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drawings/drawing13.xml" ContentType="application/vnd.openxmlformats-officedocument.drawing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E CONTROLE" sheetId="1" state="visible" r:id="rId1"/>
    <sheet name="DASHBOARD" sheetId="2" state="visible" r:id="rId2"/>
    <sheet name="CONFIGURAÇÕES" sheetId="3" state="visible" r:id="rId3"/>
    <sheet name="CADASTRO DE CLIENTES" sheetId="4" state="visible" r:id="rId4"/>
    <sheet name="CADASTRO DE FORNECEDORES" sheetId="5" state="visible" r:id="rId5"/>
    <sheet name="PLANO DE CONTAS" sheetId="6" state="visible" r:id="rId6"/>
    <sheet name="CENTRO DE CUSTOS" sheetId="7" state="visible" r:id="rId7"/>
    <sheet name="CONTAS BANCÁRIAS" sheetId="8" state="visible" r:id="rId8"/>
    <sheet name="CARTÕES" sheetId="9" state="visible" r:id="rId9"/>
    <sheet name="LANÇAMENTOS" sheetId="10" state="visible" r:id="rId10"/>
    <sheet name="CONTAS A PAGAR" sheetId="11" state="visible" r:id="rId11"/>
    <sheet name="CONTAS A RECEBER" sheetId="12" state="visible" r:id="rId12"/>
    <sheet name="FLUXO DE CAIXA" sheetId="13" state="visible" r:id="rId13"/>
    <sheet name="DRE GERENCIAL" sheetId="14" state="visible" r:id="rId14"/>
    <sheet name="ORÇAMENTO X REALIZADO" sheetId="15" state="visible" r:id="rId15"/>
    <sheet name="EMPRÉSTIMOS E FINANCIAMENTOS" sheetId="16" state="visible" r:id="rId16"/>
    <sheet name="CONCILIAÇÃO BANCÁRIA" sheetId="17" state="visible" r:id="rId17"/>
    <sheet name="INADIMPLÊNCIA" sheetId="18" state="visible" r:id="rId18"/>
    <sheet name="INDICADORES" sheetId="19" state="visible" r:id="rId19"/>
    <sheet name="DESPESAS RECORRENTES" sheetId="20" state="visible" r:id="rId20"/>
    <sheet name="PROJEÇÃO DE CAIXA" sheetId="21" state="visible" r:id="rId21"/>
    <sheet name="PONTO DE EQUILÍBRIO" sheetId="22" state="visible" r:id="rId22"/>
    <sheet name="SIMULADOR DE CENÁRIOS" sheetId="23" state="visible" r:id="rId23"/>
    <sheet name="RELATÓRIOS" sheetId="24" state="visible" r:id="rId24"/>
    <sheet name="INSTRUÇÕES" sheetId="25" state="visible" r:id="rId25"/>
  </sheets>
  <definedNames>
    <definedName name="TIPO_LANCAMENTO">'CONFIGURAÇÕES'!$F$36:$F$37</definedName>
    <definedName name="SITUACAO">'CONFIGURAÇÕES'!$G$36:$G$41</definedName>
    <definedName name="FORMA_PAGAMENTO">'CONFIGURAÇÕES'!$H$36:$H$44</definedName>
    <definedName name="TIPO_CONTA">'CONFIGURAÇÕES'!$I$36:$I$45</definedName>
    <definedName name="STATUS_CADASTRO">'CONFIGURAÇÕES'!$J$36:$J$38</definedName>
    <definedName name="PERIODICIDADE">'CONFIGURAÇÕES'!$K$36:$K$40</definedName>
    <definedName name="SISTEMA_AMORTIZACAO">'CONFIGURAÇÕES'!$L$36:$L$37</definedName>
    <definedName name="TIPO_FLUXO">'CONFIGURAÇÕES'!$M$36:$M$38</definedName>
    <definedName name="BANDEIRA">'CONFIGURAÇÕES'!$N$36:$N$41</definedName>
    <definedName name="STATUS_CONCILIACAO">'CONFIGURAÇÕES'!$O$36:$O$38</definedName>
    <definedName name="SIM_NAO">'CONFIGURAÇÕES'!$P$36:$P$37</definedName>
    <definedName name="REGIME">'CONFIGURAÇÕES'!$Q$36:$Q$39</definedName>
    <definedName name="UF">'CONFIGURAÇÕES'!$R$36:$R$62</definedName>
    <definedName name="MESES">'CONFIGURAÇÕES'!$S$36:$S$47</definedName>
    <definedName name="TIPO_OPERACAO">'CONFIGURAÇÕES'!$T$36:$T$38</definedName>
    <definedName name="SUBGRUPOS">'CONFIGURAÇÕES'!$U$36:$U$48</definedName>
    <definedName name="STATUS_CONTRATO">'CONFIGURAÇÕES'!$V$36:$V$39</definedName>
    <definedName name="LINHAS_DRE">'CONFIGURAÇÕES'!$W$36:$W$47</definedName>
    <definedName name="CLIENTES_NOMES">'CADASTRO DE CLIENTES'!$B$6:$B$65</definedName>
    <definedName name="CLIENTES_FANTASIA">'CADASTRO DE CLIENTES'!$C$6:$C$65</definedName>
    <definedName name="FORNECEDORES_NOMES">'CADASTRO DE FORNECEDORES'!$B$6:$B$65</definedName>
    <definedName name="FORNECEDORES_FANTASIA">'CADASTRO DE FORNECEDORES'!$C$6:$C$65</definedName>
    <definedName name="CATEGORIAS_PLANO">'PLANO DE CONTAS'!$C$6:$C$85</definedName>
    <definedName name="SUBGRUPOS_PLANO">'PLANO DE CONTAS'!$C$6:$C$85</definedName>
    <definedName name="SUBCATEGORIAS_PLANO">'PLANO DE CONTAS'!$D$6:$D$85</definedName>
    <definedName name="LINHAS_DRE_PLANO">'PLANO DE CONTAS'!$H$6:$H$85</definedName>
    <definedName name="GRUPOS_PLANO">'PLANO DE CONTAS'!$B$6:$B$85</definedName>
    <definedName name="TIPOS_FLUXO_PLANO">'PLANO DE CONTAS'!$G$6:$G$85</definedName>
    <definedName name="CENTROS_CUSTO">'CENTRO DE CUSTOS'!$B$6:$B$25</definedName>
    <definedName name="CONTAS_BANCARIAS">'CONTAS BANCÁRIAS'!$B$6:$B$13</definedName>
    <definedName name="CARTOES">'CARTÕES'!$B$6:$B$15</definedName>
    <definedName name="CARTAO_LISTA">'CARTÕES'!$B$6:$B$15</definedName>
    <definedName name="LANC_ID">'LANÇAMENTOS'!$A$6:$A$2005</definedName>
    <definedName name="PE_MC_UNIT">'PONTO DE EQUILÍBRIO'!$B$17</definedName>
    <definedName name="PE_RS">'PONTO DE EQUILÍBRIO'!$B$18</definedName>
    <definedName name="PE_QTD">'PONTO DE EQUILÍBRIO'!$B$19</definedName>
    <definedName name="MARGEM_SEGURANCA">'PONTO DE EQUILÍBRIO'!$B$21</definedName>
    <definedName name="RECORRENTES_MES">'DESPESAS RECORRENTES'!$C$137:$N$137</definedName>
    <definedName name="_xlnm.Print_Area" localSheetId="2">'CONFIGURAÇÕES'!$A$1:$C$32</definedName>
    <definedName name="_xlnm._FilterDatabase" localSheetId="3" hidden="1">'CADASTRO DE CLIENTES'!$A$5:$W$65</definedName>
    <definedName name="_xlnm.Print_Titles" localSheetId="3">'CADASTRO DE CLIENTES'!$5:$5</definedName>
    <definedName name="_xlnm._FilterDatabase" localSheetId="4" hidden="1">'CADASTRO DE FORNECEDORES'!$A$5:$T$65</definedName>
    <definedName name="_xlnm.Print_Titles" localSheetId="4">'CADASTRO DE FORNECEDORES'!$5:$5</definedName>
    <definedName name="_xlnm._FilterDatabase" localSheetId="5" hidden="1">'PLANO DE CONTAS'!$A$5:$J$85</definedName>
    <definedName name="_xlnm.Print_Titles" localSheetId="5">'PLANO DE CONTAS'!$5:$5</definedName>
    <definedName name="_xlnm._FilterDatabase" localSheetId="6" hidden="1">'CENTRO DE CUSTOS'!$A$5:$J$25</definedName>
    <definedName name="_xlnm.Print_Titles" localSheetId="6">'CENTRO DE CUSTOS'!$5:$5</definedName>
    <definedName name="_xlnm._FilterDatabase" localSheetId="7" hidden="1">'CONTAS BANCÁRIAS'!$A$5:$O$13</definedName>
    <definedName name="_xlnm.Print_Titles" localSheetId="7">'CONTAS BANCÁRIAS'!$5:$5</definedName>
    <definedName name="_xlnm._FilterDatabase" localSheetId="8" hidden="1">'CARTÕES'!$A$5:$P$15</definedName>
    <definedName name="_xlnm.Print_Titles" localSheetId="8">'CARTÕES'!$5:$5</definedName>
    <definedName name="_xlnm._FilterDatabase" localSheetId="9" hidden="1">'LANÇAMENTOS'!$A$5:$AO$2005</definedName>
    <definedName name="_xlnm.Print_Titles" localSheetId="9">'LANÇAMENTOS'!$5:$5</definedName>
    <definedName name="_xlnm.Print_Area" localSheetId="9">'LANÇAMENTOS'!$A$5:$AO$2005</definedName>
    <definedName name="_xlnm.Print_Area" localSheetId="10">'CONTAS A PAGAR'!$A$1:$O$132</definedName>
    <definedName name="_xlnm.Print_Area" localSheetId="11">'CONTAS A RECEBER'!$A$1:$O$120</definedName>
    <definedName name="_xlnm.Print_Area" localSheetId="12">'FLUXO DE CAIXA'!$A$1:$I$68</definedName>
    <definedName name="_xlnm.Print_Area" localSheetId="13">'DRE GERENCIAL'!$A$1:$O$100</definedName>
    <definedName name="_xlnm.Print_Area" localSheetId="14">'ORÇAMENTO X REALIZADO'!$A$1:$AF$47</definedName>
    <definedName name="_xlnm._FilterDatabase" localSheetId="15" hidden="1">'EMPRÉSTIMOS E FINANCIAMENTOS'!$A$5:$R$15</definedName>
    <definedName name="_xlnm.Print_Area" localSheetId="15">'EMPRÉSTIMOS E FINANCIAMENTOS'!$A$1:$J$423</definedName>
    <definedName name="_xlnm._FilterDatabase" localSheetId="16" hidden="1">'CONCILIAÇÃO BANCÁRIA'!$A$16:$L$516</definedName>
    <definedName name="_xlnm.Print_Titles" localSheetId="16">'CONCILIAÇÃO BANCÁRIA'!$16:$16</definedName>
    <definedName name="_xlnm.Print_Area" localSheetId="16">'CONCILIAÇÃO BANCÁRIA'!$A$16:$L$516</definedName>
    <definedName name="_xlnm.Print_Area" localSheetId="17">'INADIMPLÊNCIA'!$A$1:$J$54</definedName>
    <definedName name="_xlnm.Print_Area" localSheetId="18">'INDICADORES'!$A$1:$E$102</definedName>
    <definedName name="_xlnm._FilterDatabase" localSheetId="19" hidden="1">'DESPESAS RECORRENTES'!$A$6:$L$45</definedName>
    <definedName name="_xlnm.Print_Area" localSheetId="19">'DESPESAS RECORRENTES'!$A$1:$L$96</definedName>
    <definedName name="_xlnm.Print_Area" localSheetId="20">'PROJEÇÃO DE CAIXA'!$A$1:$I$33</definedName>
    <definedName name="_xlnm.Print_Area" localSheetId="21">'PONTO DE EQUILÍBRIO'!$A$1:$D$40</definedName>
    <definedName name="_xlnm.Print_Area" localSheetId="22">'SIMULADOR DE CENÁRIOS'!$A$1:$G$55</definedName>
    <definedName name="_xlnm.Print_Area" localSheetId="23">'RELATÓRIOS'!$A$1:$I$100</definedName>
    <definedName name="_xlnm.Print_Area" localSheetId="24">'INSTRUÇÕES'!$A$1:$F$70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R$ #,##0.00"/>
    <numFmt numFmtId="165" formatCode="R$ #,##0"/>
    <numFmt numFmtId="166" formatCode="0.0%"/>
    <numFmt numFmtId="167" formatCode="DD/MM/YYYY"/>
    <numFmt numFmtId="168" formatCode="DD/MM"/>
    <numFmt numFmtId="169" formatCode="00"/>
    <numFmt numFmtId="170" formatCode="MM/AAAA"/>
  </numFmts>
  <fonts count="19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305B"/>
      <sz val="10"/>
    </font>
    <font>
      <name val="Calibri"/>
      <color rgb="00404040"/>
      <sz val="10"/>
    </font>
    <font>
      <name val="Calibri"/>
      <b val="1"/>
      <color rgb="00595959"/>
      <sz val="9"/>
    </font>
    <font>
      <name val="Calibri"/>
      <b val="1"/>
      <color rgb="001F3864"/>
      <sz val="14"/>
    </font>
    <font>
      <name val="Calibri"/>
      <color rgb="00595959"/>
      <sz val="8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sz val="10"/>
    </font>
    <font>
      <name val="Calibri"/>
      <b val="1"/>
      <color rgb="002E75B6"/>
      <sz val="10"/>
      <u val="single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BFBFBF"/>
      </left>
      <right style="thin">
        <color rgb="00BFBFBF"/>
      </right>
      <top style="thin">
        <color rgb="00BFBFBF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54">
    <xf numFmtId="0" fontId="0" fillId="0" borderId="0"/>
    <xf numFmtId="49" fontId="1" fillId="0" borderId="1" applyAlignment="1">
      <alignment horizontal="left" vertical="center"/>
    </xf>
    <xf numFmtId="49" fontId="2" fillId="0" borderId="1" applyAlignment="1">
      <alignment horizontal="left" vertical="center"/>
    </xf>
    <xf numFmtId="49" fontId="3" fillId="2" borderId="1" applyAlignment="1">
      <alignment horizontal="left" vertical="center"/>
    </xf>
    <xf numFmtId="49" fontId="4" fillId="3" borderId="1" applyAlignment="1">
      <alignment horizontal="left" vertical="center"/>
    </xf>
    <xf numFmtId="49" fontId="5" fillId="4" borderId="2" applyAlignment="1">
      <alignment horizontal="left" vertical="center"/>
    </xf>
    <xf numFmtId="49" fontId="6" fillId="2" borderId="2" applyAlignment="1">
      <alignment horizontal="center" vertical="center" wrapText="1"/>
    </xf>
    <xf numFmtId="49" fontId="5" fillId="3" borderId="2" applyAlignment="1">
      <alignment horizontal="center" vertical="center" wrapText="1"/>
    </xf>
    <xf numFmtId="49" fontId="7" fillId="5" borderId="3" applyAlignment="1" applyProtection="1">
      <alignment horizontal="left" vertical="center"/>
      <protection locked="0" hidden="0"/>
    </xf>
    <xf numFmtId="49" fontId="7" fillId="5" borderId="3" applyAlignment="1" applyProtection="1">
      <alignment horizontal="center" vertical="center"/>
      <protection locked="0" hidden="0"/>
    </xf>
    <xf numFmtId="164" fontId="7" fillId="5" borderId="3" applyAlignment="1" applyProtection="1">
      <alignment horizontal="right" vertical="center"/>
      <protection locked="0" hidden="0"/>
    </xf>
    <xf numFmtId="165" fontId="7" fillId="5" borderId="3" applyAlignment="1" applyProtection="1">
      <alignment horizontal="right" vertical="center"/>
      <protection locked="0" hidden="0"/>
    </xf>
    <xf numFmtId="166" fontId="7" fillId="5" borderId="3" applyAlignment="1" applyProtection="1">
      <alignment horizontal="center" vertical="center"/>
      <protection locked="0" hidden="0"/>
    </xf>
    <xf numFmtId="3" fontId="7" fillId="5" borderId="3" applyAlignment="1" applyProtection="1">
      <alignment horizontal="center" vertical="center"/>
      <protection locked="0" hidden="0"/>
    </xf>
    <xf numFmtId="167" fontId="7" fillId="5" borderId="3" applyAlignment="1" applyProtection="1">
      <alignment horizontal="center" vertical="center"/>
      <protection locked="0" hidden="0"/>
    </xf>
    <xf numFmtId="49" fontId="8" fillId="6" borderId="2" applyAlignment="1">
      <alignment horizontal="left" vertical="center"/>
    </xf>
    <xf numFmtId="49" fontId="8" fillId="6" borderId="2" applyAlignment="1">
      <alignment horizontal="center" vertical="center"/>
    </xf>
    <xf numFmtId="164" fontId="8" fillId="6" borderId="2" applyAlignment="1">
      <alignment horizontal="right" vertical="center"/>
    </xf>
    <xf numFmtId="165" fontId="8" fillId="6" borderId="2" applyAlignment="1">
      <alignment horizontal="right" vertical="center"/>
    </xf>
    <xf numFmtId="166" fontId="8" fillId="6" borderId="2" applyAlignment="1">
      <alignment horizontal="center" vertical="center"/>
    </xf>
    <xf numFmtId="3" fontId="8" fillId="6" borderId="2" applyAlignment="1">
      <alignment horizontal="center" vertical="center"/>
    </xf>
    <xf numFmtId="167" fontId="8" fillId="6" borderId="2" applyAlignment="1">
      <alignment horizontal="center" vertical="center"/>
    </xf>
    <xf numFmtId="49" fontId="8" fillId="0" borderId="2" applyAlignment="1">
      <alignment horizontal="left" vertical="center"/>
    </xf>
    <xf numFmtId="49" fontId="5" fillId="3" borderId="2" applyAlignment="1">
      <alignment horizontal="left" vertical="center"/>
    </xf>
    <xf numFmtId="164" fontId="5" fillId="3" borderId="2" applyAlignment="1">
      <alignment horizontal="right" vertical="center"/>
    </xf>
    <xf numFmtId="166" fontId="5" fillId="3" borderId="2" applyAlignment="1">
      <alignment horizontal="center" vertical="center"/>
    </xf>
    <xf numFmtId="3" fontId="5" fillId="3" borderId="2" applyAlignment="1">
      <alignment horizontal="center" vertical="center"/>
    </xf>
    <xf numFmtId="49" fontId="9" fillId="4" borderId="4" applyAlignment="1">
      <alignment horizontal="center" vertical="center" wrapText="1"/>
    </xf>
    <xf numFmtId="164" fontId="10" fillId="4" borderId="5" applyAlignment="1">
      <alignment horizontal="center" vertical="center"/>
    </xf>
    <xf numFmtId="165" fontId="10" fillId="4" borderId="5" applyAlignment="1">
      <alignment horizontal="center" vertical="center"/>
    </xf>
    <xf numFmtId="166" fontId="10" fillId="4" borderId="5" applyAlignment="1">
      <alignment horizontal="center" vertical="center"/>
    </xf>
    <xf numFmtId="49" fontId="4" fillId="4" borderId="5" applyAlignment="1">
      <alignment horizontal="center" vertical="center"/>
    </xf>
    <xf numFmtId="49" fontId="11" fillId="4" borderId="6" applyAlignment="1">
      <alignment horizontal="center" vertical="center" wrapText="1"/>
    </xf>
    <xf numFmtId="49" fontId="12" fillId="0" borderId="1" applyAlignment="1">
      <alignment horizontal="left" vertical="center"/>
    </xf>
    <xf numFmtId="49" fontId="13" fillId="0" borderId="1" applyAlignment="1">
      <alignment horizontal="left" vertical="top" wrapText="1"/>
    </xf>
    <xf numFmtId="49" fontId="14" fillId="0" borderId="1" applyAlignment="1">
      <alignment horizontal="left" vertical="center"/>
    </xf>
    <xf numFmtId="49" fontId="14" fillId="0" borderId="1" applyAlignment="1">
      <alignment horizontal="center" vertical="center"/>
    </xf>
    <xf numFmtId="49" fontId="14" fillId="0" borderId="1" applyAlignment="1">
      <alignment horizontal="right" vertical="center"/>
    </xf>
    <xf numFmtId="49" fontId="5" fillId="0" borderId="1" applyAlignment="1">
      <alignment horizontal="left" vertical="center"/>
    </xf>
    <xf numFmtId="49" fontId="15" fillId="0" borderId="2" applyAlignment="1">
      <alignment horizontal="center" vertical="center"/>
    </xf>
    <xf numFmtId="49" fontId="3" fillId="7" borderId="2" applyAlignment="1">
      <alignment horizontal="center" vertical="center" wrapText="1"/>
    </xf>
    <xf numFmtId="49" fontId="3" fillId="2" borderId="2" applyAlignment="1">
      <alignment horizontal="center" vertical="center" wrapText="1"/>
    </xf>
    <xf numFmtId="164" fontId="14" fillId="0" borderId="1" applyAlignment="1">
      <alignment horizontal="right" vertical="center"/>
    </xf>
    <xf numFmtId="165" fontId="14" fillId="0" borderId="1" applyAlignment="1">
      <alignment horizontal="right" vertical="center"/>
    </xf>
    <xf numFmtId="166" fontId="14" fillId="0" borderId="1" applyAlignment="1">
      <alignment horizontal="center" vertical="center"/>
    </xf>
    <xf numFmtId="3" fontId="14" fillId="0" borderId="1" applyAlignment="1">
      <alignment horizontal="center" vertical="center"/>
    </xf>
    <xf numFmtId="167" fontId="14" fillId="0" borderId="1" applyAlignment="1">
      <alignment horizontal="center" vertical="center"/>
    </xf>
    <xf numFmtId="168" fontId="14" fillId="0" borderId="1" applyAlignment="1">
      <alignment horizontal="center" vertical="center"/>
    </xf>
    <xf numFmtId="49" fontId="16" fillId="2" borderId="1" applyAlignment="1">
      <alignment horizontal="center" vertical="center" wrapText="1"/>
    </xf>
    <xf numFmtId="49" fontId="17" fillId="7" borderId="1" applyAlignment="1">
      <alignment horizontal="center" vertical="center" wrapText="1"/>
    </xf>
    <xf numFmtId="49" fontId="18" fillId="3" borderId="2" applyAlignment="1">
      <alignment horizontal="center" vertical="center" wrapText="1"/>
    </xf>
    <xf numFmtId="49" fontId="2" fillId="4" borderId="2" applyAlignment="1">
      <alignment horizontal="left" vertical="center"/>
    </xf>
    <xf numFmtId="49" fontId="5" fillId="4" borderId="2" applyAlignment="1">
      <alignment horizontal="center" vertical="center"/>
    </xf>
    <xf numFmtId="49" fontId="15" fillId="0" borderId="2" applyAlignment="1">
      <alignment horizontal="center" vertical="center"/>
    </xf>
  </cellStyleXfs>
  <cellXfs count="48">
    <xf numFmtId="0" fontId="0" fillId="0" borderId="0" pivotButton="0" quotePrefix="0" xfId="0"/>
    <xf numFmtId="49" fontId="16" fillId="2" borderId="1" applyAlignment="1" pivotButton="0" quotePrefix="0" xfId="48">
      <alignment horizontal="center" vertical="center" wrapText="1"/>
    </xf>
    <xf numFmtId="49" fontId="17" fillId="7" borderId="1" applyAlignment="1" pivotButton="0" quotePrefix="0" xfId="49">
      <alignment horizontal="center" vertical="center" wrapText="1"/>
    </xf>
    <xf numFmtId="49" fontId="13" fillId="0" borderId="1" applyAlignment="1" pivotButton="0" quotePrefix="0" xfId="34">
      <alignment horizontal="left" vertical="top" wrapText="1"/>
    </xf>
    <xf numFmtId="49" fontId="3" fillId="2" borderId="1" applyAlignment="1" pivotButton="0" quotePrefix="0" xfId="3">
      <alignment horizontal="left" vertical="center"/>
    </xf>
    <xf numFmtId="49" fontId="9" fillId="4" borderId="4" applyAlignment="1" pivotButton="0" quotePrefix="0" xfId="27">
      <alignment horizontal="center" vertical="center" wrapText="1"/>
    </xf>
    <xf numFmtId="164" fontId="10" fillId="4" borderId="5" applyAlignment="1" pivotButton="0" quotePrefix="0" xfId="28">
      <alignment horizontal="center" vertical="center"/>
    </xf>
    <xf numFmtId="49" fontId="3" fillId="7" borderId="2" applyAlignment="1" pivotButton="0" quotePrefix="0" xfId="40">
      <alignment horizontal="center" vertical="center" wrapText="1"/>
    </xf>
    <xf numFmtId="49" fontId="3" fillId="2" borderId="2" applyAlignment="1" pivotButton="0" quotePrefix="0" xfId="41">
      <alignment horizontal="center" vertical="center" wrapText="1"/>
    </xf>
    <xf numFmtId="49" fontId="8" fillId="6" borderId="2" applyAlignment="1" pivotButton="0" quotePrefix="0" xfId="15">
      <alignment horizontal="left" vertical="center"/>
    </xf>
    <xf numFmtId="49" fontId="2" fillId="4" borderId="2" applyAlignment="1" pivotButton="0" quotePrefix="0" xfId="51">
      <alignment horizontal="left" vertical="center"/>
    </xf>
    <xf numFmtId="49" fontId="18" fillId="3" borderId="2" applyAlignment="1" pivotButton="0" quotePrefix="0" xfId="50">
      <alignment horizontal="center" vertical="center" wrapText="1"/>
    </xf>
    <xf numFmtId="49" fontId="4" fillId="4" borderId="5" applyAlignment="1" pivotButton="0" quotePrefix="0" xfId="31">
      <alignment horizontal="center" vertical="center"/>
    </xf>
    <xf numFmtId="3" fontId="7" fillId="5" borderId="3" applyAlignment="1" applyProtection="1" pivotButton="0" quotePrefix="0" xfId="13">
      <alignment horizontal="center" vertical="center"/>
      <protection locked="0" hidden="0"/>
    </xf>
    <xf numFmtId="49" fontId="7" fillId="5" borderId="3" applyAlignment="1" applyProtection="1" pivotButton="0" quotePrefix="0" xfId="9">
      <alignment horizontal="center" vertical="center"/>
      <protection locked="0" hidden="0"/>
    </xf>
    <xf numFmtId="166" fontId="10" fillId="4" borderId="5" applyAlignment="1" pivotButton="0" quotePrefix="0" xfId="30">
      <alignment horizontal="center" vertical="center"/>
    </xf>
    <xf numFmtId="165" fontId="10" fillId="4" borderId="5" applyAlignment="1" pivotButton="0" quotePrefix="0" xfId="29">
      <alignment horizontal="center" vertical="center"/>
    </xf>
    <xf numFmtId="49" fontId="8" fillId="6" borderId="2" applyAlignment="1" pivotButton="0" quotePrefix="0" xfId="16">
      <alignment horizontal="center" vertical="center"/>
    </xf>
    <xf numFmtId="164" fontId="8" fillId="6" borderId="2" applyAlignment="1" pivotButton="0" quotePrefix="0" xfId="17">
      <alignment horizontal="right" vertical="center"/>
    </xf>
    <xf numFmtId="49" fontId="5" fillId="4" borderId="2" applyAlignment="1" pivotButton="0" quotePrefix="0" xfId="52">
      <alignment horizontal="center" vertical="center"/>
    </xf>
    <xf numFmtId="49" fontId="3" fillId="2" borderId="1" applyAlignment="1" pivotButton="0" quotePrefix="0" xfId="3">
      <alignment horizontal="left" vertical="center" indent="1"/>
    </xf>
    <xf numFmtId="49" fontId="5" fillId="3" borderId="2" applyAlignment="1" pivotButton="0" quotePrefix="0" xfId="7">
      <alignment horizontal="center" vertical="center" wrapText="1"/>
    </xf>
    <xf numFmtId="49" fontId="8" fillId="0" borderId="2" applyAlignment="1" pivotButton="0" quotePrefix="0" xfId="22">
      <alignment horizontal="left" vertical="center"/>
    </xf>
    <xf numFmtId="166" fontId="8" fillId="6" borderId="2" applyAlignment="1" pivotButton="0" quotePrefix="0" xfId="19">
      <alignment horizontal="center" vertical="center"/>
    </xf>
    <xf numFmtId="3" fontId="8" fillId="6" borderId="2" applyAlignment="1" pivotButton="0" quotePrefix="0" xfId="20">
      <alignment horizontal="center" vertical="center"/>
    </xf>
    <xf numFmtId="49" fontId="12" fillId="0" borderId="1" applyAlignment="1" pivotButton="0" quotePrefix="0" xfId="33">
      <alignment horizontal="left" vertical="center"/>
    </xf>
    <xf numFmtId="49" fontId="1" fillId="0" borderId="1" applyAlignment="1" pivotButton="0" quotePrefix="0" xfId="1">
      <alignment horizontal="left" vertical="center"/>
    </xf>
    <xf numFmtId="49" fontId="2" fillId="0" borderId="1" applyAlignment="1" pivotButton="0" quotePrefix="0" xfId="2">
      <alignment horizontal="left" vertical="center"/>
    </xf>
    <xf numFmtId="49" fontId="5" fillId="0" borderId="1" applyAlignment="1" pivotButton="0" quotePrefix="0" xfId="38">
      <alignment horizontal="left" vertical="center"/>
    </xf>
    <xf numFmtId="49" fontId="7" fillId="5" borderId="3" applyAlignment="1" applyProtection="1" pivotButton="0" quotePrefix="0" xfId="8">
      <alignment horizontal="left" vertical="center"/>
      <protection locked="0" hidden="0"/>
    </xf>
    <xf numFmtId="167" fontId="8" fillId="6" borderId="2" applyAlignment="1" pivotButton="0" quotePrefix="0" xfId="21">
      <alignment horizontal="center" vertical="center"/>
    </xf>
    <xf numFmtId="165" fontId="7" fillId="5" borderId="3" applyAlignment="1" applyProtection="1" pivotButton="0" quotePrefix="0" xfId="11">
      <alignment horizontal="right" vertical="center"/>
      <protection locked="0" hidden="0"/>
    </xf>
    <xf numFmtId="166" fontId="7" fillId="5" borderId="3" applyAlignment="1" applyProtection="1" pivotButton="0" quotePrefix="0" xfId="12">
      <alignment horizontal="center" vertical="center"/>
      <protection locked="0" hidden="0"/>
    </xf>
    <xf numFmtId="49" fontId="14" fillId="0" borderId="1" applyAlignment="1" pivotButton="0" quotePrefix="0" xfId="36">
      <alignment horizontal="center" vertical="center"/>
    </xf>
    <xf numFmtId="49" fontId="6" fillId="2" borderId="2" applyAlignment="1" pivotButton="0" quotePrefix="0" xfId="6">
      <alignment horizontal="center" vertical="center" wrapText="1"/>
    </xf>
    <xf numFmtId="164" fontId="7" fillId="5" borderId="3" applyAlignment="1" applyProtection="1" pivotButton="0" quotePrefix="0" xfId="10">
      <alignment horizontal="right" vertical="center"/>
      <protection locked="0" hidden="0"/>
    </xf>
    <xf numFmtId="167" fontId="7" fillId="5" borderId="3" applyAlignment="1" applyProtection="1" pivotButton="0" quotePrefix="0" xfId="14">
      <alignment horizontal="center" vertical="center"/>
      <protection locked="0" hidden="0"/>
    </xf>
    <xf numFmtId="49" fontId="5" fillId="3" borderId="2" applyAlignment="1" pivotButton="0" quotePrefix="0" xfId="23">
      <alignment horizontal="left" vertical="center"/>
    </xf>
    <xf numFmtId="164" fontId="5" fillId="3" borderId="2" applyAlignment="1" pivotButton="0" quotePrefix="0" xfId="24">
      <alignment horizontal="right" vertical="center"/>
    </xf>
    <xf numFmtId="166" fontId="5" fillId="3" borderId="2" applyAlignment="1" pivotButton="0" quotePrefix="0" xfId="25">
      <alignment horizontal="center" vertical="center"/>
    </xf>
    <xf numFmtId="49" fontId="11" fillId="4" borderId="6" applyAlignment="1" pivotButton="0" quotePrefix="0" xfId="32">
      <alignment horizontal="center" vertical="center" wrapText="1"/>
    </xf>
    <xf numFmtId="3" fontId="5" fillId="3" borderId="2" applyAlignment="1" pivotButton="0" quotePrefix="0" xfId="26">
      <alignment horizontal="center" vertical="center"/>
    </xf>
    <xf numFmtId="49" fontId="5" fillId="4" borderId="2" applyAlignment="1" pivotButton="0" quotePrefix="0" xfId="5">
      <alignment horizontal="left" vertical="center"/>
    </xf>
    <xf numFmtId="49" fontId="14" fillId="0" borderId="1" applyAlignment="1" pivotButton="0" quotePrefix="0" xfId="35">
      <alignment horizontal="left" vertical="center"/>
    </xf>
    <xf numFmtId="169" fontId="5" fillId="3" borderId="2" applyAlignment="1" pivotButton="0" quotePrefix="0" xfId="7">
      <alignment horizontal="center" vertical="center" wrapText="1"/>
    </xf>
    <xf numFmtId="49" fontId="4" fillId="3" borderId="1" applyAlignment="1" pivotButton="0" quotePrefix="0" xfId="4">
      <alignment horizontal="left" vertical="center"/>
    </xf>
    <xf numFmtId="170" fontId="5" fillId="3" borderId="2" applyAlignment="1" pivotButton="0" quotePrefix="0" xfId="7">
      <alignment horizontal="center" vertical="center" wrapText="1"/>
    </xf>
    <xf numFmtId="49" fontId="15" fillId="0" borderId="2" applyAlignment="1" pivotButton="0" quotePrefix="0" xfId="53">
      <alignment horizontal="center" vertical="center"/>
    </xf>
  </cellXfs>
  <cellStyles count="54">
    <cellStyle name="Normal" xfId="0" builtinId="0" hidden="0"/>
    <cellStyle name="TITULO" xfId="1" hidden="0"/>
    <cellStyle name="SUBTITULO" xfId="2" hidden="0"/>
    <cellStyle name="SECAO" xfId="3" hidden="0"/>
    <cellStyle name="SECAO_CLARA" xfId="4" hidden="0"/>
    <cellStyle name="BLOCO" xfId="5" hidden="0"/>
    <cellStyle name="TH" xfId="6" hidden="0"/>
    <cellStyle name="TH2" xfId="7" hidden="0"/>
    <cellStyle name="IN_TXT" xfId="8" hidden="0"/>
    <cellStyle name="IN_TXT_C" xfId="9" hidden="0"/>
    <cellStyle name="IN_MONEY" xfId="10" hidden="0"/>
    <cellStyle name="IN_MONEY0" xfId="11" hidden="0"/>
    <cellStyle name="IN_PCT" xfId="12" hidden="0"/>
    <cellStyle name="IN_INT" xfId="13" hidden="0"/>
    <cellStyle name="IN_DATE" xfId="14" hidden="0"/>
    <cellStyle name="CALC_TXT" xfId="15" hidden="0"/>
    <cellStyle name="CALC_TXT_C" xfId="16" hidden="0"/>
    <cellStyle name="CALC_MONEY" xfId="17" hidden="0"/>
    <cellStyle name="CALC_MONEY0" xfId="18" hidden="0"/>
    <cellStyle name="CALC_PCT" xfId="19" hidden="0"/>
    <cellStyle name="CALC_INT" xfId="20" hidden="0"/>
    <cellStyle name="CALC_DATE" xfId="21" hidden="0"/>
    <cellStyle name="CALC_TXT_SB" xfId="22" hidden="0"/>
    <cellStyle name="TOTAL_TXT" xfId="23" hidden="0"/>
    <cellStyle name="TOTAL_MONEY" xfId="24" hidden="0"/>
    <cellStyle name="TOTAL_PCT" xfId="25" hidden="0"/>
    <cellStyle name="TOTAL_INT" xfId="26" hidden="0"/>
    <cellStyle name="KPI_LABEL" xfId="27" hidden="0"/>
    <cellStyle name="KPI_VALUE" xfId="28" hidden="0"/>
    <cellStyle name="KPI_VALUE0" xfId="29" hidden="0"/>
    <cellStyle name="KPI_PCT" xfId="30" hidden="0"/>
    <cellStyle name="KPI_VALUE_TXT" xfId="31" hidden="0"/>
    <cellStyle name="KPI_NOTE" xfId="32" hidden="0"/>
    <cellStyle name="NOTA" xfId="33" hidden="0"/>
    <cellStyle name="NOTA_WRAP" xfId="34" hidden="0"/>
    <cellStyle name="TXT" xfId="35" hidden="0"/>
    <cellStyle name="TXT_C" xfId="36" hidden="0"/>
    <cellStyle name="TXT_R" xfId="37" hidden="0"/>
    <cellStyle name="TXT_B" xfId="38" hidden="0"/>
    <cellStyle name="LINK" xfId="39" hidden="0"/>
    <cellStyle name="MENU_BOTAO" xfId="40" hidden="0"/>
    <cellStyle name="MENU_BOTAO_D" xfId="41" hidden="0"/>
    <cellStyle name="N_MONEY" xfId="42" hidden="0"/>
    <cellStyle name="N_MONEY0" xfId="43" hidden="0"/>
    <cellStyle name="N_PCT" xfId="44" hidden="0"/>
    <cellStyle name="N_INT" xfId="45" hidden="0"/>
    <cellStyle name="N_DATE" xfId="46" hidden="0"/>
    <cellStyle name="N_DATE_S" xfId="47" hidden="0"/>
    <cellStyle name="TITULO_DASH" xfId="48" hidden="0"/>
    <cellStyle name="SUBTITULO_DASH" xfId="49" hidden="0"/>
    <cellStyle name="FILTRO_LABEL" xfId="50" hidden="0"/>
    <cellStyle name="ALERTA_TXT" xfId="51" hidden="0"/>
    <cellStyle name="ALERTA_ICONE" xfId="52" hidden="0"/>
    <cellStyle name="LINK_ABA" xfId="53" hidden="0"/>
  </cellStyles>
  <dxfs count="1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B6623"/>
      </font>
      <fill>
        <patternFill patternType="solid">
          <fgColor rgb="00C6EFCE"/>
        </patternFill>
      </fill>
    </dxf>
    <dxf>
      <font>
        <color rgb="00595959"/>
      </font>
      <fill>
        <patternFill patternType="solid">
          <fgColor rgb="00E7E6E6"/>
        </patternFill>
      </fill>
    </dxf>
    <dxf>
      <font>
        <color rgb="009C0006"/>
      </font>
    </dxf>
    <dxf>
      <font>
        <color rgb="001F6F3F"/>
      </font>
    </dxf>
    <dxf>
      <font>
        <b val="1"/>
        <color rgb="000B6623"/>
      </font>
      <fill>
        <patternFill patternType="solid">
          <fgColor rgb="00C6EFCE"/>
        </patternFill>
      </fill>
    </dxf>
    <dxf>
      <font>
        <b val="1"/>
        <color rgb="009C0006"/>
      </font>
    </dxf>
    <dxf>
      <font>
        <color rgb="009C6500"/>
      </font>
    </dxf>
    <dxf>
      <font>
        <color rgb="001F3864"/>
      </font>
      <fill>
        <patternFill patternType="solid">
          <fgColor rgb="00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Faturamento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'INDICADORES'!B90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'INDICADORES'!$B$91:$B$101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Lucro líquido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'INDICADORES'!I90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'INDICADORES'!$I$91:$I$101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Entradas x saídas de caixa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'INDICADORES'!K90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'INDICADORES'!$K$91:$K$101</f>
            </numRef>
          </val>
        </ser>
        <ser>
          <idx val="1"/>
          <order val="1"/>
          <tx>
            <strRef>
              <f>'INDICADORES'!L90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'INDICADORES'!$L$91:$L$101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Evolução do saldo de caixa</a:t>
            </a:r>
          </a:p>
        </rich>
      </tx>
    </title>
    <plotArea>
      <lineChart>
        <grouping val="standard"/>
        <ser>
          <idx val="0"/>
          <order val="0"/>
          <tx>
            <strRef>
              <f>'INDICADORES'!M90</f>
            </strRef>
          </tx>
          <spPr>
            <a:solidFill>
              <a:srgbClr val="2E75B6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'INDICADORES'!$A$91:$A$101</f>
            </numRef>
          </cat>
          <val>
            <numRef>
              <f>'INDICADORES'!$M$91:$M$101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Margem de contribuição (%)</a:t>
            </a:r>
          </a:p>
        </rich>
      </tx>
    </title>
    <plotArea>
      <lineChart>
        <grouping val="standard"/>
        <ser>
          <idx val="0"/>
          <order val="0"/>
          <tx>
            <strRef>
              <f>'INDICADORES'!H90</f>
            </strRef>
          </tx>
          <spPr>
            <a:solidFill>
              <a:srgbClr val="1F3864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'INDICADORES'!$A$91:$A$101</f>
            </numRef>
          </cat>
          <val>
            <numRef>
              <f>'INDICADORES'!$H$91:$H$101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Orçado x realizado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'INDICADORES'!N90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'INDICADORES'!$N$91:$N$101</f>
            </numRef>
          </val>
        </ser>
        <ser>
          <idx val="1"/>
          <order val="1"/>
          <tx>
            <strRef>
              <f>'INDICADORES'!O90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'INDICADORES'!$O$91:$O$101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Despesas por categoria (ano)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'DRE GERENCIAL'!$A$56:$A$97</f>
            </numRef>
          </cat>
          <val>
            <numRef>
              <f>'DRE GERENCIAL'!$C$56:$C$97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Receitas por categoria (ano)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75B6"/>
            </a:solidFill>
            <a:ln>
              <a:prstDash val="solid"/>
            </a:ln>
          </spPr>
          <cat>
            <numRef>
              <f>'DRE GERENCIAL'!$A$49:$A$55</f>
            </numRef>
          </cat>
          <val>
            <numRef>
              <f>'DRE GERENCIAL'!$C$49:$C$55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Contas a pagar por faixa de vencimento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'CONTAS A PAGAR'!B14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'CONTAS A PAGAR'!$A$15:$A$19</f>
            </numRef>
          </cat>
          <val>
            <numRef>
              <f>'CONTAS A PAGAR'!$B$15:$B$19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Contas a receber por faixa de vencimento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'CONTAS A RECEBER'!B14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'CONTAS A RECEBER'!$A$15:$A$19</f>
            </numRef>
          </cat>
          <val>
            <numRef>
              <f>'CONTAS A RECEBER'!$B$15:$B$19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Inadimplência por faixa de atraso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'INADIMPLÊNCIA'!B11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'INADIMPLÊNCIA'!$A$12:$A$17</f>
            </numRef>
          </cat>
          <val>
            <numRef>
              <f>'INADIMPLÊNCIA'!$B$12:$B$17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Saldo devedor por contrato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'EMPRÉSTIMOS E FINANCIAMENTOS'!Q5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'EMPRÉSTIMOS E FINANCIAMENTOS'!$B$6:$B$15</f>
            </numRef>
          </cat>
          <val>
            <numRef>
              <f>'EMPRÉSTIMOS E FINANCIAMENTOS'!$Q$6:$Q$15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Resultado por centro de custo (ano)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'CENTRO DE CUSTOS'!$B$6:$B$13</f>
            </numRef>
          </cat>
          <val>
            <numRef>
              <f>'CENTRO DE CUSTOS'!$I$6:$I$13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Contas a pagar por fornecedor (em aberto)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'CONTAS A PAGAR'!$A$61:$A$75</f>
            </numRef>
          </cat>
          <val>
            <numRef>
              <f>'CONTAS A PAGAR'!$B$61:$B$75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Título em aberto por faixa (vencido e a vencer)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'CONTAS A PAGAR'!$A$15:$A$19</f>
            </numRef>
          </cat>
          <val>
            <numRef>
              <f>'CONTAS A PAGAR'!$B$15:$B$19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Carteira a receber por cliente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'CONTAS A RECEBER'!$A$50:$A$64</f>
            </numRef>
          </cat>
          <val>
            <numRef>
              <f>'CONTAS A RECEBER'!$B$50:$B$64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Recebimentos realizados por mês (ano de análise)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'CONTAS A RECEBER'!$A$15:$A$19</f>
            </numRef>
          </cat>
          <val>
            <numRef>
              <f>'CONTAS A RECEBER'!$B$15:$B$19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Entradas x Saídas realizadas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'FLUXO DE CAIXA'!C51</f>
            </strRef>
          </tx>
          <spPr>
            <a:ln>
              <a:prstDash val="solid"/>
            </a:ln>
          </spPr>
          <cat>
            <numRef>
              <f>'FLUXO DE CAIXA'!$A$52:$A$63</f>
            </numRef>
          </cat>
          <val>
            <numRef>
              <f>'FLUXO DE CAIXA'!$C$52:$C$63</f>
            </numRef>
          </val>
        </ser>
        <ser>
          <idx val="1"/>
          <order val="1"/>
          <tx>
            <strRef>
              <f>'FLUXO DE CAIXA'!D51</f>
            </strRef>
          </tx>
          <spPr>
            <a:ln>
              <a:prstDash val="solid"/>
            </a:ln>
          </spPr>
          <cat>
            <numRef>
              <f>'FLUXO DE CAIXA'!$A$52:$A$63</f>
            </numRef>
          </cat>
          <val>
            <numRef>
              <f>'FLUXO DE CAIXA'!$D$52:$D$63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Evolução do saldo de caixa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'FLUXO DE CAIXA'!F51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CAIXA'!$A$52:$A$63</f>
            </numRef>
          </cat>
          <val>
            <numRef>
              <f>'FLUXO DE CAIXA'!$F$52:$F$63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Faturamento, custos e lucro por mês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'DRE GERENCIAL'!$B$6:$M$6</f>
            </numRef>
          </cat>
          <val>
            <numRef>
              <f>'DRE GERENCIAL'!$B$7:$M$7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'DRE GERENCIAL'!$B$6:$M$6</f>
            </numRef>
          </cat>
          <val>
            <numRef>
              <f>'DRE GERENCIAL'!$B$20:$M$20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Margem de contribuição mensal (%)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'DRE GERENCIAL'!$B$6:$M$6</f>
            </numRef>
          </cat>
          <val>
            <numRef>
              <f>'DRE GERENCIAL'!$B$31:$M$31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Despesas por categoria (ano)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'DRE GERENCIAL'!$A$56:$A$97</f>
            </numRef>
          </cat>
          <val>
            <numRef>
              <f>'DRE GERENCIAL'!$C$56:$C$97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Orçado x Realizado por mês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REALIZADO'!$B$49:$B$50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REALIZADO'!$C$49:$C$50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REALIZADO'!$D$49:$D$50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REALIZADO'!$E$49:$E$50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REALIZADO'!$F$49:$F$50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REALIZADO'!$G$49:$G$50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REALIZADO'!$H$49:$H$50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REALIZADO'!$I$49:$I$50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REALIZADO'!$J$49:$J$50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REALIZADO'!$K$49:$K$50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REALIZADO'!$L$49:$L$50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'ORÇAMENTO X REALIZADO'!$B$48:$M$48</f>
            </numRef>
          </cat>
          <val>
            <numRef>
              <f>'ORÇAMENTO X REALIZADO'!$M$49:$M$50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Saldo devedor por contrato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'EMPRÉSTIMOS E FINANCIAMENTOS'!Q5</f>
            </strRef>
          </tx>
          <spPr>
            <a:ln>
              <a:prstDash val="solid"/>
            </a:ln>
          </spPr>
          <cat>
            <numRef>
              <f>'EMPRÉSTIMOS E FINANCIAMENTOS'!$B$6:$B$15</f>
            </numRef>
          </cat>
          <val>
            <numRef>
              <f>'EMPRÉSTIMOS E FINANCIAMENTOS'!$Q$6:$Q$15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Serviço da dívida nos próximos 12 meses (juros + amortização)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'EMPRÉSTIMOS E FINANCIAMENTOS'!C409</f>
            </strRef>
          </tx>
          <spPr>
            <a:ln>
              <a:prstDash val="solid"/>
            </a:ln>
          </spPr>
          <cat>
            <numRef>
              <f>'EMPRÉSTIMOS E FINANCIAMENTOS'!$A$410:$A$421</f>
            </numRef>
          </cat>
          <val>
            <numRef>
              <f>'EMPRÉSTIMOS E FINANCIAMENTOS'!$C$410:$C$421</f>
            </numRef>
          </val>
        </ser>
        <ser>
          <idx val="1"/>
          <order val="1"/>
          <tx>
            <strRef>
              <f>'EMPRÉSTIMOS E FINANCIAMENTOS'!D409</f>
            </strRef>
          </tx>
          <spPr>
            <a:ln>
              <a:prstDash val="solid"/>
            </a:ln>
          </spPr>
          <cat>
            <numRef>
              <f>'EMPRÉSTIMOS E FINANCIAMENTOS'!$A$410:$A$421</f>
            </numRef>
          </cat>
          <val>
            <numRef>
              <f>'EMPRÉSTIMOS E FINANCIAMENTOS'!$D$410:$D$421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Conciliação por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'CONCILIAÇÃO BANCÁRIA'!$A$520:$A$522</f>
            </numRef>
          </cat>
          <val>
            <numRef>
              <f>'CONCILIAÇÃO BANCÁRIA'!$C$520:$C$522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Inadimplência por faixa de atraso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'INADIMPLÊNCIA'!$A$12:$A$17</f>
            </numRef>
          </cat>
          <val>
            <numRef>
              <f>'INADIMPLÊNCIA'!$B$12:$B$17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Índice de inadimplência acumulado (%)</a:t>
            </a:r>
          </a:p>
        </rich>
      </tx>
    </title>
    <plotArea>
      <lineChart>
        <grouping val="standard"/>
        <ser>
          <idx val="0"/>
          <order val="0"/>
          <tx>
            <strRef>
              <f>'INADIMPLÊNCIA'!F40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'INADIMPLÊNCIA'!$A$41:$A$52</f>
            </numRef>
          </cat>
          <val>
            <numRef>
              <f>'INADIMPLÊNCIA'!$F$41:$F$52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Faturamento x Lucro líquido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'INDICADORES'!B90</f>
            </strRef>
          </tx>
          <spPr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'INDICADORES'!$B$91:$B$101</f>
            </numRef>
          </val>
        </ser>
        <ser>
          <idx val="1"/>
          <order val="1"/>
          <tx>
            <strRef>
              <f>'INDICADORES'!I90</f>
            </strRef>
          </tx>
          <spPr>
            <a:ln>
              <a:prstDash val="solid"/>
            </a:ln>
          </spPr>
          <cat>
            <numRef>
              <f>'INDICADORES'!$A$91:$A$101</f>
            </numRef>
          </cat>
          <val>
            <numRef>
              <f>'INDICADORES'!$I$91:$I$101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Despesas recorrentes projetadas (próximos 12 meses)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'DESPESAS RECORRENTES'!$C$97:$N$97</f>
            </numRef>
          </cat>
          <val>
            <numRef>
              <f>'DESPESAS RECORRENTES'!$C$137:$N$137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Saldo de caixa projetado (12 meses)</a:t>
            </a:r>
          </a:p>
        </rich>
      </tx>
    </title>
    <plotArea>
      <lineChart>
        <grouping val="standard"/>
        <ser>
          <idx val="0"/>
          <order val="0"/>
          <tx>
            <strRef>
              <f>'PROJEÇÃO DE CAIXA'!F19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'PROJEÇÃO DE CAIXA'!$A$20:$A$31</f>
            </numRef>
          </cat>
          <val>
            <numRef>
              <f>'PROJEÇÃO DE CAIXA'!$F$20:$F$31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Entradas x saídas previstas (12 meses)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'PROJEÇÃO DE CAIXA'!B19</f>
            </strRef>
          </tx>
          <spPr>
            <a:ln>
              <a:prstDash val="solid"/>
            </a:ln>
          </spPr>
          <cat>
            <numRef>
              <f>'PROJEÇÃO DE CAIXA'!$A$20:$A$31</f>
            </numRef>
          </cat>
          <val>
            <numRef>
              <f>'PROJEÇÃO DE CAIXA'!$B$20:$B$31</f>
            </numRef>
          </val>
        </ser>
        <ser>
          <idx val="1"/>
          <order val="1"/>
          <tx>
            <strRef>
              <f>'PROJEÇÃO DE CAIXA'!C19</f>
            </strRef>
          </tx>
          <spPr>
            <a:ln>
              <a:prstDash val="solid"/>
            </a:ln>
          </spPr>
          <cat>
            <numRef>
              <f>'PROJEÇÃO DE CAIXA'!$A$20:$A$31</f>
            </numRef>
          </cat>
          <val>
            <numRef>
              <f>'PROJEÇÃO DE CAIXA'!$C$20:$C$31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Resultado por nível de faturamento (ponto de equilíbrio = 100%)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'PONTO DE EQUILÍBRIO'!G30</f>
            </strRef>
          </tx>
          <spPr>
            <a:ln>
              <a:prstDash val="solid"/>
            </a:ln>
          </spPr>
          <cat>
            <numRef>
              <f>'PONTO DE EQUILÍBRIO'!$B$31:$B$39</f>
            </numRef>
          </cat>
          <val>
            <numRef>
              <f>'PONTO DE EQUILÍBRIO'!$G$31:$G$39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Lucro líquido projetado por cenário (12 meses)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'SIMULADOR DE CENÁRIOS'!$B$25:$D$25</f>
            </numRef>
          </cat>
          <val>
            <numRef>
              <f>'SIMULADOR DE CENÁRIOS'!$B$34:$D$34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Evolução do caixa projetado por cenário</a:t>
            </a:r>
          </a:p>
        </rich>
      </tx>
    </title>
    <plotArea>
      <lineChart>
        <grouping val="standard"/>
        <ser>
          <idx val="0"/>
          <order val="0"/>
          <tx>
            <strRef>
              <f>'SIMULADOR DE CENÁRIOS'!E40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'SIMULADOR DE CENÁRIOS'!$A$41:$A$52</f>
            </numRef>
          </cat>
          <val>
            <numRef>
              <f>'SIMULADOR DE CENÁRIOS'!$E$41:$E$52</f>
            </numRef>
          </val>
        </ser>
        <ser>
          <idx val="1"/>
          <order val="1"/>
          <tx>
            <strRef>
              <f>'SIMULADOR DE CENÁRIOS'!F40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'SIMULADOR DE CENÁRIOS'!$A$41:$A$52</f>
            </numRef>
          </cat>
          <val>
            <numRef>
              <f>'SIMULADOR DE CENÁRIOS'!$F$41:$F$52</f>
            </numRef>
          </val>
        </ser>
        <ser>
          <idx val="2"/>
          <order val="2"/>
          <tx>
            <strRef>
              <f>'SIMULADOR DE CENÁRIOS'!G40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'SIMULADOR DE CENÁRIOS'!$A$41:$A$52</f>
            </numRef>
          </cat>
          <val>
            <numRef>
              <f>'SIMULADOR DE CENÁRIOS'!$G$41:$G$52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Planilha</author>
  </authors>
  <commentList>
    <comment ref="B24" authorId="0" shapeId="0">
      <text>
        <t>Margem líquida = Lucro líquido ÷ Receita líquida.</t>
      </text>
    </comment>
    <comment ref="B25" authorId="0" shapeId="0">
      <text>
        <t>Saldo disponível = saldo das contas correntes (não inclui cartões).</t>
      </text>
    </comment>
    <comment ref="B26" authorId="0" shapeId="0">
      <text>
        <t>Percentual de inadimplência = vencido a receber ÷ faturamento do período.</t>
      </text>
    </comment>
  </commentList>
</comments>
</file>

<file path=xl/comments/comment2.xml><?xml version="1.0" encoding="utf-8"?>
<comments xmlns="http://schemas.openxmlformats.org/spreadsheetml/2006/main">
  <authors>
    <author>Planilha</author>
  </authors>
  <commentList>
    <comment ref="V5" authorId="0" shapeId="0">
      <text>
        <t>Valor final = valor realizado + juros + multa − desconto (movimento efetivo de caixa).</t>
      </text>
    </comment>
    <comment ref="W5" authorId="0" shapeId="0">
      <text>
        <t>Quanto ainda falta pagar/receber: previsto + juros + multa − desconto − realizado.</t>
      </text>
    </comment>
    <comment ref="Y5" authorId="0" shapeId="0">
      <text>
        <t>Classificação automática: Vencido, Vence hoje, Vence em 7/30 dias, Futuro, Pago, Recebido, Parcial.</t>
      </text>
    </comment>
    <comment ref="AO5" authorId="0" shapeId="0">
      <text>
        <t>Verifica cliente/fornecedor cadastrado, subcategoria do plano de contas, valores e parcelas.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Relationship Type="http://schemas.openxmlformats.org/officeDocument/2006/relationships/chart" Target="/xl/charts/chart22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33</row>
      <rowOff>0</rowOff>
    </from>
    <ext cx="453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33</row>
      <rowOff>0</rowOff>
    </from>
    <ext cx="4536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48</row>
      <rowOff>0</rowOff>
    </from>
    <ext cx="4536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48</row>
      <rowOff>0</rowOff>
    </from>
    <ext cx="4536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63</row>
      <rowOff>0</rowOff>
    </from>
    <ext cx="4536000" cy="26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63</row>
      <rowOff>0</rowOff>
    </from>
    <ext cx="4536000" cy="26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78</row>
      <rowOff>0</rowOff>
    </from>
    <ext cx="4536000" cy="309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78</row>
      <rowOff>0</rowOff>
    </from>
    <ext cx="4536000" cy="309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93</row>
      <rowOff>0</rowOff>
    </from>
    <ext cx="4536000" cy="2664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93</row>
      <rowOff>0</rowOff>
    </from>
    <ext cx="4536000" cy="2664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108</row>
      <rowOff>0</rowOff>
    </from>
    <ext cx="4536000" cy="3096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108</row>
      <rowOff>0</rowOff>
    </from>
    <ext cx="4536000" cy="3096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58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47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42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95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407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523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138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28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DRE GERENCIAL'!A1" TargetMode="External" Id="rId1" /><Relationship Type="http://schemas.openxmlformats.org/officeDocument/2006/relationships/hyperlink" Target="#'FLUXO DE CAIXA'!A1" TargetMode="External" Id="rId2" /><Relationship Type="http://schemas.openxmlformats.org/officeDocument/2006/relationships/hyperlink" Target="#'CONTAS A PAGAR'!A1" TargetMode="External" Id="rId3" /><Relationship Type="http://schemas.openxmlformats.org/officeDocument/2006/relationships/hyperlink" Target="#'CONTAS A RECEBER'!A1" TargetMode="External" Id="rId4" /><Relationship Type="http://schemas.openxmlformats.org/officeDocument/2006/relationships/hyperlink" Target="#'INADIMPL&#202;NCIA'!A1" TargetMode="External" Id="rId5" /><Relationship Type="http://schemas.openxmlformats.org/officeDocument/2006/relationships/hyperlink" Target="#'OR&#199;AMENTO X REALIZADO'!A1" TargetMode="External" Id="rId6" /><Relationship Type="http://schemas.openxmlformats.org/officeDocument/2006/relationships/hyperlink" Target="#'EMPR&#201;STIMOS E FINANCIAMENTOS'!A1" TargetMode="External" Id="rId7" /><Relationship Type="http://schemas.openxmlformats.org/officeDocument/2006/relationships/hyperlink" Target="#'CENTRO DE CUSTOS'!A1" TargetMode="External" Id="rId8" /><Relationship Type="http://schemas.openxmlformats.org/officeDocument/2006/relationships/hyperlink" Target="#'INDICADORES'!A1" TargetMode="External" Id="rId9" /><Relationship Type="http://schemas.openxmlformats.org/officeDocument/2006/relationships/hyperlink" Target="#'CONCILIA&#199;&#195;O BANC&#193;RIA'!A1" TargetMode="External" Id="rId10" /><Relationship Type="http://schemas.openxmlformats.org/officeDocument/2006/relationships/hyperlink" Target="#'PROJE&#199;&#195;O DE CAIXA'!A1" TargetMode="External" Id="rId11" /><Relationship Type="http://schemas.openxmlformats.org/officeDocument/2006/relationships/hyperlink" Target="#'SIMULADOR DE CEN&#193;RIOS'!A1" TargetMode="External" Id="rId12" /><Relationship Type="http://schemas.openxmlformats.org/officeDocument/2006/relationships/hyperlink" Target="#'DESPESAS RECORRENTES'!A1" TargetMode="External" Id="rId13" /><Relationship Type="http://schemas.openxmlformats.org/officeDocument/2006/relationships/hyperlink" Target="#'DASHBOARD'!A1" TargetMode="External" Id="rId14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E45"/>
  <sheetViews>
    <sheetView showGridLines="0" tabSelected="1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  <col width="30" customWidth="1" min="5" max="5"/>
    <col width="3" customWidth="1" min="6" max="6"/>
    <col width="3" customWidth="1" min="7" max="7"/>
  </cols>
  <sheetData>
    <row r="2" ht="30" customHeight="1">
      <c r="B2" s="1">
        <f>IF('CONFIGURAÇÕES'!$B$6="","GESTÃO FINANCEIRA EMPRESARIAL",'CONFIGURAÇÕES'!$B$6)</f>
        <v/>
      </c>
      <c r="C2" s="1" t="n"/>
      <c r="D2" s="1" t="n"/>
      <c r="E2" s="1" t="n"/>
    </row>
    <row r="3">
      <c r="B3" s="1" t="n"/>
      <c r="C3" s="1" t="n"/>
      <c r="D3" s="1" t="n"/>
      <c r="E3" s="1" t="n"/>
    </row>
    <row r="4">
      <c r="B4" s="2" t="inlineStr">
        <is>
          <t>Sistema completo de gestão financeira: lançamentos, contas a pagar e a receber, fluxo de caixa, DRE gerencial, orçamento, empréstimos, indicadores e dashboard executivo.</t>
        </is>
      </c>
      <c r="C4" s="2" t="n"/>
      <c r="D4" s="2" t="n"/>
      <c r="E4" s="2" t="n"/>
    </row>
    <row r="5">
      <c r="B5" s="3">
        <f>"Hoje: "&amp;TEXT(TODAY(),"DD/MM/YYYY")&amp;"     |     Ano de análise: "&amp;'CONFIGURAÇÕES'!$B$18&amp;"     |     Mês de análise: "&amp;IF('CONFIGURAÇÕES'!$B$19=0,"ano completo",TEXT(DATE('CONFIGURAÇÕES'!$B$18,'CONFIGURAÇÕES'!$B$19,1),"MM/YYYY"))&amp;"     |     Arquivo: Excel (xlsx) e Google Sheets"</f>
        <v/>
      </c>
      <c r="C5" s="3" t="n"/>
      <c r="D5" s="3" t="n"/>
      <c r="E5" s="3" t="n"/>
    </row>
    <row r="7" ht="22" customHeight="1">
      <c r="B7" s="4" t="inlineStr">
        <is>
          <t>SITUAÇÃO ATUAL</t>
        </is>
      </c>
      <c r="C7" s="4" t="n"/>
      <c r="D7" s="4" t="n"/>
      <c r="E7" s="4" t="n"/>
    </row>
    <row r="8" ht="26" customHeight="1">
      <c r="B8" s="5" t="inlineStr">
        <is>
          <t>Saldo de caixa disponível</t>
        </is>
      </c>
      <c r="C8" s="5" t="n"/>
      <c r="D8" s="5" t="inlineStr">
        <is>
          <t>Faturamento do mês de análise</t>
        </is>
      </c>
      <c r="E8" s="5" t="n"/>
    </row>
    <row r="9" ht="28" customHeight="1">
      <c r="B9" s="6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C9" s="6" t="n"/>
      <c r="D9" s="6">
        <f>SUMIFS('LANÇAMENTOS'!$AE$6:$AE$2005,'LANÇAMENTOS'!$AF$6:$AF$2005,"Faturamento Bruto",'LANÇAMENTOS'!$AA$6:$AA$2005,'CONFIGURAÇÕES'!$B$18,'LANÇAMENTOS'!$Z$6:$Z$2005,'CONFIGURAÇÕES'!$B$19)</f>
        <v/>
      </c>
      <c r="E9" s="6" t="n"/>
    </row>
    <row r="11" ht="26" customHeight="1">
      <c r="B11" s="5" t="inlineStr">
        <is>
          <t>A receber em aberto</t>
        </is>
      </c>
      <c r="C11" s="5" t="n"/>
      <c r="D11" s="5" t="inlineStr">
        <is>
          <t>A pagar em aberto</t>
        </is>
      </c>
      <c r="E11" s="5" t="n"/>
    </row>
    <row r="12" ht="28" customHeight="1">
      <c r="B12" s="6">
        <f>SUMIFS('LANÇAMENTOS'!$W$6:$W$2005,'LANÇAMENTOS'!$E$6:$E$2005,"Entrada")</f>
        <v/>
      </c>
      <c r="C12" s="6" t="n"/>
      <c r="D12" s="6">
        <f>SUMIFS('LANÇAMENTOS'!$W$6:$W$2005,'LANÇAMENTOS'!$E$6:$E$2005,"Saída")</f>
        <v/>
      </c>
      <c r="E12" s="6" t="n"/>
    </row>
    <row r="15" ht="22" customHeight="1">
      <c r="B15" s="4" t="inlineStr">
        <is>
          <t>MENU — CLIQUE NAS TELAS ABAIXO PARA NAVEGAR</t>
        </is>
      </c>
      <c r="C15" s="4" t="n"/>
      <c r="D15" s="4" t="n"/>
      <c r="E15" s="4" t="n"/>
    </row>
    <row r="16">
      <c r="B16" s="7" t="inlineStr">
        <is>
          <t>📊 DASHBOARD</t>
        </is>
      </c>
      <c r="C16" s="7" t="n"/>
      <c r="D16" s="7" t="inlineStr">
        <is>
          <t>✍️ LANÇAR ENTRADA</t>
        </is>
      </c>
      <c r="E16" s="7" t="n"/>
    </row>
    <row r="17">
      <c r="B17" s="8" t="inlineStr">
        <is>
          <t>Visão executiva: cartões, gráficos e alertas.</t>
        </is>
      </c>
      <c r="C17" s="8" t="n"/>
      <c r="D17" s="8" t="inlineStr">
        <is>
          <t>Registre uma receita na aba LANÇAMENTOS.</t>
        </is>
      </c>
      <c r="E17" s="8" t="n"/>
    </row>
    <row r="19">
      <c r="B19" s="7" t="inlineStr">
        <is>
          <t>✍️ LANÇAR SAÍDA</t>
        </is>
      </c>
      <c r="C19" s="7" t="n"/>
      <c r="D19" s="7" t="inlineStr">
        <is>
          <t>📄 CONTAS A PAGAR</t>
        </is>
      </c>
      <c r="E19" s="7" t="n"/>
    </row>
    <row r="20">
      <c r="B20" s="8" t="inlineStr">
        <is>
          <t>Registre uma despesa na aba LANÇAMENTOS.</t>
        </is>
      </c>
      <c r="C20" s="8" t="n"/>
      <c r="D20" s="8" t="inlineStr">
        <is>
          <t>Títulos a pagar, aging e prioridades.</t>
        </is>
      </c>
      <c r="E20" s="8" t="n"/>
    </row>
    <row r="22">
      <c r="B22" s="7" t="inlineStr">
        <is>
          <t>📥 CONTAS A RECEBER</t>
        </is>
      </c>
      <c r="C22" s="7" t="n"/>
      <c r="D22" s="7" t="inlineStr">
        <is>
          <t>💧 FLUXO DE CAIXA</t>
        </is>
      </c>
      <c r="E22" s="7" t="n"/>
    </row>
    <row r="23">
      <c r="B23" s="8" t="inlineStr">
        <is>
          <t>Carteira, recebimentos e prazos.</t>
        </is>
      </c>
      <c r="C23" s="8" t="n"/>
      <c r="D23" s="8" t="inlineStr">
        <is>
          <t>Entradas, saídas, saldos e projeções.</t>
        </is>
      </c>
      <c r="E23" s="8" t="n"/>
    </row>
    <row r="25">
      <c r="B25" s="7" t="inlineStr">
        <is>
          <t>📈 DRE GERENCIAL</t>
        </is>
      </c>
      <c r="C25" s="7" t="n"/>
      <c r="D25" s="7" t="inlineStr">
        <is>
          <t>👥 CLIENTES</t>
        </is>
      </c>
      <c r="E25" s="7" t="n"/>
    </row>
    <row r="26">
      <c r="B26" s="8" t="inlineStr">
        <is>
          <t>Resultado por competência e margens.</t>
        </is>
      </c>
      <c r="C26" s="8" t="n"/>
      <c r="D26" s="8" t="inlineStr">
        <is>
          <t>Cadastro e indicadores por cliente.</t>
        </is>
      </c>
      <c r="E26" s="8" t="n"/>
    </row>
    <row r="28">
      <c r="B28" s="7" t="inlineStr">
        <is>
          <t>🏭 FORNECEDORES</t>
        </is>
      </c>
      <c r="C28" s="7" t="n"/>
      <c r="D28" s="7" t="inlineStr">
        <is>
          <t>🏦 BANCOS E CARTÕES</t>
        </is>
      </c>
      <c r="E28" s="7" t="n"/>
    </row>
    <row r="29">
      <c r="B29" s="8" t="inlineStr">
        <is>
          <t>Cadastro e indicadores por fornecedor.</t>
        </is>
      </c>
      <c r="C29" s="8" t="n"/>
      <c r="D29" s="8" t="inlineStr">
        <is>
          <t>Contas, saldos, limites e faturas.</t>
        </is>
      </c>
      <c r="E29" s="8" t="n"/>
    </row>
    <row r="31">
      <c r="B31" s="7" t="inlineStr">
        <is>
          <t>🧾 RELATÓRIOS</t>
        </is>
      </c>
      <c r="C31" s="7" t="n"/>
      <c r="D31" s="7" t="inlineStr">
        <is>
          <t>⚙️ CONFIGURAÇÕES</t>
        </is>
      </c>
      <c r="E31" s="7" t="n"/>
    </row>
    <row r="32">
      <c r="B32" s="8" t="inlineStr">
        <is>
          <t>Relatórios resumidos para imprimir.</t>
        </is>
      </c>
      <c r="C32" s="8" t="n"/>
      <c r="D32" s="8" t="inlineStr">
        <is>
          <t>Empresa, metas, parâmetros e listas.</t>
        </is>
      </c>
      <c r="E32" s="8" t="n"/>
    </row>
    <row r="34" ht="26" customHeight="1">
      <c r="B34" s="3" t="inlineStr">
        <is>
          <t>Dica: os lançamentos são a base de tudo — cadastre cliente/fornecedor e categoria antes de lançar. Todas as demais abas se atualizam sozinhas.</t>
        </is>
      </c>
      <c r="C34" s="3" t="n"/>
      <c r="D34" s="3" t="n"/>
      <c r="E34" s="3" t="n"/>
    </row>
    <row r="36" ht="22" customHeight="1">
      <c r="B36" s="4" t="inlineStr">
        <is>
          <t>COMECE POR AQUI — ROTEIRO DE 6 PASSOS</t>
        </is>
      </c>
      <c r="C36" s="4" t="n"/>
      <c r="D36" s="4" t="n"/>
      <c r="E36" s="4" t="n"/>
    </row>
    <row r="37" ht="18" customHeight="1">
      <c r="B37" s="5" t="inlineStr">
        <is>
          <t>1. Configurações</t>
        </is>
      </c>
      <c r="C37" s="9" t="inlineStr">
        <is>
          <t>Informe os dados da empresa, as metas e o ano/mês de análise. Confira as listas auxiliares que alimentam os menus suspensos.</t>
        </is>
      </c>
      <c r="D37" s="9" t="n"/>
      <c r="E37" s="9" t="n"/>
    </row>
    <row r="38" ht="18" customHeight="1">
      <c r="B38" s="5" t="inlineStr">
        <is>
          <t>2. Cadastros</t>
        </is>
      </c>
      <c r="C38" s="9" t="inlineStr">
        <is>
          <t>Cadastre clientes, fornecedores, plano de contas, centros de custo, contas bancárias e cartões.</t>
        </is>
      </c>
      <c r="D38" s="9" t="n"/>
      <c r="E38" s="9" t="n"/>
    </row>
    <row r="39" ht="18" customHeight="1">
      <c r="B39" s="5" t="inlineStr">
        <is>
          <t>3. Lançamentos</t>
        </is>
      </c>
      <c r="C39" s="9" t="inlineStr">
        <is>
          <t>Registre todas as entradas e saídas. Use os menus suspensos e preencha as células amarelas; as colunas cinzas são calculadas.</t>
        </is>
      </c>
      <c r="D39" s="9" t="n"/>
      <c r="E39" s="9" t="n"/>
    </row>
    <row r="40" ht="18" customHeight="1">
      <c r="B40" s="5" t="inlineStr">
        <is>
          <t>4. Conferência</t>
        </is>
      </c>
      <c r="C40" s="9" t="inlineStr">
        <is>
          <t>Verifique contas a pagar e a receber, a conciliação bancária e a coluna de validação dos lançamentos.</t>
        </is>
      </c>
      <c r="D40" s="9" t="n"/>
      <c r="E40" s="9" t="n"/>
    </row>
    <row r="41" ht="18" customHeight="1">
      <c r="B41" s="5" t="inlineStr">
        <is>
          <t>5. Análise</t>
        </is>
      </c>
      <c r="C41" s="9" t="inlineStr">
        <is>
          <t>Acompanhe o dashboard, o DRE, o fluxo de caixa, o orçamento e os indicadores.</t>
        </is>
      </c>
      <c r="D41" s="9" t="n"/>
      <c r="E41" s="9" t="n"/>
    </row>
    <row r="42" ht="18" customHeight="1">
      <c r="B42" s="5" t="inlineStr">
        <is>
          <t>6. Planejamento</t>
        </is>
      </c>
      <c r="C42" s="9" t="inlineStr">
        <is>
          <t>Use ponto de equilíbrio, projeção de caixa, simulador de cenários e despesas recorrentes para decidir.</t>
        </is>
      </c>
      <c r="D42" s="9" t="n"/>
      <c r="E42" s="9" t="n"/>
    </row>
    <row r="44" ht="30" customHeight="1">
      <c r="B44" s="10" t="inlineStr">
        <is>
          <t>⚠ Esta planilha acompanha DADOS DE EXEMPLO (empresa fictícia) para você testar todos os recursos. Antes de usar de verdade, apague os dados de exemplo — veja o passo a passo na aba INSTRUÇÕES.</t>
        </is>
      </c>
      <c r="C44" s="10" t="n"/>
      <c r="D44" s="10" t="n"/>
      <c r="E44" s="10" t="n"/>
    </row>
    <row r="45">
      <c r="B45" s="3" t="inlineStr">
        <is>
          <t>Versão 1.0 — 25 abas — Compatível com Microsoft Excel 2016+ e Google Sheets.</t>
        </is>
      </c>
      <c r="C45" s="3" t="n"/>
      <c r="D45" s="3" t="n"/>
      <c r="E45" s="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3">
    <mergeCell ref="D20:E20"/>
    <mergeCell ref="B16:C16"/>
    <mergeCell ref="B40"/>
    <mergeCell ref="C41:E41"/>
    <mergeCell ref="B25:C25"/>
    <mergeCell ref="D19:E19"/>
    <mergeCell ref="C40:E40"/>
    <mergeCell ref="B15:E15"/>
    <mergeCell ref="B22:C22"/>
    <mergeCell ref="B37"/>
    <mergeCell ref="D22:E22"/>
    <mergeCell ref="B5:E5"/>
    <mergeCell ref="B31:C31"/>
    <mergeCell ref="B2:E3"/>
    <mergeCell ref="D31:E31"/>
    <mergeCell ref="B36:E36"/>
    <mergeCell ref="B12:C12"/>
    <mergeCell ref="B41"/>
    <mergeCell ref="B45:E45"/>
    <mergeCell ref="B4:E4"/>
    <mergeCell ref="B11:C11"/>
    <mergeCell ref="D11:E11"/>
    <mergeCell ref="C39:E39"/>
    <mergeCell ref="B23:C23"/>
    <mergeCell ref="B7:E7"/>
    <mergeCell ref="D32:E32"/>
    <mergeCell ref="B17:C17"/>
    <mergeCell ref="D17:E17"/>
    <mergeCell ref="B8:C8"/>
    <mergeCell ref="C38:E38"/>
    <mergeCell ref="D16:E16"/>
    <mergeCell ref="B29:C29"/>
    <mergeCell ref="C37:E37"/>
    <mergeCell ref="B19:C19"/>
    <mergeCell ref="B39"/>
    <mergeCell ref="B28:C28"/>
    <mergeCell ref="D28:E28"/>
    <mergeCell ref="B42"/>
    <mergeCell ref="B9:C9"/>
    <mergeCell ref="D9:E9"/>
    <mergeCell ref="D12:E12"/>
    <mergeCell ref="D8:E8"/>
    <mergeCell ref="D25:E25"/>
    <mergeCell ref="C42:E42"/>
    <mergeCell ref="B20:C20"/>
    <mergeCell ref="D29:E29"/>
    <mergeCell ref="B44:E44"/>
    <mergeCell ref="D23:E23"/>
    <mergeCell ref="B38"/>
    <mergeCell ref="B32:C32"/>
    <mergeCell ref="B26:C26"/>
    <mergeCell ref="D26:E26"/>
    <mergeCell ref="B34:E34"/>
  </mergeCells>
  <hyperlinks>
    <hyperlink ref="B16" location="'DASHBOARD'!A1" tooltip="Abrir DASHBOARD" display="📊 DASHBOARD"/>
    <hyperlink ref="D16" location="'LANÇAMENTOS'!A1" tooltip="Abrir LANÇAMENTOS" display="✍️ LANÇAR ENTRADA"/>
    <hyperlink ref="B19" location="'LANÇAMENTOS'!A1" tooltip="Abrir LANÇAMENTOS" display="✍️ LANÇAR SAÍDA"/>
    <hyperlink ref="D19" location="'CONTAS A PAGAR'!A1" tooltip="Abrir CONTAS A PAGAR" display="📄 CONTAS A PAGAR"/>
    <hyperlink ref="B22" location="'CONTAS A RECEBER'!A1" tooltip="Abrir CONTAS A RECEBER" display="📥 CONTAS A RECEBER"/>
    <hyperlink ref="D22" location="'FLUXO DE CAIXA'!A1" tooltip="Abrir FLUXO DE CAIXA" display="💧 FLUXO DE CAIXA"/>
    <hyperlink ref="B25" location="'DRE GERENCIAL'!A1" tooltip="Abrir DRE GERENCIAL" display="📈 DRE GERENCIAL"/>
    <hyperlink ref="D25" location="'CADASTRO DE CLIENTES'!A1" tooltip="Abrir CADASTRO DE CLIENTES" display="👥 CLIENTES"/>
    <hyperlink ref="B28" location="'CADASTRO DE FORNECEDORES'!A1" tooltip="Abrir CADASTRO DE FORNECEDORES" display="🏭 FORNECEDORES"/>
    <hyperlink ref="D28" location="'CONTAS BANCÁRIAS'!A1" tooltip="Abrir CONTAS BANCÁRIAS" display="🏦 BANCOS E CARTÕES"/>
    <hyperlink ref="B31" location="'RELATÓRIOS'!A1" tooltip="Abrir RELATÓRIOS" display="🧾 RELATÓRIOS"/>
    <hyperlink ref="D31" location="'CONFIGURAÇÕES'!A1" tooltip="Abrir CONFIGURAÇÕES" display="⚙️ CONFIGURAÇÕES"/>
    <hyperlink ref="B37" location="'CONFIGURAÇÕES'!A1" tooltip="Abrir CONFIGURAÇÕES" display="1. Configurações"/>
    <hyperlink ref="B38" location="'CADASTRO DE CLIENTES'!A1" tooltip="Abrir CADASTRO DE CLIENTES" display="2. Cadastros"/>
    <hyperlink ref="B39" location="'LANÇAMENTOS'!A1" tooltip="Abrir LANÇAMENTOS" display="3. Lançamentos"/>
    <hyperlink ref="B40" location="'CONTAS A PAGAR'!A1" tooltip="Abrir CONTAS A PAGAR" display="4. Conferência"/>
    <hyperlink ref="B41" location="'DASHBOARD'!A1" tooltip="Abrir DASHBOARD" display="5. Análise"/>
    <hyperlink ref="B42" location="'PONTO DE EQUILÍBRIO'!A1" tooltip="Abrir PONTO DE EQUILÍBRIO" display="6. Planejamento"/>
  </hyperlink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Q154"/>
  <sheetViews>
    <sheetView showGridLines="0" tabSelected="0" zoomScale="85" workbookViewId="0">
      <selection activeCell="A1" sqref="A1"/>
    </sheetView>
  </sheetViews>
  <sheetFormatPr baseColWidth="8" defaultRowHeight="15"/>
  <cols>
    <col width="2.5" customWidth="1" min="1" max="1"/>
    <col width="11.6" customWidth="1" min="2" max="2"/>
    <col width="11.6" customWidth="1" min="3" max="3"/>
    <col width="11.6" customWidth="1" min="4" max="4"/>
    <col width="11.6" customWidth="1" min="5" max="5"/>
    <col width="11.6" customWidth="1" min="6" max="6"/>
    <col width="11.6" customWidth="1" min="7" max="7"/>
    <col width="11.6" customWidth="1" min="8" max="8"/>
    <col width="11.6" customWidth="1" min="9" max="9"/>
    <col width="11.6" customWidth="1" min="10" max="10"/>
    <col width="11.6" customWidth="1" min="11" max="11"/>
    <col width="11.6" customWidth="1" min="12" max="12"/>
    <col width="11.6" customWidth="1" min="13" max="13"/>
    <col width="11.6" customWidth="1" min="14" max="14"/>
    <col width="11.6" customWidth="1" min="15" max="15"/>
    <col width="11.6" customWidth="1" min="16" max="16"/>
    <col width="11.6" customWidth="1" min="17" max="17"/>
    <col width="2.5" customWidth="1" min="18" max="18"/>
  </cols>
  <sheetData>
    <row r="1" ht="26" customHeight="1">
      <c r="B1" s="1">
        <f>IF('CONFIGURAÇÕES'!$B$6="","DASHBOARD EXECUTIVO",'CONFIGURAÇÕES'!$B$6&amp;" — DASHBOARD EXECUTIVO")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B3" s="2">
        <f>"Atualizado em "&amp;TEXT(TODAY(),"DD/MM/YYYY")&amp;"   |   Ano de análise: "&amp;'CONFIGURAÇÕES'!$B$18&amp;"   |   Mês de análise: "&amp;IF('CONFIGURAÇÕES'!$B$19=0,"ano completo",TEXT(DATE('CONFIGURAÇÕES'!$B$18,'CONFIGURAÇÕES'!$B$19,1),"MM/AAAA"))&amp;"   |   Todos os valores são calculados automaticamente a partir da aba LANÇAMENTOS."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5" ht="22" customHeight="1">
      <c r="B5" s="4" t="inlineStr">
        <is>
          <t>🎛️ FILTROS — altere para analisar o período, o centro de custo, a categoria, a conta ou o tipo de operação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B6" s="11" t="inlineStr">
        <is>
          <t>Ano</t>
        </is>
      </c>
      <c r="C6" s="11" t="n"/>
      <c r="D6" s="11" t="inlineStr">
        <is>
          <t>Mês (0 = ano todo)</t>
        </is>
      </c>
      <c r="E6" s="11" t="n"/>
      <c r="F6" s="11" t="inlineStr">
        <is>
          <t>Centro de custo</t>
        </is>
      </c>
      <c r="G6" s="11" t="n"/>
      <c r="H6" s="11" t="inlineStr">
        <is>
          <t>Categoria (subcategoria)</t>
        </is>
      </c>
      <c r="I6" s="11" t="n"/>
      <c r="J6" s="11" t="inlineStr">
        <is>
          <t>Conta / cartão</t>
        </is>
      </c>
      <c r="K6" s="11" t="n"/>
      <c r="L6" s="11" t="inlineStr">
        <is>
          <t>Tipo de operação</t>
        </is>
      </c>
      <c r="M6" s="11" t="n"/>
      <c r="N6" s="12">
        <f>"Lançamentos no filtro: "&amp;TEXT($B$146,"#,##0")</f>
        <v/>
      </c>
      <c r="O6" s="12" t="n"/>
      <c r="P6" s="12" t="n"/>
      <c r="Q6" s="12" t="n"/>
    </row>
    <row r="7">
      <c r="B7" s="13">
        <f>'CONFIGURAÇÕES'!$B$18</f>
        <v/>
      </c>
      <c r="C7" s="13" t="n"/>
      <c r="D7" s="13">
        <f>'CONFIGURAÇÕES'!$B$19</f>
        <v/>
      </c>
      <c r="E7" s="13" t="n"/>
      <c r="F7" s="14" t="inlineStr">
        <is>
          <t>Todos</t>
        </is>
      </c>
      <c r="G7" s="14" t="n"/>
      <c r="H7" s="14" t="inlineStr">
        <is>
          <t>Todos</t>
        </is>
      </c>
      <c r="I7" s="14" t="n"/>
      <c r="J7" s="14" t="inlineStr">
        <is>
          <t>Todos</t>
        </is>
      </c>
      <c r="K7" s="14" t="n"/>
      <c r="L7" s="14" t="inlineStr">
        <is>
          <t>Todos</t>
        </is>
      </c>
      <c r="M7" s="14" t="n"/>
      <c r="N7" s="12" t="n"/>
      <c r="O7" s="12" t="n"/>
      <c r="P7" s="12" t="n"/>
      <c r="Q7" s="12" t="n"/>
    </row>
    <row r="10" ht="22" customHeight="1">
      <c r="B10" s="4" t="inlineStr">
        <is>
          <t>📌 INDICADORES PRINCIPAIS DO PERÍODO FILTRADO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26" customHeight="1">
      <c r="B11" s="5" t="inlineStr">
        <is>
          <t>Faturamento do período</t>
        </is>
      </c>
      <c r="C11" s="5" t="n"/>
      <c r="D11" s="5" t="inlineStr">
        <is>
          <t>Lucro líquido do período</t>
        </is>
      </c>
      <c r="E11" s="5" t="n"/>
      <c r="F11" s="5" t="inlineStr">
        <is>
          <t>Margem líquida</t>
        </is>
      </c>
      <c r="G11" s="5" t="n"/>
      <c r="H11" s="5" t="inlineStr">
        <is>
          <t>Saldo de caixa hoje</t>
        </is>
      </c>
      <c r="I11" s="5" t="n"/>
      <c r="J11" s="5" t="inlineStr">
        <is>
          <t>A receber em aberto</t>
        </is>
      </c>
      <c r="K11" s="5" t="n"/>
      <c r="L11" s="5" t="inlineStr">
        <is>
          <t>A pagar em aberto</t>
        </is>
      </c>
      <c r="M11" s="5" t="n"/>
      <c r="N11" s="5" t="inlineStr">
        <is>
          <t>Vencido a receber</t>
        </is>
      </c>
      <c r="O11" s="5" t="n"/>
      <c r="P11" s="5" t="inlineStr">
        <is>
          <t>Vencido a pagar</t>
        </is>
      </c>
      <c r="Q11" s="5" t="n"/>
    </row>
    <row r="12" ht="28" customHeight="1">
      <c r="B12" s="6">
        <f>$B$131</f>
        <v/>
      </c>
      <c r="C12" s="6" t="n"/>
      <c r="D12" s="6">
        <f>$B$140</f>
        <v/>
      </c>
      <c r="E12" s="6" t="n"/>
      <c r="F12" s="15">
        <f>$B$141</f>
        <v/>
      </c>
      <c r="G12" s="15" t="n"/>
      <c r="H12" s="6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I12" s="6" t="n"/>
      <c r="J12" s="6">
        <f>$B$147</f>
        <v/>
      </c>
      <c r="K12" s="6" t="n"/>
      <c r="L12" s="6">
        <f>$B$148</f>
        <v/>
      </c>
      <c r="M12" s="6" t="n"/>
      <c r="N12" s="6">
        <f>$B$149</f>
        <v/>
      </c>
      <c r="O12" s="6" t="n"/>
      <c r="P12" s="6">
        <f>$B$150</f>
        <v/>
      </c>
      <c r="Q12" s="6" t="n"/>
    </row>
    <row r="13" ht="26" customHeight="1">
      <c r="B13" s="5" t="inlineStr">
        <is>
          <t>Entradas de caixa do período</t>
        </is>
      </c>
      <c r="C13" s="5" t="n"/>
      <c r="D13" s="5" t="inlineStr">
        <is>
          <t>Saídas de caixa do período</t>
        </is>
      </c>
      <c r="E13" s="5" t="n"/>
      <c r="F13" s="5" t="inlineStr">
        <is>
          <t>Geração de caixa do período</t>
        </is>
      </c>
      <c r="G13" s="5" t="n"/>
      <c r="H13" s="5" t="inlineStr">
        <is>
          <t>Orçado no período</t>
        </is>
      </c>
      <c r="I13" s="5" t="n"/>
      <c r="J13" s="5" t="inlineStr">
        <is>
          <t>Realizado no período</t>
        </is>
      </c>
      <c r="K13" s="5" t="n"/>
      <c r="L13" s="5" t="inlineStr">
        <is>
          <t>Consumo do orçamento</t>
        </is>
      </c>
      <c r="M13" s="5" t="n"/>
      <c r="N13" s="5" t="inlineStr">
        <is>
          <t>Margem de contribuição</t>
        </is>
      </c>
      <c r="O13" s="5" t="n"/>
      <c r="P13" s="5" t="inlineStr">
        <is>
          <t>Lançamentos no filtro</t>
        </is>
      </c>
      <c r="Q13" s="5" t="n"/>
    </row>
    <row r="14" ht="28" customHeight="1">
      <c r="B14" s="6">
        <f>$B$142</f>
        <v/>
      </c>
      <c r="C14" s="6" t="n"/>
      <c r="D14" s="6">
        <f>$B$143</f>
        <v/>
      </c>
      <c r="E14" s="6" t="n"/>
      <c r="F14" s="6">
        <f>$B$144</f>
        <v/>
      </c>
      <c r="G14" s="6" t="n"/>
      <c r="H14" s="6">
        <f>$B$151</f>
        <v/>
      </c>
      <c r="I14" s="6" t="n"/>
      <c r="J14" s="6">
        <f>$B$152</f>
        <v/>
      </c>
      <c r="K14" s="6" t="n"/>
      <c r="L14" s="15">
        <f>$B$153</f>
        <v/>
      </c>
      <c r="M14" s="15" t="n"/>
      <c r="N14" s="15">
        <f>$B$139</f>
        <v/>
      </c>
      <c r="O14" s="15" t="n"/>
      <c r="P14" s="16">
        <f>$B$146</f>
        <v/>
      </c>
      <c r="Q14" s="16" t="n"/>
    </row>
    <row r="16" ht="22" customHeight="1">
      <c r="B16" s="4" t="inlineStr">
        <is>
          <t>🔔 ATENÇÃO DO GESTOR — SITUAÇÕES QUE EXIGEM DECISÃO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18" customHeight="1">
      <c r="B17" s="10">
        <f>'INDICADORES'!$A$7</f>
        <v/>
      </c>
      <c r="C17" s="10" t="n"/>
      <c r="D17" s="10" t="n"/>
      <c r="E17" s="10" t="n"/>
      <c r="F17" s="10" t="n"/>
      <c r="G17" s="10" t="n"/>
      <c r="H17" s="10" t="n"/>
      <c r="I17" s="17">
        <f>'INDICADORES'!$B$7</f>
        <v/>
      </c>
      <c r="J17" s="17" t="n"/>
      <c r="K17" s="17" t="n"/>
      <c r="L17" s="18">
        <f>'INDICADORES'!$C$7</f>
        <v/>
      </c>
      <c r="M17" s="18" t="n"/>
      <c r="N17" s="10">
        <f>'INDICADORES'!$A$16</f>
        <v/>
      </c>
      <c r="O17" s="10" t="n"/>
      <c r="P17" s="10" t="n"/>
      <c r="Q17" s="19">
        <f>'INDICADORES'!$B$16</f>
        <v/>
      </c>
    </row>
    <row r="18" ht="18" customHeight="1">
      <c r="B18" s="10">
        <f>'INDICADORES'!$A$8</f>
        <v/>
      </c>
      <c r="C18" s="10" t="n"/>
      <c r="D18" s="10" t="n"/>
      <c r="E18" s="10" t="n"/>
      <c r="F18" s="10" t="n"/>
      <c r="G18" s="10" t="n"/>
      <c r="H18" s="10" t="n"/>
      <c r="I18" s="17">
        <f>'INDICADORES'!$B$8</f>
        <v/>
      </c>
      <c r="J18" s="17" t="n"/>
      <c r="K18" s="17" t="n"/>
      <c r="L18" s="18">
        <f>'INDICADORES'!$C$8</f>
        <v/>
      </c>
      <c r="M18" s="18" t="n"/>
      <c r="N18" s="10">
        <f>'INDICADORES'!$A$17</f>
        <v/>
      </c>
      <c r="O18" s="10" t="n"/>
      <c r="P18" s="10" t="n"/>
      <c r="Q18" s="19">
        <f>'INDICADORES'!$B$17</f>
        <v/>
      </c>
    </row>
    <row r="19" ht="18" customHeight="1">
      <c r="B19" s="10">
        <f>'INDICADORES'!$A$9</f>
        <v/>
      </c>
      <c r="C19" s="10" t="n"/>
      <c r="D19" s="10" t="n"/>
      <c r="E19" s="10" t="n"/>
      <c r="F19" s="10" t="n"/>
      <c r="G19" s="10" t="n"/>
      <c r="H19" s="10" t="n"/>
      <c r="I19" s="17">
        <f>'INDICADORES'!$B$9</f>
        <v/>
      </c>
      <c r="J19" s="17" t="n"/>
      <c r="K19" s="17" t="n"/>
      <c r="L19" s="18">
        <f>'INDICADORES'!$C$9</f>
        <v/>
      </c>
      <c r="M19" s="18" t="n"/>
      <c r="N19" s="10">
        <f>'INDICADORES'!$A$18</f>
        <v/>
      </c>
      <c r="O19" s="10" t="n"/>
      <c r="P19" s="10" t="n"/>
      <c r="Q19" s="19">
        <f>'INDICADORES'!$B$18</f>
        <v/>
      </c>
    </row>
    <row r="20" ht="18" customHeight="1">
      <c r="B20" s="10">
        <f>'INDICADORES'!$A$10</f>
        <v/>
      </c>
      <c r="C20" s="10" t="n"/>
      <c r="D20" s="10" t="n"/>
      <c r="E20" s="10" t="n"/>
      <c r="F20" s="10" t="n"/>
      <c r="G20" s="10" t="n"/>
      <c r="H20" s="10" t="n"/>
      <c r="I20" s="17">
        <f>'INDICADORES'!$B$10</f>
        <v/>
      </c>
      <c r="J20" s="17" t="n"/>
      <c r="K20" s="17" t="n"/>
      <c r="L20" s="18">
        <f>'INDICADORES'!$C$10</f>
        <v/>
      </c>
      <c r="M20" s="18" t="n"/>
      <c r="N20" s="10">
        <f>'INDICADORES'!$A$19</f>
        <v/>
      </c>
      <c r="O20" s="10" t="n"/>
      <c r="P20" s="10" t="n"/>
      <c r="Q20" s="19">
        <f>'INDICADORES'!$B$19</f>
        <v/>
      </c>
    </row>
    <row r="21" ht="18" customHeight="1">
      <c r="B21" s="10">
        <f>'INDICADORES'!$A$11</f>
        <v/>
      </c>
      <c r="C21" s="10" t="n"/>
      <c r="D21" s="10" t="n"/>
      <c r="E21" s="10" t="n"/>
      <c r="F21" s="10" t="n"/>
      <c r="G21" s="10" t="n"/>
      <c r="H21" s="10" t="n"/>
      <c r="I21" s="17">
        <f>'INDICADORES'!$B$11</f>
        <v/>
      </c>
      <c r="J21" s="17" t="n"/>
      <c r="K21" s="17" t="n"/>
      <c r="L21" s="18">
        <f>'INDICADORES'!$C$11</f>
        <v/>
      </c>
      <c r="M21" s="18" t="n"/>
      <c r="N21" s="10">
        <f>'INDICADORES'!$A$20</f>
        <v/>
      </c>
      <c r="O21" s="10" t="n"/>
      <c r="P21" s="10" t="n"/>
      <c r="Q21" s="19">
        <f>'INDICADORES'!$B$20</f>
        <v/>
      </c>
    </row>
    <row r="22" ht="18" customHeight="1">
      <c r="B22" s="10">
        <f>'INDICADORES'!$A$12</f>
        <v/>
      </c>
      <c r="C22" s="10" t="n"/>
      <c r="D22" s="10" t="n"/>
      <c r="E22" s="10" t="n"/>
      <c r="F22" s="10" t="n"/>
      <c r="G22" s="10" t="n"/>
      <c r="H22" s="10" t="n"/>
      <c r="I22" s="17">
        <f>'INDICADORES'!$B$12</f>
        <v/>
      </c>
      <c r="J22" s="17" t="n"/>
      <c r="K22" s="17" t="n"/>
      <c r="L22" s="18">
        <f>'INDICADORES'!$C$12</f>
        <v/>
      </c>
      <c r="M22" s="18" t="n"/>
      <c r="N22" s="10">
        <f>'INDICADORES'!$A$21</f>
        <v/>
      </c>
      <c r="O22" s="10" t="n"/>
      <c r="P22" s="10" t="n"/>
      <c r="Q22" s="19">
        <f>'INDICADORES'!$B$21</f>
        <v/>
      </c>
    </row>
    <row r="23" ht="18" customHeight="1">
      <c r="B23" s="10">
        <f>'INDICADORES'!$A$13</f>
        <v/>
      </c>
      <c r="C23" s="10" t="n"/>
      <c r="D23" s="10" t="n"/>
      <c r="E23" s="10" t="n"/>
      <c r="F23" s="10" t="n"/>
      <c r="G23" s="10" t="n"/>
      <c r="H23" s="10" t="n"/>
      <c r="I23" s="17">
        <f>'INDICADORES'!$B$13</f>
        <v/>
      </c>
      <c r="J23" s="17" t="n"/>
      <c r="K23" s="17" t="n"/>
      <c r="L23" s="18">
        <f>'INDICADORES'!$C$13</f>
        <v/>
      </c>
      <c r="M23" s="18" t="n"/>
      <c r="N23" s="10">
        <f>'INDICADORES'!$A$22</f>
        <v/>
      </c>
      <c r="O23" s="10" t="n"/>
      <c r="P23" s="10" t="n"/>
      <c r="Q23" s="19">
        <f>'INDICADORES'!$B$22</f>
        <v/>
      </c>
    </row>
    <row r="24" ht="18" customHeight="1">
      <c r="B24" s="10">
        <f>'INDICADORES'!$A$14</f>
        <v/>
      </c>
      <c r="C24" s="10" t="n"/>
      <c r="D24" s="10" t="n"/>
      <c r="E24" s="10" t="n"/>
      <c r="F24" s="10" t="n"/>
      <c r="G24" s="10" t="n"/>
      <c r="H24" s="10" t="n"/>
      <c r="I24" s="17">
        <f>'INDICADORES'!$B$14</f>
        <v/>
      </c>
      <c r="J24" s="17" t="n"/>
      <c r="K24" s="17" t="n"/>
      <c r="L24" s="18">
        <f>'INDICADORES'!$C$14</f>
        <v/>
      </c>
      <c r="M24" s="18" t="n"/>
      <c r="N24" s="10">
        <f>'INDICADORES'!$A$23</f>
        <v/>
      </c>
      <c r="O24" s="10" t="n"/>
      <c r="P24" s="10" t="n"/>
      <c r="Q24" s="19">
        <f>'INDICADORES'!$B$23</f>
        <v/>
      </c>
    </row>
    <row r="25" ht="18" customHeight="1">
      <c r="B25" s="10">
        <f>'INDICADORES'!$A$15</f>
        <v/>
      </c>
      <c r="C25" s="10" t="n"/>
      <c r="D25" s="10" t="n"/>
      <c r="E25" s="10" t="n"/>
      <c r="F25" s="10" t="n"/>
      <c r="G25" s="10" t="n"/>
      <c r="H25" s="10" t="n"/>
      <c r="I25" s="17">
        <f>'INDICADORES'!$B$15</f>
        <v/>
      </c>
      <c r="J25" s="17" t="n"/>
      <c r="K25" s="17" t="n"/>
      <c r="L25" s="18">
        <f>'INDICADORES'!$C$15</f>
        <v/>
      </c>
      <c r="M25" s="18" t="n"/>
      <c r="N25" s="10">
        <f>'INDICADORES'!$A$24</f>
        <v/>
      </c>
      <c r="O25" s="10" t="n"/>
      <c r="P25" s="10" t="n"/>
      <c r="Q25" s="19">
        <f>'INDICADORES'!$B$24</f>
        <v/>
      </c>
    </row>
    <row r="26">
      <c r="B26" s="3" t="inlineStr">
        <is>
          <t>Painel completo com as 18 verificações, valores de referência e ações recomendadas na aba INDICADORES (bloco ATENÇÃO DO GESTOR).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 ht="22" customHeight="1">
      <c r="B27" s="4" t="inlineStr">
        <is>
          <t>📋 RESUMO EXECUTIVO DO PERÍODO FILTRADO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B28" s="5" t="inlineStr">
        <is>
          <t>Faturamento do período</t>
        </is>
      </c>
      <c r="C28" s="5" t="n"/>
      <c r="D28" s="6">
        <f>$B$131</f>
        <v/>
      </c>
      <c r="E28" s="6" t="n"/>
      <c r="F28" s="5" t="inlineStr">
        <is>
          <t>Impostos e devoluções</t>
        </is>
      </c>
      <c r="G28" s="5" t="n"/>
      <c r="H28" s="6">
        <f>$B$132</f>
        <v/>
      </c>
      <c r="I28" s="6" t="n"/>
      <c r="J28" s="5" t="inlineStr">
        <is>
          <t>Receita líquida</t>
        </is>
      </c>
      <c r="K28" s="5" t="n"/>
      <c r="L28" s="6">
        <f>$B$136</f>
        <v/>
      </c>
      <c r="M28" s="6" t="n"/>
      <c r="N28" s="5" t="inlineStr">
        <is>
          <t>Custos variáveis</t>
        </is>
      </c>
      <c r="O28" s="5" t="n"/>
      <c r="P28" s="6">
        <f>$B$133</f>
        <v/>
      </c>
      <c r="Q28" s="6" t="n"/>
    </row>
    <row r="29">
      <c r="B29" s="5" t="inlineStr">
        <is>
          <t>Despesas fixas</t>
        </is>
      </c>
      <c r="C29" s="5" t="n"/>
      <c r="D29" s="6">
        <f>$B$134</f>
        <v/>
      </c>
      <c r="E29" s="6" t="n"/>
      <c r="F29" s="5" t="inlineStr">
        <is>
          <t>Despesas financeiras</t>
        </is>
      </c>
      <c r="G29" s="5" t="n"/>
      <c r="H29" s="6">
        <f>$B$135</f>
        <v/>
      </c>
      <c r="I29" s="6" t="n"/>
      <c r="J29" s="5" t="inlineStr">
        <is>
          <t>Impostos sobre o lucro</t>
        </is>
      </c>
      <c r="K29" s="5" t="n"/>
      <c r="L29" s="6">
        <f>$B$138</f>
        <v/>
      </c>
      <c r="M29" s="6" t="n"/>
      <c r="N29" s="5" t="inlineStr">
        <is>
          <t>Lucro líquido</t>
        </is>
      </c>
      <c r="O29" s="5" t="n"/>
      <c r="P29" s="6">
        <f>$B$140</f>
        <v/>
      </c>
      <c r="Q29" s="6" t="n"/>
    </row>
    <row r="31" ht="22" customHeight="1">
      <c r="B31" s="4" t="inlineStr">
        <is>
          <t>📈 GRÁFICOS GERENCIAIS — atualizam automaticamente com os lançamentos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128" ht="20" customHeight="1">
      <c r="B128" s="20" t="inlineStr">
        <is>
          <t>ÁREA DE APOIO — CÁLCULOS DO DASHBOARD (não editar; os cartões acima referenciam estas células)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 ht="30" customHeight="1">
      <c r="B129" s="21" t="inlineStr">
        <is>
          <t>Valor calculado</t>
        </is>
      </c>
      <c r="C129" s="21" t="inlineStr">
        <is>
          <t>Linha calculada (base dos cartões acima)</t>
        </is>
      </c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</row>
    <row r="131">
      <c r="B131" s="18">
        <f>SUMIFS('LANÇAMENTOS'!$AE$6:$AE$2005,'LANÇAMENTOS'!$AF$6:$AF$2005,"Faturamento Bruto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1" s="22" t="inlineStr">
        <is>
          <t>Faturamento do período</t>
        </is>
      </c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</row>
    <row r="132">
      <c r="B132" s="18">
        <f>SUMIFS('LANÇAMENTOS'!$AE$6:$AE$2005,'LANÇAMENTOS'!$AF$6:$AF$2005,"Impostos sobre Venda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+SUMIFS('LANÇAMENTOS'!$AE$6:$AE$2005,'LANÇAMENTOS'!$AF$6:$AF$2005,"Devoluçõe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2" s="22" t="inlineStr">
        <is>
          <t>Impostos e devoluções</t>
        </is>
      </c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</row>
    <row r="133">
      <c r="B133" s="18">
        <f>SUMIFS('LANÇAMENTOS'!$AE$6:$AE$2005,'LANÇAMENTOS'!$AF$6:$AF$2005,"Custos Variávei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3" s="22" t="inlineStr">
        <is>
          <t>Custos variáveis</t>
        </is>
      </c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</row>
    <row r="134">
      <c r="B134" s="18">
        <f>SUMIFS('LANÇAMENTOS'!$AE$6:$AE$2005,'LANÇAMENTOS'!$AF$6:$AF$2005,"Despesas Fixa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4" s="22" t="inlineStr">
        <is>
          <t>Despesas fixas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</row>
    <row r="135">
      <c r="B135" s="18">
        <f>SUMIFS('LANÇAMENTOS'!$AE$6:$AE$2005,'LANÇAMENTOS'!$AF$6:$AF$2005,"Despesas Financeira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5" s="22" t="inlineStr">
        <is>
          <t>Despesas financeiras</t>
        </is>
      </c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</row>
    <row r="136">
      <c r="B136" s="18">
        <f>$B$131-$B$132</f>
        <v/>
      </c>
      <c r="C136" s="22" t="inlineStr">
        <is>
          <t>Receita líquida</t>
        </is>
      </c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</row>
    <row r="137">
      <c r="B137" s="18">
        <f>SUMIFS('LANÇAMENTOS'!$AE$6:$AE$2005,'LANÇAMENTOS'!$AF$6:$AF$2005,"Receitas Financeira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+SUMIFS('LANÇAMENTOS'!$AE$6:$AE$2005,'LANÇAMENTOS'!$AF$6:$AF$2005,"Outras Receitas Operacionais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7" s="22" t="inlineStr">
        <is>
          <t>Receitas financeiras e outras</t>
        </is>
      </c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</row>
    <row r="138">
      <c r="B138" s="18">
        <f>SUMIFS('LANÇAMENTOS'!$AE$6:$AE$2005,'LANÇAMENTOS'!$AF$6:$AF$2005,"Impostos sobre o Resultado",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38" s="22" t="inlineStr">
        <is>
          <t>Impostos sobre o lucro</t>
        </is>
      </c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</row>
    <row r="139">
      <c r="B139" s="23">
        <f>IFERROR(($B$136-$B$133)/$B$136,"")</f>
        <v/>
      </c>
      <c r="C139" s="22" t="inlineStr">
        <is>
          <t>Margem de contribuição %</t>
        </is>
      </c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</row>
    <row r="140">
      <c r="B140" s="18">
        <f>$B$136-$B$133-$B$134-$B$135+$B$137-$B$138</f>
        <v/>
      </c>
      <c r="C140" s="22" t="inlineStr">
        <is>
          <t>Lucro líquido</t>
        </is>
      </c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</row>
    <row r="141">
      <c r="B141" s="23">
        <f>IFERROR($B$140/$B$136,"")</f>
        <v/>
      </c>
      <c r="C141" s="22" t="inlineStr">
        <is>
          <t>Margem líquida %</t>
        </is>
      </c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</row>
    <row r="142">
      <c r="B142" s="18">
        <f>SUMIFS('LANÇAMENTOS'!$V$6:$V$2005,'LANÇAMENTOS'!$E$6:$E$2005,"Entrada",'LANÇAMENTOS'!$D$6:$D$2005,"&gt;="&amp;DATE($B$7,IF($D$7=0,1,$D$7),1),'LANÇAMENTOS'!$D$6:$D$2005,"&lt;="&amp;IF($D$7=0,DATE($B$7,12,31),EOMONTH(DATE($B$7,$D$7,1),0)),'LANÇAMENTOS'!$H$6:$H$2005,IF($F$7="Todos","*",$F$7),'LANÇAMENTOS'!$G$6:$G$2005,IF($H$7="Todos","*",$H$7),'LANÇAMENTOS'!$L$6:$L$2005,IF($J$7="Todos","*",$J$7))</f>
        <v/>
      </c>
      <c r="C142" s="22" t="inlineStr">
        <is>
          <t>Entradas de caixa</t>
        </is>
      </c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</row>
    <row r="143">
      <c r="B143" s="18">
        <f>SUMIFS('LANÇAMENTOS'!$V$6:$V$2005,'LANÇAMENTOS'!$E$6:$E$2005,"Saída",'LANÇAMENTOS'!$D$6:$D$2005,"&gt;="&amp;DATE($B$7,IF($D$7=0,1,$D$7),1),'LANÇAMENTOS'!$D$6:$D$2005,"&lt;="&amp;IF($D$7=0,DATE($B$7,12,31),EOMONTH(DATE($B$7,$D$7,1),0)),'LANÇAMENTOS'!$H$6:$H$2005,IF($F$7="Todos","*",$F$7),'LANÇAMENTOS'!$G$6:$G$2005,IF($H$7="Todos","*",$H$7),'LANÇAMENTOS'!$L$6:$L$2005,IF($J$7="Todos","*",$J$7))</f>
        <v/>
      </c>
      <c r="C143" s="22" t="inlineStr">
        <is>
          <t>Saídas de caixa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</row>
    <row r="144">
      <c r="B144" s="18">
        <f>$B$142-$B$143</f>
        <v/>
      </c>
      <c r="C144" s="22" t="inlineStr">
        <is>
          <t>Geração de caixa</t>
        </is>
      </c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</row>
    <row r="145">
      <c r="B145" s="23">
        <f>$B$136-$B$133</f>
        <v/>
      </c>
      <c r="C145" s="22" t="inlineStr">
        <is>
          <t>Margem de contribuição (R$)</t>
        </is>
      </c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</row>
    <row r="146">
      <c r="B146" s="24">
        <f>COUNTIFS('LANÇAMENTOS'!$AA$6:$AA$2005,$B$7,'LANÇAMENTOS'!$Z$6:$Z$2005,IF($D$7=0,"&gt;0",$D$7),'LANÇAMENTOS'!$H$6:$H$2005,IF($F$7="Todos","*",$F$7),'LANÇAMENTOS'!$G$6:$G$2005,IF($H$7="Todos","*",$H$7),'LANÇAMENTOS'!$L$6:$L$2005,IF($J$7="Todos","*",$J$7),'LANÇAMENTOS'!$E$6:$E$2005,IF($L$7="Todos","*",$L$7))</f>
        <v/>
      </c>
      <c r="C146" s="22" t="inlineStr">
        <is>
          <t>Lançamentos no filtro</t>
        </is>
      </c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</row>
    <row r="147">
      <c r="B147" s="18">
        <f>SUMIFS('LANÇAMENTOS'!$W$6:$W$2005,'LANÇAMENTOS'!$E$6:$E$2005,"Entrada",'LANÇAMENTOS'!$G$6:$G$2005,IF($H$7="Todos","*",$H$7),'LANÇAMENTOS'!$L$6:$L$2005,IF($J$7="Todos","*",$J$7),'LANÇAMENTOS'!$H$6:$H$2005,IF($F$7="Todos","*",$F$7))</f>
        <v/>
      </c>
      <c r="C147" s="22" t="inlineStr">
        <is>
          <t>A receber em aberto</t>
        </is>
      </c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</row>
    <row r="148">
      <c r="B148" s="18">
        <f>SUMIFS('LANÇAMENTOS'!$W$6:$W$2005,'LANÇAMENTOS'!$E$6:$E$2005,"Saída",'LANÇAMENTOS'!$G$6:$G$2005,IF($H$7="Todos","*",$H$7),'LANÇAMENTOS'!$L$6:$L$2005,IF($J$7="Todos","*",$J$7),'LANÇAMENTOS'!$H$6:$H$2005,IF($F$7="Todos","*",$F$7))</f>
        <v/>
      </c>
      <c r="C148" s="22" t="inlineStr">
        <is>
          <t>A pagar em aberto</t>
        </is>
      </c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</row>
    <row r="149">
      <c r="B149" s="18">
        <f>SUMIFS('LANÇAMENTOS'!$W$6:$W$2005,'LANÇAMENTOS'!$E$6:$E$2005,"Entrada",'LANÇAMENTOS'!$W$6:$W$2005,"&gt;0",'LANÇAMENTOS'!$C$6:$C$2005,"&lt;"&amp;TODAY(),'LANÇAMENTOS'!$G$6:$G$2005,IF($H$7="Todos","*",$H$7))</f>
        <v/>
      </c>
      <c r="C149" s="22" t="inlineStr">
        <is>
          <t>Vencido a receber (títulos em atraso)</t>
        </is>
      </c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</row>
    <row r="150">
      <c r="B150" s="18">
        <f>SUMIFS('LANÇAMENTOS'!$W$6:$W$2005,'LANÇAMENTOS'!$E$6:$E$2005,"Saída",'LANÇAMENTOS'!$W$6:$W$2005,"&gt;0",'LANÇAMENTOS'!$C$6:$C$2005,"&lt;"&amp;TODAY(),'LANÇAMENTOS'!$G$6:$G$2005,IF($H$7="Todos","*",$H$7))</f>
        <v/>
      </c>
      <c r="C150" s="22" t="inlineStr">
        <is>
          <t>Vencido a pagar (títulos em atraso)</t>
        </is>
      </c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</row>
    <row r="151">
      <c r="B151" s="18">
        <f>IF($D$7=0,IFERROR(SUM('ORÇAMENTO X REALIZADO'!$O$7:$O$85),0),SUMIF('ORÇAMENTO X REALIZADO'!$B$48:$M$48,$D$7,'ORÇAMENTO X REALIZADO'!$B$49:$M$49))</f>
        <v/>
      </c>
      <c r="C151" s="22" t="inlineStr">
        <is>
          <t>Orçado no período</t>
        </is>
      </c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</row>
    <row r="152">
      <c r="B152" s="18">
        <f>IF($D$7=0,IFERROR(SUM('ORÇAMENTO X REALIZADO'!$AB$7:$AB$85),0),SUMIF('ORÇAMENTO X REALIZADO'!$B$48:$M$48,$D$7,'ORÇAMENTO X REALIZADO'!$B$50:$M$50))</f>
        <v/>
      </c>
      <c r="C152" s="22" t="inlineStr">
        <is>
          <t>Realizado no período</t>
        </is>
      </c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</row>
    <row r="153">
      <c r="B153" s="23">
        <f>IFERROR($B$152/$B$151,"")</f>
        <v/>
      </c>
      <c r="C153" s="22" t="inlineStr">
        <is>
          <t>Consumo do orçamento (%)</t>
        </is>
      </c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</row>
    <row r="154">
      <c r="B154" s="25" t="inlineStr">
        <is>
          <t>Os cartões usam exatamente estas células. Filtros: ano (B7), mês (D7, 0 = ano todo), centro de custo (F7), categoria (H7), conta (J7) e tipo (L7) — use 'Todos' para não filtrar.</t>
        </is>
      </c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40">
    <mergeCell ref="L17:M17"/>
    <mergeCell ref="N11:O11"/>
    <mergeCell ref="F29:G29"/>
    <mergeCell ref="C143:Q143"/>
    <mergeCell ref="N17:P17"/>
    <mergeCell ref="B24:H24"/>
    <mergeCell ref="L19:M19"/>
    <mergeCell ref="J28:K28"/>
    <mergeCell ref="C133:Q133"/>
    <mergeCell ref="L28:M28"/>
    <mergeCell ref="B12:C12"/>
    <mergeCell ref="D6:E6"/>
    <mergeCell ref="I24:K24"/>
    <mergeCell ref="L12:M12"/>
    <mergeCell ref="N19:P19"/>
    <mergeCell ref="N12:O12"/>
    <mergeCell ref="D13:E13"/>
    <mergeCell ref="Q25"/>
    <mergeCell ref="B26:Q26"/>
    <mergeCell ref="B154:Q154"/>
    <mergeCell ref="B14:C14"/>
    <mergeCell ref="I17:K17"/>
    <mergeCell ref="C150:Q150"/>
    <mergeCell ref="B25:H25"/>
    <mergeCell ref="B16:Q16"/>
    <mergeCell ref="L14:M14"/>
    <mergeCell ref="Q24"/>
    <mergeCell ref="N14:O14"/>
    <mergeCell ref="C153:Q153"/>
    <mergeCell ref="B3:Q3"/>
    <mergeCell ref="B13:C13"/>
    <mergeCell ref="L29:M29"/>
    <mergeCell ref="D7:E7"/>
    <mergeCell ref="B18:H18"/>
    <mergeCell ref="N29:O29"/>
    <mergeCell ref="B27:Q27"/>
    <mergeCell ref="C131:Q131"/>
    <mergeCell ref="F13:G13"/>
    <mergeCell ref="P13:Q13"/>
    <mergeCell ref="N6:Q7"/>
    <mergeCell ref="H13:I13"/>
    <mergeCell ref="C145:Q145"/>
    <mergeCell ref="Q19"/>
    <mergeCell ref="L21:M21"/>
    <mergeCell ref="Q22"/>
    <mergeCell ref="L7:M7"/>
    <mergeCell ref="I22:K22"/>
    <mergeCell ref="N18:P18"/>
    <mergeCell ref="F6:G6"/>
    <mergeCell ref="I21:K21"/>
    <mergeCell ref="B11:C11"/>
    <mergeCell ref="D11:E11"/>
    <mergeCell ref="I23:K23"/>
    <mergeCell ref="P11:Q11"/>
    <mergeCell ref="C135:Q135"/>
    <mergeCell ref="C144:Q144"/>
    <mergeCell ref="B1:Q2"/>
    <mergeCell ref="H11:I11"/>
    <mergeCell ref="Q18"/>
    <mergeCell ref="J11:K11"/>
    <mergeCell ref="B29:C29"/>
    <mergeCell ref="L20:M20"/>
    <mergeCell ref="N28:O28"/>
    <mergeCell ref="F28:G28"/>
    <mergeCell ref="P28:Q28"/>
    <mergeCell ref="H28:I28"/>
    <mergeCell ref="N20:P20"/>
    <mergeCell ref="N13:O13"/>
    <mergeCell ref="L22:M22"/>
    <mergeCell ref="C136:Q136"/>
    <mergeCell ref="B6:C6"/>
    <mergeCell ref="H12:I12"/>
    <mergeCell ref="J12:K12"/>
    <mergeCell ref="B17:H17"/>
    <mergeCell ref="L6:M6"/>
    <mergeCell ref="D29:E29"/>
    <mergeCell ref="N22:P22"/>
    <mergeCell ref="P14:Q14"/>
    <mergeCell ref="H14:I14"/>
    <mergeCell ref="B19:H19"/>
    <mergeCell ref="N21:P21"/>
    <mergeCell ref="I25:K25"/>
    <mergeCell ref="C147:Q147"/>
    <mergeCell ref="J29:K29"/>
    <mergeCell ref="B7:C7"/>
    <mergeCell ref="C137:Q137"/>
    <mergeCell ref="Q17"/>
    <mergeCell ref="C134:Q134"/>
    <mergeCell ref="C146:Q146"/>
    <mergeCell ref="N23:P23"/>
    <mergeCell ref="B20:H20"/>
    <mergeCell ref="F7:G7"/>
    <mergeCell ref="B5:Q5"/>
    <mergeCell ref="C139:Q139"/>
    <mergeCell ref="C148:Q148"/>
    <mergeCell ref="L24:M24"/>
    <mergeCell ref="C138:Q138"/>
    <mergeCell ref="L18:M18"/>
    <mergeCell ref="C132:Q132"/>
    <mergeCell ref="Q21"/>
    <mergeCell ref="I20:K20"/>
    <mergeCell ref="C149:Q149"/>
    <mergeCell ref="B21:H21"/>
    <mergeCell ref="B28:C28"/>
    <mergeCell ref="L25:M25"/>
    <mergeCell ref="D28:E28"/>
    <mergeCell ref="D12:E12"/>
    <mergeCell ref="B23:H23"/>
    <mergeCell ref="N25:P25"/>
    <mergeCell ref="P12:Q12"/>
    <mergeCell ref="L11:M11"/>
    <mergeCell ref="D14:E14"/>
    <mergeCell ref="F14:G14"/>
    <mergeCell ref="B128:Q128"/>
    <mergeCell ref="B10:Q10"/>
    <mergeCell ref="F11:G11"/>
    <mergeCell ref="C152:Q152"/>
    <mergeCell ref="P29:Q29"/>
    <mergeCell ref="H29:I29"/>
    <mergeCell ref="J14:K14"/>
    <mergeCell ref="C142:Q142"/>
    <mergeCell ref="I18:K18"/>
    <mergeCell ref="C129:Q129"/>
    <mergeCell ref="J13:K13"/>
    <mergeCell ref="L13:M13"/>
    <mergeCell ref="F12:G12"/>
    <mergeCell ref="H6:I6"/>
    <mergeCell ref="J6:K6"/>
    <mergeCell ref="L23:M23"/>
    <mergeCell ref="I19:K19"/>
    <mergeCell ref="B22:H22"/>
    <mergeCell ref="N24:P24"/>
    <mergeCell ref="B31:Q31"/>
    <mergeCell ref="H7:I7"/>
    <mergeCell ref="J7:K7"/>
    <mergeCell ref="C140:Q140"/>
    <mergeCell ref="Q20"/>
    <mergeCell ref="Q23"/>
    <mergeCell ref="C151:Q151"/>
    <mergeCell ref="C141:Q141"/>
  </mergeCells>
  <conditionalFormatting sqref="F12:G12">
    <cfRule type="expression" priority="1" dxfId="0">
      <formula>=AND($B$141&lt;&gt;"",$B$141&lt;'CONFIGURAÇÕES'!$B$24)</formula>
    </cfRule>
  </conditionalFormatting>
  <conditionalFormatting sqref="F14:G14">
    <cfRule type="expression" priority="2" dxfId="0">
      <formula>=$B$144&lt;0</formula>
    </cfRule>
  </conditionalFormatting>
  <conditionalFormatting sqref="H12:I12">
    <cfRule type="expression" priority="3" dxfId="0">
      <formula>=$H$12&lt;'CONFIGURAÇÕES'!$B$25</formula>
    </cfRule>
  </conditionalFormatting>
  <conditionalFormatting sqref="N12:O12">
    <cfRule type="expression" priority="4" dxfId="0">
      <formula>=$N$12&gt;0</formula>
    </cfRule>
  </conditionalFormatting>
  <conditionalFormatting sqref="P12:Q12">
    <cfRule type="expression" priority="5" dxfId="1">
      <formula>=$P$12&gt;0</formula>
    </cfRule>
  </conditionalFormatting>
  <conditionalFormatting sqref="I17:K25">
    <cfRule type="expression" priority="6" dxfId="2" stopIfTrue="0">
      <formula>ISNUMBER(SEARCH("🔴",I17))</formula>
    </cfRule>
    <cfRule type="expression" priority="7" dxfId="3" stopIfTrue="0">
      <formula>ISNUMBER(SEARCH("🟡",I17))</formula>
    </cfRule>
    <cfRule type="expression" priority="8" dxfId="4" stopIfTrue="0">
      <formula>ISNUMBER(SEARCH("🟢",I17))</formula>
    </cfRule>
  </conditionalFormatting>
  <conditionalFormatting sqref="B131:B145">
    <cfRule type="dataBar" priority="9">
      <dataBar showValue="1">
        <cfvo type="num" val="0"/>
        <cfvo type="max"/>
        <color rgb="002E75B6"/>
      </dataBar>
    </cfRule>
  </conditionalFormatting>
  <dataValidations count="6">
    <dataValidation sqref="B7:C7" showDropDown="0" showInputMessage="0" showErrorMessage="1" allowBlank="1" errorTitle="Ano inválido" error="Informe um ano de 4 dígitos." type="whole" errorStyle="stop" operator="between">
      <formula1>2000</formula1>
      <formula2>2100</formula2>
    </dataValidation>
    <dataValidation sqref="D7:E7" showDropDown="0" showInputMessage="0" showErrorMessage="1" allowBlank="1" errorTitle="Mês inválido" error="Use 0 para o ano completo ou 1 a 12." type="whole" errorStyle="stop" operator="between">
      <formula1>0</formula1>
      <formula2>12</formula2>
    </dataValidation>
    <dataValidation sqref="F7:G7" showDropDown="0" showInputMessage="1" showErrorMessage="1" allowBlank="1" errorTitle="Centro de custo inválido" error="Escolha um centro de custo cadastrado ou digite Todos." promptTitle="Valores permitidos" prompt="Escolha um centro de custo cadastrado ou digite Todos." type="list" errorStyle="warning">
      <formula1>CENTROS_CUSTO</formula1>
    </dataValidation>
    <dataValidation sqref="H7:I7" showDropDown="0" showInputMessage="1" showErrorMessage="1" allowBlank="1" errorTitle="Categoria inválida" error="Escolha uma categoria do plano de contas ou digite Todos." promptTitle="Valores permitidos" prompt="Escolha uma categoria do plano de contas ou digite Todos." type="list" errorStyle="warning">
      <formula1>SUBCATEGORIAS_PLANO</formula1>
    </dataValidation>
    <dataValidation sqref="J7:K7" showDropDown="0" showInputMessage="1" showErrorMessage="1" allowBlank="1" errorTitle="Conta inválida" error="Escolha uma conta/cartão cadastrado ou digite Todos." promptTitle="Valores permitidos" prompt="Escolha uma conta/cartão cadastrado ou digite Todos." type="list" errorStyle="warning">
      <formula1>CONTAS_BANCARIAS</formula1>
    </dataValidation>
    <dataValidation sqref="L7:M7" showDropDown="0" showInputMessage="1" showErrorMessage="1" allowBlank="1" errorTitle="Tipo inválido" error="Escolha Entrada, Saída ou digite Todos." promptTitle="Valores permitidos" prompt="Escolha Entrada, Saída ou digite Todos." type="list" errorStyle="warning">
      <formula1>TIPO_LANCAMENTO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X70"/>
  <sheetViews>
    <sheetView showGridLines="0" tabSelected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2" customWidth="1" min="3" max="3"/>
    <col width="2" customWidth="1" min="4" max="4"/>
    <col width="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24" customHeight="1">
      <c r="A1" s="26" t="inlineStr">
        <is>
          <t>CONFIGURAÇÕES DO SISTEMA FINANCEIRO</t>
        </is>
      </c>
    </row>
    <row r="2">
      <c r="A2" s="27" t="inlineStr">
        <is>
          <t>Passo 1 do roteiro: informe os dados da empresa, as metas e os parâmetros. As listas auxiliares (colunas F a X) alimentam todos os menus suspensos da planilha.</t>
        </is>
      </c>
    </row>
    <row r="4" ht="20" customHeight="1">
      <c r="A4" s="4" t="inlineStr">
        <is>
          <t>1. IDENTIFICAÇÃO DA EMPRESA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28" t="inlineStr">
        <is>
          <t>Razão social</t>
        </is>
      </c>
      <c r="B5" s="29" t="inlineStr">
        <is>
          <t>AURORA COMÉRCIO DE ALIMENTOS LTDA</t>
        </is>
      </c>
      <c r="C5" s="29" t="n"/>
      <c r="E5" s="25" t="inlineStr">
        <is>
          <t>Empresa demonstrativa (dados fictícios)</t>
        </is>
      </c>
    </row>
    <row r="6">
      <c r="A6" s="28" t="inlineStr">
        <is>
          <t>Nome fantasia</t>
        </is>
      </c>
      <c r="B6" s="29" t="inlineStr">
        <is>
          <t>Aurora Distribuidora</t>
        </is>
      </c>
      <c r="C6" s="29" t="n"/>
    </row>
    <row r="7">
      <c r="A7" s="28" t="inlineStr">
        <is>
          <t>CNPJ</t>
        </is>
      </c>
      <c r="B7" s="29" t="inlineStr">
        <is>
          <t>12.345.678/0001-90</t>
        </is>
      </c>
      <c r="C7" s="29" t="n"/>
    </row>
    <row r="8">
      <c r="A8" s="28" t="inlineStr">
        <is>
          <t>Segmento de atuação</t>
        </is>
      </c>
      <c r="B8" s="29" t="inlineStr">
        <is>
          <t>Distribuição de alimentos e bebidas para revenda</t>
        </is>
      </c>
      <c r="C8" s="29" t="n"/>
    </row>
    <row r="9">
      <c r="A9" s="28" t="inlineStr">
        <is>
          <t>Regime tributário</t>
        </is>
      </c>
      <c r="B9" s="29" t="inlineStr">
        <is>
          <t>Simples Nacional</t>
        </is>
      </c>
      <c r="C9" s="29" t="n"/>
      <c r="E9" s="25" t="inlineStr">
        <is>
          <t>Define o tratamento dos tributos</t>
        </is>
      </c>
    </row>
    <row r="10">
      <c r="A10" s="28" t="inlineStr">
        <is>
          <t>Responsável financeiro</t>
        </is>
      </c>
      <c r="B10" s="29" t="inlineStr">
        <is>
          <t>Jefferson Andrade</t>
        </is>
      </c>
      <c r="C10" s="29" t="n"/>
    </row>
    <row r="11">
      <c r="A11" s="28" t="inlineStr">
        <is>
          <t>E-mail</t>
        </is>
      </c>
      <c r="B11" s="29" t="inlineStr">
        <is>
          <t>financeiro@auroradistribuidora.com.br</t>
        </is>
      </c>
      <c r="C11" s="29" t="n"/>
    </row>
    <row r="12">
      <c r="A12" s="28" t="inlineStr">
        <is>
          <t>Telefone</t>
        </is>
      </c>
      <c r="B12" s="29" t="inlineStr">
        <is>
          <t>(11) 4002-8922</t>
        </is>
      </c>
      <c r="C12" s="29" t="n"/>
    </row>
    <row r="14" ht="20" customHeight="1">
      <c r="A14" s="4" t="inlineStr">
        <is>
          <t>2. PERÍODO DE REFERÊNCIA E FILTROS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8" t="inlineStr">
        <is>
          <t>Data de referência (HOJE — automática)</t>
        </is>
      </c>
      <c r="B15" s="30">
        <f>TODAY()</f>
        <v/>
      </c>
      <c r="C15" s="30" t="n"/>
      <c r="E15" s="25" t="inlineStr">
        <is>
          <t>Todas as classificações automáticas (vencido, vence hoje, dias em atraso) usam esta data.</t>
        </is>
      </c>
      <c r="G15" s="25" t="inlineStr">
        <is>
          <t>Ano/mês de análise</t>
        </is>
      </c>
    </row>
    <row r="16">
      <c r="A16" s="28" t="inlineStr">
        <is>
          <t>Ano atual</t>
        </is>
      </c>
      <c r="B16" s="24">
        <f>YEAR($B$15)</f>
        <v/>
      </c>
      <c r="C16" s="24" t="n"/>
      <c r="G16" s="25" t="inlineStr">
        <is>
          <t>B18 e B19 são os parâmetros usados pelo Dashboard e pelas análises.</t>
        </is>
      </c>
    </row>
    <row r="17">
      <c r="A17" s="28" t="inlineStr">
        <is>
          <t>Mês atual</t>
        </is>
      </c>
      <c r="B17" s="24">
        <f>MONTH($B$15)</f>
        <v/>
      </c>
      <c r="C17" s="24" t="n"/>
    </row>
    <row r="18">
      <c r="A18" s="28" t="inlineStr">
        <is>
          <t>Ano de análise (usado no Dashboard, DRE e relatórios)</t>
        </is>
      </c>
      <c r="B18" s="13" t="n">
        <v>2026</v>
      </c>
      <c r="C18" s="13" t="n"/>
    </row>
    <row r="19">
      <c r="A19" s="28" t="inlineStr">
        <is>
          <t>Mês de análise (1 a 12 — 0 = todos os meses)</t>
        </is>
      </c>
      <c r="B19" s="13" t="n">
        <v>9</v>
      </c>
      <c r="C19" s="13" t="n"/>
    </row>
    <row r="21" ht="20" customHeight="1">
      <c r="A21" s="4" t="inlineStr">
        <is>
          <t>3. METAS E PARÂMETROS FINANCEIROS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28" t="inlineStr">
        <is>
          <t>Meta de faturamento mensal</t>
        </is>
      </c>
      <c r="B22" s="31" t="n">
        <v>230000</v>
      </c>
      <c r="C22" s="31" t="n"/>
      <c r="E22" s="25" t="inlineStr">
        <is>
          <t>Usada nos alertas de meta de faturamento e no orçamento.</t>
        </is>
      </c>
    </row>
    <row r="23">
      <c r="A23" s="28" t="inlineStr">
        <is>
          <t>Meta de lucro líquido mensal</t>
        </is>
      </c>
      <c r="B23" s="31" t="n">
        <v>20000</v>
      </c>
      <c r="C23" s="31" t="n"/>
      <c r="E23" s="25" t="inlineStr">
        <is>
          <t>Base do alerta de meta de lucro.</t>
        </is>
      </c>
    </row>
    <row r="24">
      <c r="A24" s="28" t="inlineStr">
        <is>
          <t>Margem líquida mínima desejada</t>
        </is>
      </c>
      <c r="B24" s="32" t="n">
        <v>0.1</v>
      </c>
      <c r="C24" s="32" t="n"/>
      <c r="E24" s="25" t="inlineStr">
        <is>
          <t>Margem abaixo deste valor gera alerta amarelo/vermelho.</t>
        </is>
      </c>
    </row>
    <row r="25">
      <c r="A25" s="28" t="inlineStr">
        <is>
          <t>Saldo mínimo de caixa</t>
        </is>
      </c>
      <c r="B25" s="31" t="n">
        <v>30000</v>
      </c>
      <c r="C25" s="31" t="n"/>
      <c r="E25" s="25" t="inlineStr">
        <is>
          <t>Alerta vermelho quando o saldo disponível ficar abaixo deste valor.</t>
        </is>
      </c>
    </row>
    <row r="26">
      <c r="A26" s="28" t="inlineStr">
        <is>
          <t>Percentual máximo de inadimplência</t>
        </is>
      </c>
      <c r="B26" s="32" t="n">
        <v>0.05</v>
      </c>
      <c r="C26" s="32" t="n"/>
      <c r="E26" s="25" t="inlineStr">
        <is>
          <t>Alerta quando o vencido a receber superar este percentual.</t>
        </is>
      </c>
    </row>
    <row r="27">
      <c r="A27" s="28" t="inlineStr">
        <is>
          <t>Prazo médio de recebimento — alvo (dias)</t>
        </is>
      </c>
      <c r="B27" s="13" t="n">
        <v>30</v>
      </c>
      <c r="C27" s="13" t="n"/>
      <c r="E27" s="25" t="inlineStr">
        <is>
          <t>Compare com o prazo médio real apurado na aba CONTAS A RECEBER.</t>
        </is>
      </c>
    </row>
    <row r="28">
      <c r="A28" s="28" t="inlineStr">
        <is>
          <t>Prazo médio de pagamento — alvo (dias)</t>
        </is>
      </c>
      <c r="B28" s="13" t="n">
        <v>30</v>
      </c>
      <c r="C28" s="13" t="n"/>
      <c r="E28" s="25" t="inlineStr">
        <is>
          <t>Compare com o prazo médio real apurado na aba CONTAS A PAGAR.</t>
        </is>
      </c>
    </row>
    <row r="29">
      <c r="A29" s="28" t="inlineStr">
        <is>
          <t>Alíquota efetiva de impostos sobre vendas</t>
        </is>
      </c>
      <c r="B29" s="32" t="n">
        <v>0.08500000000000001</v>
      </c>
      <c r="C29" s="32" t="n"/>
      <c r="E29" s="25" t="inlineStr">
        <is>
          <t>Usada no Simples Nacional, no ponto de equilíbrio e no simulador de cenários.</t>
        </is>
      </c>
    </row>
    <row r="30">
      <c r="A30" s="28" t="inlineStr">
        <is>
          <t>Taxa de juros mensal padrão (empréstimos)</t>
        </is>
      </c>
      <c r="B30" s="32" t="n">
        <v>0.014</v>
      </c>
      <c r="C30" s="32" t="n"/>
      <c r="E30" s="25" t="inlineStr">
        <is>
          <t>Sugestão para novos contratos de crédito.</t>
        </is>
      </c>
    </row>
    <row r="31">
      <c r="A31" s="28" t="inlineStr">
        <is>
          <t>Meta de crescimento mensal do faturamento</t>
        </is>
      </c>
      <c r="B31" s="32" t="n">
        <v>0.02</v>
      </c>
      <c r="C31" s="32" t="n"/>
      <c r="E31" s="25" t="inlineStr">
        <is>
          <t>Usada na projeção de cenários.</t>
        </is>
      </c>
    </row>
    <row r="32">
      <c r="A32" s="28" t="inlineStr">
        <is>
          <t>Reserva mínima de capital de giro (meses de despesa fixa)</t>
        </is>
      </c>
      <c r="B32" s="13" t="n">
        <v>2</v>
      </c>
      <c r="C32" s="13" t="n"/>
      <c r="E32" s="25" t="inlineStr">
        <is>
          <t>Saldo recomendado = reserva × despesas fixas mensais.</t>
        </is>
      </c>
    </row>
    <row r="33" ht="20" customHeight="1">
      <c r="A33" s="4" t="inlineStr">
        <is>
          <t>4. LISTAS AUXILIARES — ALIMENTAM OS MENUS SUSPENSOS (para incluir um item, insira uma linha dentro da lista)</t>
        </is>
      </c>
      <c r="B33" s="4" t="n"/>
      <c r="C33" s="4" t="n"/>
      <c r="D33" s="4" t="n"/>
      <c r="E33" s="4" t="n"/>
      <c r="F33" s="4" t="n"/>
      <c r="G33" s="4" t="n"/>
      <c r="H33" s="4" t="n"/>
    </row>
    <row r="34" ht="30" customHeight="1">
      <c r="F34" s="21" t="inlineStr">
        <is>
          <t>Tipo de lançamento</t>
        </is>
      </c>
      <c r="G34" s="21" t="inlineStr">
        <is>
          <t>Situação</t>
        </is>
      </c>
      <c r="H34" s="21" t="inlineStr">
        <is>
          <t>Forma de pagamento</t>
        </is>
      </c>
      <c r="I34" s="21" t="inlineStr">
        <is>
          <t>Tipo de conta</t>
        </is>
      </c>
      <c r="J34" s="21" t="inlineStr">
        <is>
          <t>Status (cliente/fornecedor)</t>
        </is>
      </c>
      <c r="K34" s="21" t="inlineStr">
        <is>
          <t>Periodicidade</t>
        </is>
      </c>
      <c r="L34" s="21" t="inlineStr">
        <is>
          <t>Sistema de amortização</t>
        </is>
      </c>
      <c r="M34" s="21" t="inlineStr">
        <is>
          <t>Tipo de fluxo</t>
        </is>
      </c>
      <c r="N34" s="21" t="inlineStr">
        <is>
          <t>Bandeira do cartão</t>
        </is>
      </c>
      <c r="O34" s="21" t="inlineStr">
        <is>
          <t>Conciliação bancária</t>
        </is>
      </c>
      <c r="P34" s="21" t="inlineStr">
        <is>
          <t>Sim / Não</t>
        </is>
      </c>
      <c r="Q34" s="21" t="inlineStr">
        <is>
          <t>Regime tributário</t>
        </is>
      </c>
      <c r="R34" s="21" t="inlineStr">
        <is>
          <t>UF</t>
        </is>
      </c>
      <c r="S34" s="21" t="inlineStr">
        <is>
          <t>Meses</t>
        </is>
      </c>
      <c r="T34" s="21" t="inlineStr">
        <is>
          <t>Tipo de operação</t>
        </is>
      </c>
      <c r="U34" s="21" t="inlineStr">
        <is>
          <t>Categoria (grupo do plano de contas)</t>
        </is>
      </c>
      <c r="V34" s="21" t="inlineStr">
        <is>
          <t>Status do contrato</t>
        </is>
      </c>
      <c r="W34" s="21" t="inlineStr">
        <is>
          <t>Linhas do DRE</t>
        </is>
      </c>
    </row>
    <row r="35"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</row>
    <row r="36">
      <c r="F36" s="33" t="inlineStr">
        <is>
          <t>Entrada</t>
        </is>
      </c>
      <c r="G36" s="33" t="inlineStr">
        <is>
          <t>Previsto</t>
        </is>
      </c>
      <c r="H36" s="33" t="inlineStr">
        <is>
          <t>Dinheiro</t>
        </is>
      </c>
      <c r="I36" s="33" t="inlineStr">
        <is>
          <t>Receita</t>
        </is>
      </c>
      <c r="J36" s="33" t="inlineStr">
        <is>
          <t>Ativo</t>
        </is>
      </c>
      <c r="K36" s="33" t="inlineStr">
        <is>
          <t>Mensal</t>
        </is>
      </c>
      <c r="L36" s="33" t="inlineStr">
        <is>
          <t>PRICE</t>
        </is>
      </c>
      <c r="M36" s="33" t="inlineStr">
        <is>
          <t>Operacional</t>
        </is>
      </c>
      <c r="N36" s="33" t="inlineStr">
        <is>
          <t>Visa</t>
        </is>
      </c>
      <c r="O36" s="33" t="inlineStr">
        <is>
          <t>Conciliado</t>
        </is>
      </c>
      <c r="P36" s="33" t="inlineStr">
        <is>
          <t>Sim</t>
        </is>
      </c>
      <c r="Q36" s="33" t="inlineStr">
        <is>
          <t>Simples Nacional</t>
        </is>
      </c>
      <c r="R36" s="33" t="inlineStr">
        <is>
          <t>AC</t>
        </is>
      </c>
      <c r="S36" s="33" t="inlineStr">
        <is>
          <t>Janeiro</t>
        </is>
      </c>
      <c r="T36" s="33" t="inlineStr">
        <is>
          <t>Todos</t>
        </is>
      </c>
      <c r="U36" s="33" t="inlineStr">
        <is>
          <t>Vendas</t>
        </is>
      </c>
      <c r="V36" s="33" t="inlineStr">
        <is>
          <t>Em andamento</t>
        </is>
      </c>
      <c r="W36" s="33" t="inlineStr">
        <is>
          <t>Faturamento Bruto</t>
        </is>
      </c>
    </row>
    <row r="37">
      <c r="F37" s="33" t="inlineStr">
        <is>
          <t>Saída</t>
        </is>
      </c>
      <c r="G37" s="33" t="inlineStr">
        <is>
          <t>Pago</t>
        </is>
      </c>
      <c r="H37" s="33" t="inlineStr">
        <is>
          <t>PIX</t>
        </is>
      </c>
      <c r="I37" s="33" t="inlineStr">
        <is>
          <t>Custo</t>
        </is>
      </c>
      <c r="J37" s="33" t="inlineStr">
        <is>
          <t>Inativo</t>
        </is>
      </c>
      <c r="K37" s="33" t="inlineStr">
        <is>
          <t>Bimestral</t>
        </is>
      </c>
      <c r="L37" s="33" t="inlineStr">
        <is>
          <t>SAC</t>
        </is>
      </c>
      <c r="M37" s="33" t="inlineStr">
        <is>
          <t>Investimento</t>
        </is>
      </c>
      <c r="N37" s="33" t="inlineStr">
        <is>
          <t>Mastercard</t>
        </is>
      </c>
      <c r="O37" s="33" t="inlineStr">
        <is>
          <t>Pendente</t>
        </is>
      </c>
      <c r="P37" s="33" t="inlineStr">
        <is>
          <t>Não</t>
        </is>
      </c>
      <c r="Q37" s="33" t="inlineStr">
        <is>
          <t>MEI</t>
        </is>
      </c>
      <c r="R37" s="33" t="inlineStr">
        <is>
          <t>AL</t>
        </is>
      </c>
      <c r="S37" s="33" t="inlineStr">
        <is>
          <t>Fevereiro</t>
        </is>
      </c>
      <c r="T37" s="33" t="inlineStr">
        <is>
          <t>Entrada</t>
        </is>
      </c>
      <c r="U37" s="33" t="inlineStr">
        <is>
          <t>Outras Receitas</t>
        </is>
      </c>
      <c r="V37" s="33" t="inlineStr">
        <is>
          <t>Quitado</t>
        </is>
      </c>
      <c r="W37" s="33" t="inlineStr">
        <is>
          <t>Impostos sobre Vendas</t>
        </is>
      </c>
    </row>
    <row r="38">
      <c r="G38" s="33" t="inlineStr">
        <is>
          <t>Recebido</t>
        </is>
      </c>
      <c r="H38" s="33" t="inlineStr">
        <is>
          <t>Transferência</t>
        </is>
      </c>
      <c r="I38" s="33" t="inlineStr">
        <is>
          <t>Despesa</t>
        </is>
      </c>
      <c r="J38" s="33" t="inlineStr">
        <is>
          <t>Bloqueado</t>
        </is>
      </c>
      <c r="K38" s="33" t="inlineStr">
        <is>
          <t>Trimestral</t>
        </is>
      </c>
      <c r="M38" s="33" t="inlineStr">
        <is>
          <t>Financiamento</t>
        </is>
      </c>
      <c r="N38" s="33" t="inlineStr">
        <is>
          <t>Elo</t>
        </is>
      </c>
      <c r="O38" s="33" t="inlineStr">
        <is>
          <t>Divergente</t>
        </is>
      </c>
      <c r="Q38" s="33" t="inlineStr">
        <is>
          <t>Lucro Presumido</t>
        </is>
      </c>
      <c r="R38" s="33" t="inlineStr">
        <is>
          <t>AM</t>
        </is>
      </c>
      <c r="S38" s="33" t="inlineStr">
        <is>
          <t>Março</t>
        </is>
      </c>
      <c r="T38" s="33" t="inlineStr">
        <is>
          <t>Saída</t>
        </is>
      </c>
      <c r="U38" s="33" t="inlineStr">
        <is>
          <t>Receitas Financeiras</t>
        </is>
      </c>
      <c r="V38" s="33" t="inlineStr">
        <is>
          <t>Renegociado</t>
        </is>
      </c>
      <c r="W38" s="33" t="inlineStr">
        <is>
          <t>Devoluções</t>
        </is>
      </c>
    </row>
    <row r="39">
      <c r="G39" s="33" t="inlineStr">
        <is>
          <t>Vencido</t>
        </is>
      </c>
      <c r="H39" s="33" t="inlineStr">
        <is>
          <t>Boleto</t>
        </is>
      </c>
      <c r="I39" s="33" t="inlineStr">
        <is>
          <t>Imposto</t>
        </is>
      </c>
      <c r="K39" s="33" t="inlineStr">
        <is>
          <t>Semestral</t>
        </is>
      </c>
      <c r="N39" s="33" t="inlineStr">
        <is>
          <t>American Express</t>
        </is>
      </c>
      <c r="Q39" s="33" t="inlineStr">
        <is>
          <t>Lucro Real</t>
        </is>
      </c>
      <c r="R39" s="33" t="inlineStr">
        <is>
          <t>AP</t>
        </is>
      </c>
      <c r="S39" s="33" t="inlineStr">
        <is>
          <t>Abril</t>
        </is>
      </c>
      <c r="U39" s="33" t="inlineStr">
        <is>
          <t>Devoluções e Cancelamentos</t>
        </is>
      </c>
      <c r="V39" s="33" t="inlineStr">
        <is>
          <t>Em atraso</t>
        </is>
      </c>
      <c r="W39" s="33" t="inlineStr">
        <is>
          <t>Custos Variáveis</t>
        </is>
      </c>
    </row>
    <row r="40">
      <c r="G40" s="33" t="inlineStr">
        <is>
          <t>Cancelado</t>
        </is>
      </c>
      <c r="H40" s="33" t="inlineStr">
        <is>
          <t>Cartão de débito</t>
        </is>
      </c>
      <c r="I40" s="33" t="inlineStr">
        <is>
          <t>Investimento</t>
        </is>
      </c>
      <c r="K40" s="33" t="inlineStr">
        <is>
          <t>Anual</t>
        </is>
      </c>
      <c r="N40" s="33" t="inlineStr">
        <is>
          <t>Hipercard</t>
        </is>
      </c>
      <c r="R40" s="33" t="inlineStr">
        <is>
          <t>BA</t>
        </is>
      </c>
      <c r="S40" s="33" t="inlineStr">
        <is>
          <t>Maio</t>
        </is>
      </c>
      <c r="U40" s="33" t="inlineStr">
        <is>
          <t>Custos Variáveis</t>
        </is>
      </c>
      <c r="W40" s="33" t="inlineStr">
        <is>
          <t>Despesas Fixas</t>
        </is>
      </c>
    </row>
    <row r="41">
      <c r="G41" s="33" t="inlineStr">
        <is>
          <t>Parcial</t>
        </is>
      </c>
      <c r="H41" s="33" t="inlineStr">
        <is>
          <t>Cartão de crédito</t>
        </is>
      </c>
      <c r="I41" s="33" t="inlineStr">
        <is>
          <t>Pró-labore</t>
        </is>
      </c>
      <c r="N41" s="33" t="inlineStr">
        <is>
          <t>Outros</t>
        </is>
      </c>
      <c r="R41" s="33" t="inlineStr">
        <is>
          <t>CE</t>
        </is>
      </c>
      <c r="S41" s="33" t="inlineStr">
        <is>
          <t>Junho</t>
        </is>
      </c>
      <c r="U41" s="33" t="inlineStr">
        <is>
          <t>Despesas Administrativas</t>
        </is>
      </c>
      <c r="W41" s="33" t="inlineStr">
        <is>
          <t>Despesas Financeiras</t>
        </is>
      </c>
    </row>
    <row r="42">
      <c r="H42" s="33" t="inlineStr">
        <is>
          <t>Crédito parcelado</t>
        </is>
      </c>
      <c r="I42" s="33" t="inlineStr">
        <is>
          <t>Empréstimo</t>
        </is>
      </c>
      <c r="R42" s="33" t="inlineStr">
        <is>
          <t>DF</t>
        </is>
      </c>
      <c r="S42" s="33" t="inlineStr">
        <is>
          <t>Julho</t>
        </is>
      </c>
      <c r="U42" s="33" t="inlineStr">
        <is>
          <t>Despesas com Pessoal</t>
        </is>
      </c>
      <c r="W42" s="33" t="inlineStr">
        <is>
          <t>Receitas Financeiras</t>
        </is>
      </c>
    </row>
    <row r="43">
      <c r="H43" s="33" t="inlineStr">
        <is>
          <t>Débito automático</t>
        </is>
      </c>
      <c r="I43" s="33" t="inlineStr">
        <is>
          <t>Devolução</t>
        </is>
      </c>
      <c r="R43" s="33" t="inlineStr">
        <is>
          <t>ES</t>
        </is>
      </c>
      <c r="S43" s="33" t="inlineStr">
        <is>
          <t>Agosto</t>
        </is>
      </c>
      <c r="U43" s="33" t="inlineStr">
        <is>
          <t>Despesas Comerciais</t>
        </is>
      </c>
      <c r="W43" s="33" t="inlineStr">
        <is>
          <t>Outras Receitas Operacionais</t>
        </is>
      </c>
    </row>
    <row r="44">
      <c r="H44" s="33" t="inlineStr">
        <is>
          <t>Outros</t>
        </is>
      </c>
      <c r="I44" s="33" t="inlineStr">
        <is>
          <t>Aporte de Capital</t>
        </is>
      </c>
      <c r="R44" s="33" t="inlineStr">
        <is>
          <t>GO</t>
        </is>
      </c>
      <c r="S44" s="33" t="inlineStr">
        <is>
          <t>Setembro</t>
        </is>
      </c>
      <c r="U44" s="33" t="inlineStr">
        <is>
          <t>Despesas Financeiras</t>
        </is>
      </c>
      <c r="W44" s="33" t="inlineStr">
        <is>
          <t>Impostos sobre o Resultado</t>
        </is>
      </c>
    </row>
    <row r="45">
      <c r="I45" s="33" t="inlineStr">
        <is>
          <t>Distribuição de lucros</t>
        </is>
      </c>
      <c r="R45" s="33" t="inlineStr">
        <is>
          <t>MA</t>
        </is>
      </c>
      <c r="S45" s="33" t="inlineStr">
        <is>
          <t>Outubro</t>
        </is>
      </c>
      <c r="U45" s="33" t="inlineStr">
        <is>
          <t>Tributos</t>
        </is>
      </c>
      <c r="W45" s="33" t="inlineStr">
        <is>
          <t>Distribuição de Lucros</t>
        </is>
      </c>
    </row>
    <row r="46">
      <c r="R46" s="33" t="inlineStr">
        <is>
          <t>MG</t>
        </is>
      </c>
      <c r="S46" s="33" t="inlineStr">
        <is>
          <t>Novembro</t>
        </is>
      </c>
      <c r="U46" s="33" t="inlineStr">
        <is>
          <t>Investimentos</t>
        </is>
      </c>
      <c r="W46" s="33" t="inlineStr">
        <is>
          <t>Investimentos (CAPEX)</t>
        </is>
      </c>
    </row>
    <row r="47">
      <c r="R47" s="33" t="inlineStr">
        <is>
          <t>MS</t>
        </is>
      </c>
      <c r="S47" s="33" t="inlineStr">
        <is>
          <t>Dezembro</t>
        </is>
      </c>
      <c r="U47" s="33" t="inlineStr">
        <is>
          <t>Empréstimos e Financiamentos</t>
        </is>
      </c>
      <c r="W47" s="33" t="inlineStr">
        <is>
          <t>Financiamentos e Sócios (Principal)</t>
        </is>
      </c>
    </row>
    <row r="48">
      <c r="R48" s="33" t="inlineStr">
        <is>
          <t>MT</t>
        </is>
      </c>
      <c r="U48" s="33" t="inlineStr">
        <is>
          <t>Patrimônio Líquido</t>
        </is>
      </c>
    </row>
    <row r="49">
      <c r="R49" s="33" t="inlineStr">
        <is>
          <t>PA</t>
        </is>
      </c>
    </row>
    <row r="50">
      <c r="R50" s="33" t="inlineStr">
        <is>
          <t>PB</t>
        </is>
      </c>
    </row>
    <row r="51">
      <c r="R51" s="33" t="inlineStr">
        <is>
          <t>PE</t>
        </is>
      </c>
    </row>
    <row r="52">
      <c r="R52" s="33" t="inlineStr">
        <is>
          <t>PI</t>
        </is>
      </c>
    </row>
    <row r="53">
      <c r="R53" s="33" t="inlineStr">
        <is>
          <t>PR</t>
        </is>
      </c>
    </row>
    <row r="54">
      <c r="R54" s="33" t="inlineStr">
        <is>
          <t>RJ</t>
        </is>
      </c>
    </row>
    <row r="55">
      <c r="R55" s="33" t="inlineStr">
        <is>
          <t>RN</t>
        </is>
      </c>
    </row>
    <row r="56">
      <c r="R56" s="33" t="inlineStr">
        <is>
          <t>RO</t>
        </is>
      </c>
    </row>
    <row r="57">
      <c r="R57" s="33" t="inlineStr">
        <is>
          <t>RR</t>
        </is>
      </c>
    </row>
    <row r="58">
      <c r="R58" s="33" t="inlineStr">
        <is>
          <t>RS</t>
        </is>
      </c>
    </row>
    <row r="59">
      <c r="R59" s="33" t="inlineStr">
        <is>
          <t>SC</t>
        </is>
      </c>
    </row>
    <row r="60">
      <c r="R60" s="33" t="inlineStr">
        <is>
          <t>SE</t>
        </is>
      </c>
    </row>
    <row r="61">
      <c r="R61" s="33" t="inlineStr">
        <is>
          <t>SP</t>
        </is>
      </c>
    </row>
    <row r="62">
      <c r="R62" s="33" t="inlineStr">
        <is>
          <t>TO</t>
        </is>
      </c>
    </row>
    <row r="68">
      <c r="F68" s="3" t="inlineStr">
        <is>
          <t>OBS.: os menus suspensos apontam para os intervalos nomeados acima. Para acrescentar uma opção, insira uma linha dentro da lista (a última linha) — o intervalo nomeado se expande automaticamente.</t>
        </is>
      </c>
    </row>
    <row r="69"/>
    <row r="70"/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49">
    <mergeCell ref="M34:M35"/>
    <mergeCell ref="B16:C16"/>
    <mergeCell ref="U34:U35"/>
    <mergeCell ref="B7:C7"/>
    <mergeCell ref="B25:C25"/>
    <mergeCell ref="J34:J35"/>
    <mergeCell ref="P34:P35"/>
    <mergeCell ref="B22:C22"/>
    <mergeCell ref="R34:R35"/>
    <mergeCell ref="B31:C31"/>
    <mergeCell ref="A1:H1"/>
    <mergeCell ref="B18:C18"/>
    <mergeCell ref="B27:C27"/>
    <mergeCell ref="G34:G35"/>
    <mergeCell ref="H34:H35"/>
    <mergeCell ref="B12:C12"/>
    <mergeCell ref="B11:C11"/>
    <mergeCell ref="V34:V35"/>
    <mergeCell ref="B23:C23"/>
    <mergeCell ref="S34:S35"/>
    <mergeCell ref="B17:C17"/>
    <mergeCell ref="B8:C8"/>
    <mergeCell ref="A21:H21"/>
    <mergeCell ref="Q34:Q35"/>
    <mergeCell ref="B29:C29"/>
    <mergeCell ref="W34:W35"/>
    <mergeCell ref="B19:C19"/>
    <mergeCell ref="A2:H2"/>
    <mergeCell ref="L34:L35"/>
    <mergeCell ref="B10:C10"/>
    <mergeCell ref="B28:C28"/>
    <mergeCell ref="N34:N35"/>
    <mergeCell ref="A33:H33"/>
    <mergeCell ref="A14:H14"/>
    <mergeCell ref="B9:C9"/>
    <mergeCell ref="T34:T35"/>
    <mergeCell ref="I34:I35"/>
    <mergeCell ref="F68:X70"/>
    <mergeCell ref="K34:K35"/>
    <mergeCell ref="A4:H4"/>
    <mergeCell ref="B6:C6"/>
    <mergeCell ref="B24:C24"/>
    <mergeCell ref="B30:C30"/>
    <mergeCell ref="B15:C15"/>
    <mergeCell ref="B5:C5"/>
    <mergeCell ref="B32:C32"/>
    <mergeCell ref="O34:O35"/>
    <mergeCell ref="B26:C26"/>
    <mergeCell ref="F34:F35"/>
  </mergeCells>
  <dataValidations count="13">
    <dataValidation sqref="B9:C9" showDropDown="0" showInputMessage="1" showErrorMessage="1" allowBlank="1" errorTitle="Regime inválido" error="Escolha um regime tributário da lista." promptTitle="Valores permitidos" prompt="Escolha um regime tributário da lista." type="list" errorStyle="stop">
      <formula1>REGIME</formula1>
    </dataValidation>
    <dataValidation sqref="B18:C18" showDropDown="0" showInputMessage="0" showErrorMessage="1" allowBlank="1" errorTitle="Ano inválido" error="Informe um ano entre 2000 e 2100." type="whole" errorStyle="stop" operator="between">
      <formula1>2000</formula1>
      <formula2>2100</formula2>
    </dataValidation>
    <dataValidation sqref="B19:C19" showDropDown="0" showInputMessage="0" showErrorMessage="1" allowBlank="1" errorTitle="Mês inválido" error="Informe 0 (todos) ou um mês de 1 a 12." type="whole" errorStyle="stop" operator="between">
      <formula1>0</formula1>
      <formula2>12</formula2>
    </dataValidation>
    <dataValidation sqref="B24:C24" showDropDown="0" showInputMessage="0" showErrorMessage="1" allowBlank="1" errorTitle="1" error="Percentual inválido" type="decimal" errorStyle="stop" operator="between">
      <formula1>0</formula1>
    </dataValidation>
    <dataValidation sqref="B26:C26" showDropDown="0" showInputMessage="0" showErrorMessage="1" allowBlank="1" errorTitle="1" error="Percentual inválido" type="decimal" errorStyle="stop" operator="between">
      <formula1>0</formula1>
    </dataValidation>
    <dataValidation sqref="B29:C29" showDropDown="0" showInputMessage="0" showErrorMessage="1" allowBlank="1" errorTitle="1" error="Percentual inválido" type="decimal" errorStyle="stop" operator="between">
      <formula1>0</formula1>
    </dataValidation>
    <dataValidation sqref="B31:C31" showDropDown="0" showInputMessage="0" showErrorMessage="1" allowBlank="1" errorTitle="1" error="Percentual inválido" type="decimal" errorStyle="stop" operator="between">
      <formula1>0</formula1>
    </dataValidation>
    <dataValidation sqref="B22:C22" showDropDown="0" showInputMessage="0" showErrorMessage="1" allowBlank="1" errorTitle="Valor inválido" error="Informe um valor em reais maior ou igual a zero." type="decimal" errorStyle="stop" operator="greaterThanOrEqual">
      <formula1>0</formula1>
    </dataValidation>
    <dataValidation sqref="B23:C23" showDropDown="0" showInputMessage="0" showErrorMessage="1" allowBlank="1" errorTitle="Valor inválido" error="Informe um valor em reais maior ou igual a zero." type="decimal" errorStyle="stop" operator="greaterThanOrEqual">
      <formula1>0</formula1>
    </dataValidation>
    <dataValidation sqref="B25:C25" showDropDown="0" showInputMessage="0" showErrorMessage="1" allowBlank="1" errorTitle="Valor inválido" error="Informe um valor em reais maior ou igual a zero." type="decimal" errorStyle="stop" operator="greaterThanOrEqual">
      <formula1>0</formula1>
    </dataValidation>
    <dataValidation sqref="B27:C27" showDropDown="0" showInputMessage="0" showErrorMessage="1" allowBlank="1" errorTitle="Prazo inválido" error="Informe um prazo em dias (0 a 365)." type="whole" errorStyle="stop" operator="between">
      <formula1>0</formula1>
      <formula2>365</formula2>
    </dataValidation>
    <dataValidation sqref="B28:C28" showDropDown="0" showInputMessage="0" showErrorMessage="1" allowBlank="1" errorTitle="Prazo inválido" error="Informe um prazo em dias (0 a 365)." type="whole" errorStyle="stop" operator="between">
      <formula1>0</formula1>
      <formula2>365</formula2>
    </dataValidation>
    <dataValidation sqref="B32:C32" showDropDown="0" showInputMessage="0" showErrorMessage="1" allowBlank="1" errorTitle="Valor inválido" error="Informe a quantidade de meses (0 a 24)." type="whole" errorStyle="stop" operator="between">
      <formula1>0</formula1>
      <formula2>24</formula2>
    </dataValidation>
  </dataValidations>
  <printOptions horizontalCentered="1"/>
  <pageMargins left="0.4" right="0.4" top="0.5" bottom="0.5" header="0.5" footer="0.5"/>
  <pageSetup orientation="portrait" fitToHeight="0" fitToWidth="1"/>
  <headerFooter>
    <oddHeader/>
    <oddFooter>&amp;L&amp;A&amp;RPágina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W65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4" customWidth="1" min="3" max="3"/>
    <col width="19" customWidth="1" min="4" max="4"/>
    <col width="15" customWidth="1" min="5" max="5"/>
    <col width="16" customWidth="1" min="6" max="6"/>
    <col width="30" customWidth="1" min="7" max="7"/>
    <col width="16" customWidth="1" min="8" max="8"/>
    <col width="5" customWidth="1" min="9" max="9"/>
    <col width="18" customWidth="1" min="10" max="10"/>
    <col width="16" customWidth="1" min="11" max="11"/>
    <col width="15" customWidth="1" min="12" max="12"/>
    <col width="13" customWidth="1" min="13" max="13"/>
    <col width="11" customWidth="1" min="14" max="14"/>
    <col width="34" customWidth="1" min="15" max="15"/>
    <col width="15" customWidth="1" min="16" max="16"/>
    <col width="11" customWidth="1" min="17" max="17"/>
    <col width="14" customWidth="1" min="18" max="18"/>
    <col width="13" customWidth="1" min="19" max="19"/>
    <col width="15" customWidth="1" min="20" max="20"/>
    <col width="14" customWidth="1" min="21" max="21"/>
    <col width="12" customWidth="1" min="22" max="22"/>
    <col width="18" customWidth="1" min="23" max="23"/>
  </cols>
  <sheetData>
    <row r="1" ht="24" customHeight="1">
      <c r="A1" s="26" t="inlineStr">
        <is>
          <t>CADASTRO DE CLIENTES</t>
        </is>
      </c>
    </row>
    <row r="2">
      <c r="A2" s="27" t="inlineStr">
        <is>
          <t>Preencha as colunas amarelas. As colunas cinzas (P a W) são calculadas automaticamente a partir da aba LANÇAMENTOS — mantenha a razão social idêntica à usada nos lançamentos.</t>
        </is>
      </c>
    </row>
    <row r="4" ht="6" customHeight="1">
      <c r="B4" s="25" t="inlineStr">
        <is>
          <t>⚠ DADOS DE EXEMPLO — os clientes abaixo são fictícios. Substitua pelos seus clientes reais.</t>
        </is>
      </c>
    </row>
    <row r="5" ht="32" customHeight="1">
      <c r="A5" s="34" t="inlineStr">
        <is>
          <t>Código</t>
        </is>
      </c>
      <c r="B5" s="34" t="inlineStr">
        <is>
          <t>Razão social</t>
        </is>
      </c>
      <c r="C5" s="34" t="inlineStr">
        <is>
          <t>Nome fantasia</t>
        </is>
      </c>
      <c r="D5" s="34" t="inlineStr">
        <is>
          <t>CPF/CNPJ</t>
        </is>
      </c>
      <c r="E5" s="34" t="inlineStr">
        <is>
          <t>Telefone</t>
        </is>
      </c>
      <c r="F5" s="34" t="inlineStr">
        <is>
          <t>WhatsApp</t>
        </is>
      </c>
      <c r="G5" s="34" t="inlineStr">
        <is>
          <t>E-mail</t>
        </is>
      </c>
      <c r="H5" s="34" t="inlineStr">
        <is>
          <t>Cidade</t>
        </is>
      </c>
      <c r="I5" s="34" t="inlineStr">
        <is>
          <t>UF</t>
        </is>
      </c>
      <c r="J5" s="34" t="inlineStr">
        <is>
          <t>Segmento</t>
        </is>
      </c>
      <c r="K5" s="34" t="inlineStr">
        <is>
          <t>Vendedor</t>
        </is>
      </c>
      <c r="L5" s="34" t="inlineStr">
        <is>
          <t>Limite de crédito</t>
        </is>
      </c>
      <c r="M5" s="34" t="inlineStr">
        <is>
          <t>Data de cadastro</t>
        </is>
      </c>
      <c r="N5" s="34" t="inlineStr">
        <is>
          <t>Status</t>
        </is>
      </c>
      <c r="O5" s="34" t="inlineStr">
        <is>
          <t>Observações</t>
        </is>
      </c>
      <c r="P5" s="34" t="inlineStr">
        <is>
          <t>Total comprado</t>
        </is>
      </c>
      <c r="Q5" s="34" t="inlineStr">
        <is>
          <t>Qtd. de compras</t>
        </is>
      </c>
      <c r="R5" s="34" t="inlineStr">
        <is>
          <t>Ticket médio</t>
        </is>
      </c>
      <c r="S5" s="34" t="inlineStr">
        <is>
          <t>Última compra</t>
        </is>
      </c>
      <c r="T5" s="34" t="inlineStr">
        <is>
          <t>Valor em aberto</t>
        </is>
      </c>
      <c r="U5" s="34" t="inlineStr">
        <is>
          <t>Valor vencido</t>
        </is>
      </c>
      <c r="V5" s="34" t="inlineStr">
        <is>
          <t>Dias em atraso (maior)</t>
        </is>
      </c>
      <c r="W5" s="34" t="inlineStr">
        <is>
          <t>Situação</t>
        </is>
      </c>
    </row>
    <row r="6">
      <c r="A6" s="14" t="inlineStr">
        <is>
          <t>CLI001</t>
        </is>
      </c>
      <c r="B6" s="29" t="inlineStr">
        <is>
          <t>MERCADO BOA COMPRA LTDA</t>
        </is>
      </c>
      <c r="C6" s="29" t="inlineStr">
        <is>
          <t>Boa Compra Supermercados</t>
        </is>
      </c>
      <c r="D6" s="14" t="inlineStr">
        <is>
          <t>12.345.678/0001-11</t>
        </is>
      </c>
      <c r="E6" s="14" t="inlineStr">
        <is>
          <t>(11) 3456-7890</t>
        </is>
      </c>
      <c r="F6" s="14" t="inlineStr">
        <is>
          <t>(11) 99876-5432</t>
        </is>
      </c>
      <c r="G6" s="29" t="inlineStr">
        <is>
          <t>compras@boacompra.com.br</t>
        </is>
      </c>
      <c r="H6" s="29" t="inlineStr">
        <is>
          <t>São Paulo</t>
        </is>
      </c>
      <c r="I6" s="14" t="inlineStr">
        <is>
          <t>SP</t>
        </is>
      </c>
      <c r="J6" s="29" t="inlineStr">
        <is>
          <t>Supermercados</t>
        </is>
      </c>
      <c r="K6" s="29" t="inlineStr">
        <is>
          <t>Carlos Menezes</t>
        </is>
      </c>
      <c r="L6" s="35" t="n">
        <v>90000</v>
      </c>
      <c r="M6" s="36" t="n">
        <v>44997</v>
      </c>
      <c r="N6" s="14" t="inlineStr">
        <is>
          <t>Ativo</t>
        </is>
      </c>
      <c r="O6" s="29" t="inlineStr">
        <is>
          <t>Cliente âncora — pedidos semanais, boleto 30 dias</t>
        </is>
      </c>
      <c r="P6" s="18">
        <f>IF($B6="","",SUMIFS('LANÇAMENTOS'!$Q$6:$Q$2005,'LANÇAMENTOS'!$I$6:$I$2005,$B6)+IF($C6=$B6,0,SUMIFS('LANÇAMENTOS'!$Q$6:$Q$2005,'LANÇAMENTOS'!$I$6:$I$2005,$C6)))</f>
        <v/>
      </c>
      <c r="Q6" s="24">
        <f>IF($B6="","",COUNTIFS('LANÇAMENTOS'!$I$6:$I$2005,$B6,'LANÇAMENTOS'!$P$6:$P$2005,1)+IF($C6=$B6,0,COUNTIFS('LANÇAMENTOS'!$I$6:$I$2005,$C6,'LANÇAMENTOS'!$P$6:$P$2005,1)))</f>
        <v/>
      </c>
      <c r="R6" s="18">
        <f>IFERROR(IF($P6=0,"",$P6/$Q6),"")</f>
        <v/>
      </c>
      <c r="S6" s="30">
        <f>IF($B6="","",IFERROR(IF(SUMPRODUCT(MAX(('LANÇAMENTOS'!$I$6:$I$2005=$B6)*'LANÇAMENTOS'!$B$6:$B$2005))&gt;0,SUMPRODUCT(MAX(('LANÇAMENTOS'!$I$6:$I$2005=$B6)*'LANÇAMENTOS'!$B$6:$B$2005)),""),""))</f>
        <v/>
      </c>
      <c r="T6" s="18">
        <f>IF($B6="","",SUMIFS('LANÇAMENTOS'!$W$6:$W$2005,'LANÇAMENTOS'!$I$6:$I$2005,$B6,'LANÇAMENTOS'!$E$6:$E$2005,"Entrada")+IF($C6=$B6,0,SUMIFS('LANÇAMENTOS'!$W$6:$W$2005,'LANÇAMENTOS'!$I$6:$I$2005,$C6,'LANÇAMENTOS'!$E$6:$E$2005,"Entrada")))</f>
        <v/>
      </c>
      <c r="U6" s="18">
        <f>IF($B6="","",SUMIFS('LANÇAMENTOS'!$W$6:$W$2005,'LANÇAMENTOS'!$I$6:$I$2005,$B6,'LANÇAMENTOS'!$E$6:$E$2005,"Entrada",'LANÇAMENTOS'!$C$6:$C$2005,"&lt;"&amp;TODAY())+IF($C6=$B6,0,SUMIFS('LANÇAMENTOS'!$W$6:$W$2005,'LANÇAMENTOS'!$I$6:$I$2005,$C6,'LANÇAMENTOS'!$E$6:$E$2005,"Entrada",'LANÇAMENTOS'!$C$6:$C$2005,"&lt;"&amp;TODAY())))</f>
        <v/>
      </c>
      <c r="V6" s="24">
        <f>IF(OR($B6="",$U6=0),0,MAX(0,TODAY()-IFERROR(-SUMPRODUCT(MAX(('LANÇAMENTOS'!$I$6:$I$2005=$B6)*('LANÇAMENTOS'!$W$6:$W$2005&gt;0)*('LANÇAMENTOS'!$C$6:$C$2005&lt;TODAY())*(-'LANÇAMENTOS'!$C$6:$C$2005))),TODAY())))</f>
        <v/>
      </c>
      <c r="W6" s="9">
        <f>IF($B6="","",IF($N6="Bloqueado","⛔ Bloqueado",IF($U6&gt;0,"⚠ Com valores vencidos","✔ Em dia")))</f>
        <v/>
      </c>
    </row>
    <row r="7">
      <c r="A7" s="14" t="inlineStr">
        <is>
          <t>CLI002</t>
        </is>
      </c>
      <c r="B7" s="29" t="inlineStr">
        <is>
          <t>PADARIA PÃO DOURADO ME</t>
        </is>
      </c>
      <c r="C7" s="29" t="inlineStr">
        <is>
          <t>Pão Dourado</t>
        </is>
      </c>
      <c r="D7" s="14" t="inlineStr">
        <is>
          <t>22.456.789/0001-22</t>
        </is>
      </c>
      <c r="E7" s="14" t="inlineStr">
        <is>
          <t>(11) 2765-4321</t>
        </is>
      </c>
      <c r="F7" s="14" t="inlineStr">
        <is>
          <t>(11) 99765-1122</t>
        </is>
      </c>
      <c r="G7" s="29" t="inlineStr">
        <is>
          <t>financeiro@paodourado.com.br</t>
        </is>
      </c>
      <c r="H7" s="29" t="inlineStr">
        <is>
          <t>Santo André</t>
        </is>
      </c>
      <c r="I7" s="14" t="inlineStr">
        <is>
          <t>SP</t>
        </is>
      </c>
      <c r="J7" s="29" t="inlineStr">
        <is>
          <t>Padarias</t>
        </is>
      </c>
      <c r="K7" s="29" t="inlineStr">
        <is>
          <t>Ana Paula Souza</t>
        </is>
      </c>
      <c r="L7" s="35" t="n">
        <v>30000</v>
      </c>
      <c r="M7" s="36" t="n">
        <v>45446</v>
      </c>
      <c r="N7" s="14" t="inlineStr">
        <is>
          <t>Ativo</t>
        </is>
      </c>
      <c r="O7" s="29" t="inlineStr">
        <is>
          <t>Pagamento à vista (PIX) na entrega</t>
        </is>
      </c>
      <c r="P7" s="18">
        <f>IF($B7="","",SUMIFS('LANÇAMENTOS'!$Q$6:$Q$2005,'LANÇAMENTOS'!$I$6:$I$2005,$B7)+IF($C7=$B7,0,SUMIFS('LANÇAMENTOS'!$Q$6:$Q$2005,'LANÇAMENTOS'!$I$6:$I$2005,$C7)))</f>
        <v/>
      </c>
      <c r="Q7" s="24">
        <f>IF($B7="","",COUNTIFS('LANÇAMENTOS'!$I$6:$I$2005,$B7,'LANÇAMENTOS'!$P$6:$P$2005,1)+IF($C7=$B7,0,COUNTIFS('LANÇAMENTOS'!$I$6:$I$2005,$C7,'LANÇAMENTOS'!$P$6:$P$2005,1)))</f>
        <v/>
      </c>
      <c r="R7" s="18">
        <f>IFERROR(IF($P7=0,"",$P7/$Q7),"")</f>
        <v/>
      </c>
      <c r="S7" s="30">
        <f>IF($B7="","",IFERROR(IF(SUMPRODUCT(MAX(('LANÇAMENTOS'!$I$6:$I$2005=$B7)*'LANÇAMENTOS'!$B$6:$B$2005))&gt;0,SUMPRODUCT(MAX(('LANÇAMENTOS'!$I$6:$I$2005=$B7)*'LANÇAMENTOS'!$B$6:$B$2005)),""),""))</f>
        <v/>
      </c>
      <c r="T7" s="18">
        <f>IF($B7="","",SUMIFS('LANÇAMENTOS'!$W$6:$W$2005,'LANÇAMENTOS'!$I$6:$I$2005,$B7,'LANÇAMENTOS'!$E$6:$E$2005,"Entrada")+IF($C7=$B7,0,SUMIFS('LANÇAMENTOS'!$W$6:$W$2005,'LANÇAMENTOS'!$I$6:$I$2005,$C7,'LANÇAMENTOS'!$E$6:$E$2005,"Entrada")))</f>
        <v/>
      </c>
      <c r="U7" s="18">
        <f>IF($B7="","",SUMIFS('LANÇAMENTOS'!$W$6:$W$2005,'LANÇAMENTOS'!$I$6:$I$2005,$B7,'LANÇAMENTOS'!$E$6:$E$2005,"Entrada",'LANÇAMENTOS'!$C$6:$C$2005,"&lt;"&amp;TODAY())+IF($C7=$B7,0,SUMIFS('LANÇAMENTOS'!$W$6:$W$2005,'LANÇAMENTOS'!$I$6:$I$2005,$C7,'LANÇAMENTOS'!$E$6:$E$2005,"Entrada",'LANÇAMENTOS'!$C$6:$C$2005,"&lt;"&amp;TODAY())))</f>
        <v/>
      </c>
      <c r="V7" s="24">
        <f>IF(OR($B7="",$U7=0),0,MAX(0,TODAY()-IFERROR(-SUMPRODUCT(MAX(('LANÇAMENTOS'!$I$6:$I$2005=$B7)*('LANÇAMENTOS'!$W$6:$W$2005&gt;0)*('LANÇAMENTOS'!$C$6:$C$2005&lt;TODAY())*(-'LANÇAMENTOS'!$C$6:$C$2005))),TODAY())))</f>
        <v/>
      </c>
      <c r="W7" s="9">
        <f>IF($B7="","",IF($N7="Bloqueado","⛔ Bloqueado",IF($U7&gt;0,"⚠ Com valores vencidos","✔ Em dia")))</f>
        <v/>
      </c>
    </row>
    <row r="8">
      <c r="A8" s="14" t="inlineStr">
        <is>
          <t>CLI003</t>
        </is>
      </c>
      <c r="B8" s="29" t="inlineStr">
        <is>
          <t>RESTAURANTE SABOR CASEIRO LTDA</t>
        </is>
      </c>
      <c r="C8" s="29" t="inlineStr">
        <is>
          <t>Sabor Caseiro</t>
        </is>
      </c>
      <c r="D8" s="14" t="inlineStr">
        <is>
          <t>33.567.890/0001-33</t>
        </is>
      </c>
      <c r="E8" s="14" t="inlineStr">
        <is>
          <t>(11) 3322-1100</t>
        </is>
      </c>
      <c r="F8" s="14" t="inlineStr">
        <is>
          <t>(11) 99654-7788</t>
        </is>
      </c>
      <c r="G8" s="29" t="inlineStr">
        <is>
          <t>contato@saborcaseiro.com.br</t>
        </is>
      </c>
      <c r="H8" s="29" t="inlineStr">
        <is>
          <t>São Paulo</t>
        </is>
      </c>
      <c r="I8" s="14" t="inlineStr">
        <is>
          <t>SP</t>
        </is>
      </c>
      <c r="J8" s="29" t="inlineStr">
        <is>
          <t>Restaurantes</t>
        </is>
      </c>
      <c r="K8" s="29" t="inlineStr">
        <is>
          <t>Carlos Menezes</t>
        </is>
      </c>
      <c r="L8" s="35" t="n">
        <v>45000</v>
      </c>
      <c r="M8" s="36" t="n">
        <v>45250</v>
      </c>
      <c r="N8" s="14" t="inlineStr">
        <is>
          <t>Ativo</t>
        </is>
      </c>
      <c r="O8" s="29" t="inlineStr">
        <is>
          <t>Entrega 2x por semana, boleto 15 dias</t>
        </is>
      </c>
      <c r="P8" s="18">
        <f>IF($B8="","",SUMIFS('LANÇAMENTOS'!$Q$6:$Q$2005,'LANÇAMENTOS'!$I$6:$I$2005,$B8)+IF($C8=$B8,0,SUMIFS('LANÇAMENTOS'!$Q$6:$Q$2005,'LANÇAMENTOS'!$I$6:$I$2005,$C8)))</f>
        <v/>
      </c>
      <c r="Q8" s="24">
        <f>IF($B8="","",COUNTIFS('LANÇAMENTOS'!$I$6:$I$2005,$B8,'LANÇAMENTOS'!$P$6:$P$2005,1)+IF($C8=$B8,0,COUNTIFS('LANÇAMENTOS'!$I$6:$I$2005,$C8,'LANÇAMENTOS'!$P$6:$P$2005,1)))</f>
        <v/>
      </c>
      <c r="R8" s="18">
        <f>IFERROR(IF($P8=0,"",$P8/$Q8),"")</f>
        <v/>
      </c>
      <c r="S8" s="30">
        <f>IF($B8="","",IFERROR(IF(SUMPRODUCT(MAX(('LANÇAMENTOS'!$I$6:$I$2005=$B8)*'LANÇAMENTOS'!$B$6:$B$2005))&gt;0,SUMPRODUCT(MAX(('LANÇAMENTOS'!$I$6:$I$2005=$B8)*'LANÇAMENTOS'!$B$6:$B$2005)),""),""))</f>
        <v/>
      </c>
      <c r="T8" s="18">
        <f>IF($B8="","",SUMIFS('LANÇAMENTOS'!$W$6:$W$2005,'LANÇAMENTOS'!$I$6:$I$2005,$B8,'LANÇAMENTOS'!$E$6:$E$2005,"Entrada")+IF($C8=$B8,0,SUMIFS('LANÇAMENTOS'!$W$6:$W$2005,'LANÇAMENTOS'!$I$6:$I$2005,$C8,'LANÇAMENTOS'!$E$6:$E$2005,"Entrada")))</f>
        <v/>
      </c>
      <c r="U8" s="18">
        <f>IF($B8="","",SUMIFS('LANÇAMENTOS'!$W$6:$W$2005,'LANÇAMENTOS'!$I$6:$I$2005,$B8,'LANÇAMENTOS'!$E$6:$E$2005,"Entrada",'LANÇAMENTOS'!$C$6:$C$2005,"&lt;"&amp;TODAY())+IF($C8=$B8,0,SUMIFS('LANÇAMENTOS'!$W$6:$W$2005,'LANÇAMENTOS'!$I$6:$I$2005,$C8,'LANÇAMENTOS'!$E$6:$E$2005,"Entrada",'LANÇAMENTOS'!$C$6:$C$2005,"&lt;"&amp;TODAY())))</f>
        <v/>
      </c>
      <c r="V8" s="24">
        <f>IF(OR($B8="",$U8=0),0,MAX(0,TODAY()-IFERROR(-SUMPRODUCT(MAX(('LANÇAMENTOS'!$I$6:$I$2005=$B8)*('LANÇAMENTOS'!$W$6:$W$2005&gt;0)*('LANÇAMENTOS'!$C$6:$C$2005&lt;TODAY())*(-'LANÇAMENTOS'!$C$6:$C$2005))),TODAY())))</f>
        <v/>
      </c>
      <c r="W8" s="9">
        <f>IF($B8="","",IF($N8="Bloqueado","⛔ Bloqueado",IF($U8&gt;0,"⚠ Com valores vencidos","✔ Em dia")))</f>
        <v/>
      </c>
    </row>
    <row r="9">
      <c r="A9" s="14" t="inlineStr">
        <is>
          <t>CLI004</t>
        </is>
      </c>
      <c r="B9" s="29" t="inlineStr">
        <is>
          <t>HOTEL VISTA ALEGRE LTDA</t>
        </is>
      </c>
      <c r="C9" s="29" t="inlineStr">
        <is>
          <t>Hotel Vista Alegre</t>
        </is>
      </c>
      <c r="D9" s="14" t="inlineStr">
        <is>
          <t>44.678.901/0001-44</t>
        </is>
      </c>
      <c r="E9" s="14" t="inlineStr">
        <is>
          <t>(11) 2222-3344</t>
        </is>
      </c>
      <c r="F9" s="14" t="inlineStr">
        <is>
          <t>(11) 99555-2211</t>
        </is>
      </c>
      <c r="G9" s="29" t="inlineStr">
        <is>
          <t>compras@vistaalegrehotel.com.br</t>
        </is>
      </c>
      <c r="H9" s="29" t="inlineStr">
        <is>
          <t>Guarulhos</t>
        </is>
      </c>
      <c r="I9" s="14" t="inlineStr">
        <is>
          <t>SP</t>
        </is>
      </c>
      <c r="J9" s="29" t="inlineStr">
        <is>
          <t>Hotelaria</t>
        </is>
      </c>
      <c r="K9" s="29" t="inlineStr">
        <is>
          <t>Ana Paula Souza</t>
        </is>
      </c>
      <c r="L9" s="35" t="n">
        <v>50000</v>
      </c>
      <c r="M9" s="36" t="n">
        <v>45306</v>
      </c>
      <c r="N9" s="14" t="inlineStr">
        <is>
          <t>Bloqueado</t>
        </is>
      </c>
      <c r="O9" s="29" t="inlineStr">
        <is>
          <t>INADIMPLENTE — 3 faturas vencidas; bloqueado para novas vendas a prazo</t>
        </is>
      </c>
      <c r="P9" s="18">
        <f>IF($B9="","",SUMIFS('LANÇAMENTOS'!$Q$6:$Q$2005,'LANÇAMENTOS'!$I$6:$I$2005,$B9)+IF($C9=$B9,0,SUMIFS('LANÇAMENTOS'!$Q$6:$Q$2005,'LANÇAMENTOS'!$I$6:$I$2005,$C9)))</f>
        <v/>
      </c>
      <c r="Q9" s="24">
        <f>IF($B9="","",COUNTIFS('LANÇAMENTOS'!$I$6:$I$2005,$B9,'LANÇAMENTOS'!$P$6:$P$2005,1)+IF($C9=$B9,0,COUNTIFS('LANÇAMENTOS'!$I$6:$I$2005,$C9,'LANÇAMENTOS'!$P$6:$P$2005,1)))</f>
        <v/>
      </c>
      <c r="R9" s="18">
        <f>IFERROR(IF($P9=0,"",$P9/$Q9),"")</f>
        <v/>
      </c>
      <c r="S9" s="30">
        <f>IF($B9="","",IFERROR(IF(SUMPRODUCT(MAX(('LANÇAMENTOS'!$I$6:$I$2005=$B9)*'LANÇAMENTOS'!$B$6:$B$2005))&gt;0,SUMPRODUCT(MAX(('LANÇAMENTOS'!$I$6:$I$2005=$B9)*'LANÇAMENTOS'!$B$6:$B$2005)),""),""))</f>
        <v/>
      </c>
      <c r="T9" s="18">
        <f>IF($B9="","",SUMIFS('LANÇAMENTOS'!$W$6:$W$2005,'LANÇAMENTOS'!$I$6:$I$2005,$B9,'LANÇAMENTOS'!$E$6:$E$2005,"Entrada")+IF($C9=$B9,0,SUMIFS('LANÇAMENTOS'!$W$6:$W$2005,'LANÇAMENTOS'!$I$6:$I$2005,$C9,'LANÇAMENTOS'!$E$6:$E$2005,"Entrada")))</f>
        <v/>
      </c>
      <c r="U9" s="18">
        <f>IF($B9="","",SUMIFS('LANÇAMENTOS'!$W$6:$W$2005,'LANÇAMENTOS'!$I$6:$I$2005,$B9,'LANÇAMENTOS'!$E$6:$E$2005,"Entrada",'LANÇAMENTOS'!$C$6:$C$2005,"&lt;"&amp;TODAY())+IF($C9=$B9,0,SUMIFS('LANÇAMENTOS'!$W$6:$W$2005,'LANÇAMENTOS'!$I$6:$I$2005,$C9,'LANÇAMENTOS'!$E$6:$E$2005,"Entrada",'LANÇAMENTOS'!$C$6:$C$2005,"&lt;"&amp;TODAY())))</f>
        <v/>
      </c>
      <c r="V9" s="24">
        <f>IF(OR($B9="",$U9=0),0,MAX(0,TODAY()-IFERROR(-SUMPRODUCT(MAX(('LANÇAMENTOS'!$I$6:$I$2005=$B9)*('LANÇAMENTOS'!$W$6:$W$2005&gt;0)*('LANÇAMENTOS'!$C$6:$C$2005&lt;TODAY())*(-'LANÇAMENTOS'!$C$6:$C$2005))),TODAY())))</f>
        <v/>
      </c>
      <c r="W9" s="9">
        <f>IF($B9="","",IF($N9="Bloqueado","⛔ Bloqueado",IF($U9&gt;0,"⚠ Com valores vencidos","✔ Em dia")))</f>
        <v/>
      </c>
    </row>
    <row r="10">
      <c r="A10" s="14" t="inlineStr">
        <is>
          <t>CLI005</t>
        </is>
      </c>
      <c r="B10" s="29" t="inlineStr">
        <is>
          <t>EMPÓRIO NATURAL COMÉRCIO LTDA</t>
        </is>
      </c>
      <c r="C10" s="29" t="inlineStr">
        <is>
          <t>Empório Natural</t>
        </is>
      </c>
      <c r="D10" s="14" t="inlineStr">
        <is>
          <t>55.789.012/0001-55</t>
        </is>
      </c>
      <c r="E10" s="14" t="inlineStr">
        <is>
          <t>(11) 4002-7788</t>
        </is>
      </c>
      <c r="F10" s="14" t="inlineStr">
        <is>
          <t>(11) 99444-3322</t>
        </is>
      </c>
      <c r="G10" s="29" t="inlineStr">
        <is>
          <t>suprimentos@emporionatural.com.br</t>
        </is>
      </c>
      <c r="H10" s="29" t="inlineStr">
        <is>
          <t>Osasco</t>
        </is>
      </c>
      <c r="I10" s="14" t="inlineStr">
        <is>
          <t>SP</t>
        </is>
      </c>
      <c r="J10" s="29" t="inlineStr">
        <is>
          <t>Varejo de Alimentos</t>
        </is>
      </c>
      <c r="K10" s="29" t="inlineStr">
        <is>
          <t>Carlos Menezes</t>
        </is>
      </c>
      <c r="L10" s="35" t="n">
        <v>60000</v>
      </c>
      <c r="M10" s="36" t="n">
        <v>45543</v>
      </c>
      <c r="N10" s="14" t="inlineStr">
        <is>
          <t>Ativo</t>
        </is>
      </c>
      <c r="O10" s="29" t="inlineStr">
        <is>
          <t>Compras parceladas em 2x/3x — acompanhar limite</t>
        </is>
      </c>
      <c r="P10" s="18">
        <f>IF($B10="","",SUMIFS('LANÇAMENTOS'!$Q$6:$Q$2005,'LANÇAMENTOS'!$I$6:$I$2005,$B10)+IF($C10=$B10,0,SUMIFS('LANÇAMENTOS'!$Q$6:$Q$2005,'LANÇAMENTOS'!$I$6:$I$2005,$C10)))</f>
        <v/>
      </c>
      <c r="Q10" s="24">
        <f>IF($B10="","",COUNTIFS('LANÇAMENTOS'!$I$6:$I$2005,$B10,'LANÇAMENTOS'!$P$6:$P$2005,1)+IF($C10=$B10,0,COUNTIFS('LANÇAMENTOS'!$I$6:$I$2005,$C10,'LANÇAMENTOS'!$P$6:$P$2005,1)))</f>
        <v/>
      </c>
      <c r="R10" s="18">
        <f>IFERROR(IF($P10=0,"",$P10/$Q10),"")</f>
        <v/>
      </c>
      <c r="S10" s="30">
        <f>IF($B10="","",IFERROR(IF(SUMPRODUCT(MAX(('LANÇAMENTOS'!$I$6:$I$2005=$B10)*'LANÇAMENTOS'!$B$6:$B$2005))&gt;0,SUMPRODUCT(MAX(('LANÇAMENTOS'!$I$6:$I$2005=$B10)*'LANÇAMENTOS'!$B$6:$B$2005)),""),""))</f>
        <v/>
      </c>
      <c r="T10" s="18">
        <f>IF($B10="","",SUMIFS('LANÇAMENTOS'!$W$6:$W$2005,'LANÇAMENTOS'!$I$6:$I$2005,$B10,'LANÇAMENTOS'!$E$6:$E$2005,"Entrada")+IF($C10=$B10,0,SUMIFS('LANÇAMENTOS'!$W$6:$W$2005,'LANÇAMENTOS'!$I$6:$I$2005,$C10,'LANÇAMENTOS'!$E$6:$E$2005,"Entrada")))</f>
        <v/>
      </c>
      <c r="U10" s="18">
        <f>IF($B10="","",SUMIFS('LANÇAMENTOS'!$W$6:$W$2005,'LANÇAMENTOS'!$I$6:$I$2005,$B10,'LANÇAMENTOS'!$E$6:$E$2005,"Entrada",'LANÇAMENTOS'!$C$6:$C$2005,"&lt;"&amp;TODAY())+IF($C10=$B10,0,SUMIFS('LANÇAMENTOS'!$W$6:$W$2005,'LANÇAMENTOS'!$I$6:$I$2005,$C10,'LANÇAMENTOS'!$E$6:$E$2005,"Entrada",'LANÇAMENTOS'!$C$6:$C$2005,"&lt;"&amp;TODAY())))</f>
        <v/>
      </c>
      <c r="V10" s="24">
        <f>IF(OR($B10="",$U10=0),0,MAX(0,TODAY()-IFERROR(-SUMPRODUCT(MAX(('LANÇAMENTOS'!$I$6:$I$2005=$B10)*('LANÇAMENTOS'!$W$6:$W$2005&gt;0)*('LANÇAMENTOS'!$C$6:$C$2005&lt;TODAY())*(-'LANÇAMENTOS'!$C$6:$C$2005))),TODAY())))</f>
        <v/>
      </c>
      <c r="W10" s="9">
        <f>IF($B10="","",IF($N10="Bloqueado","⛔ Bloqueado",IF($U10&gt;0,"⚠ Com valores vencidos","✔ Em dia")))</f>
        <v/>
      </c>
    </row>
    <row r="11">
      <c r="A11" s="14" t="n"/>
      <c r="B11" s="29" t="n"/>
      <c r="C11" s="29" t="n"/>
      <c r="D11" s="14" t="n"/>
      <c r="E11" s="14" t="n"/>
      <c r="F11" s="14" t="n"/>
      <c r="G11" s="29" t="n"/>
      <c r="H11" s="29" t="n"/>
      <c r="I11" s="14" t="n"/>
      <c r="J11" s="29" t="n"/>
      <c r="K11" s="29" t="n"/>
      <c r="L11" s="35" t="n"/>
      <c r="M11" s="36" t="n"/>
      <c r="N11" s="14" t="n"/>
      <c r="O11" s="29" t="n"/>
      <c r="P11" s="18">
        <f>IF($B11="","",SUMIFS('LANÇAMENTOS'!$Q$6:$Q$2005,'LANÇAMENTOS'!$I$6:$I$2005,$B11)+IF($C11=$B11,0,SUMIFS('LANÇAMENTOS'!$Q$6:$Q$2005,'LANÇAMENTOS'!$I$6:$I$2005,$C11)))</f>
        <v/>
      </c>
      <c r="Q11" s="24">
        <f>IF($B11="","",COUNTIFS('LANÇAMENTOS'!$I$6:$I$2005,$B11,'LANÇAMENTOS'!$P$6:$P$2005,1)+IF($C11=$B11,0,COUNTIFS('LANÇAMENTOS'!$I$6:$I$2005,$C11,'LANÇAMENTOS'!$P$6:$P$2005,1)))</f>
        <v/>
      </c>
      <c r="R11" s="18">
        <f>IFERROR(IF($P11=0,"",$P11/$Q11),"")</f>
        <v/>
      </c>
      <c r="S11" s="30">
        <f>IF($B11="","",IFERROR(IF(SUMPRODUCT(MAX(('LANÇAMENTOS'!$I$6:$I$2005=$B11)*'LANÇAMENTOS'!$B$6:$B$2005))&gt;0,SUMPRODUCT(MAX(('LANÇAMENTOS'!$I$6:$I$2005=$B11)*'LANÇAMENTOS'!$B$6:$B$2005)),""),""))</f>
        <v/>
      </c>
      <c r="T11" s="18">
        <f>IF($B11="","",SUMIFS('LANÇAMENTOS'!$W$6:$W$2005,'LANÇAMENTOS'!$I$6:$I$2005,$B11,'LANÇAMENTOS'!$E$6:$E$2005,"Entrada")+IF($C11=$B11,0,SUMIFS('LANÇAMENTOS'!$W$6:$W$2005,'LANÇAMENTOS'!$I$6:$I$2005,$C11,'LANÇAMENTOS'!$E$6:$E$2005,"Entrada")))</f>
        <v/>
      </c>
      <c r="U11" s="18">
        <f>IF($B11="","",SUMIFS('LANÇAMENTOS'!$W$6:$W$2005,'LANÇAMENTOS'!$I$6:$I$2005,$B11,'LANÇAMENTOS'!$E$6:$E$2005,"Entrada",'LANÇAMENTOS'!$C$6:$C$2005,"&lt;"&amp;TODAY())+IF($C11=$B11,0,SUMIFS('LANÇAMENTOS'!$W$6:$W$2005,'LANÇAMENTOS'!$I$6:$I$2005,$C11,'LANÇAMENTOS'!$E$6:$E$2005,"Entrada",'LANÇAMENTOS'!$C$6:$C$2005,"&lt;"&amp;TODAY())))</f>
        <v/>
      </c>
      <c r="V11" s="24">
        <f>IF(OR($B11="",$U11=0),0,MAX(0,TODAY()-IFERROR(-SUMPRODUCT(MAX(('LANÇAMENTOS'!$I$6:$I$2005=$B11)*('LANÇAMENTOS'!$W$6:$W$2005&gt;0)*('LANÇAMENTOS'!$C$6:$C$2005&lt;TODAY())*(-'LANÇAMENTOS'!$C$6:$C$2005))),TODAY())))</f>
        <v/>
      </c>
      <c r="W11" s="9">
        <f>IF($B11="","",IF($N11="Bloqueado","⛔ Bloqueado",IF($U11&gt;0,"⚠ Com valores vencidos","✔ Em dia")))</f>
        <v/>
      </c>
    </row>
    <row r="12">
      <c r="A12" s="14" t="n"/>
      <c r="B12" s="29" t="n"/>
      <c r="C12" s="29" t="n"/>
      <c r="D12" s="14" t="n"/>
      <c r="E12" s="14" t="n"/>
      <c r="F12" s="14" t="n"/>
      <c r="G12" s="29" t="n"/>
      <c r="H12" s="29" t="n"/>
      <c r="I12" s="14" t="n"/>
      <c r="J12" s="29" t="n"/>
      <c r="K12" s="29" t="n"/>
      <c r="L12" s="35" t="n"/>
      <c r="M12" s="36" t="n"/>
      <c r="N12" s="14" t="n"/>
      <c r="O12" s="29" t="n"/>
      <c r="P12" s="18">
        <f>IF($B12="","",SUMIFS('LANÇAMENTOS'!$Q$6:$Q$2005,'LANÇAMENTOS'!$I$6:$I$2005,$B12)+IF($C12=$B12,0,SUMIFS('LANÇAMENTOS'!$Q$6:$Q$2005,'LANÇAMENTOS'!$I$6:$I$2005,$C12)))</f>
        <v/>
      </c>
      <c r="Q12" s="24">
        <f>IF($B12="","",COUNTIFS('LANÇAMENTOS'!$I$6:$I$2005,$B12,'LANÇAMENTOS'!$P$6:$P$2005,1)+IF($C12=$B12,0,COUNTIFS('LANÇAMENTOS'!$I$6:$I$2005,$C12,'LANÇAMENTOS'!$P$6:$P$2005,1)))</f>
        <v/>
      </c>
      <c r="R12" s="18">
        <f>IFERROR(IF($P12=0,"",$P12/$Q12),"")</f>
        <v/>
      </c>
      <c r="S12" s="30">
        <f>IF($B12="","",IFERROR(IF(SUMPRODUCT(MAX(('LANÇAMENTOS'!$I$6:$I$2005=$B12)*'LANÇAMENTOS'!$B$6:$B$2005))&gt;0,SUMPRODUCT(MAX(('LANÇAMENTOS'!$I$6:$I$2005=$B12)*'LANÇAMENTOS'!$B$6:$B$2005)),""),""))</f>
        <v/>
      </c>
      <c r="T12" s="18">
        <f>IF($B12="","",SUMIFS('LANÇAMENTOS'!$W$6:$W$2005,'LANÇAMENTOS'!$I$6:$I$2005,$B12,'LANÇAMENTOS'!$E$6:$E$2005,"Entrada")+IF($C12=$B12,0,SUMIFS('LANÇAMENTOS'!$W$6:$W$2005,'LANÇAMENTOS'!$I$6:$I$2005,$C12,'LANÇAMENTOS'!$E$6:$E$2005,"Entrada")))</f>
        <v/>
      </c>
      <c r="U12" s="18">
        <f>IF($B12="","",SUMIFS('LANÇAMENTOS'!$W$6:$W$2005,'LANÇAMENTOS'!$I$6:$I$2005,$B12,'LANÇAMENTOS'!$E$6:$E$2005,"Entrada",'LANÇAMENTOS'!$C$6:$C$2005,"&lt;"&amp;TODAY())+IF($C12=$B12,0,SUMIFS('LANÇAMENTOS'!$W$6:$W$2005,'LANÇAMENTOS'!$I$6:$I$2005,$C12,'LANÇAMENTOS'!$E$6:$E$2005,"Entrada",'LANÇAMENTOS'!$C$6:$C$2005,"&lt;"&amp;TODAY())))</f>
        <v/>
      </c>
      <c r="V12" s="24">
        <f>IF(OR($B12="",$U12=0),0,MAX(0,TODAY()-IFERROR(-SUMPRODUCT(MAX(('LANÇAMENTOS'!$I$6:$I$2005=$B12)*('LANÇAMENTOS'!$W$6:$W$2005&gt;0)*('LANÇAMENTOS'!$C$6:$C$2005&lt;TODAY())*(-'LANÇAMENTOS'!$C$6:$C$2005))),TODAY())))</f>
        <v/>
      </c>
      <c r="W12" s="9">
        <f>IF($B12="","",IF($N12="Bloqueado","⛔ Bloqueado",IF($U12&gt;0,"⚠ Com valores vencidos","✔ Em dia")))</f>
        <v/>
      </c>
    </row>
    <row r="13">
      <c r="A13" s="14" t="n"/>
      <c r="B13" s="29" t="n"/>
      <c r="C13" s="29" t="n"/>
      <c r="D13" s="14" t="n"/>
      <c r="E13" s="14" t="n"/>
      <c r="F13" s="14" t="n"/>
      <c r="G13" s="29" t="n"/>
      <c r="H13" s="29" t="n"/>
      <c r="I13" s="14" t="n"/>
      <c r="J13" s="29" t="n"/>
      <c r="K13" s="29" t="n"/>
      <c r="L13" s="35" t="n"/>
      <c r="M13" s="36" t="n"/>
      <c r="N13" s="14" t="n"/>
      <c r="O13" s="29" t="n"/>
      <c r="P13" s="18">
        <f>IF($B13="","",SUMIFS('LANÇAMENTOS'!$Q$6:$Q$2005,'LANÇAMENTOS'!$I$6:$I$2005,$B13)+IF($C13=$B13,0,SUMIFS('LANÇAMENTOS'!$Q$6:$Q$2005,'LANÇAMENTOS'!$I$6:$I$2005,$C13)))</f>
        <v/>
      </c>
      <c r="Q13" s="24">
        <f>IF($B13="","",COUNTIFS('LANÇAMENTOS'!$I$6:$I$2005,$B13,'LANÇAMENTOS'!$P$6:$P$2005,1)+IF($C13=$B13,0,COUNTIFS('LANÇAMENTOS'!$I$6:$I$2005,$C13,'LANÇAMENTOS'!$P$6:$P$2005,1)))</f>
        <v/>
      </c>
      <c r="R13" s="18">
        <f>IFERROR(IF($P13=0,"",$P13/$Q13),"")</f>
        <v/>
      </c>
      <c r="S13" s="30">
        <f>IF($B13="","",IFERROR(IF(SUMPRODUCT(MAX(('LANÇAMENTOS'!$I$6:$I$2005=$B13)*'LANÇAMENTOS'!$B$6:$B$2005))&gt;0,SUMPRODUCT(MAX(('LANÇAMENTOS'!$I$6:$I$2005=$B13)*'LANÇAMENTOS'!$B$6:$B$2005)),""),""))</f>
        <v/>
      </c>
      <c r="T13" s="18">
        <f>IF($B13="","",SUMIFS('LANÇAMENTOS'!$W$6:$W$2005,'LANÇAMENTOS'!$I$6:$I$2005,$B13,'LANÇAMENTOS'!$E$6:$E$2005,"Entrada")+IF($C13=$B13,0,SUMIFS('LANÇAMENTOS'!$W$6:$W$2005,'LANÇAMENTOS'!$I$6:$I$2005,$C13,'LANÇAMENTOS'!$E$6:$E$2005,"Entrada")))</f>
        <v/>
      </c>
      <c r="U13" s="18">
        <f>IF($B13="","",SUMIFS('LANÇAMENTOS'!$W$6:$W$2005,'LANÇAMENTOS'!$I$6:$I$2005,$B13,'LANÇAMENTOS'!$E$6:$E$2005,"Entrada",'LANÇAMENTOS'!$C$6:$C$2005,"&lt;"&amp;TODAY())+IF($C13=$B13,0,SUMIFS('LANÇAMENTOS'!$W$6:$W$2005,'LANÇAMENTOS'!$I$6:$I$2005,$C13,'LANÇAMENTOS'!$E$6:$E$2005,"Entrada",'LANÇAMENTOS'!$C$6:$C$2005,"&lt;"&amp;TODAY())))</f>
        <v/>
      </c>
      <c r="V13" s="24">
        <f>IF(OR($B13="",$U13=0),0,MAX(0,TODAY()-IFERROR(-SUMPRODUCT(MAX(('LANÇAMENTOS'!$I$6:$I$2005=$B13)*('LANÇAMENTOS'!$W$6:$W$2005&gt;0)*('LANÇAMENTOS'!$C$6:$C$2005&lt;TODAY())*(-'LANÇAMENTOS'!$C$6:$C$2005))),TODAY())))</f>
        <v/>
      </c>
      <c r="W13" s="9">
        <f>IF($B13="","",IF($N13="Bloqueado","⛔ Bloqueado",IF($U13&gt;0,"⚠ Com valores vencidos","✔ Em dia")))</f>
        <v/>
      </c>
    </row>
    <row r="14">
      <c r="A14" s="14" t="n"/>
      <c r="B14" s="29" t="n"/>
      <c r="C14" s="29" t="n"/>
      <c r="D14" s="14" t="n"/>
      <c r="E14" s="14" t="n"/>
      <c r="F14" s="14" t="n"/>
      <c r="G14" s="29" t="n"/>
      <c r="H14" s="29" t="n"/>
      <c r="I14" s="14" t="n"/>
      <c r="J14" s="29" t="n"/>
      <c r="K14" s="29" t="n"/>
      <c r="L14" s="35" t="n"/>
      <c r="M14" s="36" t="n"/>
      <c r="N14" s="14" t="n"/>
      <c r="O14" s="29" t="n"/>
      <c r="P14" s="18">
        <f>IF($B14="","",SUMIFS('LANÇAMENTOS'!$Q$6:$Q$2005,'LANÇAMENTOS'!$I$6:$I$2005,$B14)+IF($C14=$B14,0,SUMIFS('LANÇAMENTOS'!$Q$6:$Q$2005,'LANÇAMENTOS'!$I$6:$I$2005,$C14)))</f>
        <v/>
      </c>
      <c r="Q14" s="24">
        <f>IF($B14="","",COUNTIFS('LANÇAMENTOS'!$I$6:$I$2005,$B14,'LANÇAMENTOS'!$P$6:$P$2005,1)+IF($C14=$B14,0,COUNTIFS('LANÇAMENTOS'!$I$6:$I$2005,$C14,'LANÇAMENTOS'!$P$6:$P$2005,1)))</f>
        <v/>
      </c>
      <c r="R14" s="18">
        <f>IFERROR(IF($P14=0,"",$P14/$Q14),"")</f>
        <v/>
      </c>
      <c r="S14" s="30">
        <f>IF($B14="","",IFERROR(IF(SUMPRODUCT(MAX(('LANÇAMENTOS'!$I$6:$I$2005=$B14)*'LANÇAMENTOS'!$B$6:$B$2005))&gt;0,SUMPRODUCT(MAX(('LANÇAMENTOS'!$I$6:$I$2005=$B14)*'LANÇAMENTOS'!$B$6:$B$2005)),""),""))</f>
        <v/>
      </c>
      <c r="T14" s="18">
        <f>IF($B14="","",SUMIFS('LANÇAMENTOS'!$W$6:$W$2005,'LANÇAMENTOS'!$I$6:$I$2005,$B14,'LANÇAMENTOS'!$E$6:$E$2005,"Entrada")+IF($C14=$B14,0,SUMIFS('LANÇAMENTOS'!$W$6:$W$2005,'LANÇAMENTOS'!$I$6:$I$2005,$C14,'LANÇAMENTOS'!$E$6:$E$2005,"Entrada")))</f>
        <v/>
      </c>
      <c r="U14" s="18">
        <f>IF($B14="","",SUMIFS('LANÇAMENTOS'!$W$6:$W$2005,'LANÇAMENTOS'!$I$6:$I$2005,$B14,'LANÇAMENTOS'!$E$6:$E$2005,"Entrada",'LANÇAMENTOS'!$C$6:$C$2005,"&lt;"&amp;TODAY())+IF($C14=$B14,0,SUMIFS('LANÇAMENTOS'!$W$6:$W$2005,'LANÇAMENTOS'!$I$6:$I$2005,$C14,'LANÇAMENTOS'!$E$6:$E$2005,"Entrada",'LANÇAMENTOS'!$C$6:$C$2005,"&lt;"&amp;TODAY())))</f>
        <v/>
      </c>
      <c r="V14" s="24">
        <f>IF(OR($B14="",$U14=0),0,MAX(0,TODAY()-IFERROR(-SUMPRODUCT(MAX(('LANÇAMENTOS'!$I$6:$I$2005=$B14)*('LANÇAMENTOS'!$W$6:$W$2005&gt;0)*('LANÇAMENTOS'!$C$6:$C$2005&lt;TODAY())*(-'LANÇAMENTOS'!$C$6:$C$2005))),TODAY())))</f>
        <v/>
      </c>
      <c r="W14" s="9">
        <f>IF($B14="","",IF($N14="Bloqueado","⛔ Bloqueado",IF($U14&gt;0,"⚠ Com valores vencidos","✔ Em dia")))</f>
        <v/>
      </c>
    </row>
    <row r="15">
      <c r="A15" s="14" t="n"/>
      <c r="B15" s="29" t="n"/>
      <c r="C15" s="29" t="n"/>
      <c r="D15" s="14" t="n"/>
      <c r="E15" s="14" t="n"/>
      <c r="F15" s="14" t="n"/>
      <c r="G15" s="29" t="n"/>
      <c r="H15" s="29" t="n"/>
      <c r="I15" s="14" t="n"/>
      <c r="J15" s="29" t="n"/>
      <c r="K15" s="29" t="n"/>
      <c r="L15" s="35" t="n"/>
      <c r="M15" s="36" t="n"/>
      <c r="N15" s="14" t="n"/>
      <c r="O15" s="29" t="n"/>
      <c r="P15" s="18">
        <f>IF($B15="","",SUMIFS('LANÇAMENTOS'!$Q$6:$Q$2005,'LANÇAMENTOS'!$I$6:$I$2005,$B15)+IF($C15=$B15,0,SUMIFS('LANÇAMENTOS'!$Q$6:$Q$2005,'LANÇAMENTOS'!$I$6:$I$2005,$C15)))</f>
        <v/>
      </c>
      <c r="Q15" s="24">
        <f>IF($B15="","",COUNTIFS('LANÇAMENTOS'!$I$6:$I$2005,$B15,'LANÇAMENTOS'!$P$6:$P$2005,1)+IF($C15=$B15,0,COUNTIFS('LANÇAMENTOS'!$I$6:$I$2005,$C15,'LANÇAMENTOS'!$P$6:$P$2005,1)))</f>
        <v/>
      </c>
      <c r="R15" s="18">
        <f>IFERROR(IF($P15=0,"",$P15/$Q15),"")</f>
        <v/>
      </c>
      <c r="S15" s="30">
        <f>IF($B15="","",IFERROR(IF(SUMPRODUCT(MAX(('LANÇAMENTOS'!$I$6:$I$2005=$B15)*'LANÇAMENTOS'!$B$6:$B$2005))&gt;0,SUMPRODUCT(MAX(('LANÇAMENTOS'!$I$6:$I$2005=$B15)*'LANÇAMENTOS'!$B$6:$B$2005)),""),""))</f>
        <v/>
      </c>
      <c r="T15" s="18">
        <f>IF($B15="","",SUMIFS('LANÇAMENTOS'!$W$6:$W$2005,'LANÇAMENTOS'!$I$6:$I$2005,$B15,'LANÇAMENTOS'!$E$6:$E$2005,"Entrada")+IF($C15=$B15,0,SUMIFS('LANÇAMENTOS'!$W$6:$W$2005,'LANÇAMENTOS'!$I$6:$I$2005,$C15,'LANÇAMENTOS'!$E$6:$E$2005,"Entrada")))</f>
        <v/>
      </c>
      <c r="U15" s="18">
        <f>IF($B15="","",SUMIFS('LANÇAMENTOS'!$W$6:$W$2005,'LANÇAMENTOS'!$I$6:$I$2005,$B15,'LANÇAMENTOS'!$E$6:$E$2005,"Entrada",'LANÇAMENTOS'!$C$6:$C$2005,"&lt;"&amp;TODAY())+IF($C15=$B15,0,SUMIFS('LANÇAMENTOS'!$W$6:$W$2005,'LANÇAMENTOS'!$I$6:$I$2005,$C15,'LANÇAMENTOS'!$E$6:$E$2005,"Entrada",'LANÇAMENTOS'!$C$6:$C$2005,"&lt;"&amp;TODAY())))</f>
        <v/>
      </c>
      <c r="V15" s="24">
        <f>IF(OR($B15="",$U15=0),0,MAX(0,TODAY()-IFERROR(-SUMPRODUCT(MAX(('LANÇAMENTOS'!$I$6:$I$2005=$B15)*('LANÇAMENTOS'!$W$6:$W$2005&gt;0)*('LANÇAMENTOS'!$C$6:$C$2005&lt;TODAY())*(-'LANÇAMENTOS'!$C$6:$C$2005))),TODAY())))</f>
        <v/>
      </c>
      <c r="W15" s="9">
        <f>IF($B15="","",IF($N15="Bloqueado","⛔ Bloqueado",IF($U15&gt;0,"⚠ Com valores vencidos","✔ Em dia")))</f>
        <v/>
      </c>
    </row>
    <row r="16">
      <c r="A16" s="14" t="n"/>
      <c r="B16" s="29" t="n"/>
      <c r="C16" s="29" t="n"/>
      <c r="D16" s="14" t="n"/>
      <c r="E16" s="14" t="n"/>
      <c r="F16" s="14" t="n"/>
      <c r="G16" s="29" t="n"/>
      <c r="H16" s="29" t="n"/>
      <c r="I16" s="14" t="n"/>
      <c r="J16" s="29" t="n"/>
      <c r="K16" s="29" t="n"/>
      <c r="L16" s="35" t="n"/>
      <c r="M16" s="36" t="n"/>
      <c r="N16" s="14" t="n"/>
      <c r="O16" s="29" t="n"/>
      <c r="P16" s="18">
        <f>IF($B16="","",SUMIFS('LANÇAMENTOS'!$Q$6:$Q$2005,'LANÇAMENTOS'!$I$6:$I$2005,$B16)+IF($C16=$B16,0,SUMIFS('LANÇAMENTOS'!$Q$6:$Q$2005,'LANÇAMENTOS'!$I$6:$I$2005,$C16)))</f>
        <v/>
      </c>
      <c r="Q16" s="24">
        <f>IF($B16="","",COUNTIFS('LANÇAMENTOS'!$I$6:$I$2005,$B16,'LANÇAMENTOS'!$P$6:$P$2005,1)+IF($C16=$B16,0,COUNTIFS('LANÇAMENTOS'!$I$6:$I$2005,$C16,'LANÇAMENTOS'!$P$6:$P$2005,1)))</f>
        <v/>
      </c>
      <c r="R16" s="18">
        <f>IFERROR(IF($P16=0,"",$P16/$Q16),"")</f>
        <v/>
      </c>
      <c r="S16" s="30">
        <f>IF($B16="","",IFERROR(IF(SUMPRODUCT(MAX(('LANÇAMENTOS'!$I$6:$I$2005=$B16)*'LANÇAMENTOS'!$B$6:$B$2005))&gt;0,SUMPRODUCT(MAX(('LANÇAMENTOS'!$I$6:$I$2005=$B16)*'LANÇAMENTOS'!$B$6:$B$2005)),""),""))</f>
        <v/>
      </c>
      <c r="T16" s="18">
        <f>IF($B16="","",SUMIFS('LANÇAMENTOS'!$W$6:$W$2005,'LANÇAMENTOS'!$I$6:$I$2005,$B16,'LANÇAMENTOS'!$E$6:$E$2005,"Entrada")+IF($C16=$B16,0,SUMIFS('LANÇAMENTOS'!$W$6:$W$2005,'LANÇAMENTOS'!$I$6:$I$2005,$C16,'LANÇAMENTOS'!$E$6:$E$2005,"Entrada")))</f>
        <v/>
      </c>
      <c r="U16" s="18">
        <f>IF($B16="","",SUMIFS('LANÇAMENTOS'!$W$6:$W$2005,'LANÇAMENTOS'!$I$6:$I$2005,$B16,'LANÇAMENTOS'!$E$6:$E$2005,"Entrada",'LANÇAMENTOS'!$C$6:$C$2005,"&lt;"&amp;TODAY())+IF($C16=$B16,0,SUMIFS('LANÇAMENTOS'!$W$6:$W$2005,'LANÇAMENTOS'!$I$6:$I$2005,$C16,'LANÇAMENTOS'!$E$6:$E$2005,"Entrada",'LANÇAMENTOS'!$C$6:$C$2005,"&lt;"&amp;TODAY())))</f>
        <v/>
      </c>
      <c r="V16" s="24">
        <f>IF(OR($B16="",$U16=0),0,MAX(0,TODAY()-IFERROR(-SUMPRODUCT(MAX(('LANÇAMENTOS'!$I$6:$I$2005=$B16)*('LANÇAMENTOS'!$W$6:$W$2005&gt;0)*('LANÇAMENTOS'!$C$6:$C$2005&lt;TODAY())*(-'LANÇAMENTOS'!$C$6:$C$2005))),TODAY())))</f>
        <v/>
      </c>
      <c r="W16" s="9">
        <f>IF($B16="","",IF($N16="Bloqueado","⛔ Bloqueado",IF($U16&gt;0,"⚠ Com valores vencidos","✔ Em dia")))</f>
        <v/>
      </c>
    </row>
    <row r="17">
      <c r="A17" s="14" t="n"/>
      <c r="B17" s="29" t="n"/>
      <c r="C17" s="29" t="n"/>
      <c r="D17" s="14" t="n"/>
      <c r="E17" s="14" t="n"/>
      <c r="F17" s="14" t="n"/>
      <c r="G17" s="29" t="n"/>
      <c r="H17" s="29" t="n"/>
      <c r="I17" s="14" t="n"/>
      <c r="J17" s="29" t="n"/>
      <c r="K17" s="29" t="n"/>
      <c r="L17" s="35" t="n"/>
      <c r="M17" s="36" t="n"/>
      <c r="N17" s="14" t="n"/>
      <c r="O17" s="29" t="n"/>
      <c r="P17" s="18">
        <f>IF($B17="","",SUMIFS('LANÇAMENTOS'!$Q$6:$Q$2005,'LANÇAMENTOS'!$I$6:$I$2005,$B17)+IF($C17=$B17,0,SUMIFS('LANÇAMENTOS'!$Q$6:$Q$2005,'LANÇAMENTOS'!$I$6:$I$2005,$C17)))</f>
        <v/>
      </c>
      <c r="Q17" s="24">
        <f>IF($B17="","",COUNTIFS('LANÇAMENTOS'!$I$6:$I$2005,$B17,'LANÇAMENTOS'!$P$6:$P$2005,1)+IF($C17=$B17,0,COUNTIFS('LANÇAMENTOS'!$I$6:$I$2005,$C17,'LANÇAMENTOS'!$P$6:$P$2005,1)))</f>
        <v/>
      </c>
      <c r="R17" s="18">
        <f>IFERROR(IF($P17=0,"",$P17/$Q17),"")</f>
        <v/>
      </c>
      <c r="S17" s="30">
        <f>IF($B17="","",IFERROR(IF(SUMPRODUCT(MAX(('LANÇAMENTOS'!$I$6:$I$2005=$B17)*'LANÇAMENTOS'!$B$6:$B$2005))&gt;0,SUMPRODUCT(MAX(('LANÇAMENTOS'!$I$6:$I$2005=$B17)*'LANÇAMENTOS'!$B$6:$B$2005)),""),""))</f>
        <v/>
      </c>
      <c r="T17" s="18">
        <f>IF($B17="","",SUMIFS('LANÇAMENTOS'!$W$6:$W$2005,'LANÇAMENTOS'!$I$6:$I$2005,$B17,'LANÇAMENTOS'!$E$6:$E$2005,"Entrada")+IF($C17=$B17,0,SUMIFS('LANÇAMENTOS'!$W$6:$W$2005,'LANÇAMENTOS'!$I$6:$I$2005,$C17,'LANÇAMENTOS'!$E$6:$E$2005,"Entrada")))</f>
        <v/>
      </c>
      <c r="U17" s="18">
        <f>IF($B17="","",SUMIFS('LANÇAMENTOS'!$W$6:$W$2005,'LANÇAMENTOS'!$I$6:$I$2005,$B17,'LANÇAMENTOS'!$E$6:$E$2005,"Entrada",'LANÇAMENTOS'!$C$6:$C$2005,"&lt;"&amp;TODAY())+IF($C17=$B17,0,SUMIFS('LANÇAMENTOS'!$W$6:$W$2005,'LANÇAMENTOS'!$I$6:$I$2005,$C17,'LANÇAMENTOS'!$E$6:$E$2005,"Entrada",'LANÇAMENTOS'!$C$6:$C$2005,"&lt;"&amp;TODAY())))</f>
        <v/>
      </c>
      <c r="V17" s="24">
        <f>IF(OR($B17="",$U17=0),0,MAX(0,TODAY()-IFERROR(-SUMPRODUCT(MAX(('LANÇAMENTOS'!$I$6:$I$2005=$B17)*('LANÇAMENTOS'!$W$6:$W$2005&gt;0)*('LANÇAMENTOS'!$C$6:$C$2005&lt;TODAY())*(-'LANÇAMENTOS'!$C$6:$C$2005))),TODAY())))</f>
        <v/>
      </c>
      <c r="W17" s="9">
        <f>IF($B17="","",IF($N17="Bloqueado","⛔ Bloqueado",IF($U17&gt;0,"⚠ Com valores vencidos","✔ Em dia")))</f>
        <v/>
      </c>
    </row>
    <row r="18">
      <c r="A18" s="14" t="n"/>
      <c r="B18" s="29" t="n"/>
      <c r="C18" s="29" t="n"/>
      <c r="D18" s="14" t="n"/>
      <c r="E18" s="14" t="n"/>
      <c r="F18" s="14" t="n"/>
      <c r="G18" s="29" t="n"/>
      <c r="H18" s="29" t="n"/>
      <c r="I18" s="14" t="n"/>
      <c r="J18" s="29" t="n"/>
      <c r="K18" s="29" t="n"/>
      <c r="L18" s="35" t="n"/>
      <c r="M18" s="36" t="n"/>
      <c r="N18" s="14" t="n"/>
      <c r="O18" s="29" t="n"/>
      <c r="P18" s="18">
        <f>IF($B18="","",SUMIFS('LANÇAMENTOS'!$Q$6:$Q$2005,'LANÇAMENTOS'!$I$6:$I$2005,$B18)+IF($C18=$B18,0,SUMIFS('LANÇAMENTOS'!$Q$6:$Q$2005,'LANÇAMENTOS'!$I$6:$I$2005,$C18)))</f>
        <v/>
      </c>
      <c r="Q18" s="24">
        <f>IF($B18="","",COUNTIFS('LANÇAMENTOS'!$I$6:$I$2005,$B18,'LANÇAMENTOS'!$P$6:$P$2005,1)+IF($C18=$B18,0,COUNTIFS('LANÇAMENTOS'!$I$6:$I$2005,$C18,'LANÇAMENTOS'!$P$6:$P$2005,1)))</f>
        <v/>
      </c>
      <c r="R18" s="18">
        <f>IFERROR(IF($P18=0,"",$P18/$Q18),"")</f>
        <v/>
      </c>
      <c r="S18" s="30">
        <f>IF($B18="","",IFERROR(IF(SUMPRODUCT(MAX(('LANÇAMENTOS'!$I$6:$I$2005=$B18)*'LANÇAMENTOS'!$B$6:$B$2005))&gt;0,SUMPRODUCT(MAX(('LANÇAMENTOS'!$I$6:$I$2005=$B18)*'LANÇAMENTOS'!$B$6:$B$2005)),""),""))</f>
        <v/>
      </c>
      <c r="T18" s="18">
        <f>IF($B18="","",SUMIFS('LANÇAMENTOS'!$W$6:$W$2005,'LANÇAMENTOS'!$I$6:$I$2005,$B18,'LANÇAMENTOS'!$E$6:$E$2005,"Entrada")+IF($C18=$B18,0,SUMIFS('LANÇAMENTOS'!$W$6:$W$2005,'LANÇAMENTOS'!$I$6:$I$2005,$C18,'LANÇAMENTOS'!$E$6:$E$2005,"Entrada")))</f>
        <v/>
      </c>
      <c r="U18" s="18">
        <f>IF($B18="","",SUMIFS('LANÇAMENTOS'!$W$6:$W$2005,'LANÇAMENTOS'!$I$6:$I$2005,$B18,'LANÇAMENTOS'!$E$6:$E$2005,"Entrada",'LANÇAMENTOS'!$C$6:$C$2005,"&lt;"&amp;TODAY())+IF($C18=$B18,0,SUMIFS('LANÇAMENTOS'!$W$6:$W$2005,'LANÇAMENTOS'!$I$6:$I$2005,$C18,'LANÇAMENTOS'!$E$6:$E$2005,"Entrada",'LANÇAMENTOS'!$C$6:$C$2005,"&lt;"&amp;TODAY())))</f>
        <v/>
      </c>
      <c r="V18" s="24">
        <f>IF(OR($B18="",$U18=0),0,MAX(0,TODAY()-IFERROR(-SUMPRODUCT(MAX(('LANÇAMENTOS'!$I$6:$I$2005=$B18)*('LANÇAMENTOS'!$W$6:$W$2005&gt;0)*('LANÇAMENTOS'!$C$6:$C$2005&lt;TODAY())*(-'LANÇAMENTOS'!$C$6:$C$2005))),TODAY())))</f>
        <v/>
      </c>
      <c r="W18" s="9">
        <f>IF($B18="","",IF($N18="Bloqueado","⛔ Bloqueado",IF($U18&gt;0,"⚠ Com valores vencidos","✔ Em dia")))</f>
        <v/>
      </c>
    </row>
    <row r="19">
      <c r="A19" s="14" t="n"/>
      <c r="B19" s="29" t="n"/>
      <c r="C19" s="29" t="n"/>
      <c r="D19" s="14" t="n"/>
      <c r="E19" s="14" t="n"/>
      <c r="F19" s="14" t="n"/>
      <c r="G19" s="29" t="n"/>
      <c r="H19" s="29" t="n"/>
      <c r="I19" s="14" t="n"/>
      <c r="J19" s="29" t="n"/>
      <c r="K19" s="29" t="n"/>
      <c r="L19" s="35" t="n"/>
      <c r="M19" s="36" t="n"/>
      <c r="N19" s="14" t="n"/>
      <c r="O19" s="29" t="n"/>
      <c r="P19" s="18">
        <f>IF($B19="","",SUMIFS('LANÇAMENTOS'!$Q$6:$Q$2005,'LANÇAMENTOS'!$I$6:$I$2005,$B19)+IF($C19=$B19,0,SUMIFS('LANÇAMENTOS'!$Q$6:$Q$2005,'LANÇAMENTOS'!$I$6:$I$2005,$C19)))</f>
        <v/>
      </c>
      <c r="Q19" s="24">
        <f>IF($B19="","",COUNTIFS('LANÇAMENTOS'!$I$6:$I$2005,$B19,'LANÇAMENTOS'!$P$6:$P$2005,1)+IF($C19=$B19,0,COUNTIFS('LANÇAMENTOS'!$I$6:$I$2005,$C19,'LANÇAMENTOS'!$P$6:$P$2005,1)))</f>
        <v/>
      </c>
      <c r="R19" s="18">
        <f>IFERROR(IF($P19=0,"",$P19/$Q19),"")</f>
        <v/>
      </c>
      <c r="S19" s="30">
        <f>IF($B19="","",IFERROR(IF(SUMPRODUCT(MAX(('LANÇAMENTOS'!$I$6:$I$2005=$B19)*'LANÇAMENTOS'!$B$6:$B$2005))&gt;0,SUMPRODUCT(MAX(('LANÇAMENTOS'!$I$6:$I$2005=$B19)*'LANÇAMENTOS'!$B$6:$B$2005)),""),""))</f>
        <v/>
      </c>
      <c r="T19" s="18">
        <f>IF($B19="","",SUMIFS('LANÇAMENTOS'!$W$6:$W$2005,'LANÇAMENTOS'!$I$6:$I$2005,$B19,'LANÇAMENTOS'!$E$6:$E$2005,"Entrada")+IF($C19=$B19,0,SUMIFS('LANÇAMENTOS'!$W$6:$W$2005,'LANÇAMENTOS'!$I$6:$I$2005,$C19,'LANÇAMENTOS'!$E$6:$E$2005,"Entrada")))</f>
        <v/>
      </c>
      <c r="U19" s="18">
        <f>IF($B19="","",SUMIFS('LANÇAMENTOS'!$W$6:$W$2005,'LANÇAMENTOS'!$I$6:$I$2005,$B19,'LANÇAMENTOS'!$E$6:$E$2005,"Entrada",'LANÇAMENTOS'!$C$6:$C$2005,"&lt;"&amp;TODAY())+IF($C19=$B19,0,SUMIFS('LANÇAMENTOS'!$W$6:$W$2005,'LANÇAMENTOS'!$I$6:$I$2005,$C19,'LANÇAMENTOS'!$E$6:$E$2005,"Entrada",'LANÇAMENTOS'!$C$6:$C$2005,"&lt;"&amp;TODAY())))</f>
        <v/>
      </c>
      <c r="V19" s="24">
        <f>IF(OR($B19="",$U19=0),0,MAX(0,TODAY()-IFERROR(-SUMPRODUCT(MAX(('LANÇAMENTOS'!$I$6:$I$2005=$B19)*('LANÇAMENTOS'!$W$6:$W$2005&gt;0)*('LANÇAMENTOS'!$C$6:$C$2005&lt;TODAY())*(-'LANÇAMENTOS'!$C$6:$C$2005))),TODAY())))</f>
        <v/>
      </c>
      <c r="W19" s="9">
        <f>IF($B19="","",IF($N19="Bloqueado","⛔ Bloqueado",IF($U19&gt;0,"⚠ Com valores vencidos","✔ Em dia")))</f>
        <v/>
      </c>
    </row>
    <row r="20">
      <c r="A20" s="14" t="n"/>
      <c r="B20" s="29" t="n"/>
      <c r="C20" s="29" t="n"/>
      <c r="D20" s="14" t="n"/>
      <c r="E20" s="14" t="n"/>
      <c r="F20" s="14" t="n"/>
      <c r="G20" s="29" t="n"/>
      <c r="H20" s="29" t="n"/>
      <c r="I20" s="14" t="n"/>
      <c r="J20" s="29" t="n"/>
      <c r="K20" s="29" t="n"/>
      <c r="L20" s="35" t="n"/>
      <c r="M20" s="36" t="n"/>
      <c r="N20" s="14" t="n"/>
      <c r="O20" s="29" t="n"/>
      <c r="P20" s="18">
        <f>IF($B20="","",SUMIFS('LANÇAMENTOS'!$Q$6:$Q$2005,'LANÇAMENTOS'!$I$6:$I$2005,$B20)+IF($C20=$B20,0,SUMIFS('LANÇAMENTOS'!$Q$6:$Q$2005,'LANÇAMENTOS'!$I$6:$I$2005,$C20)))</f>
        <v/>
      </c>
      <c r="Q20" s="24">
        <f>IF($B20="","",COUNTIFS('LANÇAMENTOS'!$I$6:$I$2005,$B20,'LANÇAMENTOS'!$P$6:$P$2005,1)+IF($C20=$B20,0,COUNTIFS('LANÇAMENTOS'!$I$6:$I$2005,$C20,'LANÇAMENTOS'!$P$6:$P$2005,1)))</f>
        <v/>
      </c>
      <c r="R20" s="18">
        <f>IFERROR(IF($P20=0,"",$P20/$Q20),"")</f>
        <v/>
      </c>
      <c r="S20" s="30">
        <f>IF($B20="","",IFERROR(IF(SUMPRODUCT(MAX(('LANÇAMENTOS'!$I$6:$I$2005=$B20)*'LANÇAMENTOS'!$B$6:$B$2005))&gt;0,SUMPRODUCT(MAX(('LANÇAMENTOS'!$I$6:$I$2005=$B20)*'LANÇAMENTOS'!$B$6:$B$2005)),""),""))</f>
        <v/>
      </c>
      <c r="T20" s="18">
        <f>IF($B20="","",SUMIFS('LANÇAMENTOS'!$W$6:$W$2005,'LANÇAMENTOS'!$I$6:$I$2005,$B20,'LANÇAMENTOS'!$E$6:$E$2005,"Entrada")+IF($C20=$B20,0,SUMIFS('LANÇAMENTOS'!$W$6:$W$2005,'LANÇAMENTOS'!$I$6:$I$2005,$C20,'LANÇAMENTOS'!$E$6:$E$2005,"Entrada")))</f>
        <v/>
      </c>
      <c r="U20" s="18">
        <f>IF($B20="","",SUMIFS('LANÇAMENTOS'!$W$6:$W$2005,'LANÇAMENTOS'!$I$6:$I$2005,$B20,'LANÇAMENTOS'!$E$6:$E$2005,"Entrada",'LANÇAMENTOS'!$C$6:$C$2005,"&lt;"&amp;TODAY())+IF($C20=$B20,0,SUMIFS('LANÇAMENTOS'!$W$6:$W$2005,'LANÇAMENTOS'!$I$6:$I$2005,$C20,'LANÇAMENTOS'!$E$6:$E$2005,"Entrada",'LANÇAMENTOS'!$C$6:$C$2005,"&lt;"&amp;TODAY())))</f>
        <v/>
      </c>
      <c r="V20" s="24">
        <f>IF(OR($B20="",$U20=0),0,MAX(0,TODAY()-IFERROR(-SUMPRODUCT(MAX(('LANÇAMENTOS'!$I$6:$I$2005=$B20)*('LANÇAMENTOS'!$W$6:$W$2005&gt;0)*('LANÇAMENTOS'!$C$6:$C$2005&lt;TODAY())*(-'LANÇAMENTOS'!$C$6:$C$2005))),TODAY())))</f>
        <v/>
      </c>
      <c r="W20" s="9">
        <f>IF($B20="","",IF($N20="Bloqueado","⛔ Bloqueado",IF($U20&gt;0,"⚠ Com valores vencidos","✔ Em dia")))</f>
        <v/>
      </c>
    </row>
    <row r="21">
      <c r="A21" s="14" t="n"/>
      <c r="B21" s="29" t="n"/>
      <c r="C21" s="29" t="n"/>
      <c r="D21" s="14" t="n"/>
      <c r="E21" s="14" t="n"/>
      <c r="F21" s="14" t="n"/>
      <c r="G21" s="29" t="n"/>
      <c r="H21" s="29" t="n"/>
      <c r="I21" s="14" t="n"/>
      <c r="J21" s="29" t="n"/>
      <c r="K21" s="29" t="n"/>
      <c r="L21" s="35" t="n"/>
      <c r="M21" s="36" t="n"/>
      <c r="N21" s="14" t="n"/>
      <c r="O21" s="29" t="n"/>
      <c r="P21" s="18">
        <f>IF($B21="","",SUMIFS('LANÇAMENTOS'!$Q$6:$Q$2005,'LANÇAMENTOS'!$I$6:$I$2005,$B21)+IF($C21=$B21,0,SUMIFS('LANÇAMENTOS'!$Q$6:$Q$2005,'LANÇAMENTOS'!$I$6:$I$2005,$C21)))</f>
        <v/>
      </c>
      <c r="Q21" s="24">
        <f>IF($B21="","",COUNTIFS('LANÇAMENTOS'!$I$6:$I$2005,$B21,'LANÇAMENTOS'!$P$6:$P$2005,1)+IF($C21=$B21,0,COUNTIFS('LANÇAMENTOS'!$I$6:$I$2005,$C21,'LANÇAMENTOS'!$P$6:$P$2005,1)))</f>
        <v/>
      </c>
      <c r="R21" s="18">
        <f>IFERROR(IF($P21=0,"",$P21/$Q21),"")</f>
        <v/>
      </c>
      <c r="S21" s="30">
        <f>IF($B21="","",IFERROR(IF(SUMPRODUCT(MAX(('LANÇAMENTOS'!$I$6:$I$2005=$B21)*'LANÇAMENTOS'!$B$6:$B$2005))&gt;0,SUMPRODUCT(MAX(('LANÇAMENTOS'!$I$6:$I$2005=$B21)*'LANÇAMENTOS'!$B$6:$B$2005)),""),""))</f>
        <v/>
      </c>
      <c r="T21" s="18">
        <f>IF($B21="","",SUMIFS('LANÇAMENTOS'!$W$6:$W$2005,'LANÇAMENTOS'!$I$6:$I$2005,$B21,'LANÇAMENTOS'!$E$6:$E$2005,"Entrada")+IF($C21=$B21,0,SUMIFS('LANÇAMENTOS'!$W$6:$W$2005,'LANÇAMENTOS'!$I$6:$I$2005,$C21,'LANÇAMENTOS'!$E$6:$E$2005,"Entrada")))</f>
        <v/>
      </c>
      <c r="U21" s="18">
        <f>IF($B21="","",SUMIFS('LANÇAMENTOS'!$W$6:$W$2005,'LANÇAMENTOS'!$I$6:$I$2005,$B21,'LANÇAMENTOS'!$E$6:$E$2005,"Entrada",'LANÇAMENTOS'!$C$6:$C$2005,"&lt;"&amp;TODAY())+IF($C21=$B21,0,SUMIFS('LANÇAMENTOS'!$W$6:$W$2005,'LANÇAMENTOS'!$I$6:$I$2005,$C21,'LANÇAMENTOS'!$E$6:$E$2005,"Entrada",'LANÇAMENTOS'!$C$6:$C$2005,"&lt;"&amp;TODAY())))</f>
        <v/>
      </c>
      <c r="V21" s="24">
        <f>IF(OR($B21="",$U21=0),0,MAX(0,TODAY()-IFERROR(-SUMPRODUCT(MAX(('LANÇAMENTOS'!$I$6:$I$2005=$B21)*('LANÇAMENTOS'!$W$6:$W$2005&gt;0)*('LANÇAMENTOS'!$C$6:$C$2005&lt;TODAY())*(-'LANÇAMENTOS'!$C$6:$C$2005))),TODAY())))</f>
        <v/>
      </c>
      <c r="W21" s="9">
        <f>IF($B21="","",IF($N21="Bloqueado","⛔ Bloqueado",IF($U21&gt;0,"⚠ Com valores vencidos","✔ Em dia")))</f>
        <v/>
      </c>
    </row>
    <row r="22">
      <c r="A22" s="14" t="n"/>
      <c r="B22" s="29" t="n"/>
      <c r="C22" s="29" t="n"/>
      <c r="D22" s="14" t="n"/>
      <c r="E22" s="14" t="n"/>
      <c r="F22" s="14" t="n"/>
      <c r="G22" s="29" t="n"/>
      <c r="H22" s="29" t="n"/>
      <c r="I22" s="14" t="n"/>
      <c r="J22" s="29" t="n"/>
      <c r="K22" s="29" t="n"/>
      <c r="L22" s="35" t="n"/>
      <c r="M22" s="36" t="n"/>
      <c r="N22" s="14" t="n"/>
      <c r="O22" s="29" t="n"/>
      <c r="P22" s="18">
        <f>IF($B22="","",SUMIFS('LANÇAMENTOS'!$Q$6:$Q$2005,'LANÇAMENTOS'!$I$6:$I$2005,$B22)+IF($C22=$B22,0,SUMIFS('LANÇAMENTOS'!$Q$6:$Q$2005,'LANÇAMENTOS'!$I$6:$I$2005,$C22)))</f>
        <v/>
      </c>
      <c r="Q22" s="24">
        <f>IF($B22="","",COUNTIFS('LANÇAMENTOS'!$I$6:$I$2005,$B22,'LANÇAMENTOS'!$P$6:$P$2005,1)+IF($C22=$B22,0,COUNTIFS('LANÇAMENTOS'!$I$6:$I$2005,$C22,'LANÇAMENTOS'!$P$6:$P$2005,1)))</f>
        <v/>
      </c>
      <c r="R22" s="18">
        <f>IFERROR(IF($P22=0,"",$P22/$Q22),"")</f>
        <v/>
      </c>
      <c r="S22" s="30">
        <f>IF($B22="","",IFERROR(IF(SUMPRODUCT(MAX(('LANÇAMENTOS'!$I$6:$I$2005=$B22)*'LANÇAMENTOS'!$B$6:$B$2005))&gt;0,SUMPRODUCT(MAX(('LANÇAMENTOS'!$I$6:$I$2005=$B22)*'LANÇAMENTOS'!$B$6:$B$2005)),""),""))</f>
        <v/>
      </c>
      <c r="T22" s="18">
        <f>IF($B22="","",SUMIFS('LANÇAMENTOS'!$W$6:$W$2005,'LANÇAMENTOS'!$I$6:$I$2005,$B22,'LANÇAMENTOS'!$E$6:$E$2005,"Entrada")+IF($C22=$B22,0,SUMIFS('LANÇAMENTOS'!$W$6:$W$2005,'LANÇAMENTOS'!$I$6:$I$2005,$C22,'LANÇAMENTOS'!$E$6:$E$2005,"Entrada")))</f>
        <v/>
      </c>
      <c r="U22" s="18">
        <f>IF($B22="","",SUMIFS('LANÇAMENTOS'!$W$6:$W$2005,'LANÇAMENTOS'!$I$6:$I$2005,$B22,'LANÇAMENTOS'!$E$6:$E$2005,"Entrada",'LANÇAMENTOS'!$C$6:$C$2005,"&lt;"&amp;TODAY())+IF($C22=$B22,0,SUMIFS('LANÇAMENTOS'!$W$6:$W$2005,'LANÇAMENTOS'!$I$6:$I$2005,$C22,'LANÇAMENTOS'!$E$6:$E$2005,"Entrada",'LANÇAMENTOS'!$C$6:$C$2005,"&lt;"&amp;TODAY())))</f>
        <v/>
      </c>
      <c r="V22" s="24">
        <f>IF(OR($B22="",$U22=0),0,MAX(0,TODAY()-IFERROR(-SUMPRODUCT(MAX(('LANÇAMENTOS'!$I$6:$I$2005=$B22)*('LANÇAMENTOS'!$W$6:$W$2005&gt;0)*('LANÇAMENTOS'!$C$6:$C$2005&lt;TODAY())*(-'LANÇAMENTOS'!$C$6:$C$2005))),TODAY())))</f>
        <v/>
      </c>
      <c r="W22" s="9">
        <f>IF($B22="","",IF($N22="Bloqueado","⛔ Bloqueado",IF($U22&gt;0,"⚠ Com valores vencidos","✔ Em dia")))</f>
        <v/>
      </c>
    </row>
    <row r="23">
      <c r="A23" s="14" t="n"/>
      <c r="B23" s="29" t="n"/>
      <c r="C23" s="29" t="n"/>
      <c r="D23" s="14" t="n"/>
      <c r="E23" s="14" t="n"/>
      <c r="F23" s="14" t="n"/>
      <c r="G23" s="29" t="n"/>
      <c r="H23" s="29" t="n"/>
      <c r="I23" s="14" t="n"/>
      <c r="J23" s="29" t="n"/>
      <c r="K23" s="29" t="n"/>
      <c r="L23" s="35" t="n"/>
      <c r="M23" s="36" t="n"/>
      <c r="N23" s="14" t="n"/>
      <c r="O23" s="29" t="n"/>
      <c r="P23" s="18">
        <f>IF($B23="","",SUMIFS('LANÇAMENTOS'!$Q$6:$Q$2005,'LANÇAMENTOS'!$I$6:$I$2005,$B23)+IF($C23=$B23,0,SUMIFS('LANÇAMENTOS'!$Q$6:$Q$2005,'LANÇAMENTOS'!$I$6:$I$2005,$C23)))</f>
        <v/>
      </c>
      <c r="Q23" s="24">
        <f>IF($B23="","",COUNTIFS('LANÇAMENTOS'!$I$6:$I$2005,$B23,'LANÇAMENTOS'!$P$6:$P$2005,1)+IF($C23=$B23,0,COUNTIFS('LANÇAMENTOS'!$I$6:$I$2005,$C23,'LANÇAMENTOS'!$P$6:$P$2005,1)))</f>
        <v/>
      </c>
      <c r="R23" s="18">
        <f>IFERROR(IF($P23=0,"",$P23/$Q23),"")</f>
        <v/>
      </c>
      <c r="S23" s="30">
        <f>IF($B23="","",IFERROR(IF(SUMPRODUCT(MAX(('LANÇAMENTOS'!$I$6:$I$2005=$B23)*'LANÇAMENTOS'!$B$6:$B$2005))&gt;0,SUMPRODUCT(MAX(('LANÇAMENTOS'!$I$6:$I$2005=$B23)*'LANÇAMENTOS'!$B$6:$B$2005)),""),""))</f>
        <v/>
      </c>
      <c r="T23" s="18">
        <f>IF($B23="","",SUMIFS('LANÇAMENTOS'!$W$6:$W$2005,'LANÇAMENTOS'!$I$6:$I$2005,$B23,'LANÇAMENTOS'!$E$6:$E$2005,"Entrada")+IF($C23=$B23,0,SUMIFS('LANÇAMENTOS'!$W$6:$W$2005,'LANÇAMENTOS'!$I$6:$I$2005,$C23,'LANÇAMENTOS'!$E$6:$E$2005,"Entrada")))</f>
        <v/>
      </c>
      <c r="U23" s="18">
        <f>IF($B23="","",SUMIFS('LANÇAMENTOS'!$W$6:$W$2005,'LANÇAMENTOS'!$I$6:$I$2005,$B23,'LANÇAMENTOS'!$E$6:$E$2005,"Entrada",'LANÇAMENTOS'!$C$6:$C$2005,"&lt;"&amp;TODAY())+IF($C23=$B23,0,SUMIFS('LANÇAMENTOS'!$W$6:$W$2005,'LANÇAMENTOS'!$I$6:$I$2005,$C23,'LANÇAMENTOS'!$E$6:$E$2005,"Entrada",'LANÇAMENTOS'!$C$6:$C$2005,"&lt;"&amp;TODAY())))</f>
        <v/>
      </c>
      <c r="V23" s="24">
        <f>IF(OR($B23="",$U23=0),0,MAX(0,TODAY()-IFERROR(-SUMPRODUCT(MAX(('LANÇAMENTOS'!$I$6:$I$2005=$B23)*('LANÇAMENTOS'!$W$6:$W$2005&gt;0)*('LANÇAMENTOS'!$C$6:$C$2005&lt;TODAY())*(-'LANÇAMENTOS'!$C$6:$C$2005))),TODAY())))</f>
        <v/>
      </c>
      <c r="W23" s="9">
        <f>IF($B23="","",IF($N23="Bloqueado","⛔ Bloqueado",IF($U23&gt;0,"⚠ Com valores vencidos","✔ Em dia")))</f>
        <v/>
      </c>
    </row>
    <row r="24">
      <c r="A24" s="14" t="n"/>
      <c r="B24" s="29" t="n"/>
      <c r="C24" s="29" t="n"/>
      <c r="D24" s="14" t="n"/>
      <c r="E24" s="14" t="n"/>
      <c r="F24" s="14" t="n"/>
      <c r="G24" s="29" t="n"/>
      <c r="H24" s="29" t="n"/>
      <c r="I24" s="14" t="n"/>
      <c r="J24" s="29" t="n"/>
      <c r="K24" s="29" t="n"/>
      <c r="L24" s="35" t="n"/>
      <c r="M24" s="36" t="n"/>
      <c r="N24" s="14" t="n"/>
      <c r="O24" s="29" t="n"/>
      <c r="P24" s="18">
        <f>IF($B24="","",SUMIFS('LANÇAMENTOS'!$Q$6:$Q$2005,'LANÇAMENTOS'!$I$6:$I$2005,$B24)+IF($C24=$B24,0,SUMIFS('LANÇAMENTOS'!$Q$6:$Q$2005,'LANÇAMENTOS'!$I$6:$I$2005,$C24)))</f>
        <v/>
      </c>
      <c r="Q24" s="24">
        <f>IF($B24="","",COUNTIFS('LANÇAMENTOS'!$I$6:$I$2005,$B24,'LANÇAMENTOS'!$P$6:$P$2005,1)+IF($C24=$B24,0,COUNTIFS('LANÇAMENTOS'!$I$6:$I$2005,$C24,'LANÇAMENTOS'!$P$6:$P$2005,1)))</f>
        <v/>
      </c>
      <c r="R24" s="18">
        <f>IFERROR(IF($P24=0,"",$P24/$Q24),"")</f>
        <v/>
      </c>
      <c r="S24" s="30">
        <f>IF($B24="","",IFERROR(IF(SUMPRODUCT(MAX(('LANÇAMENTOS'!$I$6:$I$2005=$B24)*'LANÇAMENTOS'!$B$6:$B$2005))&gt;0,SUMPRODUCT(MAX(('LANÇAMENTOS'!$I$6:$I$2005=$B24)*'LANÇAMENTOS'!$B$6:$B$2005)),""),""))</f>
        <v/>
      </c>
      <c r="T24" s="18">
        <f>IF($B24="","",SUMIFS('LANÇAMENTOS'!$W$6:$W$2005,'LANÇAMENTOS'!$I$6:$I$2005,$B24,'LANÇAMENTOS'!$E$6:$E$2005,"Entrada")+IF($C24=$B24,0,SUMIFS('LANÇAMENTOS'!$W$6:$W$2005,'LANÇAMENTOS'!$I$6:$I$2005,$C24,'LANÇAMENTOS'!$E$6:$E$2005,"Entrada")))</f>
        <v/>
      </c>
      <c r="U24" s="18">
        <f>IF($B24="","",SUMIFS('LANÇAMENTOS'!$W$6:$W$2005,'LANÇAMENTOS'!$I$6:$I$2005,$B24,'LANÇAMENTOS'!$E$6:$E$2005,"Entrada",'LANÇAMENTOS'!$C$6:$C$2005,"&lt;"&amp;TODAY())+IF($C24=$B24,0,SUMIFS('LANÇAMENTOS'!$W$6:$W$2005,'LANÇAMENTOS'!$I$6:$I$2005,$C24,'LANÇAMENTOS'!$E$6:$E$2005,"Entrada",'LANÇAMENTOS'!$C$6:$C$2005,"&lt;"&amp;TODAY())))</f>
        <v/>
      </c>
      <c r="V24" s="24">
        <f>IF(OR($B24="",$U24=0),0,MAX(0,TODAY()-IFERROR(-SUMPRODUCT(MAX(('LANÇAMENTOS'!$I$6:$I$2005=$B24)*('LANÇAMENTOS'!$W$6:$W$2005&gt;0)*('LANÇAMENTOS'!$C$6:$C$2005&lt;TODAY())*(-'LANÇAMENTOS'!$C$6:$C$2005))),TODAY())))</f>
        <v/>
      </c>
      <c r="W24" s="9">
        <f>IF($B24="","",IF($N24="Bloqueado","⛔ Bloqueado",IF($U24&gt;0,"⚠ Com valores vencidos","✔ Em dia")))</f>
        <v/>
      </c>
    </row>
    <row r="25">
      <c r="A25" s="14" t="n"/>
      <c r="B25" s="29" t="n"/>
      <c r="C25" s="29" t="n"/>
      <c r="D25" s="14" t="n"/>
      <c r="E25" s="14" t="n"/>
      <c r="F25" s="14" t="n"/>
      <c r="G25" s="29" t="n"/>
      <c r="H25" s="29" t="n"/>
      <c r="I25" s="14" t="n"/>
      <c r="J25" s="29" t="n"/>
      <c r="K25" s="29" t="n"/>
      <c r="L25" s="35" t="n"/>
      <c r="M25" s="36" t="n"/>
      <c r="N25" s="14" t="n"/>
      <c r="O25" s="29" t="n"/>
      <c r="P25" s="18">
        <f>IF($B25="","",SUMIFS('LANÇAMENTOS'!$Q$6:$Q$2005,'LANÇAMENTOS'!$I$6:$I$2005,$B25)+IF($C25=$B25,0,SUMIFS('LANÇAMENTOS'!$Q$6:$Q$2005,'LANÇAMENTOS'!$I$6:$I$2005,$C25)))</f>
        <v/>
      </c>
      <c r="Q25" s="24">
        <f>IF($B25="","",COUNTIFS('LANÇAMENTOS'!$I$6:$I$2005,$B25,'LANÇAMENTOS'!$P$6:$P$2005,1)+IF($C25=$B25,0,COUNTIFS('LANÇAMENTOS'!$I$6:$I$2005,$C25,'LANÇAMENTOS'!$P$6:$P$2005,1)))</f>
        <v/>
      </c>
      <c r="R25" s="18">
        <f>IFERROR(IF($P25=0,"",$P25/$Q25),"")</f>
        <v/>
      </c>
      <c r="S25" s="30">
        <f>IF($B25="","",IFERROR(IF(SUMPRODUCT(MAX(('LANÇAMENTOS'!$I$6:$I$2005=$B25)*'LANÇAMENTOS'!$B$6:$B$2005))&gt;0,SUMPRODUCT(MAX(('LANÇAMENTOS'!$I$6:$I$2005=$B25)*'LANÇAMENTOS'!$B$6:$B$2005)),""),""))</f>
        <v/>
      </c>
      <c r="T25" s="18">
        <f>IF($B25="","",SUMIFS('LANÇAMENTOS'!$W$6:$W$2005,'LANÇAMENTOS'!$I$6:$I$2005,$B25,'LANÇAMENTOS'!$E$6:$E$2005,"Entrada")+IF($C25=$B25,0,SUMIFS('LANÇAMENTOS'!$W$6:$W$2005,'LANÇAMENTOS'!$I$6:$I$2005,$C25,'LANÇAMENTOS'!$E$6:$E$2005,"Entrada")))</f>
        <v/>
      </c>
      <c r="U25" s="18">
        <f>IF($B25="","",SUMIFS('LANÇAMENTOS'!$W$6:$W$2005,'LANÇAMENTOS'!$I$6:$I$2005,$B25,'LANÇAMENTOS'!$E$6:$E$2005,"Entrada",'LANÇAMENTOS'!$C$6:$C$2005,"&lt;"&amp;TODAY())+IF($C25=$B25,0,SUMIFS('LANÇAMENTOS'!$W$6:$W$2005,'LANÇAMENTOS'!$I$6:$I$2005,$C25,'LANÇAMENTOS'!$E$6:$E$2005,"Entrada",'LANÇAMENTOS'!$C$6:$C$2005,"&lt;"&amp;TODAY())))</f>
        <v/>
      </c>
      <c r="V25" s="24">
        <f>IF(OR($B25="",$U25=0),0,MAX(0,TODAY()-IFERROR(-SUMPRODUCT(MAX(('LANÇAMENTOS'!$I$6:$I$2005=$B25)*('LANÇAMENTOS'!$W$6:$W$2005&gt;0)*('LANÇAMENTOS'!$C$6:$C$2005&lt;TODAY())*(-'LANÇAMENTOS'!$C$6:$C$2005))),TODAY())))</f>
        <v/>
      </c>
      <c r="W25" s="9">
        <f>IF($B25="","",IF($N25="Bloqueado","⛔ Bloqueado",IF($U25&gt;0,"⚠ Com valores vencidos","✔ Em dia")))</f>
        <v/>
      </c>
    </row>
    <row r="26">
      <c r="A26" s="14" t="n"/>
      <c r="B26" s="29" t="n"/>
      <c r="C26" s="29" t="n"/>
      <c r="D26" s="14" t="n"/>
      <c r="E26" s="14" t="n"/>
      <c r="F26" s="14" t="n"/>
      <c r="G26" s="29" t="n"/>
      <c r="H26" s="29" t="n"/>
      <c r="I26" s="14" t="n"/>
      <c r="J26" s="29" t="n"/>
      <c r="K26" s="29" t="n"/>
      <c r="L26" s="35" t="n"/>
      <c r="M26" s="36" t="n"/>
      <c r="N26" s="14" t="n"/>
      <c r="O26" s="29" t="n"/>
      <c r="P26" s="18">
        <f>IF($B26="","",SUMIFS('LANÇAMENTOS'!$Q$6:$Q$2005,'LANÇAMENTOS'!$I$6:$I$2005,$B26)+IF($C26=$B26,0,SUMIFS('LANÇAMENTOS'!$Q$6:$Q$2005,'LANÇAMENTOS'!$I$6:$I$2005,$C26)))</f>
        <v/>
      </c>
      <c r="Q26" s="24">
        <f>IF($B26="","",COUNTIFS('LANÇAMENTOS'!$I$6:$I$2005,$B26,'LANÇAMENTOS'!$P$6:$P$2005,1)+IF($C26=$B26,0,COUNTIFS('LANÇAMENTOS'!$I$6:$I$2005,$C26,'LANÇAMENTOS'!$P$6:$P$2005,1)))</f>
        <v/>
      </c>
      <c r="R26" s="18">
        <f>IFERROR(IF($P26=0,"",$P26/$Q26),"")</f>
        <v/>
      </c>
      <c r="S26" s="30">
        <f>IF($B26="","",IFERROR(IF(SUMPRODUCT(MAX(('LANÇAMENTOS'!$I$6:$I$2005=$B26)*'LANÇAMENTOS'!$B$6:$B$2005))&gt;0,SUMPRODUCT(MAX(('LANÇAMENTOS'!$I$6:$I$2005=$B26)*'LANÇAMENTOS'!$B$6:$B$2005)),""),""))</f>
        <v/>
      </c>
      <c r="T26" s="18">
        <f>IF($B26="","",SUMIFS('LANÇAMENTOS'!$W$6:$W$2005,'LANÇAMENTOS'!$I$6:$I$2005,$B26,'LANÇAMENTOS'!$E$6:$E$2005,"Entrada")+IF($C26=$B26,0,SUMIFS('LANÇAMENTOS'!$W$6:$W$2005,'LANÇAMENTOS'!$I$6:$I$2005,$C26,'LANÇAMENTOS'!$E$6:$E$2005,"Entrada")))</f>
        <v/>
      </c>
      <c r="U26" s="18">
        <f>IF($B26="","",SUMIFS('LANÇAMENTOS'!$W$6:$W$2005,'LANÇAMENTOS'!$I$6:$I$2005,$B26,'LANÇAMENTOS'!$E$6:$E$2005,"Entrada",'LANÇAMENTOS'!$C$6:$C$2005,"&lt;"&amp;TODAY())+IF($C26=$B26,0,SUMIFS('LANÇAMENTOS'!$W$6:$W$2005,'LANÇAMENTOS'!$I$6:$I$2005,$C26,'LANÇAMENTOS'!$E$6:$E$2005,"Entrada",'LANÇAMENTOS'!$C$6:$C$2005,"&lt;"&amp;TODAY())))</f>
        <v/>
      </c>
      <c r="V26" s="24">
        <f>IF(OR($B26="",$U26=0),0,MAX(0,TODAY()-IFERROR(-SUMPRODUCT(MAX(('LANÇAMENTOS'!$I$6:$I$2005=$B26)*('LANÇAMENTOS'!$W$6:$W$2005&gt;0)*('LANÇAMENTOS'!$C$6:$C$2005&lt;TODAY())*(-'LANÇAMENTOS'!$C$6:$C$2005))),TODAY())))</f>
        <v/>
      </c>
      <c r="W26" s="9">
        <f>IF($B26="","",IF($N26="Bloqueado","⛔ Bloqueado",IF($U26&gt;0,"⚠ Com valores vencidos","✔ Em dia")))</f>
        <v/>
      </c>
    </row>
    <row r="27">
      <c r="A27" s="14" t="n"/>
      <c r="B27" s="29" t="n"/>
      <c r="C27" s="29" t="n"/>
      <c r="D27" s="14" t="n"/>
      <c r="E27" s="14" t="n"/>
      <c r="F27" s="14" t="n"/>
      <c r="G27" s="29" t="n"/>
      <c r="H27" s="29" t="n"/>
      <c r="I27" s="14" t="n"/>
      <c r="J27" s="29" t="n"/>
      <c r="K27" s="29" t="n"/>
      <c r="L27" s="35" t="n"/>
      <c r="M27" s="36" t="n"/>
      <c r="N27" s="14" t="n"/>
      <c r="O27" s="29" t="n"/>
      <c r="P27" s="18">
        <f>IF($B27="","",SUMIFS('LANÇAMENTOS'!$Q$6:$Q$2005,'LANÇAMENTOS'!$I$6:$I$2005,$B27)+IF($C27=$B27,0,SUMIFS('LANÇAMENTOS'!$Q$6:$Q$2005,'LANÇAMENTOS'!$I$6:$I$2005,$C27)))</f>
        <v/>
      </c>
      <c r="Q27" s="24">
        <f>IF($B27="","",COUNTIFS('LANÇAMENTOS'!$I$6:$I$2005,$B27,'LANÇAMENTOS'!$P$6:$P$2005,1)+IF($C27=$B27,0,COUNTIFS('LANÇAMENTOS'!$I$6:$I$2005,$C27,'LANÇAMENTOS'!$P$6:$P$2005,1)))</f>
        <v/>
      </c>
      <c r="R27" s="18">
        <f>IFERROR(IF($P27=0,"",$P27/$Q27),"")</f>
        <v/>
      </c>
      <c r="S27" s="30">
        <f>IF($B27="","",IFERROR(IF(SUMPRODUCT(MAX(('LANÇAMENTOS'!$I$6:$I$2005=$B27)*'LANÇAMENTOS'!$B$6:$B$2005))&gt;0,SUMPRODUCT(MAX(('LANÇAMENTOS'!$I$6:$I$2005=$B27)*'LANÇAMENTOS'!$B$6:$B$2005)),""),""))</f>
        <v/>
      </c>
      <c r="T27" s="18">
        <f>IF($B27="","",SUMIFS('LANÇAMENTOS'!$W$6:$W$2005,'LANÇAMENTOS'!$I$6:$I$2005,$B27,'LANÇAMENTOS'!$E$6:$E$2005,"Entrada")+IF($C27=$B27,0,SUMIFS('LANÇAMENTOS'!$W$6:$W$2005,'LANÇAMENTOS'!$I$6:$I$2005,$C27,'LANÇAMENTOS'!$E$6:$E$2005,"Entrada")))</f>
        <v/>
      </c>
      <c r="U27" s="18">
        <f>IF($B27="","",SUMIFS('LANÇAMENTOS'!$W$6:$W$2005,'LANÇAMENTOS'!$I$6:$I$2005,$B27,'LANÇAMENTOS'!$E$6:$E$2005,"Entrada",'LANÇAMENTOS'!$C$6:$C$2005,"&lt;"&amp;TODAY())+IF($C27=$B27,0,SUMIFS('LANÇAMENTOS'!$W$6:$W$2005,'LANÇAMENTOS'!$I$6:$I$2005,$C27,'LANÇAMENTOS'!$E$6:$E$2005,"Entrada",'LANÇAMENTOS'!$C$6:$C$2005,"&lt;"&amp;TODAY())))</f>
        <v/>
      </c>
      <c r="V27" s="24">
        <f>IF(OR($B27="",$U27=0),0,MAX(0,TODAY()-IFERROR(-SUMPRODUCT(MAX(('LANÇAMENTOS'!$I$6:$I$2005=$B27)*('LANÇAMENTOS'!$W$6:$W$2005&gt;0)*('LANÇAMENTOS'!$C$6:$C$2005&lt;TODAY())*(-'LANÇAMENTOS'!$C$6:$C$2005))),TODAY())))</f>
        <v/>
      </c>
      <c r="W27" s="9">
        <f>IF($B27="","",IF($N27="Bloqueado","⛔ Bloqueado",IF($U27&gt;0,"⚠ Com valores vencidos","✔ Em dia")))</f>
        <v/>
      </c>
    </row>
    <row r="28">
      <c r="A28" s="14" t="n"/>
      <c r="B28" s="29" t="n"/>
      <c r="C28" s="29" t="n"/>
      <c r="D28" s="14" t="n"/>
      <c r="E28" s="14" t="n"/>
      <c r="F28" s="14" t="n"/>
      <c r="G28" s="29" t="n"/>
      <c r="H28" s="29" t="n"/>
      <c r="I28" s="14" t="n"/>
      <c r="J28" s="29" t="n"/>
      <c r="K28" s="29" t="n"/>
      <c r="L28" s="35" t="n"/>
      <c r="M28" s="36" t="n"/>
      <c r="N28" s="14" t="n"/>
      <c r="O28" s="29" t="n"/>
      <c r="P28" s="18">
        <f>IF($B28="","",SUMIFS('LANÇAMENTOS'!$Q$6:$Q$2005,'LANÇAMENTOS'!$I$6:$I$2005,$B28)+IF($C28=$B28,0,SUMIFS('LANÇAMENTOS'!$Q$6:$Q$2005,'LANÇAMENTOS'!$I$6:$I$2005,$C28)))</f>
        <v/>
      </c>
      <c r="Q28" s="24">
        <f>IF($B28="","",COUNTIFS('LANÇAMENTOS'!$I$6:$I$2005,$B28,'LANÇAMENTOS'!$P$6:$P$2005,1)+IF($C28=$B28,0,COUNTIFS('LANÇAMENTOS'!$I$6:$I$2005,$C28,'LANÇAMENTOS'!$P$6:$P$2005,1)))</f>
        <v/>
      </c>
      <c r="R28" s="18">
        <f>IFERROR(IF($P28=0,"",$P28/$Q28),"")</f>
        <v/>
      </c>
      <c r="S28" s="30">
        <f>IF($B28="","",IFERROR(IF(SUMPRODUCT(MAX(('LANÇAMENTOS'!$I$6:$I$2005=$B28)*'LANÇAMENTOS'!$B$6:$B$2005))&gt;0,SUMPRODUCT(MAX(('LANÇAMENTOS'!$I$6:$I$2005=$B28)*'LANÇAMENTOS'!$B$6:$B$2005)),""),""))</f>
        <v/>
      </c>
      <c r="T28" s="18">
        <f>IF($B28="","",SUMIFS('LANÇAMENTOS'!$W$6:$W$2005,'LANÇAMENTOS'!$I$6:$I$2005,$B28,'LANÇAMENTOS'!$E$6:$E$2005,"Entrada")+IF($C28=$B28,0,SUMIFS('LANÇAMENTOS'!$W$6:$W$2005,'LANÇAMENTOS'!$I$6:$I$2005,$C28,'LANÇAMENTOS'!$E$6:$E$2005,"Entrada")))</f>
        <v/>
      </c>
      <c r="U28" s="18">
        <f>IF($B28="","",SUMIFS('LANÇAMENTOS'!$W$6:$W$2005,'LANÇAMENTOS'!$I$6:$I$2005,$B28,'LANÇAMENTOS'!$E$6:$E$2005,"Entrada",'LANÇAMENTOS'!$C$6:$C$2005,"&lt;"&amp;TODAY())+IF($C28=$B28,0,SUMIFS('LANÇAMENTOS'!$W$6:$W$2005,'LANÇAMENTOS'!$I$6:$I$2005,$C28,'LANÇAMENTOS'!$E$6:$E$2005,"Entrada",'LANÇAMENTOS'!$C$6:$C$2005,"&lt;"&amp;TODAY())))</f>
        <v/>
      </c>
      <c r="V28" s="24">
        <f>IF(OR($B28="",$U28=0),0,MAX(0,TODAY()-IFERROR(-SUMPRODUCT(MAX(('LANÇAMENTOS'!$I$6:$I$2005=$B28)*('LANÇAMENTOS'!$W$6:$W$2005&gt;0)*('LANÇAMENTOS'!$C$6:$C$2005&lt;TODAY())*(-'LANÇAMENTOS'!$C$6:$C$2005))),TODAY())))</f>
        <v/>
      </c>
      <c r="W28" s="9">
        <f>IF($B28="","",IF($N28="Bloqueado","⛔ Bloqueado",IF($U28&gt;0,"⚠ Com valores vencidos","✔ Em dia")))</f>
        <v/>
      </c>
    </row>
    <row r="29">
      <c r="A29" s="14" t="n"/>
      <c r="B29" s="29" t="n"/>
      <c r="C29" s="29" t="n"/>
      <c r="D29" s="14" t="n"/>
      <c r="E29" s="14" t="n"/>
      <c r="F29" s="14" t="n"/>
      <c r="G29" s="29" t="n"/>
      <c r="H29" s="29" t="n"/>
      <c r="I29" s="14" t="n"/>
      <c r="J29" s="29" t="n"/>
      <c r="K29" s="29" t="n"/>
      <c r="L29" s="35" t="n"/>
      <c r="M29" s="36" t="n"/>
      <c r="N29" s="14" t="n"/>
      <c r="O29" s="29" t="n"/>
      <c r="P29" s="18">
        <f>IF($B29="","",SUMIFS('LANÇAMENTOS'!$Q$6:$Q$2005,'LANÇAMENTOS'!$I$6:$I$2005,$B29)+IF($C29=$B29,0,SUMIFS('LANÇAMENTOS'!$Q$6:$Q$2005,'LANÇAMENTOS'!$I$6:$I$2005,$C29)))</f>
        <v/>
      </c>
      <c r="Q29" s="24">
        <f>IF($B29="","",COUNTIFS('LANÇAMENTOS'!$I$6:$I$2005,$B29,'LANÇAMENTOS'!$P$6:$P$2005,1)+IF($C29=$B29,0,COUNTIFS('LANÇAMENTOS'!$I$6:$I$2005,$C29,'LANÇAMENTOS'!$P$6:$P$2005,1)))</f>
        <v/>
      </c>
      <c r="R29" s="18">
        <f>IFERROR(IF($P29=0,"",$P29/$Q29),"")</f>
        <v/>
      </c>
      <c r="S29" s="30">
        <f>IF($B29="","",IFERROR(IF(SUMPRODUCT(MAX(('LANÇAMENTOS'!$I$6:$I$2005=$B29)*'LANÇAMENTOS'!$B$6:$B$2005))&gt;0,SUMPRODUCT(MAX(('LANÇAMENTOS'!$I$6:$I$2005=$B29)*'LANÇAMENTOS'!$B$6:$B$2005)),""),""))</f>
        <v/>
      </c>
      <c r="T29" s="18">
        <f>IF($B29="","",SUMIFS('LANÇAMENTOS'!$W$6:$W$2005,'LANÇAMENTOS'!$I$6:$I$2005,$B29,'LANÇAMENTOS'!$E$6:$E$2005,"Entrada")+IF($C29=$B29,0,SUMIFS('LANÇAMENTOS'!$W$6:$W$2005,'LANÇAMENTOS'!$I$6:$I$2005,$C29,'LANÇAMENTOS'!$E$6:$E$2005,"Entrada")))</f>
        <v/>
      </c>
      <c r="U29" s="18">
        <f>IF($B29="","",SUMIFS('LANÇAMENTOS'!$W$6:$W$2005,'LANÇAMENTOS'!$I$6:$I$2005,$B29,'LANÇAMENTOS'!$E$6:$E$2005,"Entrada",'LANÇAMENTOS'!$C$6:$C$2005,"&lt;"&amp;TODAY())+IF($C29=$B29,0,SUMIFS('LANÇAMENTOS'!$W$6:$W$2005,'LANÇAMENTOS'!$I$6:$I$2005,$C29,'LANÇAMENTOS'!$E$6:$E$2005,"Entrada",'LANÇAMENTOS'!$C$6:$C$2005,"&lt;"&amp;TODAY())))</f>
        <v/>
      </c>
      <c r="V29" s="24">
        <f>IF(OR($B29="",$U29=0),0,MAX(0,TODAY()-IFERROR(-SUMPRODUCT(MAX(('LANÇAMENTOS'!$I$6:$I$2005=$B29)*('LANÇAMENTOS'!$W$6:$W$2005&gt;0)*('LANÇAMENTOS'!$C$6:$C$2005&lt;TODAY())*(-'LANÇAMENTOS'!$C$6:$C$2005))),TODAY())))</f>
        <v/>
      </c>
      <c r="W29" s="9">
        <f>IF($B29="","",IF($N29="Bloqueado","⛔ Bloqueado",IF($U29&gt;0,"⚠ Com valores vencidos","✔ Em dia")))</f>
        <v/>
      </c>
    </row>
    <row r="30">
      <c r="A30" s="14" t="n"/>
      <c r="B30" s="29" t="n"/>
      <c r="C30" s="29" t="n"/>
      <c r="D30" s="14" t="n"/>
      <c r="E30" s="14" t="n"/>
      <c r="F30" s="14" t="n"/>
      <c r="G30" s="29" t="n"/>
      <c r="H30" s="29" t="n"/>
      <c r="I30" s="14" t="n"/>
      <c r="J30" s="29" t="n"/>
      <c r="K30" s="29" t="n"/>
      <c r="L30" s="35" t="n"/>
      <c r="M30" s="36" t="n"/>
      <c r="N30" s="14" t="n"/>
      <c r="O30" s="29" t="n"/>
      <c r="P30" s="18">
        <f>IF($B30="","",SUMIFS('LANÇAMENTOS'!$Q$6:$Q$2005,'LANÇAMENTOS'!$I$6:$I$2005,$B30)+IF($C30=$B30,0,SUMIFS('LANÇAMENTOS'!$Q$6:$Q$2005,'LANÇAMENTOS'!$I$6:$I$2005,$C30)))</f>
        <v/>
      </c>
      <c r="Q30" s="24">
        <f>IF($B30="","",COUNTIFS('LANÇAMENTOS'!$I$6:$I$2005,$B30,'LANÇAMENTOS'!$P$6:$P$2005,1)+IF($C30=$B30,0,COUNTIFS('LANÇAMENTOS'!$I$6:$I$2005,$C30,'LANÇAMENTOS'!$P$6:$P$2005,1)))</f>
        <v/>
      </c>
      <c r="R30" s="18">
        <f>IFERROR(IF($P30=0,"",$P30/$Q30),"")</f>
        <v/>
      </c>
      <c r="S30" s="30">
        <f>IF($B30="","",IFERROR(IF(SUMPRODUCT(MAX(('LANÇAMENTOS'!$I$6:$I$2005=$B30)*'LANÇAMENTOS'!$B$6:$B$2005))&gt;0,SUMPRODUCT(MAX(('LANÇAMENTOS'!$I$6:$I$2005=$B30)*'LANÇAMENTOS'!$B$6:$B$2005)),""),""))</f>
        <v/>
      </c>
      <c r="T30" s="18">
        <f>IF($B30="","",SUMIFS('LANÇAMENTOS'!$W$6:$W$2005,'LANÇAMENTOS'!$I$6:$I$2005,$B30,'LANÇAMENTOS'!$E$6:$E$2005,"Entrada")+IF($C30=$B30,0,SUMIFS('LANÇAMENTOS'!$W$6:$W$2005,'LANÇAMENTOS'!$I$6:$I$2005,$C30,'LANÇAMENTOS'!$E$6:$E$2005,"Entrada")))</f>
        <v/>
      </c>
      <c r="U30" s="18">
        <f>IF($B30="","",SUMIFS('LANÇAMENTOS'!$W$6:$W$2005,'LANÇAMENTOS'!$I$6:$I$2005,$B30,'LANÇAMENTOS'!$E$6:$E$2005,"Entrada",'LANÇAMENTOS'!$C$6:$C$2005,"&lt;"&amp;TODAY())+IF($C30=$B30,0,SUMIFS('LANÇAMENTOS'!$W$6:$W$2005,'LANÇAMENTOS'!$I$6:$I$2005,$C30,'LANÇAMENTOS'!$E$6:$E$2005,"Entrada",'LANÇAMENTOS'!$C$6:$C$2005,"&lt;"&amp;TODAY())))</f>
        <v/>
      </c>
      <c r="V30" s="24">
        <f>IF(OR($B30="",$U30=0),0,MAX(0,TODAY()-IFERROR(-SUMPRODUCT(MAX(('LANÇAMENTOS'!$I$6:$I$2005=$B30)*('LANÇAMENTOS'!$W$6:$W$2005&gt;0)*('LANÇAMENTOS'!$C$6:$C$2005&lt;TODAY())*(-'LANÇAMENTOS'!$C$6:$C$2005))),TODAY())))</f>
        <v/>
      </c>
      <c r="W30" s="9">
        <f>IF($B30="","",IF($N30="Bloqueado","⛔ Bloqueado",IF($U30&gt;0,"⚠ Com valores vencidos","✔ Em dia")))</f>
        <v/>
      </c>
    </row>
    <row r="31">
      <c r="A31" s="14" t="n"/>
      <c r="B31" s="29" t="n"/>
      <c r="C31" s="29" t="n"/>
      <c r="D31" s="14" t="n"/>
      <c r="E31" s="14" t="n"/>
      <c r="F31" s="14" t="n"/>
      <c r="G31" s="29" t="n"/>
      <c r="H31" s="29" t="n"/>
      <c r="I31" s="14" t="n"/>
      <c r="J31" s="29" t="n"/>
      <c r="K31" s="29" t="n"/>
      <c r="L31" s="35" t="n"/>
      <c r="M31" s="36" t="n"/>
      <c r="N31" s="14" t="n"/>
      <c r="O31" s="29" t="n"/>
      <c r="P31" s="18">
        <f>IF($B31="","",SUMIFS('LANÇAMENTOS'!$Q$6:$Q$2005,'LANÇAMENTOS'!$I$6:$I$2005,$B31)+IF($C31=$B31,0,SUMIFS('LANÇAMENTOS'!$Q$6:$Q$2005,'LANÇAMENTOS'!$I$6:$I$2005,$C31)))</f>
        <v/>
      </c>
      <c r="Q31" s="24">
        <f>IF($B31="","",COUNTIFS('LANÇAMENTOS'!$I$6:$I$2005,$B31,'LANÇAMENTOS'!$P$6:$P$2005,1)+IF($C31=$B31,0,COUNTIFS('LANÇAMENTOS'!$I$6:$I$2005,$C31,'LANÇAMENTOS'!$P$6:$P$2005,1)))</f>
        <v/>
      </c>
      <c r="R31" s="18">
        <f>IFERROR(IF($P31=0,"",$P31/$Q31),"")</f>
        <v/>
      </c>
      <c r="S31" s="30">
        <f>IF($B31="","",IFERROR(IF(SUMPRODUCT(MAX(('LANÇAMENTOS'!$I$6:$I$2005=$B31)*'LANÇAMENTOS'!$B$6:$B$2005))&gt;0,SUMPRODUCT(MAX(('LANÇAMENTOS'!$I$6:$I$2005=$B31)*'LANÇAMENTOS'!$B$6:$B$2005)),""),""))</f>
        <v/>
      </c>
      <c r="T31" s="18">
        <f>IF($B31="","",SUMIFS('LANÇAMENTOS'!$W$6:$W$2005,'LANÇAMENTOS'!$I$6:$I$2005,$B31,'LANÇAMENTOS'!$E$6:$E$2005,"Entrada")+IF($C31=$B31,0,SUMIFS('LANÇAMENTOS'!$W$6:$W$2005,'LANÇAMENTOS'!$I$6:$I$2005,$C31,'LANÇAMENTOS'!$E$6:$E$2005,"Entrada")))</f>
        <v/>
      </c>
      <c r="U31" s="18">
        <f>IF($B31="","",SUMIFS('LANÇAMENTOS'!$W$6:$W$2005,'LANÇAMENTOS'!$I$6:$I$2005,$B31,'LANÇAMENTOS'!$E$6:$E$2005,"Entrada",'LANÇAMENTOS'!$C$6:$C$2005,"&lt;"&amp;TODAY())+IF($C31=$B31,0,SUMIFS('LANÇAMENTOS'!$W$6:$W$2005,'LANÇAMENTOS'!$I$6:$I$2005,$C31,'LANÇAMENTOS'!$E$6:$E$2005,"Entrada",'LANÇAMENTOS'!$C$6:$C$2005,"&lt;"&amp;TODAY())))</f>
        <v/>
      </c>
      <c r="V31" s="24">
        <f>IF(OR($B31="",$U31=0),0,MAX(0,TODAY()-IFERROR(-SUMPRODUCT(MAX(('LANÇAMENTOS'!$I$6:$I$2005=$B31)*('LANÇAMENTOS'!$W$6:$W$2005&gt;0)*('LANÇAMENTOS'!$C$6:$C$2005&lt;TODAY())*(-'LANÇAMENTOS'!$C$6:$C$2005))),TODAY())))</f>
        <v/>
      </c>
      <c r="W31" s="9">
        <f>IF($B31="","",IF($N31="Bloqueado","⛔ Bloqueado",IF($U31&gt;0,"⚠ Com valores vencidos","✔ Em dia")))</f>
        <v/>
      </c>
    </row>
    <row r="32">
      <c r="A32" s="14" t="n"/>
      <c r="B32" s="29" t="n"/>
      <c r="C32" s="29" t="n"/>
      <c r="D32" s="14" t="n"/>
      <c r="E32" s="14" t="n"/>
      <c r="F32" s="14" t="n"/>
      <c r="G32" s="29" t="n"/>
      <c r="H32" s="29" t="n"/>
      <c r="I32" s="14" t="n"/>
      <c r="J32" s="29" t="n"/>
      <c r="K32" s="29" t="n"/>
      <c r="L32" s="35" t="n"/>
      <c r="M32" s="36" t="n"/>
      <c r="N32" s="14" t="n"/>
      <c r="O32" s="29" t="n"/>
      <c r="P32" s="18">
        <f>IF($B32="","",SUMIFS('LANÇAMENTOS'!$Q$6:$Q$2005,'LANÇAMENTOS'!$I$6:$I$2005,$B32)+IF($C32=$B32,0,SUMIFS('LANÇAMENTOS'!$Q$6:$Q$2005,'LANÇAMENTOS'!$I$6:$I$2005,$C32)))</f>
        <v/>
      </c>
      <c r="Q32" s="24">
        <f>IF($B32="","",COUNTIFS('LANÇAMENTOS'!$I$6:$I$2005,$B32,'LANÇAMENTOS'!$P$6:$P$2005,1)+IF($C32=$B32,0,COUNTIFS('LANÇAMENTOS'!$I$6:$I$2005,$C32,'LANÇAMENTOS'!$P$6:$P$2005,1)))</f>
        <v/>
      </c>
      <c r="R32" s="18">
        <f>IFERROR(IF($P32=0,"",$P32/$Q32),"")</f>
        <v/>
      </c>
      <c r="S32" s="30">
        <f>IF($B32="","",IFERROR(IF(SUMPRODUCT(MAX(('LANÇAMENTOS'!$I$6:$I$2005=$B32)*'LANÇAMENTOS'!$B$6:$B$2005))&gt;0,SUMPRODUCT(MAX(('LANÇAMENTOS'!$I$6:$I$2005=$B32)*'LANÇAMENTOS'!$B$6:$B$2005)),""),""))</f>
        <v/>
      </c>
      <c r="T32" s="18">
        <f>IF($B32="","",SUMIFS('LANÇAMENTOS'!$W$6:$W$2005,'LANÇAMENTOS'!$I$6:$I$2005,$B32,'LANÇAMENTOS'!$E$6:$E$2005,"Entrada")+IF($C32=$B32,0,SUMIFS('LANÇAMENTOS'!$W$6:$W$2005,'LANÇAMENTOS'!$I$6:$I$2005,$C32,'LANÇAMENTOS'!$E$6:$E$2005,"Entrada")))</f>
        <v/>
      </c>
      <c r="U32" s="18">
        <f>IF($B32="","",SUMIFS('LANÇAMENTOS'!$W$6:$W$2005,'LANÇAMENTOS'!$I$6:$I$2005,$B32,'LANÇAMENTOS'!$E$6:$E$2005,"Entrada",'LANÇAMENTOS'!$C$6:$C$2005,"&lt;"&amp;TODAY())+IF($C32=$B32,0,SUMIFS('LANÇAMENTOS'!$W$6:$W$2005,'LANÇAMENTOS'!$I$6:$I$2005,$C32,'LANÇAMENTOS'!$E$6:$E$2005,"Entrada",'LANÇAMENTOS'!$C$6:$C$2005,"&lt;"&amp;TODAY())))</f>
        <v/>
      </c>
      <c r="V32" s="24">
        <f>IF(OR($B32="",$U32=0),0,MAX(0,TODAY()-IFERROR(-SUMPRODUCT(MAX(('LANÇAMENTOS'!$I$6:$I$2005=$B32)*('LANÇAMENTOS'!$W$6:$W$2005&gt;0)*('LANÇAMENTOS'!$C$6:$C$2005&lt;TODAY())*(-'LANÇAMENTOS'!$C$6:$C$2005))),TODAY())))</f>
        <v/>
      </c>
      <c r="W32" s="9">
        <f>IF($B32="","",IF($N32="Bloqueado","⛔ Bloqueado",IF($U32&gt;0,"⚠ Com valores vencidos","✔ Em dia")))</f>
        <v/>
      </c>
    </row>
    <row r="33">
      <c r="A33" s="14" t="n"/>
      <c r="B33" s="29" t="n"/>
      <c r="C33" s="29" t="n"/>
      <c r="D33" s="14" t="n"/>
      <c r="E33" s="14" t="n"/>
      <c r="F33" s="14" t="n"/>
      <c r="G33" s="29" t="n"/>
      <c r="H33" s="29" t="n"/>
      <c r="I33" s="14" t="n"/>
      <c r="J33" s="29" t="n"/>
      <c r="K33" s="29" t="n"/>
      <c r="L33" s="35" t="n"/>
      <c r="M33" s="36" t="n"/>
      <c r="N33" s="14" t="n"/>
      <c r="O33" s="29" t="n"/>
      <c r="P33" s="18">
        <f>IF($B33="","",SUMIFS('LANÇAMENTOS'!$Q$6:$Q$2005,'LANÇAMENTOS'!$I$6:$I$2005,$B33)+IF($C33=$B33,0,SUMIFS('LANÇAMENTOS'!$Q$6:$Q$2005,'LANÇAMENTOS'!$I$6:$I$2005,$C33)))</f>
        <v/>
      </c>
      <c r="Q33" s="24">
        <f>IF($B33="","",COUNTIFS('LANÇAMENTOS'!$I$6:$I$2005,$B33,'LANÇAMENTOS'!$P$6:$P$2005,1)+IF($C33=$B33,0,COUNTIFS('LANÇAMENTOS'!$I$6:$I$2005,$C33,'LANÇAMENTOS'!$P$6:$P$2005,1)))</f>
        <v/>
      </c>
      <c r="R33" s="18">
        <f>IFERROR(IF($P33=0,"",$P33/$Q33),"")</f>
        <v/>
      </c>
      <c r="S33" s="30">
        <f>IF($B33="","",IFERROR(IF(SUMPRODUCT(MAX(('LANÇAMENTOS'!$I$6:$I$2005=$B33)*'LANÇAMENTOS'!$B$6:$B$2005))&gt;0,SUMPRODUCT(MAX(('LANÇAMENTOS'!$I$6:$I$2005=$B33)*'LANÇAMENTOS'!$B$6:$B$2005)),""),""))</f>
        <v/>
      </c>
      <c r="T33" s="18">
        <f>IF($B33="","",SUMIFS('LANÇAMENTOS'!$W$6:$W$2005,'LANÇAMENTOS'!$I$6:$I$2005,$B33,'LANÇAMENTOS'!$E$6:$E$2005,"Entrada")+IF($C33=$B33,0,SUMIFS('LANÇAMENTOS'!$W$6:$W$2005,'LANÇAMENTOS'!$I$6:$I$2005,$C33,'LANÇAMENTOS'!$E$6:$E$2005,"Entrada")))</f>
        <v/>
      </c>
      <c r="U33" s="18">
        <f>IF($B33="","",SUMIFS('LANÇAMENTOS'!$W$6:$W$2005,'LANÇAMENTOS'!$I$6:$I$2005,$B33,'LANÇAMENTOS'!$E$6:$E$2005,"Entrada",'LANÇAMENTOS'!$C$6:$C$2005,"&lt;"&amp;TODAY())+IF($C33=$B33,0,SUMIFS('LANÇAMENTOS'!$W$6:$W$2005,'LANÇAMENTOS'!$I$6:$I$2005,$C33,'LANÇAMENTOS'!$E$6:$E$2005,"Entrada",'LANÇAMENTOS'!$C$6:$C$2005,"&lt;"&amp;TODAY())))</f>
        <v/>
      </c>
      <c r="V33" s="24">
        <f>IF(OR($B33="",$U33=0),0,MAX(0,TODAY()-IFERROR(-SUMPRODUCT(MAX(('LANÇAMENTOS'!$I$6:$I$2005=$B33)*('LANÇAMENTOS'!$W$6:$W$2005&gt;0)*('LANÇAMENTOS'!$C$6:$C$2005&lt;TODAY())*(-'LANÇAMENTOS'!$C$6:$C$2005))),TODAY())))</f>
        <v/>
      </c>
      <c r="W33" s="9">
        <f>IF($B33="","",IF($N33="Bloqueado","⛔ Bloqueado",IF($U33&gt;0,"⚠ Com valores vencidos","✔ Em dia")))</f>
        <v/>
      </c>
    </row>
    <row r="34">
      <c r="A34" s="14" t="n"/>
      <c r="B34" s="29" t="n"/>
      <c r="C34" s="29" t="n"/>
      <c r="D34" s="14" t="n"/>
      <c r="E34" s="14" t="n"/>
      <c r="F34" s="14" t="n"/>
      <c r="G34" s="29" t="n"/>
      <c r="H34" s="29" t="n"/>
      <c r="I34" s="14" t="n"/>
      <c r="J34" s="29" t="n"/>
      <c r="K34" s="29" t="n"/>
      <c r="L34" s="35" t="n"/>
      <c r="M34" s="36" t="n"/>
      <c r="N34" s="14" t="n"/>
      <c r="O34" s="29" t="n"/>
      <c r="P34" s="18">
        <f>IF($B34="","",SUMIFS('LANÇAMENTOS'!$Q$6:$Q$2005,'LANÇAMENTOS'!$I$6:$I$2005,$B34)+IF($C34=$B34,0,SUMIFS('LANÇAMENTOS'!$Q$6:$Q$2005,'LANÇAMENTOS'!$I$6:$I$2005,$C34)))</f>
        <v/>
      </c>
      <c r="Q34" s="24">
        <f>IF($B34="","",COUNTIFS('LANÇAMENTOS'!$I$6:$I$2005,$B34,'LANÇAMENTOS'!$P$6:$P$2005,1)+IF($C34=$B34,0,COUNTIFS('LANÇAMENTOS'!$I$6:$I$2005,$C34,'LANÇAMENTOS'!$P$6:$P$2005,1)))</f>
        <v/>
      </c>
      <c r="R34" s="18">
        <f>IFERROR(IF($P34=0,"",$P34/$Q34),"")</f>
        <v/>
      </c>
      <c r="S34" s="30">
        <f>IF($B34="","",IFERROR(IF(SUMPRODUCT(MAX(('LANÇAMENTOS'!$I$6:$I$2005=$B34)*'LANÇAMENTOS'!$B$6:$B$2005))&gt;0,SUMPRODUCT(MAX(('LANÇAMENTOS'!$I$6:$I$2005=$B34)*'LANÇAMENTOS'!$B$6:$B$2005)),""),""))</f>
        <v/>
      </c>
      <c r="T34" s="18">
        <f>IF($B34="","",SUMIFS('LANÇAMENTOS'!$W$6:$W$2005,'LANÇAMENTOS'!$I$6:$I$2005,$B34,'LANÇAMENTOS'!$E$6:$E$2005,"Entrada")+IF($C34=$B34,0,SUMIFS('LANÇAMENTOS'!$W$6:$W$2005,'LANÇAMENTOS'!$I$6:$I$2005,$C34,'LANÇAMENTOS'!$E$6:$E$2005,"Entrada")))</f>
        <v/>
      </c>
      <c r="U34" s="18">
        <f>IF($B34="","",SUMIFS('LANÇAMENTOS'!$W$6:$W$2005,'LANÇAMENTOS'!$I$6:$I$2005,$B34,'LANÇAMENTOS'!$E$6:$E$2005,"Entrada",'LANÇAMENTOS'!$C$6:$C$2005,"&lt;"&amp;TODAY())+IF($C34=$B34,0,SUMIFS('LANÇAMENTOS'!$W$6:$W$2005,'LANÇAMENTOS'!$I$6:$I$2005,$C34,'LANÇAMENTOS'!$E$6:$E$2005,"Entrada",'LANÇAMENTOS'!$C$6:$C$2005,"&lt;"&amp;TODAY())))</f>
        <v/>
      </c>
      <c r="V34" s="24">
        <f>IF(OR($B34="",$U34=0),0,MAX(0,TODAY()-IFERROR(-SUMPRODUCT(MAX(('LANÇAMENTOS'!$I$6:$I$2005=$B34)*('LANÇAMENTOS'!$W$6:$W$2005&gt;0)*('LANÇAMENTOS'!$C$6:$C$2005&lt;TODAY())*(-'LANÇAMENTOS'!$C$6:$C$2005))),TODAY())))</f>
        <v/>
      </c>
      <c r="W34" s="9">
        <f>IF($B34="","",IF($N34="Bloqueado","⛔ Bloqueado",IF($U34&gt;0,"⚠ Com valores vencidos","✔ Em dia")))</f>
        <v/>
      </c>
    </row>
    <row r="35">
      <c r="A35" s="14" t="n"/>
      <c r="B35" s="29" t="n"/>
      <c r="C35" s="29" t="n"/>
      <c r="D35" s="14" t="n"/>
      <c r="E35" s="14" t="n"/>
      <c r="F35" s="14" t="n"/>
      <c r="G35" s="29" t="n"/>
      <c r="H35" s="29" t="n"/>
      <c r="I35" s="14" t="n"/>
      <c r="J35" s="29" t="n"/>
      <c r="K35" s="29" t="n"/>
      <c r="L35" s="35" t="n"/>
      <c r="M35" s="36" t="n"/>
      <c r="N35" s="14" t="n"/>
      <c r="O35" s="29" t="n"/>
      <c r="P35" s="18">
        <f>IF($B35="","",SUMIFS('LANÇAMENTOS'!$Q$6:$Q$2005,'LANÇAMENTOS'!$I$6:$I$2005,$B35)+IF($C35=$B35,0,SUMIFS('LANÇAMENTOS'!$Q$6:$Q$2005,'LANÇAMENTOS'!$I$6:$I$2005,$C35)))</f>
        <v/>
      </c>
      <c r="Q35" s="24">
        <f>IF($B35="","",COUNTIFS('LANÇAMENTOS'!$I$6:$I$2005,$B35,'LANÇAMENTOS'!$P$6:$P$2005,1)+IF($C35=$B35,0,COUNTIFS('LANÇAMENTOS'!$I$6:$I$2005,$C35,'LANÇAMENTOS'!$P$6:$P$2005,1)))</f>
        <v/>
      </c>
      <c r="R35" s="18">
        <f>IFERROR(IF($P35=0,"",$P35/$Q35),"")</f>
        <v/>
      </c>
      <c r="S35" s="30">
        <f>IF($B35="","",IFERROR(IF(SUMPRODUCT(MAX(('LANÇAMENTOS'!$I$6:$I$2005=$B35)*'LANÇAMENTOS'!$B$6:$B$2005))&gt;0,SUMPRODUCT(MAX(('LANÇAMENTOS'!$I$6:$I$2005=$B35)*'LANÇAMENTOS'!$B$6:$B$2005)),""),""))</f>
        <v/>
      </c>
      <c r="T35" s="18">
        <f>IF($B35="","",SUMIFS('LANÇAMENTOS'!$W$6:$W$2005,'LANÇAMENTOS'!$I$6:$I$2005,$B35,'LANÇAMENTOS'!$E$6:$E$2005,"Entrada")+IF($C35=$B35,0,SUMIFS('LANÇAMENTOS'!$W$6:$W$2005,'LANÇAMENTOS'!$I$6:$I$2005,$C35,'LANÇAMENTOS'!$E$6:$E$2005,"Entrada")))</f>
        <v/>
      </c>
      <c r="U35" s="18">
        <f>IF($B35="","",SUMIFS('LANÇAMENTOS'!$W$6:$W$2005,'LANÇAMENTOS'!$I$6:$I$2005,$B35,'LANÇAMENTOS'!$E$6:$E$2005,"Entrada",'LANÇAMENTOS'!$C$6:$C$2005,"&lt;"&amp;TODAY())+IF($C35=$B35,0,SUMIFS('LANÇAMENTOS'!$W$6:$W$2005,'LANÇAMENTOS'!$I$6:$I$2005,$C35,'LANÇAMENTOS'!$E$6:$E$2005,"Entrada",'LANÇAMENTOS'!$C$6:$C$2005,"&lt;"&amp;TODAY())))</f>
        <v/>
      </c>
      <c r="V35" s="24">
        <f>IF(OR($B35="",$U35=0),0,MAX(0,TODAY()-IFERROR(-SUMPRODUCT(MAX(('LANÇAMENTOS'!$I$6:$I$2005=$B35)*('LANÇAMENTOS'!$W$6:$W$2005&gt;0)*('LANÇAMENTOS'!$C$6:$C$2005&lt;TODAY())*(-'LANÇAMENTOS'!$C$6:$C$2005))),TODAY())))</f>
        <v/>
      </c>
      <c r="W35" s="9">
        <f>IF($B35="","",IF($N35="Bloqueado","⛔ Bloqueado",IF($U35&gt;0,"⚠ Com valores vencidos","✔ Em dia")))</f>
        <v/>
      </c>
    </row>
    <row r="36">
      <c r="A36" s="14" t="n"/>
      <c r="B36" s="29" t="n"/>
      <c r="C36" s="29" t="n"/>
      <c r="D36" s="14" t="n"/>
      <c r="E36" s="14" t="n"/>
      <c r="F36" s="14" t="n"/>
      <c r="G36" s="29" t="n"/>
      <c r="H36" s="29" t="n"/>
      <c r="I36" s="14" t="n"/>
      <c r="J36" s="29" t="n"/>
      <c r="K36" s="29" t="n"/>
      <c r="L36" s="35" t="n"/>
      <c r="M36" s="36" t="n"/>
      <c r="N36" s="14" t="n"/>
      <c r="O36" s="29" t="n"/>
      <c r="P36" s="18">
        <f>IF($B36="","",SUMIFS('LANÇAMENTOS'!$Q$6:$Q$2005,'LANÇAMENTOS'!$I$6:$I$2005,$B36)+IF($C36=$B36,0,SUMIFS('LANÇAMENTOS'!$Q$6:$Q$2005,'LANÇAMENTOS'!$I$6:$I$2005,$C36)))</f>
        <v/>
      </c>
      <c r="Q36" s="24">
        <f>IF($B36="","",COUNTIFS('LANÇAMENTOS'!$I$6:$I$2005,$B36,'LANÇAMENTOS'!$P$6:$P$2005,1)+IF($C36=$B36,0,COUNTIFS('LANÇAMENTOS'!$I$6:$I$2005,$C36,'LANÇAMENTOS'!$P$6:$P$2005,1)))</f>
        <v/>
      </c>
      <c r="R36" s="18">
        <f>IFERROR(IF($P36=0,"",$P36/$Q36),"")</f>
        <v/>
      </c>
      <c r="S36" s="30">
        <f>IF($B36="","",IFERROR(IF(SUMPRODUCT(MAX(('LANÇAMENTOS'!$I$6:$I$2005=$B36)*'LANÇAMENTOS'!$B$6:$B$2005))&gt;0,SUMPRODUCT(MAX(('LANÇAMENTOS'!$I$6:$I$2005=$B36)*'LANÇAMENTOS'!$B$6:$B$2005)),""),""))</f>
        <v/>
      </c>
      <c r="T36" s="18">
        <f>IF($B36="","",SUMIFS('LANÇAMENTOS'!$W$6:$W$2005,'LANÇAMENTOS'!$I$6:$I$2005,$B36,'LANÇAMENTOS'!$E$6:$E$2005,"Entrada")+IF($C36=$B36,0,SUMIFS('LANÇAMENTOS'!$W$6:$W$2005,'LANÇAMENTOS'!$I$6:$I$2005,$C36,'LANÇAMENTOS'!$E$6:$E$2005,"Entrada")))</f>
        <v/>
      </c>
      <c r="U36" s="18">
        <f>IF($B36="","",SUMIFS('LANÇAMENTOS'!$W$6:$W$2005,'LANÇAMENTOS'!$I$6:$I$2005,$B36,'LANÇAMENTOS'!$E$6:$E$2005,"Entrada",'LANÇAMENTOS'!$C$6:$C$2005,"&lt;"&amp;TODAY())+IF($C36=$B36,0,SUMIFS('LANÇAMENTOS'!$W$6:$W$2005,'LANÇAMENTOS'!$I$6:$I$2005,$C36,'LANÇAMENTOS'!$E$6:$E$2005,"Entrada",'LANÇAMENTOS'!$C$6:$C$2005,"&lt;"&amp;TODAY())))</f>
        <v/>
      </c>
      <c r="V36" s="24">
        <f>IF(OR($B36="",$U36=0),0,MAX(0,TODAY()-IFERROR(-SUMPRODUCT(MAX(('LANÇAMENTOS'!$I$6:$I$2005=$B36)*('LANÇAMENTOS'!$W$6:$W$2005&gt;0)*('LANÇAMENTOS'!$C$6:$C$2005&lt;TODAY())*(-'LANÇAMENTOS'!$C$6:$C$2005))),TODAY())))</f>
        <v/>
      </c>
      <c r="W36" s="9">
        <f>IF($B36="","",IF($N36="Bloqueado","⛔ Bloqueado",IF($U36&gt;0,"⚠ Com valores vencidos","✔ Em dia")))</f>
        <v/>
      </c>
    </row>
    <row r="37">
      <c r="A37" s="14" t="n"/>
      <c r="B37" s="29" t="n"/>
      <c r="C37" s="29" t="n"/>
      <c r="D37" s="14" t="n"/>
      <c r="E37" s="14" t="n"/>
      <c r="F37" s="14" t="n"/>
      <c r="G37" s="29" t="n"/>
      <c r="H37" s="29" t="n"/>
      <c r="I37" s="14" t="n"/>
      <c r="J37" s="29" t="n"/>
      <c r="K37" s="29" t="n"/>
      <c r="L37" s="35" t="n"/>
      <c r="M37" s="36" t="n"/>
      <c r="N37" s="14" t="n"/>
      <c r="O37" s="29" t="n"/>
      <c r="P37" s="18">
        <f>IF($B37="","",SUMIFS('LANÇAMENTOS'!$Q$6:$Q$2005,'LANÇAMENTOS'!$I$6:$I$2005,$B37)+IF($C37=$B37,0,SUMIFS('LANÇAMENTOS'!$Q$6:$Q$2005,'LANÇAMENTOS'!$I$6:$I$2005,$C37)))</f>
        <v/>
      </c>
      <c r="Q37" s="24">
        <f>IF($B37="","",COUNTIFS('LANÇAMENTOS'!$I$6:$I$2005,$B37,'LANÇAMENTOS'!$P$6:$P$2005,1)+IF($C37=$B37,0,COUNTIFS('LANÇAMENTOS'!$I$6:$I$2005,$C37,'LANÇAMENTOS'!$P$6:$P$2005,1)))</f>
        <v/>
      </c>
      <c r="R37" s="18">
        <f>IFERROR(IF($P37=0,"",$P37/$Q37),"")</f>
        <v/>
      </c>
      <c r="S37" s="30">
        <f>IF($B37="","",IFERROR(IF(SUMPRODUCT(MAX(('LANÇAMENTOS'!$I$6:$I$2005=$B37)*'LANÇAMENTOS'!$B$6:$B$2005))&gt;0,SUMPRODUCT(MAX(('LANÇAMENTOS'!$I$6:$I$2005=$B37)*'LANÇAMENTOS'!$B$6:$B$2005)),""),""))</f>
        <v/>
      </c>
      <c r="T37" s="18">
        <f>IF($B37="","",SUMIFS('LANÇAMENTOS'!$W$6:$W$2005,'LANÇAMENTOS'!$I$6:$I$2005,$B37,'LANÇAMENTOS'!$E$6:$E$2005,"Entrada")+IF($C37=$B37,0,SUMIFS('LANÇAMENTOS'!$W$6:$W$2005,'LANÇAMENTOS'!$I$6:$I$2005,$C37,'LANÇAMENTOS'!$E$6:$E$2005,"Entrada")))</f>
        <v/>
      </c>
      <c r="U37" s="18">
        <f>IF($B37="","",SUMIFS('LANÇAMENTOS'!$W$6:$W$2005,'LANÇAMENTOS'!$I$6:$I$2005,$B37,'LANÇAMENTOS'!$E$6:$E$2005,"Entrada",'LANÇAMENTOS'!$C$6:$C$2005,"&lt;"&amp;TODAY())+IF($C37=$B37,0,SUMIFS('LANÇAMENTOS'!$W$6:$W$2005,'LANÇAMENTOS'!$I$6:$I$2005,$C37,'LANÇAMENTOS'!$E$6:$E$2005,"Entrada",'LANÇAMENTOS'!$C$6:$C$2005,"&lt;"&amp;TODAY())))</f>
        <v/>
      </c>
      <c r="V37" s="24">
        <f>IF(OR($B37="",$U37=0),0,MAX(0,TODAY()-IFERROR(-SUMPRODUCT(MAX(('LANÇAMENTOS'!$I$6:$I$2005=$B37)*('LANÇAMENTOS'!$W$6:$W$2005&gt;0)*('LANÇAMENTOS'!$C$6:$C$2005&lt;TODAY())*(-'LANÇAMENTOS'!$C$6:$C$2005))),TODAY())))</f>
        <v/>
      </c>
      <c r="W37" s="9">
        <f>IF($B37="","",IF($N37="Bloqueado","⛔ Bloqueado",IF($U37&gt;0,"⚠ Com valores vencidos","✔ Em dia")))</f>
        <v/>
      </c>
    </row>
    <row r="38">
      <c r="A38" s="14" t="n"/>
      <c r="B38" s="29" t="n"/>
      <c r="C38" s="29" t="n"/>
      <c r="D38" s="14" t="n"/>
      <c r="E38" s="14" t="n"/>
      <c r="F38" s="14" t="n"/>
      <c r="G38" s="29" t="n"/>
      <c r="H38" s="29" t="n"/>
      <c r="I38" s="14" t="n"/>
      <c r="J38" s="29" t="n"/>
      <c r="K38" s="29" t="n"/>
      <c r="L38" s="35" t="n"/>
      <c r="M38" s="36" t="n"/>
      <c r="N38" s="14" t="n"/>
      <c r="O38" s="29" t="n"/>
      <c r="P38" s="18">
        <f>IF($B38="","",SUMIFS('LANÇAMENTOS'!$Q$6:$Q$2005,'LANÇAMENTOS'!$I$6:$I$2005,$B38)+IF($C38=$B38,0,SUMIFS('LANÇAMENTOS'!$Q$6:$Q$2005,'LANÇAMENTOS'!$I$6:$I$2005,$C38)))</f>
        <v/>
      </c>
      <c r="Q38" s="24">
        <f>IF($B38="","",COUNTIFS('LANÇAMENTOS'!$I$6:$I$2005,$B38,'LANÇAMENTOS'!$P$6:$P$2005,1)+IF($C38=$B38,0,COUNTIFS('LANÇAMENTOS'!$I$6:$I$2005,$C38,'LANÇAMENTOS'!$P$6:$P$2005,1)))</f>
        <v/>
      </c>
      <c r="R38" s="18">
        <f>IFERROR(IF($P38=0,"",$P38/$Q38),"")</f>
        <v/>
      </c>
      <c r="S38" s="30">
        <f>IF($B38="","",IFERROR(IF(SUMPRODUCT(MAX(('LANÇAMENTOS'!$I$6:$I$2005=$B38)*'LANÇAMENTOS'!$B$6:$B$2005))&gt;0,SUMPRODUCT(MAX(('LANÇAMENTOS'!$I$6:$I$2005=$B38)*'LANÇAMENTOS'!$B$6:$B$2005)),""),""))</f>
        <v/>
      </c>
      <c r="T38" s="18">
        <f>IF($B38="","",SUMIFS('LANÇAMENTOS'!$W$6:$W$2005,'LANÇAMENTOS'!$I$6:$I$2005,$B38,'LANÇAMENTOS'!$E$6:$E$2005,"Entrada")+IF($C38=$B38,0,SUMIFS('LANÇAMENTOS'!$W$6:$W$2005,'LANÇAMENTOS'!$I$6:$I$2005,$C38,'LANÇAMENTOS'!$E$6:$E$2005,"Entrada")))</f>
        <v/>
      </c>
      <c r="U38" s="18">
        <f>IF($B38="","",SUMIFS('LANÇAMENTOS'!$W$6:$W$2005,'LANÇAMENTOS'!$I$6:$I$2005,$B38,'LANÇAMENTOS'!$E$6:$E$2005,"Entrada",'LANÇAMENTOS'!$C$6:$C$2005,"&lt;"&amp;TODAY())+IF($C38=$B38,0,SUMIFS('LANÇAMENTOS'!$W$6:$W$2005,'LANÇAMENTOS'!$I$6:$I$2005,$C38,'LANÇAMENTOS'!$E$6:$E$2005,"Entrada",'LANÇAMENTOS'!$C$6:$C$2005,"&lt;"&amp;TODAY())))</f>
        <v/>
      </c>
      <c r="V38" s="24">
        <f>IF(OR($B38="",$U38=0),0,MAX(0,TODAY()-IFERROR(-SUMPRODUCT(MAX(('LANÇAMENTOS'!$I$6:$I$2005=$B38)*('LANÇAMENTOS'!$W$6:$W$2005&gt;0)*('LANÇAMENTOS'!$C$6:$C$2005&lt;TODAY())*(-'LANÇAMENTOS'!$C$6:$C$2005))),TODAY())))</f>
        <v/>
      </c>
      <c r="W38" s="9">
        <f>IF($B38="","",IF($N38="Bloqueado","⛔ Bloqueado",IF($U38&gt;0,"⚠ Com valores vencidos","✔ Em dia")))</f>
        <v/>
      </c>
    </row>
    <row r="39">
      <c r="A39" s="14" t="n"/>
      <c r="B39" s="29" t="n"/>
      <c r="C39" s="29" t="n"/>
      <c r="D39" s="14" t="n"/>
      <c r="E39" s="14" t="n"/>
      <c r="F39" s="14" t="n"/>
      <c r="G39" s="29" t="n"/>
      <c r="H39" s="29" t="n"/>
      <c r="I39" s="14" t="n"/>
      <c r="J39" s="29" t="n"/>
      <c r="K39" s="29" t="n"/>
      <c r="L39" s="35" t="n"/>
      <c r="M39" s="36" t="n"/>
      <c r="N39" s="14" t="n"/>
      <c r="O39" s="29" t="n"/>
      <c r="P39" s="18">
        <f>IF($B39="","",SUMIFS('LANÇAMENTOS'!$Q$6:$Q$2005,'LANÇAMENTOS'!$I$6:$I$2005,$B39)+IF($C39=$B39,0,SUMIFS('LANÇAMENTOS'!$Q$6:$Q$2005,'LANÇAMENTOS'!$I$6:$I$2005,$C39)))</f>
        <v/>
      </c>
      <c r="Q39" s="24">
        <f>IF($B39="","",COUNTIFS('LANÇAMENTOS'!$I$6:$I$2005,$B39,'LANÇAMENTOS'!$P$6:$P$2005,1)+IF($C39=$B39,0,COUNTIFS('LANÇAMENTOS'!$I$6:$I$2005,$C39,'LANÇAMENTOS'!$P$6:$P$2005,1)))</f>
        <v/>
      </c>
      <c r="R39" s="18">
        <f>IFERROR(IF($P39=0,"",$P39/$Q39),"")</f>
        <v/>
      </c>
      <c r="S39" s="30">
        <f>IF($B39="","",IFERROR(IF(SUMPRODUCT(MAX(('LANÇAMENTOS'!$I$6:$I$2005=$B39)*'LANÇAMENTOS'!$B$6:$B$2005))&gt;0,SUMPRODUCT(MAX(('LANÇAMENTOS'!$I$6:$I$2005=$B39)*'LANÇAMENTOS'!$B$6:$B$2005)),""),""))</f>
        <v/>
      </c>
      <c r="T39" s="18">
        <f>IF($B39="","",SUMIFS('LANÇAMENTOS'!$W$6:$W$2005,'LANÇAMENTOS'!$I$6:$I$2005,$B39,'LANÇAMENTOS'!$E$6:$E$2005,"Entrada")+IF($C39=$B39,0,SUMIFS('LANÇAMENTOS'!$W$6:$W$2005,'LANÇAMENTOS'!$I$6:$I$2005,$C39,'LANÇAMENTOS'!$E$6:$E$2005,"Entrada")))</f>
        <v/>
      </c>
      <c r="U39" s="18">
        <f>IF($B39="","",SUMIFS('LANÇAMENTOS'!$W$6:$W$2005,'LANÇAMENTOS'!$I$6:$I$2005,$B39,'LANÇAMENTOS'!$E$6:$E$2005,"Entrada",'LANÇAMENTOS'!$C$6:$C$2005,"&lt;"&amp;TODAY())+IF($C39=$B39,0,SUMIFS('LANÇAMENTOS'!$W$6:$W$2005,'LANÇAMENTOS'!$I$6:$I$2005,$C39,'LANÇAMENTOS'!$E$6:$E$2005,"Entrada",'LANÇAMENTOS'!$C$6:$C$2005,"&lt;"&amp;TODAY())))</f>
        <v/>
      </c>
      <c r="V39" s="24">
        <f>IF(OR($B39="",$U39=0),0,MAX(0,TODAY()-IFERROR(-SUMPRODUCT(MAX(('LANÇAMENTOS'!$I$6:$I$2005=$B39)*('LANÇAMENTOS'!$W$6:$W$2005&gt;0)*('LANÇAMENTOS'!$C$6:$C$2005&lt;TODAY())*(-'LANÇAMENTOS'!$C$6:$C$2005))),TODAY())))</f>
        <v/>
      </c>
      <c r="W39" s="9">
        <f>IF($B39="","",IF($N39="Bloqueado","⛔ Bloqueado",IF($U39&gt;0,"⚠ Com valores vencidos","✔ Em dia")))</f>
        <v/>
      </c>
    </row>
    <row r="40">
      <c r="A40" s="14" t="n"/>
      <c r="B40" s="29" t="n"/>
      <c r="C40" s="29" t="n"/>
      <c r="D40" s="14" t="n"/>
      <c r="E40" s="14" t="n"/>
      <c r="F40" s="14" t="n"/>
      <c r="G40" s="29" t="n"/>
      <c r="H40" s="29" t="n"/>
      <c r="I40" s="14" t="n"/>
      <c r="J40" s="29" t="n"/>
      <c r="K40" s="29" t="n"/>
      <c r="L40" s="35" t="n"/>
      <c r="M40" s="36" t="n"/>
      <c r="N40" s="14" t="n"/>
      <c r="O40" s="29" t="n"/>
      <c r="P40" s="18">
        <f>IF($B40="","",SUMIFS('LANÇAMENTOS'!$Q$6:$Q$2005,'LANÇAMENTOS'!$I$6:$I$2005,$B40)+IF($C40=$B40,0,SUMIFS('LANÇAMENTOS'!$Q$6:$Q$2005,'LANÇAMENTOS'!$I$6:$I$2005,$C40)))</f>
        <v/>
      </c>
      <c r="Q40" s="24">
        <f>IF($B40="","",COUNTIFS('LANÇAMENTOS'!$I$6:$I$2005,$B40,'LANÇAMENTOS'!$P$6:$P$2005,1)+IF($C40=$B40,0,COUNTIFS('LANÇAMENTOS'!$I$6:$I$2005,$C40,'LANÇAMENTOS'!$P$6:$P$2005,1)))</f>
        <v/>
      </c>
      <c r="R40" s="18">
        <f>IFERROR(IF($P40=0,"",$P40/$Q40),"")</f>
        <v/>
      </c>
      <c r="S40" s="30">
        <f>IF($B40="","",IFERROR(IF(SUMPRODUCT(MAX(('LANÇAMENTOS'!$I$6:$I$2005=$B40)*'LANÇAMENTOS'!$B$6:$B$2005))&gt;0,SUMPRODUCT(MAX(('LANÇAMENTOS'!$I$6:$I$2005=$B40)*'LANÇAMENTOS'!$B$6:$B$2005)),""),""))</f>
        <v/>
      </c>
      <c r="T40" s="18">
        <f>IF($B40="","",SUMIFS('LANÇAMENTOS'!$W$6:$W$2005,'LANÇAMENTOS'!$I$6:$I$2005,$B40,'LANÇAMENTOS'!$E$6:$E$2005,"Entrada")+IF($C40=$B40,0,SUMIFS('LANÇAMENTOS'!$W$6:$W$2005,'LANÇAMENTOS'!$I$6:$I$2005,$C40,'LANÇAMENTOS'!$E$6:$E$2005,"Entrada")))</f>
        <v/>
      </c>
      <c r="U40" s="18">
        <f>IF($B40="","",SUMIFS('LANÇAMENTOS'!$W$6:$W$2005,'LANÇAMENTOS'!$I$6:$I$2005,$B40,'LANÇAMENTOS'!$E$6:$E$2005,"Entrada",'LANÇAMENTOS'!$C$6:$C$2005,"&lt;"&amp;TODAY())+IF($C40=$B40,0,SUMIFS('LANÇAMENTOS'!$W$6:$W$2005,'LANÇAMENTOS'!$I$6:$I$2005,$C40,'LANÇAMENTOS'!$E$6:$E$2005,"Entrada",'LANÇAMENTOS'!$C$6:$C$2005,"&lt;"&amp;TODAY())))</f>
        <v/>
      </c>
      <c r="V40" s="24">
        <f>IF(OR($B40="",$U40=0),0,MAX(0,TODAY()-IFERROR(-SUMPRODUCT(MAX(('LANÇAMENTOS'!$I$6:$I$2005=$B40)*('LANÇAMENTOS'!$W$6:$W$2005&gt;0)*('LANÇAMENTOS'!$C$6:$C$2005&lt;TODAY())*(-'LANÇAMENTOS'!$C$6:$C$2005))),TODAY())))</f>
        <v/>
      </c>
      <c r="W40" s="9">
        <f>IF($B40="","",IF($N40="Bloqueado","⛔ Bloqueado",IF($U40&gt;0,"⚠ Com valores vencidos","✔ Em dia")))</f>
        <v/>
      </c>
    </row>
    <row r="41">
      <c r="A41" s="14" t="n"/>
      <c r="B41" s="29" t="n"/>
      <c r="C41" s="29" t="n"/>
      <c r="D41" s="14" t="n"/>
      <c r="E41" s="14" t="n"/>
      <c r="F41" s="14" t="n"/>
      <c r="G41" s="29" t="n"/>
      <c r="H41" s="29" t="n"/>
      <c r="I41" s="14" t="n"/>
      <c r="J41" s="29" t="n"/>
      <c r="K41" s="29" t="n"/>
      <c r="L41" s="35" t="n"/>
      <c r="M41" s="36" t="n"/>
      <c r="N41" s="14" t="n"/>
      <c r="O41" s="29" t="n"/>
      <c r="P41" s="18">
        <f>IF($B41="","",SUMIFS('LANÇAMENTOS'!$Q$6:$Q$2005,'LANÇAMENTOS'!$I$6:$I$2005,$B41)+IF($C41=$B41,0,SUMIFS('LANÇAMENTOS'!$Q$6:$Q$2005,'LANÇAMENTOS'!$I$6:$I$2005,$C41)))</f>
        <v/>
      </c>
      <c r="Q41" s="24">
        <f>IF($B41="","",COUNTIFS('LANÇAMENTOS'!$I$6:$I$2005,$B41,'LANÇAMENTOS'!$P$6:$P$2005,1)+IF($C41=$B41,0,COUNTIFS('LANÇAMENTOS'!$I$6:$I$2005,$C41,'LANÇAMENTOS'!$P$6:$P$2005,1)))</f>
        <v/>
      </c>
      <c r="R41" s="18">
        <f>IFERROR(IF($P41=0,"",$P41/$Q41),"")</f>
        <v/>
      </c>
      <c r="S41" s="30">
        <f>IF($B41="","",IFERROR(IF(SUMPRODUCT(MAX(('LANÇAMENTOS'!$I$6:$I$2005=$B41)*'LANÇAMENTOS'!$B$6:$B$2005))&gt;0,SUMPRODUCT(MAX(('LANÇAMENTOS'!$I$6:$I$2005=$B41)*'LANÇAMENTOS'!$B$6:$B$2005)),""),""))</f>
        <v/>
      </c>
      <c r="T41" s="18">
        <f>IF($B41="","",SUMIFS('LANÇAMENTOS'!$W$6:$W$2005,'LANÇAMENTOS'!$I$6:$I$2005,$B41,'LANÇAMENTOS'!$E$6:$E$2005,"Entrada")+IF($C41=$B41,0,SUMIFS('LANÇAMENTOS'!$W$6:$W$2005,'LANÇAMENTOS'!$I$6:$I$2005,$C41,'LANÇAMENTOS'!$E$6:$E$2005,"Entrada")))</f>
        <v/>
      </c>
      <c r="U41" s="18">
        <f>IF($B41="","",SUMIFS('LANÇAMENTOS'!$W$6:$W$2005,'LANÇAMENTOS'!$I$6:$I$2005,$B41,'LANÇAMENTOS'!$E$6:$E$2005,"Entrada",'LANÇAMENTOS'!$C$6:$C$2005,"&lt;"&amp;TODAY())+IF($C41=$B41,0,SUMIFS('LANÇAMENTOS'!$W$6:$W$2005,'LANÇAMENTOS'!$I$6:$I$2005,$C41,'LANÇAMENTOS'!$E$6:$E$2005,"Entrada",'LANÇAMENTOS'!$C$6:$C$2005,"&lt;"&amp;TODAY())))</f>
        <v/>
      </c>
      <c r="V41" s="24">
        <f>IF(OR($B41="",$U41=0),0,MAX(0,TODAY()-IFERROR(-SUMPRODUCT(MAX(('LANÇAMENTOS'!$I$6:$I$2005=$B41)*('LANÇAMENTOS'!$W$6:$W$2005&gt;0)*('LANÇAMENTOS'!$C$6:$C$2005&lt;TODAY())*(-'LANÇAMENTOS'!$C$6:$C$2005))),TODAY())))</f>
        <v/>
      </c>
      <c r="W41" s="9">
        <f>IF($B41="","",IF($N41="Bloqueado","⛔ Bloqueado",IF($U41&gt;0,"⚠ Com valores vencidos","✔ Em dia")))</f>
        <v/>
      </c>
    </row>
    <row r="42">
      <c r="A42" s="14" t="n"/>
      <c r="B42" s="29" t="n"/>
      <c r="C42" s="29" t="n"/>
      <c r="D42" s="14" t="n"/>
      <c r="E42" s="14" t="n"/>
      <c r="F42" s="14" t="n"/>
      <c r="G42" s="29" t="n"/>
      <c r="H42" s="29" t="n"/>
      <c r="I42" s="14" t="n"/>
      <c r="J42" s="29" t="n"/>
      <c r="K42" s="29" t="n"/>
      <c r="L42" s="35" t="n"/>
      <c r="M42" s="36" t="n"/>
      <c r="N42" s="14" t="n"/>
      <c r="O42" s="29" t="n"/>
      <c r="P42" s="18">
        <f>IF($B42="","",SUMIFS('LANÇAMENTOS'!$Q$6:$Q$2005,'LANÇAMENTOS'!$I$6:$I$2005,$B42)+IF($C42=$B42,0,SUMIFS('LANÇAMENTOS'!$Q$6:$Q$2005,'LANÇAMENTOS'!$I$6:$I$2005,$C42)))</f>
        <v/>
      </c>
      <c r="Q42" s="24">
        <f>IF($B42="","",COUNTIFS('LANÇAMENTOS'!$I$6:$I$2005,$B42,'LANÇAMENTOS'!$P$6:$P$2005,1)+IF($C42=$B42,0,COUNTIFS('LANÇAMENTOS'!$I$6:$I$2005,$C42,'LANÇAMENTOS'!$P$6:$P$2005,1)))</f>
        <v/>
      </c>
      <c r="R42" s="18">
        <f>IFERROR(IF($P42=0,"",$P42/$Q42),"")</f>
        <v/>
      </c>
      <c r="S42" s="30">
        <f>IF($B42="","",IFERROR(IF(SUMPRODUCT(MAX(('LANÇAMENTOS'!$I$6:$I$2005=$B42)*'LANÇAMENTOS'!$B$6:$B$2005))&gt;0,SUMPRODUCT(MAX(('LANÇAMENTOS'!$I$6:$I$2005=$B42)*'LANÇAMENTOS'!$B$6:$B$2005)),""),""))</f>
        <v/>
      </c>
      <c r="T42" s="18">
        <f>IF($B42="","",SUMIFS('LANÇAMENTOS'!$W$6:$W$2005,'LANÇAMENTOS'!$I$6:$I$2005,$B42,'LANÇAMENTOS'!$E$6:$E$2005,"Entrada")+IF($C42=$B42,0,SUMIFS('LANÇAMENTOS'!$W$6:$W$2005,'LANÇAMENTOS'!$I$6:$I$2005,$C42,'LANÇAMENTOS'!$E$6:$E$2005,"Entrada")))</f>
        <v/>
      </c>
      <c r="U42" s="18">
        <f>IF($B42="","",SUMIFS('LANÇAMENTOS'!$W$6:$W$2005,'LANÇAMENTOS'!$I$6:$I$2005,$B42,'LANÇAMENTOS'!$E$6:$E$2005,"Entrada",'LANÇAMENTOS'!$C$6:$C$2005,"&lt;"&amp;TODAY())+IF($C42=$B42,0,SUMIFS('LANÇAMENTOS'!$W$6:$W$2005,'LANÇAMENTOS'!$I$6:$I$2005,$C42,'LANÇAMENTOS'!$E$6:$E$2005,"Entrada",'LANÇAMENTOS'!$C$6:$C$2005,"&lt;"&amp;TODAY())))</f>
        <v/>
      </c>
      <c r="V42" s="24">
        <f>IF(OR($B42="",$U42=0),0,MAX(0,TODAY()-IFERROR(-SUMPRODUCT(MAX(('LANÇAMENTOS'!$I$6:$I$2005=$B42)*('LANÇAMENTOS'!$W$6:$W$2005&gt;0)*('LANÇAMENTOS'!$C$6:$C$2005&lt;TODAY())*(-'LANÇAMENTOS'!$C$6:$C$2005))),TODAY())))</f>
        <v/>
      </c>
      <c r="W42" s="9">
        <f>IF($B42="","",IF($N42="Bloqueado","⛔ Bloqueado",IF($U42&gt;0,"⚠ Com valores vencidos","✔ Em dia")))</f>
        <v/>
      </c>
    </row>
    <row r="43">
      <c r="A43" s="14" t="n"/>
      <c r="B43" s="29" t="n"/>
      <c r="C43" s="29" t="n"/>
      <c r="D43" s="14" t="n"/>
      <c r="E43" s="14" t="n"/>
      <c r="F43" s="14" t="n"/>
      <c r="G43" s="29" t="n"/>
      <c r="H43" s="29" t="n"/>
      <c r="I43" s="14" t="n"/>
      <c r="J43" s="29" t="n"/>
      <c r="K43" s="29" t="n"/>
      <c r="L43" s="35" t="n"/>
      <c r="M43" s="36" t="n"/>
      <c r="N43" s="14" t="n"/>
      <c r="O43" s="29" t="n"/>
      <c r="P43" s="18">
        <f>IF($B43="","",SUMIFS('LANÇAMENTOS'!$Q$6:$Q$2005,'LANÇAMENTOS'!$I$6:$I$2005,$B43)+IF($C43=$B43,0,SUMIFS('LANÇAMENTOS'!$Q$6:$Q$2005,'LANÇAMENTOS'!$I$6:$I$2005,$C43)))</f>
        <v/>
      </c>
      <c r="Q43" s="24">
        <f>IF($B43="","",COUNTIFS('LANÇAMENTOS'!$I$6:$I$2005,$B43,'LANÇAMENTOS'!$P$6:$P$2005,1)+IF($C43=$B43,0,COUNTIFS('LANÇAMENTOS'!$I$6:$I$2005,$C43,'LANÇAMENTOS'!$P$6:$P$2005,1)))</f>
        <v/>
      </c>
      <c r="R43" s="18">
        <f>IFERROR(IF($P43=0,"",$P43/$Q43),"")</f>
        <v/>
      </c>
      <c r="S43" s="30">
        <f>IF($B43="","",IFERROR(IF(SUMPRODUCT(MAX(('LANÇAMENTOS'!$I$6:$I$2005=$B43)*'LANÇAMENTOS'!$B$6:$B$2005))&gt;0,SUMPRODUCT(MAX(('LANÇAMENTOS'!$I$6:$I$2005=$B43)*'LANÇAMENTOS'!$B$6:$B$2005)),""),""))</f>
        <v/>
      </c>
      <c r="T43" s="18">
        <f>IF($B43="","",SUMIFS('LANÇAMENTOS'!$W$6:$W$2005,'LANÇAMENTOS'!$I$6:$I$2005,$B43,'LANÇAMENTOS'!$E$6:$E$2005,"Entrada")+IF($C43=$B43,0,SUMIFS('LANÇAMENTOS'!$W$6:$W$2005,'LANÇAMENTOS'!$I$6:$I$2005,$C43,'LANÇAMENTOS'!$E$6:$E$2005,"Entrada")))</f>
        <v/>
      </c>
      <c r="U43" s="18">
        <f>IF($B43="","",SUMIFS('LANÇAMENTOS'!$W$6:$W$2005,'LANÇAMENTOS'!$I$6:$I$2005,$B43,'LANÇAMENTOS'!$E$6:$E$2005,"Entrada",'LANÇAMENTOS'!$C$6:$C$2005,"&lt;"&amp;TODAY())+IF($C43=$B43,0,SUMIFS('LANÇAMENTOS'!$W$6:$W$2005,'LANÇAMENTOS'!$I$6:$I$2005,$C43,'LANÇAMENTOS'!$E$6:$E$2005,"Entrada",'LANÇAMENTOS'!$C$6:$C$2005,"&lt;"&amp;TODAY())))</f>
        <v/>
      </c>
      <c r="V43" s="24">
        <f>IF(OR($B43="",$U43=0),0,MAX(0,TODAY()-IFERROR(-SUMPRODUCT(MAX(('LANÇAMENTOS'!$I$6:$I$2005=$B43)*('LANÇAMENTOS'!$W$6:$W$2005&gt;0)*('LANÇAMENTOS'!$C$6:$C$2005&lt;TODAY())*(-'LANÇAMENTOS'!$C$6:$C$2005))),TODAY())))</f>
        <v/>
      </c>
      <c r="W43" s="9">
        <f>IF($B43="","",IF($N43="Bloqueado","⛔ Bloqueado",IF($U43&gt;0,"⚠ Com valores vencidos","✔ Em dia")))</f>
        <v/>
      </c>
    </row>
    <row r="44">
      <c r="A44" s="14" t="n"/>
      <c r="B44" s="29" t="n"/>
      <c r="C44" s="29" t="n"/>
      <c r="D44" s="14" t="n"/>
      <c r="E44" s="14" t="n"/>
      <c r="F44" s="14" t="n"/>
      <c r="G44" s="29" t="n"/>
      <c r="H44" s="29" t="n"/>
      <c r="I44" s="14" t="n"/>
      <c r="J44" s="29" t="n"/>
      <c r="K44" s="29" t="n"/>
      <c r="L44" s="35" t="n"/>
      <c r="M44" s="36" t="n"/>
      <c r="N44" s="14" t="n"/>
      <c r="O44" s="29" t="n"/>
      <c r="P44" s="18">
        <f>IF($B44="","",SUMIFS('LANÇAMENTOS'!$Q$6:$Q$2005,'LANÇAMENTOS'!$I$6:$I$2005,$B44)+IF($C44=$B44,0,SUMIFS('LANÇAMENTOS'!$Q$6:$Q$2005,'LANÇAMENTOS'!$I$6:$I$2005,$C44)))</f>
        <v/>
      </c>
      <c r="Q44" s="24">
        <f>IF($B44="","",COUNTIFS('LANÇAMENTOS'!$I$6:$I$2005,$B44,'LANÇAMENTOS'!$P$6:$P$2005,1)+IF($C44=$B44,0,COUNTIFS('LANÇAMENTOS'!$I$6:$I$2005,$C44,'LANÇAMENTOS'!$P$6:$P$2005,1)))</f>
        <v/>
      </c>
      <c r="R44" s="18">
        <f>IFERROR(IF($P44=0,"",$P44/$Q44),"")</f>
        <v/>
      </c>
      <c r="S44" s="30">
        <f>IF($B44="","",IFERROR(IF(SUMPRODUCT(MAX(('LANÇAMENTOS'!$I$6:$I$2005=$B44)*'LANÇAMENTOS'!$B$6:$B$2005))&gt;0,SUMPRODUCT(MAX(('LANÇAMENTOS'!$I$6:$I$2005=$B44)*'LANÇAMENTOS'!$B$6:$B$2005)),""),""))</f>
        <v/>
      </c>
      <c r="T44" s="18">
        <f>IF($B44="","",SUMIFS('LANÇAMENTOS'!$W$6:$W$2005,'LANÇAMENTOS'!$I$6:$I$2005,$B44,'LANÇAMENTOS'!$E$6:$E$2005,"Entrada")+IF($C44=$B44,0,SUMIFS('LANÇAMENTOS'!$W$6:$W$2005,'LANÇAMENTOS'!$I$6:$I$2005,$C44,'LANÇAMENTOS'!$E$6:$E$2005,"Entrada")))</f>
        <v/>
      </c>
      <c r="U44" s="18">
        <f>IF($B44="","",SUMIFS('LANÇAMENTOS'!$W$6:$W$2005,'LANÇAMENTOS'!$I$6:$I$2005,$B44,'LANÇAMENTOS'!$E$6:$E$2005,"Entrada",'LANÇAMENTOS'!$C$6:$C$2005,"&lt;"&amp;TODAY())+IF($C44=$B44,0,SUMIFS('LANÇAMENTOS'!$W$6:$W$2005,'LANÇAMENTOS'!$I$6:$I$2005,$C44,'LANÇAMENTOS'!$E$6:$E$2005,"Entrada",'LANÇAMENTOS'!$C$6:$C$2005,"&lt;"&amp;TODAY())))</f>
        <v/>
      </c>
      <c r="V44" s="24">
        <f>IF(OR($B44="",$U44=0),0,MAX(0,TODAY()-IFERROR(-SUMPRODUCT(MAX(('LANÇAMENTOS'!$I$6:$I$2005=$B44)*('LANÇAMENTOS'!$W$6:$W$2005&gt;0)*('LANÇAMENTOS'!$C$6:$C$2005&lt;TODAY())*(-'LANÇAMENTOS'!$C$6:$C$2005))),TODAY())))</f>
        <v/>
      </c>
      <c r="W44" s="9">
        <f>IF($B44="","",IF($N44="Bloqueado","⛔ Bloqueado",IF($U44&gt;0,"⚠ Com valores vencidos","✔ Em dia")))</f>
        <v/>
      </c>
    </row>
    <row r="45">
      <c r="A45" s="14" t="n"/>
      <c r="B45" s="29" t="n"/>
      <c r="C45" s="29" t="n"/>
      <c r="D45" s="14" t="n"/>
      <c r="E45" s="14" t="n"/>
      <c r="F45" s="14" t="n"/>
      <c r="G45" s="29" t="n"/>
      <c r="H45" s="29" t="n"/>
      <c r="I45" s="14" t="n"/>
      <c r="J45" s="29" t="n"/>
      <c r="K45" s="29" t="n"/>
      <c r="L45" s="35" t="n"/>
      <c r="M45" s="36" t="n"/>
      <c r="N45" s="14" t="n"/>
      <c r="O45" s="29" t="n"/>
      <c r="P45" s="18">
        <f>IF($B45="","",SUMIFS('LANÇAMENTOS'!$Q$6:$Q$2005,'LANÇAMENTOS'!$I$6:$I$2005,$B45)+IF($C45=$B45,0,SUMIFS('LANÇAMENTOS'!$Q$6:$Q$2005,'LANÇAMENTOS'!$I$6:$I$2005,$C45)))</f>
        <v/>
      </c>
      <c r="Q45" s="24">
        <f>IF($B45="","",COUNTIFS('LANÇAMENTOS'!$I$6:$I$2005,$B45,'LANÇAMENTOS'!$P$6:$P$2005,1)+IF($C45=$B45,0,COUNTIFS('LANÇAMENTOS'!$I$6:$I$2005,$C45,'LANÇAMENTOS'!$P$6:$P$2005,1)))</f>
        <v/>
      </c>
      <c r="R45" s="18">
        <f>IFERROR(IF($P45=0,"",$P45/$Q45),"")</f>
        <v/>
      </c>
      <c r="S45" s="30">
        <f>IF($B45="","",IFERROR(IF(SUMPRODUCT(MAX(('LANÇAMENTOS'!$I$6:$I$2005=$B45)*'LANÇAMENTOS'!$B$6:$B$2005))&gt;0,SUMPRODUCT(MAX(('LANÇAMENTOS'!$I$6:$I$2005=$B45)*'LANÇAMENTOS'!$B$6:$B$2005)),""),""))</f>
        <v/>
      </c>
      <c r="T45" s="18">
        <f>IF($B45="","",SUMIFS('LANÇAMENTOS'!$W$6:$W$2005,'LANÇAMENTOS'!$I$6:$I$2005,$B45,'LANÇAMENTOS'!$E$6:$E$2005,"Entrada")+IF($C45=$B45,0,SUMIFS('LANÇAMENTOS'!$W$6:$W$2005,'LANÇAMENTOS'!$I$6:$I$2005,$C45,'LANÇAMENTOS'!$E$6:$E$2005,"Entrada")))</f>
        <v/>
      </c>
      <c r="U45" s="18">
        <f>IF($B45="","",SUMIFS('LANÇAMENTOS'!$W$6:$W$2005,'LANÇAMENTOS'!$I$6:$I$2005,$B45,'LANÇAMENTOS'!$E$6:$E$2005,"Entrada",'LANÇAMENTOS'!$C$6:$C$2005,"&lt;"&amp;TODAY())+IF($C45=$B45,0,SUMIFS('LANÇAMENTOS'!$W$6:$W$2005,'LANÇAMENTOS'!$I$6:$I$2005,$C45,'LANÇAMENTOS'!$E$6:$E$2005,"Entrada",'LANÇAMENTOS'!$C$6:$C$2005,"&lt;"&amp;TODAY())))</f>
        <v/>
      </c>
      <c r="V45" s="24">
        <f>IF(OR($B45="",$U45=0),0,MAX(0,TODAY()-IFERROR(-SUMPRODUCT(MAX(('LANÇAMENTOS'!$I$6:$I$2005=$B45)*('LANÇAMENTOS'!$W$6:$W$2005&gt;0)*('LANÇAMENTOS'!$C$6:$C$2005&lt;TODAY())*(-'LANÇAMENTOS'!$C$6:$C$2005))),TODAY())))</f>
        <v/>
      </c>
      <c r="W45" s="9">
        <f>IF($B45="","",IF($N45="Bloqueado","⛔ Bloqueado",IF($U45&gt;0,"⚠ Com valores vencidos","✔ Em dia")))</f>
        <v/>
      </c>
    </row>
    <row r="46">
      <c r="A46" s="14" t="n"/>
      <c r="B46" s="29" t="n"/>
      <c r="C46" s="29" t="n"/>
      <c r="D46" s="14" t="n"/>
      <c r="E46" s="14" t="n"/>
      <c r="F46" s="14" t="n"/>
      <c r="G46" s="29" t="n"/>
      <c r="H46" s="29" t="n"/>
      <c r="I46" s="14" t="n"/>
      <c r="J46" s="29" t="n"/>
      <c r="K46" s="29" t="n"/>
      <c r="L46" s="35" t="n"/>
      <c r="M46" s="36" t="n"/>
      <c r="N46" s="14" t="n"/>
      <c r="O46" s="29" t="n"/>
      <c r="P46" s="18">
        <f>IF($B46="","",SUMIFS('LANÇAMENTOS'!$Q$6:$Q$2005,'LANÇAMENTOS'!$I$6:$I$2005,$B46)+IF($C46=$B46,0,SUMIFS('LANÇAMENTOS'!$Q$6:$Q$2005,'LANÇAMENTOS'!$I$6:$I$2005,$C46)))</f>
        <v/>
      </c>
      <c r="Q46" s="24">
        <f>IF($B46="","",COUNTIFS('LANÇAMENTOS'!$I$6:$I$2005,$B46,'LANÇAMENTOS'!$P$6:$P$2005,1)+IF($C46=$B46,0,COUNTIFS('LANÇAMENTOS'!$I$6:$I$2005,$C46,'LANÇAMENTOS'!$P$6:$P$2005,1)))</f>
        <v/>
      </c>
      <c r="R46" s="18">
        <f>IFERROR(IF($P46=0,"",$P46/$Q46),"")</f>
        <v/>
      </c>
      <c r="S46" s="30">
        <f>IF($B46="","",IFERROR(IF(SUMPRODUCT(MAX(('LANÇAMENTOS'!$I$6:$I$2005=$B46)*'LANÇAMENTOS'!$B$6:$B$2005))&gt;0,SUMPRODUCT(MAX(('LANÇAMENTOS'!$I$6:$I$2005=$B46)*'LANÇAMENTOS'!$B$6:$B$2005)),""),""))</f>
        <v/>
      </c>
      <c r="T46" s="18">
        <f>IF($B46="","",SUMIFS('LANÇAMENTOS'!$W$6:$W$2005,'LANÇAMENTOS'!$I$6:$I$2005,$B46,'LANÇAMENTOS'!$E$6:$E$2005,"Entrada")+IF($C46=$B46,0,SUMIFS('LANÇAMENTOS'!$W$6:$W$2005,'LANÇAMENTOS'!$I$6:$I$2005,$C46,'LANÇAMENTOS'!$E$6:$E$2005,"Entrada")))</f>
        <v/>
      </c>
      <c r="U46" s="18">
        <f>IF($B46="","",SUMIFS('LANÇAMENTOS'!$W$6:$W$2005,'LANÇAMENTOS'!$I$6:$I$2005,$B46,'LANÇAMENTOS'!$E$6:$E$2005,"Entrada",'LANÇAMENTOS'!$C$6:$C$2005,"&lt;"&amp;TODAY())+IF($C46=$B46,0,SUMIFS('LANÇAMENTOS'!$W$6:$W$2005,'LANÇAMENTOS'!$I$6:$I$2005,$C46,'LANÇAMENTOS'!$E$6:$E$2005,"Entrada",'LANÇAMENTOS'!$C$6:$C$2005,"&lt;"&amp;TODAY())))</f>
        <v/>
      </c>
      <c r="V46" s="24">
        <f>IF(OR($B46="",$U46=0),0,MAX(0,TODAY()-IFERROR(-SUMPRODUCT(MAX(('LANÇAMENTOS'!$I$6:$I$2005=$B46)*('LANÇAMENTOS'!$W$6:$W$2005&gt;0)*('LANÇAMENTOS'!$C$6:$C$2005&lt;TODAY())*(-'LANÇAMENTOS'!$C$6:$C$2005))),TODAY())))</f>
        <v/>
      </c>
      <c r="W46" s="9">
        <f>IF($B46="","",IF($N46="Bloqueado","⛔ Bloqueado",IF($U46&gt;0,"⚠ Com valores vencidos","✔ Em dia")))</f>
        <v/>
      </c>
    </row>
    <row r="47">
      <c r="A47" s="14" t="n"/>
      <c r="B47" s="29" t="n"/>
      <c r="C47" s="29" t="n"/>
      <c r="D47" s="14" t="n"/>
      <c r="E47" s="14" t="n"/>
      <c r="F47" s="14" t="n"/>
      <c r="G47" s="29" t="n"/>
      <c r="H47" s="29" t="n"/>
      <c r="I47" s="14" t="n"/>
      <c r="J47" s="29" t="n"/>
      <c r="K47" s="29" t="n"/>
      <c r="L47" s="35" t="n"/>
      <c r="M47" s="36" t="n"/>
      <c r="N47" s="14" t="n"/>
      <c r="O47" s="29" t="n"/>
      <c r="P47" s="18">
        <f>IF($B47="","",SUMIFS('LANÇAMENTOS'!$Q$6:$Q$2005,'LANÇAMENTOS'!$I$6:$I$2005,$B47)+IF($C47=$B47,0,SUMIFS('LANÇAMENTOS'!$Q$6:$Q$2005,'LANÇAMENTOS'!$I$6:$I$2005,$C47)))</f>
        <v/>
      </c>
      <c r="Q47" s="24">
        <f>IF($B47="","",COUNTIFS('LANÇAMENTOS'!$I$6:$I$2005,$B47,'LANÇAMENTOS'!$P$6:$P$2005,1)+IF($C47=$B47,0,COUNTIFS('LANÇAMENTOS'!$I$6:$I$2005,$C47,'LANÇAMENTOS'!$P$6:$P$2005,1)))</f>
        <v/>
      </c>
      <c r="R47" s="18">
        <f>IFERROR(IF($P47=0,"",$P47/$Q47),"")</f>
        <v/>
      </c>
      <c r="S47" s="30">
        <f>IF($B47="","",IFERROR(IF(SUMPRODUCT(MAX(('LANÇAMENTOS'!$I$6:$I$2005=$B47)*'LANÇAMENTOS'!$B$6:$B$2005))&gt;0,SUMPRODUCT(MAX(('LANÇAMENTOS'!$I$6:$I$2005=$B47)*'LANÇAMENTOS'!$B$6:$B$2005)),""),""))</f>
        <v/>
      </c>
      <c r="T47" s="18">
        <f>IF($B47="","",SUMIFS('LANÇAMENTOS'!$W$6:$W$2005,'LANÇAMENTOS'!$I$6:$I$2005,$B47,'LANÇAMENTOS'!$E$6:$E$2005,"Entrada")+IF($C47=$B47,0,SUMIFS('LANÇAMENTOS'!$W$6:$W$2005,'LANÇAMENTOS'!$I$6:$I$2005,$C47,'LANÇAMENTOS'!$E$6:$E$2005,"Entrada")))</f>
        <v/>
      </c>
      <c r="U47" s="18">
        <f>IF($B47="","",SUMIFS('LANÇAMENTOS'!$W$6:$W$2005,'LANÇAMENTOS'!$I$6:$I$2005,$B47,'LANÇAMENTOS'!$E$6:$E$2005,"Entrada",'LANÇAMENTOS'!$C$6:$C$2005,"&lt;"&amp;TODAY())+IF($C47=$B47,0,SUMIFS('LANÇAMENTOS'!$W$6:$W$2005,'LANÇAMENTOS'!$I$6:$I$2005,$C47,'LANÇAMENTOS'!$E$6:$E$2005,"Entrada",'LANÇAMENTOS'!$C$6:$C$2005,"&lt;"&amp;TODAY())))</f>
        <v/>
      </c>
      <c r="V47" s="24">
        <f>IF(OR($B47="",$U47=0),0,MAX(0,TODAY()-IFERROR(-SUMPRODUCT(MAX(('LANÇAMENTOS'!$I$6:$I$2005=$B47)*('LANÇAMENTOS'!$W$6:$W$2005&gt;0)*('LANÇAMENTOS'!$C$6:$C$2005&lt;TODAY())*(-'LANÇAMENTOS'!$C$6:$C$2005))),TODAY())))</f>
        <v/>
      </c>
      <c r="W47" s="9">
        <f>IF($B47="","",IF($N47="Bloqueado","⛔ Bloqueado",IF($U47&gt;0,"⚠ Com valores vencidos","✔ Em dia")))</f>
        <v/>
      </c>
    </row>
    <row r="48">
      <c r="A48" s="14" t="n"/>
      <c r="B48" s="29" t="n"/>
      <c r="C48" s="29" t="n"/>
      <c r="D48" s="14" t="n"/>
      <c r="E48" s="14" t="n"/>
      <c r="F48" s="14" t="n"/>
      <c r="G48" s="29" t="n"/>
      <c r="H48" s="29" t="n"/>
      <c r="I48" s="14" t="n"/>
      <c r="J48" s="29" t="n"/>
      <c r="K48" s="29" t="n"/>
      <c r="L48" s="35" t="n"/>
      <c r="M48" s="36" t="n"/>
      <c r="N48" s="14" t="n"/>
      <c r="O48" s="29" t="n"/>
      <c r="P48" s="18">
        <f>IF($B48="","",SUMIFS('LANÇAMENTOS'!$Q$6:$Q$2005,'LANÇAMENTOS'!$I$6:$I$2005,$B48)+IF($C48=$B48,0,SUMIFS('LANÇAMENTOS'!$Q$6:$Q$2005,'LANÇAMENTOS'!$I$6:$I$2005,$C48)))</f>
        <v/>
      </c>
      <c r="Q48" s="24">
        <f>IF($B48="","",COUNTIFS('LANÇAMENTOS'!$I$6:$I$2005,$B48,'LANÇAMENTOS'!$P$6:$P$2005,1)+IF($C48=$B48,0,COUNTIFS('LANÇAMENTOS'!$I$6:$I$2005,$C48,'LANÇAMENTOS'!$P$6:$P$2005,1)))</f>
        <v/>
      </c>
      <c r="R48" s="18">
        <f>IFERROR(IF($P48=0,"",$P48/$Q48),"")</f>
        <v/>
      </c>
      <c r="S48" s="30">
        <f>IF($B48="","",IFERROR(IF(SUMPRODUCT(MAX(('LANÇAMENTOS'!$I$6:$I$2005=$B48)*'LANÇAMENTOS'!$B$6:$B$2005))&gt;0,SUMPRODUCT(MAX(('LANÇAMENTOS'!$I$6:$I$2005=$B48)*'LANÇAMENTOS'!$B$6:$B$2005)),""),""))</f>
        <v/>
      </c>
      <c r="T48" s="18">
        <f>IF($B48="","",SUMIFS('LANÇAMENTOS'!$W$6:$W$2005,'LANÇAMENTOS'!$I$6:$I$2005,$B48,'LANÇAMENTOS'!$E$6:$E$2005,"Entrada")+IF($C48=$B48,0,SUMIFS('LANÇAMENTOS'!$W$6:$W$2005,'LANÇAMENTOS'!$I$6:$I$2005,$C48,'LANÇAMENTOS'!$E$6:$E$2005,"Entrada")))</f>
        <v/>
      </c>
      <c r="U48" s="18">
        <f>IF($B48="","",SUMIFS('LANÇAMENTOS'!$W$6:$W$2005,'LANÇAMENTOS'!$I$6:$I$2005,$B48,'LANÇAMENTOS'!$E$6:$E$2005,"Entrada",'LANÇAMENTOS'!$C$6:$C$2005,"&lt;"&amp;TODAY())+IF($C48=$B48,0,SUMIFS('LANÇAMENTOS'!$W$6:$W$2005,'LANÇAMENTOS'!$I$6:$I$2005,$C48,'LANÇAMENTOS'!$E$6:$E$2005,"Entrada",'LANÇAMENTOS'!$C$6:$C$2005,"&lt;"&amp;TODAY())))</f>
        <v/>
      </c>
      <c r="V48" s="24">
        <f>IF(OR($B48="",$U48=0),0,MAX(0,TODAY()-IFERROR(-SUMPRODUCT(MAX(('LANÇAMENTOS'!$I$6:$I$2005=$B48)*('LANÇAMENTOS'!$W$6:$W$2005&gt;0)*('LANÇAMENTOS'!$C$6:$C$2005&lt;TODAY())*(-'LANÇAMENTOS'!$C$6:$C$2005))),TODAY())))</f>
        <v/>
      </c>
      <c r="W48" s="9">
        <f>IF($B48="","",IF($N48="Bloqueado","⛔ Bloqueado",IF($U48&gt;0,"⚠ Com valores vencidos","✔ Em dia")))</f>
        <v/>
      </c>
    </row>
    <row r="49">
      <c r="A49" s="14" t="n"/>
      <c r="B49" s="29" t="n"/>
      <c r="C49" s="29" t="n"/>
      <c r="D49" s="14" t="n"/>
      <c r="E49" s="14" t="n"/>
      <c r="F49" s="14" t="n"/>
      <c r="G49" s="29" t="n"/>
      <c r="H49" s="29" t="n"/>
      <c r="I49" s="14" t="n"/>
      <c r="J49" s="29" t="n"/>
      <c r="K49" s="29" t="n"/>
      <c r="L49" s="35" t="n"/>
      <c r="M49" s="36" t="n"/>
      <c r="N49" s="14" t="n"/>
      <c r="O49" s="29" t="n"/>
      <c r="P49" s="18">
        <f>IF($B49="","",SUMIFS('LANÇAMENTOS'!$Q$6:$Q$2005,'LANÇAMENTOS'!$I$6:$I$2005,$B49)+IF($C49=$B49,0,SUMIFS('LANÇAMENTOS'!$Q$6:$Q$2005,'LANÇAMENTOS'!$I$6:$I$2005,$C49)))</f>
        <v/>
      </c>
      <c r="Q49" s="24">
        <f>IF($B49="","",COUNTIFS('LANÇAMENTOS'!$I$6:$I$2005,$B49,'LANÇAMENTOS'!$P$6:$P$2005,1)+IF($C49=$B49,0,COUNTIFS('LANÇAMENTOS'!$I$6:$I$2005,$C49,'LANÇAMENTOS'!$P$6:$P$2005,1)))</f>
        <v/>
      </c>
      <c r="R49" s="18">
        <f>IFERROR(IF($P49=0,"",$P49/$Q49),"")</f>
        <v/>
      </c>
      <c r="S49" s="30">
        <f>IF($B49="","",IFERROR(IF(SUMPRODUCT(MAX(('LANÇAMENTOS'!$I$6:$I$2005=$B49)*'LANÇAMENTOS'!$B$6:$B$2005))&gt;0,SUMPRODUCT(MAX(('LANÇAMENTOS'!$I$6:$I$2005=$B49)*'LANÇAMENTOS'!$B$6:$B$2005)),""),""))</f>
        <v/>
      </c>
      <c r="T49" s="18">
        <f>IF($B49="","",SUMIFS('LANÇAMENTOS'!$W$6:$W$2005,'LANÇAMENTOS'!$I$6:$I$2005,$B49,'LANÇAMENTOS'!$E$6:$E$2005,"Entrada")+IF($C49=$B49,0,SUMIFS('LANÇAMENTOS'!$W$6:$W$2005,'LANÇAMENTOS'!$I$6:$I$2005,$C49,'LANÇAMENTOS'!$E$6:$E$2005,"Entrada")))</f>
        <v/>
      </c>
      <c r="U49" s="18">
        <f>IF($B49="","",SUMIFS('LANÇAMENTOS'!$W$6:$W$2005,'LANÇAMENTOS'!$I$6:$I$2005,$B49,'LANÇAMENTOS'!$E$6:$E$2005,"Entrada",'LANÇAMENTOS'!$C$6:$C$2005,"&lt;"&amp;TODAY())+IF($C49=$B49,0,SUMIFS('LANÇAMENTOS'!$W$6:$W$2005,'LANÇAMENTOS'!$I$6:$I$2005,$C49,'LANÇAMENTOS'!$E$6:$E$2005,"Entrada",'LANÇAMENTOS'!$C$6:$C$2005,"&lt;"&amp;TODAY())))</f>
        <v/>
      </c>
      <c r="V49" s="24">
        <f>IF(OR($B49="",$U49=0),0,MAX(0,TODAY()-IFERROR(-SUMPRODUCT(MAX(('LANÇAMENTOS'!$I$6:$I$2005=$B49)*('LANÇAMENTOS'!$W$6:$W$2005&gt;0)*('LANÇAMENTOS'!$C$6:$C$2005&lt;TODAY())*(-'LANÇAMENTOS'!$C$6:$C$2005))),TODAY())))</f>
        <v/>
      </c>
      <c r="W49" s="9">
        <f>IF($B49="","",IF($N49="Bloqueado","⛔ Bloqueado",IF($U49&gt;0,"⚠ Com valores vencidos","✔ Em dia")))</f>
        <v/>
      </c>
    </row>
    <row r="50">
      <c r="A50" s="14" t="n"/>
      <c r="B50" s="29" t="n"/>
      <c r="C50" s="29" t="n"/>
      <c r="D50" s="14" t="n"/>
      <c r="E50" s="14" t="n"/>
      <c r="F50" s="14" t="n"/>
      <c r="G50" s="29" t="n"/>
      <c r="H50" s="29" t="n"/>
      <c r="I50" s="14" t="n"/>
      <c r="J50" s="29" t="n"/>
      <c r="K50" s="29" t="n"/>
      <c r="L50" s="35" t="n"/>
      <c r="M50" s="36" t="n"/>
      <c r="N50" s="14" t="n"/>
      <c r="O50" s="29" t="n"/>
      <c r="P50" s="18">
        <f>IF($B50="","",SUMIFS('LANÇAMENTOS'!$Q$6:$Q$2005,'LANÇAMENTOS'!$I$6:$I$2005,$B50)+IF($C50=$B50,0,SUMIFS('LANÇAMENTOS'!$Q$6:$Q$2005,'LANÇAMENTOS'!$I$6:$I$2005,$C50)))</f>
        <v/>
      </c>
      <c r="Q50" s="24">
        <f>IF($B50="","",COUNTIFS('LANÇAMENTOS'!$I$6:$I$2005,$B50,'LANÇAMENTOS'!$P$6:$P$2005,1)+IF($C50=$B50,0,COUNTIFS('LANÇAMENTOS'!$I$6:$I$2005,$C50,'LANÇAMENTOS'!$P$6:$P$2005,1)))</f>
        <v/>
      </c>
      <c r="R50" s="18">
        <f>IFERROR(IF($P50=0,"",$P50/$Q50),"")</f>
        <v/>
      </c>
      <c r="S50" s="30">
        <f>IF($B50="","",IFERROR(IF(SUMPRODUCT(MAX(('LANÇAMENTOS'!$I$6:$I$2005=$B50)*'LANÇAMENTOS'!$B$6:$B$2005))&gt;0,SUMPRODUCT(MAX(('LANÇAMENTOS'!$I$6:$I$2005=$B50)*'LANÇAMENTOS'!$B$6:$B$2005)),""),""))</f>
        <v/>
      </c>
      <c r="T50" s="18">
        <f>IF($B50="","",SUMIFS('LANÇAMENTOS'!$W$6:$W$2005,'LANÇAMENTOS'!$I$6:$I$2005,$B50,'LANÇAMENTOS'!$E$6:$E$2005,"Entrada")+IF($C50=$B50,0,SUMIFS('LANÇAMENTOS'!$W$6:$W$2005,'LANÇAMENTOS'!$I$6:$I$2005,$C50,'LANÇAMENTOS'!$E$6:$E$2005,"Entrada")))</f>
        <v/>
      </c>
      <c r="U50" s="18">
        <f>IF($B50="","",SUMIFS('LANÇAMENTOS'!$W$6:$W$2005,'LANÇAMENTOS'!$I$6:$I$2005,$B50,'LANÇAMENTOS'!$E$6:$E$2005,"Entrada",'LANÇAMENTOS'!$C$6:$C$2005,"&lt;"&amp;TODAY())+IF($C50=$B50,0,SUMIFS('LANÇAMENTOS'!$W$6:$W$2005,'LANÇAMENTOS'!$I$6:$I$2005,$C50,'LANÇAMENTOS'!$E$6:$E$2005,"Entrada",'LANÇAMENTOS'!$C$6:$C$2005,"&lt;"&amp;TODAY())))</f>
        <v/>
      </c>
      <c r="V50" s="24">
        <f>IF(OR($B50="",$U50=0),0,MAX(0,TODAY()-IFERROR(-SUMPRODUCT(MAX(('LANÇAMENTOS'!$I$6:$I$2005=$B50)*('LANÇAMENTOS'!$W$6:$W$2005&gt;0)*('LANÇAMENTOS'!$C$6:$C$2005&lt;TODAY())*(-'LANÇAMENTOS'!$C$6:$C$2005))),TODAY())))</f>
        <v/>
      </c>
      <c r="W50" s="9">
        <f>IF($B50="","",IF($N50="Bloqueado","⛔ Bloqueado",IF($U50&gt;0,"⚠ Com valores vencidos","✔ Em dia")))</f>
        <v/>
      </c>
    </row>
    <row r="51">
      <c r="A51" s="14" t="n"/>
      <c r="B51" s="29" t="n"/>
      <c r="C51" s="29" t="n"/>
      <c r="D51" s="14" t="n"/>
      <c r="E51" s="14" t="n"/>
      <c r="F51" s="14" t="n"/>
      <c r="G51" s="29" t="n"/>
      <c r="H51" s="29" t="n"/>
      <c r="I51" s="14" t="n"/>
      <c r="J51" s="29" t="n"/>
      <c r="K51" s="29" t="n"/>
      <c r="L51" s="35" t="n"/>
      <c r="M51" s="36" t="n"/>
      <c r="N51" s="14" t="n"/>
      <c r="O51" s="29" t="n"/>
      <c r="P51" s="18">
        <f>IF($B51="","",SUMIFS('LANÇAMENTOS'!$Q$6:$Q$2005,'LANÇAMENTOS'!$I$6:$I$2005,$B51)+IF($C51=$B51,0,SUMIFS('LANÇAMENTOS'!$Q$6:$Q$2005,'LANÇAMENTOS'!$I$6:$I$2005,$C51)))</f>
        <v/>
      </c>
      <c r="Q51" s="24">
        <f>IF($B51="","",COUNTIFS('LANÇAMENTOS'!$I$6:$I$2005,$B51,'LANÇAMENTOS'!$P$6:$P$2005,1)+IF($C51=$B51,0,COUNTIFS('LANÇAMENTOS'!$I$6:$I$2005,$C51,'LANÇAMENTOS'!$P$6:$P$2005,1)))</f>
        <v/>
      </c>
      <c r="R51" s="18">
        <f>IFERROR(IF($P51=0,"",$P51/$Q51),"")</f>
        <v/>
      </c>
      <c r="S51" s="30">
        <f>IF($B51="","",IFERROR(IF(SUMPRODUCT(MAX(('LANÇAMENTOS'!$I$6:$I$2005=$B51)*'LANÇAMENTOS'!$B$6:$B$2005))&gt;0,SUMPRODUCT(MAX(('LANÇAMENTOS'!$I$6:$I$2005=$B51)*'LANÇAMENTOS'!$B$6:$B$2005)),""),""))</f>
        <v/>
      </c>
      <c r="T51" s="18">
        <f>IF($B51="","",SUMIFS('LANÇAMENTOS'!$W$6:$W$2005,'LANÇAMENTOS'!$I$6:$I$2005,$B51,'LANÇAMENTOS'!$E$6:$E$2005,"Entrada")+IF($C51=$B51,0,SUMIFS('LANÇAMENTOS'!$W$6:$W$2005,'LANÇAMENTOS'!$I$6:$I$2005,$C51,'LANÇAMENTOS'!$E$6:$E$2005,"Entrada")))</f>
        <v/>
      </c>
      <c r="U51" s="18">
        <f>IF($B51="","",SUMIFS('LANÇAMENTOS'!$W$6:$W$2005,'LANÇAMENTOS'!$I$6:$I$2005,$B51,'LANÇAMENTOS'!$E$6:$E$2005,"Entrada",'LANÇAMENTOS'!$C$6:$C$2005,"&lt;"&amp;TODAY())+IF($C51=$B51,0,SUMIFS('LANÇAMENTOS'!$W$6:$W$2005,'LANÇAMENTOS'!$I$6:$I$2005,$C51,'LANÇAMENTOS'!$E$6:$E$2005,"Entrada",'LANÇAMENTOS'!$C$6:$C$2005,"&lt;"&amp;TODAY())))</f>
        <v/>
      </c>
      <c r="V51" s="24">
        <f>IF(OR($B51="",$U51=0),0,MAX(0,TODAY()-IFERROR(-SUMPRODUCT(MAX(('LANÇAMENTOS'!$I$6:$I$2005=$B51)*('LANÇAMENTOS'!$W$6:$W$2005&gt;0)*('LANÇAMENTOS'!$C$6:$C$2005&lt;TODAY())*(-'LANÇAMENTOS'!$C$6:$C$2005))),TODAY())))</f>
        <v/>
      </c>
      <c r="W51" s="9">
        <f>IF($B51="","",IF($N51="Bloqueado","⛔ Bloqueado",IF($U51&gt;0,"⚠ Com valores vencidos","✔ Em dia")))</f>
        <v/>
      </c>
    </row>
    <row r="52">
      <c r="A52" s="14" t="n"/>
      <c r="B52" s="29" t="n"/>
      <c r="C52" s="29" t="n"/>
      <c r="D52" s="14" t="n"/>
      <c r="E52" s="14" t="n"/>
      <c r="F52" s="14" t="n"/>
      <c r="G52" s="29" t="n"/>
      <c r="H52" s="29" t="n"/>
      <c r="I52" s="14" t="n"/>
      <c r="J52" s="29" t="n"/>
      <c r="K52" s="29" t="n"/>
      <c r="L52" s="35" t="n"/>
      <c r="M52" s="36" t="n"/>
      <c r="N52" s="14" t="n"/>
      <c r="O52" s="29" t="n"/>
      <c r="P52" s="18">
        <f>IF($B52="","",SUMIFS('LANÇAMENTOS'!$Q$6:$Q$2005,'LANÇAMENTOS'!$I$6:$I$2005,$B52)+IF($C52=$B52,0,SUMIFS('LANÇAMENTOS'!$Q$6:$Q$2005,'LANÇAMENTOS'!$I$6:$I$2005,$C52)))</f>
        <v/>
      </c>
      <c r="Q52" s="24">
        <f>IF($B52="","",COUNTIFS('LANÇAMENTOS'!$I$6:$I$2005,$B52,'LANÇAMENTOS'!$P$6:$P$2005,1)+IF($C52=$B52,0,COUNTIFS('LANÇAMENTOS'!$I$6:$I$2005,$C52,'LANÇAMENTOS'!$P$6:$P$2005,1)))</f>
        <v/>
      </c>
      <c r="R52" s="18">
        <f>IFERROR(IF($P52=0,"",$P52/$Q52),"")</f>
        <v/>
      </c>
      <c r="S52" s="30">
        <f>IF($B52="","",IFERROR(IF(SUMPRODUCT(MAX(('LANÇAMENTOS'!$I$6:$I$2005=$B52)*'LANÇAMENTOS'!$B$6:$B$2005))&gt;0,SUMPRODUCT(MAX(('LANÇAMENTOS'!$I$6:$I$2005=$B52)*'LANÇAMENTOS'!$B$6:$B$2005)),""),""))</f>
        <v/>
      </c>
      <c r="T52" s="18">
        <f>IF($B52="","",SUMIFS('LANÇAMENTOS'!$W$6:$W$2005,'LANÇAMENTOS'!$I$6:$I$2005,$B52,'LANÇAMENTOS'!$E$6:$E$2005,"Entrada")+IF($C52=$B52,0,SUMIFS('LANÇAMENTOS'!$W$6:$W$2005,'LANÇAMENTOS'!$I$6:$I$2005,$C52,'LANÇAMENTOS'!$E$6:$E$2005,"Entrada")))</f>
        <v/>
      </c>
      <c r="U52" s="18">
        <f>IF($B52="","",SUMIFS('LANÇAMENTOS'!$W$6:$W$2005,'LANÇAMENTOS'!$I$6:$I$2005,$B52,'LANÇAMENTOS'!$E$6:$E$2005,"Entrada",'LANÇAMENTOS'!$C$6:$C$2005,"&lt;"&amp;TODAY())+IF($C52=$B52,0,SUMIFS('LANÇAMENTOS'!$W$6:$W$2005,'LANÇAMENTOS'!$I$6:$I$2005,$C52,'LANÇAMENTOS'!$E$6:$E$2005,"Entrada",'LANÇAMENTOS'!$C$6:$C$2005,"&lt;"&amp;TODAY())))</f>
        <v/>
      </c>
      <c r="V52" s="24">
        <f>IF(OR($B52="",$U52=0),0,MAX(0,TODAY()-IFERROR(-SUMPRODUCT(MAX(('LANÇAMENTOS'!$I$6:$I$2005=$B52)*('LANÇAMENTOS'!$W$6:$W$2005&gt;0)*('LANÇAMENTOS'!$C$6:$C$2005&lt;TODAY())*(-'LANÇAMENTOS'!$C$6:$C$2005))),TODAY())))</f>
        <v/>
      </c>
      <c r="W52" s="9">
        <f>IF($B52="","",IF($N52="Bloqueado","⛔ Bloqueado",IF($U52&gt;0,"⚠ Com valores vencidos","✔ Em dia")))</f>
        <v/>
      </c>
    </row>
    <row r="53">
      <c r="A53" s="14" t="n"/>
      <c r="B53" s="29" t="n"/>
      <c r="C53" s="29" t="n"/>
      <c r="D53" s="14" t="n"/>
      <c r="E53" s="14" t="n"/>
      <c r="F53" s="14" t="n"/>
      <c r="G53" s="29" t="n"/>
      <c r="H53" s="29" t="n"/>
      <c r="I53" s="14" t="n"/>
      <c r="J53" s="29" t="n"/>
      <c r="K53" s="29" t="n"/>
      <c r="L53" s="35" t="n"/>
      <c r="M53" s="36" t="n"/>
      <c r="N53" s="14" t="n"/>
      <c r="O53" s="29" t="n"/>
      <c r="P53" s="18">
        <f>IF($B53="","",SUMIFS('LANÇAMENTOS'!$Q$6:$Q$2005,'LANÇAMENTOS'!$I$6:$I$2005,$B53)+IF($C53=$B53,0,SUMIFS('LANÇAMENTOS'!$Q$6:$Q$2005,'LANÇAMENTOS'!$I$6:$I$2005,$C53)))</f>
        <v/>
      </c>
      <c r="Q53" s="24">
        <f>IF($B53="","",COUNTIFS('LANÇAMENTOS'!$I$6:$I$2005,$B53,'LANÇAMENTOS'!$P$6:$P$2005,1)+IF($C53=$B53,0,COUNTIFS('LANÇAMENTOS'!$I$6:$I$2005,$C53,'LANÇAMENTOS'!$P$6:$P$2005,1)))</f>
        <v/>
      </c>
      <c r="R53" s="18">
        <f>IFERROR(IF($P53=0,"",$P53/$Q53),"")</f>
        <v/>
      </c>
      <c r="S53" s="30">
        <f>IF($B53="","",IFERROR(IF(SUMPRODUCT(MAX(('LANÇAMENTOS'!$I$6:$I$2005=$B53)*'LANÇAMENTOS'!$B$6:$B$2005))&gt;0,SUMPRODUCT(MAX(('LANÇAMENTOS'!$I$6:$I$2005=$B53)*'LANÇAMENTOS'!$B$6:$B$2005)),""),""))</f>
        <v/>
      </c>
      <c r="T53" s="18">
        <f>IF($B53="","",SUMIFS('LANÇAMENTOS'!$W$6:$W$2005,'LANÇAMENTOS'!$I$6:$I$2005,$B53,'LANÇAMENTOS'!$E$6:$E$2005,"Entrada")+IF($C53=$B53,0,SUMIFS('LANÇAMENTOS'!$W$6:$W$2005,'LANÇAMENTOS'!$I$6:$I$2005,$C53,'LANÇAMENTOS'!$E$6:$E$2005,"Entrada")))</f>
        <v/>
      </c>
      <c r="U53" s="18">
        <f>IF($B53="","",SUMIFS('LANÇAMENTOS'!$W$6:$W$2005,'LANÇAMENTOS'!$I$6:$I$2005,$B53,'LANÇAMENTOS'!$E$6:$E$2005,"Entrada",'LANÇAMENTOS'!$C$6:$C$2005,"&lt;"&amp;TODAY())+IF($C53=$B53,0,SUMIFS('LANÇAMENTOS'!$W$6:$W$2005,'LANÇAMENTOS'!$I$6:$I$2005,$C53,'LANÇAMENTOS'!$E$6:$E$2005,"Entrada",'LANÇAMENTOS'!$C$6:$C$2005,"&lt;"&amp;TODAY())))</f>
        <v/>
      </c>
      <c r="V53" s="24">
        <f>IF(OR($B53="",$U53=0),0,MAX(0,TODAY()-IFERROR(-SUMPRODUCT(MAX(('LANÇAMENTOS'!$I$6:$I$2005=$B53)*('LANÇAMENTOS'!$W$6:$W$2005&gt;0)*('LANÇAMENTOS'!$C$6:$C$2005&lt;TODAY())*(-'LANÇAMENTOS'!$C$6:$C$2005))),TODAY())))</f>
        <v/>
      </c>
      <c r="W53" s="9">
        <f>IF($B53="","",IF($N53="Bloqueado","⛔ Bloqueado",IF($U53&gt;0,"⚠ Com valores vencidos","✔ Em dia")))</f>
        <v/>
      </c>
    </row>
    <row r="54">
      <c r="A54" s="14" t="n"/>
      <c r="B54" s="29" t="n"/>
      <c r="C54" s="29" t="n"/>
      <c r="D54" s="14" t="n"/>
      <c r="E54" s="14" t="n"/>
      <c r="F54" s="14" t="n"/>
      <c r="G54" s="29" t="n"/>
      <c r="H54" s="29" t="n"/>
      <c r="I54" s="14" t="n"/>
      <c r="J54" s="29" t="n"/>
      <c r="K54" s="29" t="n"/>
      <c r="L54" s="35" t="n"/>
      <c r="M54" s="36" t="n"/>
      <c r="N54" s="14" t="n"/>
      <c r="O54" s="29" t="n"/>
      <c r="P54" s="18">
        <f>IF($B54="","",SUMIFS('LANÇAMENTOS'!$Q$6:$Q$2005,'LANÇAMENTOS'!$I$6:$I$2005,$B54)+IF($C54=$B54,0,SUMIFS('LANÇAMENTOS'!$Q$6:$Q$2005,'LANÇAMENTOS'!$I$6:$I$2005,$C54)))</f>
        <v/>
      </c>
      <c r="Q54" s="24">
        <f>IF($B54="","",COUNTIFS('LANÇAMENTOS'!$I$6:$I$2005,$B54,'LANÇAMENTOS'!$P$6:$P$2005,1)+IF($C54=$B54,0,COUNTIFS('LANÇAMENTOS'!$I$6:$I$2005,$C54,'LANÇAMENTOS'!$P$6:$P$2005,1)))</f>
        <v/>
      </c>
      <c r="R54" s="18">
        <f>IFERROR(IF($P54=0,"",$P54/$Q54),"")</f>
        <v/>
      </c>
      <c r="S54" s="30">
        <f>IF($B54="","",IFERROR(IF(SUMPRODUCT(MAX(('LANÇAMENTOS'!$I$6:$I$2005=$B54)*'LANÇAMENTOS'!$B$6:$B$2005))&gt;0,SUMPRODUCT(MAX(('LANÇAMENTOS'!$I$6:$I$2005=$B54)*'LANÇAMENTOS'!$B$6:$B$2005)),""),""))</f>
        <v/>
      </c>
      <c r="T54" s="18">
        <f>IF($B54="","",SUMIFS('LANÇAMENTOS'!$W$6:$W$2005,'LANÇAMENTOS'!$I$6:$I$2005,$B54,'LANÇAMENTOS'!$E$6:$E$2005,"Entrada")+IF($C54=$B54,0,SUMIFS('LANÇAMENTOS'!$W$6:$W$2005,'LANÇAMENTOS'!$I$6:$I$2005,$C54,'LANÇAMENTOS'!$E$6:$E$2005,"Entrada")))</f>
        <v/>
      </c>
      <c r="U54" s="18">
        <f>IF($B54="","",SUMIFS('LANÇAMENTOS'!$W$6:$W$2005,'LANÇAMENTOS'!$I$6:$I$2005,$B54,'LANÇAMENTOS'!$E$6:$E$2005,"Entrada",'LANÇAMENTOS'!$C$6:$C$2005,"&lt;"&amp;TODAY())+IF($C54=$B54,0,SUMIFS('LANÇAMENTOS'!$W$6:$W$2005,'LANÇAMENTOS'!$I$6:$I$2005,$C54,'LANÇAMENTOS'!$E$6:$E$2005,"Entrada",'LANÇAMENTOS'!$C$6:$C$2005,"&lt;"&amp;TODAY())))</f>
        <v/>
      </c>
      <c r="V54" s="24">
        <f>IF(OR($B54="",$U54=0),0,MAX(0,TODAY()-IFERROR(-SUMPRODUCT(MAX(('LANÇAMENTOS'!$I$6:$I$2005=$B54)*('LANÇAMENTOS'!$W$6:$W$2005&gt;0)*('LANÇAMENTOS'!$C$6:$C$2005&lt;TODAY())*(-'LANÇAMENTOS'!$C$6:$C$2005))),TODAY())))</f>
        <v/>
      </c>
      <c r="W54" s="9">
        <f>IF($B54="","",IF($N54="Bloqueado","⛔ Bloqueado",IF($U54&gt;0,"⚠ Com valores vencidos","✔ Em dia")))</f>
        <v/>
      </c>
    </row>
    <row r="55">
      <c r="A55" s="14" t="n"/>
      <c r="B55" s="29" t="n"/>
      <c r="C55" s="29" t="n"/>
      <c r="D55" s="14" t="n"/>
      <c r="E55" s="14" t="n"/>
      <c r="F55" s="14" t="n"/>
      <c r="G55" s="29" t="n"/>
      <c r="H55" s="29" t="n"/>
      <c r="I55" s="14" t="n"/>
      <c r="J55" s="29" t="n"/>
      <c r="K55" s="29" t="n"/>
      <c r="L55" s="35" t="n"/>
      <c r="M55" s="36" t="n"/>
      <c r="N55" s="14" t="n"/>
      <c r="O55" s="29" t="n"/>
      <c r="P55" s="18">
        <f>IF($B55="","",SUMIFS('LANÇAMENTOS'!$Q$6:$Q$2005,'LANÇAMENTOS'!$I$6:$I$2005,$B55)+IF($C55=$B55,0,SUMIFS('LANÇAMENTOS'!$Q$6:$Q$2005,'LANÇAMENTOS'!$I$6:$I$2005,$C55)))</f>
        <v/>
      </c>
      <c r="Q55" s="24">
        <f>IF($B55="","",COUNTIFS('LANÇAMENTOS'!$I$6:$I$2005,$B55,'LANÇAMENTOS'!$P$6:$P$2005,1)+IF($C55=$B55,0,COUNTIFS('LANÇAMENTOS'!$I$6:$I$2005,$C55,'LANÇAMENTOS'!$P$6:$P$2005,1)))</f>
        <v/>
      </c>
      <c r="R55" s="18">
        <f>IFERROR(IF($P55=0,"",$P55/$Q55),"")</f>
        <v/>
      </c>
      <c r="S55" s="30">
        <f>IF($B55="","",IFERROR(IF(SUMPRODUCT(MAX(('LANÇAMENTOS'!$I$6:$I$2005=$B55)*'LANÇAMENTOS'!$B$6:$B$2005))&gt;0,SUMPRODUCT(MAX(('LANÇAMENTOS'!$I$6:$I$2005=$B55)*'LANÇAMENTOS'!$B$6:$B$2005)),""),""))</f>
        <v/>
      </c>
      <c r="T55" s="18">
        <f>IF($B55="","",SUMIFS('LANÇAMENTOS'!$W$6:$W$2005,'LANÇAMENTOS'!$I$6:$I$2005,$B55,'LANÇAMENTOS'!$E$6:$E$2005,"Entrada")+IF($C55=$B55,0,SUMIFS('LANÇAMENTOS'!$W$6:$W$2005,'LANÇAMENTOS'!$I$6:$I$2005,$C55,'LANÇAMENTOS'!$E$6:$E$2005,"Entrada")))</f>
        <v/>
      </c>
      <c r="U55" s="18">
        <f>IF($B55="","",SUMIFS('LANÇAMENTOS'!$W$6:$W$2005,'LANÇAMENTOS'!$I$6:$I$2005,$B55,'LANÇAMENTOS'!$E$6:$E$2005,"Entrada",'LANÇAMENTOS'!$C$6:$C$2005,"&lt;"&amp;TODAY())+IF($C55=$B55,0,SUMIFS('LANÇAMENTOS'!$W$6:$W$2005,'LANÇAMENTOS'!$I$6:$I$2005,$C55,'LANÇAMENTOS'!$E$6:$E$2005,"Entrada",'LANÇAMENTOS'!$C$6:$C$2005,"&lt;"&amp;TODAY())))</f>
        <v/>
      </c>
      <c r="V55" s="24">
        <f>IF(OR($B55="",$U55=0),0,MAX(0,TODAY()-IFERROR(-SUMPRODUCT(MAX(('LANÇAMENTOS'!$I$6:$I$2005=$B55)*('LANÇAMENTOS'!$W$6:$W$2005&gt;0)*('LANÇAMENTOS'!$C$6:$C$2005&lt;TODAY())*(-'LANÇAMENTOS'!$C$6:$C$2005))),TODAY())))</f>
        <v/>
      </c>
      <c r="W55" s="9">
        <f>IF($B55="","",IF($N55="Bloqueado","⛔ Bloqueado",IF($U55&gt;0,"⚠ Com valores vencidos","✔ Em dia")))</f>
        <v/>
      </c>
    </row>
    <row r="56">
      <c r="A56" s="14" t="n"/>
      <c r="B56" s="29" t="n"/>
      <c r="C56" s="29" t="n"/>
      <c r="D56" s="14" t="n"/>
      <c r="E56" s="14" t="n"/>
      <c r="F56" s="14" t="n"/>
      <c r="G56" s="29" t="n"/>
      <c r="H56" s="29" t="n"/>
      <c r="I56" s="14" t="n"/>
      <c r="J56" s="29" t="n"/>
      <c r="K56" s="29" t="n"/>
      <c r="L56" s="35" t="n"/>
      <c r="M56" s="36" t="n"/>
      <c r="N56" s="14" t="n"/>
      <c r="O56" s="29" t="n"/>
      <c r="P56" s="18">
        <f>IF($B56="","",SUMIFS('LANÇAMENTOS'!$Q$6:$Q$2005,'LANÇAMENTOS'!$I$6:$I$2005,$B56)+IF($C56=$B56,0,SUMIFS('LANÇAMENTOS'!$Q$6:$Q$2005,'LANÇAMENTOS'!$I$6:$I$2005,$C56)))</f>
        <v/>
      </c>
      <c r="Q56" s="24">
        <f>IF($B56="","",COUNTIFS('LANÇAMENTOS'!$I$6:$I$2005,$B56,'LANÇAMENTOS'!$P$6:$P$2005,1)+IF($C56=$B56,0,COUNTIFS('LANÇAMENTOS'!$I$6:$I$2005,$C56,'LANÇAMENTOS'!$P$6:$P$2005,1)))</f>
        <v/>
      </c>
      <c r="R56" s="18">
        <f>IFERROR(IF($P56=0,"",$P56/$Q56),"")</f>
        <v/>
      </c>
      <c r="S56" s="30">
        <f>IF($B56="","",IFERROR(IF(SUMPRODUCT(MAX(('LANÇAMENTOS'!$I$6:$I$2005=$B56)*'LANÇAMENTOS'!$B$6:$B$2005))&gt;0,SUMPRODUCT(MAX(('LANÇAMENTOS'!$I$6:$I$2005=$B56)*'LANÇAMENTOS'!$B$6:$B$2005)),""),""))</f>
        <v/>
      </c>
      <c r="T56" s="18">
        <f>IF($B56="","",SUMIFS('LANÇAMENTOS'!$W$6:$W$2005,'LANÇAMENTOS'!$I$6:$I$2005,$B56,'LANÇAMENTOS'!$E$6:$E$2005,"Entrada")+IF($C56=$B56,0,SUMIFS('LANÇAMENTOS'!$W$6:$W$2005,'LANÇAMENTOS'!$I$6:$I$2005,$C56,'LANÇAMENTOS'!$E$6:$E$2005,"Entrada")))</f>
        <v/>
      </c>
      <c r="U56" s="18">
        <f>IF($B56="","",SUMIFS('LANÇAMENTOS'!$W$6:$W$2005,'LANÇAMENTOS'!$I$6:$I$2005,$B56,'LANÇAMENTOS'!$E$6:$E$2005,"Entrada",'LANÇAMENTOS'!$C$6:$C$2005,"&lt;"&amp;TODAY())+IF($C56=$B56,0,SUMIFS('LANÇAMENTOS'!$W$6:$W$2005,'LANÇAMENTOS'!$I$6:$I$2005,$C56,'LANÇAMENTOS'!$E$6:$E$2005,"Entrada",'LANÇAMENTOS'!$C$6:$C$2005,"&lt;"&amp;TODAY())))</f>
        <v/>
      </c>
      <c r="V56" s="24">
        <f>IF(OR($B56="",$U56=0),0,MAX(0,TODAY()-IFERROR(-SUMPRODUCT(MAX(('LANÇAMENTOS'!$I$6:$I$2005=$B56)*('LANÇAMENTOS'!$W$6:$W$2005&gt;0)*('LANÇAMENTOS'!$C$6:$C$2005&lt;TODAY())*(-'LANÇAMENTOS'!$C$6:$C$2005))),TODAY())))</f>
        <v/>
      </c>
      <c r="W56" s="9">
        <f>IF($B56="","",IF($N56="Bloqueado","⛔ Bloqueado",IF($U56&gt;0,"⚠ Com valores vencidos","✔ Em dia")))</f>
        <v/>
      </c>
    </row>
    <row r="57">
      <c r="A57" s="14" t="n"/>
      <c r="B57" s="29" t="n"/>
      <c r="C57" s="29" t="n"/>
      <c r="D57" s="14" t="n"/>
      <c r="E57" s="14" t="n"/>
      <c r="F57" s="14" t="n"/>
      <c r="G57" s="29" t="n"/>
      <c r="H57" s="29" t="n"/>
      <c r="I57" s="14" t="n"/>
      <c r="J57" s="29" t="n"/>
      <c r="K57" s="29" t="n"/>
      <c r="L57" s="35" t="n"/>
      <c r="M57" s="36" t="n"/>
      <c r="N57" s="14" t="n"/>
      <c r="O57" s="29" t="n"/>
      <c r="P57" s="18">
        <f>IF($B57="","",SUMIFS('LANÇAMENTOS'!$Q$6:$Q$2005,'LANÇAMENTOS'!$I$6:$I$2005,$B57)+IF($C57=$B57,0,SUMIFS('LANÇAMENTOS'!$Q$6:$Q$2005,'LANÇAMENTOS'!$I$6:$I$2005,$C57)))</f>
        <v/>
      </c>
      <c r="Q57" s="24">
        <f>IF($B57="","",COUNTIFS('LANÇAMENTOS'!$I$6:$I$2005,$B57,'LANÇAMENTOS'!$P$6:$P$2005,1)+IF($C57=$B57,0,COUNTIFS('LANÇAMENTOS'!$I$6:$I$2005,$C57,'LANÇAMENTOS'!$P$6:$P$2005,1)))</f>
        <v/>
      </c>
      <c r="R57" s="18">
        <f>IFERROR(IF($P57=0,"",$P57/$Q57),"")</f>
        <v/>
      </c>
      <c r="S57" s="30">
        <f>IF($B57="","",IFERROR(IF(SUMPRODUCT(MAX(('LANÇAMENTOS'!$I$6:$I$2005=$B57)*'LANÇAMENTOS'!$B$6:$B$2005))&gt;0,SUMPRODUCT(MAX(('LANÇAMENTOS'!$I$6:$I$2005=$B57)*'LANÇAMENTOS'!$B$6:$B$2005)),""),""))</f>
        <v/>
      </c>
      <c r="T57" s="18">
        <f>IF($B57="","",SUMIFS('LANÇAMENTOS'!$W$6:$W$2005,'LANÇAMENTOS'!$I$6:$I$2005,$B57,'LANÇAMENTOS'!$E$6:$E$2005,"Entrada")+IF($C57=$B57,0,SUMIFS('LANÇAMENTOS'!$W$6:$W$2005,'LANÇAMENTOS'!$I$6:$I$2005,$C57,'LANÇAMENTOS'!$E$6:$E$2005,"Entrada")))</f>
        <v/>
      </c>
      <c r="U57" s="18">
        <f>IF($B57="","",SUMIFS('LANÇAMENTOS'!$W$6:$W$2005,'LANÇAMENTOS'!$I$6:$I$2005,$B57,'LANÇAMENTOS'!$E$6:$E$2005,"Entrada",'LANÇAMENTOS'!$C$6:$C$2005,"&lt;"&amp;TODAY())+IF($C57=$B57,0,SUMIFS('LANÇAMENTOS'!$W$6:$W$2005,'LANÇAMENTOS'!$I$6:$I$2005,$C57,'LANÇAMENTOS'!$E$6:$E$2005,"Entrada",'LANÇAMENTOS'!$C$6:$C$2005,"&lt;"&amp;TODAY())))</f>
        <v/>
      </c>
      <c r="V57" s="24">
        <f>IF(OR($B57="",$U57=0),0,MAX(0,TODAY()-IFERROR(-SUMPRODUCT(MAX(('LANÇAMENTOS'!$I$6:$I$2005=$B57)*('LANÇAMENTOS'!$W$6:$W$2005&gt;0)*('LANÇAMENTOS'!$C$6:$C$2005&lt;TODAY())*(-'LANÇAMENTOS'!$C$6:$C$2005))),TODAY())))</f>
        <v/>
      </c>
      <c r="W57" s="9">
        <f>IF($B57="","",IF($N57="Bloqueado","⛔ Bloqueado",IF($U57&gt;0,"⚠ Com valores vencidos","✔ Em dia")))</f>
        <v/>
      </c>
    </row>
    <row r="58">
      <c r="A58" s="14" t="n"/>
      <c r="B58" s="29" t="n"/>
      <c r="C58" s="29" t="n"/>
      <c r="D58" s="14" t="n"/>
      <c r="E58" s="14" t="n"/>
      <c r="F58" s="14" t="n"/>
      <c r="G58" s="29" t="n"/>
      <c r="H58" s="29" t="n"/>
      <c r="I58" s="14" t="n"/>
      <c r="J58" s="29" t="n"/>
      <c r="K58" s="29" t="n"/>
      <c r="L58" s="35" t="n"/>
      <c r="M58" s="36" t="n"/>
      <c r="N58" s="14" t="n"/>
      <c r="O58" s="29" t="n"/>
      <c r="P58" s="18">
        <f>IF($B58="","",SUMIFS('LANÇAMENTOS'!$Q$6:$Q$2005,'LANÇAMENTOS'!$I$6:$I$2005,$B58)+IF($C58=$B58,0,SUMIFS('LANÇAMENTOS'!$Q$6:$Q$2005,'LANÇAMENTOS'!$I$6:$I$2005,$C58)))</f>
        <v/>
      </c>
      <c r="Q58" s="24">
        <f>IF($B58="","",COUNTIFS('LANÇAMENTOS'!$I$6:$I$2005,$B58,'LANÇAMENTOS'!$P$6:$P$2005,1)+IF($C58=$B58,0,COUNTIFS('LANÇAMENTOS'!$I$6:$I$2005,$C58,'LANÇAMENTOS'!$P$6:$P$2005,1)))</f>
        <v/>
      </c>
      <c r="R58" s="18">
        <f>IFERROR(IF($P58=0,"",$P58/$Q58),"")</f>
        <v/>
      </c>
      <c r="S58" s="30">
        <f>IF($B58="","",IFERROR(IF(SUMPRODUCT(MAX(('LANÇAMENTOS'!$I$6:$I$2005=$B58)*'LANÇAMENTOS'!$B$6:$B$2005))&gt;0,SUMPRODUCT(MAX(('LANÇAMENTOS'!$I$6:$I$2005=$B58)*'LANÇAMENTOS'!$B$6:$B$2005)),""),""))</f>
        <v/>
      </c>
      <c r="T58" s="18">
        <f>IF($B58="","",SUMIFS('LANÇAMENTOS'!$W$6:$W$2005,'LANÇAMENTOS'!$I$6:$I$2005,$B58,'LANÇAMENTOS'!$E$6:$E$2005,"Entrada")+IF($C58=$B58,0,SUMIFS('LANÇAMENTOS'!$W$6:$W$2005,'LANÇAMENTOS'!$I$6:$I$2005,$C58,'LANÇAMENTOS'!$E$6:$E$2005,"Entrada")))</f>
        <v/>
      </c>
      <c r="U58" s="18">
        <f>IF($B58="","",SUMIFS('LANÇAMENTOS'!$W$6:$W$2005,'LANÇAMENTOS'!$I$6:$I$2005,$B58,'LANÇAMENTOS'!$E$6:$E$2005,"Entrada",'LANÇAMENTOS'!$C$6:$C$2005,"&lt;"&amp;TODAY())+IF($C58=$B58,0,SUMIFS('LANÇAMENTOS'!$W$6:$W$2005,'LANÇAMENTOS'!$I$6:$I$2005,$C58,'LANÇAMENTOS'!$E$6:$E$2005,"Entrada",'LANÇAMENTOS'!$C$6:$C$2005,"&lt;"&amp;TODAY())))</f>
        <v/>
      </c>
      <c r="V58" s="24">
        <f>IF(OR($B58="",$U58=0),0,MAX(0,TODAY()-IFERROR(-SUMPRODUCT(MAX(('LANÇAMENTOS'!$I$6:$I$2005=$B58)*('LANÇAMENTOS'!$W$6:$W$2005&gt;0)*('LANÇAMENTOS'!$C$6:$C$2005&lt;TODAY())*(-'LANÇAMENTOS'!$C$6:$C$2005))),TODAY())))</f>
        <v/>
      </c>
      <c r="W58" s="9">
        <f>IF($B58="","",IF($N58="Bloqueado","⛔ Bloqueado",IF($U58&gt;0,"⚠ Com valores vencidos","✔ Em dia")))</f>
        <v/>
      </c>
    </row>
    <row r="59">
      <c r="A59" s="14" t="n"/>
      <c r="B59" s="29" t="n"/>
      <c r="C59" s="29" t="n"/>
      <c r="D59" s="14" t="n"/>
      <c r="E59" s="14" t="n"/>
      <c r="F59" s="14" t="n"/>
      <c r="G59" s="29" t="n"/>
      <c r="H59" s="29" t="n"/>
      <c r="I59" s="14" t="n"/>
      <c r="J59" s="29" t="n"/>
      <c r="K59" s="29" t="n"/>
      <c r="L59" s="35" t="n"/>
      <c r="M59" s="36" t="n"/>
      <c r="N59" s="14" t="n"/>
      <c r="O59" s="29" t="n"/>
      <c r="P59" s="18">
        <f>IF($B59="","",SUMIFS('LANÇAMENTOS'!$Q$6:$Q$2005,'LANÇAMENTOS'!$I$6:$I$2005,$B59)+IF($C59=$B59,0,SUMIFS('LANÇAMENTOS'!$Q$6:$Q$2005,'LANÇAMENTOS'!$I$6:$I$2005,$C59)))</f>
        <v/>
      </c>
      <c r="Q59" s="24">
        <f>IF($B59="","",COUNTIFS('LANÇAMENTOS'!$I$6:$I$2005,$B59,'LANÇAMENTOS'!$P$6:$P$2005,1)+IF($C59=$B59,0,COUNTIFS('LANÇAMENTOS'!$I$6:$I$2005,$C59,'LANÇAMENTOS'!$P$6:$P$2005,1)))</f>
        <v/>
      </c>
      <c r="R59" s="18">
        <f>IFERROR(IF($P59=0,"",$P59/$Q59),"")</f>
        <v/>
      </c>
      <c r="S59" s="30">
        <f>IF($B59="","",IFERROR(IF(SUMPRODUCT(MAX(('LANÇAMENTOS'!$I$6:$I$2005=$B59)*'LANÇAMENTOS'!$B$6:$B$2005))&gt;0,SUMPRODUCT(MAX(('LANÇAMENTOS'!$I$6:$I$2005=$B59)*'LANÇAMENTOS'!$B$6:$B$2005)),""),""))</f>
        <v/>
      </c>
      <c r="T59" s="18">
        <f>IF($B59="","",SUMIFS('LANÇAMENTOS'!$W$6:$W$2005,'LANÇAMENTOS'!$I$6:$I$2005,$B59,'LANÇAMENTOS'!$E$6:$E$2005,"Entrada")+IF($C59=$B59,0,SUMIFS('LANÇAMENTOS'!$W$6:$W$2005,'LANÇAMENTOS'!$I$6:$I$2005,$C59,'LANÇAMENTOS'!$E$6:$E$2005,"Entrada")))</f>
        <v/>
      </c>
      <c r="U59" s="18">
        <f>IF($B59="","",SUMIFS('LANÇAMENTOS'!$W$6:$W$2005,'LANÇAMENTOS'!$I$6:$I$2005,$B59,'LANÇAMENTOS'!$E$6:$E$2005,"Entrada",'LANÇAMENTOS'!$C$6:$C$2005,"&lt;"&amp;TODAY())+IF($C59=$B59,0,SUMIFS('LANÇAMENTOS'!$W$6:$W$2005,'LANÇAMENTOS'!$I$6:$I$2005,$C59,'LANÇAMENTOS'!$E$6:$E$2005,"Entrada",'LANÇAMENTOS'!$C$6:$C$2005,"&lt;"&amp;TODAY())))</f>
        <v/>
      </c>
      <c r="V59" s="24">
        <f>IF(OR($B59="",$U59=0),0,MAX(0,TODAY()-IFERROR(-SUMPRODUCT(MAX(('LANÇAMENTOS'!$I$6:$I$2005=$B59)*('LANÇAMENTOS'!$W$6:$W$2005&gt;0)*('LANÇAMENTOS'!$C$6:$C$2005&lt;TODAY())*(-'LANÇAMENTOS'!$C$6:$C$2005))),TODAY())))</f>
        <v/>
      </c>
      <c r="W59" s="9">
        <f>IF($B59="","",IF($N59="Bloqueado","⛔ Bloqueado",IF($U59&gt;0,"⚠ Com valores vencidos","✔ Em dia")))</f>
        <v/>
      </c>
    </row>
    <row r="60">
      <c r="A60" s="14" t="n"/>
      <c r="B60" s="29" t="n"/>
      <c r="C60" s="29" t="n"/>
      <c r="D60" s="14" t="n"/>
      <c r="E60" s="14" t="n"/>
      <c r="F60" s="14" t="n"/>
      <c r="G60" s="29" t="n"/>
      <c r="H60" s="29" t="n"/>
      <c r="I60" s="14" t="n"/>
      <c r="J60" s="29" t="n"/>
      <c r="K60" s="29" t="n"/>
      <c r="L60" s="35" t="n"/>
      <c r="M60" s="36" t="n"/>
      <c r="N60" s="14" t="n"/>
      <c r="O60" s="29" t="n"/>
      <c r="P60" s="18">
        <f>IF($B60="","",SUMIFS('LANÇAMENTOS'!$Q$6:$Q$2005,'LANÇAMENTOS'!$I$6:$I$2005,$B60)+IF($C60=$B60,0,SUMIFS('LANÇAMENTOS'!$Q$6:$Q$2005,'LANÇAMENTOS'!$I$6:$I$2005,$C60)))</f>
        <v/>
      </c>
      <c r="Q60" s="24">
        <f>IF($B60="","",COUNTIFS('LANÇAMENTOS'!$I$6:$I$2005,$B60,'LANÇAMENTOS'!$P$6:$P$2005,1)+IF($C60=$B60,0,COUNTIFS('LANÇAMENTOS'!$I$6:$I$2005,$C60,'LANÇAMENTOS'!$P$6:$P$2005,1)))</f>
        <v/>
      </c>
      <c r="R60" s="18">
        <f>IFERROR(IF($P60=0,"",$P60/$Q60),"")</f>
        <v/>
      </c>
      <c r="S60" s="30">
        <f>IF($B60="","",IFERROR(IF(SUMPRODUCT(MAX(('LANÇAMENTOS'!$I$6:$I$2005=$B60)*'LANÇAMENTOS'!$B$6:$B$2005))&gt;0,SUMPRODUCT(MAX(('LANÇAMENTOS'!$I$6:$I$2005=$B60)*'LANÇAMENTOS'!$B$6:$B$2005)),""),""))</f>
        <v/>
      </c>
      <c r="T60" s="18">
        <f>IF($B60="","",SUMIFS('LANÇAMENTOS'!$W$6:$W$2005,'LANÇAMENTOS'!$I$6:$I$2005,$B60,'LANÇAMENTOS'!$E$6:$E$2005,"Entrada")+IF($C60=$B60,0,SUMIFS('LANÇAMENTOS'!$W$6:$W$2005,'LANÇAMENTOS'!$I$6:$I$2005,$C60,'LANÇAMENTOS'!$E$6:$E$2005,"Entrada")))</f>
        <v/>
      </c>
      <c r="U60" s="18">
        <f>IF($B60="","",SUMIFS('LANÇAMENTOS'!$W$6:$W$2005,'LANÇAMENTOS'!$I$6:$I$2005,$B60,'LANÇAMENTOS'!$E$6:$E$2005,"Entrada",'LANÇAMENTOS'!$C$6:$C$2005,"&lt;"&amp;TODAY())+IF($C60=$B60,0,SUMIFS('LANÇAMENTOS'!$W$6:$W$2005,'LANÇAMENTOS'!$I$6:$I$2005,$C60,'LANÇAMENTOS'!$E$6:$E$2005,"Entrada",'LANÇAMENTOS'!$C$6:$C$2005,"&lt;"&amp;TODAY())))</f>
        <v/>
      </c>
      <c r="V60" s="24">
        <f>IF(OR($B60="",$U60=0),0,MAX(0,TODAY()-IFERROR(-SUMPRODUCT(MAX(('LANÇAMENTOS'!$I$6:$I$2005=$B60)*('LANÇAMENTOS'!$W$6:$W$2005&gt;0)*('LANÇAMENTOS'!$C$6:$C$2005&lt;TODAY())*(-'LANÇAMENTOS'!$C$6:$C$2005))),TODAY())))</f>
        <v/>
      </c>
      <c r="W60" s="9">
        <f>IF($B60="","",IF($N60="Bloqueado","⛔ Bloqueado",IF($U60&gt;0,"⚠ Com valores vencidos","✔ Em dia")))</f>
        <v/>
      </c>
    </row>
    <row r="61">
      <c r="A61" s="14" t="n"/>
      <c r="B61" s="29" t="n"/>
      <c r="C61" s="29" t="n"/>
      <c r="D61" s="14" t="n"/>
      <c r="E61" s="14" t="n"/>
      <c r="F61" s="14" t="n"/>
      <c r="G61" s="29" t="n"/>
      <c r="H61" s="29" t="n"/>
      <c r="I61" s="14" t="n"/>
      <c r="J61" s="29" t="n"/>
      <c r="K61" s="29" t="n"/>
      <c r="L61" s="35" t="n"/>
      <c r="M61" s="36" t="n"/>
      <c r="N61" s="14" t="n"/>
      <c r="O61" s="29" t="n"/>
      <c r="P61" s="18">
        <f>IF($B61="","",SUMIFS('LANÇAMENTOS'!$Q$6:$Q$2005,'LANÇAMENTOS'!$I$6:$I$2005,$B61)+IF($C61=$B61,0,SUMIFS('LANÇAMENTOS'!$Q$6:$Q$2005,'LANÇAMENTOS'!$I$6:$I$2005,$C61)))</f>
        <v/>
      </c>
      <c r="Q61" s="24">
        <f>IF($B61="","",COUNTIFS('LANÇAMENTOS'!$I$6:$I$2005,$B61,'LANÇAMENTOS'!$P$6:$P$2005,1)+IF($C61=$B61,0,COUNTIFS('LANÇAMENTOS'!$I$6:$I$2005,$C61,'LANÇAMENTOS'!$P$6:$P$2005,1)))</f>
        <v/>
      </c>
      <c r="R61" s="18">
        <f>IFERROR(IF($P61=0,"",$P61/$Q61),"")</f>
        <v/>
      </c>
      <c r="S61" s="30">
        <f>IF($B61="","",IFERROR(IF(SUMPRODUCT(MAX(('LANÇAMENTOS'!$I$6:$I$2005=$B61)*'LANÇAMENTOS'!$B$6:$B$2005))&gt;0,SUMPRODUCT(MAX(('LANÇAMENTOS'!$I$6:$I$2005=$B61)*'LANÇAMENTOS'!$B$6:$B$2005)),""),""))</f>
        <v/>
      </c>
      <c r="T61" s="18">
        <f>IF($B61="","",SUMIFS('LANÇAMENTOS'!$W$6:$W$2005,'LANÇAMENTOS'!$I$6:$I$2005,$B61,'LANÇAMENTOS'!$E$6:$E$2005,"Entrada")+IF($C61=$B61,0,SUMIFS('LANÇAMENTOS'!$W$6:$W$2005,'LANÇAMENTOS'!$I$6:$I$2005,$C61,'LANÇAMENTOS'!$E$6:$E$2005,"Entrada")))</f>
        <v/>
      </c>
      <c r="U61" s="18">
        <f>IF($B61="","",SUMIFS('LANÇAMENTOS'!$W$6:$W$2005,'LANÇAMENTOS'!$I$6:$I$2005,$B61,'LANÇAMENTOS'!$E$6:$E$2005,"Entrada",'LANÇAMENTOS'!$C$6:$C$2005,"&lt;"&amp;TODAY())+IF($C61=$B61,0,SUMIFS('LANÇAMENTOS'!$W$6:$W$2005,'LANÇAMENTOS'!$I$6:$I$2005,$C61,'LANÇAMENTOS'!$E$6:$E$2005,"Entrada",'LANÇAMENTOS'!$C$6:$C$2005,"&lt;"&amp;TODAY())))</f>
        <v/>
      </c>
      <c r="V61" s="24">
        <f>IF(OR($B61="",$U61=0),0,MAX(0,TODAY()-IFERROR(-SUMPRODUCT(MAX(('LANÇAMENTOS'!$I$6:$I$2005=$B61)*('LANÇAMENTOS'!$W$6:$W$2005&gt;0)*('LANÇAMENTOS'!$C$6:$C$2005&lt;TODAY())*(-'LANÇAMENTOS'!$C$6:$C$2005))),TODAY())))</f>
        <v/>
      </c>
      <c r="W61" s="9">
        <f>IF($B61="","",IF($N61="Bloqueado","⛔ Bloqueado",IF($U61&gt;0,"⚠ Com valores vencidos","✔ Em dia")))</f>
        <v/>
      </c>
    </row>
    <row r="62">
      <c r="A62" s="14" t="n"/>
      <c r="B62" s="29" t="n"/>
      <c r="C62" s="29" t="n"/>
      <c r="D62" s="14" t="n"/>
      <c r="E62" s="14" t="n"/>
      <c r="F62" s="14" t="n"/>
      <c r="G62" s="29" t="n"/>
      <c r="H62" s="29" t="n"/>
      <c r="I62" s="14" t="n"/>
      <c r="J62" s="29" t="n"/>
      <c r="K62" s="29" t="n"/>
      <c r="L62" s="35" t="n"/>
      <c r="M62" s="36" t="n"/>
      <c r="N62" s="14" t="n"/>
      <c r="O62" s="29" t="n"/>
      <c r="P62" s="18">
        <f>IF($B62="","",SUMIFS('LANÇAMENTOS'!$Q$6:$Q$2005,'LANÇAMENTOS'!$I$6:$I$2005,$B62)+IF($C62=$B62,0,SUMIFS('LANÇAMENTOS'!$Q$6:$Q$2005,'LANÇAMENTOS'!$I$6:$I$2005,$C62)))</f>
        <v/>
      </c>
      <c r="Q62" s="24">
        <f>IF($B62="","",COUNTIFS('LANÇAMENTOS'!$I$6:$I$2005,$B62,'LANÇAMENTOS'!$P$6:$P$2005,1)+IF($C62=$B62,0,COUNTIFS('LANÇAMENTOS'!$I$6:$I$2005,$C62,'LANÇAMENTOS'!$P$6:$P$2005,1)))</f>
        <v/>
      </c>
      <c r="R62" s="18">
        <f>IFERROR(IF($P62=0,"",$P62/$Q62),"")</f>
        <v/>
      </c>
      <c r="S62" s="30">
        <f>IF($B62="","",IFERROR(IF(SUMPRODUCT(MAX(('LANÇAMENTOS'!$I$6:$I$2005=$B62)*'LANÇAMENTOS'!$B$6:$B$2005))&gt;0,SUMPRODUCT(MAX(('LANÇAMENTOS'!$I$6:$I$2005=$B62)*'LANÇAMENTOS'!$B$6:$B$2005)),""),""))</f>
        <v/>
      </c>
      <c r="T62" s="18">
        <f>IF($B62="","",SUMIFS('LANÇAMENTOS'!$W$6:$W$2005,'LANÇAMENTOS'!$I$6:$I$2005,$B62,'LANÇAMENTOS'!$E$6:$E$2005,"Entrada")+IF($C62=$B62,0,SUMIFS('LANÇAMENTOS'!$W$6:$W$2005,'LANÇAMENTOS'!$I$6:$I$2005,$C62,'LANÇAMENTOS'!$E$6:$E$2005,"Entrada")))</f>
        <v/>
      </c>
      <c r="U62" s="18">
        <f>IF($B62="","",SUMIFS('LANÇAMENTOS'!$W$6:$W$2005,'LANÇAMENTOS'!$I$6:$I$2005,$B62,'LANÇAMENTOS'!$E$6:$E$2005,"Entrada",'LANÇAMENTOS'!$C$6:$C$2005,"&lt;"&amp;TODAY())+IF($C62=$B62,0,SUMIFS('LANÇAMENTOS'!$W$6:$W$2005,'LANÇAMENTOS'!$I$6:$I$2005,$C62,'LANÇAMENTOS'!$E$6:$E$2005,"Entrada",'LANÇAMENTOS'!$C$6:$C$2005,"&lt;"&amp;TODAY())))</f>
        <v/>
      </c>
      <c r="V62" s="24">
        <f>IF(OR($B62="",$U62=0),0,MAX(0,TODAY()-IFERROR(-SUMPRODUCT(MAX(('LANÇAMENTOS'!$I$6:$I$2005=$B62)*('LANÇAMENTOS'!$W$6:$W$2005&gt;0)*('LANÇAMENTOS'!$C$6:$C$2005&lt;TODAY())*(-'LANÇAMENTOS'!$C$6:$C$2005))),TODAY())))</f>
        <v/>
      </c>
      <c r="W62" s="9">
        <f>IF($B62="","",IF($N62="Bloqueado","⛔ Bloqueado",IF($U62&gt;0,"⚠ Com valores vencidos","✔ Em dia")))</f>
        <v/>
      </c>
    </row>
    <row r="63">
      <c r="A63" s="14" t="n"/>
      <c r="B63" s="29" t="n"/>
      <c r="C63" s="29" t="n"/>
      <c r="D63" s="14" t="n"/>
      <c r="E63" s="14" t="n"/>
      <c r="F63" s="14" t="n"/>
      <c r="G63" s="29" t="n"/>
      <c r="H63" s="29" t="n"/>
      <c r="I63" s="14" t="n"/>
      <c r="J63" s="29" t="n"/>
      <c r="K63" s="29" t="n"/>
      <c r="L63" s="35" t="n"/>
      <c r="M63" s="36" t="n"/>
      <c r="N63" s="14" t="n"/>
      <c r="O63" s="29" t="n"/>
      <c r="P63" s="18">
        <f>IF($B63="","",SUMIFS('LANÇAMENTOS'!$Q$6:$Q$2005,'LANÇAMENTOS'!$I$6:$I$2005,$B63)+IF($C63=$B63,0,SUMIFS('LANÇAMENTOS'!$Q$6:$Q$2005,'LANÇAMENTOS'!$I$6:$I$2005,$C63)))</f>
        <v/>
      </c>
      <c r="Q63" s="24">
        <f>IF($B63="","",COUNTIFS('LANÇAMENTOS'!$I$6:$I$2005,$B63,'LANÇAMENTOS'!$P$6:$P$2005,1)+IF($C63=$B63,0,COUNTIFS('LANÇAMENTOS'!$I$6:$I$2005,$C63,'LANÇAMENTOS'!$P$6:$P$2005,1)))</f>
        <v/>
      </c>
      <c r="R63" s="18">
        <f>IFERROR(IF($P63=0,"",$P63/$Q63),"")</f>
        <v/>
      </c>
      <c r="S63" s="30">
        <f>IF($B63="","",IFERROR(IF(SUMPRODUCT(MAX(('LANÇAMENTOS'!$I$6:$I$2005=$B63)*'LANÇAMENTOS'!$B$6:$B$2005))&gt;0,SUMPRODUCT(MAX(('LANÇAMENTOS'!$I$6:$I$2005=$B63)*'LANÇAMENTOS'!$B$6:$B$2005)),""),""))</f>
        <v/>
      </c>
      <c r="T63" s="18">
        <f>IF($B63="","",SUMIFS('LANÇAMENTOS'!$W$6:$W$2005,'LANÇAMENTOS'!$I$6:$I$2005,$B63,'LANÇAMENTOS'!$E$6:$E$2005,"Entrada")+IF($C63=$B63,0,SUMIFS('LANÇAMENTOS'!$W$6:$W$2005,'LANÇAMENTOS'!$I$6:$I$2005,$C63,'LANÇAMENTOS'!$E$6:$E$2005,"Entrada")))</f>
        <v/>
      </c>
      <c r="U63" s="18">
        <f>IF($B63="","",SUMIFS('LANÇAMENTOS'!$W$6:$W$2005,'LANÇAMENTOS'!$I$6:$I$2005,$B63,'LANÇAMENTOS'!$E$6:$E$2005,"Entrada",'LANÇAMENTOS'!$C$6:$C$2005,"&lt;"&amp;TODAY())+IF($C63=$B63,0,SUMIFS('LANÇAMENTOS'!$W$6:$W$2005,'LANÇAMENTOS'!$I$6:$I$2005,$C63,'LANÇAMENTOS'!$E$6:$E$2005,"Entrada",'LANÇAMENTOS'!$C$6:$C$2005,"&lt;"&amp;TODAY())))</f>
        <v/>
      </c>
      <c r="V63" s="24">
        <f>IF(OR($B63="",$U63=0),0,MAX(0,TODAY()-IFERROR(-SUMPRODUCT(MAX(('LANÇAMENTOS'!$I$6:$I$2005=$B63)*('LANÇAMENTOS'!$W$6:$W$2005&gt;0)*('LANÇAMENTOS'!$C$6:$C$2005&lt;TODAY())*(-'LANÇAMENTOS'!$C$6:$C$2005))),TODAY())))</f>
        <v/>
      </c>
      <c r="W63" s="9">
        <f>IF($B63="","",IF($N63="Bloqueado","⛔ Bloqueado",IF($U63&gt;0,"⚠ Com valores vencidos","✔ Em dia")))</f>
        <v/>
      </c>
    </row>
    <row r="64">
      <c r="A64" s="14" t="n"/>
      <c r="B64" s="29" t="n"/>
      <c r="C64" s="29" t="n"/>
      <c r="D64" s="14" t="n"/>
      <c r="E64" s="14" t="n"/>
      <c r="F64" s="14" t="n"/>
      <c r="G64" s="29" t="n"/>
      <c r="H64" s="29" t="n"/>
      <c r="I64" s="14" t="n"/>
      <c r="J64" s="29" t="n"/>
      <c r="K64" s="29" t="n"/>
      <c r="L64" s="35" t="n"/>
      <c r="M64" s="36" t="n"/>
      <c r="N64" s="14" t="n"/>
      <c r="O64" s="29" t="n"/>
      <c r="P64" s="18">
        <f>IF($B64="","",SUMIFS('LANÇAMENTOS'!$Q$6:$Q$2005,'LANÇAMENTOS'!$I$6:$I$2005,$B64)+IF($C64=$B64,0,SUMIFS('LANÇAMENTOS'!$Q$6:$Q$2005,'LANÇAMENTOS'!$I$6:$I$2005,$C64)))</f>
        <v/>
      </c>
      <c r="Q64" s="24">
        <f>IF($B64="","",COUNTIFS('LANÇAMENTOS'!$I$6:$I$2005,$B64,'LANÇAMENTOS'!$P$6:$P$2005,1)+IF($C64=$B64,0,COUNTIFS('LANÇAMENTOS'!$I$6:$I$2005,$C64,'LANÇAMENTOS'!$P$6:$P$2005,1)))</f>
        <v/>
      </c>
      <c r="R64" s="18">
        <f>IFERROR(IF($P64=0,"",$P64/$Q64),"")</f>
        <v/>
      </c>
      <c r="S64" s="30">
        <f>IF($B64="","",IFERROR(IF(SUMPRODUCT(MAX(('LANÇAMENTOS'!$I$6:$I$2005=$B64)*'LANÇAMENTOS'!$B$6:$B$2005))&gt;0,SUMPRODUCT(MAX(('LANÇAMENTOS'!$I$6:$I$2005=$B64)*'LANÇAMENTOS'!$B$6:$B$2005)),""),""))</f>
        <v/>
      </c>
      <c r="T64" s="18">
        <f>IF($B64="","",SUMIFS('LANÇAMENTOS'!$W$6:$W$2005,'LANÇAMENTOS'!$I$6:$I$2005,$B64,'LANÇAMENTOS'!$E$6:$E$2005,"Entrada")+IF($C64=$B64,0,SUMIFS('LANÇAMENTOS'!$W$6:$W$2005,'LANÇAMENTOS'!$I$6:$I$2005,$C64,'LANÇAMENTOS'!$E$6:$E$2005,"Entrada")))</f>
        <v/>
      </c>
      <c r="U64" s="18">
        <f>IF($B64="","",SUMIFS('LANÇAMENTOS'!$W$6:$W$2005,'LANÇAMENTOS'!$I$6:$I$2005,$B64,'LANÇAMENTOS'!$E$6:$E$2005,"Entrada",'LANÇAMENTOS'!$C$6:$C$2005,"&lt;"&amp;TODAY())+IF($C64=$B64,0,SUMIFS('LANÇAMENTOS'!$W$6:$W$2005,'LANÇAMENTOS'!$I$6:$I$2005,$C64,'LANÇAMENTOS'!$E$6:$E$2005,"Entrada",'LANÇAMENTOS'!$C$6:$C$2005,"&lt;"&amp;TODAY())))</f>
        <v/>
      </c>
      <c r="V64" s="24">
        <f>IF(OR($B64="",$U64=0),0,MAX(0,TODAY()-IFERROR(-SUMPRODUCT(MAX(('LANÇAMENTOS'!$I$6:$I$2005=$B64)*('LANÇAMENTOS'!$W$6:$W$2005&gt;0)*('LANÇAMENTOS'!$C$6:$C$2005&lt;TODAY())*(-'LANÇAMENTOS'!$C$6:$C$2005))),TODAY())))</f>
        <v/>
      </c>
      <c r="W64" s="9">
        <f>IF($B64="","",IF($N64="Bloqueado","⛔ Bloqueado",IF($U64&gt;0,"⚠ Com valores vencidos","✔ Em dia")))</f>
        <v/>
      </c>
    </row>
    <row r="65">
      <c r="A65" s="14" t="n"/>
      <c r="B65" s="29" t="n"/>
      <c r="C65" s="29" t="n"/>
      <c r="D65" s="14" t="n"/>
      <c r="E65" s="14" t="n"/>
      <c r="F65" s="14" t="n"/>
      <c r="G65" s="29" t="n"/>
      <c r="H65" s="29" t="n"/>
      <c r="I65" s="14" t="n"/>
      <c r="J65" s="29" t="n"/>
      <c r="K65" s="29" t="n"/>
      <c r="L65" s="35" t="n"/>
      <c r="M65" s="36" t="n"/>
      <c r="N65" s="14" t="n"/>
      <c r="O65" s="29" t="n"/>
      <c r="P65" s="18">
        <f>IF($B65="","",SUMIFS('LANÇAMENTOS'!$Q$6:$Q$2005,'LANÇAMENTOS'!$I$6:$I$2005,$B65)+IF($C65=$B65,0,SUMIFS('LANÇAMENTOS'!$Q$6:$Q$2005,'LANÇAMENTOS'!$I$6:$I$2005,$C65)))</f>
        <v/>
      </c>
      <c r="Q65" s="24">
        <f>IF($B65="","",COUNTIFS('LANÇAMENTOS'!$I$6:$I$2005,$B65,'LANÇAMENTOS'!$P$6:$P$2005,1)+IF($C65=$B65,0,COUNTIFS('LANÇAMENTOS'!$I$6:$I$2005,$C65,'LANÇAMENTOS'!$P$6:$P$2005,1)))</f>
        <v/>
      </c>
      <c r="R65" s="18">
        <f>IFERROR(IF($P65=0,"",$P65/$Q65),"")</f>
        <v/>
      </c>
      <c r="S65" s="30">
        <f>IF($B65="","",IFERROR(IF(SUMPRODUCT(MAX(('LANÇAMENTOS'!$I$6:$I$2005=$B65)*'LANÇAMENTOS'!$B$6:$B$2005))&gt;0,SUMPRODUCT(MAX(('LANÇAMENTOS'!$I$6:$I$2005=$B65)*'LANÇAMENTOS'!$B$6:$B$2005)),""),""))</f>
        <v/>
      </c>
      <c r="T65" s="18">
        <f>IF($B65="","",SUMIFS('LANÇAMENTOS'!$W$6:$W$2005,'LANÇAMENTOS'!$I$6:$I$2005,$B65,'LANÇAMENTOS'!$E$6:$E$2005,"Entrada")+IF($C65=$B65,0,SUMIFS('LANÇAMENTOS'!$W$6:$W$2005,'LANÇAMENTOS'!$I$6:$I$2005,$C65,'LANÇAMENTOS'!$E$6:$E$2005,"Entrada")))</f>
        <v/>
      </c>
      <c r="U65" s="18">
        <f>IF($B65="","",SUMIFS('LANÇAMENTOS'!$W$6:$W$2005,'LANÇAMENTOS'!$I$6:$I$2005,$B65,'LANÇAMENTOS'!$E$6:$E$2005,"Entrada",'LANÇAMENTOS'!$C$6:$C$2005,"&lt;"&amp;TODAY())+IF($C65=$B65,0,SUMIFS('LANÇAMENTOS'!$W$6:$W$2005,'LANÇAMENTOS'!$I$6:$I$2005,$C65,'LANÇAMENTOS'!$E$6:$E$2005,"Entrada",'LANÇAMENTOS'!$C$6:$C$2005,"&lt;"&amp;TODAY())))</f>
        <v/>
      </c>
      <c r="V65" s="24">
        <f>IF(OR($B65="",$U65=0),0,MAX(0,TODAY()-IFERROR(-SUMPRODUCT(MAX(('LANÇAMENTOS'!$I$6:$I$2005=$B65)*('LANÇAMENTOS'!$W$6:$W$2005&gt;0)*('LANÇAMENTOS'!$C$6:$C$2005&lt;TODAY())*(-'LANÇAMENTOS'!$C$6:$C$2005))),TODAY())))</f>
        <v/>
      </c>
      <c r="W65" s="9">
        <f>IF($B65="","",IF($N65="Bloqueado","⛔ Bloqueado",IF($U65&gt;0,"⚠ Com valores vencidos","✔ Em dia")))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W65"/>
  <mergeCells count="2">
    <mergeCell ref="A2:L2"/>
    <mergeCell ref="A1:L1"/>
  </mergeCells>
  <conditionalFormatting sqref="W6:W65">
    <cfRule type="expression" priority="1" dxfId="3" stopIfTrue="0">
      <formula>ISNUMBER(SEARCH("Com valores vencidos",W6))</formula>
    </cfRule>
    <cfRule type="expression" priority="2" dxfId="2" stopIfTrue="0">
      <formula>ISNUMBER(SEARCH("Bloqueado",W6))</formula>
    </cfRule>
    <cfRule type="expression" priority="3" dxfId="4" stopIfTrue="0">
      <formula>ISNUMBER(SEARCH("Em dia",W6))</formula>
    </cfRule>
  </conditionalFormatting>
  <conditionalFormatting sqref="U6:U65">
    <cfRule type="cellIs" priority="4" operator="greaterThan" dxfId="0">
      <formula>0</formula>
    </cfRule>
  </conditionalFormatting>
  <conditionalFormatting sqref="P6:P65">
    <cfRule type="dataBar" priority="5">
      <dataBar showValue="1">
        <cfvo type="num" val="0"/>
        <cfvo type="max"/>
        <color rgb="002E75B6"/>
      </dataBar>
    </cfRule>
  </conditionalFormatting>
  <dataValidations count="4">
    <dataValidation sqref="N6:N65" showDropDown="0" showInputMessage="1" showErrorMessage="1" allowBlank="1" errorTitle="Status inválido" error="Escolha Ativo, Inativo ou Bloqueado." promptTitle="Valores permitidos" prompt="Escolha Ativo, Inativo ou Bloqueado." type="list" errorStyle="stop">
      <formula1>STATUS_CADASTRO</formula1>
    </dataValidation>
    <dataValidation sqref="I6:I65" showDropDown="0" showInputMessage="1" showErrorMessage="1" allowBlank="1" errorTitle="UF inválida" error="Escolha uma UF da lista." promptTitle="Valores permitidos" prompt="Escolha uma UF da lista." type="list" errorStyle="stop">
      <formula1>UF</formula1>
    </dataValidation>
    <dataValidation sqref="L6:L65" showDropDown="0" showInputMessage="0" showErrorMessage="1" allowBlank="1" errorTitle="Limite inválido" error="O limite de crédito deve ser maior ou igual a zero." type="decimal" errorStyle="stop" operator="greaterThanOrEqual">
      <formula1>0</formula1>
    </dataValidation>
    <dataValidation sqref="M6:M65" showDropDown="0" showInputMessage="0" showErrorMessage="1" allowBlank="1" errorTitle="Data inválida" error="Informe uma data válida (entre 01/01/2000 e 31/12/2100)." type="date" errorStyle="warning" operator="between">
      <formula1>DATE(2000,1,1)</formula1>
      <formula2>DATE(2100,12,31)</formula2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T65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2" customWidth="1" min="3" max="3"/>
    <col width="19" customWidth="1" min="4" max="4"/>
    <col width="18" customWidth="1" min="5" max="5"/>
    <col width="16" customWidth="1" min="6" max="6"/>
    <col width="30" customWidth="1" min="7" max="7"/>
    <col width="16" customWidth="1" min="8" max="8"/>
    <col width="5" customWidth="1" min="9" max="9"/>
    <col width="24" customWidth="1" min="10" max="10"/>
    <col width="20" customWidth="1" min="11" max="11"/>
    <col width="12" customWidth="1" min="12" max="12"/>
    <col width="15" customWidth="1" min="13" max="13"/>
    <col width="11" customWidth="1" min="14" max="14"/>
    <col width="34" customWidth="1" min="15" max="15"/>
    <col width="15" customWidth="1" min="16" max="16"/>
    <col width="15" customWidth="1" min="17" max="17"/>
    <col width="15" customWidth="1" min="18" max="18"/>
    <col width="14" customWidth="1" min="19" max="19"/>
    <col width="13" customWidth="1" min="20" max="20"/>
  </cols>
  <sheetData>
    <row r="1" ht="24" customHeight="1">
      <c r="A1" s="26" t="inlineStr">
        <is>
          <t>CADASTRO DE FORNECEDORES</t>
        </is>
      </c>
    </row>
    <row r="2">
      <c r="A2" s="27" t="inlineStr">
        <is>
          <t>Preencha as colunas amarelas. As colunas cinzas (P a T) são calculadas automaticamente a partir da aba LANÇAMENTOS.</t>
        </is>
      </c>
    </row>
    <row r="3">
      <c r="B3" s="25" t="inlineStr">
        <is>
          <t>⚠ DADOS DE EXEMPLO — fornecedores fictícios. Substitua pelos fornecedores reais.</t>
        </is>
      </c>
    </row>
    <row r="4" ht="6" customHeight="1"/>
    <row r="5" ht="32" customHeight="1">
      <c r="A5" s="34" t="inlineStr">
        <is>
          <t>Código</t>
        </is>
      </c>
      <c r="B5" s="34" t="inlineStr">
        <is>
          <t>Razão social</t>
        </is>
      </c>
      <c r="C5" s="34" t="inlineStr">
        <is>
          <t>Nome fantasia</t>
        </is>
      </c>
      <c r="D5" s="34" t="inlineStr">
        <is>
          <t>CNPJ/CPF</t>
        </is>
      </c>
      <c r="E5" s="34" t="inlineStr">
        <is>
          <t>Contato</t>
        </is>
      </c>
      <c r="F5" s="34" t="inlineStr">
        <is>
          <t>Telefone</t>
        </is>
      </c>
      <c r="G5" s="34" t="inlineStr">
        <is>
          <t>E-mail</t>
        </is>
      </c>
      <c r="H5" s="34" t="inlineStr">
        <is>
          <t>Cidade</t>
        </is>
      </c>
      <c r="I5" s="34" t="inlineStr">
        <is>
          <t>UF</t>
        </is>
      </c>
      <c r="J5" s="34" t="inlineStr">
        <is>
          <t>Categoria principal</t>
        </is>
      </c>
      <c r="K5" s="34" t="inlineStr">
        <is>
          <t>Condição de pagamento</t>
        </is>
      </c>
      <c r="L5" s="34" t="inlineStr">
        <is>
          <t>Prazo médio (dias)</t>
        </is>
      </c>
      <c r="M5" s="34" t="inlineStr">
        <is>
          <t>Limite de crédito</t>
        </is>
      </c>
      <c r="N5" s="34" t="inlineStr">
        <is>
          <t>Status</t>
        </is>
      </c>
      <c r="O5" s="34" t="inlineStr">
        <is>
          <t>Observações</t>
        </is>
      </c>
      <c r="P5" s="34" t="inlineStr">
        <is>
          <t>Total comprado</t>
        </is>
      </c>
      <c r="Q5" s="34" t="inlineStr">
        <is>
          <t>Total pago</t>
        </is>
      </c>
      <c r="R5" s="34" t="inlineStr">
        <is>
          <t>Total em aberto</t>
        </is>
      </c>
      <c r="S5" s="34" t="inlineStr">
        <is>
          <t>Valor vencido</t>
        </is>
      </c>
      <c r="T5" s="34" t="inlineStr">
        <is>
          <t>Última compra</t>
        </is>
      </c>
    </row>
    <row r="6">
      <c r="A6" s="14" t="inlineStr">
        <is>
          <t>FOR001</t>
        </is>
      </c>
      <c r="B6" s="29" t="inlineStr">
        <is>
          <t>DISTRIBUIDORA CENTRAL DE ALIMENTOS S/A</t>
        </is>
      </c>
      <c r="C6" s="29" t="inlineStr">
        <is>
          <t>Central Foods</t>
        </is>
      </c>
      <c r="D6" s="14" t="inlineStr">
        <is>
          <t>61.890.123/0001-66</t>
        </is>
      </c>
      <c r="E6" s="29" t="inlineStr">
        <is>
          <t>Roberto Lima</t>
        </is>
      </c>
      <c r="F6" s="14" t="inlineStr">
        <is>
          <t>(11) 3701-2200</t>
        </is>
      </c>
      <c r="G6" s="29" t="inlineStr">
        <is>
          <t>vendas@centralfoods.com.br</t>
        </is>
      </c>
      <c r="H6" s="29" t="inlineStr">
        <is>
          <t>São Paulo</t>
        </is>
      </c>
      <c r="I6" s="14" t="inlineStr">
        <is>
          <t>SP</t>
        </is>
      </c>
      <c r="J6" s="29" t="inlineStr">
        <is>
          <t>Mercadorias para Revenda</t>
        </is>
      </c>
      <c r="K6" s="29" t="inlineStr">
        <is>
          <t>Boleto 30 dias</t>
        </is>
      </c>
      <c r="L6" s="13" t="n">
        <v>30</v>
      </c>
      <c r="M6" s="35" t="n">
        <v>250000</v>
      </c>
      <c r="N6" s="14" t="inlineStr">
        <is>
          <t>Ativo</t>
        </is>
      </c>
      <c r="O6" s="29" t="inlineStr">
        <is>
          <t>Principal fornecedor de mercadorias</t>
        </is>
      </c>
      <c r="P6" s="18">
        <f>IF($B6="","",SUMIFS('LANÇAMENTOS'!$Q$6:$Q$2005,'LANÇAMENTOS'!$I$6:$I$2005,$B6,'LANÇAMENTOS'!$E$6:$E$2005,"Saída"))</f>
        <v/>
      </c>
      <c r="Q6" s="18">
        <f>IF($B6="","",SUMIFS('LANÇAMENTOS'!$V$6:$V$2005,'LANÇAMENTOS'!$I$6:$I$2005,$B6,'LANÇAMENTOS'!$E$6:$E$2005,"Saída"))</f>
        <v/>
      </c>
      <c r="R6" s="18">
        <f>IF($B6="","",SUMIFS('LANÇAMENTOS'!$W$6:$W$2005,'LANÇAMENTOS'!$I$6:$I$2005,$B6,'LANÇAMENTOS'!$E$6:$E$2005,"Saída"))</f>
        <v/>
      </c>
      <c r="S6" s="18">
        <f>IF($B6="","",SUMIFS('LANÇAMENTOS'!$W$6:$W$2005,'LANÇAMENTOS'!$I$6:$I$2005,$B6,'LANÇAMENTOS'!$E$6:$E$2005,"Saída",'LANÇAMENTOS'!$C$6:$C$2005,"&lt;"&amp;TODAY()))</f>
        <v/>
      </c>
      <c r="T6" s="30">
        <f>IF($B6="","",IFERROR(IF(SUMPRODUCT(MAX(('LANÇAMENTOS'!$I$6:$I$2005=$B6)*'LANÇAMENTOS'!$B$6:$B$2005))&gt;0,SUMPRODUCT(MAX(('LANÇAMENTOS'!$I$6:$I$2005=$B6)*'LANÇAMENTOS'!$B$6:$B$2005)),""),""))</f>
        <v/>
      </c>
    </row>
    <row r="7">
      <c r="A7" s="14" t="inlineStr">
        <is>
          <t>FOR002</t>
        </is>
      </c>
      <c r="B7" s="29" t="inlineStr">
        <is>
          <t>EMBALAGENS PAULISTA LTDA</t>
        </is>
      </c>
      <c r="C7" s="29" t="inlineStr">
        <is>
          <t>Embalagens Paulista</t>
        </is>
      </c>
      <c r="D7" s="14" t="inlineStr">
        <is>
          <t>72.901.234/0001-77</t>
        </is>
      </c>
      <c r="E7" s="29" t="inlineStr">
        <is>
          <t>Fernanda Dias</t>
        </is>
      </c>
      <c r="F7" s="14" t="inlineStr">
        <is>
          <t>(11) 2933-4455</t>
        </is>
      </c>
      <c r="G7" s="29" t="inlineStr">
        <is>
          <t>comercial@embalagenspaulista.com.br</t>
        </is>
      </c>
      <c r="H7" s="29" t="inlineStr">
        <is>
          <t>São Bernardo do Campo</t>
        </is>
      </c>
      <c r="I7" s="14" t="inlineStr">
        <is>
          <t>SP</t>
        </is>
      </c>
      <c r="J7" s="29" t="inlineStr">
        <is>
          <t>Embalagens</t>
        </is>
      </c>
      <c r="K7" s="29" t="inlineStr">
        <is>
          <t>Boleto 15 dias</t>
        </is>
      </c>
      <c r="L7" s="13" t="n">
        <v>15</v>
      </c>
      <c r="M7" s="35" t="n">
        <v>40000</v>
      </c>
      <c r="N7" s="14" t="inlineStr">
        <is>
          <t>Ativo</t>
        </is>
      </c>
      <c r="O7" s="29" t="inlineStr"/>
      <c r="P7" s="18">
        <f>IF($B7="","",SUMIFS('LANÇAMENTOS'!$Q$6:$Q$2005,'LANÇAMENTOS'!$I$6:$I$2005,$B7,'LANÇAMENTOS'!$E$6:$E$2005,"Saída"))</f>
        <v/>
      </c>
      <c r="Q7" s="18">
        <f>IF($B7="","",SUMIFS('LANÇAMENTOS'!$V$6:$V$2005,'LANÇAMENTOS'!$I$6:$I$2005,$B7,'LANÇAMENTOS'!$E$6:$E$2005,"Saída"))</f>
        <v/>
      </c>
      <c r="R7" s="18">
        <f>IF($B7="","",SUMIFS('LANÇAMENTOS'!$W$6:$W$2005,'LANÇAMENTOS'!$I$6:$I$2005,$B7,'LANÇAMENTOS'!$E$6:$E$2005,"Saída"))</f>
        <v/>
      </c>
      <c r="S7" s="18">
        <f>IF($B7="","",SUMIFS('LANÇAMENTOS'!$W$6:$W$2005,'LANÇAMENTOS'!$I$6:$I$2005,$B7,'LANÇAMENTOS'!$E$6:$E$2005,"Saída",'LANÇAMENTOS'!$C$6:$C$2005,"&lt;"&amp;TODAY()))</f>
        <v/>
      </c>
      <c r="T7" s="30">
        <f>IF($B7="","",IFERROR(IF(SUMPRODUCT(MAX(('LANÇAMENTOS'!$I$6:$I$2005=$B7)*'LANÇAMENTOS'!$B$6:$B$2005))&gt;0,SUMPRODUCT(MAX(('LANÇAMENTOS'!$I$6:$I$2005=$B7)*'LANÇAMENTOS'!$B$6:$B$2005)),""),""))</f>
        <v/>
      </c>
    </row>
    <row r="8">
      <c r="A8" s="14" t="inlineStr">
        <is>
          <t>FOR003</t>
        </is>
      </c>
      <c r="B8" s="29" t="inlineStr">
        <is>
          <t>TRANSPORTADORA RÁPIDA LOG LTDA</t>
        </is>
      </c>
      <c r="C8" s="29" t="inlineStr">
        <is>
          <t>Rápida Log</t>
        </is>
      </c>
      <c r="D8" s="14" t="inlineStr">
        <is>
          <t>83.012.345/0001-88</t>
        </is>
      </c>
      <c r="E8" s="29" t="inlineStr">
        <is>
          <t>José Almeida</t>
        </is>
      </c>
      <c r="F8" s="14" t="inlineStr">
        <is>
          <t>(11) 3011-9090</t>
        </is>
      </c>
      <c r="G8" s="29" t="inlineStr">
        <is>
          <t>faturamento@rapidalog.com.br</t>
        </is>
      </c>
      <c r="H8" s="29" t="inlineStr">
        <is>
          <t>Guarulhos</t>
        </is>
      </c>
      <c r="I8" s="14" t="inlineStr">
        <is>
          <t>SP</t>
        </is>
      </c>
      <c r="J8" s="29" t="inlineStr">
        <is>
          <t>Fretes e Entregas sobre Vendas</t>
        </is>
      </c>
      <c r="K8" s="29" t="inlineStr">
        <is>
          <t>Boleto 15 dias</t>
        </is>
      </c>
      <c r="L8" s="13" t="n">
        <v>15</v>
      </c>
      <c r="M8" s="35" t="n">
        <v>60000</v>
      </c>
      <c r="N8" s="14" t="inlineStr">
        <is>
          <t>Ativo</t>
        </is>
      </c>
      <c r="O8" s="29" t="inlineStr">
        <is>
          <t>Frete faturado por nota fiscal</t>
        </is>
      </c>
      <c r="P8" s="18">
        <f>IF($B8="","",SUMIFS('LANÇAMENTOS'!$Q$6:$Q$2005,'LANÇAMENTOS'!$I$6:$I$2005,$B8,'LANÇAMENTOS'!$E$6:$E$2005,"Saída"))</f>
        <v/>
      </c>
      <c r="Q8" s="18">
        <f>IF($B8="","",SUMIFS('LANÇAMENTOS'!$V$6:$V$2005,'LANÇAMENTOS'!$I$6:$I$2005,$B8,'LANÇAMENTOS'!$E$6:$E$2005,"Saída"))</f>
        <v/>
      </c>
      <c r="R8" s="18">
        <f>IF($B8="","",SUMIFS('LANÇAMENTOS'!$W$6:$W$2005,'LANÇAMENTOS'!$I$6:$I$2005,$B8,'LANÇAMENTOS'!$E$6:$E$2005,"Saída"))</f>
        <v/>
      </c>
      <c r="S8" s="18">
        <f>IF($B8="","",SUMIFS('LANÇAMENTOS'!$W$6:$W$2005,'LANÇAMENTOS'!$I$6:$I$2005,$B8,'LANÇAMENTOS'!$E$6:$E$2005,"Saída",'LANÇAMENTOS'!$C$6:$C$2005,"&lt;"&amp;TODAY()))</f>
        <v/>
      </c>
      <c r="T8" s="30">
        <f>IF($B8="","",IFERROR(IF(SUMPRODUCT(MAX(('LANÇAMENTOS'!$I$6:$I$2005=$B8)*'LANÇAMENTOS'!$B$6:$B$2005))&gt;0,SUMPRODUCT(MAX(('LANÇAMENTOS'!$I$6:$I$2005=$B8)*'LANÇAMENTOS'!$B$6:$B$2005)),""),""))</f>
        <v/>
      </c>
    </row>
    <row r="9">
      <c r="A9" s="14" t="inlineStr">
        <is>
          <t>FOR004</t>
        </is>
      </c>
      <c r="B9" s="29" t="inlineStr">
        <is>
          <t>TECNOLOGIA E SISTEMAS ABC LTDA</t>
        </is>
      </c>
      <c r="C9" s="29" t="inlineStr">
        <is>
          <t>ABC Sistemas</t>
        </is>
      </c>
      <c r="D9" s="14" t="inlineStr">
        <is>
          <t>94.123.456/0001-99</t>
        </is>
      </c>
      <c r="E9" s="29" t="inlineStr">
        <is>
          <t>Marcelo Prado</t>
        </is>
      </c>
      <c r="F9" s="14" t="inlineStr">
        <is>
          <t>(11) 4063-1122</t>
        </is>
      </c>
      <c r="G9" s="29" t="inlineStr">
        <is>
          <t>suporte@abcsistemas.com.br</t>
        </is>
      </c>
      <c r="H9" s="29" t="inlineStr">
        <is>
          <t>São Paulo</t>
        </is>
      </c>
      <c r="I9" s="14" t="inlineStr">
        <is>
          <t>SP</t>
        </is>
      </c>
      <c r="J9" s="29" t="inlineStr">
        <is>
          <t>Sistemas e Softwares</t>
        </is>
      </c>
      <c r="K9" s="29" t="inlineStr">
        <is>
          <t>Cartão de crédito</t>
        </is>
      </c>
      <c r="L9" s="13" t="n">
        <v>0</v>
      </c>
      <c r="M9" s="35" t="n">
        <v>15000</v>
      </c>
      <c r="N9" s="14" t="inlineStr">
        <is>
          <t>Ativo</t>
        </is>
      </c>
      <c r="O9" s="29" t="inlineStr">
        <is>
          <t>ERP, emissão de NF-e e BI</t>
        </is>
      </c>
      <c r="P9" s="18">
        <f>IF($B9="","",SUMIFS('LANÇAMENTOS'!$Q$6:$Q$2005,'LANÇAMENTOS'!$I$6:$I$2005,$B9,'LANÇAMENTOS'!$E$6:$E$2005,"Saída"))</f>
        <v/>
      </c>
      <c r="Q9" s="18">
        <f>IF($B9="","",SUMIFS('LANÇAMENTOS'!$V$6:$V$2005,'LANÇAMENTOS'!$I$6:$I$2005,$B9,'LANÇAMENTOS'!$E$6:$E$2005,"Saída"))</f>
        <v/>
      </c>
      <c r="R9" s="18">
        <f>IF($B9="","",SUMIFS('LANÇAMENTOS'!$W$6:$W$2005,'LANÇAMENTOS'!$I$6:$I$2005,$B9,'LANÇAMENTOS'!$E$6:$E$2005,"Saída"))</f>
        <v/>
      </c>
      <c r="S9" s="18">
        <f>IF($B9="","",SUMIFS('LANÇAMENTOS'!$W$6:$W$2005,'LANÇAMENTOS'!$I$6:$I$2005,$B9,'LANÇAMENTOS'!$E$6:$E$2005,"Saída",'LANÇAMENTOS'!$C$6:$C$2005,"&lt;"&amp;TODAY()))</f>
        <v/>
      </c>
      <c r="T9" s="30">
        <f>IF($B9="","",IFERROR(IF(SUMPRODUCT(MAX(('LANÇAMENTOS'!$I$6:$I$2005=$B9)*'LANÇAMENTOS'!$B$6:$B$2005))&gt;0,SUMPRODUCT(MAX(('LANÇAMENTOS'!$I$6:$I$2005=$B9)*'LANÇAMENTOS'!$B$6:$B$2005)),""),""))</f>
        <v/>
      </c>
    </row>
    <row r="10">
      <c r="A10" s="14" t="inlineStr">
        <is>
          <t>FOR005</t>
        </is>
      </c>
      <c r="B10" s="29" t="inlineStr">
        <is>
          <t>IMÓVEIS E LOCAÇÕES PINHEIROS LTDA</t>
        </is>
      </c>
      <c r="C10" s="29" t="inlineStr">
        <is>
          <t>Locadora Pinheiros</t>
        </is>
      </c>
      <c r="D10" s="14" t="inlineStr">
        <is>
          <t>15.234.567/0001-10</t>
        </is>
      </c>
      <c r="E10" s="29" t="inlineStr">
        <is>
          <t>Cláudia Rossi</t>
        </is>
      </c>
      <c r="F10" s="14" t="inlineStr">
        <is>
          <t>(11) 3812-7777</t>
        </is>
      </c>
      <c r="G10" s="29" t="inlineStr">
        <is>
          <t>locacao@pinheirosimoveis.com.br</t>
        </is>
      </c>
      <c r="H10" s="29" t="inlineStr">
        <is>
          <t>São Paulo</t>
        </is>
      </c>
      <c r="I10" s="14" t="inlineStr">
        <is>
          <t>SP</t>
        </is>
      </c>
      <c r="J10" s="29" t="inlineStr">
        <is>
          <t>Aluguel</t>
        </is>
      </c>
      <c r="K10" s="29" t="inlineStr">
        <is>
          <t>Boleto 5 dias</t>
        </is>
      </c>
      <c r="L10" s="13" t="n">
        <v>5</v>
      </c>
      <c r="M10" s="35" t="n">
        <v>0</v>
      </c>
      <c r="N10" s="14" t="inlineStr">
        <is>
          <t>Ativo</t>
        </is>
      </c>
      <c r="O10" s="29" t="inlineStr">
        <is>
          <t>Contrato de locação do galpão — reajuste anual em janeiro</t>
        </is>
      </c>
      <c r="P10" s="18">
        <f>IF($B10="","",SUMIFS('LANÇAMENTOS'!$Q$6:$Q$2005,'LANÇAMENTOS'!$I$6:$I$2005,$B10,'LANÇAMENTOS'!$E$6:$E$2005,"Saída"))</f>
        <v/>
      </c>
      <c r="Q10" s="18">
        <f>IF($B10="","",SUMIFS('LANÇAMENTOS'!$V$6:$V$2005,'LANÇAMENTOS'!$I$6:$I$2005,$B10,'LANÇAMENTOS'!$E$6:$E$2005,"Saída"))</f>
        <v/>
      </c>
      <c r="R10" s="18">
        <f>IF($B10="","",SUMIFS('LANÇAMENTOS'!$W$6:$W$2005,'LANÇAMENTOS'!$I$6:$I$2005,$B10,'LANÇAMENTOS'!$E$6:$E$2005,"Saída"))</f>
        <v/>
      </c>
      <c r="S10" s="18">
        <f>IF($B10="","",SUMIFS('LANÇAMENTOS'!$W$6:$W$2005,'LANÇAMENTOS'!$I$6:$I$2005,$B10,'LANÇAMENTOS'!$E$6:$E$2005,"Saída",'LANÇAMENTOS'!$C$6:$C$2005,"&lt;"&amp;TODAY()))</f>
        <v/>
      </c>
      <c r="T10" s="30">
        <f>IF($B10="","",IFERROR(IF(SUMPRODUCT(MAX(('LANÇAMENTOS'!$I$6:$I$2005=$B10)*'LANÇAMENTOS'!$B$6:$B$2005))&gt;0,SUMPRODUCT(MAX(('LANÇAMENTOS'!$I$6:$I$2005=$B10)*'LANÇAMENTOS'!$B$6:$B$2005)),""),""))</f>
        <v/>
      </c>
    </row>
    <row r="11">
      <c r="A11" s="14" t="inlineStr">
        <is>
          <t>FOR006</t>
        </is>
      </c>
      <c r="B11" s="29" t="inlineStr">
        <is>
          <t>ENEL DISTRIBUIÇÃO SÃO PAULO</t>
        </is>
      </c>
      <c r="C11" s="29" t="inlineStr">
        <is>
          <t>Enel SP</t>
        </is>
      </c>
      <c r="D11" s="14" t="inlineStr">
        <is>
          <t>61.695.227/0001-93</t>
        </is>
      </c>
      <c r="E11" s="29" t="inlineStr">
        <is>
          <t>Central de Atendimento</t>
        </is>
      </c>
      <c r="F11" s="14" t="inlineStr">
        <is>
          <t>0800 727 2116</t>
        </is>
      </c>
      <c r="G11" s="29" t="inlineStr">
        <is>
          <t>atendimento@enel.com</t>
        </is>
      </c>
      <c r="H11" s="29" t="inlineStr">
        <is>
          <t>São Paulo</t>
        </is>
      </c>
      <c r="I11" s="14" t="inlineStr">
        <is>
          <t>SP</t>
        </is>
      </c>
      <c r="J11" s="29" t="inlineStr">
        <is>
          <t>Energia Elétrica</t>
        </is>
      </c>
      <c r="K11" s="29" t="inlineStr">
        <is>
          <t>Débito automático</t>
        </is>
      </c>
      <c r="L11" s="13" t="n">
        <v>10</v>
      </c>
      <c r="M11" s="35" t="n">
        <v>0</v>
      </c>
      <c r="N11" s="14" t="inlineStr">
        <is>
          <t>Ativo</t>
        </is>
      </c>
      <c r="O11" s="29" t="inlineStr">
        <is>
          <t>Concessionária de energia elétrica</t>
        </is>
      </c>
      <c r="P11" s="18">
        <f>IF($B11="","",SUMIFS('LANÇAMENTOS'!$Q$6:$Q$2005,'LANÇAMENTOS'!$I$6:$I$2005,$B11,'LANÇAMENTOS'!$E$6:$E$2005,"Saída"))</f>
        <v/>
      </c>
      <c r="Q11" s="18">
        <f>IF($B11="","",SUMIFS('LANÇAMENTOS'!$V$6:$V$2005,'LANÇAMENTOS'!$I$6:$I$2005,$B11,'LANÇAMENTOS'!$E$6:$E$2005,"Saída"))</f>
        <v/>
      </c>
      <c r="R11" s="18">
        <f>IF($B11="","",SUMIFS('LANÇAMENTOS'!$W$6:$W$2005,'LANÇAMENTOS'!$I$6:$I$2005,$B11,'LANÇAMENTOS'!$E$6:$E$2005,"Saída"))</f>
        <v/>
      </c>
      <c r="S11" s="18">
        <f>IF($B11="","",SUMIFS('LANÇAMENTOS'!$W$6:$W$2005,'LANÇAMENTOS'!$I$6:$I$2005,$B11,'LANÇAMENTOS'!$E$6:$E$2005,"Saída",'LANÇAMENTOS'!$C$6:$C$2005,"&lt;"&amp;TODAY()))</f>
        <v/>
      </c>
      <c r="T11" s="30">
        <f>IF($B11="","",IFERROR(IF(SUMPRODUCT(MAX(('LANÇAMENTOS'!$I$6:$I$2005=$B11)*'LANÇAMENTOS'!$B$6:$B$2005))&gt;0,SUMPRODUCT(MAX(('LANÇAMENTOS'!$I$6:$I$2005=$B11)*'LANÇAMENTOS'!$B$6:$B$2005)),""),""))</f>
        <v/>
      </c>
    </row>
    <row r="12">
      <c r="A12" s="14" t="inlineStr">
        <is>
          <t>FOR007</t>
        </is>
      </c>
      <c r="B12" s="29" t="inlineStr">
        <is>
          <t>SABESP — SANEAMENTO BÁSICO DO ESTADO DE SÃO PAULO</t>
        </is>
      </c>
      <c r="C12" s="29" t="inlineStr">
        <is>
          <t>Sabesp</t>
        </is>
      </c>
      <c r="D12" s="14" t="inlineStr">
        <is>
          <t>43.776.517/0001-80</t>
        </is>
      </c>
      <c r="E12" s="29" t="inlineStr">
        <is>
          <t>Central de Atendimento</t>
        </is>
      </c>
      <c r="F12" s="14" t="inlineStr">
        <is>
          <t>0800 055 0195</t>
        </is>
      </c>
      <c r="G12" s="29" t="inlineStr">
        <is>
          <t>atendimento@sabesp.com.br</t>
        </is>
      </c>
      <c r="H12" s="29" t="inlineStr">
        <is>
          <t>São Paulo</t>
        </is>
      </c>
      <c r="I12" s="14" t="inlineStr">
        <is>
          <t>SP</t>
        </is>
      </c>
      <c r="J12" s="29" t="inlineStr">
        <is>
          <t>Água e Saneamento</t>
        </is>
      </c>
      <c r="K12" s="29" t="inlineStr">
        <is>
          <t>Débito automático</t>
        </is>
      </c>
      <c r="L12" s="13" t="n">
        <v>12</v>
      </c>
      <c r="M12" s="35" t="n">
        <v>0</v>
      </c>
      <c r="N12" s="14" t="inlineStr">
        <is>
          <t>Ativo</t>
        </is>
      </c>
      <c r="O12" s="29" t="inlineStr">
        <is>
          <t>Concessionária de água</t>
        </is>
      </c>
      <c r="P12" s="18">
        <f>IF($B12="","",SUMIFS('LANÇAMENTOS'!$Q$6:$Q$2005,'LANÇAMENTOS'!$I$6:$I$2005,$B12,'LANÇAMENTOS'!$E$6:$E$2005,"Saída"))</f>
        <v/>
      </c>
      <c r="Q12" s="18">
        <f>IF($B12="","",SUMIFS('LANÇAMENTOS'!$V$6:$V$2005,'LANÇAMENTOS'!$I$6:$I$2005,$B12,'LANÇAMENTOS'!$E$6:$E$2005,"Saída"))</f>
        <v/>
      </c>
      <c r="R12" s="18">
        <f>IF($B12="","",SUMIFS('LANÇAMENTOS'!$W$6:$W$2005,'LANÇAMENTOS'!$I$6:$I$2005,$B12,'LANÇAMENTOS'!$E$6:$E$2005,"Saída"))</f>
        <v/>
      </c>
      <c r="S12" s="18">
        <f>IF($B12="","",SUMIFS('LANÇAMENTOS'!$W$6:$W$2005,'LANÇAMENTOS'!$I$6:$I$2005,$B12,'LANÇAMENTOS'!$E$6:$E$2005,"Saída",'LANÇAMENTOS'!$C$6:$C$2005,"&lt;"&amp;TODAY()))</f>
        <v/>
      </c>
      <c r="T12" s="30">
        <f>IF($B12="","",IFERROR(IF(SUMPRODUCT(MAX(('LANÇAMENTOS'!$I$6:$I$2005=$B12)*'LANÇAMENTOS'!$B$6:$B$2005))&gt;0,SUMPRODUCT(MAX(('LANÇAMENTOS'!$I$6:$I$2005=$B12)*'LANÇAMENTOS'!$B$6:$B$2005)),""),""))</f>
        <v/>
      </c>
    </row>
    <row r="13">
      <c r="A13" s="14" t="inlineStr">
        <is>
          <t>FOR008</t>
        </is>
      </c>
      <c r="B13" s="29" t="inlineStr">
        <is>
          <t>TELEFÔNICA BRASIL S.A. (VIVO EMPRESAS)</t>
        </is>
      </c>
      <c r="C13" s="29" t="inlineStr">
        <is>
          <t>Vivo Empresas</t>
        </is>
      </c>
      <c r="D13" s="14" t="inlineStr">
        <is>
          <t>02.558.157/0001-62</t>
        </is>
      </c>
      <c r="E13" s="29" t="inlineStr">
        <is>
          <t>Gestor de Contas</t>
        </is>
      </c>
      <c r="F13" s="14" t="inlineStr">
        <is>
          <t>1058</t>
        </is>
      </c>
      <c r="G13" s="29" t="inlineStr">
        <is>
          <t>empresas@vivo.com.br</t>
        </is>
      </c>
      <c r="H13" s="29" t="inlineStr">
        <is>
          <t>São Paulo</t>
        </is>
      </c>
      <c r="I13" s="14" t="inlineStr">
        <is>
          <t>SP</t>
        </is>
      </c>
      <c r="J13" s="29" t="inlineStr">
        <is>
          <t>Internet e Telefonia</t>
        </is>
      </c>
      <c r="K13" s="29" t="inlineStr">
        <is>
          <t>Cartão de crédito</t>
        </is>
      </c>
      <c r="L13" s="13" t="n">
        <v>0</v>
      </c>
      <c r="M13" s="35" t="n">
        <v>0</v>
      </c>
      <c r="N13" s="14" t="inlineStr">
        <is>
          <t>Ativo</t>
        </is>
      </c>
      <c r="O13" s="29" t="inlineStr">
        <is>
          <t>Link dedicado e telefonia móvel</t>
        </is>
      </c>
      <c r="P13" s="18">
        <f>IF($B13="","",SUMIFS('LANÇAMENTOS'!$Q$6:$Q$2005,'LANÇAMENTOS'!$I$6:$I$2005,$B13,'LANÇAMENTOS'!$E$6:$E$2005,"Saída"))</f>
        <v/>
      </c>
      <c r="Q13" s="18">
        <f>IF($B13="","",SUMIFS('LANÇAMENTOS'!$V$6:$V$2005,'LANÇAMENTOS'!$I$6:$I$2005,$B13,'LANÇAMENTOS'!$E$6:$E$2005,"Saída"))</f>
        <v/>
      </c>
      <c r="R13" s="18">
        <f>IF($B13="","",SUMIFS('LANÇAMENTOS'!$W$6:$W$2005,'LANÇAMENTOS'!$I$6:$I$2005,$B13,'LANÇAMENTOS'!$E$6:$E$2005,"Saída"))</f>
        <v/>
      </c>
      <c r="S13" s="18">
        <f>IF($B13="","",SUMIFS('LANÇAMENTOS'!$W$6:$W$2005,'LANÇAMENTOS'!$I$6:$I$2005,$B13,'LANÇAMENTOS'!$E$6:$E$2005,"Saída",'LANÇAMENTOS'!$C$6:$C$2005,"&lt;"&amp;TODAY()))</f>
        <v/>
      </c>
      <c r="T13" s="30">
        <f>IF($B13="","",IFERROR(IF(SUMPRODUCT(MAX(('LANÇAMENTOS'!$I$6:$I$2005=$B13)*'LANÇAMENTOS'!$B$6:$B$2005))&gt;0,SUMPRODUCT(MAX(('LANÇAMENTOS'!$I$6:$I$2005=$B13)*'LANÇAMENTOS'!$B$6:$B$2005)),""),""))</f>
        <v/>
      </c>
    </row>
    <row r="14">
      <c r="A14" s="14" t="inlineStr">
        <is>
          <t>FOR009</t>
        </is>
      </c>
      <c r="B14" s="29" t="inlineStr">
        <is>
          <t>CONTABILIDADE AURORA ASSESSORIA CONTÁBIL LTDA</t>
        </is>
      </c>
      <c r="C14" s="29" t="inlineStr">
        <is>
          <t>Contabilidade Aurora</t>
        </is>
      </c>
      <c r="D14" s="14" t="inlineStr">
        <is>
          <t>18.447.902/0001-34</t>
        </is>
      </c>
      <c r="E14" s="29" t="inlineStr">
        <is>
          <t>Sérgio Tavares</t>
        </is>
      </c>
      <c r="F14" s="14" t="inlineStr">
        <is>
          <t>(11) 3151-8080</t>
        </is>
      </c>
      <c r="G14" s="29" t="inlineStr">
        <is>
          <t>contato@contabilaurora.com.br</t>
        </is>
      </c>
      <c r="H14" s="29" t="inlineStr">
        <is>
          <t>São Paulo</t>
        </is>
      </c>
      <c r="I14" s="14" t="inlineStr">
        <is>
          <t>SP</t>
        </is>
      </c>
      <c r="J14" s="29" t="inlineStr">
        <is>
          <t>Contabilidade</t>
        </is>
      </c>
      <c r="K14" s="29" t="inlineStr">
        <is>
          <t>PIX mensal</t>
        </is>
      </c>
      <c r="L14" s="13" t="n">
        <v>0</v>
      </c>
      <c r="M14" s="35" t="n">
        <v>0</v>
      </c>
      <c r="N14" s="14" t="inlineStr">
        <is>
          <t>Ativo</t>
        </is>
      </c>
      <c r="O14" s="29" t="inlineStr">
        <is>
          <t>Assessoria contábil e fiscal</t>
        </is>
      </c>
      <c r="P14" s="18">
        <f>IF($B14="","",SUMIFS('LANÇAMENTOS'!$Q$6:$Q$2005,'LANÇAMENTOS'!$I$6:$I$2005,$B14,'LANÇAMENTOS'!$E$6:$E$2005,"Saída"))</f>
        <v/>
      </c>
      <c r="Q14" s="18">
        <f>IF($B14="","",SUMIFS('LANÇAMENTOS'!$V$6:$V$2005,'LANÇAMENTOS'!$I$6:$I$2005,$B14,'LANÇAMENTOS'!$E$6:$E$2005,"Saída"))</f>
        <v/>
      </c>
      <c r="R14" s="18">
        <f>IF($B14="","",SUMIFS('LANÇAMENTOS'!$W$6:$W$2005,'LANÇAMENTOS'!$I$6:$I$2005,$B14,'LANÇAMENTOS'!$E$6:$E$2005,"Saída"))</f>
        <v/>
      </c>
      <c r="S14" s="18">
        <f>IF($B14="","",SUMIFS('LANÇAMENTOS'!$W$6:$W$2005,'LANÇAMENTOS'!$I$6:$I$2005,$B14,'LANÇAMENTOS'!$E$6:$E$2005,"Saída",'LANÇAMENTOS'!$C$6:$C$2005,"&lt;"&amp;TODAY()))</f>
        <v/>
      </c>
      <c r="T14" s="30">
        <f>IF($B14="","",IFERROR(IF(SUMPRODUCT(MAX(('LANÇAMENTOS'!$I$6:$I$2005=$B14)*'LANÇAMENTOS'!$B$6:$B$2005))&gt;0,SUMPRODUCT(MAX(('LANÇAMENTOS'!$I$6:$I$2005=$B14)*'LANÇAMENTOS'!$B$6:$B$2005)),""),""))</f>
        <v/>
      </c>
    </row>
    <row r="15">
      <c r="A15" s="14" t="inlineStr">
        <is>
          <t>FOR010</t>
        </is>
      </c>
      <c r="B15" s="29" t="inlineStr">
        <is>
          <t>AGÊNCIA PULSO DIGITAL LTDA</t>
        </is>
      </c>
      <c r="C15" s="29" t="inlineStr">
        <is>
          <t>Pulso Digital</t>
        </is>
      </c>
      <c r="D15" s="14" t="inlineStr">
        <is>
          <t>29.334.556/0001-71</t>
        </is>
      </c>
      <c r="E15" s="29" t="inlineStr">
        <is>
          <t>Renata Campos</t>
        </is>
      </c>
      <c r="F15" s="14" t="inlineStr">
        <is>
          <t>(11) 99123-4567</t>
        </is>
      </c>
      <c r="G15" s="29" t="inlineStr">
        <is>
          <t>contato@pulsodigital.com.br</t>
        </is>
      </c>
      <c r="H15" s="29" t="inlineStr">
        <is>
          <t>São Paulo</t>
        </is>
      </c>
      <c r="I15" s="14" t="inlineStr">
        <is>
          <t>SP</t>
        </is>
      </c>
      <c r="J15" s="29" t="inlineStr">
        <is>
          <t>Marketing Digital</t>
        </is>
      </c>
      <c r="K15" s="29" t="inlineStr">
        <is>
          <t>Cartão de crédito</t>
        </is>
      </c>
      <c r="L15" s="13" t="n">
        <v>0</v>
      </c>
      <c r="M15" s="35" t="n">
        <v>20000</v>
      </c>
      <c r="N15" s="14" t="inlineStr">
        <is>
          <t>Ativo</t>
        </is>
      </c>
      <c r="O15" s="29" t="inlineStr">
        <is>
          <t>Gestão de mídia paga</t>
        </is>
      </c>
      <c r="P15" s="18">
        <f>IF($B15="","",SUMIFS('LANÇAMENTOS'!$Q$6:$Q$2005,'LANÇAMENTOS'!$I$6:$I$2005,$B15,'LANÇAMENTOS'!$E$6:$E$2005,"Saída"))</f>
        <v/>
      </c>
      <c r="Q15" s="18">
        <f>IF($B15="","",SUMIFS('LANÇAMENTOS'!$V$6:$V$2005,'LANÇAMENTOS'!$I$6:$I$2005,$B15,'LANÇAMENTOS'!$E$6:$E$2005,"Saída"))</f>
        <v/>
      </c>
      <c r="R15" s="18">
        <f>IF($B15="","",SUMIFS('LANÇAMENTOS'!$W$6:$W$2005,'LANÇAMENTOS'!$I$6:$I$2005,$B15,'LANÇAMENTOS'!$E$6:$E$2005,"Saída"))</f>
        <v/>
      </c>
      <c r="S15" s="18">
        <f>IF($B15="","",SUMIFS('LANÇAMENTOS'!$W$6:$W$2005,'LANÇAMENTOS'!$I$6:$I$2005,$B15,'LANÇAMENTOS'!$E$6:$E$2005,"Saída",'LANÇAMENTOS'!$C$6:$C$2005,"&lt;"&amp;TODAY()))</f>
        <v/>
      </c>
      <c r="T15" s="30">
        <f>IF($B15="","",IFERROR(IF(SUMPRODUCT(MAX(('LANÇAMENTOS'!$I$6:$I$2005=$B15)*'LANÇAMENTOS'!$B$6:$B$2005))&gt;0,SUMPRODUCT(MAX(('LANÇAMENTOS'!$I$6:$I$2005=$B15)*'LANÇAMENTOS'!$B$6:$B$2005)),""),""))</f>
        <v/>
      </c>
    </row>
    <row r="16">
      <c r="A16" s="14" t="inlineStr">
        <is>
          <t>FOR011</t>
        </is>
      </c>
      <c r="B16" s="29" t="inlineStr">
        <is>
          <t>GOOGLE BRASIL INTERNET LTDA</t>
        </is>
      </c>
      <c r="C16" s="29" t="inlineStr">
        <is>
          <t>Google Ads</t>
        </is>
      </c>
      <c r="D16" s="14" t="inlineStr">
        <is>
          <t>06.990.590/0001-23</t>
        </is>
      </c>
      <c r="E16" s="29" t="inlineStr">
        <is>
          <t>Suporte</t>
        </is>
      </c>
      <c r="F16" s="14" t="inlineStr">
        <is>
          <t>—</t>
        </is>
      </c>
      <c r="G16" s="29" t="inlineStr">
        <is>
          <t>ads@google.com</t>
        </is>
      </c>
      <c r="H16" s="29" t="inlineStr">
        <is>
          <t>São Paulo</t>
        </is>
      </c>
      <c r="I16" s="14" t="inlineStr">
        <is>
          <t>SP</t>
        </is>
      </c>
      <c r="J16" s="29" t="inlineStr">
        <is>
          <t>Publicidade e Anúncios</t>
        </is>
      </c>
      <c r="K16" s="29" t="inlineStr">
        <is>
          <t>Cartão de crédito</t>
        </is>
      </c>
      <c r="L16" s="13" t="n">
        <v>0</v>
      </c>
      <c r="M16" s="35" t="n">
        <v>0</v>
      </c>
      <c r="N16" s="14" t="inlineStr">
        <is>
          <t>Ativo</t>
        </is>
      </c>
      <c r="O16" s="29" t="inlineStr">
        <is>
          <t>Anúncios e campanhas digitais</t>
        </is>
      </c>
      <c r="P16" s="18">
        <f>IF($B16="","",SUMIFS('LANÇAMENTOS'!$Q$6:$Q$2005,'LANÇAMENTOS'!$I$6:$I$2005,$B16,'LANÇAMENTOS'!$E$6:$E$2005,"Saída"))</f>
        <v/>
      </c>
      <c r="Q16" s="18">
        <f>IF($B16="","",SUMIFS('LANÇAMENTOS'!$V$6:$V$2005,'LANÇAMENTOS'!$I$6:$I$2005,$B16,'LANÇAMENTOS'!$E$6:$E$2005,"Saída"))</f>
        <v/>
      </c>
      <c r="R16" s="18">
        <f>IF($B16="","",SUMIFS('LANÇAMENTOS'!$W$6:$W$2005,'LANÇAMENTOS'!$I$6:$I$2005,$B16,'LANÇAMENTOS'!$E$6:$E$2005,"Saída"))</f>
        <v/>
      </c>
      <c r="S16" s="18">
        <f>IF($B16="","",SUMIFS('LANÇAMENTOS'!$W$6:$W$2005,'LANÇAMENTOS'!$I$6:$I$2005,$B16,'LANÇAMENTOS'!$E$6:$E$2005,"Saída",'LANÇAMENTOS'!$C$6:$C$2005,"&lt;"&amp;TODAY()))</f>
        <v/>
      </c>
      <c r="T16" s="30">
        <f>IF($B16="","",IFERROR(IF(SUMPRODUCT(MAX(('LANÇAMENTOS'!$I$6:$I$2005=$B16)*'LANÇAMENTOS'!$B$6:$B$2005))&gt;0,SUMPRODUCT(MAX(('LANÇAMENTOS'!$I$6:$I$2005=$B16)*'LANÇAMENTOS'!$B$6:$B$2005)),""),""))</f>
        <v/>
      </c>
    </row>
    <row r="17">
      <c r="A17" s="14" t="inlineStr">
        <is>
          <t>FOR012</t>
        </is>
      </c>
      <c r="B17" s="29" t="inlineStr">
        <is>
          <t>BENEFÍCIOS BRASIL ADMINISTRADORA LTDA</t>
        </is>
      </c>
      <c r="C17" s="29" t="inlineStr">
        <is>
          <t>Benefícios Brasil</t>
        </is>
      </c>
      <c r="D17" s="14" t="inlineStr">
        <is>
          <t>09.876.543/0001-21</t>
        </is>
      </c>
      <c r="E17" s="29" t="inlineStr">
        <is>
          <t>Time de Atendimento</t>
        </is>
      </c>
      <c r="F17" s="14" t="inlineStr">
        <is>
          <t>(11) 4004-1010</t>
        </is>
      </c>
      <c r="G17" s="29" t="inlineStr">
        <is>
          <t>empresas@beneficiosbrasil.com.br</t>
        </is>
      </c>
      <c r="H17" s="29" t="inlineStr">
        <is>
          <t>São Paulo</t>
        </is>
      </c>
      <c r="I17" s="14" t="inlineStr">
        <is>
          <t>SP</t>
        </is>
      </c>
      <c r="J17" s="29" t="inlineStr">
        <is>
          <t>Benefícios (VT/VA/Plano de Saúde)</t>
        </is>
      </c>
      <c r="K17" s="29" t="inlineStr">
        <is>
          <t>Transferência</t>
        </is>
      </c>
      <c r="L17" s="13" t="n">
        <v>5</v>
      </c>
      <c r="M17" s="35" t="n">
        <v>0</v>
      </c>
      <c r="N17" s="14" t="inlineStr">
        <is>
          <t>Ativo</t>
        </is>
      </c>
      <c r="O17" s="29" t="inlineStr">
        <is>
          <t>Vale-transporte, alimentação e plano de saúde</t>
        </is>
      </c>
      <c r="P17" s="18">
        <f>IF($B17="","",SUMIFS('LANÇAMENTOS'!$Q$6:$Q$2005,'LANÇAMENTOS'!$I$6:$I$2005,$B17,'LANÇAMENTOS'!$E$6:$E$2005,"Saída"))</f>
        <v/>
      </c>
      <c r="Q17" s="18">
        <f>IF($B17="","",SUMIFS('LANÇAMENTOS'!$V$6:$V$2005,'LANÇAMENTOS'!$I$6:$I$2005,$B17,'LANÇAMENTOS'!$E$6:$E$2005,"Saída"))</f>
        <v/>
      </c>
      <c r="R17" s="18">
        <f>IF($B17="","",SUMIFS('LANÇAMENTOS'!$W$6:$W$2005,'LANÇAMENTOS'!$I$6:$I$2005,$B17,'LANÇAMENTOS'!$E$6:$E$2005,"Saída"))</f>
        <v/>
      </c>
      <c r="S17" s="18">
        <f>IF($B17="","",SUMIFS('LANÇAMENTOS'!$W$6:$W$2005,'LANÇAMENTOS'!$I$6:$I$2005,$B17,'LANÇAMENTOS'!$E$6:$E$2005,"Saída",'LANÇAMENTOS'!$C$6:$C$2005,"&lt;"&amp;TODAY()))</f>
        <v/>
      </c>
      <c r="T17" s="30">
        <f>IF($B17="","",IFERROR(IF(SUMPRODUCT(MAX(('LANÇAMENTOS'!$I$6:$I$2005=$B17)*'LANÇAMENTOS'!$B$6:$B$2005))&gt;0,SUMPRODUCT(MAX(('LANÇAMENTOS'!$I$6:$I$2005=$B17)*'LANÇAMENTOS'!$B$6:$B$2005)),""),""))</f>
        <v/>
      </c>
    </row>
    <row r="18">
      <c r="A18" s="14" t="inlineStr">
        <is>
          <t>FOR013</t>
        </is>
      </c>
      <c r="B18" s="29" t="inlineStr">
        <is>
          <t>RECEITA FEDERAL DO BRASIL</t>
        </is>
      </c>
      <c r="C18" s="29" t="inlineStr">
        <is>
          <t>Receita Federal</t>
        </is>
      </c>
      <c r="D18" s="14" t="inlineStr">
        <is>
          <t>00.394.460/0001-85</t>
        </is>
      </c>
      <c r="E18" s="29" t="inlineStr">
        <is>
          <t>—</t>
        </is>
      </c>
      <c r="F18" s="14" t="inlineStr">
        <is>
          <t>—</t>
        </is>
      </c>
      <c r="G18" s="29" t="inlineStr">
        <is>
          <t>—</t>
        </is>
      </c>
      <c r="H18" s="29" t="inlineStr">
        <is>
          <t>Brasília</t>
        </is>
      </c>
      <c r="I18" s="14" t="inlineStr">
        <is>
          <t>DF</t>
        </is>
      </c>
      <c r="J18" s="29" t="inlineStr">
        <is>
          <t>Tributos</t>
        </is>
      </c>
      <c r="K18" s="29" t="inlineStr">
        <is>
          <t>DAS/débito automático</t>
        </is>
      </c>
      <c r="L18" s="13" t="n">
        <v>20</v>
      </c>
      <c r="M18" s="35" t="n">
        <v>0</v>
      </c>
      <c r="N18" s="14" t="inlineStr">
        <is>
          <t>Ativo</t>
        </is>
      </c>
      <c r="O18" s="29" t="inlineStr">
        <is>
          <t>Tributos federais — Simples Nacional</t>
        </is>
      </c>
      <c r="P18" s="18">
        <f>IF($B18="","",SUMIFS('LANÇAMENTOS'!$Q$6:$Q$2005,'LANÇAMENTOS'!$I$6:$I$2005,$B18,'LANÇAMENTOS'!$E$6:$E$2005,"Saída"))</f>
        <v/>
      </c>
      <c r="Q18" s="18">
        <f>IF($B18="","",SUMIFS('LANÇAMENTOS'!$V$6:$V$2005,'LANÇAMENTOS'!$I$6:$I$2005,$B18,'LANÇAMENTOS'!$E$6:$E$2005,"Saída"))</f>
        <v/>
      </c>
      <c r="R18" s="18">
        <f>IF($B18="","",SUMIFS('LANÇAMENTOS'!$W$6:$W$2005,'LANÇAMENTOS'!$I$6:$I$2005,$B18,'LANÇAMENTOS'!$E$6:$E$2005,"Saída"))</f>
        <v/>
      </c>
      <c r="S18" s="18">
        <f>IF($B18="","",SUMIFS('LANÇAMENTOS'!$W$6:$W$2005,'LANÇAMENTOS'!$I$6:$I$2005,$B18,'LANÇAMENTOS'!$E$6:$E$2005,"Saída",'LANÇAMENTOS'!$C$6:$C$2005,"&lt;"&amp;TODAY()))</f>
        <v/>
      </c>
      <c r="T18" s="30">
        <f>IF($B18="","",IFERROR(IF(SUMPRODUCT(MAX(('LANÇAMENTOS'!$I$6:$I$2005=$B18)*'LANÇAMENTOS'!$B$6:$B$2005))&gt;0,SUMPRODUCT(MAX(('LANÇAMENTOS'!$I$6:$I$2005=$B18)*'LANÇAMENTOS'!$B$6:$B$2005)),""),""))</f>
        <v/>
      </c>
    </row>
    <row r="19">
      <c r="A19" s="14" t="inlineStr">
        <is>
          <t>FOR014</t>
        </is>
      </c>
      <c r="B19" s="29" t="inlineStr">
        <is>
          <t>PREFEITURA DE SÃO PAULO</t>
        </is>
      </c>
      <c r="C19" s="29" t="inlineStr">
        <is>
          <t>Prefeitura SP</t>
        </is>
      </c>
      <c r="D19" s="14" t="inlineStr">
        <is>
          <t>46.395.000/0001-39</t>
        </is>
      </c>
      <c r="E19" s="29" t="inlineStr">
        <is>
          <t>—</t>
        </is>
      </c>
      <c r="F19" s="14" t="inlineStr">
        <is>
          <t>156</t>
        </is>
      </c>
      <c r="G19" s="29" t="inlineStr">
        <is>
          <t>—</t>
        </is>
      </c>
      <c r="H19" s="29" t="inlineStr">
        <is>
          <t>São Paulo</t>
        </is>
      </c>
      <c r="I19" s="14" t="inlineStr">
        <is>
          <t>SP</t>
        </is>
      </c>
      <c r="J19" s="29" t="inlineStr">
        <is>
          <t>Tributos</t>
        </is>
      </c>
      <c r="K19" s="29" t="inlineStr">
        <is>
          <t>Guia municipal</t>
        </is>
      </c>
      <c r="L19" s="13" t="n">
        <v>10</v>
      </c>
      <c r="M19" s="35" t="n">
        <v>0</v>
      </c>
      <c r="N19" s="14" t="inlineStr">
        <is>
          <t>Ativo</t>
        </is>
      </c>
      <c r="O19" s="29" t="inlineStr">
        <is>
          <t>Taxas municipais, ISS e alvará</t>
        </is>
      </c>
      <c r="P19" s="18">
        <f>IF($B19="","",SUMIFS('LANÇAMENTOS'!$Q$6:$Q$2005,'LANÇAMENTOS'!$I$6:$I$2005,$B19,'LANÇAMENTOS'!$E$6:$E$2005,"Saída"))</f>
        <v/>
      </c>
      <c r="Q19" s="18">
        <f>IF($B19="","",SUMIFS('LANÇAMENTOS'!$V$6:$V$2005,'LANÇAMENTOS'!$I$6:$I$2005,$B19,'LANÇAMENTOS'!$E$6:$E$2005,"Saída"))</f>
        <v/>
      </c>
      <c r="R19" s="18">
        <f>IF($B19="","",SUMIFS('LANÇAMENTOS'!$W$6:$W$2005,'LANÇAMENTOS'!$I$6:$I$2005,$B19,'LANÇAMENTOS'!$E$6:$E$2005,"Saída"))</f>
        <v/>
      </c>
      <c r="S19" s="18">
        <f>IF($B19="","",SUMIFS('LANÇAMENTOS'!$W$6:$W$2005,'LANÇAMENTOS'!$I$6:$I$2005,$B19,'LANÇAMENTOS'!$E$6:$E$2005,"Saída",'LANÇAMENTOS'!$C$6:$C$2005,"&lt;"&amp;TODAY()))</f>
        <v/>
      </c>
      <c r="T19" s="30">
        <f>IF($B19="","",IFERROR(IF(SUMPRODUCT(MAX(('LANÇAMENTOS'!$I$6:$I$2005=$B19)*'LANÇAMENTOS'!$B$6:$B$2005))&gt;0,SUMPRODUCT(MAX(('LANÇAMENTOS'!$I$6:$I$2005=$B19)*'LANÇAMENTOS'!$B$6:$B$2005)),""),""))</f>
        <v/>
      </c>
    </row>
    <row r="20">
      <c r="A20" s="14" t="inlineStr">
        <is>
          <t>FOR015</t>
        </is>
      </c>
      <c r="B20" s="29" t="inlineStr">
        <is>
          <t>EQUIPE COMERCIAL — COMISSÕES</t>
        </is>
      </c>
      <c r="C20" s="29" t="inlineStr">
        <is>
          <t>Comissões da equipe</t>
        </is>
      </c>
      <c r="D20" s="14" t="inlineStr">
        <is>
          <t>—</t>
        </is>
      </c>
      <c r="E20" s="29" t="inlineStr">
        <is>
          <t>Carlos Menezes</t>
        </is>
      </c>
      <c r="F20" s="14" t="inlineStr">
        <is>
          <t>(11) 99876-0001</t>
        </is>
      </c>
      <c r="G20" s="29" t="inlineStr">
        <is>
          <t>comercial@aurora.com.br</t>
        </is>
      </c>
      <c r="H20" s="29" t="inlineStr">
        <is>
          <t>São Paulo</t>
        </is>
      </c>
      <c r="I20" s="14" t="inlineStr">
        <is>
          <t>SP</t>
        </is>
      </c>
      <c r="J20" s="29" t="inlineStr">
        <is>
          <t>Comissões sobre Vendas</t>
        </is>
      </c>
      <c r="K20" s="29" t="inlineStr">
        <is>
          <t>Transferência mensal</t>
        </is>
      </c>
      <c r="L20" s="13" t="n">
        <v>5</v>
      </c>
      <c r="M20" s="35" t="n">
        <v>0</v>
      </c>
      <c r="N20" s="14" t="inlineStr">
        <is>
          <t>Ativo</t>
        </is>
      </c>
      <c r="O20" s="29" t="inlineStr">
        <is>
          <t>Comissões sobre vendas — pagas no 5º dia útil</t>
        </is>
      </c>
      <c r="P20" s="18">
        <f>IF($B20="","",SUMIFS('LANÇAMENTOS'!$Q$6:$Q$2005,'LANÇAMENTOS'!$I$6:$I$2005,$B20,'LANÇAMENTOS'!$E$6:$E$2005,"Saída"))</f>
        <v/>
      </c>
      <c r="Q20" s="18">
        <f>IF($B20="","",SUMIFS('LANÇAMENTOS'!$V$6:$V$2005,'LANÇAMENTOS'!$I$6:$I$2005,$B20,'LANÇAMENTOS'!$E$6:$E$2005,"Saída"))</f>
        <v/>
      </c>
      <c r="R20" s="18">
        <f>IF($B20="","",SUMIFS('LANÇAMENTOS'!$W$6:$W$2005,'LANÇAMENTOS'!$I$6:$I$2005,$B20,'LANÇAMENTOS'!$E$6:$E$2005,"Saída"))</f>
        <v/>
      </c>
      <c r="S20" s="18">
        <f>IF($B20="","",SUMIFS('LANÇAMENTOS'!$W$6:$W$2005,'LANÇAMENTOS'!$I$6:$I$2005,$B20,'LANÇAMENTOS'!$E$6:$E$2005,"Saída",'LANÇAMENTOS'!$C$6:$C$2005,"&lt;"&amp;TODAY()))</f>
        <v/>
      </c>
      <c r="T20" s="30">
        <f>IF($B20="","",IFERROR(IF(SUMPRODUCT(MAX(('LANÇAMENTOS'!$I$6:$I$2005=$B20)*'LANÇAMENTOS'!$B$6:$B$2005))&gt;0,SUMPRODUCT(MAX(('LANÇAMENTOS'!$I$6:$I$2005=$B20)*'LANÇAMENTOS'!$B$6:$B$2005)),""),""))</f>
        <v/>
      </c>
    </row>
    <row r="21">
      <c r="A21" s="14" t="inlineStr">
        <is>
          <t>FOR016</t>
        </is>
      </c>
      <c r="B21" s="29" t="inlineStr">
        <is>
          <t>MARKETPLACE FOODB2B LTDA</t>
        </is>
      </c>
      <c r="C21" s="29" t="inlineStr">
        <is>
          <t>FoodB2B</t>
        </is>
      </c>
      <c r="D21" s="14" t="inlineStr">
        <is>
          <t>31.222.333/0001-44</t>
        </is>
      </c>
      <c r="E21" s="29" t="inlineStr">
        <is>
          <t>Suporte Vendedor</t>
        </is>
      </c>
      <c r="F21" s="14" t="inlineStr">
        <is>
          <t>(11) 4004-2222</t>
        </is>
      </c>
      <c r="G21" s="29" t="inlineStr">
        <is>
          <t>vendedores@foodb2b.com.br</t>
        </is>
      </c>
      <c r="H21" s="29" t="inlineStr">
        <is>
          <t>São Paulo</t>
        </is>
      </c>
      <c r="I21" s="14" t="inlineStr">
        <is>
          <t>SP</t>
        </is>
      </c>
      <c r="J21" s="29" t="inlineStr">
        <is>
          <t>Taxas de Marketplace</t>
        </is>
      </c>
      <c r="K21" s="29" t="inlineStr">
        <is>
          <t>Desconto em repasse</t>
        </is>
      </c>
      <c r="L21" s="13" t="n">
        <v>10</v>
      </c>
      <c r="M21" s="35" t="n">
        <v>0</v>
      </c>
      <c r="N21" s="14" t="inlineStr">
        <is>
          <t>Ativo</t>
        </is>
      </c>
      <c r="O21" s="29" t="inlineStr">
        <is>
          <t>Taxas de intermediação do marketplace</t>
        </is>
      </c>
      <c r="P21" s="18">
        <f>IF($B21="","",SUMIFS('LANÇAMENTOS'!$Q$6:$Q$2005,'LANÇAMENTOS'!$I$6:$I$2005,$B21,'LANÇAMENTOS'!$E$6:$E$2005,"Saída"))</f>
        <v/>
      </c>
      <c r="Q21" s="18">
        <f>IF($B21="","",SUMIFS('LANÇAMENTOS'!$V$6:$V$2005,'LANÇAMENTOS'!$I$6:$I$2005,$B21,'LANÇAMENTOS'!$E$6:$E$2005,"Saída"))</f>
        <v/>
      </c>
      <c r="R21" s="18">
        <f>IF($B21="","",SUMIFS('LANÇAMENTOS'!$W$6:$W$2005,'LANÇAMENTOS'!$I$6:$I$2005,$B21,'LANÇAMENTOS'!$E$6:$E$2005,"Saída"))</f>
        <v/>
      </c>
      <c r="S21" s="18">
        <f>IF($B21="","",SUMIFS('LANÇAMENTOS'!$W$6:$W$2005,'LANÇAMENTOS'!$I$6:$I$2005,$B21,'LANÇAMENTOS'!$E$6:$E$2005,"Saída",'LANÇAMENTOS'!$C$6:$C$2005,"&lt;"&amp;TODAY()))</f>
        <v/>
      </c>
      <c r="T21" s="30">
        <f>IF($B21="","",IFERROR(IF(SUMPRODUCT(MAX(('LANÇAMENTOS'!$I$6:$I$2005=$B21)*'LANÇAMENTOS'!$B$6:$B$2005))&gt;0,SUMPRODUCT(MAX(('LANÇAMENTOS'!$I$6:$I$2005=$B21)*'LANÇAMENTOS'!$B$6:$B$2005)),""),""))</f>
        <v/>
      </c>
    </row>
    <row r="22">
      <c r="A22" s="14" t="inlineStr">
        <is>
          <t>FOR017</t>
        </is>
      </c>
      <c r="B22" s="29" t="inlineStr">
        <is>
          <t>CIELO S.A. — INSTITUIÇÃO DE PAGAMENTO</t>
        </is>
      </c>
      <c r="C22" s="29" t="inlineStr">
        <is>
          <t>Cielo</t>
        </is>
      </c>
      <c r="D22" s="14" t="inlineStr">
        <is>
          <t>01.027.058/0001-91</t>
        </is>
      </c>
      <c r="E22" s="29" t="inlineStr">
        <is>
          <t>Central</t>
        </is>
      </c>
      <c r="F22" s="14" t="inlineStr">
        <is>
          <t>4002 6601</t>
        </is>
      </c>
      <c r="G22" s="29" t="inlineStr">
        <is>
          <t>atendimento@cielo.com.br</t>
        </is>
      </c>
      <c r="H22" s="29" t="inlineStr">
        <is>
          <t>Barueri</t>
        </is>
      </c>
      <c r="I22" s="14" t="inlineStr">
        <is>
          <t>SP</t>
        </is>
      </c>
      <c r="J22" s="29" t="inlineStr">
        <is>
          <t>Taxas de Cartão e Maquininha</t>
        </is>
      </c>
      <c r="K22" s="29" t="inlineStr">
        <is>
          <t>Débito automático</t>
        </is>
      </c>
      <c r="L22" s="13" t="n">
        <v>5</v>
      </c>
      <c r="M22" s="35" t="n">
        <v>0</v>
      </c>
      <c r="N22" s="14" t="inlineStr">
        <is>
          <t>Ativo</t>
        </is>
      </c>
      <c r="O22" s="29" t="inlineStr">
        <is>
          <t>Taxas de cartão e antecipação</t>
        </is>
      </c>
      <c r="P22" s="18">
        <f>IF($B22="","",SUMIFS('LANÇAMENTOS'!$Q$6:$Q$2005,'LANÇAMENTOS'!$I$6:$I$2005,$B22,'LANÇAMENTOS'!$E$6:$E$2005,"Saída"))</f>
        <v/>
      </c>
      <c r="Q22" s="18">
        <f>IF($B22="","",SUMIFS('LANÇAMENTOS'!$V$6:$V$2005,'LANÇAMENTOS'!$I$6:$I$2005,$B22,'LANÇAMENTOS'!$E$6:$E$2005,"Saída"))</f>
        <v/>
      </c>
      <c r="R22" s="18">
        <f>IF($B22="","",SUMIFS('LANÇAMENTOS'!$W$6:$W$2005,'LANÇAMENTOS'!$I$6:$I$2005,$B22,'LANÇAMENTOS'!$E$6:$E$2005,"Saída"))</f>
        <v/>
      </c>
      <c r="S22" s="18">
        <f>IF($B22="","",SUMIFS('LANÇAMENTOS'!$W$6:$W$2005,'LANÇAMENTOS'!$I$6:$I$2005,$B22,'LANÇAMENTOS'!$E$6:$E$2005,"Saída",'LANÇAMENTOS'!$C$6:$C$2005,"&lt;"&amp;TODAY()))</f>
        <v/>
      </c>
      <c r="T22" s="30">
        <f>IF($B22="","",IFERROR(IF(SUMPRODUCT(MAX(('LANÇAMENTOS'!$I$6:$I$2005=$B22)*'LANÇAMENTOS'!$B$6:$B$2005))&gt;0,SUMPRODUCT(MAX(('LANÇAMENTOS'!$I$6:$I$2005=$B22)*'LANÇAMENTOS'!$B$6:$B$2005)),""),""))</f>
        <v/>
      </c>
    </row>
    <row r="23">
      <c r="A23" s="14" t="inlineStr">
        <is>
          <t>FOR018</t>
        </is>
      </c>
      <c r="B23" s="29" t="inlineStr">
        <is>
          <t>PORTO SEGURO COMPANHIA DE SEGUROS GERAIS</t>
        </is>
      </c>
      <c r="C23" s="29" t="inlineStr">
        <is>
          <t>Porto Seguro</t>
        </is>
      </c>
      <c r="D23" s="14" t="inlineStr">
        <is>
          <t>61.198.164/0001-60</t>
        </is>
      </c>
      <c r="E23" s="29" t="inlineStr">
        <is>
          <t>Corretora Rossi</t>
        </is>
      </c>
      <c r="F23" s="14" t="inlineStr">
        <is>
          <t>(11) 3366-9000</t>
        </is>
      </c>
      <c r="G23" s="29" t="inlineStr">
        <is>
          <t>atendimento@portoseguro.com.br</t>
        </is>
      </c>
      <c r="H23" s="29" t="inlineStr">
        <is>
          <t>São Paulo</t>
        </is>
      </c>
      <c r="I23" s="14" t="inlineStr">
        <is>
          <t>SP</t>
        </is>
      </c>
      <c r="J23" s="29" t="inlineStr">
        <is>
          <t>Seguros</t>
        </is>
      </c>
      <c r="K23" s="29" t="inlineStr">
        <is>
          <t>Boleto trimestral</t>
        </is>
      </c>
      <c r="L23" s="13" t="n">
        <v>20</v>
      </c>
      <c r="M23" s="35" t="n">
        <v>0</v>
      </c>
      <c r="N23" s="14" t="inlineStr">
        <is>
          <t>Ativo</t>
        </is>
      </c>
      <c r="O23" s="29" t="inlineStr">
        <is>
          <t>Seguro do galpão, frota e responsabilidade civil</t>
        </is>
      </c>
      <c r="P23" s="18">
        <f>IF($B23="","",SUMIFS('LANÇAMENTOS'!$Q$6:$Q$2005,'LANÇAMENTOS'!$I$6:$I$2005,$B23,'LANÇAMENTOS'!$E$6:$E$2005,"Saída"))</f>
        <v/>
      </c>
      <c r="Q23" s="18">
        <f>IF($B23="","",SUMIFS('LANÇAMENTOS'!$V$6:$V$2005,'LANÇAMENTOS'!$I$6:$I$2005,$B23,'LANÇAMENTOS'!$E$6:$E$2005,"Saída"))</f>
        <v/>
      </c>
      <c r="R23" s="18">
        <f>IF($B23="","",SUMIFS('LANÇAMENTOS'!$W$6:$W$2005,'LANÇAMENTOS'!$I$6:$I$2005,$B23,'LANÇAMENTOS'!$E$6:$E$2005,"Saída"))</f>
        <v/>
      </c>
      <c r="S23" s="18">
        <f>IF($B23="","",SUMIFS('LANÇAMENTOS'!$W$6:$W$2005,'LANÇAMENTOS'!$I$6:$I$2005,$B23,'LANÇAMENTOS'!$E$6:$E$2005,"Saída",'LANÇAMENTOS'!$C$6:$C$2005,"&lt;"&amp;TODAY()))</f>
        <v/>
      </c>
      <c r="T23" s="30">
        <f>IF($B23="","",IFERROR(IF(SUMPRODUCT(MAX(('LANÇAMENTOS'!$I$6:$I$2005=$B23)*'LANÇAMENTOS'!$B$6:$B$2005))&gt;0,SUMPRODUCT(MAX(('LANÇAMENTOS'!$I$6:$I$2005=$B23)*'LANÇAMENTOS'!$B$6:$B$2005)),""),""))</f>
        <v/>
      </c>
    </row>
    <row r="24">
      <c r="A24" s="14" t="inlineStr">
        <is>
          <t>FOR019</t>
        </is>
      </c>
      <c r="B24" s="29" t="inlineStr">
        <is>
          <t>PAPELARIA CENTRAL LTDA</t>
        </is>
      </c>
      <c r="C24" s="29" t="inlineStr">
        <is>
          <t>Papelaria Central</t>
        </is>
      </c>
      <c r="D24" s="14" t="inlineStr">
        <is>
          <t>54.332.110/0001-09</t>
        </is>
      </c>
      <c r="E24" s="29" t="inlineStr">
        <is>
          <t>Balcão</t>
        </is>
      </c>
      <c r="F24" s="14" t="inlineStr">
        <is>
          <t>(11) 3222-4455</t>
        </is>
      </c>
      <c r="G24" s="29" t="inlineStr">
        <is>
          <t>vendas@papelariacentral.com.br</t>
        </is>
      </c>
      <c r="H24" s="29" t="inlineStr">
        <is>
          <t>São Paulo</t>
        </is>
      </c>
      <c r="I24" s="14" t="inlineStr">
        <is>
          <t>SP</t>
        </is>
      </c>
      <c r="J24" s="29" t="inlineStr">
        <is>
          <t>Material de Escritório</t>
        </is>
      </c>
      <c r="K24" s="29" t="inlineStr">
        <is>
          <t>Cartão de crédito</t>
        </is>
      </c>
      <c r="L24" s="13" t="n">
        <v>0</v>
      </c>
      <c r="M24" s="35" t="n">
        <v>0</v>
      </c>
      <c r="N24" s="14" t="inlineStr">
        <is>
          <t>Ativo</t>
        </is>
      </c>
      <c r="O24" s="29" t="inlineStr">
        <is>
          <t>Material de escritório e consumo</t>
        </is>
      </c>
      <c r="P24" s="18">
        <f>IF($B24="","",SUMIFS('LANÇAMENTOS'!$Q$6:$Q$2005,'LANÇAMENTOS'!$I$6:$I$2005,$B24,'LANÇAMENTOS'!$E$6:$E$2005,"Saída"))</f>
        <v/>
      </c>
      <c r="Q24" s="18">
        <f>IF($B24="","",SUMIFS('LANÇAMENTOS'!$V$6:$V$2005,'LANÇAMENTOS'!$I$6:$I$2005,$B24,'LANÇAMENTOS'!$E$6:$E$2005,"Saída"))</f>
        <v/>
      </c>
      <c r="R24" s="18">
        <f>IF($B24="","",SUMIFS('LANÇAMENTOS'!$W$6:$W$2005,'LANÇAMENTOS'!$I$6:$I$2005,$B24,'LANÇAMENTOS'!$E$6:$E$2005,"Saída"))</f>
        <v/>
      </c>
      <c r="S24" s="18">
        <f>IF($B24="","",SUMIFS('LANÇAMENTOS'!$W$6:$W$2005,'LANÇAMENTOS'!$I$6:$I$2005,$B24,'LANÇAMENTOS'!$E$6:$E$2005,"Saída",'LANÇAMENTOS'!$C$6:$C$2005,"&lt;"&amp;TODAY()))</f>
        <v/>
      </c>
      <c r="T24" s="30">
        <f>IF($B24="","",IFERROR(IF(SUMPRODUCT(MAX(('LANÇAMENTOS'!$I$6:$I$2005=$B24)*'LANÇAMENTOS'!$B$6:$B$2005))&gt;0,SUMPRODUCT(MAX(('LANÇAMENTOS'!$I$6:$I$2005=$B24)*'LANÇAMENTOS'!$B$6:$B$2005)),""),""))</f>
        <v/>
      </c>
    </row>
    <row r="25">
      <c r="A25" s="14" t="inlineStr">
        <is>
          <t>FOR020</t>
        </is>
      </c>
      <c r="B25" s="29" t="inlineStr">
        <is>
          <t>MANUTENÇÃO PREDIAL EXPRESSA LTDA</t>
        </is>
      </c>
      <c r="C25" s="29" t="inlineStr">
        <is>
          <t>Expressa Manutenção</t>
        </is>
      </c>
      <c r="D25" s="14" t="inlineStr">
        <is>
          <t>27.665.443/0001-88</t>
        </is>
      </c>
      <c r="E25" s="29" t="inlineStr">
        <is>
          <t>Alexandre</t>
        </is>
      </c>
      <c r="F25" s="14" t="inlineStr">
        <is>
          <t>(11) 2675-1234</t>
        </is>
      </c>
      <c r="G25" s="29" t="inlineStr">
        <is>
          <t>contato@expressamanutencao.com.br</t>
        </is>
      </c>
      <c r="H25" s="29" t="inlineStr">
        <is>
          <t>São Paulo</t>
        </is>
      </c>
      <c r="I25" s="14" t="inlineStr">
        <is>
          <t>SP</t>
        </is>
      </c>
      <c r="J25" s="29" t="inlineStr">
        <is>
          <t>Manutenção e Conservação</t>
        </is>
      </c>
      <c r="K25" s="29" t="inlineStr">
        <is>
          <t>PIX após serviço</t>
        </is>
      </c>
      <c r="L25" s="13" t="n">
        <v>10</v>
      </c>
      <c r="M25" s="35" t="n">
        <v>0</v>
      </c>
      <c r="N25" s="14" t="inlineStr">
        <is>
          <t>Ativo</t>
        </is>
      </c>
      <c r="O25" s="29" t="inlineStr">
        <is>
          <t>Manutenção predial, empilhadeira e frota</t>
        </is>
      </c>
      <c r="P25" s="18">
        <f>IF($B25="","",SUMIFS('LANÇAMENTOS'!$Q$6:$Q$2005,'LANÇAMENTOS'!$I$6:$I$2005,$B25,'LANÇAMENTOS'!$E$6:$E$2005,"Saída"))</f>
        <v/>
      </c>
      <c r="Q25" s="18">
        <f>IF($B25="","",SUMIFS('LANÇAMENTOS'!$V$6:$V$2005,'LANÇAMENTOS'!$I$6:$I$2005,$B25,'LANÇAMENTOS'!$E$6:$E$2005,"Saída"))</f>
        <v/>
      </c>
      <c r="R25" s="18">
        <f>IF($B25="","",SUMIFS('LANÇAMENTOS'!$W$6:$W$2005,'LANÇAMENTOS'!$I$6:$I$2005,$B25,'LANÇAMENTOS'!$E$6:$E$2005,"Saída"))</f>
        <v/>
      </c>
      <c r="S25" s="18">
        <f>IF($B25="","",SUMIFS('LANÇAMENTOS'!$W$6:$W$2005,'LANÇAMENTOS'!$I$6:$I$2005,$B25,'LANÇAMENTOS'!$E$6:$E$2005,"Saída",'LANÇAMENTOS'!$C$6:$C$2005,"&lt;"&amp;TODAY()))</f>
        <v/>
      </c>
      <c r="T25" s="30">
        <f>IF($B25="","",IFERROR(IF(SUMPRODUCT(MAX(('LANÇAMENTOS'!$I$6:$I$2005=$B25)*'LANÇAMENTOS'!$B$6:$B$2005))&gt;0,SUMPRODUCT(MAX(('LANÇAMENTOS'!$I$6:$I$2005=$B25)*'LANÇAMENTOS'!$B$6:$B$2005)),""),""))</f>
        <v/>
      </c>
    </row>
    <row r="26">
      <c r="A26" s="14" t="inlineStr">
        <is>
          <t>FOR021</t>
        </is>
      </c>
      <c r="B26" s="29" t="inlineStr">
        <is>
          <t>APOIO OPERACIONAL SERVIÇOS LTDA</t>
        </is>
      </c>
      <c r="C26" s="29" t="inlineStr">
        <is>
          <t>Apoio Operacional</t>
        </is>
      </c>
      <c r="D26" s="14" t="inlineStr">
        <is>
          <t>35.998.776/0001-55</t>
        </is>
      </c>
      <c r="E26" s="29" t="inlineStr">
        <is>
          <t>Vanessa Souza</t>
        </is>
      </c>
      <c r="F26" s="14" t="inlineStr">
        <is>
          <t>(11) 2500-3300</t>
        </is>
      </c>
      <c r="G26" s="29" t="inlineStr">
        <is>
          <t>contato@apoiooperacional.com.br</t>
        </is>
      </c>
      <c r="H26" s="29" t="inlineStr">
        <is>
          <t>Osasco</t>
        </is>
      </c>
      <c r="I26" s="14" t="inlineStr">
        <is>
          <t>SP</t>
        </is>
      </c>
      <c r="J26" s="29" t="inlineStr">
        <is>
          <t>Serviços Terceirizados (PJ)</t>
        </is>
      </c>
      <c r="K26" s="29" t="inlineStr">
        <is>
          <t>PIX mensal</t>
        </is>
      </c>
      <c r="L26" s="13" t="n">
        <v>10</v>
      </c>
      <c r="M26" s="35" t="n">
        <v>0</v>
      </c>
      <c r="N26" s="14" t="inlineStr">
        <is>
          <t>Ativo</t>
        </is>
      </c>
      <c r="O26" s="29" t="inlineStr">
        <is>
          <t>Equipe terceirizada de separação e expedição</t>
        </is>
      </c>
      <c r="P26" s="18">
        <f>IF($B26="","",SUMIFS('LANÇAMENTOS'!$Q$6:$Q$2005,'LANÇAMENTOS'!$I$6:$I$2005,$B26,'LANÇAMENTOS'!$E$6:$E$2005,"Saída"))</f>
        <v/>
      </c>
      <c r="Q26" s="18">
        <f>IF($B26="","",SUMIFS('LANÇAMENTOS'!$V$6:$V$2005,'LANÇAMENTOS'!$I$6:$I$2005,$B26,'LANÇAMENTOS'!$E$6:$E$2005,"Saída"))</f>
        <v/>
      </c>
      <c r="R26" s="18">
        <f>IF($B26="","",SUMIFS('LANÇAMENTOS'!$W$6:$W$2005,'LANÇAMENTOS'!$I$6:$I$2005,$B26,'LANÇAMENTOS'!$E$6:$E$2005,"Saída"))</f>
        <v/>
      </c>
      <c r="S26" s="18">
        <f>IF($B26="","",SUMIFS('LANÇAMENTOS'!$W$6:$W$2005,'LANÇAMENTOS'!$I$6:$I$2005,$B26,'LANÇAMENTOS'!$E$6:$E$2005,"Saída",'LANÇAMENTOS'!$C$6:$C$2005,"&lt;"&amp;TODAY()))</f>
        <v/>
      </c>
      <c r="T26" s="30">
        <f>IF($B26="","",IFERROR(IF(SUMPRODUCT(MAX(('LANÇAMENTOS'!$I$6:$I$2005=$B26)*'LANÇAMENTOS'!$B$6:$B$2005))&gt;0,SUMPRODUCT(MAX(('LANÇAMENTOS'!$I$6:$I$2005=$B26)*'LANÇAMENTOS'!$B$6:$B$2005)),""),""))</f>
        <v/>
      </c>
    </row>
    <row r="27">
      <c r="A27" s="14" t="inlineStr">
        <is>
          <t>FOR022</t>
        </is>
      </c>
      <c r="B27" s="29" t="inlineStr">
        <is>
          <t>MÁQUINAS E EQUIPAMENTOS ALFA LTDA</t>
        </is>
      </c>
      <c r="C27" s="29" t="inlineStr">
        <is>
          <t>Alfa Máquinas</t>
        </is>
      </c>
      <c r="D27" s="14" t="inlineStr">
        <is>
          <t>41.223.344/0001-77</t>
        </is>
      </c>
      <c r="E27" s="29" t="inlineStr">
        <is>
          <t>Eduardo Pires</t>
        </is>
      </c>
      <c r="F27" s="14" t="inlineStr">
        <is>
          <t>(11) 2099-8080</t>
        </is>
      </c>
      <c r="G27" s="29" t="inlineStr">
        <is>
          <t>vendas@alfamaquinas.com.br</t>
        </is>
      </c>
      <c r="H27" s="29" t="inlineStr">
        <is>
          <t>São Paulo</t>
        </is>
      </c>
      <c r="I27" s="14" t="inlineStr">
        <is>
          <t>SP</t>
        </is>
      </c>
      <c r="J27" s="29" t="inlineStr">
        <is>
          <t>Máquinas e Equipamentos</t>
        </is>
      </c>
      <c r="K27" s="29" t="inlineStr">
        <is>
          <t>28 dias</t>
        </is>
      </c>
      <c r="L27" s="13" t="n">
        <v>28</v>
      </c>
      <c r="M27" s="35" t="n">
        <v>200000</v>
      </c>
      <c r="N27" s="14" t="inlineStr">
        <is>
          <t>Ativo</t>
        </is>
      </c>
      <c r="O27" s="29" t="inlineStr">
        <is>
          <t>Equipamentos e seladoras</t>
        </is>
      </c>
      <c r="P27" s="18">
        <f>IF($B27="","",SUMIFS('LANÇAMENTOS'!$Q$6:$Q$2005,'LANÇAMENTOS'!$I$6:$I$2005,$B27,'LANÇAMENTOS'!$E$6:$E$2005,"Saída"))</f>
        <v/>
      </c>
      <c r="Q27" s="18">
        <f>IF($B27="","",SUMIFS('LANÇAMENTOS'!$V$6:$V$2005,'LANÇAMENTOS'!$I$6:$I$2005,$B27,'LANÇAMENTOS'!$E$6:$E$2005,"Saída"))</f>
        <v/>
      </c>
      <c r="R27" s="18">
        <f>IF($B27="","",SUMIFS('LANÇAMENTOS'!$W$6:$W$2005,'LANÇAMENTOS'!$I$6:$I$2005,$B27,'LANÇAMENTOS'!$E$6:$E$2005,"Saída"))</f>
        <v/>
      </c>
      <c r="S27" s="18">
        <f>IF($B27="","",SUMIFS('LANÇAMENTOS'!$W$6:$W$2005,'LANÇAMENTOS'!$I$6:$I$2005,$B27,'LANÇAMENTOS'!$E$6:$E$2005,"Saída",'LANÇAMENTOS'!$C$6:$C$2005,"&lt;"&amp;TODAY()))</f>
        <v/>
      </c>
      <c r="T27" s="30">
        <f>IF($B27="","",IFERROR(IF(SUMPRODUCT(MAX(('LANÇAMENTOS'!$I$6:$I$2005=$B27)*'LANÇAMENTOS'!$B$6:$B$2005))&gt;0,SUMPRODUCT(MAX(('LANÇAMENTOS'!$I$6:$I$2005=$B27)*'LANÇAMENTOS'!$B$6:$B$2005)),""),""))</f>
        <v/>
      </c>
    </row>
    <row r="28">
      <c r="A28" s="14" t="inlineStr">
        <is>
          <t>FOR023</t>
        </is>
      </c>
      <c r="B28" s="29" t="inlineStr">
        <is>
          <t>MÓVEIS CORPORATIVOS BETA LTDA</t>
        </is>
      </c>
      <c r="C28" s="29" t="inlineStr">
        <is>
          <t>Beta Móveis</t>
        </is>
      </c>
      <c r="D28" s="14" t="inlineStr">
        <is>
          <t>19.887.766/0001-22</t>
        </is>
      </c>
      <c r="E28" s="29" t="inlineStr">
        <is>
          <t>Camila Nunes</t>
        </is>
      </c>
      <c r="F28" s="14" t="inlineStr">
        <is>
          <t>(11) 3311-7788</t>
        </is>
      </c>
      <c r="G28" s="29" t="inlineStr">
        <is>
          <t>vendas@betamoveis.com.br</t>
        </is>
      </c>
      <c r="H28" s="29" t="inlineStr">
        <is>
          <t>São Paulo</t>
        </is>
      </c>
      <c r="I28" s="14" t="inlineStr">
        <is>
          <t>SP</t>
        </is>
      </c>
      <c r="J28" s="29" t="inlineStr">
        <is>
          <t>Móveis e Utensílios</t>
        </is>
      </c>
      <c r="K28" s="29" t="inlineStr">
        <is>
          <t>Boleto 30 dias</t>
        </is>
      </c>
      <c r="L28" s="13" t="n">
        <v>30</v>
      </c>
      <c r="M28" s="35" t="n">
        <v>50000</v>
      </c>
      <c r="N28" s="14" t="inlineStr">
        <is>
          <t>Ativo</t>
        </is>
      </c>
      <c r="O28" s="29" t="inlineStr">
        <is>
          <t>Mobiliário corporativo</t>
        </is>
      </c>
      <c r="P28" s="18">
        <f>IF($B28="","",SUMIFS('LANÇAMENTOS'!$Q$6:$Q$2005,'LANÇAMENTOS'!$I$6:$I$2005,$B28,'LANÇAMENTOS'!$E$6:$E$2005,"Saída"))</f>
        <v/>
      </c>
      <c r="Q28" s="18">
        <f>IF($B28="","",SUMIFS('LANÇAMENTOS'!$V$6:$V$2005,'LANÇAMENTOS'!$I$6:$I$2005,$B28,'LANÇAMENTOS'!$E$6:$E$2005,"Saída"))</f>
        <v/>
      </c>
      <c r="R28" s="18">
        <f>IF($B28="","",SUMIFS('LANÇAMENTOS'!$W$6:$W$2005,'LANÇAMENTOS'!$I$6:$I$2005,$B28,'LANÇAMENTOS'!$E$6:$E$2005,"Saída"))</f>
        <v/>
      </c>
      <c r="S28" s="18">
        <f>IF($B28="","",SUMIFS('LANÇAMENTOS'!$W$6:$W$2005,'LANÇAMENTOS'!$I$6:$I$2005,$B28,'LANÇAMENTOS'!$E$6:$E$2005,"Saída",'LANÇAMENTOS'!$C$6:$C$2005,"&lt;"&amp;TODAY()))</f>
        <v/>
      </c>
      <c r="T28" s="30">
        <f>IF($B28="","",IFERROR(IF(SUMPRODUCT(MAX(('LANÇAMENTOS'!$I$6:$I$2005=$B28)*'LANÇAMENTOS'!$B$6:$B$2005))&gt;0,SUMPRODUCT(MAX(('LANÇAMENTOS'!$I$6:$I$2005=$B28)*'LANÇAMENTOS'!$B$6:$B$2005)),""),""))</f>
        <v/>
      </c>
    </row>
    <row r="29">
      <c r="A29" s="14" t="inlineStr">
        <is>
          <t>FOR024</t>
        </is>
      </c>
      <c r="B29" s="29" t="inlineStr">
        <is>
          <t>CONSTRUTORA E REFORMAS GAMA LTDA</t>
        </is>
      </c>
      <c r="C29" s="29" t="inlineStr">
        <is>
          <t>Gama Reformas</t>
        </is>
      </c>
      <c r="D29" s="14" t="inlineStr">
        <is>
          <t>23.445.667/0001-11</t>
        </is>
      </c>
      <c r="E29" s="29" t="inlineStr">
        <is>
          <t>Ricardo Gama</t>
        </is>
      </c>
      <c r="F29" s="14" t="inlineStr">
        <is>
          <t>(11) 2611-2030</t>
        </is>
      </c>
      <c r="G29" s="29" t="inlineStr">
        <is>
          <t>obras@gamareformas.com.br</t>
        </is>
      </c>
      <c r="H29" s="29" t="inlineStr">
        <is>
          <t>Guarulhos</t>
        </is>
      </c>
      <c r="I29" s="14" t="inlineStr">
        <is>
          <t>SP</t>
        </is>
      </c>
      <c r="J29" s="29" t="inlineStr">
        <is>
          <t>Reformas e Benfeitorias</t>
        </is>
      </c>
      <c r="K29" s="29" t="inlineStr">
        <is>
          <t>Medição mensal</t>
        </is>
      </c>
      <c r="L29" s="13" t="n">
        <v>30</v>
      </c>
      <c r="M29" s="35" t="n">
        <v>120000</v>
      </c>
      <c r="N29" s="14" t="inlineStr">
        <is>
          <t>Ativo</t>
        </is>
      </c>
      <c r="O29" s="29" t="inlineStr">
        <is>
          <t>Obras e benfeitorias</t>
        </is>
      </c>
      <c r="P29" s="18">
        <f>IF($B29="","",SUMIFS('LANÇAMENTOS'!$Q$6:$Q$2005,'LANÇAMENTOS'!$I$6:$I$2005,$B29,'LANÇAMENTOS'!$E$6:$E$2005,"Saída"))</f>
        <v/>
      </c>
      <c r="Q29" s="18">
        <f>IF($B29="","",SUMIFS('LANÇAMENTOS'!$V$6:$V$2005,'LANÇAMENTOS'!$I$6:$I$2005,$B29,'LANÇAMENTOS'!$E$6:$E$2005,"Saída"))</f>
        <v/>
      </c>
      <c r="R29" s="18">
        <f>IF($B29="","",SUMIFS('LANÇAMENTOS'!$W$6:$W$2005,'LANÇAMENTOS'!$I$6:$I$2005,$B29,'LANÇAMENTOS'!$E$6:$E$2005,"Saída"))</f>
        <v/>
      </c>
      <c r="S29" s="18">
        <f>IF($B29="","",SUMIFS('LANÇAMENTOS'!$W$6:$W$2005,'LANÇAMENTOS'!$I$6:$I$2005,$B29,'LANÇAMENTOS'!$E$6:$E$2005,"Saída",'LANÇAMENTOS'!$C$6:$C$2005,"&lt;"&amp;TODAY()))</f>
        <v/>
      </c>
      <c r="T29" s="30">
        <f>IF($B29="","",IFERROR(IF(SUMPRODUCT(MAX(('LANÇAMENTOS'!$I$6:$I$2005=$B29)*'LANÇAMENTOS'!$B$6:$B$2005))&gt;0,SUMPRODUCT(MAX(('LANÇAMENTOS'!$I$6:$I$2005=$B29)*'LANÇAMENTOS'!$B$6:$B$2005)),""),""))</f>
        <v/>
      </c>
    </row>
    <row r="30">
      <c r="A30" s="14" t="inlineStr">
        <is>
          <t>FOR025</t>
        </is>
      </c>
      <c r="B30" s="29" t="inlineStr">
        <is>
          <t>BANCO DO BRASIL S.A.</t>
        </is>
      </c>
      <c r="C30" s="29" t="inlineStr">
        <is>
          <t>Banco do Brasil</t>
        </is>
      </c>
      <c r="D30" s="14" t="inlineStr">
        <is>
          <t>00.000.000/0001-91</t>
        </is>
      </c>
      <c r="E30" s="29" t="inlineStr">
        <is>
          <t>Gerente PJ</t>
        </is>
      </c>
      <c r="F30" s="14" t="inlineStr">
        <is>
          <t>(11) 3499-1000</t>
        </is>
      </c>
      <c r="G30" s="29" t="inlineStr">
        <is>
          <t>pj@bb.com.br</t>
        </is>
      </c>
      <c r="H30" s="29" t="inlineStr">
        <is>
          <t>Brasília</t>
        </is>
      </c>
      <c r="I30" s="14" t="inlineStr">
        <is>
          <t>DF</t>
        </is>
      </c>
      <c r="J30" s="29" t="inlineStr">
        <is>
          <t>Empréstimos e Financiamentos</t>
        </is>
      </c>
      <c r="K30" s="29" t="inlineStr">
        <is>
          <t>Débito automático</t>
        </is>
      </c>
      <c r="L30" s="13" t="n">
        <v>10</v>
      </c>
      <c r="M30" s="35" t="n">
        <v>0</v>
      </c>
      <c r="N30" s="14" t="inlineStr">
        <is>
          <t>Ativo</t>
        </is>
      </c>
      <c r="O30" s="29" t="inlineStr">
        <is>
          <t>Instituição financeira — capital de giro e financiamentos</t>
        </is>
      </c>
      <c r="P30" s="18">
        <f>IF($B30="","",SUMIFS('LANÇAMENTOS'!$Q$6:$Q$2005,'LANÇAMENTOS'!$I$6:$I$2005,$B30,'LANÇAMENTOS'!$E$6:$E$2005,"Saída"))</f>
        <v/>
      </c>
      <c r="Q30" s="18">
        <f>IF($B30="","",SUMIFS('LANÇAMENTOS'!$V$6:$V$2005,'LANÇAMENTOS'!$I$6:$I$2005,$B30,'LANÇAMENTOS'!$E$6:$E$2005,"Saída"))</f>
        <v/>
      </c>
      <c r="R30" s="18">
        <f>IF($B30="","",SUMIFS('LANÇAMENTOS'!$W$6:$W$2005,'LANÇAMENTOS'!$I$6:$I$2005,$B30,'LANÇAMENTOS'!$E$6:$E$2005,"Saída"))</f>
        <v/>
      </c>
      <c r="S30" s="18">
        <f>IF($B30="","",SUMIFS('LANÇAMENTOS'!$W$6:$W$2005,'LANÇAMENTOS'!$I$6:$I$2005,$B30,'LANÇAMENTOS'!$E$6:$E$2005,"Saída",'LANÇAMENTOS'!$C$6:$C$2005,"&lt;"&amp;TODAY()))</f>
        <v/>
      </c>
      <c r="T30" s="30">
        <f>IF($B30="","",IFERROR(IF(SUMPRODUCT(MAX(('LANÇAMENTOS'!$I$6:$I$2005=$B30)*'LANÇAMENTOS'!$B$6:$B$2005))&gt;0,SUMPRODUCT(MAX(('LANÇAMENTOS'!$I$6:$I$2005=$B30)*'LANÇAMENTOS'!$B$6:$B$2005)),""),""))</f>
        <v/>
      </c>
    </row>
    <row r="31">
      <c r="A31" s="14" t="inlineStr">
        <is>
          <t>FOR026</t>
        </is>
      </c>
      <c r="B31" s="29" t="inlineStr">
        <is>
          <t>BANCO SANTANDER (BRASIL) S.A.</t>
        </is>
      </c>
      <c r="C31" s="29" t="inlineStr">
        <is>
          <t>Santander</t>
        </is>
      </c>
      <c r="D31" s="14" t="inlineStr">
        <is>
          <t>90.400.888/0001-42</t>
        </is>
      </c>
      <c r="E31" s="29" t="inlineStr">
        <is>
          <t>Gerente PJ</t>
        </is>
      </c>
      <c r="F31" s="14" t="inlineStr">
        <is>
          <t>(11) 4004-3535</t>
        </is>
      </c>
      <c r="G31" s="29" t="inlineStr">
        <is>
          <t>pj@santander.com.br</t>
        </is>
      </c>
      <c r="H31" s="29" t="inlineStr">
        <is>
          <t>São Paulo</t>
        </is>
      </c>
      <c r="I31" s="14" t="inlineStr">
        <is>
          <t>SP</t>
        </is>
      </c>
      <c r="J31" s="29" t="inlineStr">
        <is>
          <t>Empréstimos e Financiamentos</t>
        </is>
      </c>
      <c r="K31" s="29" t="inlineStr">
        <is>
          <t>Débito automático</t>
        </is>
      </c>
      <c r="L31" s="13" t="n">
        <v>10</v>
      </c>
      <c r="M31" s="35" t="n">
        <v>0</v>
      </c>
      <c r="N31" s="14" t="inlineStr">
        <is>
          <t>Ativo</t>
        </is>
      </c>
      <c r="O31" s="29" t="inlineStr">
        <is>
          <t>Financiamento de veículo</t>
        </is>
      </c>
      <c r="P31" s="18">
        <f>IF($B31="","",SUMIFS('LANÇAMENTOS'!$Q$6:$Q$2005,'LANÇAMENTOS'!$I$6:$I$2005,$B31,'LANÇAMENTOS'!$E$6:$E$2005,"Saída"))</f>
        <v/>
      </c>
      <c r="Q31" s="18">
        <f>IF($B31="","",SUMIFS('LANÇAMENTOS'!$V$6:$V$2005,'LANÇAMENTOS'!$I$6:$I$2005,$B31,'LANÇAMENTOS'!$E$6:$E$2005,"Saída"))</f>
        <v/>
      </c>
      <c r="R31" s="18">
        <f>IF($B31="","",SUMIFS('LANÇAMENTOS'!$W$6:$W$2005,'LANÇAMENTOS'!$I$6:$I$2005,$B31,'LANÇAMENTOS'!$E$6:$E$2005,"Saída"))</f>
        <v/>
      </c>
      <c r="S31" s="18">
        <f>IF($B31="","",SUMIFS('LANÇAMENTOS'!$W$6:$W$2005,'LANÇAMENTOS'!$I$6:$I$2005,$B31,'LANÇAMENTOS'!$E$6:$E$2005,"Saída",'LANÇAMENTOS'!$C$6:$C$2005,"&lt;"&amp;TODAY()))</f>
        <v/>
      </c>
      <c r="T31" s="30">
        <f>IF($B31="","",IFERROR(IF(SUMPRODUCT(MAX(('LANÇAMENTOS'!$I$6:$I$2005=$B31)*'LANÇAMENTOS'!$B$6:$B$2005))&gt;0,SUMPRODUCT(MAX(('LANÇAMENTOS'!$I$6:$I$2005=$B31)*'LANÇAMENTOS'!$B$6:$B$2005)),""),""))</f>
        <v/>
      </c>
    </row>
    <row r="32">
      <c r="A32" s="14" t="inlineStr">
        <is>
          <t>FOR027</t>
        </is>
      </c>
      <c r="B32" s="29" t="inlineStr">
        <is>
          <t>BNDES / BANCO DO BRASIL</t>
        </is>
      </c>
      <c r="C32" s="29" t="inlineStr">
        <is>
          <t>BNDES</t>
        </is>
      </c>
      <c r="D32" s="14" t="inlineStr">
        <is>
          <t>33.657.248/0001-89</t>
        </is>
      </c>
      <c r="E32" s="29" t="inlineStr">
        <is>
          <t>Agente financeiro</t>
        </is>
      </c>
      <c r="F32" s="14" t="inlineStr">
        <is>
          <t>(11) 3499-1000</t>
        </is>
      </c>
      <c r="G32" s="29" t="inlineStr">
        <is>
          <t>bndes@bb.com.br</t>
        </is>
      </c>
      <c r="H32" s="29" t="inlineStr">
        <is>
          <t>Rio de Janeiro</t>
        </is>
      </c>
      <c r="I32" s="14" t="inlineStr">
        <is>
          <t>RJ</t>
        </is>
      </c>
      <c r="J32" s="29" t="inlineStr">
        <is>
          <t>Empréstimos e Financiamentos</t>
        </is>
      </c>
      <c r="K32" s="29" t="inlineStr">
        <is>
          <t>Débito automático</t>
        </is>
      </c>
      <c r="L32" s="13" t="n">
        <v>10</v>
      </c>
      <c r="M32" s="35" t="n">
        <v>0</v>
      </c>
      <c r="N32" s="14" t="inlineStr">
        <is>
          <t>Ativo</t>
        </is>
      </c>
      <c r="O32" s="29" t="inlineStr">
        <is>
          <t>Financiamento de máquinas e equipamentos</t>
        </is>
      </c>
      <c r="P32" s="18">
        <f>IF($B32="","",SUMIFS('LANÇAMENTOS'!$Q$6:$Q$2005,'LANÇAMENTOS'!$I$6:$I$2005,$B32,'LANÇAMENTOS'!$E$6:$E$2005,"Saída"))</f>
        <v/>
      </c>
      <c r="Q32" s="18">
        <f>IF($B32="","",SUMIFS('LANÇAMENTOS'!$V$6:$V$2005,'LANÇAMENTOS'!$I$6:$I$2005,$B32,'LANÇAMENTOS'!$E$6:$E$2005,"Saída"))</f>
        <v/>
      </c>
      <c r="R32" s="18">
        <f>IF($B32="","",SUMIFS('LANÇAMENTOS'!$W$6:$W$2005,'LANÇAMENTOS'!$I$6:$I$2005,$B32,'LANÇAMENTOS'!$E$6:$E$2005,"Saída"))</f>
        <v/>
      </c>
      <c r="S32" s="18">
        <f>IF($B32="","",SUMIFS('LANÇAMENTOS'!$W$6:$W$2005,'LANÇAMENTOS'!$I$6:$I$2005,$B32,'LANÇAMENTOS'!$E$6:$E$2005,"Saída",'LANÇAMENTOS'!$C$6:$C$2005,"&lt;"&amp;TODAY()))</f>
        <v/>
      </c>
      <c r="T32" s="30">
        <f>IF($B32="","",IFERROR(IF(SUMPRODUCT(MAX(('LANÇAMENTOS'!$I$6:$I$2005=$B32)*'LANÇAMENTOS'!$B$6:$B$2005))&gt;0,SUMPRODUCT(MAX(('LANÇAMENTOS'!$I$6:$I$2005=$B32)*'LANÇAMENTOS'!$B$6:$B$2005)),""),""))</f>
        <v/>
      </c>
    </row>
    <row r="33">
      <c r="A33" s="14" t="inlineStr">
        <is>
          <t>FOR028</t>
        </is>
      </c>
      <c r="B33" s="29" t="inlineStr">
        <is>
          <t>ITAÚ UNIBANCO S.A.</t>
        </is>
      </c>
      <c r="C33" s="29" t="inlineStr">
        <is>
          <t>Itaú Unibanco</t>
        </is>
      </c>
      <c r="D33" s="14" t="inlineStr">
        <is>
          <t>60.701.190/0001-04</t>
        </is>
      </c>
      <c r="E33" s="29" t="inlineStr">
        <is>
          <t>Gerente PJ</t>
        </is>
      </c>
      <c r="F33" s="14" t="inlineStr">
        <is>
          <t>(11) 3003-4828</t>
        </is>
      </c>
      <c r="G33" s="29" t="inlineStr">
        <is>
          <t>pj@itau.com.br</t>
        </is>
      </c>
      <c r="H33" s="29" t="inlineStr">
        <is>
          <t>São Paulo</t>
        </is>
      </c>
      <c r="I33" s="14" t="inlineStr">
        <is>
          <t>SP</t>
        </is>
      </c>
      <c r="J33" s="29" t="inlineStr">
        <is>
          <t>Receitas Financeiras</t>
        </is>
      </c>
      <c r="K33" s="29" t="inlineStr">
        <is>
          <t>Crédito em conta</t>
        </is>
      </c>
      <c r="L33" s="13" t="n">
        <v>0</v>
      </c>
      <c r="M33" s="35" t="n">
        <v>0</v>
      </c>
      <c r="N33" s="14" t="inlineStr">
        <is>
          <t>Ativo</t>
        </is>
      </c>
      <c r="O33" s="29" t="inlineStr">
        <is>
          <t>Aplicações financeiras e rendimentos</t>
        </is>
      </c>
      <c r="P33" s="18">
        <f>IF($B33="","",SUMIFS('LANÇAMENTOS'!$Q$6:$Q$2005,'LANÇAMENTOS'!$I$6:$I$2005,$B33,'LANÇAMENTOS'!$E$6:$E$2005,"Saída"))</f>
        <v/>
      </c>
      <c r="Q33" s="18">
        <f>IF($B33="","",SUMIFS('LANÇAMENTOS'!$V$6:$V$2005,'LANÇAMENTOS'!$I$6:$I$2005,$B33,'LANÇAMENTOS'!$E$6:$E$2005,"Saída"))</f>
        <v/>
      </c>
      <c r="R33" s="18">
        <f>IF($B33="","",SUMIFS('LANÇAMENTOS'!$W$6:$W$2005,'LANÇAMENTOS'!$I$6:$I$2005,$B33,'LANÇAMENTOS'!$E$6:$E$2005,"Saída"))</f>
        <v/>
      </c>
      <c r="S33" s="18">
        <f>IF($B33="","",SUMIFS('LANÇAMENTOS'!$W$6:$W$2005,'LANÇAMENTOS'!$I$6:$I$2005,$B33,'LANÇAMENTOS'!$E$6:$E$2005,"Saída",'LANÇAMENTOS'!$C$6:$C$2005,"&lt;"&amp;TODAY()))</f>
        <v/>
      </c>
      <c r="T33" s="30">
        <f>IF($B33="","",IFERROR(IF(SUMPRODUCT(MAX(('LANÇAMENTOS'!$I$6:$I$2005=$B33)*'LANÇAMENTOS'!$B$6:$B$2005))&gt;0,SUMPRODUCT(MAX(('LANÇAMENTOS'!$I$6:$I$2005=$B33)*'LANÇAMENTOS'!$B$6:$B$2005)),""),""))</f>
        <v/>
      </c>
    </row>
    <row r="34">
      <c r="A34" s="14" t="inlineStr">
        <is>
          <t>FOR029</t>
        </is>
      </c>
      <c r="B34" s="29" t="inlineStr">
        <is>
          <t>COLABORADORES — FOLHA DE PAGAMENTO</t>
        </is>
      </c>
      <c r="C34" s="29" t="inlineStr">
        <is>
          <t>Folha de Pagamento</t>
        </is>
      </c>
      <c r="D34" s="14" t="inlineStr">
        <is>
          <t>—</t>
        </is>
      </c>
      <c r="E34" s="29" t="inlineStr">
        <is>
          <t>Marina Alves</t>
        </is>
      </c>
      <c r="F34" s="14" t="inlineStr">
        <is>
          <t>(11) 3151-8080</t>
        </is>
      </c>
      <c r="G34" s="29" t="inlineStr">
        <is>
          <t>rh@aurora.com.br</t>
        </is>
      </c>
      <c r="H34" s="29" t="inlineStr">
        <is>
          <t>São Paulo</t>
        </is>
      </c>
      <c r="I34" s="14" t="inlineStr">
        <is>
          <t>SP</t>
        </is>
      </c>
      <c r="J34" s="29" t="inlineStr">
        <is>
          <t>Salários</t>
        </is>
      </c>
      <c r="K34" s="29" t="inlineStr">
        <is>
          <t>Transferência no 5º dia útil</t>
        </is>
      </c>
      <c r="L34" s="13" t="n">
        <v>5</v>
      </c>
      <c r="M34" s="35" t="n">
        <v>0</v>
      </c>
      <c r="N34" s="14" t="inlineStr">
        <is>
          <t>Ativo</t>
        </is>
      </c>
      <c r="O34" s="29" t="inlineStr">
        <is>
          <t>Folha de pagamento dos colaboradores CLT</t>
        </is>
      </c>
      <c r="P34" s="18">
        <f>IF($B34="","",SUMIFS('LANÇAMENTOS'!$Q$6:$Q$2005,'LANÇAMENTOS'!$I$6:$I$2005,$B34,'LANÇAMENTOS'!$E$6:$E$2005,"Saída"))</f>
        <v/>
      </c>
      <c r="Q34" s="18">
        <f>IF($B34="","",SUMIFS('LANÇAMENTOS'!$V$6:$V$2005,'LANÇAMENTOS'!$I$6:$I$2005,$B34,'LANÇAMENTOS'!$E$6:$E$2005,"Saída"))</f>
        <v/>
      </c>
      <c r="R34" s="18">
        <f>IF($B34="","",SUMIFS('LANÇAMENTOS'!$W$6:$W$2005,'LANÇAMENTOS'!$I$6:$I$2005,$B34,'LANÇAMENTOS'!$E$6:$E$2005,"Saída"))</f>
        <v/>
      </c>
      <c r="S34" s="18">
        <f>IF($B34="","",SUMIFS('LANÇAMENTOS'!$W$6:$W$2005,'LANÇAMENTOS'!$I$6:$I$2005,$B34,'LANÇAMENTOS'!$E$6:$E$2005,"Saída",'LANÇAMENTOS'!$C$6:$C$2005,"&lt;"&amp;TODAY()))</f>
        <v/>
      </c>
      <c r="T34" s="30">
        <f>IF($B34="","",IFERROR(IF(SUMPRODUCT(MAX(('LANÇAMENTOS'!$I$6:$I$2005=$B34)*'LANÇAMENTOS'!$B$6:$B$2005))&gt;0,SUMPRODUCT(MAX(('LANÇAMENTOS'!$I$6:$I$2005=$B34)*'LANÇAMENTOS'!$B$6:$B$2005)),""),""))</f>
        <v/>
      </c>
    </row>
    <row r="35">
      <c r="A35" s="14" t="inlineStr">
        <is>
          <t>FOR030</t>
        </is>
      </c>
      <c r="B35" s="29" t="inlineStr">
        <is>
          <t>SÓCIOS — PRÓ-LABORE E DISTRIBUIÇÕES</t>
        </is>
      </c>
      <c r="C35" s="29" t="inlineStr">
        <is>
          <t>Sócios administradores</t>
        </is>
      </c>
      <c r="D35" s="14" t="inlineStr">
        <is>
          <t>—</t>
        </is>
      </c>
      <c r="E35" s="29" t="inlineStr">
        <is>
          <t>Jefferson Andrade</t>
        </is>
      </c>
      <c r="F35" s="14" t="inlineStr">
        <is>
          <t>(11) 99999-0000</t>
        </is>
      </c>
      <c r="G35" s="29" t="inlineStr">
        <is>
          <t>socios@aurora.com.br</t>
        </is>
      </c>
      <c r="H35" s="29" t="inlineStr">
        <is>
          <t>São Paulo</t>
        </is>
      </c>
      <c r="I35" s="14" t="inlineStr">
        <is>
          <t>SP</t>
        </is>
      </c>
      <c r="J35" s="29" t="inlineStr">
        <is>
          <t>Pró-labore</t>
        </is>
      </c>
      <c r="K35" s="29" t="inlineStr">
        <is>
          <t>Transferência mensal</t>
        </is>
      </c>
      <c r="L35" s="13" t="n">
        <v>5</v>
      </c>
      <c r="M35" s="35" t="n">
        <v>0</v>
      </c>
      <c r="N35" s="14" t="inlineStr">
        <is>
          <t>Ativo</t>
        </is>
      </c>
      <c r="O35" s="29" t="inlineStr">
        <is>
          <t>Pró-labore e retiradas dos sócios</t>
        </is>
      </c>
      <c r="P35" s="18">
        <f>IF($B35="","",SUMIFS('LANÇAMENTOS'!$Q$6:$Q$2005,'LANÇAMENTOS'!$I$6:$I$2005,$B35,'LANÇAMENTOS'!$E$6:$E$2005,"Saída"))</f>
        <v/>
      </c>
      <c r="Q35" s="18">
        <f>IF($B35="","",SUMIFS('LANÇAMENTOS'!$V$6:$V$2005,'LANÇAMENTOS'!$I$6:$I$2005,$B35,'LANÇAMENTOS'!$E$6:$E$2005,"Saída"))</f>
        <v/>
      </c>
      <c r="R35" s="18">
        <f>IF($B35="","",SUMIFS('LANÇAMENTOS'!$W$6:$W$2005,'LANÇAMENTOS'!$I$6:$I$2005,$B35,'LANÇAMENTOS'!$E$6:$E$2005,"Saída"))</f>
        <v/>
      </c>
      <c r="S35" s="18">
        <f>IF($B35="","",SUMIFS('LANÇAMENTOS'!$W$6:$W$2005,'LANÇAMENTOS'!$I$6:$I$2005,$B35,'LANÇAMENTOS'!$E$6:$E$2005,"Saída",'LANÇAMENTOS'!$C$6:$C$2005,"&lt;"&amp;TODAY()))</f>
        <v/>
      </c>
      <c r="T35" s="30">
        <f>IF($B35="","",IFERROR(IF(SUMPRODUCT(MAX(('LANÇAMENTOS'!$I$6:$I$2005=$B35)*'LANÇAMENTOS'!$B$6:$B$2005))&gt;0,SUMPRODUCT(MAX(('LANÇAMENTOS'!$I$6:$I$2005=$B35)*'LANÇAMENTOS'!$B$6:$B$2005)),""),""))</f>
        <v/>
      </c>
    </row>
    <row r="36">
      <c r="A36" s="14" t="n"/>
      <c r="B36" s="29" t="n"/>
      <c r="C36" s="29" t="n"/>
      <c r="D36" s="14" t="n"/>
      <c r="E36" s="29" t="n"/>
      <c r="F36" s="14" t="n"/>
      <c r="G36" s="29" t="n"/>
      <c r="H36" s="29" t="n"/>
      <c r="I36" s="14" t="n"/>
      <c r="J36" s="29" t="n"/>
      <c r="K36" s="29" t="n"/>
      <c r="L36" s="13" t="n"/>
      <c r="M36" s="35" t="n"/>
      <c r="N36" s="14" t="n"/>
      <c r="O36" s="29" t="n"/>
      <c r="P36" s="18">
        <f>IF($B36="","",SUMIFS('LANÇAMENTOS'!$Q$6:$Q$2005,'LANÇAMENTOS'!$I$6:$I$2005,$B36,'LANÇAMENTOS'!$E$6:$E$2005,"Saída"))</f>
        <v/>
      </c>
      <c r="Q36" s="18">
        <f>IF($B36="","",SUMIFS('LANÇAMENTOS'!$V$6:$V$2005,'LANÇAMENTOS'!$I$6:$I$2005,$B36,'LANÇAMENTOS'!$E$6:$E$2005,"Saída"))</f>
        <v/>
      </c>
      <c r="R36" s="18">
        <f>IF($B36="","",SUMIFS('LANÇAMENTOS'!$W$6:$W$2005,'LANÇAMENTOS'!$I$6:$I$2005,$B36,'LANÇAMENTOS'!$E$6:$E$2005,"Saída"))</f>
        <v/>
      </c>
      <c r="S36" s="18">
        <f>IF($B36="","",SUMIFS('LANÇAMENTOS'!$W$6:$W$2005,'LANÇAMENTOS'!$I$6:$I$2005,$B36,'LANÇAMENTOS'!$E$6:$E$2005,"Saída",'LANÇAMENTOS'!$C$6:$C$2005,"&lt;"&amp;TODAY()))</f>
        <v/>
      </c>
      <c r="T36" s="30">
        <f>IF($B36="","",IFERROR(IF(SUMPRODUCT(MAX(('LANÇAMENTOS'!$I$6:$I$2005=$B36)*'LANÇAMENTOS'!$B$6:$B$2005))&gt;0,SUMPRODUCT(MAX(('LANÇAMENTOS'!$I$6:$I$2005=$B36)*'LANÇAMENTOS'!$B$6:$B$2005)),""),""))</f>
        <v/>
      </c>
    </row>
    <row r="37">
      <c r="A37" s="14" t="n"/>
      <c r="B37" s="29" t="n"/>
      <c r="C37" s="29" t="n"/>
      <c r="D37" s="14" t="n"/>
      <c r="E37" s="29" t="n"/>
      <c r="F37" s="14" t="n"/>
      <c r="G37" s="29" t="n"/>
      <c r="H37" s="29" t="n"/>
      <c r="I37" s="14" t="n"/>
      <c r="J37" s="29" t="n"/>
      <c r="K37" s="29" t="n"/>
      <c r="L37" s="13" t="n"/>
      <c r="M37" s="35" t="n"/>
      <c r="N37" s="14" t="n"/>
      <c r="O37" s="29" t="n"/>
      <c r="P37" s="18">
        <f>IF($B37="","",SUMIFS('LANÇAMENTOS'!$Q$6:$Q$2005,'LANÇAMENTOS'!$I$6:$I$2005,$B37,'LANÇAMENTOS'!$E$6:$E$2005,"Saída"))</f>
        <v/>
      </c>
      <c r="Q37" s="18">
        <f>IF($B37="","",SUMIFS('LANÇAMENTOS'!$V$6:$V$2005,'LANÇAMENTOS'!$I$6:$I$2005,$B37,'LANÇAMENTOS'!$E$6:$E$2005,"Saída"))</f>
        <v/>
      </c>
      <c r="R37" s="18">
        <f>IF($B37="","",SUMIFS('LANÇAMENTOS'!$W$6:$W$2005,'LANÇAMENTOS'!$I$6:$I$2005,$B37,'LANÇAMENTOS'!$E$6:$E$2005,"Saída"))</f>
        <v/>
      </c>
      <c r="S37" s="18">
        <f>IF($B37="","",SUMIFS('LANÇAMENTOS'!$W$6:$W$2005,'LANÇAMENTOS'!$I$6:$I$2005,$B37,'LANÇAMENTOS'!$E$6:$E$2005,"Saída",'LANÇAMENTOS'!$C$6:$C$2005,"&lt;"&amp;TODAY()))</f>
        <v/>
      </c>
      <c r="T37" s="30">
        <f>IF($B37="","",IFERROR(IF(SUMPRODUCT(MAX(('LANÇAMENTOS'!$I$6:$I$2005=$B37)*'LANÇAMENTOS'!$B$6:$B$2005))&gt;0,SUMPRODUCT(MAX(('LANÇAMENTOS'!$I$6:$I$2005=$B37)*'LANÇAMENTOS'!$B$6:$B$2005)),""),""))</f>
        <v/>
      </c>
    </row>
    <row r="38">
      <c r="A38" s="14" t="n"/>
      <c r="B38" s="29" t="n"/>
      <c r="C38" s="29" t="n"/>
      <c r="D38" s="14" t="n"/>
      <c r="E38" s="29" t="n"/>
      <c r="F38" s="14" t="n"/>
      <c r="G38" s="29" t="n"/>
      <c r="H38" s="29" t="n"/>
      <c r="I38" s="14" t="n"/>
      <c r="J38" s="29" t="n"/>
      <c r="K38" s="29" t="n"/>
      <c r="L38" s="13" t="n"/>
      <c r="M38" s="35" t="n"/>
      <c r="N38" s="14" t="n"/>
      <c r="O38" s="29" t="n"/>
      <c r="P38" s="18">
        <f>IF($B38="","",SUMIFS('LANÇAMENTOS'!$Q$6:$Q$2005,'LANÇAMENTOS'!$I$6:$I$2005,$B38,'LANÇAMENTOS'!$E$6:$E$2005,"Saída"))</f>
        <v/>
      </c>
      <c r="Q38" s="18">
        <f>IF($B38="","",SUMIFS('LANÇAMENTOS'!$V$6:$V$2005,'LANÇAMENTOS'!$I$6:$I$2005,$B38,'LANÇAMENTOS'!$E$6:$E$2005,"Saída"))</f>
        <v/>
      </c>
      <c r="R38" s="18">
        <f>IF($B38="","",SUMIFS('LANÇAMENTOS'!$W$6:$W$2005,'LANÇAMENTOS'!$I$6:$I$2005,$B38,'LANÇAMENTOS'!$E$6:$E$2005,"Saída"))</f>
        <v/>
      </c>
      <c r="S38" s="18">
        <f>IF($B38="","",SUMIFS('LANÇAMENTOS'!$W$6:$W$2005,'LANÇAMENTOS'!$I$6:$I$2005,$B38,'LANÇAMENTOS'!$E$6:$E$2005,"Saída",'LANÇAMENTOS'!$C$6:$C$2005,"&lt;"&amp;TODAY()))</f>
        <v/>
      </c>
      <c r="T38" s="30">
        <f>IF($B38="","",IFERROR(IF(SUMPRODUCT(MAX(('LANÇAMENTOS'!$I$6:$I$2005=$B38)*'LANÇAMENTOS'!$B$6:$B$2005))&gt;0,SUMPRODUCT(MAX(('LANÇAMENTOS'!$I$6:$I$2005=$B38)*'LANÇAMENTOS'!$B$6:$B$2005)),""),""))</f>
        <v/>
      </c>
    </row>
    <row r="39">
      <c r="A39" s="14" t="n"/>
      <c r="B39" s="29" t="n"/>
      <c r="C39" s="29" t="n"/>
      <c r="D39" s="14" t="n"/>
      <c r="E39" s="29" t="n"/>
      <c r="F39" s="14" t="n"/>
      <c r="G39" s="29" t="n"/>
      <c r="H39" s="29" t="n"/>
      <c r="I39" s="14" t="n"/>
      <c r="J39" s="29" t="n"/>
      <c r="K39" s="29" t="n"/>
      <c r="L39" s="13" t="n"/>
      <c r="M39" s="35" t="n"/>
      <c r="N39" s="14" t="n"/>
      <c r="O39" s="29" t="n"/>
      <c r="P39" s="18">
        <f>IF($B39="","",SUMIFS('LANÇAMENTOS'!$Q$6:$Q$2005,'LANÇAMENTOS'!$I$6:$I$2005,$B39,'LANÇAMENTOS'!$E$6:$E$2005,"Saída"))</f>
        <v/>
      </c>
      <c r="Q39" s="18">
        <f>IF($B39="","",SUMIFS('LANÇAMENTOS'!$V$6:$V$2005,'LANÇAMENTOS'!$I$6:$I$2005,$B39,'LANÇAMENTOS'!$E$6:$E$2005,"Saída"))</f>
        <v/>
      </c>
      <c r="R39" s="18">
        <f>IF($B39="","",SUMIFS('LANÇAMENTOS'!$W$6:$W$2005,'LANÇAMENTOS'!$I$6:$I$2005,$B39,'LANÇAMENTOS'!$E$6:$E$2005,"Saída"))</f>
        <v/>
      </c>
      <c r="S39" s="18">
        <f>IF($B39="","",SUMIFS('LANÇAMENTOS'!$W$6:$W$2005,'LANÇAMENTOS'!$I$6:$I$2005,$B39,'LANÇAMENTOS'!$E$6:$E$2005,"Saída",'LANÇAMENTOS'!$C$6:$C$2005,"&lt;"&amp;TODAY()))</f>
        <v/>
      </c>
      <c r="T39" s="30">
        <f>IF($B39="","",IFERROR(IF(SUMPRODUCT(MAX(('LANÇAMENTOS'!$I$6:$I$2005=$B39)*'LANÇAMENTOS'!$B$6:$B$2005))&gt;0,SUMPRODUCT(MAX(('LANÇAMENTOS'!$I$6:$I$2005=$B39)*'LANÇAMENTOS'!$B$6:$B$2005)),""),""))</f>
        <v/>
      </c>
    </row>
    <row r="40">
      <c r="A40" s="14" t="n"/>
      <c r="B40" s="29" t="n"/>
      <c r="C40" s="29" t="n"/>
      <c r="D40" s="14" t="n"/>
      <c r="E40" s="29" t="n"/>
      <c r="F40" s="14" t="n"/>
      <c r="G40" s="29" t="n"/>
      <c r="H40" s="29" t="n"/>
      <c r="I40" s="14" t="n"/>
      <c r="J40" s="29" t="n"/>
      <c r="K40" s="29" t="n"/>
      <c r="L40" s="13" t="n"/>
      <c r="M40" s="35" t="n"/>
      <c r="N40" s="14" t="n"/>
      <c r="O40" s="29" t="n"/>
      <c r="P40" s="18">
        <f>IF($B40="","",SUMIFS('LANÇAMENTOS'!$Q$6:$Q$2005,'LANÇAMENTOS'!$I$6:$I$2005,$B40,'LANÇAMENTOS'!$E$6:$E$2005,"Saída"))</f>
        <v/>
      </c>
      <c r="Q40" s="18">
        <f>IF($B40="","",SUMIFS('LANÇAMENTOS'!$V$6:$V$2005,'LANÇAMENTOS'!$I$6:$I$2005,$B40,'LANÇAMENTOS'!$E$6:$E$2005,"Saída"))</f>
        <v/>
      </c>
      <c r="R40" s="18">
        <f>IF($B40="","",SUMIFS('LANÇAMENTOS'!$W$6:$W$2005,'LANÇAMENTOS'!$I$6:$I$2005,$B40,'LANÇAMENTOS'!$E$6:$E$2005,"Saída"))</f>
        <v/>
      </c>
      <c r="S40" s="18">
        <f>IF($B40="","",SUMIFS('LANÇAMENTOS'!$W$6:$W$2005,'LANÇAMENTOS'!$I$6:$I$2005,$B40,'LANÇAMENTOS'!$E$6:$E$2005,"Saída",'LANÇAMENTOS'!$C$6:$C$2005,"&lt;"&amp;TODAY()))</f>
        <v/>
      </c>
      <c r="T40" s="30">
        <f>IF($B40="","",IFERROR(IF(SUMPRODUCT(MAX(('LANÇAMENTOS'!$I$6:$I$2005=$B40)*'LANÇAMENTOS'!$B$6:$B$2005))&gt;0,SUMPRODUCT(MAX(('LANÇAMENTOS'!$I$6:$I$2005=$B40)*'LANÇAMENTOS'!$B$6:$B$2005)),""),""))</f>
        <v/>
      </c>
    </row>
    <row r="41">
      <c r="A41" s="14" t="n"/>
      <c r="B41" s="29" t="n"/>
      <c r="C41" s="29" t="n"/>
      <c r="D41" s="14" t="n"/>
      <c r="E41" s="29" t="n"/>
      <c r="F41" s="14" t="n"/>
      <c r="G41" s="29" t="n"/>
      <c r="H41" s="29" t="n"/>
      <c r="I41" s="14" t="n"/>
      <c r="J41" s="29" t="n"/>
      <c r="K41" s="29" t="n"/>
      <c r="L41" s="13" t="n"/>
      <c r="M41" s="35" t="n"/>
      <c r="N41" s="14" t="n"/>
      <c r="O41" s="29" t="n"/>
      <c r="P41" s="18">
        <f>IF($B41="","",SUMIFS('LANÇAMENTOS'!$Q$6:$Q$2005,'LANÇAMENTOS'!$I$6:$I$2005,$B41,'LANÇAMENTOS'!$E$6:$E$2005,"Saída"))</f>
        <v/>
      </c>
      <c r="Q41" s="18">
        <f>IF($B41="","",SUMIFS('LANÇAMENTOS'!$V$6:$V$2005,'LANÇAMENTOS'!$I$6:$I$2005,$B41,'LANÇAMENTOS'!$E$6:$E$2005,"Saída"))</f>
        <v/>
      </c>
      <c r="R41" s="18">
        <f>IF($B41="","",SUMIFS('LANÇAMENTOS'!$W$6:$W$2005,'LANÇAMENTOS'!$I$6:$I$2005,$B41,'LANÇAMENTOS'!$E$6:$E$2005,"Saída"))</f>
        <v/>
      </c>
      <c r="S41" s="18">
        <f>IF($B41="","",SUMIFS('LANÇAMENTOS'!$W$6:$W$2005,'LANÇAMENTOS'!$I$6:$I$2005,$B41,'LANÇAMENTOS'!$E$6:$E$2005,"Saída",'LANÇAMENTOS'!$C$6:$C$2005,"&lt;"&amp;TODAY()))</f>
        <v/>
      </c>
      <c r="T41" s="30">
        <f>IF($B41="","",IFERROR(IF(SUMPRODUCT(MAX(('LANÇAMENTOS'!$I$6:$I$2005=$B41)*'LANÇAMENTOS'!$B$6:$B$2005))&gt;0,SUMPRODUCT(MAX(('LANÇAMENTOS'!$I$6:$I$2005=$B41)*'LANÇAMENTOS'!$B$6:$B$2005)),""),""))</f>
        <v/>
      </c>
    </row>
    <row r="42">
      <c r="A42" s="14" t="n"/>
      <c r="B42" s="29" t="n"/>
      <c r="C42" s="29" t="n"/>
      <c r="D42" s="14" t="n"/>
      <c r="E42" s="29" t="n"/>
      <c r="F42" s="14" t="n"/>
      <c r="G42" s="29" t="n"/>
      <c r="H42" s="29" t="n"/>
      <c r="I42" s="14" t="n"/>
      <c r="J42" s="29" t="n"/>
      <c r="K42" s="29" t="n"/>
      <c r="L42" s="13" t="n"/>
      <c r="M42" s="35" t="n"/>
      <c r="N42" s="14" t="n"/>
      <c r="O42" s="29" t="n"/>
      <c r="P42" s="18">
        <f>IF($B42="","",SUMIFS('LANÇAMENTOS'!$Q$6:$Q$2005,'LANÇAMENTOS'!$I$6:$I$2005,$B42,'LANÇAMENTOS'!$E$6:$E$2005,"Saída"))</f>
        <v/>
      </c>
      <c r="Q42" s="18">
        <f>IF($B42="","",SUMIFS('LANÇAMENTOS'!$V$6:$V$2005,'LANÇAMENTOS'!$I$6:$I$2005,$B42,'LANÇAMENTOS'!$E$6:$E$2005,"Saída"))</f>
        <v/>
      </c>
      <c r="R42" s="18">
        <f>IF($B42="","",SUMIFS('LANÇAMENTOS'!$W$6:$W$2005,'LANÇAMENTOS'!$I$6:$I$2005,$B42,'LANÇAMENTOS'!$E$6:$E$2005,"Saída"))</f>
        <v/>
      </c>
      <c r="S42" s="18">
        <f>IF($B42="","",SUMIFS('LANÇAMENTOS'!$W$6:$W$2005,'LANÇAMENTOS'!$I$6:$I$2005,$B42,'LANÇAMENTOS'!$E$6:$E$2005,"Saída",'LANÇAMENTOS'!$C$6:$C$2005,"&lt;"&amp;TODAY()))</f>
        <v/>
      </c>
      <c r="T42" s="30">
        <f>IF($B42="","",IFERROR(IF(SUMPRODUCT(MAX(('LANÇAMENTOS'!$I$6:$I$2005=$B42)*'LANÇAMENTOS'!$B$6:$B$2005))&gt;0,SUMPRODUCT(MAX(('LANÇAMENTOS'!$I$6:$I$2005=$B42)*'LANÇAMENTOS'!$B$6:$B$2005)),""),""))</f>
        <v/>
      </c>
    </row>
    <row r="43">
      <c r="A43" s="14" t="n"/>
      <c r="B43" s="29" t="n"/>
      <c r="C43" s="29" t="n"/>
      <c r="D43" s="14" t="n"/>
      <c r="E43" s="29" t="n"/>
      <c r="F43" s="14" t="n"/>
      <c r="G43" s="29" t="n"/>
      <c r="H43" s="29" t="n"/>
      <c r="I43" s="14" t="n"/>
      <c r="J43" s="29" t="n"/>
      <c r="K43" s="29" t="n"/>
      <c r="L43" s="13" t="n"/>
      <c r="M43" s="35" t="n"/>
      <c r="N43" s="14" t="n"/>
      <c r="O43" s="29" t="n"/>
      <c r="P43" s="18">
        <f>IF($B43="","",SUMIFS('LANÇAMENTOS'!$Q$6:$Q$2005,'LANÇAMENTOS'!$I$6:$I$2005,$B43,'LANÇAMENTOS'!$E$6:$E$2005,"Saída"))</f>
        <v/>
      </c>
      <c r="Q43" s="18">
        <f>IF($B43="","",SUMIFS('LANÇAMENTOS'!$V$6:$V$2005,'LANÇAMENTOS'!$I$6:$I$2005,$B43,'LANÇAMENTOS'!$E$6:$E$2005,"Saída"))</f>
        <v/>
      </c>
      <c r="R43" s="18">
        <f>IF($B43="","",SUMIFS('LANÇAMENTOS'!$W$6:$W$2005,'LANÇAMENTOS'!$I$6:$I$2005,$B43,'LANÇAMENTOS'!$E$6:$E$2005,"Saída"))</f>
        <v/>
      </c>
      <c r="S43" s="18">
        <f>IF($B43="","",SUMIFS('LANÇAMENTOS'!$W$6:$W$2005,'LANÇAMENTOS'!$I$6:$I$2005,$B43,'LANÇAMENTOS'!$E$6:$E$2005,"Saída",'LANÇAMENTOS'!$C$6:$C$2005,"&lt;"&amp;TODAY()))</f>
        <v/>
      </c>
      <c r="T43" s="30">
        <f>IF($B43="","",IFERROR(IF(SUMPRODUCT(MAX(('LANÇAMENTOS'!$I$6:$I$2005=$B43)*'LANÇAMENTOS'!$B$6:$B$2005))&gt;0,SUMPRODUCT(MAX(('LANÇAMENTOS'!$I$6:$I$2005=$B43)*'LANÇAMENTOS'!$B$6:$B$2005)),""),""))</f>
        <v/>
      </c>
    </row>
    <row r="44">
      <c r="A44" s="14" t="n"/>
      <c r="B44" s="29" t="n"/>
      <c r="C44" s="29" t="n"/>
      <c r="D44" s="14" t="n"/>
      <c r="E44" s="29" t="n"/>
      <c r="F44" s="14" t="n"/>
      <c r="G44" s="29" t="n"/>
      <c r="H44" s="29" t="n"/>
      <c r="I44" s="14" t="n"/>
      <c r="J44" s="29" t="n"/>
      <c r="K44" s="29" t="n"/>
      <c r="L44" s="13" t="n"/>
      <c r="M44" s="35" t="n"/>
      <c r="N44" s="14" t="n"/>
      <c r="O44" s="29" t="n"/>
      <c r="P44" s="18">
        <f>IF($B44="","",SUMIFS('LANÇAMENTOS'!$Q$6:$Q$2005,'LANÇAMENTOS'!$I$6:$I$2005,$B44,'LANÇAMENTOS'!$E$6:$E$2005,"Saída"))</f>
        <v/>
      </c>
      <c r="Q44" s="18">
        <f>IF($B44="","",SUMIFS('LANÇAMENTOS'!$V$6:$V$2005,'LANÇAMENTOS'!$I$6:$I$2005,$B44,'LANÇAMENTOS'!$E$6:$E$2005,"Saída"))</f>
        <v/>
      </c>
      <c r="R44" s="18">
        <f>IF($B44="","",SUMIFS('LANÇAMENTOS'!$W$6:$W$2005,'LANÇAMENTOS'!$I$6:$I$2005,$B44,'LANÇAMENTOS'!$E$6:$E$2005,"Saída"))</f>
        <v/>
      </c>
      <c r="S44" s="18">
        <f>IF($B44="","",SUMIFS('LANÇAMENTOS'!$W$6:$W$2005,'LANÇAMENTOS'!$I$6:$I$2005,$B44,'LANÇAMENTOS'!$E$6:$E$2005,"Saída",'LANÇAMENTOS'!$C$6:$C$2005,"&lt;"&amp;TODAY()))</f>
        <v/>
      </c>
      <c r="T44" s="30">
        <f>IF($B44="","",IFERROR(IF(SUMPRODUCT(MAX(('LANÇAMENTOS'!$I$6:$I$2005=$B44)*'LANÇAMENTOS'!$B$6:$B$2005))&gt;0,SUMPRODUCT(MAX(('LANÇAMENTOS'!$I$6:$I$2005=$B44)*'LANÇAMENTOS'!$B$6:$B$2005)),""),""))</f>
        <v/>
      </c>
    </row>
    <row r="45">
      <c r="A45" s="14" t="n"/>
      <c r="B45" s="29" t="n"/>
      <c r="C45" s="29" t="n"/>
      <c r="D45" s="14" t="n"/>
      <c r="E45" s="29" t="n"/>
      <c r="F45" s="14" t="n"/>
      <c r="G45" s="29" t="n"/>
      <c r="H45" s="29" t="n"/>
      <c r="I45" s="14" t="n"/>
      <c r="J45" s="29" t="n"/>
      <c r="K45" s="29" t="n"/>
      <c r="L45" s="13" t="n"/>
      <c r="M45" s="35" t="n"/>
      <c r="N45" s="14" t="n"/>
      <c r="O45" s="29" t="n"/>
      <c r="P45" s="18">
        <f>IF($B45="","",SUMIFS('LANÇAMENTOS'!$Q$6:$Q$2005,'LANÇAMENTOS'!$I$6:$I$2005,$B45,'LANÇAMENTOS'!$E$6:$E$2005,"Saída"))</f>
        <v/>
      </c>
      <c r="Q45" s="18">
        <f>IF($B45="","",SUMIFS('LANÇAMENTOS'!$V$6:$V$2005,'LANÇAMENTOS'!$I$6:$I$2005,$B45,'LANÇAMENTOS'!$E$6:$E$2005,"Saída"))</f>
        <v/>
      </c>
      <c r="R45" s="18">
        <f>IF($B45="","",SUMIFS('LANÇAMENTOS'!$W$6:$W$2005,'LANÇAMENTOS'!$I$6:$I$2005,$B45,'LANÇAMENTOS'!$E$6:$E$2005,"Saída"))</f>
        <v/>
      </c>
      <c r="S45" s="18">
        <f>IF($B45="","",SUMIFS('LANÇAMENTOS'!$W$6:$W$2005,'LANÇAMENTOS'!$I$6:$I$2005,$B45,'LANÇAMENTOS'!$E$6:$E$2005,"Saída",'LANÇAMENTOS'!$C$6:$C$2005,"&lt;"&amp;TODAY()))</f>
        <v/>
      </c>
      <c r="T45" s="30">
        <f>IF($B45="","",IFERROR(IF(SUMPRODUCT(MAX(('LANÇAMENTOS'!$I$6:$I$2005=$B45)*'LANÇAMENTOS'!$B$6:$B$2005))&gt;0,SUMPRODUCT(MAX(('LANÇAMENTOS'!$I$6:$I$2005=$B45)*'LANÇAMENTOS'!$B$6:$B$2005)),""),""))</f>
        <v/>
      </c>
    </row>
    <row r="46">
      <c r="A46" s="14" t="n"/>
      <c r="B46" s="29" t="n"/>
      <c r="C46" s="29" t="n"/>
      <c r="D46" s="14" t="n"/>
      <c r="E46" s="29" t="n"/>
      <c r="F46" s="14" t="n"/>
      <c r="G46" s="29" t="n"/>
      <c r="H46" s="29" t="n"/>
      <c r="I46" s="14" t="n"/>
      <c r="J46" s="29" t="n"/>
      <c r="K46" s="29" t="n"/>
      <c r="L46" s="13" t="n"/>
      <c r="M46" s="35" t="n"/>
      <c r="N46" s="14" t="n"/>
      <c r="O46" s="29" t="n"/>
      <c r="P46" s="18">
        <f>IF($B46="","",SUMIFS('LANÇAMENTOS'!$Q$6:$Q$2005,'LANÇAMENTOS'!$I$6:$I$2005,$B46,'LANÇAMENTOS'!$E$6:$E$2005,"Saída"))</f>
        <v/>
      </c>
      <c r="Q46" s="18">
        <f>IF($B46="","",SUMIFS('LANÇAMENTOS'!$V$6:$V$2005,'LANÇAMENTOS'!$I$6:$I$2005,$B46,'LANÇAMENTOS'!$E$6:$E$2005,"Saída"))</f>
        <v/>
      </c>
      <c r="R46" s="18">
        <f>IF($B46="","",SUMIFS('LANÇAMENTOS'!$W$6:$W$2005,'LANÇAMENTOS'!$I$6:$I$2005,$B46,'LANÇAMENTOS'!$E$6:$E$2005,"Saída"))</f>
        <v/>
      </c>
      <c r="S46" s="18">
        <f>IF($B46="","",SUMIFS('LANÇAMENTOS'!$W$6:$W$2005,'LANÇAMENTOS'!$I$6:$I$2005,$B46,'LANÇAMENTOS'!$E$6:$E$2005,"Saída",'LANÇAMENTOS'!$C$6:$C$2005,"&lt;"&amp;TODAY()))</f>
        <v/>
      </c>
      <c r="T46" s="30">
        <f>IF($B46="","",IFERROR(IF(SUMPRODUCT(MAX(('LANÇAMENTOS'!$I$6:$I$2005=$B46)*'LANÇAMENTOS'!$B$6:$B$2005))&gt;0,SUMPRODUCT(MAX(('LANÇAMENTOS'!$I$6:$I$2005=$B46)*'LANÇAMENTOS'!$B$6:$B$2005)),""),""))</f>
        <v/>
      </c>
    </row>
    <row r="47">
      <c r="A47" s="14" t="n"/>
      <c r="B47" s="29" t="n"/>
      <c r="C47" s="29" t="n"/>
      <c r="D47" s="14" t="n"/>
      <c r="E47" s="29" t="n"/>
      <c r="F47" s="14" t="n"/>
      <c r="G47" s="29" t="n"/>
      <c r="H47" s="29" t="n"/>
      <c r="I47" s="14" t="n"/>
      <c r="J47" s="29" t="n"/>
      <c r="K47" s="29" t="n"/>
      <c r="L47" s="13" t="n"/>
      <c r="M47" s="35" t="n"/>
      <c r="N47" s="14" t="n"/>
      <c r="O47" s="29" t="n"/>
      <c r="P47" s="18">
        <f>IF($B47="","",SUMIFS('LANÇAMENTOS'!$Q$6:$Q$2005,'LANÇAMENTOS'!$I$6:$I$2005,$B47,'LANÇAMENTOS'!$E$6:$E$2005,"Saída"))</f>
        <v/>
      </c>
      <c r="Q47" s="18">
        <f>IF($B47="","",SUMIFS('LANÇAMENTOS'!$V$6:$V$2005,'LANÇAMENTOS'!$I$6:$I$2005,$B47,'LANÇAMENTOS'!$E$6:$E$2005,"Saída"))</f>
        <v/>
      </c>
      <c r="R47" s="18">
        <f>IF($B47="","",SUMIFS('LANÇAMENTOS'!$W$6:$W$2005,'LANÇAMENTOS'!$I$6:$I$2005,$B47,'LANÇAMENTOS'!$E$6:$E$2005,"Saída"))</f>
        <v/>
      </c>
      <c r="S47" s="18">
        <f>IF($B47="","",SUMIFS('LANÇAMENTOS'!$W$6:$W$2005,'LANÇAMENTOS'!$I$6:$I$2005,$B47,'LANÇAMENTOS'!$E$6:$E$2005,"Saída",'LANÇAMENTOS'!$C$6:$C$2005,"&lt;"&amp;TODAY()))</f>
        <v/>
      </c>
      <c r="T47" s="30">
        <f>IF($B47="","",IFERROR(IF(SUMPRODUCT(MAX(('LANÇAMENTOS'!$I$6:$I$2005=$B47)*'LANÇAMENTOS'!$B$6:$B$2005))&gt;0,SUMPRODUCT(MAX(('LANÇAMENTOS'!$I$6:$I$2005=$B47)*'LANÇAMENTOS'!$B$6:$B$2005)),""),""))</f>
        <v/>
      </c>
    </row>
    <row r="48">
      <c r="A48" s="14" t="n"/>
      <c r="B48" s="29" t="n"/>
      <c r="C48" s="29" t="n"/>
      <c r="D48" s="14" t="n"/>
      <c r="E48" s="29" t="n"/>
      <c r="F48" s="14" t="n"/>
      <c r="G48" s="29" t="n"/>
      <c r="H48" s="29" t="n"/>
      <c r="I48" s="14" t="n"/>
      <c r="J48" s="29" t="n"/>
      <c r="K48" s="29" t="n"/>
      <c r="L48" s="13" t="n"/>
      <c r="M48" s="35" t="n"/>
      <c r="N48" s="14" t="n"/>
      <c r="O48" s="29" t="n"/>
      <c r="P48" s="18">
        <f>IF($B48="","",SUMIFS('LANÇAMENTOS'!$Q$6:$Q$2005,'LANÇAMENTOS'!$I$6:$I$2005,$B48,'LANÇAMENTOS'!$E$6:$E$2005,"Saída"))</f>
        <v/>
      </c>
      <c r="Q48" s="18">
        <f>IF($B48="","",SUMIFS('LANÇAMENTOS'!$V$6:$V$2005,'LANÇAMENTOS'!$I$6:$I$2005,$B48,'LANÇAMENTOS'!$E$6:$E$2005,"Saída"))</f>
        <v/>
      </c>
      <c r="R48" s="18">
        <f>IF($B48="","",SUMIFS('LANÇAMENTOS'!$W$6:$W$2005,'LANÇAMENTOS'!$I$6:$I$2005,$B48,'LANÇAMENTOS'!$E$6:$E$2005,"Saída"))</f>
        <v/>
      </c>
      <c r="S48" s="18">
        <f>IF($B48="","",SUMIFS('LANÇAMENTOS'!$W$6:$W$2005,'LANÇAMENTOS'!$I$6:$I$2005,$B48,'LANÇAMENTOS'!$E$6:$E$2005,"Saída",'LANÇAMENTOS'!$C$6:$C$2005,"&lt;"&amp;TODAY()))</f>
        <v/>
      </c>
      <c r="T48" s="30">
        <f>IF($B48="","",IFERROR(IF(SUMPRODUCT(MAX(('LANÇAMENTOS'!$I$6:$I$2005=$B48)*'LANÇAMENTOS'!$B$6:$B$2005))&gt;0,SUMPRODUCT(MAX(('LANÇAMENTOS'!$I$6:$I$2005=$B48)*'LANÇAMENTOS'!$B$6:$B$2005)),""),""))</f>
        <v/>
      </c>
    </row>
    <row r="49">
      <c r="A49" s="14" t="n"/>
      <c r="B49" s="29" t="n"/>
      <c r="C49" s="29" t="n"/>
      <c r="D49" s="14" t="n"/>
      <c r="E49" s="29" t="n"/>
      <c r="F49" s="14" t="n"/>
      <c r="G49" s="29" t="n"/>
      <c r="H49" s="29" t="n"/>
      <c r="I49" s="14" t="n"/>
      <c r="J49" s="29" t="n"/>
      <c r="K49" s="29" t="n"/>
      <c r="L49" s="13" t="n"/>
      <c r="M49" s="35" t="n"/>
      <c r="N49" s="14" t="n"/>
      <c r="O49" s="29" t="n"/>
      <c r="P49" s="18">
        <f>IF($B49="","",SUMIFS('LANÇAMENTOS'!$Q$6:$Q$2005,'LANÇAMENTOS'!$I$6:$I$2005,$B49,'LANÇAMENTOS'!$E$6:$E$2005,"Saída"))</f>
        <v/>
      </c>
      <c r="Q49" s="18">
        <f>IF($B49="","",SUMIFS('LANÇAMENTOS'!$V$6:$V$2005,'LANÇAMENTOS'!$I$6:$I$2005,$B49,'LANÇAMENTOS'!$E$6:$E$2005,"Saída"))</f>
        <v/>
      </c>
      <c r="R49" s="18">
        <f>IF($B49="","",SUMIFS('LANÇAMENTOS'!$W$6:$W$2005,'LANÇAMENTOS'!$I$6:$I$2005,$B49,'LANÇAMENTOS'!$E$6:$E$2005,"Saída"))</f>
        <v/>
      </c>
      <c r="S49" s="18">
        <f>IF($B49="","",SUMIFS('LANÇAMENTOS'!$W$6:$W$2005,'LANÇAMENTOS'!$I$6:$I$2005,$B49,'LANÇAMENTOS'!$E$6:$E$2005,"Saída",'LANÇAMENTOS'!$C$6:$C$2005,"&lt;"&amp;TODAY()))</f>
        <v/>
      </c>
      <c r="T49" s="30">
        <f>IF($B49="","",IFERROR(IF(SUMPRODUCT(MAX(('LANÇAMENTOS'!$I$6:$I$2005=$B49)*'LANÇAMENTOS'!$B$6:$B$2005))&gt;0,SUMPRODUCT(MAX(('LANÇAMENTOS'!$I$6:$I$2005=$B49)*'LANÇAMENTOS'!$B$6:$B$2005)),""),""))</f>
        <v/>
      </c>
    </row>
    <row r="50">
      <c r="A50" s="14" t="n"/>
      <c r="B50" s="29" t="n"/>
      <c r="C50" s="29" t="n"/>
      <c r="D50" s="14" t="n"/>
      <c r="E50" s="29" t="n"/>
      <c r="F50" s="14" t="n"/>
      <c r="G50" s="29" t="n"/>
      <c r="H50" s="29" t="n"/>
      <c r="I50" s="14" t="n"/>
      <c r="J50" s="29" t="n"/>
      <c r="K50" s="29" t="n"/>
      <c r="L50" s="13" t="n"/>
      <c r="M50" s="35" t="n"/>
      <c r="N50" s="14" t="n"/>
      <c r="O50" s="29" t="n"/>
      <c r="P50" s="18">
        <f>IF($B50="","",SUMIFS('LANÇAMENTOS'!$Q$6:$Q$2005,'LANÇAMENTOS'!$I$6:$I$2005,$B50,'LANÇAMENTOS'!$E$6:$E$2005,"Saída"))</f>
        <v/>
      </c>
      <c r="Q50" s="18">
        <f>IF($B50="","",SUMIFS('LANÇAMENTOS'!$V$6:$V$2005,'LANÇAMENTOS'!$I$6:$I$2005,$B50,'LANÇAMENTOS'!$E$6:$E$2005,"Saída"))</f>
        <v/>
      </c>
      <c r="R50" s="18">
        <f>IF($B50="","",SUMIFS('LANÇAMENTOS'!$W$6:$W$2005,'LANÇAMENTOS'!$I$6:$I$2005,$B50,'LANÇAMENTOS'!$E$6:$E$2005,"Saída"))</f>
        <v/>
      </c>
      <c r="S50" s="18">
        <f>IF($B50="","",SUMIFS('LANÇAMENTOS'!$W$6:$W$2005,'LANÇAMENTOS'!$I$6:$I$2005,$B50,'LANÇAMENTOS'!$E$6:$E$2005,"Saída",'LANÇAMENTOS'!$C$6:$C$2005,"&lt;"&amp;TODAY()))</f>
        <v/>
      </c>
      <c r="T50" s="30">
        <f>IF($B50="","",IFERROR(IF(SUMPRODUCT(MAX(('LANÇAMENTOS'!$I$6:$I$2005=$B50)*'LANÇAMENTOS'!$B$6:$B$2005))&gt;0,SUMPRODUCT(MAX(('LANÇAMENTOS'!$I$6:$I$2005=$B50)*'LANÇAMENTOS'!$B$6:$B$2005)),""),""))</f>
        <v/>
      </c>
    </row>
    <row r="51">
      <c r="A51" s="14" t="n"/>
      <c r="B51" s="29" t="n"/>
      <c r="C51" s="29" t="n"/>
      <c r="D51" s="14" t="n"/>
      <c r="E51" s="29" t="n"/>
      <c r="F51" s="14" t="n"/>
      <c r="G51" s="29" t="n"/>
      <c r="H51" s="29" t="n"/>
      <c r="I51" s="14" t="n"/>
      <c r="J51" s="29" t="n"/>
      <c r="K51" s="29" t="n"/>
      <c r="L51" s="13" t="n"/>
      <c r="M51" s="35" t="n"/>
      <c r="N51" s="14" t="n"/>
      <c r="O51" s="29" t="n"/>
      <c r="P51" s="18">
        <f>IF($B51="","",SUMIFS('LANÇAMENTOS'!$Q$6:$Q$2005,'LANÇAMENTOS'!$I$6:$I$2005,$B51,'LANÇAMENTOS'!$E$6:$E$2005,"Saída"))</f>
        <v/>
      </c>
      <c r="Q51" s="18">
        <f>IF($B51="","",SUMIFS('LANÇAMENTOS'!$V$6:$V$2005,'LANÇAMENTOS'!$I$6:$I$2005,$B51,'LANÇAMENTOS'!$E$6:$E$2005,"Saída"))</f>
        <v/>
      </c>
      <c r="R51" s="18">
        <f>IF($B51="","",SUMIFS('LANÇAMENTOS'!$W$6:$W$2005,'LANÇAMENTOS'!$I$6:$I$2005,$B51,'LANÇAMENTOS'!$E$6:$E$2005,"Saída"))</f>
        <v/>
      </c>
      <c r="S51" s="18">
        <f>IF($B51="","",SUMIFS('LANÇAMENTOS'!$W$6:$W$2005,'LANÇAMENTOS'!$I$6:$I$2005,$B51,'LANÇAMENTOS'!$E$6:$E$2005,"Saída",'LANÇAMENTOS'!$C$6:$C$2005,"&lt;"&amp;TODAY()))</f>
        <v/>
      </c>
      <c r="T51" s="30">
        <f>IF($B51="","",IFERROR(IF(SUMPRODUCT(MAX(('LANÇAMENTOS'!$I$6:$I$2005=$B51)*'LANÇAMENTOS'!$B$6:$B$2005))&gt;0,SUMPRODUCT(MAX(('LANÇAMENTOS'!$I$6:$I$2005=$B51)*'LANÇAMENTOS'!$B$6:$B$2005)),""),""))</f>
        <v/>
      </c>
    </row>
    <row r="52">
      <c r="A52" s="14" t="n"/>
      <c r="B52" s="29" t="n"/>
      <c r="C52" s="29" t="n"/>
      <c r="D52" s="14" t="n"/>
      <c r="E52" s="29" t="n"/>
      <c r="F52" s="14" t="n"/>
      <c r="G52" s="29" t="n"/>
      <c r="H52" s="29" t="n"/>
      <c r="I52" s="14" t="n"/>
      <c r="J52" s="29" t="n"/>
      <c r="K52" s="29" t="n"/>
      <c r="L52" s="13" t="n"/>
      <c r="M52" s="35" t="n"/>
      <c r="N52" s="14" t="n"/>
      <c r="O52" s="29" t="n"/>
      <c r="P52" s="18">
        <f>IF($B52="","",SUMIFS('LANÇAMENTOS'!$Q$6:$Q$2005,'LANÇAMENTOS'!$I$6:$I$2005,$B52,'LANÇAMENTOS'!$E$6:$E$2005,"Saída"))</f>
        <v/>
      </c>
      <c r="Q52" s="18">
        <f>IF($B52="","",SUMIFS('LANÇAMENTOS'!$V$6:$V$2005,'LANÇAMENTOS'!$I$6:$I$2005,$B52,'LANÇAMENTOS'!$E$6:$E$2005,"Saída"))</f>
        <v/>
      </c>
      <c r="R52" s="18">
        <f>IF($B52="","",SUMIFS('LANÇAMENTOS'!$W$6:$W$2005,'LANÇAMENTOS'!$I$6:$I$2005,$B52,'LANÇAMENTOS'!$E$6:$E$2005,"Saída"))</f>
        <v/>
      </c>
      <c r="S52" s="18">
        <f>IF($B52="","",SUMIFS('LANÇAMENTOS'!$W$6:$W$2005,'LANÇAMENTOS'!$I$6:$I$2005,$B52,'LANÇAMENTOS'!$E$6:$E$2005,"Saída",'LANÇAMENTOS'!$C$6:$C$2005,"&lt;"&amp;TODAY()))</f>
        <v/>
      </c>
      <c r="T52" s="30">
        <f>IF($B52="","",IFERROR(IF(SUMPRODUCT(MAX(('LANÇAMENTOS'!$I$6:$I$2005=$B52)*'LANÇAMENTOS'!$B$6:$B$2005))&gt;0,SUMPRODUCT(MAX(('LANÇAMENTOS'!$I$6:$I$2005=$B52)*'LANÇAMENTOS'!$B$6:$B$2005)),""),""))</f>
        <v/>
      </c>
    </row>
    <row r="53">
      <c r="A53" s="14" t="n"/>
      <c r="B53" s="29" t="n"/>
      <c r="C53" s="29" t="n"/>
      <c r="D53" s="14" t="n"/>
      <c r="E53" s="29" t="n"/>
      <c r="F53" s="14" t="n"/>
      <c r="G53" s="29" t="n"/>
      <c r="H53" s="29" t="n"/>
      <c r="I53" s="14" t="n"/>
      <c r="J53" s="29" t="n"/>
      <c r="K53" s="29" t="n"/>
      <c r="L53" s="13" t="n"/>
      <c r="M53" s="35" t="n"/>
      <c r="N53" s="14" t="n"/>
      <c r="O53" s="29" t="n"/>
      <c r="P53" s="18">
        <f>IF($B53="","",SUMIFS('LANÇAMENTOS'!$Q$6:$Q$2005,'LANÇAMENTOS'!$I$6:$I$2005,$B53,'LANÇAMENTOS'!$E$6:$E$2005,"Saída"))</f>
        <v/>
      </c>
      <c r="Q53" s="18">
        <f>IF($B53="","",SUMIFS('LANÇAMENTOS'!$V$6:$V$2005,'LANÇAMENTOS'!$I$6:$I$2005,$B53,'LANÇAMENTOS'!$E$6:$E$2005,"Saída"))</f>
        <v/>
      </c>
      <c r="R53" s="18">
        <f>IF($B53="","",SUMIFS('LANÇAMENTOS'!$W$6:$W$2005,'LANÇAMENTOS'!$I$6:$I$2005,$B53,'LANÇAMENTOS'!$E$6:$E$2005,"Saída"))</f>
        <v/>
      </c>
      <c r="S53" s="18">
        <f>IF($B53="","",SUMIFS('LANÇAMENTOS'!$W$6:$W$2005,'LANÇAMENTOS'!$I$6:$I$2005,$B53,'LANÇAMENTOS'!$E$6:$E$2005,"Saída",'LANÇAMENTOS'!$C$6:$C$2005,"&lt;"&amp;TODAY()))</f>
        <v/>
      </c>
      <c r="T53" s="30">
        <f>IF($B53="","",IFERROR(IF(SUMPRODUCT(MAX(('LANÇAMENTOS'!$I$6:$I$2005=$B53)*'LANÇAMENTOS'!$B$6:$B$2005))&gt;0,SUMPRODUCT(MAX(('LANÇAMENTOS'!$I$6:$I$2005=$B53)*'LANÇAMENTOS'!$B$6:$B$2005)),""),""))</f>
        <v/>
      </c>
    </row>
    <row r="54">
      <c r="A54" s="14" t="n"/>
      <c r="B54" s="29" t="n"/>
      <c r="C54" s="29" t="n"/>
      <c r="D54" s="14" t="n"/>
      <c r="E54" s="29" t="n"/>
      <c r="F54" s="14" t="n"/>
      <c r="G54" s="29" t="n"/>
      <c r="H54" s="29" t="n"/>
      <c r="I54" s="14" t="n"/>
      <c r="J54" s="29" t="n"/>
      <c r="K54" s="29" t="n"/>
      <c r="L54" s="13" t="n"/>
      <c r="M54" s="35" t="n"/>
      <c r="N54" s="14" t="n"/>
      <c r="O54" s="29" t="n"/>
      <c r="P54" s="18">
        <f>IF($B54="","",SUMIFS('LANÇAMENTOS'!$Q$6:$Q$2005,'LANÇAMENTOS'!$I$6:$I$2005,$B54,'LANÇAMENTOS'!$E$6:$E$2005,"Saída"))</f>
        <v/>
      </c>
      <c r="Q54" s="18">
        <f>IF($B54="","",SUMIFS('LANÇAMENTOS'!$V$6:$V$2005,'LANÇAMENTOS'!$I$6:$I$2005,$B54,'LANÇAMENTOS'!$E$6:$E$2005,"Saída"))</f>
        <v/>
      </c>
      <c r="R54" s="18">
        <f>IF($B54="","",SUMIFS('LANÇAMENTOS'!$W$6:$W$2005,'LANÇAMENTOS'!$I$6:$I$2005,$B54,'LANÇAMENTOS'!$E$6:$E$2005,"Saída"))</f>
        <v/>
      </c>
      <c r="S54" s="18">
        <f>IF($B54="","",SUMIFS('LANÇAMENTOS'!$W$6:$W$2005,'LANÇAMENTOS'!$I$6:$I$2005,$B54,'LANÇAMENTOS'!$E$6:$E$2005,"Saída",'LANÇAMENTOS'!$C$6:$C$2005,"&lt;"&amp;TODAY()))</f>
        <v/>
      </c>
      <c r="T54" s="30">
        <f>IF($B54="","",IFERROR(IF(SUMPRODUCT(MAX(('LANÇAMENTOS'!$I$6:$I$2005=$B54)*'LANÇAMENTOS'!$B$6:$B$2005))&gt;0,SUMPRODUCT(MAX(('LANÇAMENTOS'!$I$6:$I$2005=$B54)*'LANÇAMENTOS'!$B$6:$B$2005)),""),""))</f>
        <v/>
      </c>
    </row>
    <row r="55">
      <c r="A55" s="14" t="n"/>
      <c r="B55" s="29" t="n"/>
      <c r="C55" s="29" t="n"/>
      <c r="D55" s="14" t="n"/>
      <c r="E55" s="29" t="n"/>
      <c r="F55" s="14" t="n"/>
      <c r="G55" s="29" t="n"/>
      <c r="H55" s="29" t="n"/>
      <c r="I55" s="14" t="n"/>
      <c r="J55" s="29" t="n"/>
      <c r="K55" s="29" t="n"/>
      <c r="L55" s="13" t="n"/>
      <c r="M55" s="35" t="n"/>
      <c r="N55" s="14" t="n"/>
      <c r="O55" s="29" t="n"/>
      <c r="P55" s="18">
        <f>IF($B55="","",SUMIFS('LANÇAMENTOS'!$Q$6:$Q$2005,'LANÇAMENTOS'!$I$6:$I$2005,$B55,'LANÇAMENTOS'!$E$6:$E$2005,"Saída"))</f>
        <v/>
      </c>
      <c r="Q55" s="18">
        <f>IF($B55="","",SUMIFS('LANÇAMENTOS'!$V$6:$V$2005,'LANÇAMENTOS'!$I$6:$I$2005,$B55,'LANÇAMENTOS'!$E$6:$E$2005,"Saída"))</f>
        <v/>
      </c>
      <c r="R55" s="18">
        <f>IF($B55="","",SUMIFS('LANÇAMENTOS'!$W$6:$W$2005,'LANÇAMENTOS'!$I$6:$I$2005,$B55,'LANÇAMENTOS'!$E$6:$E$2005,"Saída"))</f>
        <v/>
      </c>
      <c r="S55" s="18">
        <f>IF($B55="","",SUMIFS('LANÇAMENTOS'!$W$6:$W$2005,'LANÇAMENTOS'!$I$6:$I$2005,$B55,'LANÇAMENTOS'!$E$6:$E$2005,"Saída",'LANÇAMENTOS'!$C$6:$C$2005,"&lt;"&amp;TODAY()))</f>
        <v/>
      </c>
      <c r="T55" s="30">
        <f>IF($B55="","",IFERROR(IF(SUMPRODUCT(MAX(('LANÇAMENTOS'!$I$6:$I$2005=$B55)*'LANÇAMENTOS'!$B$6:$B$2005))&gt;0,SUMPRODUCT(MAX(('LANÇAMENTOS'!$I$6:$I$2005=$B55)*'LANÇAMENTOS'!$B$6:$B$2005)),""),""))</f>
        <v/>
      </c>
    </row>
    <row r="56">
      <c r="A56" s="14" t="n"/>
      <c r="B56" s="29" t="n"/>
      <c r="C56" s="29" t="n"/>
      <c r="D56" s="14" t="n"/>
      <c r="E56" s="29" t="n"/>
      <c r="F56" s="14" t="n"/>
      <c r="G56" s="29" t="n"/>
      <c r="H56" s="29" t="n"/>
      <c r="I56" s="14" t="n"/>
      <c r="J56" s="29" t="n"/>
      <c r="K56" s="29" t="n"/>
      <c r="L56" s="13" t="n"/>
      <c r="M56" s="35" t="n"/>
      <c r="N56" s="14" t="n"/>
      <c r="O56" s="29" t="n"/>
      <c r="P56" s="18">
        <f>IF($B56="","",SUMIFS('LANÇAMENTOS'!$Q$6:$Q$2005,'LANÇAMENTOS'!$I$6:$I$2005,$B56,'LANÇAMENTOS'!$E$6:$E$2005,"Saída"))</f>
        <v/>
      </c>
      <c r="Q56" s="18">
        <f>IF($B56="","",SUMIFS('LANÇAMENTOS'!$V$6:$V$2005,'LANÇAMENTOS'!$I$6:$I$2005,$B56,'LANÇAMENTOS'!$E$6:$E$2005,"Saída"))</f>
        <v/>
      </c>
      <c r="R56" s="18">
        <f>IF($B56="","",SUMIFS('LANÇAMENTOS'!$W$6:$W$2005,'LANÇAMENTOS'!$I$6:$I$2005,$B56,'LANÇAMENTOS'!$E$6:$E$2005,"Saída"))</f>
        <v/>
      </c>
      <c r="S56" s="18">
        <f>IF($B56="","",SUMIFS('LANÇAMENTOS'!$W$6:$W$2005,'LANÇAMENTOS'!$I$6:$I$2005,$B56,'LANÇAMENTOS'!$E$6:$E$2005,"Saída",'LANÇAMENTOS'!$C$6:$C$2005,"&lt;"&amp;TODAY()))</f>
        <v/>
      </c>
      <c r="T56" s="30">
        <f>IF($B56="","",IFERROR(IF(SUMPRODUCT(MAX(('LANÇAMENTOS'!$I$6:$I$2005=$B56)*'LANÇAMENTOS'!$B$6:$B$2005))&gt;0,SUMPRODUCT(MAX(('LANÇAMENTOS'!$I$6:$I$2005=$B56)*'LANÇAMENTOS'!$B$6:$B$2005)),""),""))</f>
        <v/>
      </c>
    </row>
    <row r="57">
      <c r="A57" s="14" t="n"/>
      <c r="B57" s="29" t="n"/>
      <c r="C57" s="29" t="n"/>
      <c r="D57" s="14" t="n"/>
      <c r="E57" s="29" t="n"/>
      <c r="F57" s="14" t="n"/>
      <c r="G57" s="29" t="n"/>
      <c r="H57" s="29" t="n"/>
      <c r="I57" s="14" t="n"/>
      <c r="J57" s="29" t="n"/>
      <c r="K57" s="29" t="n"/>
      <c r="L57" s="13" t="n"/>
      <c r="M57" s="35" t="n"/>
      <c r="N57" s="14" t="n"/>
      <c r="O57" s="29" t="n"/>
      <c r="P57" s="18">
        <f>IF($B57="","",SUMIFS('LANÇAMENTOS'!$Q$6:$Q$2005,'LANÇAMENTOS'!$I$6:$I$2005,$B57,'LANÇAMENTOS'!$E$6:$E$2005,"Saída"))</f>
        <v/>
      </c>
      <c r="Q57" s="18">
        <f>IF($B57="","",SUMIFS('LANÇAMENTOS'!$V$6:$V$2005,'LANÇAMENTOS'!$I$6:$I$2005,$B57,'LANÇAMENTOS'!$E$6:$E$2005,"Saída"))</f>
        <v/>
      </c>
      <c r="R57" s="18">
        <f>IF($B57="","",SUMIFS('LANÇAMENTOS'!$W$6:$W$2005,'LANÇAMENTOS'!$I$6:$I$2005,$B57,'LANÇAMENTOS'!$E$6:$E$2005,"Saída"))</f>
        <v/>
      </c>
      <c r="S57" s="18">
        <f>IF($B57="","",SUMIFS('LANÇAMENTOS'!$W$6:$W$2005,'LANÇAMENTOS'!$I$6:$I$2005,$B57,'LANÇAMENTOS'!$E$6:$E$2005,"Saída",'LANÇAMENTOS'!$C$6:$C$2005,"&lt;"&amp;TODAY()))</f>
        <v/>
      </c>
      <c r="T57" s="30">
        <f>IF($B57="","",IFERROR(IF(SUMPRODUCT(MAX(('LANÇAMENTOS'!$I$6:$I$2005=$B57)*'LANÇAMENTOS'!$B$6:$B$2005))&gt;0,SUMPRODUCT(MAX(('LANÇAMENTOS'!$I$6:$I$2005=$B57)*'LANÇAMENTOS'!$B$6:$B$2005)),""),""))</f>
        <v/>
      </c>
    </row>
    <row r="58">
      <c r="A58" s="14" t="n"/>
      <c r="B58" s="29" t="n"/>
      <c r="C58" s="29" t="n"/>
      <c r="D58" s="14" t="n"/>
      <c r="E58" s="29" t="n"/>
      <c r="F58" s="14" t="n"/>
      <c r="G58" s="29" t="n"/>
      <c r="H58" s="29" t="n"/>
      <c r="I58" s="14" t="n"/>
      <c r="J58" s="29" t="n"/>
      <c r="K58" s="29" t="n"/>
      <c r="L58" s="13" t="n"/>
      <c r="M58" s="35" t="n"/>
      <c r="N58" s="14" t="n"/>
      <c r="O58" s="29" t="n"/>
      <c r="P58" s="18">
        <f>IF($B58="","",SUMIFS('LANÇAMENTOS'!$Q$6:$Q$2005,'LANÇAMENTOS'!$I$6:$I$2005,$B58,'LANÇAMENTOS'!$E$6:$E$2005,"Saída"))</f>
        <v/>
      </c>
      <c r="Q58" s="18">
        <f>IF($B58="","",SUMIFS('LANÇAMENTOS'!$V$6:$V$2005,'LANÇAMENTOS'!$I$6:$I$2005,$B58,'LANÇAMENTOS'!$E$6:$E$2005,"Saída"))</f>
        <v/>
      </c>
      <c r="R58" s="18">
        <f>IF($B58="","",SUMIFS('LANÇAMENTOS'!$W$6:$W$2005,'LANÇAMENTOS'!$I$6:$I$2005,$B58,'LANÇAMENTOS'!$E$6:$E$2005,"Saída"))</f>
        <v/>
      </c>
      <c r="S58" s="18">
        <f>IF($B58="","",SUMIFS('LANÇAMENTOS'!$W$6:$W$2005,'LANÇAMENTOS'!$I$6:$I$2005,$B58,'LANÇAMENTOS'!$E$6:$E$2005,"Saída",'LANÇAMENTOS'!$C$6:$C$2005,"&lt;"&amp;TODAY()))</f>
        <v/>
      </c>
      <c r="T58" s="30">
        <f>IF($B58="","",IFERROR(IF(SUMPRODUCT(MAX(('LANÇAMENTOS'!$I$6:$I$2005=$B58)*'LANÇAMENTOS'!$B$6:$B$2005))&gt;0,SUMPRODUCT(MAX(('LANÇAMENTOS'!$I$6:$I$2005=$B58)*'LANÇAMENTOS'!$B$6:$B$2005)),""),""))</f>
        <v/>
      </c>
    </row>
    <row r="59">
      <c r="A59" s="14" t="n"/>
      <c r="B59" s="29" t="n"/>
      <c r="C59" s="29" t="n"/>
      <c r="D59" s="14" t="n"/>
      <c r="E59" s="29" t="n"/>
      <c r="F59" s="14" t="n"/>
      <c r="G59" s="29" t="n"/>
      <c r="H59" s="29" t="n"/>
      <c r="I59" s="14" t="n"/>
      <c r="J59" s="29" t="n"/>
      <c r="K59" s="29" t="n"/>
      <c r="L59" s="13" t="n"/>
      <c r="M59" s="35" t="n"/>
      <c r="N59" s="14" t="n"/>
      <c r="O59" s="29" t="n"/>
      <c r="P59" s="18">
        <f>IF($B59="","",SUMIFS('LANÇAMENTOS'!$Q$6:$Q$2005,'LANÇAMENTOS'!$I$6:$I$2005,$B59,'LANÇAMENTOS'!$E$6:$E$2005,"Saída"))</f>
        <v/>
      </c>
      <c r="Q59" s="18">
        <f>IF($B59="","",SUMIFS('LANÇAMENTOS'!$V$6:$V$2005,'LANÇAMENTOS'!$I$6:$I$2005,$B59,'LANÇAMENTOS'!$E$6:$E$2005,"Saída"))</f>
        <v/>
      </c>
      <c r="R59" s="18">
        <f>IF($B59="","",SUMIFS('LANÇAMENTOS'!$W$6:$W$2005,'LANÇAMENTOS'!$I$6:$I$2005,$B59,'LANÇAMENTOS'!$E$6:$E$2005,"Saída"))</f>
        <v/>
      </c>
      <c r="S59" s="18">
        <f>IF($B59="","",SUMIFS('LANÇAMENTOS'!$W$6:$W$2005,'LANÇAMENTOS'!$I$6:$I$2005,$B59,'LANÇAMENTOS'!$E$6:$E$2005,"Saída",'LANÇAMENTOS'!$C$6:$C$2005,"&lt;"&amp;TODAY()))</f>
        <v/>
      </c>
      <c r="T59" s="30">
        <f>IF($B59="","",IFERROR(IF(SUMPRODUCT(MAX(('LANÇAMENTOS'!$I$6:$I$2005=$B59)*'LANÇAMENTOS'!$B$6:$B$2005))&gt;0,SUMPRODUCT(MAX(('LANÇAMENTOS'!$I$6:$I$2005=$B59)*'LANÇAMENTOS'!$B$6:$B$2005)),""),""))</f>
        <v/>
      </c>
    </row>
    <row r="60">
      <c r="A60" s="14" t="n"/>
      <c r="B60" s="29" t="n"/>
      <c r="C60" s="29" t="n"/>
      <c r="D60" s="14" t="n"/>
      <c r="E60" s="29" t="n"/>
      <c r="F60" s="14" t="n"/>
      <c r="G60" s="29" t="n"/>
      <c r="H60" s="29" t="n"/>
      <c r="I60" s="14" t="n"/>
      <c r="J60" s="29" t="n"/>
      <c r="K60" s="29" t="n"/>
      <c r="L60" s="13" t="n"/>
      <c r="M60" s="35" t="n"/>
      <c r="N60" s="14" t="n"/>
      <c r="O60" s="29" t="n"/>
      <c r="P60" s="18">
        <f>IF($B60="","",SUMIFS('LANÇAMENTOS'!$Q$6:$Q$2005,'LANÇAMENTOS'!$I$6:$I$2005,$B60,'LANÇAMENTOS'!$E$6:$E$2005,"Saída"))</f>
        <v/>
      </c>
      <c r="Q60" s="18">
        <f>IF($B60="","",SUMIFS('LANÇAMENTOS'!$V$6:$V$2005,'LANÇAMENTOS'!$I$6:$I$2005,$B60,'LANÇAMENTOS'!$E$6:$E$2005,"Saída"))</f>
        <v/>
      </c>
      <c r="R60" s="18">
        <f>IF($B60="","",SUMIFS('LANÇAMENTOS'!$W$6:$W$2005,'LANÇAMENTOS'!$I$6:$I$2005,$B60,'LANÇAMENTOS'!$E$6:$E$2005,"Saída"))</f>
        <v/>
      </c>
      <c r="S60" s="18">
        <f>IF($B60="","",SUMIFS('LANÇAMENTOS'!$W$6:$W$2005,'LANÇAMENTOS'!$I$6:$I$2005,$B60,'LANÇAMENTOS'!$E$6:$E$2005,"Saída",'LANÇAMENTOS'!$C$6:$C$2005,"&lt;"&amp;TODAY()))</f>
        <v/>
      </c>
      <c r="T60" s="30">
        <f>IF($B60="","",IFERROR(IF(SUMPRODUCT(MAX(('LANÇAMENTOS'!$I$6:$I$2005=$B60)*'LANÇAMENTOS'!$B$6:$B$2005))&gt;0,SUMPRODUCT(MAX(('LANÇAMENTOS'!$I$6:$I$2005=$B60)*'LANÇAMENTOS'!$B$6:$B$2005)),""),""))</f>
        <v/>
      </c>
    </row>
    <row r="61">
      <c r="A61" s="14" t="n"/>
      <c r="B61" s="29" t="n"/>
      <c r="C61" s="29" t="n"/>
      <c r="D61" s="14" t="n"/>
      <c r="E61" s="29" t="n"/>
      <c r="F61" s="14" t="n"/>
      <c r="G61" s="29" t="n"/>
      <c r="H61" s="29" t="n"/>
      <c r="I61" s="14" t="n"/>
      <c r="J61" s="29" t="n"/>
      <c r="K61" s="29" t="n"/>
      <c r="L61" s="13" t="n"/>
      <c r="M61" s="35" t="n"/>
      <c r="N61" s="14" t="n"/>
      <c r="O61" s="29" t="n"/>
      <c r="P61" s="18">
        <f>IF($B61="","",SUMIFS('LANÇAMENTOS'!$Q$6:$Q$2005,'LANÇAMENTOS'!$I$6:$I$2005,$B61,'LANÇAMENTOS'!$E$6:$E$2005,"Saída"))</f>
        <v/>
      </c>
      <c r="Q61" s="18">
        <f>IF($B61="","",SUMIFS('LANÇAMENTOS'!$V$6:$V$2005,'LANÇAMENTOS'!$I$6:$I$2005,$B61,'LANÇAMENTOS'!$E$6:$E$2005,"Saída"))</f>
        <v/>
      </c>
      <c r="R61" s="18">
        <f>IF($B61="","",SUMIFS('LANÇAMENTOS'!$W$6:$W$2005,'LANÇAMENTOS'!$I$6:$I$2005,$B61,'LANÇAMENTOS'!$E$6:$E$2005,"Saída"))</f>
        <v/>
      </c>
      <c r="S61" s="18">
        <f>IF($B61="","",SUMIFS('LANÇAMENTOS'!$W$6:$W$2005,'LANÇAMENTOS'!$I$6:$I$2005,$B61,'LANÇAMENTOS'!$E$6:$E$2005,"Saída",'LANÇAMENTOS'!$C$6:$C$2005,"&lt;"&amp;TODAY()))</f>
        <v/>
      </c>
      <c r="T61" s="30">
        <f>IF($B61="","",IFERROR(IF(SUMPRODUCT(MAX(('LANÇAMENTOS'!$I$6:$I$2005=$B61)*'LANÇAMENTOS'!$B$6:$B$2005))&gt;0,SUMPRODUCT(MAX(('LANÇAMENTOS'!$I$6:$I$2005=$B61)*'LANÇAMENTOS'!$B$6:$B$2005)),""),""))</f>
        <v/>
      </c>
    </row>
    <row r="62">
      <c r="A62" s="14" t="n"/>
      <c r="B62" s="29" t="n"/>
      <c r="C62" s="29" t="n"/>
      <c r="D62" s="14" t="n"/>
      <c r="E62" s="29" t="n"/>
      <c r="F62" s="14" t="n"/>
      <c r="G62" s="29" t="n"/>
      <c r="H62" s="29" t="n"/>
      <c r="I62" s="14" t="n"/>
      <c r="J62" s="29" t="n"/>
      <c r="K62" s="29" t="n"/>
      <c r="L62" s="13" t="n"/>
      <c r="M62" s="35" t="n"/>
      <c r="N62" s="14" t="n"/>
      <c r="O62" s="29" t="n"/>
      <c r="P62" s="18">
        <f>IF($B62="","",SUMIFS('LANÇAMENTOS'!$Q$6:$Q$2005,'LANÇAMENTOS'!$I$6:$I$2005,$B62,'LANÇAMENTOS'!$E$6:$E$2005,"Saída"))</f>
        <v/>
      </c>
      <c r="Q62" s="18">
        <f>IF($B62="","",SUMIFS('LANÇAMENTOS'!$V$6:$V$2005,'LANÇAMENTOS'!$I$6:$I$2005,$B62,'LANÇAMENTOS'!$E$6:$E$2005,"Saída"))</f>
        <v/>
      </c>
      <c r="R62" s="18">
        <f>IF($B62="","",SUMIFS('LANÇAMENTOS'!$W$6:$W$2005,'LANÇAMENTOS'!$I$6:$I$2005,$B62,'LANÇAMENTOS'!$E$6:$E$2005,"Saída"))</f>
        <v/>
      </c>
      <c r="S62" s="18">
        <f>IF($B62="","",SUMIFS('LANÇAMENTOS'!$W$6:$W$2005,'LANÇAMENTOS'!$I$6:$I$2005,$B62,'LANÇAMENTOS'!$E$6:$E$2005,"Saída",'LANÇAMENTOS'!$C$6:$C$2005,"&lt;"&amp;TODAY()))</f>
        <v/>
      </c>
      <c r="T62" s="30">
        <f>IF($B62="","",IFERROR(IF(SUMPRODUCT(MAX(('LANÇAMENTOS'!$I$6:$I$2005=$B62)*'LANÇAMENTOS'!$B$6:$B$2005))&gt;0,SUMPRODUCT(MAX(('LANÇAMENTOS'!$I$6:$I$2005=$B62)*'LANÇAMENTOS'!$B$6:$B$2005)),""),""))</f>
        <v/>
      </c>
    </row>
    <row r="63">
      <c r="A63" s="14" t="n"/>
      <c r="B63" s="29" t="n"/>
      <c r="C63" s="29" t="n"/>
      <c r="D63" s="14" t="n"/>
      <c r="E63" s="29" t="n"/>
      <c r="F63" s="14" t="n"/>
      <c r="G63" s="29" t="n"/>
      <c r="H63" s="29" t="n"/>
      <c r="I63" s="14" t="n"/>
      <c r="J63" s="29" t="n"/>
      <c r="K63" s="29" t="n"/>
      <c r="L63" s="13" t="n"/>
      <c r="M63" s="35" t="n"/>
      <c r="N63" s="14" t="n"/>
      <c r="O63" s="29" t="n"/>
      <c r="P63" s="18">
        <f>IF($B63="","",SUMIFS('LANÇAMENTOS'!$Q$6:$Q$2005,'LANÇAMENTOS'!$I$6:$I$2005,$B63,'LANÇAMENTOS'!$E$6:$E$2005,"Saída"))</f>
        <v/>
      </c>
      <c r="Q63" s="18">
        <f>IF($B63="","",SUMIFS('LANÇAMENTOS'!$V$6:$V$2005,'LANÇAMENTOS'!$I$6:$I$2005,$B63,'LANÇAMENTOS'!$E$6:$E$2005,"Saída"))</f>
        <v/>
      </c>
      <c r="R63" s="18">
        <f>IF($B63="","",SUMIFS('LANÇAMENTOS'!$W$6:$W$2005,'LANÇAMENTOS'!$I$6:$I$2005,$B63,'LANÇAMENTOS'!$E$6:$E$2005,"Saída"))</f>
        <v/>
      </c>
      <c r="S63" s="18">
        <f>IF($B63="","",SUMIFS('LANÇAMENTOS'!$W$6:$W$2005,'LANÇAMENTOS'!$I$6:$I$2005,$B63,'LANÇAMENTOS'!$E$6:$E$2005,"Saída",'LANÇAMENTOS'!$C$6:$C$2005,"&lt;"&amp;TODAY()))</f>
        <v/>
      </c>
      <c r="T63" s="30">
        <f>IF($B63="","",IFERROR(IF(SUMPRODUCT(MAX(('LANÇAMENTOS'!$I$6:$I$2005=$B63)*'LANÇAMENTOS'!$B$6:$B$2005))&gt;0,SUMPRODUCT(MAX(('LANÇAMENTOS'!$I$6:$I$2005=$B63)*'LANÇAMENTOS'!$B$6:$B$2005)),""),""))</f>
        <v/>
      </c>
    </row>
    <row r="64">
      <c r="A64" s="14" t="n"/>
      <c r="B64" s="29" t="n"/>
      <c r="C64" s="29" t="n"/>
      <c r="D64" s="14" t="n"/>
      <c r="E64" s="29" t="n"/>
      <c r="F64" s="14" t="n"/>
      <c r="G64" s="29" t="n"/>
      <c r="H64" s="29" t="n"/>
      <c r="I64" s="14" t="n"/>
      <c r="J64" s="29" t="n"/>
      <c r="K64" s="29" t="n"/>
      <c r="L64" s="13" t="n"/>
      <c r="M64" s="35" t="n"/>
      <c r="N64" s="14" t="n"/>
      <c r="O64" s="29" t="n"/>
      <c r="P64" s="18">
        <f>IF($B64="","",SUMIFS('LANÇAMENTOS'!$Q$6:$Q$2005,'LANÇAMENTOS'!$I$6:$I$2005,$B64,'LANÇAMENTOS'!$E$6:$E$2005,"Saída"))</f>
        <v/>
      </c>
      <c r="Q64" s="18">
        <f>IF($B64="","",SUMIFS('LANÇAMENTOS'!$V$6:$V$2005,'LANÇAMENTOS'!$I$6:$I$2005,$B64,'LANÇAMENTOS'!$E$6:$E$2005,"Saída"))</f>
        <v/>
      </c>
      <c r="R64" s="18">
        <f>IF($B64="","",SUMIFS('LANÇAMENTOS'!$W$6:$W$2005,'LANÇAMENTOS'!$I$6:$I$2005,$B64,'LANÇAMENTOS'!$E$6:$E$2005,"Saída"))</f>
        <v/>
      </c>
      <c r="S64" s="18">
        <f>IF($B64="","",SUMIFS('LANÇAMENTOS'!$W$6:$W$2005,'LANÇAMENTOS'!$I$6:$I$2005,$B64,'LANÇAMENTOS'!$E$6:$E$2005,"Saída",'LANÇAMENTOS'!$C$6:$C$2005,"&lt;"&amp;TODAY()))</f>
        <v/>
      </c>
      <c r="T64" s="30">
        <f>IF($B64="","",IFERROR(IF(SUMPRODUCT(MAX(('LANÇAMENTOS'!$I$6:$I$2005=$B64)*'LANÇAMENTOS'!$B$6:$B$2005))&gt;0,SUMPRODUCT(MAX(('LANÇAMENTOS'!$I$6:$I$2005=$B64)*'LANÇAMENTOS'!$B$6:$B$2005)),""),""))</f>
        <v/>
      </c>
    </row>
    <row r="65">
      <c r="A65" s="14" t="n"/>
      <c r="B65" s="29" t="n"/>
      <c r="C65" s="29" t="n"/>
      <c r="D65" s="14" t="n"/>
      <c r="E65" s="29" t="n"/>
      <c r="F65" s="14" t="n"/>
      <c r="G65" s="29" t="n"/>
      <c r="H65" s="29" t="n"/>
      <c r="I65" s="14" t="n"/>
      <c r="J65" s="29" t="n"/>
      <c r="K65" s="29" t="n"/>
      <c r="L65" s="13" t="n"/>
      <c r="M65" s="35" t="n"/>
      <c r="N65" s="14" t="n"/>
      <c r="O65" s="29" t="n"/>
      <c r="P65" s="18">
        <f>IF($B65="","",SUMIFS('LANÇAMENTOS'!$Q$6:$Q$2005,'LANÇAMENTOS'!$I$6:$I$2005,$B65,'LANÇAMENTOS'!$E$6:$E$2005,"Saída"))</f>
        <v/>
      </c>
      <c r="Q65" s="18">
        <f>IF($B65="","",SUMIFS('LANÇAMENTOS'!$V$6:$V$2005,'LANÇAMENTOS'!$I$6:$I$2005,$B65,'LANÇAMENTOS'!$E$6:$E$2005,"Saída"))</f>
        <v/>
      </c>
      <c r="R65" s="18">
        <f>IF($B65="","",SUMIFS('LANÇAMENTOS'!$W$6:$W$2005,'LANÇAMENTOS'!$I$6:$I$2005,$B65,'LANÇAMENTOS'!$E$6:$E$2005,"Saída"))</f>
        <v/>
      </c>
      <c r="S65" s="18">
        <f>IF($B65="","",SUMIFS('LANÇAMENTOS'!$W$6:$W$2005,'LANÇAMENTOS'!$I$6:$I$2005,$B65,'LANÇAMENTOS'!$E$6:$E$2005,"Saída",'LANÇAMENTOS'!$C$6:$C$2005,"&lt;"&amp;TODAY()))</f>
        <v/>
      </c>
      <c r="T65" s="30">
        <f>IF($B65="","",IFERROR(IF(SUMPRODUCT(MAX(('LANÇAMENTOS'!$I$6:$I$2005=$B65)*'LANÇAMENTOS'!$B$6:$B$2005))&gt;0,SUMPRODUCT(MAX(('LANÇAMENTOS'!$I$6:$I$2005=$B65)*'LANÇAMENTOS'!$B$6:$B$2005)),""),""))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T65"/>
  <mergeCells count="2">
    <mergeCell ref="A2:L2"/>
    <mergeCell ref="A1:L1"/>
  </mergeCells>
  <conditionalFormatting sqref="S6:S65">
    <cfRule type="cellIs" priority="1" operator="greaterThan" dxfId="0">
      <formula>0</formula>
    </cfRule>
  </conditionalFormatting>
  <conditionalFormatting sqref="P6:P65">
    <cfRule type="dataBar" priority="2">
      <dataBar showValue="1">
        <cfvo type="num" val="0"/>
        <cfvo type="max"/>
        <color rgb="002E75B6"/>
      </dataBar>
    </cfRule>
  </conditionalFormatting>
  <dataValidations count="3">
    <dataValidation sqref="N6:N65" showDropDown="0" showInputMessage="1" showErrorMessage="1" allowBlank="1" errorTitle="Status inválido" error="Escolha Ativo, Inativo ou Bloqueado." promptTitle="Valores permitidos" prompt="Escolha Ativo, Inativo ou Bloqueado." type="list" errorStyle="stop">
      <formula1>STATUS_CADASTRO</formula1>
    </dataValidation>
    <dataValidation sqref="I6:I65" showDropDown="0" showInputMessage="1" showErrorMessage="1" allowBlank="1" errorTitle="UF inválida" error="Escolha uma UF da lista." promptTitle="Valores permitidos" prompt="Escolha uma UF da lista." type="list" errorStyle="stop">
      <formula1>UF</formula1>
    </dataValidation>
    <dataValidation sqref="L6:L65" showDropDown="0" showInputMessage="0" showErrorMessage="1" allowBlank="1" errorTitle="Prazo inválido" error="Informe o prazo médio em dias (0 a 365)." type="whole" errorStyle="stop" operator="between">
      <formula1>0</formula1>
      <formula2>365</formula2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85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44" customWidth="1" min="4" max="4"/>
    <col width="15" customWidth="1" min="5" max="5"/>
    <col width="11" customWidth="1" min="6" max="6"/>
    <col width="16" customWidth="1" min="7" max="7"/>
    <col width="30" customWidth="1" min="8" max="8"/>
    <col width="8" customWidth="1" min="9" max="9"/>
    <col width="32" customWidth="1" min="10" max="10"/>
  </cols>
  <sheetData>
    <row r="1" ht="24" customHeight="1">
      <c r="A1" s="26" t="inlineStr">
        <is>
          <t>PLANO DE CONTAS GERENCIAL</t>
        </is>
      </c>
    </row>
    <row r="2">
      <c r="A2" s="27" t="inlineStr">
        <is>
          <t>Estrutura hierárquica que classifica todos os lançamentos e alimenta o DRE, o fluxo de caixa e o orçamento. Para criar novas contas, use as linhas em branco e escolha os valores das listas.</t>
        </is>
      </c>
    </row>
    <row r="3">
      <c r="B3" s="25" t="inlineStr">
        <is>
          <t>Plano de contas de exemplo já cadastrado (receitas, custos, despesas administrativas, pessoal, comercial, financeiras, tributos, investimentos, financiamentos e patrimônio).</t>
        </is>
      </c>
    </row>
    <row r="4" ht="6" customHeight="1"/>
    <row r="5" ht="32" customHeight="1">
      <c r="A5" s="34" t="inlineStr">
        <is>
          <t>Código</t>
        </is>
      </c>
      <c r="B5" s="34" t="inlineStr">
        <is>
          <t>Grupo</t>
        </is>
      </c>
      <c r="C5" s="34" t="inlineStr">
        <is>
          <t>Categoria (subgrupo)</t>
        </is>
      </c>
      <c r="D5" s="34" t="inlineStr">
        <is>
          <t>Subcategoria (conta gerencial)</t>
        </is>
      </c>
      <c r="E5" s="34" t="inlineStr">
        <is>
          <t>Tipo de conta</t>
        </is>
      </c>
      <c r="F5" s="34" t="inlineStr">
        <is>
          <t>Natureza</t>
        </is>
      </c>
      <c r="G5" s="34" t="inlineStr">
        <is>
          <t>Tipo de fluxo</t>
        </is>
      </c>
      <c r="H5" s="34" t="inlineStr">
        <is>
          <t>Linha do DRE</t>
        </is>
      </c>
      <c r="I5" s="34" t="inlineStr">
        <is>
          <t>Ativo?</t>
        </is>
      </c>
      <c r="J5" s="34" t="inlineStr">
        <is>
          <t>Observações</t>
        </is>
      </c>
    </row>
    <row r="6">
      <c r="A6" s="14" t="inlineStr">
        <is>
          <t>1.1.01</t>
        </is>
      </c>
      <c r="B6" s="29" t="inlineStr">
        <is>
          <t>RECEITAS</t>
        </is>
      </c>
      <c r="C6" s="29" t="inlineStr">
        <is>
          <t>Vendas</t>
        </is>
      </c>
      <c r="D6" s="29" t="inlineStr">
        <is>
          <t>Vendas de Produtos</t>
        </is>
      </c>
      <c r="E6" s="14" t="inlineStr">
        <is>
          <t>Receita</t>
        </is>
      </c>
      <c r="F6" s="14" t="inlineStr">
        <is>
          <t>Entrada</t>
        </is>
      </c>
      <c r="G6" s="14" t="inlineStr">
        <is>
          <t>Operacional</t>
        </is>
      </c>
      <c r="H6" s="29" t="inlineStr">
        <is>
          <t>Faturamento Bruto</t>
        </is>
      </c>
      <c r="I6" s="14" t="inlineStr">
        <is>
          <t>Sim</t>
        </is>
      </c>
      <c r="J6" s="29" t="inlineStr"/>
    </row>
    <row r="7">
      <c r="A7" s="14" t="inlineStr">
        <is>
          <t>1.1.02</t>
        </is>
      </c>
      <c r="B7" s="29" t="inlineStr">
        <is>
          <t>RECEITAS</t>
        </is>
      </c>
      <c r="C7" s="29" t="inlineStr">
        <is>
          <t>Vendas</t>
        </is>
      </c>
      <c r="D7" s="29" t="inlineStr">
        <is>
          <t>Vendas de Serviços</t>
        </is>
      </c>
      <c r="E7" s="14" t="inlineStr">
        <is>
          <t>Receita</t>
        </is>
      </c>
      <c r="F7" s="14" t="inlineStr">
        <is>
          <t>Entrada</t>
        </is>
      </c>
      <c r="G7" s="14" t="inlineStr">
        <is>
          <t>Operacional</t>
        </is>
      </c>
      <c r="H7" s="29" t="inlineStr">
        <is>
          <t>Faturamento Bruto</t>
        </is>
      </c>
      <c r="I7" s="14" t="inlineStr">
        <is>
          <t>Sim</t>
        </is>
      </c>
      <c r="J7" s="29" t="inlineStr"/>
    </row>
    <row r="8">
      <c r="A8" s="14" t="inlineStr">
        <is>
          <t>1.2.01</t>
        </is>
      </c>
      <c r="B8" s="29" t="inlineStr">
        <is>
          <t>RECEITAS</t>
        </is>
      </c>
      <c r="C8" s="29" t="inlineStr">
        <is>
          <t>Outras Receitas</t>
        </is>
      </c>
      <c r="D8" s="29" t="inlineStr">
        <is>
          <t>Outras Receitas Operacionais</t>
        </is>
      </c>
      <c r="E8" s="14" t="inlineStr">
        <is>
          <t>Receita</t>
        </is>
      </c>
      <c r="F8" s="14" t="inlineStr">
        <is>
          <t>Entrada</t>
        </is>
      </c>
      <c r="G8" s="14" t="inlineStr">
        <is>
          <t>Operacional</t>
        </is>
      </c>
      <c r="H8" s="29" t="inlineStr">
        <is>
          <t>Outras Receitas Operacionais</t>
        </is>
      </c>
      <c r="I8" s="14" t="inlineStr">
        <is>
          <t>Sim</t>
        </is>
      </c>
      <c r="J8" s="29" t="inlineStr"/>
    </row>
    <row r="9">
      <c r="A9" s="14" t="inlineStr">
        <is>
          <t>1.3.01</t>
        </is>
      </c>
      <c r="B9" s="29" t="inlineStr">
        <is>
          <t>RECEITAS</t>
        </is>
      </c>
      <c r="C9" s="29" t="inlineStr">
        <is>
          <t>Receitas Financeiras</t>
        </is>
      </c>
      <c r="D9" s="29" t="inlineStr">
        <is>
          <t>Rendimentos de Aplicações Financeiras</t>
        </is>
      </c>
      <c r="E9" s="14" t="inlineStr">
        <is>
          <t>Receita</t>
        </is>
      </c>
      <c r="F9" s="14" t="inlineStr">
        <is>
          <t>Entrada</t>
        </is>
      </c>
      <c r="G9" s="14" t="inlineStr">
        <is>
          <t>Operacional</t>
        </is>
      </c>
      <c r="H9" s="29" t="inlineStr">
        <is>
          <t>Receitas Financeiras</t>
        </is>
      </c>
      <c r="I9" s="14" t="inlineStr">
        <is>
          <t>Sim</t>
        </is>
      </c>
      <c r="J9" s="29" t="inlineStr"/>
    </row>
    <row r="10">
      <c r="A10" s="14" t="inlineStr">
        <is>
          <t>1.3.02</t>
        </is>
      </c>
      <c r="B10" s="29" t="inlineStr">
        <is>
          <t>RECEITAS</t>
        </is>
      </c>
      <c r="C10" s="29" t="inlineStr">
        <is>
          <t>Receitas Financeiras</t>
        </is>
      </c>
      <c r="D10" s="29" t="inlineStr">
        <is>
          <t>Juros Recebidos de Clientes</t>
        </is>
      </c>
      <c r="E10" s="14" t="inlineStr">
        <is>
          <t>Receita</t>
        </is>
      </c>
      <c r="F10" s="14" t="inlineStr">
        <is>
          <t>Entrada</t>
        </is>
      </c>
      <c r="G10" s="14" t="inlineStr">
        <is>
          <t>Operacional</t>
        </is>
      </c>
      <c r="H10" s="29" t="inlineStr">
        <is>
          <t>Receitas Financeiras</t>
        </is>
      </c>
      <c r="I10" s="14" t="inlineStr">
        <is>
          <t>Sim</t>
        </is>
      </c>
      <c r="J10" s="29" t="inlineStr"/>
    </row>
    <row r="11">
      <c r="A11" s="14" t="inlineStr">
        <is>
          <t>1.3.03</t>
        </is>
      </c>
      <c r="B11" s="29" t="inlineStr">
        <is>
          <t>RECEITAS</t>
        </is>
      </c>
      <c r="C11" s="29" t="inlineStr">
        <is>
          <t>Receitas Financeiras</t>
        </is>
      </c>
      <c r="D11" s="29" t="inlineStr">
        <is>
          <t>Descontos Obtidos de Fornecedores</t>
        </is>
      </c>
      <c r="E11" s="14" t="inlineStr">
        <is>
          <t>Receita</t>
        </is>
      </c>
      <c r="F11" s="14" t="inlineStr">
        <is>
          <t>Entrada</t>
        </is>
      </c>
      <c r="G11" s="14" t="inlineStr">
        <is>
          <t>Operacional</t>
        </is>
      </c>
      <c r="H11" s="29" t="inlineStr">
        <is>
          <t>Receitas Financeiras</t>
        </is>
      </c>
      <c r="I11" s="14" t="inlineStr">
        <is>
          <t>Sim</t>
        </is>
      </c>
      <c r="J11" s="29" t="inlineStr"/>
    </row>
    <row r="12">
      <c r="A12" s="14" t="inlineStr">
        <is>
          <t>1.4.01</t>
        </is>
      </c>
      <c r="B12" s="29" t="inlineStr">
        <is>
          <t>RECEITAS</t>
        </is>
      </c>
      <c r="C12" s="29" t="inlineStr">
        <is>
          <t>Devoluções e Cancelamentos</t>
        </is>
      </c>
      <c r="D12" s="29" t="inlineStr">
        <is>
          <t>Devoluções e Cancelamentos de Vendas</t>
        </is>
      </c>
      <c r="E12" s="14" t="inlineStr">
        <is>
          <t>Devolução</t>
        </is>
      </c>
      <c r="F12" s="14" t="inlineStr">
        <is>
          <t>Saída</t>
        </is>
      </c>
      <c r="G12" s="14" t="inlineStr">
        <is>
          <t>Operacional</t>
        </is>
      </c>
      <c r="H12" s="29" t="inlineStr">
        <is>
          <t>Devoluções</t>
        </is>
      </c>
      <c r="I12" s="14" t="inlineStr">
        <is>
          <t>Sim</t>
        </is>
      </c>
      <c r="J12" s="29" t="inlineStr"/>
    </row>
    <row r="13">
      <c r="A13" s="14" t="inlineStr">
        <is>
          <t>2.1.01</t>
        </is>
      </c>
      <c r="B13" s="29" t="inlineStr">
        <is>
          <t>CUSTOS</t>
        </is>
      </c>
      <c r="C13" s="29" t="inlineStr">
        <is>
          <t>Custos Variáveis</t>
        </is>
      </c>
      <c r="D13" s="29" t="inlineStr">
        <is>
          <t>Matéria-prima</t>
        </is>
      </c>
      <c r="E13" s="14" t="inlineStr">
        <is>
          <t>Custo</t>
        </is>
      </c>
      <c r="F13" s="14" t="inlineStr">
        <is>
          <t>Saída</t>
        </is>
      </c>
      <c r="G13" s="14" t="inlineStr">
        <is>
          <t>Operacional</t>
        </is>
      </c>
      <c r="H13" s="29" t="inlineStr">
        <is>
          <t>Custos Variáveis</t>
        </is>
      </c>
      <c r="I13" s="14" t="inlineStr">
        <is>
          <t>Sim</t>
        </is>
      </c>
      <c r="J13" s="29" t="inlineStr"/>
    </row>
    <row r="14">
      <c r="A14" s="14" t="inlineStr">
        <is>
          <t>2.1.02</t>
        </is>
      </c>
      <c r="B14" s="29" t="inlineStr">
        <is>
          <t>CUSTOS</t>
        </is>
      </c>
      <c r="C14" s="29" t="inlineStr">
        <is>
          <t>Custos Variáveis</t>
        </is>
      </c>
      <c r="D14" s="29" t="inlineStr">
        <is>
          <t>Mercadorias para Revenda</t>
        </is>
      </c>
      <c r="E14" s="14" t="inlineStr">
        <is>
          <t>Custo</t>
        </is>
      </c>
      <c r="F14" s="14" t="inlineStr">
        <is>
          <t>Saída</t>
        </is>
      </c>
      <c r="G14" s="14" t="inlineStr">
        <is>
          <t>Operacional</t>
        </is>
      </c>
      <c r="H14" s="29" t="inlineStr">
        <is>
          <t>Custos Variáveis</t>
        </is>
      </c>
      <c r="I14" s="14" t="inlineStr">
        <is>
          <t>Sim</t>
        </is>
      </c>
      <c r="J14" s="29" t="inlineStr"/>
    </row>
    <row r="15">
      <c r="A15" s="14" t="inlineStr">
        <is>
          <t>2.1.03</t>
        </is>
      </c>
      <c r="B15" s="29" t="inlineStr">
        <is>
          <t>CUSTOS</t>
        </is>
      </c>
      <c r="C15" s="29" t="inlineStr">
        <is>
          <t>Custos Variáveis</t>
        </is>
      </c>
      <c r="D15" s="29" t="inlineStr">
        <is>
          <t>Embalagens</t>
        </is>
      </c>
      <c r="E15" s="14" t="inlineStr">
        <is>
          <t>Custo</t>
        </is>
      </c>
      <c r="F15" s="14" t="inlineStr">
        <is>
          <t>Saída</t>
        </is>
      </c>
      <c r="G15" s="14" t="inlineStr">
        <is>
          <t>Operacional</t>
        </is>
      </c>
      <c r="H15" s="29" t="inlineStr">
        <is>
          <t>Custos Variáveis</t>
        </is>
      </c>
      <c r="I15" s="14" t="inlineStr">
        <is>
          <t>Sim</t>
        </is>
      </c>
      <c r="J15" s="29" t="inlineStr"/>
    </row>
    <row r="16">
      <c r="A16" s="14" t="inlineStr">
        <is>
          <t>2.1.04</t>
        </is>
      </c>
      <c r="B16" s="29" t="inlineStr">
        <is>
          <t>CUSTOS</t>
        </is>
      </c>
      <c r="C16" s="29" t="inlineStr">
        <is>
          <t>Custos Variáveis</t>
        </is>
      </c>
      <c r="D16" s="29" t="inlineStr">
        <is>
          <t>Fretes e Entregas sobre Vendas</t>
        </is>
      </c>
      <c r="E16" s="14" t="inlineStr">
        <is>
          <t>Custo</t>
        </is>
      </c>
      <c r="F16" s="14" t="inlineStr">
        <is>
          <t>Saída</t>
        </is>
      </c>
      <c r="G16" s="14" t="inlineStr">
        <is>
          <t>Operacional</t>
        </is>
      </c>
      <c r="H16" s="29" t="inlineStr">
        <is>
          <t>Custos Variáveis</t>
        </is>
      </c>
      <c r="I16" s="14" t="inlineStr">
        <is>
          <t>Sim</t>
        </is>
      </c>
      <c r="J16" s="29" t="inlineStr"/>
    </row>
    <row r="17">
      <c r="A17" s="14" t="inlineStr">
        <is>
          <t>2.1.05</t>
        </is>
      </c>
      <c r="B17" s="29" t="inlineStr">
        <is>
          <t>CUSTOS</t>
        </is>
      </c>
      <c r="C17" s="29" t="inlineStr">
        <is>
          <t>Custos Variáveis</t>
        </is>
      </c>
      <c r="D17" s="29" t="inlineStr">
        <is>
          <t>Comissões sobre Vendas</t>
        </is>
      </c>
      <c r="E17" s="14" t="inlineStr">
        <is>
          <t>Custo</t>
        </is>
      </c>
      <c r="F17" s="14" t="inlineStr">
        <is>
          <t>Saída</t>
        </is>
      </c>
      <c r="G17" s="14" t="inlineStr">
        <is>
          <t>Operacional</t>
        </is>
      </c>
      <c r="H17" s="29" t="inlineStr">
        <is>
          <t>Custos Variáveis</t>
        </is>
      </c>
      <c r="I17" s="14" t="inlineStr">
        <is>
          <t>Sim</t>
        </is>
      </c>
      <c r="J17" s="29" t="inlineStr"/>
    </row>
    <row r="18">
      <c r="A18" s="14" t="inlineStr">
        <is>
          <t>2.1.06</t>
        </is>
      </c>
      <c r="B18" s="29" t="inlineStr">
        <is>
          <t>CUSTOS</t>
        </is>
      </c>
      <c r="C18" s="29" t="inlineStr">
        <is>
          <t>Custos Variáveis</t>
        </is>
      </c>
      <c r="D18" s="29" t="inlineStr">
        <is>
          <t>Taxas de Marketplace</t>
        </is>
      </c>
      <c r="E18" s="14" t="inlineStr">
        <is>
          <t>Custo</t>
        </is>
      </c>
      <c r="F18" s="14" t="inlineStr">
        <is>
          <t>Saída</t>
        </is>
      </c>
      <c r="G18" s="14" t="inlineStr">
        <is>
          <t>Operacional</t>
        </is>
      </c>
      <c r="H18" s="29" t="inlineStr">
        <is>
          <t>Custos Variáveis</t>
        </is>
      </c>
      <c r="I18" s="14" t="inlineStr">
        <is>
          <t>Sim</t>
        </is>
      </c>
      <c r="J18" s="29" t="inlineStr"/>
    </row>
    <row r="19">
      <c r="A19" s="14" t="inlineStr">
        <is>
          <t>2.1.07</t>
        </is>
      </c>
      <c r="B19" s="29" t="inlineStr">
        <is>
          <t>CUSTOS</t>
        </is>
      </c>
      <c r="C19" s="29" t="inlineStr">
        <is>
          <t>Custos Variáveis</t>
        </is>
      </c>
      <c r="D19" s="29" t="inlineStr">
        <is>
          <t>Taxas de Cartão e Maquininha</t>
        </is>
      </c>
      <c r="E19" s="14" t="inlineStr">
        <is>
          <t>Custo</t>
        </is>
      </c>
      <c r="F19" s="14" t="inlineStr">
        <is>
          <t>Saída</t>
        </is>
      </c>
      <c r="G19" s="14" t="inlineStr">
        <is>
          <t>Operacional</t>
        </is>
      </c>
      <c r="H19" s="29" t="inlineStr">
        <is>
          <t>Custos Variáveis</t>
        </is>
      </c>
      <c r="I19" s="14" t="inlineStr">
        <is>
          <t>Sim</t>
        </is>
      </c>
      <c r="J19" s="29" t="inlineStr"/>
    </row>
    <row r="20">
      <c r="A20" s="14" t="inlineStr">
        <is>
          <t>2.1.08</t>
        </is>
      </c>
      <c r="B20" s="29" t="inlineStr">
        <is>
          <t>CUSTOS</t>
        </is>
      </c>
      <c r="C20" s="29" t="inlineStr">
        <is>
          <t>Custos Variáveis</t>
        </is>
      </c>
      <c r="D20" s="29" t="inlineStr">
        <is>
          <t>Outros Custos Diretos</t>
        </is>
      </c>
      <c r="E20" s="14" t="inlineStr">
        <is>
          <t>Custo</t>
        </is>
      </c>
      <c r="F20" s="14" t="inlineStr">
        <is>
          <t>Saída</t>
        </is>
      </c>
      <c r="G20" s="14" t="inlineStr">
        <is>
          <t>Operacional</t>
        </is>
      </c>
      <c r="H20" s="29" t="inlineStr">
        <is>
          <t>Custos Variáveis</t>
        </is>
      </c>
      <c r="I20" s="14" t="inlineStr">
        <is>
          <t>Sim</t>
        </is>
      </c>
      <c r="J20" s="29" t="inlineStr"/>
    </row>
    <row r="21">
      <c r="A21" s="14" t="inlineStr">
        <is>
          <t>3.1.01</t>
        </is>
      </c>
      <c r="B21" s="29" t="inlineStr">
        <is>
          <t>DESPESAS OPERACIONAIS</t>
        </is>
      </c>
      <c r="C21" s="29" t="inlineStr">
        <is>
          <t>Despesas Administrativas</t>
        </is>
      </c>
      <c r="D21" s="29" t="inlineStr">
        <is>
          <t>Aluguel</t>
        </is>
      </c>
      <c r="E21" s="14" t="inlineStr">
        <is>
          <t>Despesa</t>
        </is>
      </c>
      <c r="F21" s="14" t="inlineStr">
        <is>
          <t>Saída</t>
        </is>
      </c>
      <c r="G21" s="14" t="inlineStr">
        <is>
          <t>Operacional</t>
        </is>
      </c>
      <c r="H21" s="29" t="inlineStr">
        <is>
          <t>Despesas Fixas</t>
        </is>
      </c>
      <c r="I21" s="14" t="inlineStr">
        <is>
          <t>Sim</t>
        </is>
      </c>
      <c r="J21" s="29" t="inlineStr"/>
    </row>
    <row r="22">
      <c r="A22" s="14" t="inlineStr">
        <is>
          <t>3.1.02</t>
        </is>
      </c>
      <c r="B22" s="29" t="inlineStr">
        <is>
          <t>DESPESAS OPERACIONAIS</t>
        </is>
      </c>
      <c r="C22" s="29" t="inlineStr">
        <is>
          <t>Despesas Administrativas</t>
        </is>
      </c>
      <c r="D22" s="29" t="inlineStr">
        <is>
          <t>Energia Elétrica</t>
        </is>
      </c>
      <c r="E22" s="14" t="inlineStr">
        <is>
          <t>Despesa</t>
        </is>
      </c>
      <c r="F22" s="14" t="inlineStr">
        <is>
          <t>Saída</t>
        </is>
      </c>
      <c r="G22" s="14" t="inlineStr">
        <is>
          <t>Operacional</t>
        </is>
      </c>
      <c r="H22" s="29" t="inlineStr">
        <is>
          <t>Despesas Fixas</t>
        </is>
      </c>
      <c r="I22" s="14" t="inlineStr">
        <is>
          <t>Sim</t>
        </is>
      </c>
      <c r="J22" s="29" t="inlineStr"/>
    </row>
    <row r="23">
      <c r="A23" s="14" t="inlineStr">
        <is>
          <t>3.1.03</t>
        </is>
      </c>
      <c r="B23" s="29" t="inlineStr">
        <is>
          <t>DESPESAS OPERACIONAIS</t>
        </is>
      </c>
      <c r="C23" s="29" t="inlineStr">
        <is>
          <t>Despesas Administrativas</t>
        </is>
      </c>
      <c r="D23" s="29" t="inlineStr">
        <is>
          <t>Água e Saneamento</t>
        </is>
      </c>
      <c r="E23" s="14" t="inlineStr">
        <is>
          <t>Despesa</t>
        </is>
      </c>
      <c r="F23" s="14" t="inlineStr">
        <is>
          <t>Saída</t>
        </is>
      </c>
      <c r="G23" s="14" t="inlineStr">
        <is>
          <t>Operacional</t>
        </is>
      </c>
      <c r="H23" s="29" t="inlineStr">
        <is>
          <t>Despesas Fixas</t>
        </is>
      </c>
      <c r="I23" s="14" t="inlineStr">
        <is>
          <t>Sim</t>
        </is>
      </c>
      <c r="J23" s="29" t="inlineStr"/>
    </row>
    <row r="24">
      <c r="A24" s="14" t="inlineStr">
        <is>
          <t>3.1.04</t>
        </is>
      </c>
      <c r="B24" s="29" t="inlineStr">
        <is>
          <t>DESPESAS OPERACIONAIS</t>
        </is>
      </c>
      <c r="C24" s="29" t="inlineStr">
        <is>
          <t>Despesas Administrativas</t>
        </is>
      </c>
      <c r="D24" s="29" t="inlineStr">
        <is>
          <t>Internet e Telefonia</t>
        </is>
      </c>
      <c r="E24" s="14" t="inlineStr">
        <is>
          <t>Despesa</t>
        </is>
      </c>
      <c r="F24" s="14" t="inlineStr">
        <is>
          <t>Saída</t>
        </is>
      </c>
      <c r="G24" s="14" t="inlineStr">
        <is>
          <t>Operacional</t>
        </is>
      </c>
      <c r="H24" s="29" t="inlineStr">
        <is>
          <t>Despesas Fixas</t>
        </is>
      </c>
      <c r="I24" s="14" t="inlineStr">
        <is>
          <t>Sim</t>
        </is>
      </c>
      <c r="J24" s="29" t="inlineStr"/>
    </row>
    <row r="25">
      <c r="A25" s="14" t="inlineStr">
        <is>
          <t>3.1.05</t>
        </is>
      </c>
      <c r="B25" s="29" t="inlineStr">
        <is>
          <t>DESPESAS OPERACIONAIS</t>
        </is>
      </c>
      <c r="C25" s="29" t="inlineStr">
        <is>
          <t>Despesas Administrativas</t>
        </is>
      </c>
      <c r="D25" s="29" t="inlineStr">
        <is>
          <t>Contabilidade</t>
        </is>
      </c>
      <c r="E25" s="14" t="inlineStr">
        <is>
          <t>Despesa</t>
        </is>
      </c>
      <c r="F25" s="14" t="inlineStr">
        <is>
          <t>Saída</t>
        </is>
      </c>
      <c r="G25" s="14" t="inlineStr">
        <is>
          <t>Operacional</t>
        </is>
      </c>
      <c r="H25" s="29" t="inlineStr">
        <is>
          <t>Despesas Fixas</t>
        </is>
      </c>
      <c r="I25" s="14" t="inlineStr">
        <is>
          <t>Sim</t>
        </is>
      </c>
      <c r="J25" s="29" t="inlineStr"/>
    </row>
    <row r="26">
      <c r="A26" s="14" t="inlineStr">
        <is>
          <t>3.1.06</t>
        </is>
      </c>
      <c r="B26" s="29" t="inlineStr">
        <is>
          <t>DESPESAS OPERACIONAIS</t>
        </is>
      </c>
      <c r="C26" s="29" t="inlineStr">
        <is>
          <t>Despesas Administrativas</t>
        </is>
      </c>
      <c r="D26" s="29" t="inlineStr">
        <is>
          <t>Sistemas e Softwares</t>
        </is>
      </c>
      <c r="E26" s="14" t="inlineStr">
        <is>
          <t>Despesa</t>
        </is>
      </c>
      <c r="F26" s="14" t="inlineStr">
        <is>
          <t>Saída</t>
        </is>
      </c>
      <c r="G26" s="14" t="inlineStr">
        <is>
          <t>Operacional</t>
        </is>
      </c>
      <c r="H26" s="29" t="inlineStr">
        <is>
          <t>Despesas Fixas</t>
        </is>
      </c>
      <c r="I26" s="14" t="inlineStr">
        <is>
          <t>Sim</t>
        </is>
      </c>
      <c r="J26" s="29" t="inlineStr"/>
    </row>
    <row r="27">
      <c r="A27" s="14" t="inlineStr">
        <is>
          <t>3.1.07</t>
        </is>
      </c>
      <c r="B27" s="29" t="inlineStr">
        <is>
          <t>DESPESAS OPERACIONAIS</t>
        </is>
      </c>
      <c r="C27" s="29" t="inlineStr">
        <is>
          <t>Despesas Administrativas</t>
        </is>
      </c>
      <c r="D27" s="29" t="inlineStr">
        <is>
          <t>Material de Escritório</t>
        </is>
      </c>
      <c r="E27" s="14" t="inlineStr">
        <is>
          <t>Despesa</t>
        </is>
      </c>
      <c r="F27" s="14" t="inlineStr">
        <is>
          <t>Saída</t>
        </is>
      </c>
      <c r="G27" s="14" t="inlineStr">
        <is>
          <t>Operacional</t>
        </is>
      </c>
      <c r="H27" s="29" t="inlineStr">
        <is>
          <t>Despesas Fixas</t>
        </is>
      </c>
      <c r="I27" s="14" t="inlineStr">
        <is>
          <t>Sim</t>
        </is>
      </c>
      <c r="J27" s="29" t="inlineStr"/>
    </row>
    <row r="28">
      <c r="A28" s="14" t="inlineStr">
        <is>
          <t>3.1.08</t>
        </is>
      </c>
      <c r="B28" s="29" t="inlineStr">
        <is>
          <t>DESPESAS OPERACIONAIS</t>
        </is>
      </c>
      <c r="C28" s="29" t="inlineStr">
        <is>
          <t>Despesas Administrativas</t>
        </is>
      </c>
      <c r="D28" s="29" t="inlineStr">
        <is>
          <t>Manutenção e Conservação</t>
        </is>
      </c>
      <c r="E28" s="14" t="inlineStr">
        <is>
          <t>Despesa</t>
        </is>
      </c>
      <c r="F28" s="14" t="inlineStr">
        <is>
          <t>Saída</t>
        </is>
      </c>
      <c r="G28" s="14" t="inlineStr">
        <is>
          <t>Operacional</t>
        </is>
      </c>
      <c r="H28" s="29" t="inlineStr">
        <is>
          <t>Despesas Fixas</t>
        </is>
      </c>
      <c r="I28" s="14" t="inlineStr">
        <is>
          <t>Sim</t>
        </is>
      </c>
      <c r="J28" s="29" t="inlineStr"/>
    </row>
    <row r="29">
      <c r="A29" s="14" t="inlineStr">
        <is>
          <t>3.1.09</t>
        </is>
      </c>
      <c r="B29" s="29" t="inlineStr">
        <is>
          <t>DESPESAS OPERACIONAIS</t>
        </is>
      </c>
      <c r="C29" s="29" t="inlineStr">
        <is>
          <t>Despesas Administrativas</t>
        </is>
      </c>
      <c r="D29" s="29" t="inlineStr">
        <is>
          <t>Seguros</t>
        </is>
      </c>
      <c r="E29" s="14" t="inlineStr">
        <is>
          <t>Despesa</t>
        </is>
      </c>
      <c r="F29" s="14" t="inlineStr">
        <is>
          <t>Saída</t>
        </is>
      </c>
      <c r="G29" s="14" t="inlineStr">
        <is>
          <t>Operacional</t>
        </is>
      </c>
      <c r="H29" s="29" t="inlineStr">
        <is>
          <t>Despesas Fixas</t>
        </is>
      </c>
      <c r="I29" s="14" t="inlineStr">
        <is>
          <t>Sim</t>
        </is>
      </c>
      <c r="J29" s="29" t="inlineStr"/>
    </row>
    <row r="30">
      <c r="A30" s="14" t="inlineStr">
        <is>
          <t>3.1.10</t>
        </is>
      </c>
      <c r="B30" s="29" t="inlineStr">
        <is>
          <t>DESPESAS OPERACIONAIS</t>
        </is>
      </c>
      <c r="C30" s="29" t="inlineStr">
        <is>
          <t>Despesas Administrativas</t>
        </is>
      </c>
      <c r="D30" s="29" t="inlineStr">
        <is>
          <t>Despesas Legais e Jurídicas</t>
        </is>
      </c>
      <c r="E30" s="14" t="inlineStr">
        <is>
          <t>Despesa</t>
        </is>
      </c>
      <c r="F30" s="14" t="inlineStr">
        <is>
          <t>Saída</t>
        </is>
      </c>
      <c r="G30" s="14" t="inlineStr">
        <is>
          <t>Operacional</t>
        </is>
      </c>
      <c r="H30" s="29" t="inlineStr">
        <is>
          <t>Despesas Fixas</t>
        </is>
      </c>
      <c r="I30" s="14" t="inlineStr">
        <is>
          <t>Sim</t>
        </is>
      </c>
      <c r="J30" s="29" t="inlineStr"/>
    </row>
    <row r="31">
      <c r="A31" s="14" t="inlineStr">
        <is>
          <t>3.1.11</t>
        </is>
      </c>
      <c r="B31" s="29" t="inlineStr">
        <is>
          <t>DESPESAS OPERACIONAIS</t>
        </is>
      </c>
      <c r="C31" s="29" t="inlineStr">
        <is>
          <t>Despesas Administrativas</t>
        </is>
      </c>
      <c r="D31" s="29" t="inlineStr">
        <is>
          <t>Outras Despesas Administrativas</t>
        </is>
      </c>
      <c r="E31" s="14" t="inlineStr">
        <is>
          <t>Despesa</t>
        </is>
      </c>
      <c r="F31" s="14" t="inlineStr">
        <is>
          <t>Saída</t>
        </is>
      </c>
      <c r="G31" s="14" t="inlineStr">
        <is>
          <t>Operacional</t>
        </is>
      </c>
      <c r="H31" s="29" t="inlineStr">
        <is>
          <t>Despesas Fixas</t>
        </is>
      </c>
      <c r="I31" s="14" t="inlineStr">
        <is>
          <t>Sim</t>
        </is>
      </c>
      <c r="J31" s="29" t="inlineStr"/>
    </row>
    <row r="32">
      <c r="A32" s="14" t="inlineStr">
        <is>
          <t>3.2.01</t>
        </is>
      </c>
      <c r="B32" s="29" t="inlineStr">
        <is>
          <t>DESPESAS OPERACIONAIS</t>
        </is>
      </c>
      <c r="C32" s="29" t="inlineStr">
        <is>
          <t>Despesas com Pessoal</t>
        </is>
      </c>
      <c r="D32" s="29" t="inlineStr">
        <is>
          <t>Salários</t>
        </is>
      </c>
      <c r="E32" s="14" t="inlineStr">
        <is>
          <t>Despesa</t>
        </is>
      </c>
      <c r="F32" s="14" t="inlineStr">
        <is>
          <t>Saída</t>
        </is>
      </c>
      <c r="G32" s="14" t="inlineStr">
        <is>
          <t>Operacional</t>
        </is>
      </c>
      <c r="H32" s="29" t="inlineStr">
        <is>
          <t>Despesas Fixas</t>
        </is>
      </c>
      <c r="I32" s="14" t="inlineStr">
        <is>
          <t>Sim</t>
        </is>
      </c>
      <c r="J32" s="29" t="inlineStr"/>
    </row>
    <row r="33">
      <c r="A33" s="14" t="inlineStr">
        <is>
          <t>3.2.02</t>
        </is>
      </c>
      <c r="B33" s="29" t="inlineStr">
        <is>
          <t>DESPESAS OPERACIONAIS</t>
        </is>
      </c>
      <c r="C33" s="29" t="inlineStr">
        <is>
          <t>Despesas com Pessoal</t>
        </is>
      </c>
      <c r="D33" s="29" t="inlineStr">
        <is>
          <t>Encargos Sociais (FGTS/INSS)</t>
        </is>
      </c>
      <c r="E33" s="14" t="inlineStr">
        <is>
          <t>Despesa</t>
        </is>
      </c>
      <c r="F33" s="14" t="inlineStr">
        <is>
          <t>Saída</t>
        </is>
      </c>
      <c r="G33" s="14" t="inlineStr">
        <is>
          <t>Operacional</t>
        </is>
      </c>
      <c r="H33" s="29" t="inlineStr">
        <is>
          <t>Despesas Fixas</t>
        </is>
      </c>
      <c r="I33" s="14" t="inlineStr">
        <is>
          <t>Sim</t>
        </is>
      </c>
      <c r="J33" s="29" t="inlineStr"/>
    </row>
    <row r="34">
      <c r="A34" s="14" t="inlineStr">
        <is>
          <t>3.2.03</t>
        </is>
      </c>
      <c r="B34" s="29" t="inlineStr">
        <is>
          <t>DESPESAS OPERACIONAIS</t>
        </is>
      </c>
      <c r="C34" s="29" t="inlineStr">
        <is>
          <t>Despesas com Pessoal</t>
        </is>
      </c>
      <c r="D34" s="29" t="inlineStr">
        <is>
          <t>Benefícios (VT/VA/Plano de Saúde)</t>
        </is>
      </c>
      <c r="E34" s="14" t="inlineStr">
        <is>
          <t>Despesa</t>
        </is>
      </c>
      <c r="F34" s="14" t="inlineStr">
        <is>
          <t>Saída</t>
        </is>
      </c>
      <c r="G34" s="14" t="inlineStr">
        <is>
          <t>Operacional</t>
        </is>
      </c>
      <c r="H34" s="29" t="inlineStr">
        <is>
          <t>Despesas Fixas</t>
        </is>
      </c>
      <c r="I34" s="14" t="inlineStr">
        <is>
          <t>Sim</t>
        </is>
      </c>
      <c r="J34" s="29" t="inlineStr"/>
    </row>
    <row r="35">
      <c r="A35" s="14" t="inlineStr">
        <is>
          <t>3.2.04</t>
        </is>
      </c>
      <c r="B35" s="29" t="inlineStr">
        <is>
          <t>DESPESAS OPERACIONAIS</t>
        </is>
      </c>
      <c r="C35" s="29" t="inlineStr">
        <is>
          <t>Despesas com Pessoal</t>
        </is>
      </c>
      <c r="D35" s="29" t="inlineStr">
        <is>
          <t>Pró-labore</t>
        </is>
      </c>
      <c r="E35" s="14" t="inlineStr">
        <is>
          <t>Pró-labore</t>
        </is>
      </c>
      <c r="F35" s="14" t="inlineStr">
        <is>
          <t>Saída</t>
        </is>
      </c>
      <c r="G35" s="14" t="inlineStr">
        <is>
          <t>Operacional</t>
        </is>
      </c>
      <c r="H35" s="29" t="inlineStr">
        <is>
          <t>Despesas Fixas</t>
        </is>
      </c>
      <c r="I35" s="14" t="inlineStr">
        <is>
          <t>Sim</t>
        </is>
      </c>
      <c r="J35" s="29" t="inlineStr"/>
    </row>
    <row r="36">
      <c r="A36" s="14" t="inlineStr">
        <is>
          <t>3.2.05</t>
        </is>
      </c>
      <c r="B36" s="29" t="inlineStr">
        <is>
          <t>DESPESAS OPERACIONAIS</t>
        </is>
      </c>
      <c r="C36" s="29" t="inlineStr">
        <is>
          <t>Despesas com Pessoal</t>
        </is>
      </c>
      <c r="D36" s="29" t="inlineStr">
        <is>
          <t>Treinamentos e Capacitação</t>
        </is>
      </c>
      <c r="E36" s="14" t="inlineStr">
        <is>
          <t>Despesa</t>
        </is>
      </c>
      <c r="F36" s="14" t="inlineStr">
        <is>
          <t>Saída</t>
        </is>
      </c>
      <c r="G36" s="14" t="inlineStr">
        <is>
          <t>Operacional</t>
        </is>
      </c>
      <c r="H36" s="29" t="inlineStr">
        <is>
          <t>Despesas Fixas</t>
        </is>
      </c>
      <c r="I36" s="14" t="inlineStr">
        <is>
          <t>Sim</t>
        </is>
      </c>
      <c r="J36" s="29" t="inlineStr"/>
    </row>
    <row r="37">
      <c r="A37" s="14" t="inlineStr">
        <is>
          <t>3.2.06</t>
        </is>
      </c>
      <c r="B37" s="29" t="inlineStr">
        <is>
          <t>DESPESAS OPERACIONAIS</t>
        </is>
      </c>
      <c r="C37" s="29" t="inlineStr">
        <is>
          <t>Despesas com Pessoal</t>
        </is>
      </c>
      <c r="D37" s="29" t="inlineStr">
        <is>
          <t>Serviços Terceirizados (PJ)</t>
        </is>
      </c>
      <c r="E37" s="14" t="inlineStr">
        <is>
          <t>Despesa</t>
        </is>
      </c>
      <c r="F37" s="14" t="inlineStr">
        <is>
          <t>Saída</t>
        </is>
      </c>
      <c r="G37" s="14" t="inlineStr">
        <is>
          <t>Operacional</t>
        </is>
      </c>
      <c r="H37" s="29" t="inlineStr">
        <is>
          <t>Despesas Fixas</t>
        </is>
      </c>
      <c r="I37" s="14" t="inlineStr">
        <is>
          <t>Sim</t>
        </is>
      </c>
      <c r="J37" s="29" t="inlineStr"/>
    </row>
    <row r="38">
      <c r="A38" s="14" t="inlineStr">
        <is>
          <t>3.3.01</t>
        </is>
      </c>
      <c r="B38" s="29" t="inlineStr">
        <is>
          <t>DESPESAS OPERACIONAIS</t>
        </is>
      </c>
      <c r="C38" s="29" t="inlineStr">
        <is>
          <t>Despesas Comerciais</t>
        </is>
      </c>
      <c r="D38" s="29" t="inlineStr">
        <is>
          <t>Marketing Digital</t>
        </is>
      </c>
      <c r="E38" s="14" t="inlineStr">
        <is>
          <t>Despesa</t>
        </is>
      </c>
      <c r="F38" s="14" t="inlineStr">
        <is>
          <t>Saída</t>
        </is>
      </c>
      <c r="G38" s="14" t="inlineStr">
        <is>
          <t>Operacional</t>
        </is>
      </c>
      <c r="H38" s="29" t="inlineStr">
        <is>
          <t>Despesas Fixas</t>
        </is>
      </c>
      <c r="I38" s="14" t="inlineStr">
        <is>
          <t>Sim</t>
        </is>
      </c>
      <c r="J38" s="29" t="inlineStr"/>
    </row>
    <row r="39">
      <c r="A39" s="14" t="inlineStr">
        <is>
          <t>3.3.02</t>
        </is>
      </c>
      <c r="B39" s="29" t="inlineStr">
        <is>
          <t>DESPESAS OPERACIONAIS</t>
        </is>
      </c>
      <c r="C39" s="29" t="inlineStr">
        <is>
          <t>Despesas Comerciais</t>
        </is>
      </c>
      <c r="D39" s="29" t="inlineStr">
        <is>
          <t>Publicidade e Anúncios</t>
        </is>
      </c>
      <c r="E39" s="14" t="inlineStr">
        <is>
          <t>Despesa</t>
        </is>
      </c>
      <c r="F39" s="14" t="inlineStr">
        <is>
          <t>Saída</t>
        </is>
      </c>
      <c r="G39" s="14" t="inlineStr">
        <is>
          <t>Operacional</t>
        </is>
      </c>
      <c r="H39" s="29" t="inlineStr">
        <is>
          <t>Despesas Fixas</t>
        </is>
      </c>
      <c r="I39" s="14" t="inlineStr">
        <is>
          <t>Sim</t>
        </is>
      </c>
      <c r="J39" s="29" t="inlineStr"/>
    </row>
    <row r="40">
      <c r="A40" s="14" t="inlineStr">
        <is>
          <t>3.3.03</t>
        </is>
      </c>
      <c r="B40" s="29" t="inlineStr">
        <is>
          <t>DESPESAS OPERACIONAIS</t>
        </is>
      </c>
      <c r="C40" s="29" t="inlineStr">
        <is>
          <t>Despesas Comerciais</t>
        </is>
      </c>
      <c r="D40" s="29" t="inlineStr">
        <is>
          <t>Eventos e Feiras</t>
        </is>
      </c>
      <c r="E40" s="14" t="inlineStr">
        <is>
          <t>Despesa</t>
        </is>
      </c>
      <c r="F40" s="14" t="inlineStr">
        <is>
          <t>Saída</t>
        </is>
      </c>
      <c r="G40" s="14" t="inlineStr">
        <is>
          <t>Operacional</t>
        </is>
      </c>
      <c r="H40" s="29" t="inlineStr">
        <is>
          <t>Despesas Fixas</t>
        </is>
      </c>
      <c r="I40" s="14" t="inlineStr">
        <is>
          <t>Sim</t>
        </is>
      </c>
      <c r="J40" s="29" t="inlineStr"/>
    </row>
    <row r="41">
      <c r="A41" s="14" t="inlineStr">
        <is>
          <t>3.3.04</t>
        </is>
      </c>
      <c r="B41" s="29" t="inlineStr">
        <is>
          <t>DESPESAS OPERACIONAIS</t>
        </is>
      </c>
      <c r="C41" s="29" t="inlineStr">
        <is>
          <t>Despesas Comerciais</t>
        </is>
      </c>
      <c r="D41" s="29" t="inlineStr">
        <is>
          <t>Viagens Comerciais</t>
        </is>
      </c>
      <c r="E41" s="14" t="inlineStr">
        <is>
          <t>Despesa</t>
        </is>
      </c>
      <c r="F41" s="14" t="inlineStr">
        <is>
          <t>Saída</t>
        </is>
      </c>
      <c r="G41" s="14" t="inlineStr">
        <is>
          <t>Operacional</t>
        </is>
      </c>
      <c r="H41" s="29" t="inlineStr">
        <is>
          <t>Despesas Fixas</t>
        </is>
      </c>
      <c r="I41" s="14" t="inlineStr">
        <is>
          <t>Sim</t>
        </is>
      </c>
      <c r="J41" s="29" t="inlineStr"/>
    </row>
    <row r="42">
      <c r="A42" s="14" t="inlineStr">
        <is>
          <t>3.3.05</t>
        </is>
      </c>
      <c r="B42" s="29" t="inlineStr">
        <is>
          <t>DESPESAS OPERACIONAIS</t>
        </is>
      </c>
      <c r="C42" s="29" t="inlineStr">
        <is>
          <t>Despesas Comerciais</t>
        </is>
      </c>
      <c r="D42" s="29" t="inlineStr">
        <is>
          <t>Brindes e Material de Divulgação</t>
        </is>
      </c>
      <c r="E42" s="14" t="inlineStr">
        <is>
          <t>Despesa</t>
        </is>
      </c>
      <c r="F42" s="14" t="inlineStr">
        <is>
          <t>Saída</t>
        </is>
      </c>
      <c r="G42" s="14" t="inlineStr">
        <is>
          <t>Operacional</t>
        </is>
      </c>
      <c r="H42" s="29" t="inlineStr">
        <is>
          <t>Despesas Fixas</t>
        </is>
      </c>
      <c r="I42" s="14" t="inlineStr">
        <is>
          <t>Sim</t>
        </is>
      </c>
      <c r="J42" s="29" t="inlineStr"/>
    </row>
    <row r="43">
      <c r="A43" s="14" t="inlineStr">
        <is>
          <t>3.4.01</t>
        </is>
      </c>
      <c r="B43" s="29" t="inlineStr">
        <is>
          <t>DESPESAS OPERACIONAIS</t>
        </is>
      </c>
      <c r="C43" s="29" t="inlineStr">
        <is>
          <t>Despesas Financeiras</t>
        </is>
      </c>
      <c r="D43" s="29" t="inlineStr">
        <is>
          <t>Juros de Empréstimos e Financiamentos</t>
        </is>
      </c>
      <c r="E43" s="14" t="inlineStr">
        <is>
          <t>Despesa</t>
        </is>
      </c>
      <c r="F43" s="14" t="inlineStr">
        <is>
          <t>Saída</t>
        </is>
      </c>
      <c r="G43" s="14" t="inlineStr">
        <is>
          <t>Operacional</t>
        </is>
      </c>
      <c r="H43" s="29" t="inlineStr">
        <is>
          <t>Despesas Financeiras</t>
        </is>
      </c>
      <c r="I43" s="14" t="inlineStr">
        <is>
          <t>Sim</t>
        </is>
      </c>
      <c r="J43" s="29" t="inlineStr"/>
    </row>
    <row r="44">
      <c r="A44" s="14" t="inlineStr">
        <is>
          <t>3.4.02</t>
        </is>
      </c>
      <c r="B44" s="29" t="inlineStr">
        <is>
          <t>DESPESAS OPERACIONAIS</t>
        </is>
      </c>
      <c r="C44" s="29" t="inlineStr">
        <is>
          <t>Despesas Financeiras</t>
        </is>
      </c>
      <c r="D44" s="29" t="inlineStr">
        <is>
          <t>Tarifas Bancárias</t>
        </is>
      </c>
      <c r="E44" s="14" t="inlineStr">
        <is>
          <t>Despesa</t>
        </is>
      </c>
      <c r="F44" s="14" t="inlineStr">
        <is>
          <t>Saída</t>
        </is>
      </c>
      <c r="G44" s="14" t="inlineStr">
        <is>
          <t>Operacional</t>
        </is>
      </c>
      <c r="H44" s="29" t="inlineStr">
        <is>
          <t>Despesas Financeiras</t>
        </is>
      </c>
      <c r="I44" s="14" t="inlineStr">
        <is>
          <t>Sim</t>
        </is>
      </c>
      <c r="J44" s="29" t="inlineStr"/>
    </row>
    <row r="45">
      <c r="A45" s="14" t="inlineStr">
        <is>
          <t>3.4.03</t>
        </is>
      </c>
      <c r="B45" s="29" t="inlineStr">
        <is>
          <t>DESPESAS OPERACIONAIS</t>
        </is>
      </c>
      <c r="C45" s="29" t="inlineStr">
        <is>
          <t>Despesas Financeiras</t>
        </is>
      </c>
      <c r="D45" s="29" t="inlineStr">
        <is>
          <t>IOF</t>
        </is>
      </c>
      <c r="E45" s="14" t="inlineStr">
        <is>
          <t>Despesa</t>
        </is>
      </c>
      <c r="F45" s="14" t="inlineStr">
        <is>
          <t>Saída</t>
        </is>
      </c>
      <c r="G45" s="14" t="inlineStr">
        <is>
          <t>Operacional</t>
        </is>
      </c>
      <c r="H45" s="29" t="inlineStr">
        <is>
          <t>Despesas Financeiras</t>
        </is>
      </c>
      <c r="I45" s="14" t="inlineStr">
        <is>
          <t>Sim</t>
        </is>
      </c>
      <c r="J45" s="29" t="inlineStr"/>
    </row>
    <row r="46">
      <c r="A46" s="14" t="inlineStr">
        <is>
          <t>3.4.04</t>
        </is>
      </c>
      <c r="B46" s="29" t="inlineStr">
        <is>
          <t>DESPESAS OPERACIONAIS</t>
        </is>
      </c>
      <c r="C46" s="29" t="inlineStr">
        <is>
          <t>Despesas Financeiras</t>
        </is>
      </c>
      <c r="D46" s="29" t="inlineStr">
        <is>
          <t>Multas e Penalidades</t>
        </is>
      </c>
      <c r="E46" s="14" t="inlineStr">
        <is>
          <t>Despesa</t>
        </is>
      </c>
      <c r="F46" s="14" t="inlineStr">
        <is>
          <t>Saída</t>
        </is>
      </c>
      <c r="G46" s="14" t="inlineStr">
        <is>
          <t>Operacional</t>
        </is>
      </c>
      <c r="H46" s="29" t="inlineStr">
        <is>
          <t>Despesas Financeiras</t>
        </is>
      </c>
      <c r="I46" s="14" t="inlineStr">
        <is>
          <t>Sim</t>
        </is>
      </c>
      <c r="J46" s="29" t="inlineStr"/>
    </row>
    <row r="47">
      <c r="A47" s="14" t="inlineStr">
        <is>
          <t>3.4.05</t>
        </is>
      </c>
      <c r="B47" s="29" t="inlineStr">
        <is>
          <t>DESPESAS OPERACIONAIS</t>
        </is>
      </c>
      <c r="C47" s="29" t="inlineStr">
        <is>
          <t>Despesas Financeiras</t>
        </is>
      </c>
      <c r="D47" s="29" t="inlineStr">
        <is>
          <t>Encargos por Atraso</t>
        </is>
      </c>
      <c r="E47" s="14" t="inlineStr">
        <is>
          <t>Despesa</t>
        </is>
      </c>
      <c r="F47" s="14" t="inlineStr">
        <is>
          <t>Saída</t>
        </is>
      </c>
      <c r="G47" s="14" t="inlineStr">
        <is>
          <t>Operacional</t>
        </is>
      </c>
      <c r="H47" s="29" t="inlineStr">
        <is>
          <t>Despesas Financeiras</t>
        </is>
      </c>
      <c r="I47" s="14" t="inlineStr">
        <is>
          <t>Sim</t>
        </is>
      </c>
      <c r="J47" s="29" t="inlineStr"/>
    </row>
    <row r="48">
      <c r="A48" s="14" t="inlineStr">
        <is>
          <t>3.4.06</t>
        </is>
      </c>
      <c r="B48" s="29" t="inlineStr">
        <is>
          <t>DESPESAS OPERACIONAIS</t>
        </is>
      </c>
      <c r="C48" s="29" t="inlineStr">
        <is>
          <t>Despesas Financeiras</t>
        </is>
      </c>
      <c r="D48" s="29" t="inlineStr">
        <is>
          <t>Juros de Antecipação de Recebíveis</t>
        </is>
      </c>
      <c r="E48" s="14" t="inlineStr">
        <is>
          <t>Despesa</t>
        </is>
      </c>
      <c r="F48" s="14" t="inlineStr">
        <is>
          <t>Saída</t>
        </is>
      </c>
      <c r="G48" s="14" t="inlineStr">
        <is>
          <t>Operacional</t>
        </is>
      </c>
      <c r="H48" s="29" t="inlineStr">
        <is>
          <t>Despesas Financeiras</t>
        </is>
      </c>
      <c r="I48" s="14" t="inlineStr">
        <is>
          <t>Sim</t>
        </is>
      </c>
      <c r="J48" s="29" t="inlineStr"/>
    </row>
    <row r="49">
      <c r="A49" s="14" t="inlineStr">
        <is>
          <t>3.5.01</t>
        </is>
      </c>
      <c r="B49" s="29" t="inlineStr">
        <is>
          <t>DESPESAS OPERACIONAIS</t>
        </is>
      </c>
      <c r="C49" s="29" t="inlineStr">
        <is>
          <t>Tributos</t>
        </is>
      </c>
      <c r="D49" s="29" t="inlineStr">
        <is>
          <t>Simples Nacional</t>
        </is>
      </c>
      <c r="E49" s="14" t="inlineStr">
        <is>
          <t>Imposto</t>
        </is>
      </c>
      <c r="F49" s="14" t="inlineStr">
        <is>
          <t>Saída</t>
        </is>
      </c>
      <c r="G49" s="14" t="inlineStr">
        <is>
          <t>Operacional</t>
        </is>
      </c>
      <c r="H49" s="29" t="inlineStr">
        <is>
          <t>Impostos sobre Vendas</t>
        </is>
      </c>
      <c r="I49" s="14" t="inlineStr">
        <is>
          <t>Sim</t>
        </is>
      </c>
      <c r="J49" s="29" t="inlineStr"/>
    </row>
    <row r="50">
      <c r="A50" s="14" t="inlineStr">
        <is>
          <t>3.5.02</t>
        </is>
      </c>
      <c r="B50" s="29" t="inlineStr">
        <is>
          <t>DESPESAS OPERACIONAIS</t>
        </is>
      </c>
      <c r="C50" s="29" t="inlineStr">
        <is>
          <t>Tributos</t>
        </is>
      </c>
      <c r="D50" s="29" t="inlineStr">
        <is>
          <t>ICMS</t>
        </is>
      </c>
      <c r="E50" s="14" t="inlineStr">
        <is>
          <t>Imposto</t>
        </is>
      </c>
      <c r="F50" s="14" t="inlineStr">
        <is>
          <t>Saída</t>
        </is>
      </c>
      <c r="G50" s="14" t="inlineStr">
        <is>
          <t>Operacional</t>
        </is>
      </c>
      <c r="H50" s="29" t="inlineStr">
        <is>
          <t>Impostos sobre Vendas</t>
        </is>
      </c>
      <c r="I50" s="14" t="inlineStr">
        <is>
          <t>Sim</t>
        </is>
      </c>
      <c r="J50" s="29" t="inlineStr"/>
    </row>
    <row r="51">
      <c r="A51" s="14" t="inlineStr">
        <is>
          <t>3.5.03</t>
        </is>
      </c>
      <c r="B51" s="29" t="inlineStr">
        <is>
          <t>DESPESAS OPERACIONAIS</t>
        </is>
      </c>
      <c r="C51" s="29" t="inlineStr">
        <is>
          <t>Tributos</t>
        </is>
      </c>
      <c r="D51" s="29" t="inlineStr">
        <is>
          <t>ISS</t>
        </is>
      </c>
      <c r="E51" s="14" t="inlineStr">
        <is>
          <t>Imposto</t>
        </is>
      </c>
      <c r="F51" s="14" t="inlineStr">
        <is>
          <t>Saída</t>
        </is>
      </c>
      <c r="G51" s="14" t="inlineStr">
        <is>
          <t>Operacional</t>
        </is>
      </c>
      <c r="H51" s="29" t="inlineStr">
        <is>
          <t>Impostos sobre Vendas</t>
        </is>
      </c>
      <c r="I51" s="14" t="inlineStr">
        <is>
          <t>Sim</t>
        </is>
      </c>
      <c r="J51" s="29" t="inlineStr"/>
    </row>
    <row r="52">
      <c r="A52" s="14" t="inlineStr">
        <is>
          <t>3.5.04</t>
        </is>
      </c>
      <c r="B52" s="29" t="inlineStr">
        <is>
          <t>DESPESAS OPERACIONAIS</t>
        </is>
      </c>
      <c r="C52" s="29" t="inlineStr">
        <is>
          <t>Tributos</t>
        </is>
      </c>
      <c r="D52" s="29" t="inlineStr">
        <is>
          <t>PIS/COFINS</t>
        </is>
      </c>
      <c r="E52" s="14" t="inlineStr">
        <is>
          <t>Imposto</t>
        </is>
      </c>
      <c r="F52" s="14" t="inlineStr">
        <is>
          <t>Saída</t>
        </is>
      </c>
      <c r="G52" s="14" t="inlineStr">
        <is>
          <t>Operacional</t>
        </is>
      </c>
      <c r="H52" s="29" t="inlineStr">
        <is>
          <t>Impostos sobre Vendas</t>
        </is>
      </c>
      <c r="I52" s="14" t="inlineStr">
        <is>
          <t>Sim</t>
        </is>
      </c>
      <c r="J52" s="29" t="inlineStr"/>
    </row>
    <row r="53">
      <c r="A53" s="14" t="inlineStr">
        <is>
          <t>3.5.05</t>
        </is>
      </c>
      <c r="B53" s="29" t="inlineStr">
        <is>
          <t>DESPESAS OPERACIONAIS</t>
        </is>
      </c>
      <c r="C53" s="29" t="inlineStr">
        <is>
          <t>Tributos</t>
        </is>
      </c>
      <c r="D53" s="29" t="inlineStr">
        <is>
          <t>Outros Impostos e Taxas</t>
        </is>
      </c>
      <c r="E53" s="14" t="inlineStr">
        <is>
          <t>Imposto</t>
        </is>
      </c>
      <c r="F53" s="14" t="inlineStr">
        <is>
          <t>Saída</t>
        </is>
      </c>
      <c r="G53" s="14" t="inlineStr">
        <is>
          <t>Operacional</t>
        </is>
      </c>
      <c r="H53" s="29" t="inlineStr">
        <is>
          <t>Impostos sobre Vendas</t>
        </is>
      </c>
      <c r="I53" s="14" t="inlineStr">
        <is>
          <t>Sim</t>
        </is>
      </c>
      <c r="J53" s="29" t="inlineStr"/>
    </row>
    <row r="54">
      <c r="A54" s="14" t="inlineStr">
        <is>
          <t>3.5.06</t>
        </is>
      </c>
      <c r="B54" s="29" t="inlineStr">
        <is>
          <t>DESPESAS OPERACIONAIS</t>
        </is>
      </c>
      <c r="C54" s="29" t="inlineStr">
        <is>
          <t>Tributos</t>
        </is>
      </c>
      <c r="D54" s="29" t="inlineStr">
        <is>
          <t>IRPJ e CSLL</t>
        </is>
      </c>
      <c r="E54" s="14" t="inlineStr">
        <is>
          <t>Imposto</t>
        </is>
      </c>
      <c r="F54" s="14" t="inlineStr">
        <is>
          <t>Saída</t>
        </is>
      </c>
      <c r="G54" s="14" t="inlineStr">
        <is>
          <t>Operacional</t>
        </is>
      </c>
      <c r="H54" s="29" t="inlineStr">
        <is>
          <t>Impostos sobre o Resultado</t>
        </is>
      </c>
      <c r="I54" s="14" t="inlineStr">
        <is>
          <t>Sim</t>
        </is>
      </c>
      <c r="J54" s="29" t="inlineStr"/>
    </row>
    <row r="55">
      <c r="A55" s="14" t="inlineStr">
        <is>
          <t>4.1.01</t>
        </is>
      </c>
      <c r="B55" s="29" t="inlineStr">
        <is>
          <t>INVESTIMENTOS</t>
        </is>
      </c>
      <c r="C55" s="29" t="inlineStr">
        <is>
          <t>Investimentos</t>
        </is>
      </c>
      <c r="D55" s="29" t="inlineStr">
        <is>
          <t>Máquinas e Equipamentos</t>
        </is>
      </c>
      <c r="E55" s="14" t="inlineStr">
        <is>
          <t>Investimento</t>
        </is>
      </c>
      <c r="F55" s="14" t="inlineStr">
        <is>
          <t>Saída</t>
        </is>
      </c>
      <c r="G55" s="14" t="inlineStr">
        <is>
          <t>Investimento</t>
        </is>
      </c>
      <c r="H55" s="29" t="inlineStr">
        <is>
          <t>Investimentos (CAPEX)</t>
        </is>
      </c>
      <c r="I55" s="14" t="inlineStr">
        <is>
          <t>Sim</t>
        </is>
      </c>
      <c r="J55" s="29" t="inlineStr"/>
    </row>
    <row r="56">
      <c r="A56" s="14" t="inlineStr">
        <is>
          <t>4.1.02</t>
        </is>
      </c>
      <c r="B56" s="29" t="inlineStr">
        <is>
          <t>INVESTIMENTOS</t>
        </is>
      </c>
      <c r="C56" s="29" t="inlineStr">
        <is>
          <t>Investimentos</t>
        </is>
      </c>
      <c r="D56" s="29" t="inlineStr">
        <is>
          <t>Veículos</t>
        </is>
      </c>
      <c r="E56" s="14" t="inlineStr">
        <is>
          <t>Investimento</t>
        </is>
      </c>
      <c r="F56" s="14" t="inlineStr">
        <is>
          <t>Saída</t>
        </is>
      </c>
      <c r="G56" s="14" t="inlineStr">
        <is>
          <t>Investimento</t>
        </is>
      </c>
      <c r="H56" s="29" t="inlineStr">
        <is>
          <t>Investimentos (CAPEX)</t>
        </is>
      </c>
      <c r="I56" s="14" t="inlineStr">
        <is>
          <t>Sim</t>
        </is>
      </c>
      <c r="J56" s="29" t="inlineStr"/>
    </row>
    <row r="57">
      <c r="A57" s="14" t="inlineStr">
        <is>
          <t>4.1.03</t>
        </is>
      </c>
      <c r="B57" s="29" t="inlineStr">
        <is>
          <t>INVESTIMENTOS</t>
        </is>
      </c>
      <c r="C57" s="29" t="inlineStr">
        <is>
          <t>Investimentos</t>
        </is>
      </c>
      <c r="D57" s="29" t="inlineStr">
        <is>
          <t>Móveis e Utensílios</t>
        </is>
      </c>
      <c r="E57" s="14" t="inlineStr">
        <is>
          <t>Investimento</t>
        </is>
      </c>
      <c r="F57" s="14" t="inlineStr">
        <is>
          <t>Saída</t>
        </is>
      </c>
      <c r="G57" s="14" t="inlineStr">
        <is>
          <t>Investimento</t>
        </is>
      </c>
      <c r="H57" s="29" t="inlineStr">
        <is>
          <t>Investimentos (CAPEX)</t>
        </is>
      </c>
      <c r="I57" s="14" t="inlineStr">
        <is>
          <t>Sim</t>
        </is>
      </c>
      <c r="J57" s="29" t="inlineStr"/>
    </row>
    <row r="58">
      <c r="A58" s="14" t="inlineStr">
        <is>
          <t>4.1.04</t>
        </is>
      </c>
      <c r="B58" s="29" t="inlineStr">
        <is>
          <t>INVESTIMENTOS</t>
        </is>
      </c>
      <c r="C58" s="29" t="inlineStr">
        <is>
          <t>Investimentos</t>
        </is>
      </c>
      <c r="D58" s="29" t="inlineStr">
        <is>
          <t>Tecnologia e Informática</t>
        </is>
      </c>
      <c r="E58" s="14" t="inlineStr">
        <is>
          <t>Investimento</t>
        </is>
      </c>
      <c r="F58" s="14" t="inlineStr">
        <is>
          <t>Saída</t>
        </is>
      </c>
      <c r="G58" s="14" t="inlineStr">
        <is>
          <t>Investimento</t>
        </is>
      </c>
      <c r="H58" s="29" t="inlineStr">
        <is>
          <t>Investimentos (CAPEX)</t>
        </is>
      </c>
      <c r="I58" s="14" t="inlineStr">
        <is>
          <t>Sim</t>
        </is>
      </c>
      <c r="J58" s="29" t="inlineStr"/>
    </row>
    <row r="59">
      <c r="A59" s="14" t="inlineStr">
        <is>
          <t>4.1.05</t>
        </is>
      </c>
      <c r="B59" s="29" t="inlineStr">
        <is>
          <t>INVESTIMENTOS</t>
        </is>
      </c>
      <c r="C59" s="29" t="inlineStr">
        <is>
          <t>Investimentos</t>
        </is>
      </c>
      <c r="D59" s="29" t="inlineStr">
        <is>
          <t>Reformas e Benfeitorias</t>
        </is>
      </c>
      <c r="E59" s="14" t="inlineStr">
        <is>
          <t>Investimento</t>
        </is>
      </c>
      <c r="F59" s="14" t="inlineStr">
        <is>
          <t>Saída</t>
        </is>
      </c>
      <c r="G59" s="14" t="inlineStr">
        <is>
          <t>Investimento</t>
        </is>
      </c>
      <c r="H59" s="29" t="inlineStr">
        <is>
          <t>Investimentos (CAPEX)</t>
        </is>
      </c>
      <c r="I59" s="14" t="inlineStr">
        <is>
          <t>Sim</t>
        </is>
      </c>
      <c r="J59" s="29" t="inlineStr"/>
    </row>
    <row r="60">
      <c r="A60" s="14" t="inlineStr">
        <is>
          <t>4.1.06</t>
        </is>
      </c>
      <c r="B60" s="29" t="inlineStr">
        <is>
          <t>INVESTIMENTOS</t>
        </is>
      </c>
      <c r="C60" s="29" t="inlineStr">
        <is>
          <t>Investimentos</t>
        </is>
      </c>
      <c r="D60" s="29" t="inlineStr">
        <is>
          <t>Outros Investimentos</t>
        </is>
      </c>
      <c r="E60" s="14" t="inlineStr">
        <is>
          <t>Investimento</t>
        </is>
      </c>
      <c r="F60" s="14" t="inlineStr">
        <is>
          <t>Saída</t>
        </is>
      </c>
      <c r="G60" s="14" t="inlineStr">
        <is>
          <t>Investimento</t>
        </is>
      </c>
      <c r="H60" s="29" t="inlineStr">
        <is>
          <t>Investimentos (CAPEX)</t>
        </is>
      </c>
      <c r="I60" s="14" t="inlineStr">
        <is>
          <t>Sim</t>
        </is>
      </c>
      <c r="J60" s="29" t="inlineStr"/>
    </row>
    <row r="61">
      <c r="A61" s="14" t="inlineStr">
        <is>
          <t>5.1.01</t>
        </is>
      </c>
      <c r="B61" s="29" t="inlineStr">
        <is>
          <t>FINANCIAMENTOS</t>
        </is>
      </c>
      <c r="C61" s="29" t="inlineStr">
        <is>
          <t>Empréstimos e Financiamentos</t>
        </is>
      </c>
      <c r="D61" s="29" t="inlineStr">
        <is>
          <t>Empréstimos e Financiamentos Recebidos</t>
        </is>
      </c>
      <c r="E61" s="14" t="inlineStr">
        <is>
          <t>Empréstimo</t>
        </is>
      </c>
      <c r="F61" s="14" t="inlineStr">
        <is>
          <t>Entrada</t>
        </is>
      </c>
      <c r="G61" s="14" t="inlineStr">
        <is>
          <t>Financiamento</t>
        </is>
      </c>
      <c r="H61" s="29" t="inlineStr">
        <is>
          <t>Financiamentos e Sócios (Principal)</t>
        </is>
      </c>
      <c r="I61" s="14" t="inlineStr">
        <is>
          <t>Sim</t>
        </is>
      </c>
      <c r="J61" s="29" t="inlineStr"/>
    </row>
    <row r="62">
      <c r="A62" s="14" t="inlineStr">
        <is>
          <t>5.1.02</t>
        </is>
      </c>
      <c r="B62" s="29" t="inlineStr">
        <is>
          <t>FINANCIAMENTOS</t>
        </is>
      </c>
      <c r="C62" s="29" t="inlineStr">
        <is>
          <t>Empréstimos e Financiamentos</t>
        </is>
      </c>
      <c r="D62" s="29" t="inlineStr">
        <is>
          <t>Pagamento de Principal de Empréstimos</t>
        </is>
      </c>
      <c r="E62" s="14" t="inlineStr">
        <is>
          <t>Empréstimo</t>
        </is>
      </c>
      <c r="F62" s="14" t="inlineStr">
        <is>
          <t>Saída</t>
        </is>
      </c>
      <c r="G62" s="14" t="inlineStr">
        <is>
          <t>Financiamento</t>
        </is>
      </c>
      <c r="H62" s="29" t="inlineStr">
        <is>
          <t>Financiamentos e Sócios (Principal)</t>
        </is>
      </c>
      <c r="I62" s="14" t="inlineStr">
        <is>
          <t>Sim</t>
        </is>
      </c>
      <c r="J62" s="29" t="inlineStr"/>
    </row>
    <row r="63">
      <c r="A63" s="14" t="inlineStr">
        <is>
          <t>5.1.03</t>
        </is>
      </c>
      <c r="B63" s="29" t="inlineStr">
        <is>
          <t>FINANCIAMENTOS</t>
        </is>
      </c>
      <c r="C63" s="29" t="inlineStr">
        <is>
          <t>Empréstimos e Financiamentos</t>
        </is>
      </c>
      <c r="D63" s="29" t="inlineStr">
        <is>
          <t>Parcelamento de Dívidas e Tributos</t>
        </is>
      </c>
      <c r="E63" s="14" t="inlineStr">
        <is>
          <t>Empréstimo</t>
        </is>
      </c>
      <c r="F63" s="14" t="inlineStr">
        <is>
          <t>Saída</t>
        </is>
      </c>
      <c r="G63" s="14" t="inlineStr">
        <is>
          <t>Financiamento</t>
        </is>
      </c>
      <c r="H63" s="29" t="inlineStr">
        <is>
          <t>Financiamentos e Sócios (Principal)</t>
        </is>
      </c>
      <c r="I63" s="14" t="inlineStr">
        <is>
          <t>Sim</t>
        </is>
      </c>
      <c r="J63" s="29" t="inlineStr"/>
    </row>
    <row r="64">
      <c r="A64" s="14" t="inlineStr">
        <is>
          <t>6.1.01</t>
        </is>
      </c>
      <c r="B64" s="29" t="inlineStr">
        <is>
          <t>PATRIMÔNIO LÍQUIDO</t>
        </is>
      </c>
      <c r="C64" s="29" t="inlineStr">
        <is>
          <t>Patrimônio Líquido</t>
        </is>
      </c>
      <c r="D64" s="29" t="inlineStr">
        <is>
          <t>Distribuição de Lucros aos Sócios</t>
        </is>
      </c>
      <c r="E64" s="14" t="inlineStr">
        <is>
          <t>Distribuição de lucros</t>
        </is>
      </c>
      <c r="F64" s="14" t="inlineStr">
        <is>
          <t>Saída</t>
        </is>
      </c>
      <c r="G64" s="14" t="inlineStr">
        <is>
          <t>Financiamento</t>
        </is>
      </c>
      <c r="H64" s="29" t="inlineStr">
        <is>
          <t>Distribuição de Lucros</t>
        </is>
      </c>
      <c r="I64" s="14" t="inlineStr">
        <is>
          <t>Sim</t>
        </is>
      </c>
      <c r="J64" s="29" t="inlineStr"/>
    </row>
    <row r="65">
      <c r="A65" s="14" t="inlineStr">
        <is>
          <t>6.1.02</t>
        </is>
      </c>
      <c r="B65" s="29" t="inlineStr">
        <is>
          <t>PATRIMÔNIO LÍQUIDO</t>
        </is>
      </c>
      <c r="C65" s="29" t="inlineStr">
        <is>
          <t>Patrimônio Líquido</t>
        </is>
      </c>
      <c r="D65" s="29" t="inlineStr">
        <is>
          <t>Aporte de Capital dos Sócios</t>
        </is>
      </c>
      <c r="E65" s="14" t="inlineStr">
        <is>
          <t>Aporte de Capital</t>
        </is>
      </c>
      <c r="F65" s="14" t="inlineStr">
        <is>
          <t>Entrada</t>
        </is>
      </c>
      <c r="G65" s="14" t="inlineStr">
        <is>
          <t>Financiamento</t>
        </is>
      </c>
      <c r="H65" s="29" t="inlineStr">
        <is>
          <t>Financiamentos e Sócios (Principal)</t>
        </is>
      </c>
      <c r="I65" s="14" t="inlineStr">
        <is>
          <t>Sim</t>
        </is>
      </c>
      <c r="J65" s="29" t="inlineStr"/>
    </row>
    <row r="66">
      <c r="A66" s="14" t="n"/>
      <c r="B66" s="29" t="n"/>
      <c r="C66" s="29" t="n"/>
      <c r="D66" s="29" t="n"/>
      <c r="E66" s="14" t="n"/>
      <c r="F66" s="14" t="n"/>
      <c r="G66" s="14" t="n"/>
      <c r="H66" s="29" t="n"/>
      <c r="I66" s="14" t="n"/>
      <c r="J66" s="29" t="n"/>
    </row>
    <row r="67">
      <c r="A67" s="14" t="n"/>
      <c r="B67" s="29" t="n"/>
      <c r="C67" s="29" t="n"/>
      <c r="D67" s="29" t="n"/>
      <c r="E67" s="14" t="n"/>
      <c r="F67" s="14" t="n"/>
      <c r="G67" s="14" t="n"/>
      <c r="H67" s="29" t="n"/>
      <c r="I67" s="14" t="n"/>
      <c r="J67" s="29" t="n"/>
    </row>
    <row r="68">
      <c r="A68" s="14" t="n"/>
      <c r="B68" s="29" t="n"/>
      <c r="C68" s="29" t="n"/>
      <c r="D68" s="29" t="n"/>
      <c r="E68" s="14" t="n"/>
      <c r="F68" s="14" t="n"/>
      <c r="G68" s="14" t="n"/>
      <c r="H68" s="29" t="n"/>
      <c r="I68" s="14" t="n"/>
      <c r="J68" s="29" t="n"/>
    </row>
    <row r="69">
      <c r="A69" s="14" t="n"/>
      <c r="B69" s="29" t="n"/>
      <c r="C69" s="29" t="n"/>
      <c r="D69" s="29" t="n"/>
      <c r="E69" s="14" t="n"/>
      <c r="F69" s="14" t="n"/>
      <c r="G69" s="14" t="n"/>
      <c r="H69" s="29" t="n"/>
      <c r="I69" s="14" t="n"/>
      <c r="J69" s="29" t="n"/>
    </row>
    <row r="70">
      <c r="A70" s="14" t="n"/>
      <c r="B70" s="29" t="n"/>
      <c r="C70" s="29" t="n"/>
      <c r="D70" s="29" t="n"/>
      <c r="E70" s="14" t="n"/>
      <c r="F70" s="14" t="n"/>
      <c r="G70" s="14" t="n"/>
      <c r="H70" s="29" t="n"/>
      <c r="I70" s="14" t="n"/>
      <c r="J70" s="29" t="n"/>
    </row>
    <row r="71">
      <c r="A71" s="14" t="n"/>
      <c r="B71" s="29" t="n"/>
      <c r="C71" s="29" t="n"/>
      <c r="D71" s="29" t="n"/>
      <c r="E71" s="14" t="n"/>
      <c r="F71" s="14" t="n"/>
      <c r="G71" s="14" t="n"/>
      <c r="H71" s="29" t="n"/>
      <c r="I71" s="14" t="n"/>
      <c r="J71" s="29" t="n"/>
    </row>
    <row r="72">
      <c r="A72" s="14" t="n"/>
      <c r="B72" s="29" t="n"/>
      <c r="C72" s="29" t="n"/>
      <c r="D72" s="29" t="n"/>
      <c r="E72" s="14" t="n"/>
      <c r="F72" s="14" t="n"/>
      <c r="G72" s="14" t="n"/>
      <c r="H72" s="29" t="n"/>
      <c r="I72" s="14" t="n"/>
      <c r="J72" s="29" t="n"/>
    </row>
    <row r="73">
      <c r="A73" s="14" t="n"/>
      <c r="B73" s="29" t="n"/>
      <c r="C73" s="29" t="n"/>
      <c r="D73" s="29" t="n"/>
      <c r="E73" s="14" t="n"/>
      <c r="F73" s="14" t="n"/>
      <c r="G73" s="14" t="n"/>
      <c r="H73" s="29" t="n"/>
      <c r="I73" s="14" t="n"/>
      <c r="J73" s="29" t="n"/>
    </row>
    <row r="74">
      <c r="A74" s="14" t="n"/>
      <c r="B74" s="29" t="n"/>
      <c r="C74" s="29" t="n"/>
      <c r="D74" s="29" t="n"/>
      <c r="E74" s="14" t="n"/>
      <c r="F74" s="14" t="n"/>
      <c r="G74" s="14" t="n"/>
      <c r="H74" s="29" t="n"/>
      <c r="I74" s="14" t="n"/>
      <c r="J74" s="29" t="n"/>
    </row>
    <row r="75">
      <c r="A75" s="14" t="n"/>
      <c r="B75" s="29" t="n"/>
      <c r="C75" s="29" t="n"/>
      <c r="D75" s="29" t="n"/>
      <c r="E75" s="14" t="n"/>
      <c r="F75" s="14" t="n"/>
      <c r="G75" s="14" t="n"/>
      <c r="H75" s="29" t="n"/>
      <c r="I75" s="14" t="n"/>
      <c r="J75" s="29" t="n"/>
    </row>
    <row r="76">
      <c r="A76" s="14" t="n"/>
      <c r="B76" s="29" t="n"/>
      <c r="C76" s="29" t="n"/>
      <c r="D76" s="29" t="n"/>
      <c r="E76" s="14" t="n"/>
      <c r="F76" s="14" t="n"/>
      <c r="G76" s="14" t="n"/>
      <c r="H76" s="29" t="n"/>
      <c r="I76" s="14" t="n"/>
      <c r="J76" s="29" t="n"/>
    </row>
    <row r="77">
      <c r="A77" s="14" t="n"/>
      <c r="B77" s="29" t="n"/>
      <c r="C77" s="29" t="n"/>
      <c r="D77" s="29" t="n"/>
      <c r="E77" s="14" t="n"/>
      <c r="F77" s="14" t="n"/>
      <c r="G77" s="14" t="n"/>
      <c r="H77" s="29" t="n"/>
      <c r="I77" s="14" t="n"/>
      <c r="J77" s="29" t="n"/>
    </row>
    <row r="78">
      <c r="A78" s="14" t="n"/>
      <c r="B78" s="29" t="n"/>
      <c r="C78" s="29" t="n"/>
      <c r="D78" s="29" t="n"/>
      <c r="E78" s="14" t="n"/>
      <c r="F78" s="14" t="n"/>
      <c r="G78" s="14" t="n"/>
      <c r="H78" s="29" t="n"/>
      <c r="I78" s="14" t="n"/>
      <c r="J78" s="29" t="n"/>
    </row>
    <row r="79">
      <c r="A79" s="14" t="n"/>
      <c r="B79" s="29" t="n"/>
      <c r="C79" s="29" t="n"/>
      <c r="D79" s="29" t="n"/>
      <c r="E79" s="14" t="n"/>
      <c r="F79" s="14" t="n"/>
      <c r="G79" s="14" t="n"/>
      <c r="H79" s="29" t="n"/>
      <c r="I79" s="14" t="n"/>
      <c r="J79" s="29" t="n"/>
    </row>
    <row r="80">
      <c r="A80" s="14" t="n"/>
      <c r="B80" s="29" t="n"/>
      <c r="C80" s="29" t="n"/>
      <c r="D80" s="29" t="n"/>
      <c r="E80" s="14" t="n"/>
      <c r="F80" s="14" t="n"/>
      <c r="G80" s="14" t="n"/>
      <c r="H80" s="29" t="n"/>
      <c r="I80" s="14" t="n"/>
      <c r="J80" s="29" t="n"/>
    </row>
    <row r="81">
      <c r="A81" s="14" t="n"/>
      <c r="B81" s="29" t="n"/>
      <c r="C81" s="29" t="n"/>
      <c r="D81" s="29" t="n"/>
      <c r="E81" s="14" t="n"/>
      <c r="F81" s="14" t="n"/>
      <c r="G81" s="14" t="n"/>
      <c r="H81" s="29" t="n"/>
      <c r="I81" s="14" t="n"/>
      <c r="J81" s="29" t="n"/>
    </row>
    <row r="82">
      <c r="A82" s="14" t="n"/>
      <c r="B82" s="29" t="n"/>
      <c r="C82" s="29" t="n"/>
      <c r="D82" s="29" t="n"/>
      <c r="E82" s="14" t="n"/>
      <c r="F82" s="14" t="n"/>
      <c r="G82" s="14" t="n"/>
      <c r="H82" s="29" t="n"/>
      <c r="I82" s="14" t="n"/>
      <c r="J82" s="29" t="n"/>
    </row>
    <row r="83">
      <c r="A83" s="14" t="n"/>
      <c r="B83" s="29" t="n"/>
      <c r="C83" s="29" t="n"/>
      <c r="D83" s="29" t="n"/>
      <c r="E83" s="14" t="n"/>
      <c r="F83" s="14" t="n"/>
      <c r="G83" s="14" t="n"/>
      <c r="H83" s="29" t="n"/>
      <c r="I83" s="14" t="n"/>
      <c r="J83" s="29" t="n"/>
    </row>
    <row r="84">
      <c r="A84" s="14" t="n"/>
      <c r="B84" s="29" t="n"/>
      <c r="C84" s="29" t="n"/>
      <c r="D84" s="29" t="n"/>
      <c r="E84" s="14" t="n"/>
      <c r="F84" s="14" t="n"/>
      <c r="G84" s="14" t="n"/>
      <c r="H84" s="29" t="n"/>
      <c r="I84" s="14" t="n"/>
      <c r="J84" s="29" t="n"/>
    </row>
    <row r="85">
      <c r="A85" s="14" t="n"/>
      <c r="B85" s="29" t="n"/>
      <c r="C85" s="29" t="n"/>
      <c r="D85" s="29" t="n"/>
      <c r="E85" s="14" t="n"/>
      <c r="F85" s="14" t="n"/>
      <c r="G85" s="14" t="n"/>
      <c r="H85" s="29" t="n"/>
      <c r="I85" s="14" t="n"/>
      <c r="J85" s="29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J85"/>
  <mergeCells count="2">
    <mergeCell ref="A1:J1"/>
    <mergeCell ref="A2:J2"/>
  </mergeCells>
  <dataValidations count="5">
    <dataValidation sqref="E6:E85" showDropDown="0" showInputMessage="1" showErrorMessage="1" allowBlank="1" errorTitle="Tipo inválido" error="Escolha um tipo de conta da lista." promptTitle="Valores permitidos" prompt="Escolha um tipo de conta da lista." type="list" errorStyle="stop">
      <formula1>TIPO_CONTA</formula1>
    </dataValidation>
    <dataValidation sqref="F6:F85" showDropDown="0" showInputMessage="1" showErrorMessage="1" allowBlank="1" errorTitle="Natureza inválida" error="Escolha Entrada ou Saída." promptTitle="Valores permitidos" prompt="Escolha Entrada ou Saída." type="list" errorStyle="stop">
      <formula1>TIPO_LANCAMENTO</formula1>
    </dataValidation>
    <dataValidation sqref="G6:G85" showDropDown="0" showInputMessage="1" showErrorMessage="1" allowBlank="1" errorTitle="Fluxo inválido" error="Escolha Operacional, Investimento ou Financiamento." promptTitle="Valores permitidos" prompt="Escolha Operacional, Investimento ou Financiamento." type="list" errorStyle="stop">
      <formula1>TIPO_FLUXO</formula1>
    </dataValidation>
    <dataValidation sqref="H6:H85" showDropDown="0" showInputMessage="1" showErrorMessage="1" allowBlank="1" errorTitle="Linha inválida" error="Escolha uma linha do DRE da lista." promptTitle="Valores permitidos" prompt="Escolha uma linha do DRE da lista." type="list" errorStyle="stop">
      <formula1>LINHAS_DRE</formula1>
    </dataValidation>
    <dataValidation sqref="I6:I85" showDropDown="0" showInputMessage="1" showErrorMessage="1" allowBlank="1" errorTitle="Valor inválido" error="Escolha Sim ou Não." promptTitle="Valores permitidos" prompt="Escolha Sim ou Não." type="list" errorStyle="stop">
      <formula1>SIM_NAO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26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52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1" customWidth="1" min="10" max="10"/>
  </cols>
  <sheetData>
    <row r="1" ht="24" customHeight="1">
      <c r="A1" s="26" t="inlineStr">
        <is>
          <t>CENTROS DE CUSTO</t>
        </is>
      </c>
    </row>
    <row r="2">
      <c r="A2" s="27" t="inlineStr">
        <is>
          <t>Separe o resultado da empresa por área. Classifique cada lançamento com um centro de custo na aba LANÇAMENTOS para ver o desempenho de cada área.</t>
        </is>
      </c>
    </row>
    <row r="3">
      <c r="B3" s="25" t="inlineStr">
        <is>
          <t>⚠ DADOS DE EXEMPLO — 8 centros de custo fictícios (administrativo, comercial, produção, logística, marketing, financeiro, diretoria e não alocado).</t>
        </is>
      </c>
    </row>
    <row r="4" ht="6" customHeight="1"/>
    <row r="5" ht="32" customHeight="1">
      <c r="A5" s="34" t="inlineStr">
        <is>
          <t>Código</t>
        </is>
      </c>
      <c r="B5" s="34" t="inlineStr">
        <is>
          <t>Centro de custo</t>
        </is>
      </c>
      <c r="C5" s="34" t="inlineStr">
        <is>
          <t>Responsável</t>
        </is>
      </c>
      <c r="D5" s="34" t="inlineStr">
        <is>
          <t>Descrição / finalidade</t>
        </is>
      </c>
      <c r="E5" s="34" t="inlineStr">
        <is>
          <t>Ativo?</t>
        </is>
      </c>
      <c r="F5" s="34" t="inlineStr">
        <is>
          <t>Receita (ano)</t>
        </is>
      </c>
      <c r="G5" s="34" t="inlineStr">
        <is>
          <t>Custos (ano)</t>
        </is>
      </c>
      <c r="H5" s="34" t="inlineStr">
        <is>
          <t>Despesas (ano)</t>
        </is>
      </c>
      <c r="I5" s="34" t="inlineStr">
        <is>
          <t>Resultado</t>
        </is>
      </c>
      <c r="J5" s="34" t="inlineStr">
        <is>
          <t>Margem</t>
        </is>
      </c>
    </row>
    <row r="6">
      <c r="A6" s="14" t="inlineStr">
        <is>
          <t>CC01</t>
        </is>
      </c>
      <c r="B6" s="29" t="inlineStr">
        <is>
          <t>Administrativo</t>
        </is>
      </c>
      <c r="C6" s="29" t="inlineStr">
        <is>
          <t>Marina Alves</t>
        </is>
      </c>
      <c r="D6" s="29" t="inlineStr">
        <is>
          <t>Aluguel, utilidades, escritório e pessoal administrativo</t>
        </is>
      </c>
      <c r="E6" s="14" t="inlineStr">
        <is>
          <t>Sim</t>
        </is>
      </c>
      <c r="F6" s="18">
        <f>IF($B6="","",SUMIFS('LANÇAMENTOS'!$AE$6:$AE$2005,'LANÇAMENTOS'!$H$6:$H$2005,$B6,'LANÇAMENTOS'!$E$6:$E$2005,"Entrada"))</f>
        <v/>
      </c>
      <c r="G6" s="18">
        <f>IF($B6="","",SUMIFS('LANÇAMENTOS'!$AE$6:$AE$2005,'LANÇAMENTOS'!$H$6:$H$2005,$B6,'LANÇAMENTOS'!$AF$6:$AF$2005,"Custos Variáveis"))</f>
        <v/>
      </c>
      <c r="H6" s="18">
        <f>IF($B6="","",SUMIFS('LANÇAMENTOS'!$AE$6:$AE$2005,'LANÇAMENTOS'!$H$6:$H$2005,$B6,'LANÇAMENTOS'!$E$6:$E$2005,"Saída")-SUMIFS('LANÇAMENTOS'!$AE$6:$AE$2005,'LANÇAMENTOS'!$H$6:$H$2005,$B6,'LANÇAMENTOS'!$AF$6:$AF$2005,"Custos Variáveis")-SUMIFS('LANÇAMENTOS'!$AE$6:$AE$2005,'LANÇAMENTOS'!$H$6:$H$2005,$B6,'LANÇAMENTOS'!$AF$6:$AF$2005,"Investimentos (CAPEX)")-SUMIFS('LANÇAMENTOS'!$AE$6:$AE$2005,'LANÇAMENTOS'!$H$6:$H$2005,$B6,'LANÇAMENTOS'!$AF$6:$AF$2005,"Financiamentos e Sócios (Principal)")-SUMIFS('LANÇAMENTOS'!$AE$6:$AE$2005,'LANÇAMENTOS'!$H$6:$H$2005,$B6,'LANÇAMENTOS'!$AF$6:$AF$2005,"Distribuição de Lucros"))</f>
        <v/>
      </c>
      <c r="I6" s="18">
        <f>IF($B6="","",$F6-$G6-$H6)</f>
        <v/>
      </c>
      <c r="J6" s="23">
        <f>IF(OR($B6="",$F6=0),"",$I6/$F6)</f>
        <v/>
      </c>
    </row>
    <row r="7">
      <c r="A7" s="14" t="inlineStr">
        <is>
          <t>CC02</t>
        </is>
      </c>
      <c r="B7" s="29" t="inlineStr">
        <is>
          <t>Comercial</t>
        </is>
      </c>
      <c r="C7" s="29" t="inlineStr">
        <is>
          <t>Carlos Menezes</t>
        </is>
      </c>
      <c r="D7" s="29" t="inlineStr">
        <is>
          <t>Equipe de vendas, comissões e prospecção</t>
        </is>
      </c>
      <c r="E7" s="14" t="inlineStr">
        <is>
          <t>Sim</t>
        </is>
      </c>
      <c r="F7" s="18">
        <f>IF($B7="","",SUMIFS('LANÇAMENTOS'!$AE$6:$AE$2005,'LANÇAMENTOS'!$H$6:$H$2005,$B7,'LANÇAMENTOS'!$E$6:$E$2005,"Entrada"))</f>
        <v/>
      </c>
      <c r="G7" s="18">
        <f>IF($B7="","",SUMIFS('LANÇAMENTOS'!$AE$6:$AE$2005,'LANÇAMENTOS'!$H$6:$H$2005,$B7,'LANÇAMENTOS'!$AF$6:$AF$2005,"Custos Variáveis"))</f>
        <v/>
      </c>
      <c r="H7" s="18">
        <f>IF($B7="","",SUMIFS('LANÇAMENTOS'!$AE$6:$AE$2005,'LANÇAMENTOS'!$H$6:$H$2005,$B7,'LANÇAMENTOS'!$E$6:$E$2005,"Saída")-SUMIFS('LANÇAMENTOS'!$AE$6:$AE$2005,'LANÇAMENTOS'!$H$6:$H$2005,$B7,'LANÇAMENTOS'!$AF$6:$AF$2005,"Custos Variáveis")-SUMIFS('LANÇAMENTOS'!$AE$6:$AE$2005,'LANÇAMENTOS'!$H$6:$H$2005,$B7,'LANÇAMENTOS'!$AF$6:$AF$2005,"Investimentos (CAPEX)")-SUMIFS('LANÇAMENTOS'!$AE$6:$AE$2005,'LANÇAMENTOS'!$H$6:$H$2005,$B7,'LANÇAMENTOS'!$AF$6:$AF$2005,"Financiamentos e Sócios (Principal)")-SUMIFS('LANÇAMENTOS'!$AE$6:$AE$2005,'LANÇAMENTOS'!$H$6:$H$2005,$B7,'LANÇAMENTOS'!$AF$6:$AF$2005,"Distribuição de Lucros"))</f>
        <v/>
      </c>
      <c r="I7" s="18">
        <f>IF($B7="","",$F7-$G7-$H7)</f>
        <v/>
      </c>
      <c r="J7" s="23">
        <f>IF(OR($B7="",$F7=0),"",$I7/$F7)</f>
        <v/>
      </c>
    </row>
    <row r="8">
      <c r="A8" s="14" t="inlineStr">
        <is>
          <t>CC03</t>
        </is>
      </c>
      <c r="B8" s="29" t="inlineStr">
        <is>
          <t>Produção</t>
        </is>
      </c>
      <c r="C8" s="29" t="inlineStr">
        <is>
          <t>Roberto Nunes</t>
        </is>
      </c>
      <c r="D8" s="29" t="inlineStr">
        <is>
          <t>Beneficiamento e preparação de pedidos</t>
        </is>
      </c>
      <c r="E8" s="14" t="inlineStr">
        <is>
          <t>Sim</t>
        </is>
      </c>
      <c r="F8" s="18">
        <f>IF($B8="","",SUMIFS('LANÇAMENTOS'!$AE$6:$AE$2005,'LANÇAMENTOS'!$H$6:$H$2005,$B8,'LANÇAMENTOS'!$E$6:$E$2005,"Entrada"))</f>
        <v/>
      </c>
      <c r="G8" s="18">
        <f>IF($B8="","",SUMIFS('LANÇAMENTOS'!$AE$6:$AE$2005,'LANÇAMENTOS'!$H$6:$H$2005,$B8,'LANÇAMENTOS'!$AF$6:$AF$2005,"Custos Variáveis"))</f>
        <v/>
      </c>
      <c r="H8" s="18">
        <f>IF($B8="","",SUMIFS('LANÇAMENTOS'!$AE$6:$AE$2005,'LANÇAMENTOS'!$H$6:$H$2005,$B8,'LANÇAMENTOS'!$E$6:$E$2005,"Saída")-SUMIFS('LANÇAMENTOS'!$AE$6:$AE$2005,'LANÇAMENTOS'!$H$6:$H$2005,$B8,'LANÇAMENTOS'!$AF$6:$AF$2005,"Custos Variáveis")-SUMIFS('LANÇAMENTOS'!$AE$6:$AE$2005,'LANÇAMENTOS'!$H$6:$H$2005,$B8,'LANÇAMENTOS'!$AF$6:$AF$2005,"Investimentos (CAPEX)")-SUMIFS('LANÇAMENTOS'!$AE$6:$AE$2005,'LANÇAMENTOS'!$H$6:$H$2005,$B8,'LANÇAMENTOS'!$AF$6:$AF$2005,"Financiamentos e Sócios (Principal)")-SUMIFS('LANÇAMENTOS'!$AE$6:$AE$2005,'LANÇAMENTOS'!$H$6:$H$2005,$B8,'LANÇAMENTOS'!$AF$6:$AF$2005,"Distribuição de Lucros"))</f>
        <v/>
      </c>
      <c r="I8" s="18">
        <f>IF($B8="","",$F8-$G8-$H8)</f>
        <v/>
      </c>
      <c r="J8" s="23">
        <f>IF(OR($B8="",$F8=0),"",$I8/$F8)</f>
        <v/>
      </c>
    </row>
    <row r="9">
      <c r="A9" s="14" t="inlineStr">
        <is>
          <t>CC04</t>
        </is>
      </c>
      <c r="B9" s="29" t="inlineStr">
        <is>
          <t>Logística</t>
        </is>
      </c>
      <c r="C9" s="29" t="inlineStr">
        <is>
          <t>Paulo Ricardo</t>
        </is>
      </c>
      <c r="D9" s="29" t="inlineStr">
        <is>
          <t>Estoque, expedição, fretes e entregas</t>
        </is>
      </c>
      <c r="E9" s="14" t="inlineStr">
        <is>
          <t>Sim</t>
        </is>
      </c>
      <c r="F9" s="18">
        <f>IF($B9="","",SUMIFS('LANÇAMENTOS'!$AE$6:$AE$2005,'LANÇAMENTOS'!$H$6:$H$2005,$B9,'LANÇAMENTOS'!$E$6:$E$2005,"Entrada"))</f>
        <v/>
      </c>
      <c r="G9" s="18">
        <f>IF($B9="","",SUMIFS('LANÇAMENTOS'!$AE$6:$AE$2005,'LANÇAMENTOS'!$H$6:$H$2005,$B9,'LANÇAMENTOS'!$AF$6:$AF$2005,"Custos Variáveis"))</f>
        <v/>
      </c>
      <c r="H9" s="18">
        <f>IF($B9="","",SUMIFS('LANÇAMENTOS'!$AE$6:$AE$2005,'LANÇAMENTOS'!$H$6:$H$2005,$B9,'LANÇAMENTOS'!$E$6:$E$2005,"Saída")-SUMIFS('LANÇAMENTOS'!$AE$6:$AE$2005,'LANÇAMENTOS'!$H$6:$H$2005,$B9,'LANÇAMENTOS'!$AF$6:$AF$2005,"Custos Variáveis")-SUMIFS('LANÇAMENTOS'!$AE$6:$AE$2005,'LANÇAMENTOS'!$H$6:$H$2005,$B9,'LANÇAMENTOS'!$AF$6:$AF$2005,"Investimentos (CAPEX)")-SUMIFS('LANÇAMENTOS'!$AE$6:$AE$2005,'LANÇAMENTOS'!$H$6:$H$2005,$B9,'LANÇAMENTOS'!$AF$6:$AF$2005,"Financiamentos e Sócios (Principal)")-SUMIFS('LANÇAMENTOS'!$AE$6:$AE$2005,'LANÇAMENTOS'!$H$6:$H$2005,$B9,'LANÇAMENTOS'!$AF$6:$AF$2005,"Distribuição de Lucros"))</f>
        <v/>
      </c>
      <c r="I9" s="18">
        <f>IF($B9="","",$F9-$G9-$H9)</f>
        <v/>
      </c>
      <c r="J9" s="23">
        <f>IF(OR($B9="",$F9=0),"",$I9/$F9)</f>
        <v/>
      </c>
    </row>
    <row r="10">
      <c r="A10" s="14" t="inlineStr">
        <is>
          <t>CC05</t>
        </is>
      </c>
      <c r="B10" s="29" t="inlineStr">
        <is>
          <t>Marketing</t>
        </is>
      </c>
      <c r="C10" s="29" t="inlineStr">
        <is>
          <t>Ana Paula Souza</t>
        </is>
      </c>
      <c r="D10" s="29" t="inlineStr">
        <is>
          <t>Marketing digital, publicidade e eventos</t>
        </is>
      </c>
      <c r="E10" s="14" t="inlineStr">
        <is>
          <t>Sim</t>
        </is>
      </c>
      <c r="F10" s="18">
        <f>IF($B10="","",SUMIFS('LANÇAMENTOS'!$AE$6:$AE$2005,'LANÇAMENTOS'!$H$6:$H$2005,$B10,'LANÇAMENTOS'!$E$6:$E$2005,"Entrada"))</f>
        <v/>
      </c>
      <c r="G10" s="18">
        <f>IF($B10="","",SUMIFS('LANÇAMENTOS'!$AE$6:$AE$2005,'LANÇAMENTOS'!$H$6:$H$2005,$B10,'LANÇAMENTOS'!$AF$6:$AF$2005,"Custos Variáveis"))</f>
        <v/>
      </c>
      <c r="H10" s="18">
        <f>IF($B10="","",SUMIFS('LANÇAMENTOS'!$AE$6:$AE$2005,'LANÇAMENTOS'!$H$6:$H$2005,$B10,'LANÇAMENTOS'!$E$6:$E$2005,"Saída")-SUMIFS('LANÇAMENTOS'!$AE$6:$AE$2005,'LANÇAMENTOS'!$H$6:$H$2005,$B10,'LANÇAMENTOS'!$AF$6:$AF$2005,"Custos Variáveis")-SUMIFS('LANÇAMENTOS'!$AE$6:$AE$2005,'LANÇAMENTOS'!$H$6:$H$2005,$B10,'LANÇAMENTOS'!$AF$6:$AF$2005,"Investimentos (CAPEX)")-SUMIFS('LANÇAMENTOS'!$AE$6:$AE$2005,'LANÇAMENTOS'!$H$6:$H$2005,$B10,'LANÇAMENTOS'!$AF$6:$AF$2005,"Financiamentos e Sócios (Principal)")-SUMIFS('LANÇAMENTOS'!$AE$6:$AE$2005,'LANÇAMENTOS'!$H$6:$H$2005,$B10,'LANÇAMENTOS'!$AF$6:$AF$2005,"Distribuição de Lucros"))</f>
        <v/>
      </c>
      <c r="I10" s="18">
        <f>IF($B10="","",$F10-$G10-$H10)</f>
        <v/>
      </c>
      <c r="J10" s="23">
        <f>IF(OR($B10="",$F10=0),"",$I10/$F10)</f>
        <v/>
      </c>
    </row>
    <row r="11">
      <c r="A11" s="14" t="inlineStr">
        <is>
          <t>CC06</t>
        </is>
      </c>
      <c r="B11" s="29" t="inlineStr">
        <is>
          <t>Financeiro</t>
        </is>
      </c>
      <c r="C11" s="29" t="inlineStr">
        <is>
          <t>Marina Alves</t>
        </is>
      </c>
      <c r="D11" s="29" t="inlineStr">
        <is>
          <t>Tesouraria, cobrança, contabilidade e tributos</t>
        </is>
      </c>
      <c r="E11" s="14" t="inlineStr">
        <is>
          <t>Sim</t>
        </is>
      </c>
      <c r="F11" s="18">
        <f>IF($B11="","",SUMIFS('LANÇAMENTOS'!$AE$6:$AE$2005,'LANÇAMENTOS'!$H$6:$H$2005,$B11,'LANÇAMENTOS'!$E$6:$E$2005,"Entrada"))</f>
        <v/>
      </c>
      <c r="G11" s="18">
        <f>IF($B11="","",SUMIFS('LANÇAMENTOS'!$AE$6:$AE$2005,'LANÇAMENTOS'!$H$6:$H$2005,$B11,'LANÇAMENTOS'!$AF$6:$AF$2005,"Custos Variáveis"))</f>
        <v/>
      </c>
      <c r="H11" s="18">
        <f>IF($B11="","",SUMIFS('LANÇAMENTOS'!$AE$6:$AE$2005,'LANÇAMENTOS'!$H$6:$H$2005,$B11,'LANÇAMENTOS'!$E$6:$E$2005,"Saída")-SUMIFS('LANÇAMENTOS'!$AE$6:$AE$2005,'LANÇAMENTOS'!$H$6:$H$2005,$B11,'LANÇAMENTOS'!$AF$6:$AF$2005,"Custos Variáveis")-SUMIFS('LANÇAMENTOS'!$AE$6:$AE$2005,'LANÇAMENTOS'!$H$6:$H$2005,$B11,'LANÇAMENTOS'!$AF$6:$AF$2005,"Investimentos (CAPEX)")-SUMIFS('LANÇAMENTOS'!$AE$6:$AE$2005,'LANÇAMENTOS'!$H$6:$H$2005,$B11,'LANÇAMENTOS'!$AF$6:$AF$2005,"Financiamentos e Sócios (Principal)")-SUMIFS('LANÇAMENTOS'!$AE$6:$AE$2005,'LANÇAMENTOS'!$H$6:$H$2005,$B11,'LANÇAMENTOS'!$AF$6:$AF$2005,"Distribuição de Lucros"))</f>
        <v/>
      </c>
      <c r="I11" s="18">
        <f>IF($B11="","",$F11-$G11-$H11)</f>
        <v/>
      </c>
      <c r="J11" s="23">
        <f>IF(OR($B11="",$F11=0),"",$I11/$F11)</f>
        <v/>
      </c>
    </row>
    <row r="12">
      <c r="A12" s="14" t="inlineStr">
        <is>
          <t>CC07</t>
        </is>
      </c>
      <c r="B12" s="29" t="inlineStr">
        <is>
          <t>Diretoria</t>
        </is>
      </c>
      <c r="C12" s="29" t="inlineStr">
        <is>
          <t>Jefferson Andrade</t>
        </is>
      </c>
      <c r="D12" s="29" t="inlineStr">
        <is>
          <t>Pró-labore, estratégia e investimentos</t>
        </is>
      </c>
      <c r="E12" s="14" t="inlineStr">
        <is>
          <t>Sim</t>
        </is>
      </c>
      <c r="F12" s="18">
        <f>IF($B12="","",SUMIFS('LANÇAMENTOS'!$AE$6:$AE$2005,'LANÇAMENTOS'!$H$6:$H$2005,$B12,'LANÇAMENTOS'!$E$6:$E$2005,"Entrada"))</f>
        <v/>
      </c>
      <c r="G12" s="18">
        <f>IF($B12="","",SUMIFS('LANÇAMENTOS'!$AE$6:$AE$2005,'LANÇAMENTOS'!$H$6:$H$2005,$B12,'LANÇAMENTOS'!$AF$6:$AF$2005,"Custos Variáveis"))</f>
        <v/>
      </c>
      <c r="H12" s="18">
        <f>IF($B12="","",SUMIFS('LANÇAMENTOS'!$AE$6:$AE$2005,'LANÇAMENTOS'!$H$6:$H$2005,$B12,'LANÇAMENTOS'!$E$6:$E$2005,"Saída")-SUMIFS('LANÇAMENTOS'!$AE$6:$AE$2005,'LANÇAMENTOS'!$H$6:$H$2005,$B12,'LANÇAMENTOS'!$AF$6:$AF$2005,"Custos Variáveis")-SUMIFS('LANÇAMENTOS'!$AE$6:$AE$2005,'LANÇAMENTOS'!$H$6:$H$2005,$B12,'LANÇAMENTOS'!$AF$6:$AF$2005,"Investimentos (CAPEX)")-SUMIFS('LANÇAMENTOS'!$AE$6:$AE$2005,'LANÇAMENTOS'!$H$6:$H$2005,$B12,'LANÇAMENTOS'!$AF$6:$AF$2005,"Financiamentos e Sócios (Principal)")-SUMIFS('LANÇAMENTOS'!$AE$6:$AE$2005,'LANÇAMENTOS'!$H$6:$H$2005,$B12,'LANÇAMENTOS'!$AF$6:$AF$2005,"Distribuição de Lucros"))</f>
        <v/>
      </c>
      <c r="I12" s="18">
        <f>IF($B12="","",$F12-$G12-$H12)</f>
        <v/>
      </c>
      <c r="J12" s="23">
        <f>IF(OR($B12="",$F12=0),"",$I12/$F12)</f>
        <v/>
      </c>
    </row>
    <row r="13">
      <c r="A13" s="14" t="inlineStr">
        <is>
          <t>CC08</t>
        </is>
      </c>
      <c r="B13" s="29" t="inlineStr">
        <is>
          <t>Não alocado</t>
        </is>
      </c>
      <c r="C13" s="29" t="inlineStr">
        <is>
          <t>—</t>
        </is>
      </c>
      <c r="D13" s="29" t="inlineStr">
        <is>
          <t>Lançamentos ainda sem centro de custo definido</t>
        </is>
      </c>
      <c r="E13" s="14" t="inlineStr">
        <is>
          <t>Sim</t>
        </is>
      </c>
      <c r="F13" s="18">
        <f>IF($B13="","",SUMIFS('LANÇAMENTOS'!$AE$6:$AE$2005,'LANÇAMENTOS'!$H$6:$H$2005,$B13,'LANÇAMENTOS'!$E$6:$E$2005,"Entrada"))</f>
        <v/>
      </c>
      <c r="G13" s="18">
        <f>IF($B13="","",SUMIFS('LANÇAMENTOS'!$AE$6:$AE$2005,'LANÇAMENTOS'!$H$6:$H$2005,$B13,'LANÇAMENTOS'!$AF$6:$AF$2005,"Custos Variáveis"))</f>
        <v/>
      </c>
      <c r="H13" s="18">
        <f>IF($B13="","",SUMIFS('LANÇAMENTOS'!$AE$6:$AE$2005,'LANÇAMENTOS'!$H$6:$H$2005,$B13,'LANÇAMENTOS'!$E$6:$E$2005,"Saída")-SUMIFS('LANÇAMENTOS'!$AE$6:$AE$2005,'LANÇAMENTOS'!$H$6:$H$2005,$B13,'LANÇAMENTOS'!$AF$6:$AF$2005,"Custos Variáveis")-SUMIFS('LANÇAMENTOS'!$AE$6:$AE$2005,'LANÇAMENTOS'!$H$6:$H$2005,$B13,'LANÇAMENTOS'!$AF$6:$AF$2005,"Investimentos (CAPEX)")-SUMIFS('LANÇAMENTOS'!$AE$6:$AE$2005,'LANÇAMENTOS'!$H$6:$H$2005,$B13,'LANÇAMENTOS'!$AF$6:$AF$2005,"Financiamentos e Sócios (Principal)")-SUMIFS('LANÇAMENTOS'!$AE$6:$AE$2005,'LANÇAMENTOS'!$H$6:$H$2005,$B13,'LANÇAMENTOS'!$AF$6:$AF$2005,"Distribuição de Lucros"))</f>
        <v/>
      </c>
      <c r="I13" s="18">
        <f>IF($B13="","",$F13-$G13-$H13)</f>
        <v/>
      </c>
      <c r="J13" s="23">
        <f>IF(OR($B13="",$F13=0),"",$I13/$F13)</f>
        <v/>
      </c>
    </row>
    <row r="14">
      <c r="A14" s="14" t="n"/>
      <c r="B14" s="29" t="n"/>
      <c r="C14" s="29" t="n"/>
      <c r="D14" s="29" t="n"/>
      <c r="E14" s="14" t="n"/>
      <c r="F14" s="18">
        <f>IF($B14="","",SUMIFS('LANÇAMENTOS'!$AE$6:$AE$2005,'LANÇAMENTOS'!$H$6:$H$2005,$B14,'LANÇAMENTOS'!$E$6:$E$2005,"Entrada"))</f>
        <v/>
      </c>
      <c r="G14" s="18">
        <f>IF($B14="","",SUMIFS('LANÇAMENTOS'!$AE$6:$AE$2005,'LANÇAMENTOS'!$H$6:$H$2005,$B14,'LANÇAMENTOS'!$AF$6:$AF$2005,"Custos Variáveis"))</f>
        <v/>
      </c>
      <c r="H14" s="18">
        <f>IF($B14="","",SUMIFS('LANÇAMENTOS'!$AE$6:$AE$2005,'LANÇAMENTOS'!$H$6:$H$2005,$B14,'LANÇAMENTOS'!$E$6:$E$2005,"Saída")-SUMIFS('LANÇAMENTOS'!$AE$6:$AE$2005,'LANÇAMENTOS'!$H$6:$H$2005,$B14,'LANÇAMENTOS'!$AF$6:$AF$2005,"Custos Variáveis")-SUMIFS('LANÇAMENTOS'!$AE$6:$AE$2005,'LANÇAMENTOS'!$H$6:$H$2005,$B14,'LANÇAMENTOS'!$AF$6:$AF$2005,"Investimentos (CAPEX)")-SUMIFS('LANÇAMENTOS'!$AE$6:$AE$2005,'LANÇAMENTOS'!$H$6:$H$2005,$B14,'LANÇAMENTOS'!$AF$6:$AF$2005,"Financiamentos e Sócios (Principal)")-SUMIFS('LANÇAMENTOS'!$AE$6:$AE$2005,'LANÇAMENTOS'!$H$6:$H$2005,$B14,'LANÇAMENTOS'!$AF$6:$AF$2005,"Distribuição de Lucros"))</f>
        <v/>
      </c>
      <c r="I14" s="18">
        <f>IF($B14="","",$F14-$G14-$H14)</f>
        <v/>
      </c>
      <c r="J14" s="23">
        <f>IF(OR($B14="",$F14=0),"",$I14/$F14)</f>
        <v/>
      </c>
    </row>
    <row r="15">
      <c r="A15" s="14" t="n"/>
      <c r="B15" s="29" t="n"/>
      <c r="C15" s="29" t="n"/>
      <c r="D15" s="29" t="n"/>
      <c r="E15" s="14" t="n"/>
      <c r="F15" s="18">
        <f>IF($B15="","",SUMIFS('LANÇAMENTOS'!$AE$6:$AE$2005,'LANÇAMENTOS'!$H$6:$H$2005,$B15,'LANÇAMENTOS'!$E$6:$E$2005,"Entrada"))</f>
        <v/>
      </c>
      <c r="G15" s="18">
        <f>IF($B15="","",SUMIFS('LANÇAMENTOS'!$AE$6:$AE$2005,'LANÇAMENTOS'!$H$6:$H$2005,$B15,'LANÇAMENTOS'!$AF$6:$AF$2005,"Custos Variáveis"))</f>
        <v/>
      </c>
      <c r="H15" s="18">
        <f>IF($B15="","",SUMIFS('LANÇAMENTOS'!$AE$6:$AE$2005,'LANÇAMENTOS'!$H$6:$H$2005,$B15,'LANÇAMENTOS'!$E$6:$E$2005,"Saída")-SUMIFS('LANÇAMENTOS'!$AE$6:$AE$2005,'LANÇAMENTOS'!$H$6:$H$2005,$B15,'LANÇAMENTOS'!$AF$6:$AF$2005,"Custos Variáveis")-SUMIFS('LANÇAMENTOS'!$AE$6:$AE$2005,'LANÇAMENTOS'!$H$6:$H$2005,$B15,'LANÇAMENTOS'!$AF$6:$AF$2005,"Investimentos (CAPEX)")-SUMIFS('LANÇAMENTOS'!$AE$6:$AE$2005,'LANÇAMENTOS'!$H$6:$H$2005,$B15,'LANÇAMENTOS'!$AF$6:$AF$2005,"Financiamentos e Sócios (Principal)")-SUMIFS('LANÇAMENTOS'!$AE$6:$AE$2005,'LANÇAMENTOS'!$H$6:$H$2005,$B15,'LANÇAMENTOS'!$AF$6:$AF$2005,"Distribuição de Lucros"))</f>
        <v/>
      </c>
      <c r="I15" s="18">
        <f>IF($B15="","",$F15-$G15-$H15)</f>
        <v/>
      </c>
      <c r="J15" s="23">
        <f>IF(OR($B15="",$F15=0),"",$I15/$F15)</f>
        <v/>
      </c>
    </row>
    <row r="16">
      <c r="A16" s="14" t="n"/>
      <c r="B16" s="29" t="n"/>
      <c r="C16" s="29" t="n"/>
      <c r="D16" s="29" t="n"/>
      <c r="E16" s="14" t="n"/>
      <c r="F16" s="18">
        <f>IF($B16="","",SUMIFS('LANÇAMENTOS'!$AE$6:$AE$2005,'LANÇAMENTOS'!$H$6:$H$2005,$B16,'LANÇAMENTOS'!$E$6:$E$2005,"Entrada"))</f>
        <v/>
      </c>
      <c r="G16" s="18">
        <f>IF($B16="","",SUMIFS('LANÇAMENTOS'!$AE$6:$AE$2005,'LANÇAMENTOS'!$H$6:$H$2005,$B16,'LANÇAMENTOS'!$AF$6:$AF$2005,"Custos Variáveis"))</f>
        <v/>
      </c>
      <c r="H16" s="18">
        <f>IF($B16="","",SUMIFS('LANÇAMENTOS'!$AE$6:$AE$2005,'LANÇAMENTOS'!$H$6:$H$2005,$B16,'LANÇAMENTOS'!$E$6:$E$2005,"Saída")-SUMIFS('LANÇAMENTOS'!$AE$6:$AE$2005,'LANÇAMENTOS'!$H$6:$H$2005,$B16,'LANÇAMENTOS'!$AF$6:$AF$2005,"Custos Variáveis")-SUMIFS('LANÇAMENTOS'!$AE$6:$AE$2005,'LANÇAMENTOS'!$H$6:$H$2005,$B16,'LANÇAMENTOS'!$AF$6:$AF$2005,"Investimentos (CAPEX)")-SUMIFS('LANÇAMENTOS'!$AE$6:$AE$2005,'LANÇAMENTOS'!$H$6:$H$2005,$B16,'LANÇAMENTOS'!$AF$6:$AF$2005,"Financiamentos e Sócios (Principal)")-SUMIFS('LANÇAMENTOS'!$AE$6:$AE$2005,'LANÇAMENTOS'!$H$6:$H$2005,$B16,'LANÇAMENTOS'!$AF$6:$AF$2005,"Distribuição de Lucros"))</f>
        <v/>
      </c>
      <c r="I16" s="18">
        <f>IF($B16="","",$F16-$G16-$H16)</f>
        <v/>
      </c>
      <c r="J16" s="23">
        <f>IF(OR($B16="",$F16=0),"",$I16/$F16)</f>
        <v/>
      </c>
    </row>
    <row r="17">
      <c r="A17" s="14" t="n"/>
      <c r="B17" s="29" t="n"/>
      <c r="C17" s="29" t="n"/>
      <c r="D17" s="29" t="n"/>
      <c r="E17" s="14" t="n"/>
      <c r="F17" s="18">
        <f>IF($B17="","",SUMIFS('LANÇAMENTOS'!$AE$6:$AE$2005,'LANÇAMENTOS'!$H$6:$H$2005,$B17,'LANÇAMENTOS'!$E$6:$E$2005,"Entrada"))</f>
        <v/>
      </c>
      <c r="G17" s="18">
        <f>IF($B17="","",SUMIFS('LANÇAMENTOS'!$AE$6:$AE$2005,'LANÇAMENTOS'!$H$6:$H$2005,$B17,'LANÇAMENTOS'!$AF$6:$AF$2005,"Custos Variáveis"))</f>
        <v/>
      </c>
      <c r="H17" s="18">
        <f>IF($B17="","",SUMIFS('LANÇAMENTOS'!$AE$6:$AE$2005,'LANÇAMENTOS'!$H$6:$H$2005,$B17,'LANÇAMENTOS'!$E$6:$E$2005,"Saída")-SUMIFS('LANÇAMENTOS'!$AE$6:$AE$2005,'LANÇAMENTOS'!$H$6:$H$2005,$B17,'LANÇAMENTOS'!$AF$6:$AF$2005,"Custos Variáveis")-SUMIFS('LANÇAMENTOS'!$AE$6:$AE$2005,'LANÇAMENTOS'!$H$6:$H$2005,$B17,'LANÇAMENTOS'!$AF$6:$AF$2005,"Investimentos (CAPEX)")-SUMIFS('LANÇAMENTOS'!$AE$6:$AE$2005,'LANÇAMENTOS'!$H$6:$H$2005,$B17,'LANÇAMENTOS'!$AF$6:$AF$2005,"Financiamentos e Sócios (Principal)")-SUMIFS('LANÇAMENTOS'!$AE$6:$AE$2005,'LANÇAMENTOS'!$H$6:$H$2005,$B17,'LANÇAMENTOS'!$AF$6:$AF$2005,"Distribuição de Lucros"))</f>
        <v/>
      </c>
      <c r="I17" s="18">
        <f>IF($B17="","",$F17-$G17-$H17)</f>
        <v/>
      </c>
      <c r="J17" s="23">
        <f>IF(OR($B17="",$F17=0),"",$I17/$F17)</f>
        <v/>
      </c>
    </row>
    <row r="18">
      <c r="A18" s="14" t="n"/>
      <c r="B18" s="29" t="n"/>
      <c r="C18" s="29" t="n"/>
      <c r="D18" s="29" t="n"/>
      <c r="E18" s="14" t="n"/>
      <c r="F18" s="18">
        <f>IF($B18="","",SUMIFS('LANÇAMENTOS'!$AE$6:$AE$2005,'LANÇAMENTOS'!$H$6:$H$2005,$B18,'LANÇAMENTOS'!$E$6:$E$2005,"Entrada"))</f>
        <v/>
      </c>
      <c r="G18" s="18">
        <f>IF($B18="","",SUMIFS('LANÇAMENTOS'!$AE$6:$AE$2005,'LANÇAMENTOS'!$H$6:$H$2005,$B18,'LANÇAMENTOS'!$AF$6:$AF$2005,"Custos Variáveis"))</f>
        <v/>
      </c>
      <c r="H18" s="18">
        <f>IF($B18="","",SUMIFS('LANÇAMENTOS'!$AE$6:$AE$2005,'LANÇAMENTOS'!$H$6:$H$2005,$B18,'LANÇAMENTOS'!$E$6:$E$2005,"Saída")-SUMIFS('LANÇAMENTOS'!$AE$6:$AE$2005,'LANÇAMENTOS'!$H$6:$H$2005,$B18,'LANÇAMENTOS'!$AF$6:$AF$2005,"Custos Variáveis")-SUMIFS('LANÇAMENTOS'!$AE$6:$AE$2005,'LANÇAMENTOS'!$H$6:$H$2005,$B18,'LANÇAMENTOS'!$AF$6:$AF$2005,"Investimentos (CAPEX)")-SUMIFS('LANÇAMENTOS'!$AE$6:$AE$2005,'LANÇAMENTOS'!$H$6:$H$2005,$B18,'LANÇAMENTOS'!$AF$6:$AF$2005,"Financiamentos e Sócios (Principal)")-SUMIFS('LANÇAMENTOS'!$AE$6:$AE$2005,'LANÇAMENTOS'!$H$6:$H$2005,$B18,'LANÇAMENTOS'!$AF$6:$AF$2005,"Distribuição de Lucros"))</f>
        <v/>
      </c>
      <c r="I18" s="18">
        <f>IF($B18="","",$F18-$G18-$H18)</f>
        <v/>
      </c>
      <c r="J18" s="23">
        <f>IF(OR($B18="",$F18=0),"",$I18/$F18)</f>
        <v/>
      </c>
    </row>
    <row r="19">
      <c r="A19" s="14" t="n"/>
      <c r="B19" s="29" t="n"/>
      <c r="C19" s="29" t="n"/>
      <c r="D19" s="29" t="n"/>
      <c r="E19" s="14" t="n"/>
      <c r="F19" s="18">
        <f>IF($B19="","",SUMIFS('LANÇAMENTOS'!$AE$6:$AE$2005,'LANÇAMENTOS'!$H$6:$H$2005,$B19,'LANÇAMENTOS'!$E$6:$E$2005,"Entrada"))</f>
        <v/>
      </c>
      <c r="G19" s="18">
        <f>IF($B19="","",SUMIFS('LANÇAMENTOS'!$AE$6:$AE$2005,'LANÇAMENTOS'!$H$6:$H$2005,$B19,'LANÇAMENTOS'!$AF$6:$AF$2005,"Custos Variáveis"))</f>
        <v/>
      </c>
      <c r="H19" s="18">
        <f>IF($B19="","",SUMIFS('LANÇAMENTOS'!$AE$6:$AE$2005,'LANÇAMENTOS'!$H$6:$H$2005,$B19,'LANÇAMENTOS'!$E$6:$E$2005,"Saída")-SUMIFS('LANÇAMENTOS'!$AE$6:$AE$2005,'LANÇAMENTOS'!$H$6:$H$2005,$B19,'LANÇAMENTOS'!$AF$6:$AF$2005,"Custos Variáveis")-SUMIFS('LANÇAMENTOS'!$AE$6:$AE$2005,'LANÇAMENTOS'!$H$6:$H$2005,$B19,'LANÇAMENTOS'!$AF$6:$AF$2005,"Investimentos (CAPEX)")-SUMIFS('LANÇAMENTOS'!$AE$6:$AE$2005,'LANÇAMENTOS'!$H$6:$H$2005,$B19,'LANÇAMENTOS'!$AF$6:$AF$2005,"Financiamentos e Sócios (Principal)")-SUMIFS('LANÇAMENTOS'!$AE$6:$AE$2005,'LANÇAMENTOS'!$H$6:$H$2005,$B19,'LANÇAMENTOS'!$AF$6:$AF$2005,"Distribuição de Lucros"))</f>
        <v/>
      </c>
      <c r="I19" s="18">
        <f>IF($B19="","",$F19-$G19-$H19)</f>
        <v/>
      </c>
      <c r="J19" s="23">
        <f>IF(OR($B19="",$F19=0),"",$I19/$F19)</f>
        <v/>
      </c>
    </row>
    <row r="20">
      <c r="A20" s="14" t="n"/>
      <c r="B20" s="29" t="n"/>
      <c r="C20" s="29" t="n"/>
      <c r="D20" s="29" t="n"/>
      <c r="E20" s="14" t="n"/>
      <c r="F20" s="18">
        <f>IF($B20="","",SUMIFS('LANÇAMENTOS'!$AE$6:$AE$2005,'LANÇAMENTOS'!$H$6:$H$2005,$B20,'LANÇAMENTOS'!$E$6:$E$2005,"Entrada"))</f>
        <v/>
      </c>
      <c r="G20" s="18">
        <f>IF($B20="","",SUMIFS('LANÇAMENTOS'!$AE$6:$AE$2005,'LANÇAMENTOS'!$H$6:$H$2005,$B20,'LANÇAMENTOS'!$AF$6:$AF$2005,"Custos Variáveis"))</f>
        <v/>
      </c>
      <c r="H20" s="18">
        <f>IF($B20="","",SUMIFS('LANÇAMENTOS'!$AE$6:$AE$2005,'LANÇAMENTOS'!$H$6:$H$2005,$B20,'LANÇAMENTOS'!$E$6:$E$2005,"Saída")-SUMIFS('LANÇAMENTOS'!$AE$6:$AE$2005,'LANÇAMENTOS'!$H$6:$H$2005,$B20,'LANÇAMENTOS'!$AF$6:$AF$2005,"Custos Variáveis")-SUMIFS('LANÇAMENTOS'!$AE$6:$AE$2005,'LANÇAMENTOS'!$H$6:$H$2005,$B20,'LANÇAMENTOS'!$AF$6:$AF$2005,"Investimentos (CAPEX)")-SUMIFS('LANÇAMENTOS'!$AE$6:$AE$2005,'LANÇAMENTOS'!$H$6:$H$2005,$B20,'LANÇAMENTOS'!$AF$6:$AF$2005,"Financiamentos e Sócios (Principal)")-SUMIFS('LANÇAMENTOS'!$AE$6:$AE$2005,'LANÇAMENTOS'!$H$6:$H$2005,$B20,'LANÇAMENTOS'!$AF$6:$AF$2005,"Distribuição de Lucros"))</f>
        <v/>
      </c>
      <c r="I20" s="18">
        <f>IF($B20="","",$F20-$G20-$H20)</f>
        <v/>
      </c>
      <c r="J20" s="23">
        <f>IF(OR($B20="",$F20=0),"",$I20/$F20)</f>
        <v/>
      </c>
    </row>
    <row r="21">
      <c r="A21" s="14" t="n"/>
      <c r="B21" s="29" t="n"/>
      <c r="C21" s="29" t="n"/>
      <c r="D21" s="29" t="n"/>
      <c r="E21" s="14" t="n"/>
      <c r="F21" s="18">
        <f>IF($B21="","",SUMIFS('LANÇAMENTOS'!$AE$6:$AE$2005,'LANÇAMENTOS'!$H$6:$H$2005,$B21,'LANÇAMENTOS'!$E$6:$E$2005,"Entrada"))</f>
        <v/>
      </c>
      <c r="G21" s="18">
        <f>IF($B21="","",SUMIFS('LANÇAMENTOS'!$AE$6:$AE$2005,'LANÇAMENTOS'!$H$6:$H$2005,$B21,'LANÇAMENTOS'!$AF$6:$AF$2005,"Custos Variáveis"))</f>
        <v/>
      </c>
      <c r="H21" s="18">
        <f>IF($B21="","",SUMIFS('LANÇAMENTOS'!$AE$6:$AE$2005,'LANÇAMENTOS'!$H$6:$H$2005,$B21,'LANÇAMENTOS'!$E$6:$E$2005,"Saída")-SUMIFS('LANÇAMENTOS'!$AE$6:$AE$2005,'LANÇAMENTOS'!$H$6:$H$2005,$B21,'LANÇAMENTOS'!$AF$6:$AF$2005,"Custos Variáveis")-SUMIFS('LANÇAMENTOS'!$AE$6:$AE$2005,'LANÇAMENTOS'!$H$6:$H$2005,$B21,'LANÇAMENTOS'!$AF$6:$AF$2005,"Investimentos (CAPEX)")-SUMIFS('LANÇAMENTOS'!$AE$6:$AE$2005,'LANÇAMENTOS'!$H$6:$H$2005,$B21,'LANÇAMENTOS'!$AF$6:$AF$2005,"Financiamentos e Sócios (Principal)")-SUMIFS('LANÇAMENTOS'!$AE$6:$AE$2005,'LANÇAMENTOS'!$H$6:$H$2005,$B21,'LANÇAMENTOS'!$AF$6:$AF$2005,"Distribuição de Lucros"))</f>
        <v/>
      </c>
      <c r="I21" s="18">
        <f>IF($B21="","",$F21-$G21-$H21)</f>
        <v/>
      </c>
      <c r="J21" s="23">
        <f>IF(OR($B21="",$F21=0),"",$I21/$F21)</f>
        <v/>
      </c>
    </row>
    <row r="22">
      <c r="A22" s="14" t="n"/>
      <c r="B22" s="29" t="n"/>
      <c r="C22" s="29" t="n"/>
      <c r="D22" s="29" t="n"/>
      <c r="E22" s="14" t="n"/>
      <c r="F22" s="18">
        <f>IF($B22="","",SUMIFS('LANÇAMENTOS'!$AE$6:$AE$2005,'LANÇAMENTOS'!$H$6:$H$2005,$B22,'LANÇAMENTOS'!$E$6:$E$2005,"Entrada"))</f>
        <v/>
      </c>
      <c r="G22" s="18">
        <f>IF($B22="","",SUMIFS('LANÇAMENTOS'!$AE$6:$AE$2005,'LANÇAMENTOS'!$H$6:$H$2005,$B22,'LANÇAMENTOS'!$AF$6:$AF$2005,"Custos Variáveis"))</f>
        <v/>
      </c>
      <c r="H22" s="18">
        <f>IF($B22="","",SUMIFS('LANÇAMENTOS'!$AE$6:$AE$2005,'LANÇAMENTOS'!$H$6:$H$2005,$B22,'LANÇAMENTOS'!$E$6:$E$2005,"Saída")-SUMIFS('LANÇAMENTOS'!$AE$6:$AE$2005,'LANÇAMENTOS'!$H$6:$H$2005,$B22,'LANÇAMENTOS'!$AF$6:$AF$2005,"Custos Variáveis")-SUMIFS('LANÇAMENTOS'!$AE$6:$AE$2005,'LANÇAMENTOS'!$H$6:$H$2005,$B22,'LANÇAMENTOS'!$AF$6:$AF$2005,"Investimentos (CAPEX)")-SUMIFS('LANÇAMENTOS'!$AE$6:$AE$2005,'LANÇAMENTOS'!$H$6:$H$2005,$B22,'LANÇAMENTOS'!$AF$6:$AF$2005,"Financiamentos e Sócios (Principal)")-SUMIFS('LANÇAMENTOS'!$AE$6:$AE$2005,'LANÇAMENTOS'!$H$6:$H$2005,$B22,'LANÇAMENTOS'!$AF$6:$AF$2005,"Distribuição de Lucros"))</f>
        <v/>
      </c>
      <c r="I22" s="18">
        <f>IF($B22="","",$F22-$G22-$H22)</f>
        <v/>
      </c>
      <c r="J22" s="23">
        <f>IF(OR($B22="",$F22=0),"",$I22/$F22)</f>
        <v/>
      </c>
    </row>
    <row r="23">
      <c r="A23" s="14" t="n"/>
      <c r="B23" s="29" t="n"/>
      <c r="C23" s="29" t="n"/>
      <c r="D23" s="29" t="n"/>
      <c r="E23" s="14" t="n"/>
      <c r="F23" s="18">
        <f>IF($B23="","",SUMIFS('LANÇAMENTOS'!$AE$6:$AE$2005,'LANÇAMENTOS'!$H$6:$H$2005,$B23,'LANÇAMENTOS'!$E$6:$E$2005,"Entrada"))</f>
        <v/>
      </c>
      <c r="G23" s="18">
        <f>IF($B23="","",SUMIFS('LANÇAMENTOS'!$AE$6:$AE$2005,'LANÇAMENTOS'!$H$6:$H$2005,$B23,'LANÇAMENTOS'!$AF$6:$AF$2005,"Custos Variáveis"))</f>
        <v/>
      </c>
      <c r="H23" s="18">
        <f>IF($B23="","",SUMIFS('LANÇAMENTOS'!$AE$6:$AE$2005,'LANÇAMENTOS'!$H$6:$H$2005,$B23,'LANÇAMENTOS'!$E$6:$E$2005,"Saída")-SUMIFS('LANÇAMENTOS'!$AE$6:$AE$2005,'LANÇAMENTOS'!$H$6:$H$2005,$B23,'LANÇAMENTOS'!$AF$6:$AF$2005,"Custos Variáveis")-SUMIFS('LANÇAMENTOS'!$AE$6:$AE$2005,'LANÇAMENTOS'!$H$6:$H$2005,$B23,'LANÇAMENTOS'!$AF$6:$AF$2005,"Investimentos (CAPEX)")-SUMIFS('LANÇAMENTOS'!$AE$6:$AE$2005,'LANÇAMENTOS'!$H$6:$H$2005,$B23,'LANÇAMENTOS'!$AF$6:$AF$2005,"Financiamentos e Sócios (Principal)")-SUMIFS('LANÇAMENTOS'!$AE$6:$AE$2005,'LANÇAMENTOS'!$H$6:$H$2005,$B23,'LANÇAMENTOS'!$AF$6:$AF$2005,"Distribuição de Lucros"))</f>
        <v/>
      </c>
      <c r="I23" s="18">
        <f>IF($B23="","",$F23-$G23-$H23)</f>
        <v/>
      </c>
      <c r="J23" s="23">
        <f>IF(OR($B23="",$F23=0),"",$I23/$F23)</f>
        <v/>
      </c>
    </row>
    <row r="24">
      <c r="A24" s="14" t="n"/>
      <c r="B24" s="29" t="n"/>
      <c r="C24" s="29" t="n"/>
      <c r="D24" s="29" t="n"/>
      <c r="E24" s="14" t="n"/>
      <c r="F24" s="18">
        <f>IF($B24="","",SUMIFS('LANÇAMENTOS'!$AE$6:$AE$2005,'LANÇAMENTOS'!$H$6:$H$2005,$B24,'LANÇAMENTOS'!$E$6:$E$2005,"Entrada"))</f>
        <v/>
      </c>
      <c r="G24" s="18">
        <f>IF($B24="","",SUMIFS('LANÇAMENTOS'!$AE$6:$AE$2005,'LANÇAMENTOS'!$H$6:$H$2005,$B24,'LANÇAMENTOS'!$AF$6:$AF$2005,"Custos Variáveis"))</f>
        <v/>
      </c>
      <c r="H24" s="18">
        <f>IF($B24="","",SUMIFS('LANÇAMENTOS'!$AE$6:$AE$2005,'LANÇAMENTOS'!$H$6:$H$2005,$B24,'LANÇAMENTOS'!$E$6:$E$2005,"Saída")-SUMIFS('LANÇAMENTOS'!$AE$6:$AE$2005,'LANÇAMENTOS'!$H$6:$H$2005,$B24,'LANÇAMENTOS'!$AF$6:$AF$2005,"Custos Variáveis")-SUMIFS('LANÇAMENTOS'!$AE$6:$AE$2005,'LANÇAMENTOS'!$H$6:$H$2005,$B24,'LANÇAMENTOS'!$AF$6:$AF$2005,"Investimentos (CAPEX)")-SUMIFS('LANÇAMENTOS'!$AE$6:$AE$2005,'LANÇAMENTOS'!$H$6:$H$2005,$B24,'LANÇAMENTOS'!$AF$6:$AF$2005,"Financiamentos e Sócios (Principal)")-SUMIFS('LANÇAMENTOS'!$AE$6:$AE$2005,'LANÇAMENTOS'!$H$6:$H$2005,$B24,'LANÇAMENTOS'!$AF$6:$AF$2005,"Distribuição de Lucros"))</f>
        <v/>
      </c>
      <c r="I24" s="18">
        <f>IF($B24="","",$F24-$G24-$H24)</f>
        <v/>
      </c>
      <c r="J24" s="23">
        <f>IF(OR($B24="",$F24=0),"",$I24/$F24)</f>
        <v/>
      </c>
    </row>
    <row r="25">
      <c r="A25" s="14" t="n"/>
      <c r="B25" s="29" t="n"/>
      <c r="C25" s="29" t="n"/>
      <c r="D25" s="29" t="n"/>
      <c r="E25" s="14" t="n"/>
      <c r="F25" s="18">
        <f>IF($B25="","",SUMIFS('LANÇAMENTOS'!$AE$6:$AE$2005,'LANÇAMENTOS'!$H$6:$H$2005,$B25,'LANÇAMENTOS'!$E$6:$E$2005,"Entrada"))</f>
        <v/>
      </c>
      <c r="G25" s="18">
        <f>IF($B25="","",SUMIFS('LANÇAMENTOS'!$AE$6:$AE$2005,'LANÇAMENTOS'!$H$6:$H$2005,$B25,'LANÇAMENTOS'!$AF$6:$AF$2005,"Custos Variáveis"))</f>
        <v/>
      </c>
      <c r="H25" s="18">
        <f>IF($B25="","",SUMIFS('LANÇAMENTOS'!$AE$6:$AE$2005,'LANÇAMENTOS'!$H$6:$H$2005,$B25,'LANÇAMENTOS'!$E$6:$E$2005,"Saída")-SUMIFS('LANÇAMENTOS'!$AE$6:$AE$2005,'LANÇAMENTOS'!$H$6:$H$2005,$B25,'LANÇAMENTOS'!$AF$6:$AF$2005,"Custos Variáveis")-SUMIFS('LANÇAMENTOS'!$AE$6:$AE$2005,'LANÇAMENTOS'!$H$6:$H$2005,$B25,'LANÇAMENTOS'!$AF$6:$AF$2005,"Investimentos (CAPEX)")-SUMIFS('LANÇAMENTOS'!$AE$6:$AE$2005,'LANÇAMENTOS'!$H$6:$H$2005,$B25,'LANÇAMENTOS'!$AF$6:$AF$2005,"Financiamentos e Sócios (Principal)")-SUMIFS('LANÇAMENTOS'!$AE$6:$AE$2005,'LANÇAMENTOS'!$H$6:$H$2005,$B25,'LANÇAMENTOS'!$AF$6:$AF$2005,"Distribuição de Lucros"))</f>
        <v/>
      </c>
      <c r="I25" s="18">
        <f>IF($B25="","",$F25-$G25-$H25)</f>
        <v/>
      </c>
      <c r="J25" s="23">
        <f>IF(OR($B25="",$F25=0),"",$I25/$F25)</f>
        <v/>
      </c>
    </row>
    <row r="26">
      <c r="B26" s="37" t="inlineStr">
        <is>
          <t>TOTAL</t>
        </is>
      </c>
      <c r="F26" s="38">
        <f>SUM(F6:F25)</f>
        <v/>
      </c>
      <c r="G26" s="38">
        <f>SUM(G6:G25)</f>
        <v/>
      </c>
      <c r="H26" s="38">
        <f>SUM(H6:H25)</f>
        <v/>
      </c>
      <c r="I26" s="38">
        <f>SUM(I6:I25)</f>
        <v/>
      </c>
      <c r="J26" s="39">
        <f>IF($F26=0,"",$I26/$F26)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J25"/>
  <mergeCells count="2">
    <mergeCell ref="A1:J1"/>
    <mergeCell ref="A2:J2"/>
  </mergeCells>
  <conditionalFormatting sqref="J6:J25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6:F25">
    <cfRule type="dataBar" priority="2">
      <dataBar showValue="1">
        <cfvo type="num" val="0"/>
        <cfvo type="max"/>
        <color rgb="002E75B6"/>
      </dataBar>
    </cfRule>
  </conditionalFormatting>
  <dataValidations count="1">
    <dataValidation sqref="E6:E25" showDropDown="0" showInputMessage="1" showErrorMessage="1" allowBlank="1" errorTitle="Valor inválido" error="Escolha Sim ou Não." promptTitle="Valores permitidos" prompt="Escolha Sim ou Não." type="list" errorStyle="stop">
      <formula1>SIM_NAO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O16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0" customWidth="1" min="3" max="3"/>
    <col width="11" customWidth="1" min="4" max="4"/>
    <col width="14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10" customWidth="1" min="14" max="14"/>
    <col width="38" customWidth="1" min="15" max="15"/>
  </cols>
  <sheetData>
    <row r="1" ht="24" customHeight="1">
      <c r="A1" s="26" t="inlineStr">
        <is>
          <t>CONTAS BANCÁRIAS</t>
        </is>
      </c>
    </row>
    <row r="2">
      <c r="A2" s="27" t="inlineStr">
        <is>
          <t>Cadastre as contas correntes e de investimento. O saldo inicial é o saldo existente no momento em que você começou a usar a planilha; o saldo atual é calculado pelos lançamentos.</t>
        </is>
      </c>
    </row>
    <row r="3">
      <c r="B3" s="25" t="inlineStr">
        <is>
          <t>⚠ DADOS DE EXEMPLO — três contas correntes fictícias (Banco do Brasil, Itaú e Nubank). Os cartões de crédito ficam na aba CARTÕES.</t>
        </is>
      </c>
    </row>
    <row r="4" ht="6" customHeight="1"/>
    <row r="5" ht="32" customHeight="1">
      <c r="A5" s="34" t="inlineStr">
        <is>
          <t>Código</t>
        </is>
      </c>
      <c r="B5" s="34" t="inlineStr">
        <is>
          <t>Conta (nome de referência)</t>
        </is>
      </c>
      <c r="C5" s="34" t="inlineStr">
        <is>
          <t>Banco / instituição</t>
        </is>
      </c>
      <c r="D5" s="34" t="inlineStr">
        <is>
          <t>Agência</t>
        </is>
      </c>
      <c r="E5" s="34" t="inlineStr">
        <is>
          <t>Conta nº</t>
        </is>
      </c>
      <c r="F5" s="34" t="inlineStr">
        <is>
          <t>Tipo de conta</t>
        </is>
      </c>
      <c r="G5" s="34" t="inlineStr">
        <is>
          <t>Saldo inicial</t>
        </is>
      </c>
      <c r="H5" s="34" t="inlineStr">
        <is>
          <t>Entradas no ano</t>
        </is>
      </c>
      <c r="I5" s="34" t="inlineStr">
        <is>
          <t>Saídas no ano</t>
        </is>
      </c>
      <c r="J5" s="34" t="inlineStr">
        <is>
          <t>Saldo atual</t>
        </is>
      </c>
      <c r="K5" s="34" t="inlineStr">
        <is>
          <t>Limite de crédito</t>
        </is>
      </c>
      <c r="L5" s="34" t="inlineStr">
        <is>
          <t>Saldo + limite</t>
        </is>
      </c>
      <c r="M5" s="34" t="inlineStr">
        <is>
          <t>Gerente / contato</t>
        </is>
      </c>
      <c r="N5" s="34" t="inlineStr">
        <is>
          <t>Status</t>
        </is>
      </c>
      <c r="O5" s="34" t="inlineStr">
        <is>
          <t>Observações</t>
        </is>
      </c>
    </row>
    <row r="6">
      <c r="A6" s="14" t="inlineStr">
        <is>
          <t>BN01</t>
        </is>
      </c>
      <c r="B6" s="29" t="inlineStr">
        <is>
          <t>Banco do Brasil — C/C 12345-6</t>
        </is>
      </c>
      <c r="C6" s="29" t="inlineStr">
        <is>
          <t>Banco do Brasil</t>
        </is>
      </c>
      <c r="D6" s="14" t="inlineStr">
        <is>
          <t>1234-5</t>
        </is>
      </c>
      <c r="E6" s="14" t="inlineStr">
        <is>
          <t>12345-6</t>
        </is>
      </c>
      <c r="F6" s="14" t="inlineStr">
        <is>
          <t>Conta Corrente</t>
        </is>
      </c>
      <c r="G6" s="35" t="n">
        <v>45000</v>
      </c>
      <c r="H6" s="18">
        <f>IF($B6="","",SUMIFS('LANÇAMENTOS'!$V$6:$V$2005,'LANÇAMENTOS'!$L$6:$L$2005,$B6,'LANÇAMENTOS'!$E$6:$E$2005,"Entrada",'LANÇAMENTOS'!$D$6:$D$2005,"&lt;="&amp;TODAY()))</f>
        <v/>
      </c>
      <c r="I6" s="18">
        <f>IF($B6="","",SUMIFS('LANÇAMENTOS'!$V$6:$V$2005,'LANÇAMENTOS'!$L$6:$L$2005,$B6,'LANÇAMENTOS'!$E$6:$E$2005,"Saída",'LANÇAMENTOS'!$D$6:$D$2005,"&lt;="&amp;TODAY()))</f>
        <v/>
      </c>
      <c r="J6" s="18">
        <f>IF($B6="","",$G6+$H6-$I6)</f>
        <v/>
      </c>
      <c r="K6" s="35" t="n">
        <v>20000</v>
      </c>
      <c r="L6" s="18">
        <f>IF($B6="","",$J6+$K6)</f>
        <v/>
      </c>
      <c r="M6" s="29" t="inlineStr">
        <is>
          <t>(11) 3499-1000</t>
        </is>
      </c>
      <c r="N6" s="14" t="inlineStr">
        <is>
          <t>Ativa</t>
        </is>
      </c>
      <c r="O6" s="29" t="inlineStr">
        <is>
          <t>Conta principal — recebimentos e folha</t>
        </is>
      </c>
    </row>
    <row r="7">
      <c r="A7" s="14" t="inlineStr">
        <is>
          <t>BN02</t>
        </is>
      </c>
      <c r="B7" s="29" t="inlineStr">
        <is>
          <t>Itaú Unibanco — C/C 45678-9</t>
        </is>
      </c>
      <c r="C7" s="29" t="inlineStr">
        <is>
          <t>Itaú Unibanco</t>
        </is>
      </c>
      <c r="D7" s="14" t="inlineStr">
        <is>
          <t>0987</t>
        </is>
      </c>
      <c r="E7" s="14" t="inlineStr">
        <is>
          <t>45678-9</t>
        </is>
      </c>
      <c r="F7" s="14" t="inlineStr">
        <is>
          <t>Conta Corrente</t>
        </is>
      </c>
      <c r="G7" s="35" t="n">
        <v>32000</v>
      </c>
      <c r="H7" s="18">
        <f>IF($B7="","",SUMIFS('LANÇAMENTOS'!$V$6:$V$2005,'LANÇAMENTOS'!$L$6:$L$2005,$B7,'LANÇAMENTOS'!$E$6:$E$2005,"Entrada",'LANÇAMENTOS'!$D$6:$D$2005,"&lt;="&amp;TODAY()))</f>
        <v/>
      </c>
      <c r="I7" s="18">
        <f>IF($B7="","",SUMIFS('LANÇAMENTOS'!$V$6:$V$2005,'LANÇAMENTOS'!$L$6:$L$2005,$B7,'LANÇAMENTOS'!$E$6:$E$2005,"Saída",'LANÇAMENTOS'!$D$6:$D$2005,"&lt;="&amp;TODAY()))</f>
        <v/>
      </c>
      <c r="J7" s="18">
        <f>IF($B7="","",$G7+$H7-$I7)</f>
        <v/>
      </c>
      <c r="K7" s="35" t="n">
        <v>15000</v>
      </c>
      <c r="L7" s="18">
        <f>IF($B7="","",$J7+$K7)</f>
        <v/>
      </c>
      <c r="M7" s="29" t="inlineStr">
        <is>
          <t>(11) 3003-4828</t>
        </is>
      </c>
      <c r="N7" s="14" t="inlineStr">
        <is>
          <t>Ativa</t>
        </is>
      </c>
      <c r="O7" s="29" t="inlineStr">
        <is>
          <t>Pagamentos, tributos e fornecedores</t>
        </is>
      </c>
    </row>
    <row r="8">
      <c r="A8" s="14" t="inlineStr">
        <is>
          <t>BN03</t>
        </is>
      </c>
      <c r="B8" s="29" t="inlineStr">
        <is>
          <t>Nubank PJ — C/C 9876543-2</t>
        </is>
      </c>
      <c r="C8" s="29" t="inlineStr">
        <is>
          <t>Nubank</t>
        </is>
      </c>
      <c r="D8" s="14" t="inlineStr">
        <is>
          <t>0001</t>
        </is>
      </c>
      <c r="E8" s="14" t="inlineStr">
        <is>
          <t>9876543-2</t>
        </is>
      </c>
      <c r="F8" s="14" t="inlineStr">
        <is>
          <t>Conta Corrente</t>
        </is>
      </c>
      <c r="G8" s="35" t="n">
        <v>8500</v>
      </c>
      <c r="H8" s="18">
        <f>IF($B8="","",SUMIFS('LANÇAMENTOS'!$V$6:$V$2005,'LANÇAMENTOS'!$L$6:$L$2005,$B8,'LANÇAMENTOS'!$E$6:$E$2005,"Entrada",'LANÇAMENTOS'!$D$6:$D$2005,"&lt;="&amp;TODAY()))</f>
        <v/>
      </c>
      <c r="I8" s="18">
        <f>IF($B8="","",SUMIFS('LANÇAMENTOS'!$V$6:$V$2005,'LANÇAMENTOS'!$L$6:$L$2005,$B8,'LANÇAMENTOS'!$E$6:$E$2005,"Saída",'LANÇAMENTOS'!$D$6:$D$2005,"&lt;="&amp;TODAY()))</f>
        <v/>
      </c>
      <c r="J8" s="18">
        <f>IF($B8="","",$G8+$H8-$I8)</f>
        <v/>
      </c>
      <c r="K8" s="35" t="n">
        <v>0</v>
      </c>
      <c r="L8" s="18">
        <f>IF($B8="","",$J8+$K8)</f>
        <v/>
      </c>
      <c r="M8" s="29" t="inlineStr">
        <is>
          <t>0800 591 2117</t>
        </is>
      </c>
      <c r="N8" s="14" t="inlineStr">
        <is>
          <t>Ativa</t>
        </is>
      </c>
      <c r="O8" s="29" t="inlineStr">
        <is>
          <t>Conta digital — despesas pequenas e PIX</t>
        </is>
      </c>
    </row>
    <row r="9">
      <c r="A9" s="14" t="n"/>
      <c r="B9" s="29" t="n"/>
      <c r="C9" s="29" t="n"/>
      <c r="D9" s="14" t="n"/>
      <c r="E9" s="14" t="n"/>
      <c r="F9" s="14" t="n"/>
      <c r="G9" s="35" t="n"/>
      <c r="H9" s="18">
        <f>IF($B9="","",SUMIFS('LANÇAMENTOS'!$V$6:$V$2005,'LANÇAMENTOS'!$L$6:$L$2005,$B9,'LANÇAMENTOS'!$E$6:$E$2005,"Entrada",'LANÇAMENTOS'!$D$6:$D$2005,"&lt;="&amp;TODAY()))</f>
        <v/>
      </c>
      <c r="I9" s="18">
        <f>IF($B9="","",SUMIFS('LANÇAMENTOS'!$V$6:$V$2005,'LANÇAMENTOS'!$L$6:$L$2005,$B9,'LANÇAMENTOS'!$E$6:$E$2005,"Saída",'LANÇAMENTOS'!$D$6:$D$2005,"&lt;="&amp;TODAY()))</f>
        <v/>
      </c>
      <c r="J9" s="18">
        <f>IF($B9="","",$G9+$H9-$I9)</f>
        <v/>
      </c>
      <c r="K9" s="35" t="n"/>
      <c r="L9" s="18">
        <f>IF($B9="","",$J9+$K9)</f>
        <v/>
      </c>
      <c r="M9" s="29" t="n"/>
      <c r="N9" s="14" t="n"/>
      <c r="O9" s="29" t="n"/>
    </row>
    <row r="10">
      <c r="A10" s="14" t="n"/>
      <c r="B10" s="29" t="n"/>
      <c r="C10" s="29" t="n"/>
      <c r="D10" s="14" t="n"/>
      <c r="E10" s="14" t="n"/>
      <c r="F10" s="14" t="n"/>
      <c r="G10" s="35" t="n"/>
      <c r="H10" s="18">
        <f>IF($B10="","",SUMIFS('LANÇAMENTOS'!$V$6:$V$2005,'LANÇAMENTOS'!$L$6:$L$2005,$B10,'LANÇAMENTOS'!$E$6:$E$2005,"Entrada",'LANÇAMENTOS'!$D$6:$D$2005,"&lt;="&amp;TODAY()))</f>
        <v/>
      </c>
      <c r="I10" s="18">
        <f>IF($B10="","",SUMIFS('LANÇAMENTOS'!$V$6:$V$2005,'LANÇAMENTOS'!$L$6:$L$2005,$B10,'LANÇAMENTOS'!$E$6:$E$2005,"Saída",'LANÇAMENTOS'!$D$6:$D$2005,"&lt;="&amp;TODAY()))</f>
        <v/>
      </c>
      <c r="J10" s="18">
        <f>IF($B10="","",$G10+$H10-$I10)</f>
        <v/>
      </c>
      <c r="K10" s="35" t="n"/>
      <c r="L10" s="18">
        <f>IF($B10="","",$J10+$K10)</f>
        <v/>
      </c>
      <c r="M10" s="29" t="n"/>
      <c r="N10" s="14" t="n"/>
      <c r="O10" s="29" t="n"/>
    </row>
    <row r="11">
      <c r="A11" s="14" t="n"/>
      <c r="B11" s="29" t="n"/>
      <c r="C11" s="29" t="n"/>
      <c r="D11" s="14" t="n"/>
      <c r="E11" s="14" t="n"/>
      <c r="F11" s="14" t="n"/>
      <c r="G11" s="35" t="n"/>
      <c r="H11" s="18">
        <f>IF($B11="","",SUMIFS('LANÇAMENTOS'!$V$6:$V$2005,'LANÇAMENTOS'!$L$6:$L$2005,$B11,'LANÇAMENTOS'!$E$6:$E$2005,"Entrada",'LANÇAMENTOS'!$D$6:$D$2005,"&lt;="&amp;TODAY()))</f>
        <v/>
      </c>
      <c r="I11" s="18">
        <f>IF($B11="","",SUMIFS('LANÇAMENTOS'!$V$6:$V$2005,'LANÇAMENTOS'!$L$6:$L$2005,$B11,'LANÇAMENTOS'!$E$6:$E$2005,"Saída",'LANÇAMENTOS'!$D$6:$D$2005,"&lt;="&amp;TODAY()))</f>
        <v/>
      </c>
      <c r="J11" s="18">
        <f>IF($B11="","",$G11+$H11-$I11)</f>
        <v/>
      </c>
      <c r="K11" s="35" t="n"/>
      <c r="L11" s="18">
        <f>IF($B11="","",$J11+$K11)</f>
        <v/>
      </c>
      <c r="M11" s="29" t="n"/>
      <c r="N11" s="14" t="n"/>
      <c r="O11" s="29" t="n"/>
    </row>
    <row r="12">
      <c r="A12" s="14" t="n"/>
      <c r="B12" s="29" t="n"/>
      <c r="C12" s="29" t="n"/>
      <c r="D12" s="14" t="n"/>
      <c r="E12" s="14" t="n"/>
      <c r="F12" s="14" t="n"/>
      <c r="G12" s="35" t="n"/>
      <c r="H12" s="18">
        <f>IF($B12="","",SUMIFS('LANÇAMENTOS'!$V$6:$V$2005,'LANÇAMENTOS'!$L$6:$L$2005,$B12,'LANÇAMENTOS'!$E$6:$E$2005,"Entrada",'LANÇAMENTOS'!$D$6:$D$2005,"&lt;="&amp;TODAY()))</f>
        <v/>
      </c>
      <c r="I12" s="18">
        <f>IF($B12="","",SUMIFS('LANÇAMENTOS'!$V$6:$V$2005,'LANÇAMENTOS'!$L$6:$L$2005,$B12,'LANÇAMENTOS'!$E$6:$E$2005,"Saída",'LANÇAMENTOS'!$D$6:$D$2005,"&lt;="&amp;TODAY()))</f>
        <v/>
      </c>
      <c r="J12" s="18">
        <f>IF($B12="","",$G12+$H12-$I12)</f>
        <v/>
      </c>
      <c r="K12" s="35" t="n"/>
      <c r="L12" s="18">
        <f>IF($B12="","",$J12+$K12)</f>
        <v/>
      </c>
      <c r="M12" s="29" t="n"/>
      <c r="N12" s="14" t="n"/>
      <c r="O12" s="29" t="n"/>
    </row>
    <row r="13">
      <c r="A13" s="14" t="n"/>
      <c r="B13" s="29" t="n"/>
      <c r="C13" s="29" t="n"/>
      <c r="D13" s="14" t="n"/>
      <c r="E13" s="14" t="n"/>
      <c r="F13" s="14" t="n"/>
      <c r="G13" s="35" t="n"/>
      <c r="H13" s="18">
        <f>IF($B13="","",SUMIFS('LANÇAMENTOS'!$V$6:$V$2005,'LANÇAMENTOS'!$L$6:$L$2005,$B13,'LANÇAMENTOS'!$E$6:$E$2005,"Entrada",'LANÇAMENTOS'!$D$6:$D$2005,"&lt;="&amp;TODAY()))</f>
        <v/>
      </c>
      <c r="I13" s="18">
        <f>IF($B13="","",SUMIFS('LANÇAMENTOS'!$V$6:$V$2005,'LANÇAMENTOS'!$L$6:$L$2005,$B13,'LANÇAMENTOS'!$E$6:$E$2005,"Saída",'LANÇAMENTOS'!$D$6:$D$2005,"&lt;="&amp;TODAY()))</f>
        <v/>
      </c>
      <c r="J13" s="18">
        <f>IF($B13="","",$G13+$H13-$I13)</f>
        <v/>
      </c>
      <c r="K13" s="35" t="n"/>
      <c r="L13" s="18">
        <f>IF($B13="","",$J13+$K13)</f>
        <v/>
      </c>
      <c r="M13" s="29" t="n"/>
      <c r="N13" s="14" t="n"/>
      <c r="O13" s="29" t="n"/>
    </row>
    <row r="14">
      <c r="B14" s="37" t="inlineStr">
        <is>
          <t>TOTAL DISPONÍVEL (caixa e bancos)</t>
        </is>
      </c>
      <c r="G14" s="38">
        <f>SUM(G6:G13)</f>
        <v/>
      </c>
      <c r="H14" s="38">
        <f>SUM(H6:H13)</f>
        <v/>
      </c>
      <c r="I14" s="38">
        <f>SUM(I6:I13)</f>
        <v/>
      </c>
      <c r="J14" s="38">
        <f>SUM(J6:J13)</f>
        <v/>
      </c>
      <c r="K14" s="38">
        <f>SUM(K6:K13)</f>
        <v/>
      </c>
      <c r="L14" s="38">
        <f>SUM(L6:L13)</f>
        <v/>
      </c>
    </row>
    <row r="16">
      <c r="B16" s="25" t="inlineStr">
        <is>
          <t>O saldo atual é calculado assim: saldo inicial + entradas realizadas − saídas realizadas (data de pagamento/recebimento preenchida na aba LANÇAMENTOS).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O13"/>
  <mergeCells count="2">
    <mergeCell ref="A2:L2"/>
    <mergeCell ref="A1:L1"/>
  </mergeCells>
  <dataValidations count="2">
    <dataValidation sqref="F6:F13" showDropDown="0" showInputMessage="1" showErrorMessage="1" allowBlank="1" errorTitle="Tipo inválido" error="Escolha um tipo de conta." promptTitle="Valores permitidos" prompt="Escolha um tipo de conta." type="list" errorStyle="stop">
      <formula1>"Conta Corrente,Conta Poupança,Conta de Investimento,Caixa"</formula1>
    </dataValidation>
    <dataValidation sqref="N6:N13" showDropDown="0" showInputMessage="1" showErrorMessage="1" allowBlank="1" errorTitle="Status inválido" error="Escolha Ativo, Inativo ou Bloqueado." promptTitle="Valores permitidos" prompt="Escolha Ativo, Inativo ou Bloqueado." type="list" errorStyle="stop">
      <formula1>STATUS_CADASTRO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23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8" customWidth="1" min="4" max="4"/>
    <col width="8" customWidth="1" min="5" max="5"/>
    <col width="14" customWidth="1" min="6" max="6"/>
    <col width="12" customWidth="1" min="7" max="7"/>
    <col width="12" customWidth="1" min="8" max="8"/>
    <col width="30" customWidth="1" min="9" max="9"/>
    <col width="17" customWidth="1" min="10" max="10"/>
    <col width="16" customWidth="1" min="11" max="11"/>
    <col width="14" customWidth="1" min="12" max="12"/>
    <col width="15" customWidth="1" min="13" max="13"/>
    <col width="12" customWidth="1" min="14" max="14"/>
    <col width="10" customWidth="1" min="15" max="15"/>
    <col width="40" customWidth="1" min="16" max="16"/>
  </cols>
  <sheetData>
    <row r="1" ht="24" customHeight="1">
      <c r="A1" s="26" t="inlineStr">
        <is>
          <t>CARTÕES DE CRÉDITO</t>
        </is>
      </c>
    </row>
    <row r="2">
      <c r="A2" s="27" t="inlineStr">
        <is>
          <t>Controle de limites, faturas e comprometimento. As compras devem ser lançadas na aba LANÇAMENTOS com a forma de pagamento 'Cartão de crédito' e o cartão escolhido na coluna Cartão.</t>
        </is>
      </c>
    </row>
    <row r="3">
      <c r="B3" s="25" t="inlineStr">
        <is>
          <t>⚠ DADOS DE EXEMPLO — três cartões de crédito fictícios.</t>
        </is>
      </c>
    </row>
    <row r="4" ht="6" customHeight="1"/>
    <row r="5" ht="32" customHeight="1">
      <c r="A5" s="34" t="inlineStr">
        <is>
          <t>Código</t>
        </is>
      </c>
      <c r="B5" s="34" t="inlineStr">
        <is>
          <t>Cartão (nome de referência)</t>
        </is>
      </c>
      <c r="C5" s="34" t="inlineStr">
        <is>
          <t>Bandeira</t>
        </is>
      </c>
      <c r="D5" s="34" t="inlineStr">
        <is>
          <t>Banco emissor</t>
        </is>
      </c>
      <c r="E5" s="34" t="inlineStr">
        <is>
          <t>Final</t>
        </is>
      </c>
      <c r="F5" s="34" t="inlineStr">
        <is>
          <t>Limite total</t>
        </is>
      </c>
      <c r="G5" s="34" t="inlineStr">
        <is>
          <t>Dia de fechamento</t>
        </is>
      </c>
      <c r="H5" s="34" t="inlineStr">
        <is>
          <t>Dia de vencimento</t>
        </is>
      </c>
      <c r="I5" s="34" t="inlineStr">
        <is>
          <t>Conta de pagamento</t>
        </is>
      </c>
      <c r="J5" s="34" t="inlineStr">
        <is>
          <t>Compras no mês (competência)</t>
        </is>
      </c>
      <c r="K5" s="34" t="inlineStr">
        <is>
          <t>Fatura paga no mês</t>
        </is>
      </c>
      <c r="L5" s="34" t="inlineStr">
        <is>
          <t>Fatura em aberto</t>
        </is>
      </c>
      <c r="M5" s="34" t="inlineStr">
        <is>
          <t>Limite disponível</t>
        </is>
      </c>
      <c r="N5" s="34" t="inlineStr">
        <is>
          <t>% do limite usado</t>
        </is>
      </c>
      <c r="O5" s="34" t="inlineStr">
        <is>
          <t>Status</t>
        </is>
      </c>
      <c r="P5" s="34" t="inlineStr">
        <is>
          <t>Observações</t>
        </is>
      </c>
    </row>
    <row r="6">
      <c r="A6" s="14" t="inlineStr">
        <is>
          <t>CT01</t>
        </is>
      </c>
      <c r="B6" s="29" t="inlineStr">
        <is>
          <t>Cartão Visa Itaú Business</t>
        </is>
      </c>
      <c r="C6" s="14" t="inlineStr">
        <is>
          <t>Visa</t>
        </is>
      </c>
      <c r="D6" s="29" t="inlineStr">
        <is>
          <t>Itaú Unibanco</t>
        </is>
      </c>
      <c r="E6" s="14" t="inlineStr">
        <is>
          <t>4417</t>
        </is>
      </c>
      <c r="F6" s="35" t="n">
        <v>25000</v>
      </c>
      <c r="G6" s="13" t="n">
        <v>25</v>
      </c>
      <c r="H6" s="13" t="n">
        <v>5</v>
      </c>
      <c r="I6" s="29" t="inlineStr">
        <is>
          <t>Itaú Unibanco — C/C 45678-9</t>
        </is>
      </c>
      <c r="J6" s="18">
        <f>IF($B6="","",SUMIFS('LANÇAMENTOS'!$Q$6:$Q$2005,'LANÇAMENTOS'!$N$6:$N$2005,$B6,'LANÇAMENTOS'!$Z$6:$Z$2005,'CONFIGURAÇÕES'!$B$19,'LANÇAMENTOS'!$AA$6:$AA$2005,'CONFIGURAÇÕES'!$B$18))</f>
        <v/>
      </c>
      <c r="K6" s="18">
        <f>IF($B6="","",SUMIFS('LANÇAMENTOS'!$V$6:$V$2005,'LANÇAMENTOS'!$N$6:$N$2005,$B6,'LANÇAMENTOS'!$Z$6:$Z$2005,'CONFIGURAÇÕES'!$B$19,'LANÇAMENTOS'!$AA$6:$AA$2005,'CONFIGURAÇÕES'!$B$18))</f>
        <v/>
      </c>
      <c r="L6" s="18">
        <f>IF($B6="","",SUMIFS('LANÇAMENTOS'!$W$6:$W$2005,'LANÇAMENTOS'!$N$6:$N$2005,$B6))</f>
        <v/>
      </c>
      <c r="M6" s="18">
        <f>IF($B6="","",$F6-$L6)</f>
        <v/>
      </c>
      <c r="N6" s="23">
        <f>IF(OR($B6="",$F6=0),"",$L6/$F6)</f>
        <v/>
      </c>
      <c r="O6" s="14" t="inlineStr">
        <is>
          <t>Ativo</t>
        </is>
      </c>
      <c r="P6" s="29" t="inlineStr">
        <is>
          <t>Compras de fornecedores e viagens comerciais</t>
        </is>
      </c>
    </row>
    <row r="7">
      <c r="A7" s="14" t="inlineStr">
        <is>
          <t>CT02</t>
        </is>
      </c>
      <c r="B7" s="29" t="inlineStr">
        <is>
          <t>Cartão Mastercard Nubank PJ</t>
        </is>
      </c>
      <c r="C7" s="14" t="inlineStr">
        <is>
          <t>Mastercard</t>
        </is>
      </c>
      <c r="D7" s="29" t="inlineStr">
        <is>
          <t>Nubank</t>
        </is>
      </c>
      <c r="E7" s="14" t="inlineStr">
        <is>
          <t>8823</t>
        </is>
      </c>
      <c r="F7" s="35" t="n">
        <v>10000</v>
      </c>
      <c r="G7" s="13" t="n">
        <v>20</v>
      </c>
      <c r="H7" s="13" t="n">
        <v>28</v>
      </c>
      <c r="I7" s="29" t="inlineStr">
        <is>
          <t>Nubank PJ — C/C 9876543-2</t>
        </is>
      </c>
      <c r="J7" s="18">
        <f>IF($B7="","",SUMIFS('LANÇAMENTOS'!$Q$6:$Q$2005,'LANÇAMENTOS'!$N$6:$N$2005,$B7,'LANÇAMENTOS'!$Z$6:$Z$2005,'CONFIGURAÇÕES'!$B$19,'LANÇAMENTOS'!$AA$6:$AA$2005,'CONFIGURAÇÕES'!$B$18))</f>
        <v/>
      </c>
      <c r="K7" s="18">
        <f>IF($B7="","",SUMIFS('LANÇAMENTOS'!$V$6:$V$2005,'LANÇAMENTOS'!$N$6:$N$2005,$B7,'LANÇAMENTOS'!$Z$6:$Z$2005,'CONFIGURAÇÕES'!$B$19,'LANÇAMENTOS'!$AA$6:$AA$2005,'CONFIGURAÇÕES'!$B$18))</f>
        <v/>
      </c>
      <c r="L7" s="18">
        <f>IF($B7="","",SUMIFS('LANÇAMENTOS'!$W$6:$W$2005,'LANÇAMENTOS'!$N$6:$N$2005,$B7))</f>
        <v/>
      </c>
      <c r="M7" s="18">
        <f>IF($B7="","",$F7-$L7)</f>
        <v/>
      </c>
      <c r="N7" s="23">
        <f>IF(OR($B7="",$F7=0),"",$L7/$F7)</f>
        <v/>
      </c>
      <c r="O7" s="14" t="inlineStr">
        <is>
          <t>Ativo</t>
        </is>
      </c>
      <c r="P7" s="29" t="inlineStr">
        <is>
          <t>Assinaturas de software, marketing e serviços digitais</t>
        </is>
      </c>
    </row>
    <row r="8">
      <c r="A8" s="14" t="inlineStr">
        <is>
          <t>CT03</t>
        </is>
      </c>
      <c r="B8" s="29" t="inlineStr">
        <is>
          <t>Cartão Elo Banco do Brasil PJ</t>
        </is>
      </c>
      <c r="C8" s="14" t="inlineStr">
        <is>
          <t>Elo</t>
        </is>
      </c>
      <c r="D8" s="29" t="inlineStr">
        <is>
          <t>Banco do Brasil</t>
        </is>
      </c>
      <c r="E8" s="14" t="inlineStr">
        <is>
          <t>7751</t>
        </is>
      </c>
      <c r="F8" s="35" t="n">
        <v>15000</v>
      </c>
      <c r="G8" s="13" t="n">
        <v>15</v>
      </c>
      <c r="H8" s="13" t="n">
        <v>25</v>
      </c>
      <c r="I8" s="29" t="inlineStr">
        <is>
          <t>Banco do Brasil — C/C 12345-6</t>
        </is>
      </c>
      <c r="J8" s="18">
        <f>IF($B8="","",SUMIFS('LANÇAMENTOS'!$Q$6:$Q$2005,'LANÇAMENTOS'!$N$6:$N$2005,$B8,'LANÇAMENTOS'!$Z$6:$Z$2005,'CONFIGURAÇÕES'!$B$19,'LANÇAMENTOS'!$AA$6:$AA$2005,'CONFIGURAÇÕES'!$B$18))</f>
        <v/>
      </c>
      <c r="K8" s="18">
        <f>IF($B8="","",SUMIFS('LANÇAMENTOS'!$V$6:$V$2005,'LANÇAMENTOS'!$N$6:$N$2005,$B8,'LANÇAMENTOS'!$Z$6:$Z$2005,'CONFIGURAÇÕES'!$B$19,'LANÇAMENTOS'!$AA$6:$AA$2005,'CONFIGURAÇÕES'!$B$18))</f>
        <v/>
      </c>
      <c r="L8" s="18">
        <f>IF($B8="","",SUMIFS('LANÇAMENTOS'!$W$6:$W$2005,'LANÇAMENTOS'!$N$6:$N$2005,$B8))</f>
        <v/>
      </c>
      <c r="M8" s="18">
        <f>IF($B8="","",$F8-$L8)</f>
        <v/>
      </c>
      <c r="N8" s="23">
        <f>IF(OR($B8="",$F8=0),"",$L8/$F8)</f>
        <v/>
      </c>
      <c r="O8" s="14" t="inlineStr">
        <is>
          <t>Ativo</t>
        </is>
      </c>
      <c r="P8" s="29" t="inlineStr">
        <is>
          <t>Combustível e manutenção da frota</t>
        </is>
      </c>
    </row>
    <row r="9">
      <c r="A9" s="14" t="n"/>
      <c r="B9" s="29" t="n"/>
      <c r="C9" s="14" t="n"/>
      <c r="D9" s="29" t="n"/>
      <c r="E9" s="14" t="n"/>
      <c r="F9" s="35" t="n"/>
      <c r="G9" s="13" t="n"/>
      <c r="H9" s="13" t="n"/>
      <c r="I9" s="29" t="n"/>
      <c r="J9" s="18">
        <f>IF($B9="","",SUMIFS('LANÇAMENTOS'!$Q$6:$Q$2005,'LANÇAMENTOS'!$N$6:$N$2005,$B9,'LANÇAMENTOS'!$Z$6:$Z$2005,'CONFIGURAÇÕES'!$B$19,'LANÇAMENTOS'!$AA$6:$AA$2005,'CONFIGURAÇÕES'!$B$18))</f>
        <v/>
      </c>
      <c r="K9" s="18">
        <f>IF($B9="","",SUMIFS('LANÇAMENTOS'!$V$6:$V$2005,'LANÇAMENTOS'!$N$6:$N$2005,$B9,'LANÇAMENTOS'!$Z$6:$Z$2005,'CONFIGURAÇÕES'!$B$19,'LANÇAMENTOS'!$AA$6:$AA$2005,'CONFIGURAÇÕES'!$B$18))</f>
        <v/>
      </c>
      <c r="L9" s="18">
        <f>IF($B9="","",SUMIFS('LANÇAMENTOS'!$W$6:$W$2005,'LANÇAMENTOS'!$N$6:$N$2005,$B9))</f>
        <v/>
      </c>
      <c r="M9" s="18">
        <f>IF($B9="","",$F9-$L9)</f>
        <v/>
      </c>
      <c r="N9" s="23">
        <f>IF(OR($B9="",$F9=0),"",$L9/$F9)</f>
        <v/>
      </c>
      <c r="O9" s="14" t="n"/>
      <c r="P9" s="29" t="n"/>
    </row>
    <row r="10">
      <c r="A10" s="14" t="n"/>
      <c r="B10" s="29" t="n"/>
      <c r="C10" s="14" t="n"/>
      <c r="D10" s="29" t="n"/>
      <c r="E10" s="14" t="n"/>
      <c r="F10" s="35" t="n"/>
      <c r="G10" s="13" t="n"/>
      <c r="H10" s="13" t="n"/>
      <c r="I10" s="29" t="n"/>
      <c r="J10" s="18">
        <f>IF($B10="","",SUMIFS('LANÇAMENTOS'!$Q$6:$Q$2005,'LANÇAMENTOS'!$N$6:$N$2005,$B10,'LANÇAMENTOS'!$Z$6:$Z$2005,'CONFIGURAÇÕES'!$B$19,'LANÇAMENTOS'!$AA$6:$AA$2005,'CONFIGURAÇÕES'!$B$18))</f>
        <v/>
      </c>
      <c r="K10" s="18">
        <f>IF($B10="","",SUMIFS('LANÇAMENTOS'!$V$6:$V$2005,'LANÇAMENTOS'!$N$6:$N$2005,$B10,'LANÇAMENTOS'!$Z$6:$Z$2005,'CONFIGURAÇÕES'!$B$19,'LANÇAMENTOS'!$AA$6:$AA$2005,'CONFIGURAÇÕES'!$B$18))</f>
        <v/>
      </c>
      <c r="L10" s="18">
        <f>IF($B10="","",SUMIFS('LANÇAMENTOS'!$W$6:$W$2005,'LANÇAMENTOS'!$N$6:$N$2005,$B10))</f>
        <v/>
      </c>
      <c r="M10" s="18">
        <f>IF($B10="","",$F10-$L10)</f>
        <v/>
      </c>
      <c r="N10" s="23">
        <f>IF(OR($B10="",$F10=0),"",$L10/$F10)</f>
        <v/>
      </c>
      <c r="O10" s="14" t="n"/>
      <c r="P10" s="29" t="n"/>
    </row>
    <row r="11">
      <c r="A11" s="14" t="n"/>
      <c r="B11" s="29" t="n"/>
      <c r="C11" s="14" t="n"/>
      <c r="D11" s="29" t="n"/>
      <c r="E11" s="14" t="n"/>
      <c r="F11" s="35" t="n"/>
      <c r="G11" s="13" t="n"/>
      <c r="H11" s="13" t="n"/>
      <c r="I11" s="29" t="n"/>
      <c r="J11" s="18">
        <f>IF($B11="","",SUMIFS('LANÇAMENTOS'!$Q$6:$Q$2005,'LANÇAMENTOS'!$N$6:$N$2005,$B11,'LANÇAMENTOS'!$Z$6:$Z$2005,'CONFIGURAÇÕES'!$B$19,'LANÇAMENTOS'!$AA$6:$AA$2005,'CONFIGURAÇÕES'!$B$18))</f>
        <v/>
      </c>
      <c r="K11" s="18">
        <f>IF($B11="","",SUMIFS('LANÇAMENTOS'!$V$6:$V$2005,'LANÇAMENTOS'!$N$6:$N$2005,$B11,'LANÇAMENTOS'!$Z$6:$Z$2005,'CONFIGURAÇÕES'!$B$19,'LANÇAMENTOS'!$AA$6:$AA$2005,'CONFIGURAÇÕES'!$B$18))</f>
        <v/>
      </c>
      <c r="L11" s="18">
        <f>IF($B11="","",SUMIFS('LANÇAMENTOS'!$W$6:$W$2005,'LANÇAMENTOS'!$N$6:$N$2005,$B11))</f>
        <v/>
      </c>
      <c r="M11" s="18">
        <f>IF($B11="","",$F11-$L11)</f>
        <v/>
      </c>
      <c r="N11" s="23">
        <f>IF(OR($B11="",$F11=0),"",$L11/$F11)</f>
        <v/>
      </c>
      <c r="O11" s="14" t="n"/>
      <c r="P11" s="29" t="n"/>
    </row>
    <row r="12">
      <c r="A12" s="14" t="n"/>
      <c r="B12" s="29" t="n"/>
      <c r="C12" s="14" t="n"/>
      <c r="D12" s="29" t="n"/>
      <c r="E12" s="14" t="n"/>
      <c r="F12" s="35" t="n"/>
      <c r="G12" s="13" t="n"/>
      <c r="H12" s="13" t="n"/>
      <c r="I12" s="29" t="n"/>
      <c r="J12" s="18">
        <f>IF($B12="","",SUMIFS('LANÇAMENTOS'!$Q$6:$Q$2005,'LANÇAMENTOS'!$N$6:$N$2005,$B12,'LANÇAMENTOS'!$Z$6:$Z$2005,'CONFIGURAÇÕES'!$B$19,'LANÇAMENTOS'!$AA$6:$AA$2005,'CONFIGURAÇÕES'!$B$18))</f>
        <v/>
      </c>
      <c r="K12" s="18">
        <f>IF($B12="","",SUMIFS('LANÇAMENTOS'!$V$6:$V$2005,'LANÇAMENTOS'!$N$6:$N$2005,$B12,'LANÇAMENTOS'!$Z$6:$Z$2005,'CONFIGURAÇÕES'!$B$19,'LANÇAMENTOS'!$AA$6:$AA$2005,'CONFIGURAÇÕES'!$B$18))</f>
        <v/>
      </c>
      <c r="L12" s="18">
        <f>IF($B12="","",SUMIFS('LANÇAMENTOS'!$W$6:$W$2005,'LANÇAMENTOS'!$N$6:$N$2005,$B12))</f>
        <v/>
      </c>
      <c r="M12" s="18">
        <f>IF($B12="","",$F12-$L12)</f>
        <v/>
      </c>
      <c r="N12" s="23">
        <f>IF(OR($B12="",$F12=0),"",$L12/$F12)</f>
        <v/>
      </c>
      <c r="O12" s="14" t="n"/>
      <c r="P12" s="29" t="n"/>
    </row>
    <row r="13">
      <c r="A13" s="14" t="n"/>
      <c r="B13" s="29" t="n"/>
      <c r="C13" s="14" t="n"/>
      <c r="D13" s="29" t="n"/>
      <c r="E13" s="14" t="n"/>
      <c r="F13" s="35" t="n"/>
      <c r="G13" s="13" t="n"/>
      <c r="H13" s="13" t="n"/>
      <c r="I13" s="29" t="n"/>
      <c r="J13" s="18">
        <f>IF($B13="","",SUMIFS('LANÇAMENTOS'!$Q$6:$Q$2005,'LANÇAMENTOS'!$N$6:$N$2005,$B13,'LANÇAMENTOS'!$Z$6:$Z$2005,'CONFIGURAÇÕES'!$B$19,'LANÇAMENTOS'!$AA$6:$AA$2005,'CONFIGURAÇÕES'!$B$18))</f>
        <v/>
      </c>
      <c r="K13" s="18">
        <f>IF($B13="","",SUMIFS('LANÇAMENTOS'!$V$6:$V$2005,'LANÇAMENTOS'!$N$6:$N$2005,$B13,'LANÇAMENTOS'!$Z$6:$Z$2005,'CONFIGURAÇÕES'!$B$19,'LANÇAMENTOS'!$AA$6:$AA$2005,'CONFIGURAÇÕES'!$B$18))</f>
        <v/>
      </c>
      <c r="L13" s="18">
        <f>IF($B13="","",SUMIFS('LANÇAMENTOS'!$W$6:$W$2005,'LANÇAMENTOS'!$N$6:$N$2005,$B13))</f>
        <v/>
      </c>
      <c r="M13" s="18">
        <f>IF($B13="","",$F13-$L13)</f>
        <v/>
      </c>
      <c r="N13" s="23">
        <f>IF(OR($B13="",$F13=0),"",$L13/$F13)</f>
        <v/>
      </c>
      <c r="O13" s="14" t="n"/>
      <c r="P13" s="29" t="n"/>
    </row>
    <row r="14">
      <c r="A14" s="14" t="n"/>
      <c r="B14" s="29" t="n"/>
      <c r="C14" s="14" t="n"/>
      <c r="D14" s="29" t="n"/>
      <c r="E14" s="14" t="n"/>
      <c r="F14" s="35" t="n"/>
      <c r="G14" s="13" t="n"/>
      <c r="H14" s="13" t="n"/>
      <c r="I14" s="29" t="n"/>
      <c r="J14" s="18">
        <f>IF($B14="","",SUMIFS('LANÇAMENTOS'!$Q$6:$Q$2005,'LANÇAMENTOS'!$N$6:$N$2005,$B14,'LANÇAMENTOS'!$Z$6:$Z$2005,'CONFIGURAÇÕES'!$B$19,'LANÇAMENTOS'!$AA$6:$AA$2005,'CONFIGURAÇÕES'!$B$18))</f>
        <v/>
      </c>
      <c r="K14" s="18">
        <f>IF($B14="","",SUMIFS('LANÇAMENTOS'!$V$6:$V$2005,'LANÇAMENTOS'!$N$6:$N$2005,$B14,'LANÇAMENTOS'!$Z$6:$Z$2005,'CONFIGURAÇÕES'!$B$19,'LANÇAMENTOS'!$AA$6:$AA$2005,'CONFIGURAÇÕES'!$B$18))</f>
        <v/>
      </c>
      <c r="L14" s="18">
        <f>IF($B14="","",SUMIFS('LANÇAMENTOS'!$W$6:$W$2005,'LANÇAMENTOS'!$N$6:$N$2005,$B14))</f>
        <v/>
      </c>
      <c r="M14" s="18">
        <f>IF($B14="","",$F14-$L14)</f>
        <v/>
      </c>
      <c r="N14" s="23">
        <f>IF(OR($B14="",$F14=0),"",$L14/$F14)</f>
        <v/>
      </c>
      <c r="O14" s="14" t="n"/>
      <c r="P14" s="29" t="n"/>
    </row>
    <row r="15">
      <c r="A15" s="14" t="n"/>
      <c r="B15" s="29" t="n"/>
      <c r="C15" s="14" t="n"/>
      <c r="D15" s="29" t="n"/>
      <c r="E15" s="14" t="n"/>
      <c r="F15" s="35" t="n"/>
      <c r="G15" s="13" t="n"/>
      <c r="H15" s="13" t="n"/>
      <c r="I15" s="29" t="n"/>
      <c r="J15" s="18">
        <f>IF($B15="","",SUMIFS('LANÇAMENTOS'!$Q$6:$Q$2005,'LANÇAMENTOS'!$N$6:$N$2005,$B15,'LANÇAMENTOS'!$Z$6:$Z$2005,'CONFIGURAÇÕES'!$B$19,'LANÇAMENTOS'!$AA$6:$AA$2005,'CONFIGURAÇÕES'!$B$18))</f>
        <v/>
      </c>
      <c r="K15" s="18">
        <f>IF($B15="","",SUMIFS('LANÇAMENTOS'!$V$6:$V$2005,'LANÇAMENTOS'!$N$6:$N$2005,$B15,'LANÇAMENTOS'!$Z$6:$Z$2005,'CONFIGURAÇÕES'!$B$19,'LANÇAMENTOS'!$AA$6:$AA$2005,'CONFIGURAÇÕES'!$B$18))</f>
        <v/>
      </c>
      <c r="L15" s="18">
        <f>IF($B15="","",SUMIFS('LANÇAMENTOS'!$W$6:$W$2005,'LANÇAMENTOS'!$N$6:$N$2005,$B15))</f>
        <v/>
      </c>
      <c r="M15" s="18">
        <f>IF($B15="","",$F15-$L15)</f>
        <v/>
      </c>
      <c r="N15" s="23">
        <f>IF(OR($B15="",$F15=0),"",$L15/$F15)</f>
        <v/>
      </c>
      <c r="O15" s="14" t="n"/>
      <c r="P15" s="29" t="n"/>
    </row>
    <row r="16">
      <c r="B16" s="37" t="inlineStr">
        <is>
          <t>TOTAL</t>
        </is>
      </c>
      <c r="F16" s="38">
        <f>SUM(F6:F15)</f>
        <v/>
      </c>
      <c r="J16" s="38">
        <f>SUM(J6:J15)</f>
        <v/>
      </c>
      <c r="K16" s="38">
        <f>SUM(K6:K15)</f>
        <v/>
      </c>
      <c r="L16" s="38">
        <f>SUM(L6:L15)</f>
        <v/>
      </c>
      <c r="M16" s="38">
        <f>SUM(M6:M15)</f>
        <v/>
      </c>
      <c r="N16" s="39">
        <f>IF($F16=0,"",$L16/$F16)</f>
        <v/>
      </c>
    </row>
    <row r="19" ht="20" customHeight="1">
      <c r="A19" s="4" t="inlineStr">
        <is>
          <t>FATURAS POR MÊS — compras em cada cartão (ano de análise)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0" customHeight="1">
      <c r="A20" s="21" t="inlineStr">
        <is>
          <t>Cartão</t>
        </is>
      </c>
      <c r="B20" s="21" t="inlineStr">
        <is>
          <t>Mês 1</t>
        </is>
      </c>
      <c r="C20" s="21" t="inlineStr">
        <is>
          <t>Mês 2</t>
        </is>
      </c>
      <c r="D20" s="21" t="inlineStr">
        <is>
          <t>Mês 3</t>
        </is>
      </c>
      <c r="E20" s="21" t="inlineStr">
        <is>
          <t>Mês 4</t>
        </is>
      </c>
      <c r="F20" s="21" t="inlineStr">
        <is>
          <t>Mês 5</t>
        </is>
      </c>
      <c r="G20" s="21" t="inlineStr">
        <is>
          <t>Mês 6</t>
        </is>
      </c>
      <c r="H20" s="21" t="inlineStr">
        <is>
          <t>Mês 7</t>
        </is>
      </c>
      <c r="I20" s="21" t="inlineStr">
        <is>
          <t>Mês 8</t>
        </is>
      </c>
      <c r="J20" s="21" t="inlineStr">
        <is>
          <t>Mês 9</t>
        </is>
      </c>
      <c r="K20" s="21" t="inlineStr">
        <is>
          <t>Mês 10</t>
        </is>
      </c>
      <c r="L20" s="21" t="inlineStr">
        <is>
          <t>Mês 11</t>
        </is>
      </c>
      <c r="M20" s="21" t="inlineStr">
        <is>
          <t>Mês 12</t>
        </is>
      </c>
      <c r="N20" s="21" t="inlineStr">
        <is>
          <t>Total</t>
        </is>
      </c>
    </row>
    <row r="21">
      <c r="A21" s="9">
        <f>$B$6</f>
        <v/>
      </c>
      <c r="B21" s="18">
        <f>IF($A21="","",SUMIFS('LANÇAMENTOS'!$Q$6:$Q$2005,'LANÇAMENTOS'!$N$6:$N$2005,$A21,'LANÇAMENTOS'!$Z$6:$Z$2005,1,'LANÇAMENTOS'!$AA$6:$AA$2005,'CONFIGURAÇÕES'!$B$18))</f>
        <v/>
      </c>
      <c r="C21" s="18">
        <f>IF($A21="","",SUMIFS('LANÇAMENTOS'!$Q$6:$Q$2005,'LANÇAMENTOS'!$N$6:$N$2005,$A21,'LANÇAMENTOS'!$Z$6:$Z$2005,2,'LANÇAMENTOS'!$AA$6:$AA$2005,'CONFIGURAÇÕES'!$B$18))</f>
        <v/>
      </c>
      <c r="D21" s="18">
        <f>IF($A21="","",SUMIFS('LANÇAMENTOS'!$Q$6:$Q$2005,'LANÇAMENTOS'!$N$6:$N$2005,$A21,'LANÇAMENTOS'!$Z$6:$Z$2005,3,'LANÇAMENTOS'!$AA$6:$AA$2005,'CONFIGURAÇÕES'!$B$18))</f>
        <v/>
      </c>
      <c r="E21" s="18">
        <f>IF($A21="","",SUMIFS('LANÇAMENTOS'!$Q$6:$Q$2005,'LANÇAMENTOS'!$N$6:$N$2005,$A21,'LANÇAMENTOS'!$Z$6:$Z$2005,4,'LANÇAMENTOS'!$AA$6:$AA$2005,'CONFIGURAÇÕES'!$B$18))</f>
        <v/>
      </c>
      <c r="F21" s="18">
        <f>IF($A21="","",SUMIFS('LANÇAMENTOS'!$Q$6:$Q$2005,'LANÇAMENTOS'!$N$6:$N$2005,$A21,'LANÇAMENTOS'!$Z$6:$Z$2005,5,'LANÇAMENTOS'!$AA$6:$AA$2005,'CONFIGURAÇÕES'!$B$18))</f>
        <v/>
      </c>
      <c r="G21" s="18">
        <f>IF($A21="","",SUMIFS('LANÇAMENTOS'!$Q$6:$Q$2005,'LANÇAMENTOS'!$N$6:$N$2005,$A21,'LANÇAMENTOS'!$Z$6:$Z$2005,6,'LANÇAMENTOS'!$AA$6:$AA$2005,'CONFIGURAÇÕES'!$B$18))</f>
        <v/>
      </c>
      <c r="H21" s="18">
        <f>IF($A21="","",SUMIFS('LANÇAMENTOS'!$Q$6:$Q$2005,'LANÇAMENTOS'!$N$6:$N$2005,$A21,'LANÇAMENTOS'!$Z$6:$Z$2005,7,'LANÇAMENTOS'!$AA$6:$AA$2005,'CONFIGURAÇÕES'!$B$18))</f>
        <v/>
      </c>
      <c r="I21" s="18">
        <f>IF($A21="","",SUMIFS('LANÇAMENTOS'!$Q$6:$Q$2005,'LANÇAMENTOS'!$N$6:$N$2005,$A21,'LANÇAMENTOS'!$Z$6:$Z$2005,8,'LANÇAMENTOS'!$AA$6:$AA$2005,'CONFIGURAÇÕES'!$B$18))</f>
        <v/>
      </c>
      <c r="J21" s="18">
        <f>IF($A21="","",SUMIFS('LANÇAMENTOS'!$Q$6:$Q$2005,'LANÇAMENTOS'!$N$6:$N$2005,$A21,'LANÇAMENTOS'!$Z$6:$Z$2005,9,'LANÇAMENTOS'!$AA$6:$AA$2005,'CONFIGURAÇÕES'!$B$18))</f>
        <v/>
      </c>
      <c r="K21" s="18">
        <f>IF($A21="","",SUMIFS('LANÇAMENTOS'!$Q$6:$Q$2005,'LANÇAMENTOS'!$N$6:$N$2005,$A21,'LANÇAMENTOS'!$Z$6:$Z$2005,10,'LANÇAMENTOS'!$AA$6:$AA$2005,'CONFIGURAÇÕES'!$B$18))</f>
        <v/>
      </c>
      <c r="L21" s="18">
        <f>IF($A21="","",SUMIFS('LANÇAMENTOS'!$Q$6:$Q$2005,'LANÇAMENTOS'!$N$6:$N$2005,$A21,'LANÇAMENTOS'!$Z$6:$Z$2005,11,'LANÇAMENTOS'!$AA$6:$AA$2005,'CONFIGURAÇÕES'!$B$18))</f>
        <v/>
      </c>
      <c r="M21" s="18">
        <f>IF($A21="","",SUMIFS('LANÇAMENTOS'!$Q$6:$Q$2005,'LANÇAMENTOS'!$N$6:$N$2005,$A21,'LANÇAMENTOS'!$Z$6:$Z$2005,12,'LANÇAMENTOS'!$AA$6:$AA$2005,'CONFIGURAÇÕES'!$B$18))</f>
        <v/>
      </c>
      <c r="N21" s="38">
        <f>IF($A21="","",SUM(B21:M21))</f>
        <v/>
      </c>
    </row>
    <row r="22">
      <c r="A22" s="9">
        <f>$B$7</f>
        <v/>
      </c>
      <c r="B22" s="18">
        <f>IF($A22="","",SUMIFS('LANÇAMENTOS'!$Q$6:$Q$2005,'LANÇAMENTOS'!$N$6:$N$2005,$A22,'LANÇAMENTOS'!$Z$6:$Z$2005,1,'LANÇAMENTOS'!$AA$6:$AA$2005,'CONFIGURAÇÕES'!$B$18))</f>
        <v/>
      </c>
      <c r="C22" s="18">
        <f>IF($A22="","",SUMIFS('LANÇAMENTOS'!$Q$6:$Q$2005,'LANÇAMENTOS'!$N$6:$N$2005,$A22,'LANÇAMENTOS'!$Z$6:$Z$2005,2,'LANÇAMENTOS'!$AA$6:$AA$2005,'CONFIGURAÇÕES'!$B$18))</f>
        <v/>
      </c>
      <c r="D22" s="18">
        <f>IF($A22="","",SUMIFS('LANÇAMENTOS'!$Q$6:$Q$2005,'LANÇAMENTOS'!$N$6:$N$2005,$A22,'LANÇAMENTOS'!$Z$6:$Z$2005,3,'LANÇAMENTOS'!$AA$6:$AA$2005,'CONFIGURAÇÕES'!$B$18))</f>
        <v/>
      </c>
      <c r="E22" s="18">
        <f>IF($A22="","",SUMIFS('LANÇAMENTOS'!$Q$6:$Q$2005,'LANÇAMENTOS'!$N$6:$N$2005,$A22,'LANÇAMENTOS'!$Z$6:$Z$2005,4,'LANÇAMENTOS'!$AA$6:$AA$2005,'CONFIGURAÇÕES'!$B$18))</f>
        <v/>
      </c>
      <c r="F22" s="18">
        <f>IF($A22="","",SUMIFS('LANÇAMENTOS'!$Q$6:$Q$2005,'LANÇAMENTOS'!$N$6:$N$2005,$A22,'LANÇAMENTOS'!$Z$6:$Z$2005,5,'LANÇAMENTOS'!$AA$6:$AA$2005,'CONFIGURAÇÕES'!$B$18))</f>
        <v/>
      </c>
      <c r="G22" s="18">
        <f>IF($A22="","",SUMIFS('LANÇAMENTOS'!$Q$6:$Q$2005,'LANÇAMENTOS'!$N$6:$N$2005,$A22,'LANÇAMENTOS'!$Z$6:$Z$2005,6,'LANÇAMENTOS'!$AA$6:$AA$2005,'CONFIGURAÇÕES'!$B$18))</f>
        <v/>
      </c>
      <c r="H22" s="18">
        <f>IF($A22="","",SUMIFS('LANÇAMENTOS'!$Q$6:$Q$2005,'LANÇAMENTOS'!$N$6:$N$2005,$A22,'LANÇAMENTOS'!$Z$6:$Z$2005,7,'LANÇAMENTOS'!$AA$6:$AA$2005,'CONFIGURAÇÕES'!$B$18))</f>
        <v/>
      </c>
      <c r="I22" s="18">
        <f>IF($A22="","",SUMIFS('LANÇAMENTOS'!$Q$6:$Q$2005,'LANÇAMENTOS'!$N$6:$N$2005,$A22,'LANÇAMENTOS'!$Z$6:$Z$2005,8,'LANÇAMENTOS'!$AA$6:$AA$2005,'CONFIGURAÇÕES'!$B$18))</f>
        <v/>
      </c>
      <c r="J22" s="18">
        <f>IF($A22="","",SUMIFS('LANÇAMENTOS'!$Q$6:$Q$2005,'LANÇAMENTOS'!$N$6:$N$2005,$A22,'LANÇAMENTOS'!$Z$6:$Z$2005,9,'LANÇAMENTOS'!$AA$6:$AA$2005,'CONFIGURAÇÕES'!$B$18))</f>
        <v/>
      </c>
      <c r="K22" s="18">
        <f>IF($A22="","",SUMIFS('LANÇAMENTOS'!$Q$6:$Q$2005,'LANÇAMENTOS'!$N$6:$N$2005,$A22,'LANÇAMENTOS'!$Z$6:$Z$2005,10,'LANÇAMENTOS'!$AA$6:$AA$2005,'CONFIGURAÇÕES'!$B$18))</f>
        <v/>
      </c>
      <c r="L22" s="18">
        <f>IF($A22="","",SUMIFS('LANÇAMENTOS'!$Q$6:$Q$2005,'LANÇAMENTOS'!$N$6:$N$2005,$A22,'LANÇAMENTOS'!$Z$6:$Z$2005,11,'LANÇAMENTOS'!$AA$6:$AA$2005,'CONFIGURAÇÕES'!$B$18))</f>
        <v/>
      </c>
      <c r="M22" s="18">
        <f>IF($A22="","",SUMIFS('LANÇAMENTOS'!$Q$6:$Q$2005,'LANÇAMENTOS'!$N$6:$N$2005,$A22,'LANÇAMENTOS'!$Z$6:$Z$2005,12,'LANÇAMENTOS'!$AA$6:$AA$2005,'CONFIGURAÇÕES'!$B$18))</f>
        <v/>
      </c>
      <c r="N22" s="38">
        <f>IF($A22="","",SUM(B22:M22))</f>
        <v/>
      </c>
    </row>
    <row r="23">
      <c r="A23" s="9">
        <f>$B$8</f>
        <v/>
      </c>
      <c r="B23" s="18">
        <f>IF($A23="","",SUMIFS('LANÇAMENTOS'!$Q$6:$Q$2005,'LANÇAMENTOS'!$N$6:$N$2005,$A23,'LANÇAMENTOS'!$Z$6:$Z$2005,1,'LANÇAMENTOS'!$AA$6:$AA$2005,'CONFIGURAÇÕES'!$B$18))</f>
        <v/>
      </c>
      <c r="C23" s="18">
        <f>IF($A23="","",SUMIFS('LANÇAMENTOS'!$Q$6:$Q$2005,'LANÇAMENTOS'!$N$6:$N$2005,$A23,'LANÇAMENTOS'!$Z$6:$Z$2005,2,'LANÇAMENTOS'!$AA$6:$AA$2005,'CONFIGURAÇÕES'!$B$18))</f>
        <v/>
      </c>
      <c r="D23" s="18">
        <f>IF($A23="","",SUMIFS('LANÇAMENTOS'!$Q$6:$Q$2005,'LANÇAMENTOS'!$N$6:$N$2005,$A23,'LANÇAMENTOS'!$Z$6:$Z$2005,3,'LANÇAMENTOS'!$AA$6:$AA$2005,'CONFIGURAÇÕES'!$B$18))</f>
        <v/>
      </c>
      <c r="E23" s="18">
        <f>IF($A23="","",SUMIFS('LANÇAMENTOS'!$Q$6:$Q$2005,'LANÇAMENTOS'!$N$6:$N$2005,$A23,'LANÇAMENTOS'!$Z$6:$Z$2005,4,'LANÇAMENTOS'!$AA$6:$AA$2005,'CONFIGURAÇÕES'!$B$18))</f>
        <v/>
      </c>
      <c r="F23" s="18">
        <f>IF($A23="","",SUMIFS('LANÇAMENTOS'!$Q$6:$Q$2005,'LANÇAMENTOS'!$N$6:$N$2005,$A23,'LANÇAMENTOS'!$Z$6:$Z$2005,5,'LANÇAMENTOS'!$AA$6:$AA$2005,'CONFIGURAÇÕES'!$B$18))</f>
        <v/>
      </c>
      <c r="G23" s="18">
        <f>IF($A23="","",SUMIFS('LANÇAMENTOS'!$Q$6:$Q$2005,'LANÇAMENTOS'!$N$6:$N$2005,$A23,'LANÇAMENTOS'!$Z$6:$Z$2005,6,'LANÇAMENTOS'!$AA$6:$AA$2005,'CONFIGURAÇÕES'!$B$18))</f>
        <v/>
      </c>
      <c r="H23" s="18">
        <f>IF($A23="","",SUMIFS('LANÇAMENTOS'!$Q$6:$Q$2005,'LANÇAMENTOS'!$N$6:$N$2005,$A23,'LANÇAMENTOS'!$Z$6:$Z$2005,7,'LANÇAMENTOS'!$AA$6:$AA$2005,'CONFIGURAÇÕES'!$B$18))</f>
        <v/>
      </c>
      <c r="I23" s="18">
        <f>IF($A23="","",SUMIFS('LANÇAMENTOS'!$Q$6:$Q$2005,'LANÇAMENTOS'!$N$6:$N$2005,$A23,'LANÇAMENTOS'!$Z$6:$Z$2005,8,'LANÇAMENTOS'!$AA$6:$AA$2005,'CONFIGURAÇÕES'!$B$18))</f>
        <v/>
      </c>
      <c r="J23" s="18">
        <f>IF($A23="","",SUMIFS('LANÇAMENTOS'!$Q$6:$Q$2005,'LANÇAMENTOS'!$N$6:$N$2005,$A23,'LANÇAMENTOS'!$Z$6:$Z$2005,9,'LANÇAMENTOS'!$AA$6:$AA$2005,'CONFIGURAÇÕES'!$B$18))</f>
        <v/>
      </c>
      <c r="K23" s="18">
        <f>IF($A23="","",SUMIFS('LANÇAMENTOS'!$Q$6:$Q$2005,'LANÇAMENTOS'!$N$6:$N$2005,$A23,'LANÇAMENTOS'!$Z$6:$Z$2005,10,'LANÇAMENTOS'!$AA$6:$AA$2005,'CONFIGURAÇÕES'!$B$18))</f>
        <v/>
      </c>
      <c r="L23" s="18">
        <f>IF($A23="","",SUMIFS('LANÇAMENTOS'!$Q$6:$Q$2005,'LANÇAMENTOS'!$N$6:$N$2005,$A23,'LANÇAMENTOS'!$Z$6:$Z$2005,11,'LANÇAMENTOS'!$AA$6:$AA$2005,'CONFIGURAÇÕES'!$B$18))</f>
        <v/>
      </c>
      <c r="M23" s="18">
        <f>IF($A23="","",SUMIFS('LANÇAMENTOS'!$Q$6:$Q$2005,'LANÇAMENTOS'!$N$6:$N$2005,$A23,'LANÇAMENTOS'!$Z$6:$Z$2005,12,'LANÇAMENTOS'!$AA$6:$AA$2005,'CONFIGURAÇÕES'!$B$18))</f>
        <v/>
      </c>
      <c r="N23" s="38">
        <f>IF($A23="","",SUM(B23:M23))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P15"/>
  <mergeCells count="3">
    <mergeCell ref="A2:L2"/>
    <mergeCell ref="A1:L1"/>
    <mergeCell ref="A19:P19"/>
  </mergeCells>
  <conditionalFormatting sqref="B21:M23">
    <cfRule type="dataBar" priority="1">
      <dataBar showValue="1">
        <cfvo type="num" val="0"/>
        <cfvo type="max"/>
        <color rgb="002E75B6"/>
      </dataBar>
    </cfRule>
  </conditionalFormatting>
  <dataValidations count="3">
    <dataValidation sqref="C6:C15" showDropDown="0" showInputMessage="1" showErrorMessage="1" allowBlank="1" errorTitle="Bandeira inválida" error="Escolha uma bandeira da lista." promptTitle="Valores permitidos" prompt="Escolha uma bandeira da lista." type="list" errorStyle="stop">
      <formula1>BANDEIRA</formula1>
    </dataValidation>
    <dataValidation sqref="G6:H15" showDropDown="0" showInputMessage="0" showErrorMessage="1" allowBlank="1" errorTitle="Dia inválido" error="Informe um dia entre 1 e 31." type="whole" errorStyle="stop" operator="between">
      <formula1>1</formula1>
      <formula2>31</formula2>
    </dataValidation>
    <dataValidation sqref="O6:O15" showDropDown="0" showInputMessage="1" showErrorMessage="1" allowBlank="1" errorTitle="Status inválido" error="Escolha Ativo, Inativo ou Bloqueado." promptTitle="Valores permitidos" prompt="Escolha Ativo, Inativo ou Bloqueado." type="list" errorStyle="stop">
      <formula1>STATUS_CADASTRO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O2005"/>
  <sheetViews>
    <sheetView showGridLines="0" tabSelected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10" customWidth="1" min="5" max="5"/>
    <col width="24" customWidth="1" min="6" max="6"/>
    <col width="34" customWidth="1" min="7" max="7"/>
    <col width="16" customWidth="1" min="8" max="8"/>
    <col width="40" customWidth="1" min="9" max="9"/>
    <col width="46" customWidth="1" min="10" max="10"/>
    <col width="14" customWidth="1" min="11" max="11"/>
    <col width="30" customWidth="1" min="12" max="12"/>
    <col width="18" customWidth="1" min="13" max="13"/>
    <col width="30" customWidth="1" min="14" max="14"/>
    <col width="8" customWidth="1" min="15" max="15"/>
    <col width="8" customWidth="1" min="16" max="16"/>
    <col width="14" customWidth="1" min="17" max="17"/>
    <col width="14" customWidth="1" min="18" max="18"/>
    <col width="11" customWidth="1" min="19" max="19"/>
    <col width="11" customWidth="1" min="20" max="20"/>
    <col width="12" customWidth="1" min="21" max="21"/>
    <col width="14" customWidth="1" min="22" max="22"/>
    <col width="14" customWidth="1" min="23" max="23"/>
    <col width="12" customWidth="1" min="24" max="24"/>
    <col width="16" customWidth="1" min="25" max="25"/>
    <col width="7" customWidth="1" min="26" max="26"/>
    <col width="7" customWidth="1" min="27" max="27"/>
    <col width="8" customWidth="1" min="28" max="28"/>
    <col width="12" customWidth="1" min="29" max="29"/>
    <col width="12" customWidth="1" min="30" max="30"/>
    <col width="14" customWidth="1" min="31" max="31"/>
    <col width="26" customWidth="1" min="32" max="32"/>
    <col width="16" customWidth="1" min="33" max="33"/>
    <col width="22" customWidth="1" min="34" max="34"/>
    <col width="10" customWidth="1" min="35" max="35"/>
    <col width="10" customWidth="1" min="36" max="36"/>
    <col width="10" customWidth="1" min="37" max="37"/>
    <col hidden="1" width="13" customWidth="1" min="38" max="38"/>
    <col hidden="1" width="12" customWidth="1" min="39" max="39"/>
    <col hidden="1" width="12" customWidth="1" min="40" max="40"/>
    <col width="34" customWidth="1" min="41" max="41"/>
  </cols>
  <sheetData>
    <row r="1" ht="24" customHeight="1">
      <c r="A1" s="26" t="inlineStr">
        <is>
          <t>LANÇAMENTOS — BASE CENTRAL DE ENTRADAS E SAÍDAS</t>
        </is>
      </c>
    </row>
    <row r="2">
      <c r="A2" s="27" t="inlineStr">
        <is>
          <t>Cada linha é um lançamento. Colunas amarelas = você digita • Colunas cinzas = cálculo automático (não editar). Contas a pagar e a receber saem desta base.</t>
        </is>
      </c>
    </row>
    <row r="3" ht="26" customHeight="1">
      <c r="A3" s="3" t="inlineStr">
        <is>
          <t>COMO USAR: 1) informe as datas e escolha tipo, categoria, subcategoria, centro de custo e cliente/fornecedor nas listas; 2) preencha o valor previsto; 3) ao pagar/receber, informe a data e o valor realizado e mude o status para Pago/Recebido. O sistema classifica vencimentos, atrasos, DRE e fluxo de caixa.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26" customHeight="1">
      <c r="A4" s="3" t="inlineStr">
        <is>
          <t>⚠ DADOS DE EXEMPLO: as linhas já preenchidas são fictícias (demonstração). Para começar do zero, selecione as linhas de dados nas colunas A a X e pressione Delete — as fórmulas das colunas Y a AO permanecem e continuam funcionando.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</row>
    <row r="5" ht="44" customHeight="1">
      <c r="A5" s="34" t="inlineStr">
        <is>
          <t>ID</t>
        </is>
      </c>
      <c r="B5" s="34" t="inlineStr">
        <is>
          <t>Data de competência</t>
        </is>
      </c>
      <c r="C5" s="34" t="inlineStr">
        <is>
          <t>Data de vencimento</t>
        </is>
      </c>
      <c r="D5" s="34" t="inlineStr">
        <is>
          <t>Data de pagamento/recebimento</t>
        </is>
      </c>
      <c r="E5" s="34" t="inlineStr">
        <is>
          <t>Tipo</t>
        </is>
      </c>
      <c r="F5" s="34" t="inlineStr">
        <is>
          <t>Categoria</t>
        </is>
      </c>
      <c r="G5" s="34" t="inlineStr">
        <is>
          <t>Subcategoria</t>
        </is>
      </c>
      <c r="H5" s="34" t="inlineStr">
        <is>
          <t>Centro de custo</t>
        </is>
      </c>
      <c r="I5" s="34" t="inlineStr">
        <is>
          <t>Cliente / Fornecedor</t>
        </is>
      </c>
      <c r="J5" s="34" t="inlineStr">
        <is>
          <t>Descrição</t>
        </is>
      </c>
      <c r="K5" s="34" t="inlineStr">
        <is>
          <t>Documento</t>
        </is>
      </c>
      <c r="L5" s="34" t="inlineStr">
        <is>
          <t>Banco / Conta</t>
        </is>
      </c>
      <c r="M5" s="34" t="inlineStr">
        <is>
          <t>Forma de pagamento</t>
        </is>
      </c>
      <c r="N5" s="34" t="inlineStr">
        <is>
          <t>Cartão</t>
        </is>
      </c>
      <c r="O5" s="34" t="inlineStr">
        <is>
          <t>Nº parcela</t>
        </is>
      </c>
      <c r="P5" s="34" t="inlineStr">
        <is>
          <t>Total parcelas</t>
        </is>
      </c>
      <c r="Q5" s="34" t="inlineStr">
        <is>
          <t>Valor previsto</t>
        </is>
      </c>
      <c r="R5" s="34" t="inlineStr">
        <is>
          <t>Valor realizado</t>
        </is>
      </c>
      <c r="S5" s="34" t="inlineStr">
        <is>
          <t>Juros</t>
        </is>
      </c>
      <c r="T5" s="34" t="inlineStr">
        <is>
          <t>Multa</t>
        </is>
      </c>
      <c r="U5" s="34" t="inlineStr">
        <is>
          <t>Desconto</t>
        </is>
      </c>
      <c r="V5" s="34" t="inlineStr">
        <is>
          <t>Valor final (caixa)</t>
        </is>
      </c>
      <c r="W5" s="34" t="inlineStr">
        <is>
          <t>Saldo em aberto</t>
        </is>
      </c>
      <c r="X5" s="34" t="inlineStr">
        <is>
          <t>Status</t>
        </is>
      </c>
      <c r="Y5" s="34" t="inlineStr">
        <is>
          <t>Situação automática</t>
        </is>
      </c>
      <c r="Z5" s="34" t="inlineStr">
        <is>
          <t>Mês</t>
        </is>
      </c>
      <c r="AA5" s="34" t="inlineStr">
        <is>
          <t>Ano</t>
        </is>
      </c>
      <c r="AB5" s="34" t="inlineStr">
        <is>
          <t>Semana</t>
        </is>
      </c>
      <c r="AC5" s="34" t="inlineStr">
        <is>
          <t>Dia da semana</t>
        </is>
      </c>
      <c r="AD5" s="34" t="inlineStr">
        <is>
          <t>Competência</t>
        </is>
      </c>
      <c r="AE5" s="34" t="inlineStr">
        <is>
          <t>Valor DRE</t>
        </is>
      </c>
      <c r="AF5" s="34" t="inlineStr">
        <is>
          <t>Linha do DRE</t>
        </is>
      </c>
      <c r="AG5" s="34" t="inlineStr">
        <is>
          <t>Tipo de fluxo</t>
        </is>
      </c>
      <c r="AH5" s="34" t="inlineStr">
        <is>
          <t>Grupo</t>
        </is>
      </c>
      <c r="AI5" s="34" t="inlineStr">
        <is>
          <t>Dias p/ vencimento</t>
        </is>
      </c>
      <c r="AJ5" s="34" t="inlineStr">
        <is>
          <t>Dias em atraso</t>
        </is>
      </c>
      <c r="AK5" s="34" t="inlineStr">
        <is>
          <t>Dias até pagamento</t>
        </is>
      </c>
      <c r="AL5" s="34" t="inlineStr">
        <is>
          <t>Valor × dias</t>
        </is>
      </c>
      <c r="AM5" s="34" t="inlineStr">
        <is>
          <t>Chave AP (ordem)</t>
        </is>
      </c>
      <c r="AN5" s="34" t="inlineStr">
        <is>
          <t>Chave AR (ordem)</t>
        </is>
      </c>
      <c r="AO5" s="34" t="inlineStr">
        <is>
          <t>Validação automática</t>
        </is>
      </c>
    </row>
    <row r="6">
      <c r="A6" s="14" t="inlineStr">
        <is>
          <t>L0001</t>
        </is>
      </c>
      <c r="B6" s="36" t="n">
        <v>46026</v>
      </c>
      <c r="C6" s="36" t="n">
        <v>46056</v>
      </c>
      <c r="D6" s="36" t="n">
        <v>46056</v>
      </c>
      <c r="E6" s="14" t="inlineStr">
        <is>
          <t>Saída</t>
        </is>
      </c>
      <c r="F6" s="29" t="inlineStr">
        <is>
          <t>Custos Variáveis</t>
        </is>
      </c>
      <c r="G6" s="29" t="inlineStr">
        <is>
          <t>Mercadorias para Revenda</t>
        </is>
      </c>
      <c r="H6" s="29" t="inlineStr">
        <is>
          <t>Logística</t>
        </is>
      </c>
      <c r="I6" s="29" t="inlineStr">
        <is>
          <t>DISTRIBUIDORA CENTRAL DE ALIMENTOS S/A</t>
        </is>
      </c>
      <c r="J6" s="29" t="inlineStr">
        <is>
          <t>Compra de mercadorias para revenda — NF 5010</t>
        </is>
      </c>
      <c r="K6" s="14" t="inlineStr">
        <is>
          <t>NF 5010</t>
        </is>
      </c>
      <c r="L6" s="29" t="inlineStr">
        <is>
          <t>Itaú Unibanco — C/C 45678-9</t>
        </is>
      </c>
      <c r="M6" s="14" t="inlineStr">
        <is>
          <t>Boleto</t>
        </is>
      </c>
      <c r="N6" s="29" t="n"/>
      <c r="O6" s="13" t="n">
        <v>1</v>
      </c>
      <c r="P6" s="13" t="n">
        <v>1</v>
      </c>
      <c r="Q6" s="35" t="n">
        <v>59572.8</v>
      </c>
      <c r="R6" s="35" t="n">
        <v>59572.8</v>
      </c>
      <c r="S6" s="35" t="n"/>
      <c r="T6" s="35" t="n"/>
      <c r="U6" s="35" t="n"/>
      <c r="V6" s="18">
        <f>IF(COUNTA($B6:$R6)=0,"",ROUND(N($R6)+N($S6)+N($T6)-N($U6),2))</f>
        <v/>
      </c>
      <c r="W6" s="18">
        <f>IF(COUNTA($B6:$R6)=0,"",IF(OR($X6="Pago",$X6="Recebido",$X6="Cancelado"),0,ROUND(N($Q6)+N($S6)+N($T6)-N($U6)-N($R6),2)))</f>
        <v/>
      </c>
      <c r="X6" s="14" t="inlineStr">
        <is>
          <t>Pago</t>
        </is>
      </c>
      <c r="Y6" s="17">
        <f>IF(COUNTA($B6:$R6)=0,"",IF($X6="Cancelado","Cancelado",IF(OR($X6="Pago",$X6="Recebido"),$X6,IF(OR($X6="Parcial",N($R6)&gt;0),"Parcial",IF($C6="","Sem vencimento",IF($C6&lt;TODAY(),"Vencido",IF($C6=TODAY(),"Vence hoje",IF($C6&lt;=TODAY()+7,"Vence em 7 dias",IF($C6&lt;=TODAY()+30,"Vence em 30 dias","Futuro")))))))))</f>
        <v/>
      </c>
      <c r="Z6" s="24">
        <f>IF($B6="","",MONTH($B6))</f>
        <v/>
      </c>
      <c r="AA6" s="24">
        <f>IF($B6="","",YEAR($B6))</f>
        <v/>
      </c>
      <c r="AB6" s="24">
        <f>IF($B6="","",ISOWEEKNUM($B6))</f>
        <v/>
      </c>
      <c r="AC6" s="17">
        <f>IF($B6="","",CHOOSE(WEEKDAY($B6,2),"Segunda","Terça","Quarta","Quinta","Sexta","Sábado","Domingo"))</f>
        <v/>
      </c>
      <c r="AD6" s="17">
        <f>IF($B6="","",TEXT($B6,"MM/AAAA"))</f>
        <v/>
      </c>
      <c r="AE6" s="18">
        <f>IF(COUNTA($B6:$R6)=0,"",IF($X6="Cancelado",0,ROUND(N($Q6)+N($S6)+N($T6)-N($U6),2)))</f>
        <v/>
      </c>
      <c r="AF6" s="9">
        <f>IF($G6="","",IFERROR(INDEX(LINHAS_DRE_PLANO,MATCH($G6,SUBCATEGORIAS_PLANO,0)),"Não classificado"))</f>
        <v/>
      </c>
      <c r="AG6" s="17">
        <f>IF($G6="","",IFERROR(INDEX(TIPOS_FLUXO_PLANO,MATCH($G6,SUBCATEGORIAS_PLANO,0)),"Não classificado"))</f>
        <v/>
      </c>
      <c r="AH6" s="9">
        <f>IF($G6="","",IFERROR(INDEX(GRUPOS_PLANO,MATCH($G6,SUBCATEGORIAS_PLANO,0)),"Não classificado"))</f>
        <v/>
      </c>
      <c r="AI6" s="24">
        <f>IF(OR($C6="",$X6="Pago",$X6="Recebido",$X6="Cancelado"),"",$C6-TODAY())</f>
        <v/>
      </c>
      <c r="AJ6" s="24">
        <f>IF(OR($C6="",$X6="Pago",$X6="Recebido",$X6="Cancelado"),0,MAX(0,TODAY()-$C6))</f>
        <v/>
      </c>
      <c r="AK6" s="24">
        <f>IF($D6="","",$D6-$B6)</f>
        <v/>
      </c>
      <c r="AL6" s="18">
        <f>IF(OR($D6="",$B6=""),"",ROUND(N($R6)*($D6-$B6),2))</f>
        <v/>
      </c>
      <c r="AM6" s="17">
        <f>IF(AND($E6="Saída",$W6&gt;0,$C6&lt;&gt;""),$C6+ROW()/1000000,"")</f>
        <v/>
      </c>
      <c r="AN6" s="17">
        <f>IF(AND($E6="Entrada",$W6&gt;0,$C6&lt;&gt;""),$C6+ROW()/1000000,"")</f>
        <v/>
      </c>
      <c r="AO6" s="9">
        <f>IF(COUNTA($B6:$R6)=0,"",IF(AND($I6&lt;&gt;"",COUNTIF(CLIENTES_NOMES,$I6)+COUNTIF(CLIENTES_FANTASIA,$I6)+COUNTIF(FORNECEDORES_NOMES,$I6)+COUNTIF(FORNECEDORES_FANTASIA,$I6)=0),"⚠ Cliente/Fornecedor não cadastrado",IF(AND($G6&lt;&gt;"",COUNTIF(SUBCATEGORIAS_PLANO,$G6)=0),"⚠ Subcategoria fora do plano de contas",IF(OR($Q6="",N($Q6)=0),"⚠ Valor previsto não informado",IF(AND(OR($X6="Pago",$X6="Recebido"),$D6=""),"⚠ Status pago/recebido sem data",IF(AND($D6&lt;&gt;"",N($R6)=0),"⚠ Data de pagamento sem valor realizado",IF(AND(N($P6)&gt;1,N($O6)&gt;N($P6)),"⚠ Nº da parcela maior que o total",IF(AND($C6&lt;&gt;"",$B6&lt;&gt;"",$C6&lt;$B6),"⚠ Vencimento anterior à competência","OK"))))))))</f>
        <v/>
      </c>
    </row>
    <row r="7">
      <c r="A7" s="14" t="inlineStr">
        <is>
          <t>L0002</t>
        </is>
      </c>
      <c r="B7" s="36" t="n">
        <v>46027</v>
      </c>
      <c r="C7" s="36" t="n">
        <v>46032</v>
      </c>
      <c r="D7" s="36" t="n">
        <v>46033</v>
      </c>
      <c r="E7" s="14" t="inlineStr">
        <is>
          <t>Saída</t>
        </is>
      </c>
      <c r="F7" s="29" t="inlineStr">
        <is>
          <t>Despesas Administrativas</t>
        </is>
      </c>
      <c r="G7" s="29" t="inlineStr">
        <is>
          <t>Aluguel</t>
        </is>
      </c>
      <c r="H7" s="29" t="inlineStr">
        <is>
          <t>Administrativo</t>
        </is>
      </c>
      <c r="I7" s="29" t="inlineStr">
        <is>
          <t>IMÓVEIS E LOCAÇÕES PINHEIROS LTDA</t>
        </is>
      </c>
      <c r="J7" s="29" t="inlineStr">
        <is>
          <t>Aluguel do galpão — competência 01/2026</t>
        </is>
      </c>
      <c r="K7" s="14" t="inlineStr">
        <is>
          <t>DOC 8265</t>
        </is>
      </c>
      <c r="L7" s="29" t="inlineStr">
        <is>
          <t>Banco do Brasil — C/C 12345-6</t>
        </is>
      </c>
      <c r="M7" s="14" t="inlineStr">
        <is>
          <t>Boleto</t>
        </is>
      </c>
      <c r="N7" s="29" t="n"/>
      <c r="O7" s="13" t="n">
        <v>1</v>
      </c>
      <c r="P7" s="13" t="n">
        <v>1</v>
      </c>
      <c r="Q7" s="35" t="n">
        <v>7500</v>
      </c>
      <c r="R7" s="35" t="n">
        <v>7500</v>
      </c>
      <c r="S7" s="35" t="n"/>
      <c r="T7" s="35" t="n"/>
      <c r="U7" s="35" t="n"/>
      <c r="V7" s="18">
        <f>IF(COUNTA($B7:$R7)=0,"",ROUND(N($R7)+N($S7)+N($T7)-N($U7),2))</f>
        <v/>
      </c>
      <c r="W7" s="18">
        <f>IF(COUNTA($B7:$R7)=0,"",IF(OR($X7="Pago",$X7="Recebido",$X7="Cancelado"),0,ROUND(N($Q7)+N($S7)+N($T7)-N($U7)-N($R7),2)))</f>
        <v/>
      </c>
      <c r="X7" s="14" t="inlineStr">
        <is>
          <t>Pago</t>
        </is>
      </c>
      <c r="Y7" s="17">
        <f>IF(COUNTA($B7:$R7)=0,"",IF($X7="Cancelado","Cancelado",IF(OR($X7="Pago",$X7="Recebido"),$X7,IF(OR($X7="Parcial",N($R7)&gt;0),"Parcial",IF($C7="","Sem vencimento",IF($C7&lt;TODAY(),"Vencido",IF($C7=TODAY(),"Vence hoje",IF($C7&lt;=TODAY()+7,"Vence em 7 dias",IF($C7&lt;=TODAY()+30,"Vence em 30 dias","Futuro")))))))))</f>
        <v/>
      </c>
      <c r="Z7" s="24">
        <f>IF($B7="","",MONTH($B7))</f>
        <v/>
      </c>
      <c r="AA7" s="24">
        <f>IF($B7="","",YEAR($B7))</f>
        <v/>
      </c>
      <c r="AB7" s="24">
        <f>IF($B7="","",ISOWEEKNUM($B7))</f>
        <v/>
      </c>
      <c r="AC7" s="17">
        <f>IF($B7="","",CHOOSE(WEEKDAY($B7,2),"Segunda","Terça","Quarta","Quinta","Sexta","Sábado","Domingo"))</f>
        <v/>
      </c>
      <c r="AD7" s="17">
        <f>IF($B7="","",TEXT($B7,"MM/AAAA"))</f>
        <v/>
      </c>
      <c r="AE7" s="18">
        <f>IF(COUNTA($B7:$R7)=0,"",IF($X7="Cancelado",0,ROUND(N($Q7)+N($S7)+N($T7)-N($U7),2)))</f>
        <v/>
      </c>
      <c r="AF7" s="9">
        <f>IF($G7="","",IFERROR(INDEX(LINHAS_DRE_PLANO,MATCH($G7,SUBCATEGORIAS_PLANO,0)),"Não classificado"))</f>
        <v/>
      </c>
      <c r="AG7" s="17">
        <f>IF($G7="","",IFERROR(INDEX(TIPOS_FLUXO_PLANO,MATCH($G7,SUBCATEGORIAS_PLANO,0)),"Não classificado"))</f>
        <v/>
      </c>
      <c r="AH7" s="9">
        <f>IF($G7="","",IFERROR(INDEX(GRUPOS_PLANO,MATCH($G7,SUBCATEGORIAS_PLANO,0)),"Não classificado"))</f>
        <v/>
      </c>
      <c r="AI7" s="24">
        <f>IF(OR($C7="",$X7="Pago",$X7="Recebido",$X7="Cancelado"),"",$C7-TODAY())</f>
        <v/>
      </c>
      <c r="AJ7" s="24">
        <f>IF(OR($C7="",$X7="Pago",$X7="Recebido",$X7="Cancelado"),0,MAX(0,TODAY()-$C7))</f>
        <v/>
      </c>
      <c r="AK7" s="24">
        <f>IF($D7="","",$D7-$B7)</f>
        <v/>
      </c>
      <c r="AL7" s="18">
        <f>IF(OR($D7="",$B7=""),"",ROUND(N($R7)*($D7-$B7),2))</f>
        <v/>
      </c>
      <c r="AM7" s="17">
        <f>IF(AND($E7="Saída",$W7&gt;0,$C7&lt;&gt;""),$C7+ROW()/1000000,"")</f>
        <v/>
      </c>
      <c r="AN7" s="17">
        <f>IF(AND($E7="Entrada",$W7&gt;0,$C7&lt;&gt;""),$C7+ROW()/1000000,"")</f>
        <v/>
      </c>
      <c r="AO7" s="9">
        <f>IF(COUNTA($B7:$R7)=0,"",IF(AND($I7&lt;&gt;"",COUNTIF(CLIENTES_NOMES,$I7)+COUNTIF(CLIENTES_FANTASIA,$I7)+COUNTIF(FORNECEDORES_NOMES,$I7)+COUNTIF(FORNECEDORES_FANTASIA,$I7)=0),"⚠ Cliente/Fornecedor não cadastrado",IF(AND($G7&lt;&gt;"",COUNTIF(SUBCATEGORIAS_PLANO,$G7)=0),"⚠ Subcategoria fora do plano de contas",IF(OR($Q7="",N($Q7)=0),"⚠ Valor previsto não informado",IF(AND(OR($X7="Pago",$X7="Recebido"),$D7=""),"⚠ Status pago/recebido sem data",IF(AND($D7&lt;&gt;"",N($R7)=0),"⚠ Data de pagamento sem valor realizado",IF(AND(N($P7)&gt;1,N($O7)&gt;N($P7)),"⚠ Nº da parcela maior que o total",IF(AND($C7&lt;&gt;"",$B7&lt;&gt;"",$C7&lt;$B7),"⚠ Vencimento anterior à competência","OK"))))))))</f>
        <v/>
      </c>
    </row>
    <row r="8">
      <c r="A8" s="14" t="inlineStr">
        <is>
          <t>L0003</t>
        </is>
      </c>
      <c r="B8" s="36" t="n">
        <v>46027</v>
      </c>
      <c r="C8" s="36" t="n">
        <v>46032</v>
      </c>
      <c r="D8" s="36" t="n">
        <v>46032</v>
      </c>
      <c r="E8" s="14" t="inlineStr">
        <is>
          <t>Saída</t>
        </is>
      </c>
      <c r="F8" s="29" t="inlineStr">
        <is>
          <t>Despesas com Pessoal</t>
        </is>
      </c>
      <c r="G8" s="29" t="inlineStr">
        <is>
          <t>Salários</t>
        </is>
      </c>
      <c r="H8" s="29" t="inlineStr">
        <is>
          <t>Administrativo</t>
        </is>
      </c>
      <c r="I8" s="29" t="inlineStr">
        <is>
          <t>COLABORADORES — FOLHA DE PAGAMENTO</t>
        </is>
      </c>
      <c r="J8" s="29" t="inlineStr">
        <is>
          <t>Folha de pagamento — 01/2026</t>
        </is>
      </c>
      <c r="K8" s="14" t="inlineStr">
        <is>
          <t>DOC 8271</t>
        </is>
      </c>
      <c r="L8" s="29" t="inlineStr">
        <is>
          <t>Banco do Brasil — C/C 12345-6</t>
        </is>
      </c>
      <c r="M8" s="14" t="inlineStr">
        <is>
          <t>Transferência</t>
        </is>
      </c>
      <c r="N8" s="29" t="n"/>
      <c r="O8" s="13" t="n">
        <v>1</v>
      </c>
      <c r="P8" s="13" t="n">
        <v>1</v>
      </c>
      <c r="Q8" s="35" t="n">
        <v>16000</v>
      </c>
      <c r="R8" s="35" t="n">
        <v>16000</v>
      </c>
      <c r="S8" s="35" t="n"/>
      <c r="T8" s="35" t="n"/>
      <c r="U8" s="35" t="n"/>
      <c r="V8" s="18">
        <f>IF(COUNTA($B8:$R8)=0,"",ROUND(N($R8)+N($S8)+N($T8)-N($U8),2))</f>
        <v/>
      </c>
      <c r="W8" s="18">
        <f>IF(COUNTA($B8:$R8)=0,"",IF(OR($X8="Pago",$X8="Recebido",$X8="Cancelado"),0,ROUND(N($Q8)+N($S8)+N($T8)-N($U8)-N($R8),2)))</f>
        <v/>
      </c>
      <c r="X8" s="14" t="inlineStr">
        <is>
          <t>Pago</t>
        </is>
      </c>
      <c r="Y8" s="17">
        <f>IF(COUNTA($B8:$R8)=0,"",IF($X8="Cancelado","Cancelado",IF(OR($X8="Pago",$X8="Recebido"),$X8,IF(OR($X8="Parcial",N($R8)&gt;0),"Parcial",IF($C8="","Sem vencimento",IF($C8&lt;TODAY(),"Vencido",IF($C8=TODAY(),"Vence hoje",IF($C8&lt;=TODAY()+7,"Vence em 7 dias",IF($C8&lt;=TODAY()+30,"Vence em 30 dias","Futuro")))))))))</f>
        <v/>
      </c>
      <c r="Z8" s="24">
        <f>IF($B8="","",MONTH($B8))</f>
        <v/>
      </c>
      <c r="AA8" s="24">
        <f>IF($B8="","",YEAR($B8))</f>
        <v/>
      </c>
      <c r="AB8" s="24">
        <f>IF($B8="","",ISOWEEKNUM($B8))</f>
        <v/>
      </c>
      <c r="AC8" s="17">
        <f>IF($B8="","",CHOOSE(WEEKDAY($B8,2),"Segunda","Terça","Quarta","Quinta","Sexta","Sábado","Domingo"))</f>
        <v/>
      </c>
      <c r="AD8" s="17">
        <f>IF($B8="","",TEXT($B8,"MM/AAAA"))</f>
        <v/>
      </c>
      <c r="AE8" s="18">
        <f>IF(COUNTA($B8:$R8)=0,"",IF($X8="Cancelado",0,ROUND(N($Q8)+N($S8)+N($T8)-N($U8),2)))</f>
        <v/>
      </c>
      <c r="AF8" s="9">
        <f>IF($G8="","",IFERROR(INDEX(LINHAS_DRE_PLANO,MATCH($G8,SUBCATEGORIAS_PLANO,0)),"Não classificado"))</f>
        <v/>
      </c>
      <c r="AG8" s="17">
        <f>IF($G8="","",IFERROR(INDEX(TIPOS_FLUXO_PLANO,MATCH($G8,SUBCATEGORIAS_PLANO,0)),"Não classificado"))</f>
        <v/>
      </c>
      <c r="AH8" s="9">
        <f>IF($G8="","",IFERROR(INDEX(GRUPOS_PLANO,MATCH($G8,SUBCATEGORIAS_PLANO,0)),"Não classificado"))</f>
        <v/>
      </c>
      <c r="AI8" s="24">
        <f>IF(OR($C8="",$X8="Pago",$X8="Recebido",$X8="Cancelado"),"",$C8-TODAY())</f>
        <v/>
      </c>
      <c r="AJ8" s="24">
        <f>IF(OR($C8="",$X8="Pago",$X8="Recebido",$X8="Cancelado"),0,MAX(0,TODAY()-$C8))</f>
        <v/>
      </c>
      <c r="AK8" s="24">
        <f>IF($D8="","",$D8-$B8)</f>
        <v/>
      </c>
      <c r="AL8" s="18">
        <f>IF(OR($D8="",$B8=""),"",ROUND(N($R8)*($D8-$B8),2))</f>
        <v/>
      </c>
      <c r="AM8" s="17">
        <f>IF(AND($E8="Saída",$W8&gt;0,$C8&lt;&gt;""),$C8+ROW()/1000000,"")</f>
        <v/>
      </c>
      <c r="AN8" s="17">
        <f>IF(AND($E8="Entrada",$W8&gt;0,$C8&lt;&gt;""),$C8+ROW()/1000000,"")</f>
        <v/>
      </c>
      <c r="AO8" s="9">
        <f>IF(COUNTA($B8:$R8)=0,"",IF(AND($I8&lt;&gt;"",COUNTIF(CLIENTES_NOMES,$I8)+COUNTIF(CLIENTES_FANTASIA,$I8)+COUNTIF(FORNECEDORES_NOMES,$I8)+COUNTIF(FORNECEDORES_FANTASIA,$I8)=0),"⚠ Cliente/Fornecedor não cadastrado",IF(AND($G8&lt;&gt;"",COUNTIF(SUBCATEGORIAS_PLANO,$G8)=0),"⚠ Subcategoria fora do plano de contas",IF(OR($Q8="",N($Q8)=0),"⚠ Valor previsto não informado",IF(AND(OR($X8="Pago",$X8="Recebido"),$D8=""),"⚠ Status pago/recebido sem data",IF(AND($D8&lt;&gt;"",N($R8)=0),"⚠ Data de pagamento sem valor realizado",IF(AND(N($P8)&gt;1,N($O8)&gt;N($P8)),"⚠ Nº da parcela maior que o total",IF(AND($C8&lt;&gt;"",$B8&lt;&gt;"",$C8&lt;$B8),"⚠ Vencimento anterior à competência","OK"))))))))</f>
        <v/>
      </c>
    </row>
    <row r="9">
      <c r="A9" s="14" t="inlineStr">
        <is>
          <t>L0004</t>
        </is>
      </c>
      <c r="B9" s="36" t="n">
        <v>46027</v>
      </c>
      <c r="C9" s="36" t="n">
        <v>46032</v>
      </c>
      <c r="D9" s="36" t="n">
        <v>46035</v>
      </c>
      <c r="E9" s="14" t="inlineStr">
        <is>
          <t>Saída</t>
        </is>
      </c>
      <c r="F9" s="29" t="inlineStr">
        <is>
          <t>Despesas com Pessoal</t>
        </is>
      </c>
      <c r="G9" s="29" t="inlineStr">
        <is>
          <t>Benefícios (VT/VA/Plano de Saúde)</t>
        </is>
      </c>
      <c r="H9" s="29" t="inlineStr">
        <is>
          <t>Administrativo</t>
        </is>
      </c>
      <c r="I9" s="29" t="inlineStr">
        <is>
          <t>BENEFÍCIOS BRASIL ADMINISTRADORA LTDA</t>
        </is>
      </c>
      <c r="J9" s="29" t="inlineStr">
        <is>
          <t>Vale-transporte, alimentação e saúde</t>
        </is>
      </c>
      <c r="K9" s="14" t="inlineStr">
        <is>
          <t>DOC 8273</t>
        </is>
      </c>
      <c r="L9" s="29" t="inlineStr">
        <is>
          <t>Banco do Brasil — C/C 12345-6</t>
        </is>
      </c>
      <c r="M9" s="14" t="inlineStr">
        <is>
          <t>Transferência</t>
        </is>
      </c>
      <c r="N9" s="29" t="n"/>
      <c r="O9" s="13" t="n">
        <v>1</v>
      </c>
      <c r="P9" s="13" t="n">
        <v>1</v>
      </c>
      <c r="Q9" s="35" t="n">
        <v>1900</v>
      </c>
      <c r="R9" s="35" t="n">
        <v>1900</v>
      </c>
      <c r="S9" s="35" t="n"/>
      <c r="T9" s="35" t="n"/>
      <c r="U9" s="35" t="n"/>
      <c r="V9" s="18">
        <f>IF(COUNTA($B9:$R9)=0,"",ROUND(N($R9)+N($S9)+N($T9)-N($U9),2))</f>
        <v/>
      </c>
      <c r="W9" s="18">
        <f>IF(COUNTA($B9:$R9)=0,"",IF(OR($X9="Pago",$X9="Recebido",$X9="Cancelado"),0,ROUND(N($Q9)+N($S9)+N($T9)-N($U9)-N($R9),2)))</f>
        <v/>
      </c>
      <c r="X9" s="14" t="inlineStr">
        <is>
          <t>Pago</t>
        </is>
      </c>
      <c r="Y9" s="17">
        <f>IF(COUNTA($B9:$R9)=0,"",IF($X9="Cancelado","Cancelado",IF(OR($X9="Pago",$X9="Recebido"),$X9,IF(OR($X9="Parcial",N($R9)&gt;0),"Parcial",IF($C9="","Sem vencimento",IF($C9&lt;TODAY(),"Vencido",IF($C9=TODAY(),"Vence hoje",IF($C9&lt;=TODAY()+7,"Vence em 7 dias",IF($C9&lt;=TODAY()+30,"Vence em 30 dias","Futuro")))))))))</f>
        <v/>
      </c>
      <c r="Z9" s="24">
        <f>IF($B9="","",MONTH($B9))</f>
        <v/>
      </c>
      <c r="AA9" s="24">
        <f>IF($B9="","",YEAR($B9))</f>
        <v/>
      </c>
      <c r="AB9" s="24">
        <f>IF($B9="","",ISOWEEKNUM($B9))</f>
        <v/>
      </c>
      <c r="AC9" s="17">
        <f>IF($B9="","",CHOOSE(WEEKDAY($B9,2),"Segunda","Terça","Quarta","Quinta","Sexta","Sábado","Domingo"))</f>
        <v/>
      </c>
      <c r="AD9" s="17">
        <f>IF($B9="","",TEXT($B9,"MM/AAAA"))</f>
        <v/>
      </c>
      <c r="AE9" s="18">
        <f>IF(COUNTA($B9:$R9)=0,"",IF($X9="Cancelado",0,ROUND(N($Q9)+N($S9)+N($T9)-N($U9),2)))</f>
        <v/>
      </c>
      <c r="AF9" s="9">
        <f>IF($G9="","",IFERROR(INDEX(LINHAS_DRE_PLANO,MATCH($G9,SUBCATEGORIAS_PLANO,0)),"Não classificado"))</f>
        <v/>
      </c>
      <c r="AG9" s="17">
        <f>IF($G9="","",IFERROR(INDEX(TIPOS_FLUXO_PLANO,MATCH($G9,SUBCATEGORIAS_PLANO,0)),"Não classificado"))</f>
        <v/>
      </c>
      <c r="AH9" s="9">
        <f>IF($G9="","",IFERROR(INDEX(GRUPOS_PLANO,MATCH($G9,SUBCATEGORIAS_PLANO,0)),"Não classificado"))</f>
        <v/>
      </c>
      <c r="AI9" s="24">
        <f>IF(OR($C9="",$X9="Pago",$X9="Recebido",$X9="Cancelado"),"",$C9-TODAY())</f>
        <v/>
      </c>
      <c r="AJ9" s="24">
        <f>IF(OR($C9="",$X9="Pago",$X9="Recebido",$X9="Cancelado"),0,MAX(0,TODAY()-$C9))</f>
        <v/>
      </c>
      <c r="AK9" s="24">
        <f>IF($D9="","",$D9-$B9)</f>
        <v/>
      </c>
      <c r="AL9" s="18">
        <f>IF(OR($D9="",$B9=""),"",ROUND(N($R9)*($D9-$B9),2))</f>
        <v/>
      </c>
      <c r="AM9" s="17">
        <f>IF(AND($E9="Saída",$W9&gt;0,$C9&lt;&gt;""),$C9+ROW()/1000000,"")</f>
        <v/>
      </c>
      <c r="AN9" s="17">
        <f>IF(AND($E9="Entrada",$W9&gt;0,$C9&lt;&gt;""),$C9+ROW()/1000000,"")</f>
        <v/>
      </c>
      <c r="AO9" s="9">
        <f>IF(COUNTA($B9:$R9)=0,"",IF(AND($I9&lt;&gt;"",COUNTIF(CLIENTES_NOMES,$I9)+COUNTIF(CLIENTES_FANTASIA,$I9)+COUNTIF(FORNECEDORES_NOMES,$I9)+COUNTIF(FORNECEDORES_FANTASIA,$I9)=0),"⚠ Cliente/Fornecedor não cadastrado",IF(AND($G9&lt;&gt;"",COUNTIF(SUBCATEGORIAS_PLANO,$G9)=0),"⚠ Subcategoria fora do plano de contas",IF(OR($Q9="",N($Q9)=0),"⚠ Valor previsto não informado",IF(AND(OR($X9="Pago",$X9="Recebido"),$D9=""),"⚠ Status pago/recebido sem data",IF(AND($D9&lt;&gt;"",N($R9)=0),"⚠ Data de pagamento sem valor realizado",IF(AND(N($P9)&gt;1,N($O9)&gt;N($P9)),"⚠ Nº da parcela maior que o total",IF(AND($C9&lt;&gt;"",$B9&lt;&gt;"",$C9&lt;$B9),"⚠ Vencimento anterior à competência","OK"))))))))</f>
        <v/>
      </c>
    </row>
    <row r="10">
      <c r="A10" s="14" t="inlineStr">
        <is>
          <t>L0005</t>
        </is>
      </c>
      <c r="B10" s="36" t="n">
        <v>46027</v>
      </c>
      <c r="C10" s="36" t="n">
        <v>46032</v>
      </c>
      <c r="D10" s="36" t="n">
        <v>46035</v>
      </c>
      <c r="E10" s="14" t="inlineStr">
        <is>
          <t>Saída</t>
        </is>
      </c>
      <c r="F10" s="29" t="inlineStr">
        <is>
          <t>Despesas com Pessoal</t>
        </is>
      </c>
      <c r="G10" s="29" t="inlineStr">
        <is>
          <t>Pró-labore</t>
        </is>
      </c>
      <c r="H10" s="29" t="inlineStr">
        <is>
          <t>Diretoria</t>
        </is>
      </c>
      <c r="I10" s="29" t="inlineStr">
        <is>
          <t>SÓCIOS — PRÓ-LABORE E DISTRIBUIÇÕES</t>
        </is>
      </c>
      <c r="J10" s="29" t="inlineStr">
        <is>
          <t>Pró-labore dos sócios — 01/2026</t>
        </is>
      </c>
      <c r="K10" s="14" t="inlineStr">
        <is>
          <t>DOC 8274</t>
        </is>
      </c>
      <c r="L10" s="29" t="inlineStr">
        <is>
          <t>Banco do Brasil — C/C 12345-6</t>
        </is>
      </c>
      <c r="M10" s="14" t="inlineStr">
        <is>
          <t>Transferência</t>
        </is>
      </c>
      <c r="N10" s="29" t="n"/>
      <c r="O10" s="13" t="n">
        <v>1</v>
      </c>
      <c r="P10" s="13" t="n">
        <v>1</v>
      </c>
      <c r="Q10" s="35" t="n">
        <v>9500</v>
      </c>
      <c r="R10" s="35" t="n">
        <v>9500</v>
      </c>
      <c r="S10" s="35" t="n"/>
      <c r="T10" s="35" t="n"/>
      <c r="U10" s="35" t="n"/>
      <c r="V10" s="18">
        <f>IF(COUNTA($B10:$R10)=0,"",ROUND(N($R10)+N($S10)+N($T10)-N($U10),2))</f>
        <v/>
      </c>
      <c r="W10" s="18">
        <f>IF(COUNTA($B10:$R10)=0,"",IF(OR($X10="Pago",$X10="Recebido",$X10="Cancelado"),0,ROUND(N($Q10)+N($S10)+N($T10)-N($U10)-N($R10),2)))</f>
        <v/>
      </c>
      <c r="X10" s="14" t="inlineStr">
        <is>
          <t>Pago</t>
        </is>
      </c>
      <c r="Y10" s="17">
        <f>IF(COUNTA($B10:$R10)=0,"",IF($X10="Cancelado","Cancelado",IF(OR($X10="Pago",$X10="Recebido"),$X10,IF(OR($X10="Parcial",N($R10)&gt;0),"Parcial",IF($C10="","Sem vencimento",IF($C10&lt;TODAY(),"Vencido",IF($C10=TODAY(),"Vence hoje",IF($C10&lt;=TODAY()+7,"Vence em 7 dias",IF($C10&lt;=TODAY()+30,"Vence em 30 dias","Futuro")))))))))</f>
        <v/>
      </c>
      <c r="Z10" s="24">
        <f>IF($B10="","",MONTH($B10))</f>
        <v/>
      </c>
      <c r="AA10" s="24">
        <f>IF($B10="","",YEAR($B10))</f>
        <v/>
      </c>
      <c r="AB10" s="24">
        <f>IF($B10="","",ISOWEEKNUM($B10))</f>
        <v/>
      </c>
      <c r="AC10" s="17">
        <f>IF($B10="","",CHOOSE(WEEKDAY($B10,2),"Segunda","Terça","Quarta","Quinta","Sexta","Sábado","Domingo"))</f>
        <v/>
      </c>
      <c r="AD10" s="17">
        <f>IF($B10="","",TEXT($B10,"MM/AAAA"))</f>
        <v/>
      </c>
      <c r="AE10" s="18">
        <f>IF(COUNTA($B10:$R10)=0,"",IF($X10="Cancelado",0,ROUND(N($Q10)+N($S10)+N($T10)-N($U10),2)))</f>
        <v/>
      </c>
      <c r="AF10" s="9">
        <f>IF($G10="","",IFERROR(INDEX(LINHAS_DRE_PLANO,MATCH($G10,SUBCATEGORIAS_PLANO,0)),"Não classificado"))</f>
        <v/>
      </c>
      <c r="AG10" s="17">
        <f>IF($G10="","",IFERROR(INDEX(TIPOS_FLUXO_PLANO,MATCH($G10,SUBCATEGORIAS_PLANO,0)),"Não classificado"))</f>
        <v/>
      </c>
      <c r="AH10" s="9">
        <f>IF($G10="","",IFERROR(INDEX(GRUPOS_PLANO,MATCH($G10,SUBCATEGORIAS_PLANO,0)),"Não classificado"))</f>
        <v/>
      </c>
      <c r="AI10" s="24">
        <f>IF(OR($C10="",$X10="Pago",$X10="Recebido",$X10="Cancelado"),"",$C10-TODAY())</f>
        <v/>
      </c>
      <c r="AJ10" s="24">
        <f>IF(OR($C10="",$X10="Pago",$X10="Recebido",$X10="Cancelado"),0,MAX(0,TODAY()-$C10))</f>
        <v/>
      </c>
      <c r="AK10" s="24">
        <f>IF($D10="","",$D10-$B10)</f>
        <v/>
      </c>
      <c r="AL10" s="18">
        <f>IF(OR($D10="",$B10=""),"",ROUND(N($R10)*($D10-$B10),2))</f>
        <v/>
      </c>
      <c r="AM10" s="17">
        <f>IF(AND($E10="Saída",$W10&gt;0,$C10&lt;&gt;""),$C10+ROW()/1000000,"")</f>
        <v/>
      </c>
      <c r="AN10" s="17">
        <f>IF(AND($E10="Entrada",$W10&gt;0,$C10&lt;&gt;""),$C10+ROW()/1000000,"")</f>
        <v/>
      </c>
      <c r="AO10" s="9">
        <f>IF(COUNTA($B10:$R10)=0,"",IF(AND($I10&lt;&gt;"",COUNTIF(CLIENTES_NOMES,$I10)+COUNTIF(CLIENTES_FANTASIA,$I10)+COUNTIF(FORNECEDORES_NOMES,$I10)+COUNTIF(FORNECEDORES_FANTASIA,$I10)=0),"⚠ Cliente/Fornecedor não cadastrado",IF(AND($G10&lt;&gt;"",COUNTIF(SUBCATEGORIAS_PLANO,$G10)=0),"⚠ Subcategoria fora do plano de contas",IF(OR($Q10="",N($Q10)=0),"⚠ Valor previsto não informado",IF(AND(OR($X10="Pago",$X10="Recebido"),$D10=""),"⚠ Status pago/recebido sem data",IF(AND($D10&lt;&gt;"",N($R10)=0),"⚠ Data de pagamento sem valor realizado",IF(AND(N($P10)&gt;1,N($O10)&gt;N($P10)),"⚠ Nº da parcela maior que o total",IF(AND($C10&lt;&gt;"",$B10&lt;&gt;"",$C10&lt;$B10),"⚠ Vencimento anterior à competência","OK"))))))))</f>
        <v/>
      </c>
    </row>
    <row r="11">
      <c r="A11" s="14" t="inlineStr">
        <is>
          <t>L0006</t>
        </is>
      </c>
      <c r="B11" s="36" t="n">
        <v>46029</v>
      </c>
      <c r="C11" s="36" t="n">
        <v>46036</v>
      </c>
      <c r="D11" s="36" t="n">
        <v>46036</v>
      </c>
      <c r="E11" s="14" t="inlineStr">
        <is>
          <t>Saída</t>
        </is>
      </c>
      <c r="F11" s="29" t="inlineStr">
        <is>
          <t>Despesas com Pessoal</t>
        </is>
      </c>
      <c r="G11" s="29" t="inlineStr">
        <is>
          <t>Encargos Sociais (FGTS/INSS)</t>
        </is>
      </c>
      <c r="H11" s="29" t="inlineStr">
        <is>
          <t>Administrativo</t>
        </is>
      </c>
      <c r="I11" s="29" t="inlineStr">
        <is>
          <t>RECEITA FEDERAL DO BRASIL</t>
        </is>
      </c>
      <c r="J11" s="29" t="inlineStr">
        <is>
          <t>FGTS e INSS — competência 01/2026</t>
        </is>
      </c>
      <c r="K11" s="14" t="inlineStr">
        <is>
          <t>DOC 8272</t>
        </is>
      </c>
      <c r="L11" s="29" t="inlineStr">
        <is>
          <t>Itaú Unibanco — C/C 45678-9</t>
        </is>
      </c>
      <c r="M11" s="14" t="inlineStr">
        <is>
          <t>Transferência</t>
        </is>
      </c>
      <c r="N11" s="29" t="n"/>
      <c r="O11" s="13" t="n">
        <v>1</v>
      </c>
      <c r="P11" s="13" t="n">
        <v>1</v>
      </c>
      <c r="Q11" s="35" t="n">
        <v>5600</v>
      </c>
      <c r="R11" s="35" t="n">
        <v>5600</v>
      </c>
      <c r="S11" s="35" t="n"/>
      <c r="T11" s="35" t="n"/>
      <c r="U11" s="35" t="n"/>
      <c r="V11" s="18">
        <f>IF(COUNTA($B11:$R11)=0,"",ROUND(N($R11)+N($S11)+N($T11)-N($U11),2))</f>
        <v/>
      </c>
      <c r="W11" s="18">
        <f>IF(COUNTA($B11:$R11)=0,"",IF(OR($X11="Pago",$X11="Recebido",$X11="Cancelado"),0,ROUND(N($Q11)+N($S11)+N($T11)-N($U11)-N($R11),2)))</f>
        <v/>
      </c>
      <c r="X11" s="14" t="inlineStr">
        <is>
          <t>Pago</t>
        </is>
      </c>
      <c r="Y11" s="17">
        <f>IF(COUNTA($B11:$R11)=0,"",IF($X11="Cancelado","Cancelado",IF(OR($X11="Pago",$X11="Recebido"),$X11,IF(OR($X11="Parcial",N($R11)&gt;0),"Parcial",IF($C11="","Sem vencimento",IF($C11&lt;TODAY(),"Vencido",IF($C11=TODAY(),"Vence hoje",IF($C11&lt;=TODAY()+7,"Vence em 7 dias",IF($C11&lt;=TODAY()+30,"Vence em 30 dias","Futuro")))))))))</f>
        <v/>
      </c>
      <c r="Z11" s="24">
        <f>IF($B11="","",MONTH($B11))</f>
        <v/>
      </c>
      <c r="AA11" s="24">
        <f>IF($B11="","",YEAR($B11))</f>
        <v/>
      </c>
      <c r="AB11" s="24">
        <f>IF($B11="","",ISOWEEKNUM($B11))</f>
        <v/>
      </c>
      <c r="AC11" s="17">
        <f>IF($B11="","",CHOOSE(WEEKDAY($B11,2),"Segunda","Terça","Quarta","Quinta","Sexta","Sábado","Domingo"))</f>
        <v/>
      </c>
      <c r="AD11" s="17">
        <f>IF($B11="","",TEXT($B11,"MM/AAAA"))</f>
        <v/>
      </c>
      <c r="AE11" s="18">
        <f>IF(COUNTA($B11:$R11)=0,"",IF($X11="Cancelado",0,ROUND(N($Q11)+N($S11)+N($T11)-N($U11),2)))</f>
        <v/>
      </c>
      <c r="AF11" s="9">
        <f>IF($G11="","",IFERROR(INDEX(LINHAS_DRE_PLANO,MATCH($G11,SUBCATEGORIAS_PLANO,0)),"Não classificado"))</f>
        <v/>
      </c>
      <c r="AG11" s="17">
        <f>IF($G11="","",IFERROR(INDEX(TIPOS_FLUXO_PLANO,MATCH($G11,SUBCATEGORIAS_PLANO,0)),"Não classificado"))</f>
        <v/>
      </c>
      <c r="AH11" s="9">
        <f>IF($G11="","",IFERROR(INDEX(GRUPOS_PLANO,MATCH($G11,SUBCATEGORIAS_PLANO,0)),"Não classificado"))</f>
        <v/>
      </c>
      <c r="AI11" s="24">
        <f>IF(OR($C11="",$X11="Pago",$X11="Recebido",$X11="Cancelado"),"",$C11-TODAY())</f>
        <v/>
      </c>
      <c r="AJ11" s="24">
        <f>IF(OR($C11="",$X11="Pago",$X11="Recebido",$X11="Cancelado"),0,MAX(0,TODAY()-$C11))</f>
        <v/>
      </c>
      <c r="AK11" s="24">
        <f>IF($D11="","",$D11-$B11)</f>
        <v/>
      </c>
      <c r="AL11" s="18">
        <f>IF(OR($D11="",$B11=""),"",ROUND(N($R11)*($D11-$B11),2))</f>
        <v/>
      </c>
      <c r="AM11" s="17">
        <f>IF(AND($E11="Saída",$W11&gt;0,$C11&lt;&gt;""),$C11+ROW()/1000000,"")</f>
        <v/>
      </c>
      <c r="AN11" s="17">
        <f>IF(AND($E11="Entrada",$W11&gt;0,$C11&lt;&gt;""),$C11+ROW()/1000000,"")</f>
        <v/>
      </c>
      <c r="AO11" s="9">
        <f>IF(COUNTA($B11:$R11)=0,"",IF(AND($I11&lt;&gt;"",COUNTIF(CLIENTES_NOMES,$I11)+COUNTIF(CLIENTES_FANTASIA,$I11)+COUNTIF(FORNECEDORES_NOMES,$I11)+COUNTIF(FORNECEDORES_FANTASIA,$I11)=0),"⚠ Cliente/Fornecedor não cadastrado",IF(AND($G11&lt;&gt;"",COUNTIF(SUBCATEGORIAS_PLANO,$G11)=0),"⚠ Subcategoria fora do plano de contas",IF(OR($Q11="",N($Q11)=0),"⚠ Valor previsto não informado",IF(AND(OR($X11="Pago",$X11="Recebido"),$D11=""),"⚠ Status pago/recebido sem data",IF(AND($D11&lt;&gt;"",N($R11)=0),"⚠ Data de pagamento sem valor realizado",IF(AND(N($P11)&gt;1,N($O11)&gt;N($P11)),"⚠ Nº da parcela maior que o total",IF(AND($C11&lt;&gt;"",$B11&lt;&gt;"",$C11&lt;$B11),"⚠ Vencimento anterior à competência","OK"))))))))</f>
        <v/>
      </c>
    </row>
    <row r="12">
      <c r="A12" s="14" t="inlineStr">
        <is>
          <t>L0007</t>
        </is>
      </c>
      <c r="B12" s="36" t="n">
        <v>46030</v>
      </c>
      <c r="C12" s="36" t="n">
        <v>46050</v>
      </c>
      <c r="D12" s="36" t="n">
        <v>46052</v>
      </c>
      <c r="E12" s="14" t="inlineStr">
        <is>
          <t>Saída</t>
        </is>
      </c>
      <c r="F12" s="29" t="inlineStr">
        <is>
          <t>Despesas Administrativas</t>
        </is>
      </c>
      <c r="G12" s="29" t="inlineStr">
        <is>
          <t>Sistemas e Softwares</t>
        </is>
      </c>
      <c r="H12" s="29" t="inlineStr">
        <is>
          <t>Administrativo</t>
        </is>
      </c>
      <c r="I12" s="29" t="inlineStr">
        <is>
          <t>TECNOLOGIA E SISTEMAS ABC LTDA</t>
        </is>
      </c>
      <c r="J12" s="29" t="inlineStr">
        <is>
          <t>Assinatura ERP, NF-e e BI</t>
        </is>
      </c>
      <c r="K12" s="14" t="inlineStr">
        <is>
          <t>DOC 8270</t>
        </is>
      </c>
      <c r="L12" s="29" t="inlineStr">
        <is>
          <t>Nubank PJ — C/C 9876543-2</t>
        </is>
      </c>
      <c r="M12" s="14" t="inlineStr">
        <is>
          <t>Cartão de crédito</t>
        </is>
      </c>
      <c r="N12" s="29" t="inlineStr">
        <is>
          <t>Cartão Mastercard Nubank PJ</t>
        </is>
      </c>
      <c r="O12" s="13" t="n">
        <v>1</v>
      </c>
      <c r="P12" s="13" t="n">
        <v>1</v>
      </c>
      <c r="Q12" s="35" t="n">
        <v>850</v>
      </c>
      <c r="R12" s="35" t="n">
        <v>850</v>
      </c>
      <c r="S12" s="35" t="n"/>
      <c r="T12" s="35" t="n"/>
      <c r="U12" s="35" t="n"/>
      <c r="V12" s="18">
        <f>IF(COUNTA($B12:$R12)=0,"",ROUND(N($R12)+N($S12)+N($T12)-N($U12),2))</f>
        <v/>
      </c>
      <c r="W12" s="18">
        <f>IF(COUNTA($B12:$R12)=0,"",IF(OR($X12="Pago",$X12="Recebido",$X12="Cancelado"),0,ROUND(N($Q12)+N($S12)+N($T12)-N($U12)-N($R12),2)))</f>
        <v/>
      </c>
      <c r="X12" s="14" t="inlineStr">
        <is>
          <t>Pago</t>
        </is>
      </c>
      <c r="Y12" s="17">
        <f>IF(COUNTA($B12:$R12)=0,"",IF($X12="Cancelado","Cancelado",IF(OR($X12="Pago",$X12="Recebido"),$X12,IF(OR($X12="Parcial",N($R12)&gt;0),"Parcial",IF($C12="","Sem vencimento",IF($C12&lt;TODAY(),"Vencido",IF($C12=TODAY(),"Vence hoje",IF($C12&lt;=TODAY()+7,"Vence em 7 dias",IF($C12&lt;=TODAY()+30,"Vence em 30 dias","Futuro")))))))))</f>
        <v/>
      </c>
      <c r="Z12" s="24">
        <f>IF($B12="","",MONTH($B12))</f>
        <v/>
      </c>
      <c r="AA12" s="24">
        <f>IF($B12="","",YEAR($B12))</f>
        <v/>
      </c>
      <c r="AB12" s="24">
        <f>IF($B12="","",ISOWEEKNUM($B12))</f>
        <v/>
      </c>
      <c r="AC12" s="17">
        <f>IF($B12="","",CHOOSE(WEEKDAY($B12,2),"Segunda","Terça","Quarta","Quinta","Sexta","Sábado","Domingo"))</f>
        <v/>
      </c>
      <c r="AD12" s="17">
        <f>IF($B12="","",TEXT($B12,"MM/AAAA"))</f>
        <v/>
      </c>
      <c r="AE12" s="18">
        <f>IF(COUNTA($B12:$R12)=0,"",IF($X12="Cancelado",0,ROUND(N($Q12)+N($S12)+N($T12)-N($U12),2)))</f>
        <v/>
      </c>
      <c r="AF12" s="9">
        <f>IF($G12="","",IFERROR(INDEX(LINHAS_DRE_PLANO,MATCH($G12,SUBCATEGORIAS_PLANO,0)),"Não classificado"))</f>
        <v/>
      </c>
      <c r="AG12" s="17">
        <f>IF($G12="","",IFERROR(INDEX(TIPOS_FLUXO_PLANO,MATCH($G12,SUBCATEGORIAS_PLANO,0)),"Não classificado"))</f>
        <v/>
      </c>
      <c r="AH12" s="9">
        <f>IF($G12="","",IFERROR(INDEX(GRUPOS_PLANO,MATCH($G12,SUBCATEGORIAS_PLANO,0)),"Não classificado"))</f>
        <v/>
      </c>
      <c r="AI12" s="24">
        <f>IF(OR($C12="",$X12="Pago",$X12="Recebido",$X12="Cancelado"),"",$C12-TODAY())</f>
        <v/>
      </c>
      <c r="AJ12" s="24">
        <f>IF(OR($C12="",$X12="Pago",$X12="Recebido",$X12="Cancelado"),0,MAX(0,TODAY()-$C12))</f>
        <v/>
      </c>
      <c r="AK12" s="24">
        <f>IF($D12="","",$D12-$B12)</f>
        <v/>
      </c>
      <c r="AL12" s="18">
        <f>IF(OR($D12="",$B12=""),"",ROUND(N($R12)*($D12-$B12),2))</f>
        <v/>
      </c>
      <c r="AM12" s="17">
        <f>IF(AND($E12="Saída",$W12&gt;0,$C12&lt;&gt;""),$C12+ROW()/1000000,"")</f>
        <v/>
      </c>
      <c r="AN12" s="17">
        <f>IF(AND($E12="Entrada",$W12&gt;0,$C12&lt;&gt;""),$C12+ROW()/1000000,"")</f>
        <v/>
      </c>
      <c r="AO12" s="9">
        <f>IF(COUNTA($B12:$R12)=0,"",IF(AND($I12&lt;&gt;"",COUNTIF(CLIENTES_NOMES,$I12)+COUNTIF(CLIENTES_FANTASIA,$I12)+COUNTIF(FORNECEDORES_NOMES,$I12)+COUNTIF(FORNECEDORES_FANTASIA,$I12)=0),"⚠ Cliente/Fornecedor não cadastrado",IF(AND($G12&lt;&gt;"",COUNTIF(SUBCATEGORIAS_PLANO,$G12)=0),"⚠ Subcategoria fora do plano de contas",IF(OR($Q12="",N($Q12)=0),"⚠ Valor previsto não informado",IF(AND(OR($X12="Pago",$X12="Recebido"),$D12=""),"⚠ Status pago/recebido sem data",IF(AND($D12&lt;&gt;"",N($R12)=0),"⚠ Data de pagamento sem valor realizado",IF(AND(N($P12)&gt;1,N($O12)&gt;N($P12)),"⚠ Nº da parcela maior que o total",IF(AND($C12&lt;&gt;"",$B12&lt;&gt;"",$C12&lt;$B12),"⚠ Vencimento anterior à competência","OK"))))))))</f>
        <v/>
      </c>
    </row>
    <row r="13">
      <c r="A13" s="14" t="inlineStr">
        <is>
          <t>L0008</t>
        </is>
      </c>
      <c r="B13" s="36" t="n">
        <v>46031</v>
      </c>
      <c r="C13" s="36" t="n">
        <v>46046</v>
      </c>
      <c r="D13" s="36" t="n">
        <v>46049</v>
      </c>
      <c r="E13" s="14" t="inlineStr">
        <is>
          <t>Saída</t>
        </is>
      </c>
      <c r="F13" s="29" t="inlineStr">
        <is>
          <t>Custos Variáveis</t>
        </is>
      </c>
      <c r="G13" s="29" t="inlineStr">
        <is>
          <t>Matéria-prima</t>
        </is>
      </c>
      <c r="H13" s="29" t="inlineStr">
        <is>
          <t>Produção</t>
        </is>
      </c>
      <c r="I13" s="29" t="inlineStr">
        <is>
          <t>DISTRIBUIDORA CENTRAL DE ALIMENTOS S/A</t>
        </is>
      </c>
      <c r="J13" s="29" t="inlineStr">
        <is>
          <t>Insumos e matéria-prima para beneficiamento</t>
        </is>
      </c>
      <c r="K13" s="14" t="inlineStr">
        <is>
          <t>NF 5901</t>
        </is>
      </c>
      <c r="L13" s="29" t="inlineStr">
        <is>
          <t>Itaú Unibanco — C/C 45678-9</t>
        </is>
      </c>
      <c r="M13" s="14" t="inlineStr">
        <is>
          <t>Boleto</t>
        </is>
      </c>
      <c r="N13" s="29" t="n"/>
      <c r="O13" s="13" t="n">
        <v>1</v>
      </c>
      <c r="P13" s="13" t="n">
        <v>1</v>
      </c>
      <c r="Q13" s="35" t="n">
        <v>9419.6</v>
      </c>
      <c r="R13" s="35" t="n">
        <v>9419.6</v>
      </c>
      <c r="S13" s="35" t="n"/>
      <c r="T13" s="35" t="n"/>
      <c r="U13" s="35" t="n"/>
      <c r="V13" s="18">
        <f>IF(COUNTA($B13:$R13)=0,"",ROUND(N($R13)+N($S13)+N($T13)-N($U13),2))</f>
        <v/>
      </c>
      <c r="W13" s="18">
        <f>IF(COUNTA($B13:$R13)=0,"",IF(OR($X13="Pago",$X13="Recebido",$X13="Cancelado"),0,ROUND(N($Q13)+N($S13)+N($T13)-N($U13)-N($R13),2)))</f>
        <v/>
      </c>
      <c r="X13" s="14" t="inlineStr">
        <is>
          <t>Pago</t>
        </is>
      </c>
      <c r="Y13" s="17">
        <f>IF(COUNTA($B13:$R13)=0,"",IF($X13="Cancelado","Cancelado",IF(OR($X13="Pago",$X13="Recebido"),$X13,IF(OR($X13="Parcial",N($R13)&gt;0),"Parcial",IF($C13="","Sem vencimento",IF($C13&lt;TODAY(),"Vencido",IF($C13=TODAY(),"Vence hoje",IF($C13&lt;=TODAY()+7,"Vence em 7 dias",IF($C13&lt;=TODAY()+30,"Vence em 30 dias","Futuro")))))))))</f>
        <v/>
      </c>
      <c r="Z13" s="24">
        <f>IF($B13="","",MONTH($B13))</f>
        <v/>
      </c>
      <c r="AA13" s="24">
        <f>IF($B13="","",YEAR($B13))</f>
        <v/>
      </c>
      <c r="AB13" s="24">
        <f>IF($B13="","",ISOWEEKNUM($B13))</f>
        <v/>
      </c>
      <c r="AC13" s="17">
        <f>IF($B13="","",CHOOSE(WEEKDAY($B13,2),"Segunda","Terça","Quarta","Quinta","Sexta","Sábado","Domingo"))</f>
        <v/>
      </c>
      <c r="AD13" s="17">
        <f>IF($B13="","",TEXT($B13,"MM/AAAA"))</f>
        <v/>
      </c>
      <c r="AE13" s="18">
        <f>IF(COUNTA($B13:$R13)=0,"",IF($X13="Cancelado",0,ROUND(N($Q13)+N($S13)+N($T13)-N($U13),2)))</f>
        <v/>
      </c>
      <c r="AF13" s="9">
        <f>IF($G13="","",IFERROR(INDEX(LINHAS_DRE_PLANO,MATCH($G13,SUBCATEGORIAS_PLANO,0)),"Não classificado"))</f>
        <v/>
      </c>
      <c r="AG13" s="17">
        <f>IF($G13="","",IFERROR(INDEX(TIPOS_FLUXO_PLANO,MATCH($G13,SUBCATEGORIAS_PLANO,0)),"Não classificado"))</f>
        <v/>
      </c>
      <c r="AH13" s="9">
        <f>IF($G13="","",IFERROR(INDEX(GRUPOS_PLANO,MATCH($G13,SUBCATEGORIAS_PLANO,0)),"Não classificado"))</f>
        <v/>
      </c>
      <c r="AI13" s="24">
        <f>IF(OR($C13="",$X13="Pago",$X13="Recebido",$X13="Cancelado"),"",$C13-TODAY())</f>
        <v/>
      </c>
      <c r="AJ13" s="24">
        <f>IF(OR($C13="",$X13="Pago",$X13="Recebido",$X13="Cancelado"),0,MAX(0,TODAY()-$C13))</f>
        <v/>
      </c>
      <c r="AK13" s="24">
        <f>IF($D13="","",$D13-$B13)</f>
        <v/>
      </c>
      <c r="AL13" s="18">
        <f>IF(OR($D13="",$B13=""),"",ROUND(N($R13)*($D13-$B13),2))</f>
        <v/>
      </c>
      <c r="AM13" s="17">
        <f>IF(AND($E13="Saída",$W13&gt;0,$C13&lt;&gt;""),$C13+ROW()/1000000,"")</f>
        <v/>
      </c>
      <c r="AN13" s="17">
        <f>IF(AND($E13="Entrada",$W13&gt;0,$C13&lt;&gt;""),$C13+ROW()/1000000,"")</f>
        <v/>
      </c>
      <c r="AO13" s="9">
        <f>IF(COUNTA($B13:$R13)=0,"",IF(AND($I13&lt;&gt;"",COUNTIF(CLIENTES_NOMES,$I13)+COUNTIF(CLIENTES_FANTASIA,$I13)+COUNTIF(FORNECEDORES_NOMES,$I13)+COUNTIF(FORNECEDORES_FANTASIA,$I13)=0),"⚠ Cliente/Fornecedor não cadastrado",IF(AND($G13&lt;&gt;"",COUNTIF(SUBCATEGORIAS_PLANO,$G13)=0),"⚠ Subcategoria fora do plano de contas",IF(OR($Q13="",N($Q13)=0),"⚠ Valor previsto não informado",IF(AND(OR($X13="Pago",$X13="Recebido"),$D13=""),"⚠ Status pago/recebido sem data",IF(AND($D13&lt;&gt;"",N($R13)=0),"⚠ Data de pagamento sem valor realizado",IF(AND(N($P13)&gt;1,N($O13)&gt;N($P13)),"⚠ Nº da parcela maior que o total",IF(AND($C13&lt;&gt;"",$B13&lt;&gt;"",$C13&lt;$B13),"⚠ Vencimento anterior à competência","OK"))))))))</f>
        <v/>
      </c>
    </row>
    <row r="14">
      <c r="A14" s="14" t="inlineStr">
        <is>
          <t>L0009</t>
        </is>
      </c>
      <c r="B14" s="36" t="n">
        <v>46032</v>
      </c>
      <c r="C14" s="36" t="n">
        <v>46050</v>
      </c>
      <c r="D14" s="36" t="n">
        <v>46051</v>
      </c>
      <c r="E14" s="14" t="inlineStr">
        <is>
          <t>Saída</t>
        </is>
      </c>
      <c r="F14" s="29" t="inlineStr">
        <is>
          <t>Despesas Administrativas</t>
        </is>
      </c>
      <c r="G14" s="29" t="inlineStr">
        <is>
          <t>Internet e Telefonia</t>
        </is>
      </c>
      <c r="H14" s="29" t="inlineStr">
        <is>
          <t>Administrativo</t>
        </is>
      </c>
      <c r="I14" s="29" t="inlineStr">
        <is>
          <t>TELEFÔNICA BRASIL S.A. (VIVO EMPRESAS)</t>
        </is>
      </c>
      <c r="J14" s="29" t="inlineStr">
        <is>
          <t>Internet, telefonia e link dedicado</t>
        </is>
      </c>
      <c r="K14" s="14" t="inlineStr">
        <is>
          <t>DOC 8268</t>
        </is>
      </c>
      <c r="L14" s="29" t="inlineStr">
        <is>
          <t>Nubank PJ — C/C 9876543-2</t>
        </is>
      </c>
      <c r="M14" s="14" t="inlineStr">
        <is>
          <t>Cartão de crédito</t>
        </is>
      </c>
      <c r="N14" s="29" t="inlineStr">
        <is>
          <t>Cartão Mastercard Nubank PJ</t>
        </is>
      </c>
      <c r="O14" s="13" t="n">
        <v>1</v>
      </c>
      <c r="P14" s="13" t="n">
        <v>1</v>
      </c>
      <c r="Q14" s="35" t="n">
        <v>780</v>
      </c>
      <c r="R14" s="35" t="n">
        <v>780</v>
      </c>
      <c r="S14" s="35" t="n"/>
      <c r="T14" s="35" t="n"/>
      <c r="U14" s="35" t="n"/>
      <c r="V14" s="18">
        <f>IF(COUNTA($B14:$R14)=0,"",ROUND(N($R14)+N($S14)+N($T14)-N($U14),2))</f>
        <v/>
      </c>
      <c r="W14" s="18">
        <f>IF(COUNTA($B14:$R14)=0,"",IF(OR($X14="Pago",$X14="Recebido",$X14="Cancelado"),0,ROUND(N($Q14)+N($S14)+N($T14)-N($U14)-N($R14),2)))</f>
        <v/>
      </c>
      <c r="X14" s="14" t="inlineStr">
        <is>
          <t>Pago</t>
        </is>
      </c>
      <c r="Y14" s="17">
        <f>IF(COUNTA($B14:$R14)=0,"",IF($X14="Cancelado","Cancelado",IF(OR($X14="Pago",$X14="Recebido"),$X14,IF(OR($X14="Parcial",N($R14)&gt;0),"Parcial",IF($C14="","Sem vencimento",IF($C14&lt;TODAY(),"Vencido",IF($C14=TODAY(),"Vence hoje",IF($C14&lt;=TODAY()+7,"Vence em 7 dias",IF($C14&lt;=TODAY()+30,"Vence em 30 dias","Futuro")))))))))</f>
        <v/>
      </c>
      <c r="Z14" s="24">
        <f>IF($B14="","",MONTH($B14))</f>
        <v/>
      </c>
      <c r="AA14" s="24">
        <f>IF($B14="","",YEAR($B14))</f>
        <v/>
      </c>
      <c r="AB14" s="24">
        <f>IF($B14="","",ISOWEEKNUM($B14))</f>
        <v/>
      </c>
      <c r="AC14" s="17">
        <f>IF($B14="","",CHOOSE(WEEKDAY($B14,2),"Segunda","Terça","Quarta","Quinta","Sexta","Sábado","Domingo"))</f>
        <v/>
      </c>
      <c r="AD14" s="17">
        <f>IF($B14="","",TEXT($B14,"MM/AAAA"))</f>
        <v/>
      </c>
      <c r="AE14" s="18">
        <f>IF(COUNTA($B14:$R14)=0,"",IF($X14="Cancelado",0,ROUND(N($Q14)+N($S14)+N($T14)-N($U14),2)))</f>
        <v/>
      </c>
      <c r="AF14" s="9">
        <f>IF($G14="","",IFERROR(INDEX(LINHAS_DRE_PLANO,MATCH($G14,SUBCATEGORIAS_PLANO,0)),"Não classificado"))</f>
        <v/>
      </c>
      <c r="AG14" s="17">
        <f>IF($G14="","",IFERROR(INDEX(TIPOS_FLUXO_PLANO,MATCH($G14,SUBCATEGORIAS_PLANO,0)),"Não classificado"))</f>
        <v/>
      </c>
      <c r="AH14" s="9">
        <f>IF($G14="","",IFERROR(INDEX(GRUPOS_PLANO,MATCH($G14,SUBCATEGORIAS_PLANO,0)),"Não classificado"))</f>
        <v/>
      </c>
      <c r="AI14" s="24">
        <f>IF(OR($C14="",$X14="Pago",$X14="Recebido",$X14="Cancelado"),"",$C14-TODAY())</f>
        <v/>
      </c>
      <c r="AJ14" s="24">
        <f>IF(OR($C14="",$X14="Pago",$X14="Recebido",$X14="Cancelado"),0,MAX(0,TODAY()-$C14))</f>
        <v/>
      </c>
      <c r="AK14" s="24">
        <f>IF($D14="","",$D14-$B14)</f>
        <v/>
      </c>
      <c r="AL14" s="18">
        <f>IF(OR($D14="",$B14=""),"",ROUND(N($R14)*($D14-$B14),2))</f>
        <v/>
      </c>
      <c r="AM14" s="17">
        <f>IF(AND($E14="Saída",$W14&gt;0,$C14&lt;&gt;""),$C14+ROW()/1000000,"")</f>
        <v/>
      </c>
      <c r="AN14" s="17">
        <f>IF(AND($E14="Entrada",$W14&gt;0,$C14&lt;&gt;""),$C14+ROW()/1000000,"")</f>
        <v/>
      </c>
      <c r="AO14" s="9">
        <f>IF(COUNTA($B14:$R14)=0,"",IF(AND($I14&lt;&gt;"",COUNTIF(CLIENTES_NOMES,$I14)+COUNTIF(CLIENTES_FANTASIA,$I14)+COUNTIF(FORNECEDORES_NOMES,$I14)+COUNTIF(FORNECEDORES_FANTASIA,$I14)=0),"⚠ Cliente/Fornecedor não cadastrado",IF(AND($G14&lt;&gt;"",COUNTIF(SUBCATEGORIAS_PLANO,$G14)=0),"⚠ Subcategoria fora do plano de contas",IF(OR($Q14="",N($Q14)=0),"⚠ Valor previsto não informado",IF(AND(OR($X14="Pago",$X14="Recebido"),$D14=""),"⚠ Status pago/recebido sem data",IF(AND($D14&lt;&gt;"",N($R14)=0),"⚠ Data de pagamento sem valor realizado",IF(AND(N($P14)&gt;1,N($O14)&gt;N($P14)),"⚠ Nº da parcela maior que o total",IF(AND($C14&lt;&gt;"",$B14&lt;&gt;"",$C14&lt;$B14),"⚠ Vencimento anterior à competência","OK"))))))))</f>
        <v/>
      </c>
    </row>
    <row r="15">
      <c r="A15" s="14" t="inlineStr">
        <is>
          <t>L0010</t>
        </is>
      </c>
      <c r="B15" s="36" t="n">
        <v>46032</v>
      </c>
      <c r="C15" s="36" t="n">
        <v>46032</v>
      </c>
      <c r="D15" s="36" t="n">
        <v>46035</v>
      </c>
      <c r="E15" s="14" t="inlineStr">
        <is>
          <t>Saída</t>
        </is>
      </c>
      <c r="F15" s="29" t="inlineStr">
        <is>
          <t>Despesas Administrativas</t>
        </is>
      </c>
      <c r="G15" s="29" t="inlineStr">
        <is>
          <t>Contabilidade</t>
        </is>
      </c>
      <c r="H15" s="29" t="inlineStr">
        <is>
          <t>Financeiro</t>
        </is>
      </c>
      <c r="I15" s="29" t="inlineStr">
        <is>
          <t>CONTABILIDADE AURORA ASSESSORIA CONTÁBIL LTDA</t>
        </is>
      </c>
      <c r="J15" s="29" t="inlineStr">
        <is>
          <t>Honorários contábeis — competência 01/2026</t>
        </is>
      </c>
      <c r="K15" s="14" t="inlineStr">
        <is>
          <t>DOC 8269</t>
        </is>
      </c>
      <c r="L15" s="29" t="inlineStr">
        <is>
          <t>Itaú Unibanco — C/C 45678-9</t>
        </is>
      </c>
      <c r="M15" s="14" t="inlineStr">
        <is>
          <t>PIX</t>
        </is>
      </c>
      <c r="N15" s="29" t="n"/>
      <c r="O15" s="13" t="n">
        <v>1</v>
      </c>
      <c r="P15" s="13" t="n">
        <v>1</v>
      </c>
      <c r="Q15" s="35" t="n">
        <v>1250</v>
      </c>
      <c r="R15" s="35" t="n">
        <v>1250</v>
      </c>
      <c r="S15" s="35" t="n"/>
      <c r="T15" s="35" t="n"/>
      <c r="U15" s="35" t="n"/>
      <c r="V15" s="18">
        <f>IF(COUNTA($B15:$R15)=0,"",ROUND(N($R15)+N($S15)+N($T15)-N($U15),2))</f>
        <v/>
      </c>
      <c r="W15" s="18">
        <f>IF(COUNTA($B15:$R15)=0,"",IF(OR($X15="Pago",$X15="Recebido",$X15="Cancelado"),0,ROUND(N($Q15)+N($S15)+N($T15)-N($U15)-N($R15),2)))</f>
        <v/>
      </c>
      <c r="X15" s="14" t="inlineStr">
        <is>
          <t>Pago</t>
        </is>
      </c>
      <c r="Y15" s="17">
        <f>IF(COUNTA($B15:$R15)=0,"",IF($X15="Cancelado","Cancelado",IF(OR($X15="Pago",$X15="Recebido"),$X15,IF(OR($X15="Parcial",N($R15)&gt;0),"Parcial",IF($C15="","Sem vencimento",IF($C15&lt;TODAY(),"Vencido",IF($C15=TODAY(),"Vence hoje",IF($C15&lt;=TODAY()+7,"Vence em 7 dias",IF($C15&lt;=TODAY()+30,"Vence em 30 dias","Futuro")))))))))</f>
        <v/>
      </c>
      <c r="Z15" s="24">
        <f>IF($B15="","",MONTH($B15))</f>
        <v/>
      </c>
      <c r="AA15" s="24">
        <f>IF($B15="","",YEAR($B15))</f>
        <v/>
      </c>
      <c r="AB15" s="24">
        <f>IF($B15="","",ISOWEEKNUM($B15))</f>
        <v/>
      </c>
      <c r="AC15" s="17">
        <f>IF($B15="","",CHOOSE(WEEKDAY($B15,2),"Segunda","Terça","Quarta","Quinta","Sexta","Sábado","Domingo"))</f>
        <v/>
      </c>
      <c r="AD15" s="17">
        <f>IF($B15="","",TEXT($B15,"MM/AAAA"))</f>
        <v/>
      </c>
      <c r="AE15" s="18">
        <f>IF(COUNTA($B15:$R15)=0,"",IF($X15="Cancelado",0,ROUND(N($Q15)+N($S15)+N($T15)-N($U15),2)))</f>
        <v/>
      </c>
      <c r="AF15" s="9">
        <f>IF($G15="","",IFERROR(INDEX(LINHAS_DRE_PLANO,MATCH($G15,SUBCATEGORIAS_PLANO,0)),"Não classificado"))</f>
        <v/>
      </c>
      <c r="AG15" s="17">
        <f>IF($G15="","",IFERROR(INDEX(TIPOS_FLUXO_PLANO,MATCH($G15,SUBCATEGORIAS_PLANO,0)),"Não classificado"))</f>
        <v/>
      </c>
      <c r="AH15" s="9">
        <f>IF($G15="","",IFERROR(INDEX(GRUPOS_PLANO,MATCH($G15,SUBCATEGORIAS_PLANO,0)),"Não classificado"))</f>
        <v/>
      </c>
      <c r="AI15" s="24">
        <f>IF(OR($C15="",$X15="Pago",$X15="Recebido",$X15="Cancelado"),"",$C15-TODAY())</f>
        <v/>
      </c>
      <c r="AJ15" s="24">
        <f>IF(OR($C15="",$X15="Pago",$X15="Recebido",$X15="Cancelado"),0,MAX(0,TODAY()-$C15))</f>
        <v/>
      </c>
      <c r="AK15" s="24">
        <f>IF($D15="","",$D15-$B15)</f>
        <v/>
      </c>
      <c r="AL15" s="18">
        <f>IF(OR($D15="",$B15=""),"",ROUND(N($R15)*($D15-$B15),2))</f>
        <v/>
      </c>
      <c r="AM15" s="17">
        <f>IF(AND($E15="Saída",$W15&gt;0,$C15&lt;&gt;""),$C15+ROW()/1000000,"")</f>
        <v/>
      </c>
      <c r="AN15" s="17">
        <f>IF(AND($E15="Entrada",$W15&gt;0,$C15&lt;&gt;""),$C15+ROW()/1000000,"")</f>
        <v/>
      </c>
      <c r="AO15" s="9">
        <f>IF(COUNTA($B15:$R15)=0,"",IF(AND($I15&lt;&gt;"",COUNTIF(CLIENTES_NOMES,$I15)+COUNTIF(CLIENTES_FANTASIA,$I15)+COUNTIF(FORNECEDORES_NOMES,$I15)+COUNTIF(FORNECEDORES_FANTASIA,$I15)=0),"⚠ Cliente/Fornecedor não cadastrado",IF(AND($G15&lt;&gt;"",COUNTIF(SUBCATEGORIAS_PLANO,$G15)=0),"⚠ Subcategoria fora do plano de contas",IF(OR($Q15="",N($Q15)=0),"⚠ Valor previsto não informado",IF(AND(OR($X15="Pago",$X15="Recebido"),$D15=""),"⚠ Status pago/recebido sem data",IF(AND($D15&lt;&gt;"",N($R15)=0),"⚠ Data de pagamento sem valor realizado",IF(AND(N($P15)&gt;1,N($O15)&gt;N($P15)),"⚠ Nº da parcela maior que o total",IF(AND($C15&lt;&gt;"",$B15&lt;&gt;"",$C15&lt;$B15),"⚠ Vencimento anterior à competência","OK"))))))))</f>
        <v/>
      </c>
    </row>
    <row r="16">
      <c r="A16" s="14" t="inlineStr">
        <is>
          <t>L0011</t>
        </is>
      </c>
      <c r="B16" s="36" t="n">
        <v>46032</v>
      </c>
      <c r="C16" s="36" t="n">
        <v>46050</v>
      </c>
      <c r="D16" s="36" t="n">
        <v>46052</v>
      </c>
      <c r="E16" s="14" t="inlineStr">
        <is>
          <t>Saída</t>
        </is>
      </c>
      <c r="F16" s="29" t="inlineStr">
        <is>
          <t>Despesas Comerciais</t>
        </is>
      </c>
      <c r="G16" s="29" t="inlineStr">
        <is>
          <t>Marketing Digital</t>
        </is>
      </c>
      <c r="H16" s="29" t="inlineStr">
        <is>
          <t>Marketing</t>
        </is>
      </c>
      <c r="I16" s="29" t="inlineStr">
        <is>
          <t>AGÊNCIA PULSO DIGITAL LTDA</t>
        </is>
      </c>
      <c r="J16" s="29" t="inlineStr">
        <is>
          <t>Gestão de tráfego pago e produção de conteúdo</t>
        </is>
      </c>
      <c r="K16" s="14" t="inlineStr">
        <is>
          <t>DOC 8275</t>
        </is>
      </c>
      <c r="L16" s="29" t="inlineStr">
        <is>
          <t>Nubank PJ — C/C 9876543-2</t>
        </is>
      </c>
      <c r="M16" s="14" t="inlineStr">
        <is>
          <t>Cartão de crédito</t>
        </is>
      </c>
      <c r="N16" s="29" t="inlineStr">
        <is>
          <t>Cartão Mastercard Nubank PJ</t>
        </is>
      </c>
      <c r="O16" s="13" t="n">
        <v>1</v>
      </c>
      <c r="P16" s="13" t="n">
        <v>1</v>
      </c>
      <c r="Q16" s="35" t="n">
        <v>4166.43</v>
      </c>
      <c r="R16" s="35" t="n">
        <v>4166.43</v>
      </c>
      <c r="S16" s="35" t="n"/>
      <c r="T16" s="35" t="n"/>
      <c r="U16" s="35" t="n"/>
      <c r="V16" s="18">
        <f>IF(COUNTA($B16:$R16)=0,"",ROUND(N($R16)+N($S16)+N($T16)-N($U16),2))</f>
        <v/>
      </c>
      <c r="W16" s="18">
        <f>IF(COUNTA($B16:$R16)=0,"",IF(OR($X16="Pago",$X16="Recebido",$X16="Cancelado"),0,ROUND(N($Q16)+N($S16)+N($T16)-N($U16)-N($R16),2)))</f>
        <v/>
      </c>
      <c r="X16" s="14" t="inlineStr">
        <is>
          <t>Pago</t>
        </is>
      </c>
      <c r="Y16" s="17">
        <f>IF(COUNTA($B16:$R16)=0,"",IF($X16="Cancelado","Cancelado",IF(OR($X16="Pago",$X16="Recebido"),$X16,IF(OR($X16="Parcial",N($R16)&gt;0),"Parcial",IF($C16="","Sem vencimento",IF($C16&lt;TODAY(),"Vencido",IF($C16=TODAY(),"Vence hoje",IF($C16&lt;=TODAY()+7,"Vence em 7 dias",IF($C16&lt;=TODAY()+30,"Vence em 30 dias","Futuro")))))))))</f>
        <v/>
      </c>
      <c r="Z16" s="24">
        <f>IF($B16="","",MONTH($B16))</f>
        <v/>
      </c>
      <c r="AA16" s="24">
        <f>IF($B16="","",YEAR($B16))</f>
        <v/>
      </c>
      <c r="AB16" s="24">
        <f>IF($B16="","",ISOWEEKNUM($B16))</f>
        <v/>
      </c>
      <c r="AC16" s="17">
        <f>IF($B16="","",CHOOSE(WEEKDAY($B16,2),"Segunda","Terça","Quarta","Quinta","Sexta","Sábado","Domingo"))</f>
        <v/>
      </c>
      <c r="AD16" s="17">
        <f>IF($B16="","",TEXT($B16,"MM/AAAA"))</f>
        <v/>
      </c>
      <c r="AE16" s="18">
        <f>IF(COUNTA($B16:$R16)=0,"",IF($X16="Cancelado",0,ROUND(N($Q16)+N($S16)+N($T16)-N($U16),2)))</f>
        <v/>
      </c>
      <c r="AF16" s="9">
        <f>IF($G16="","",IFERROR(INDEX(LINHAS_DRE_PLANO,MATCH($G16,SUBCATEGORIAS_PLANO,0)),"Não classificado"))</f>
        <v/>
      </c>
      <c r="AG16" s="17">
        <f>IF($G16="","",IFERROR(INDEX(TIPOS_FLUXO_PLANO,MATCH($G16,SUBCATEGORIAS_PLANO,0)),"Não classificado"))</f>
        <v/>
      </c>
      <c r="AH16" s="9">
        <f>IF($G16="","",IFERROR(INDEX(GRUPOS_PLANO,MATCH($G16,SUBCATEGORIAS_PLANO,0)),"Não classificado"))</f>
        <v/>
      </c>
      <c r="AI16" s="24">
        <f>IF(OR($C16="",$X16="Pago",$X16="Recebido",$X16="Cancelado"),"",$C16-TODAY())</f>
        <v/>
      </c>
      <c r="AJ16" s="24">
        <f>IF(OR($C16="",$X16="Pago",$X16="Recebido",$X16="Cancelado"),0,MAX(0,TODAY()-$C16))</f>
        <v/>
      </c>
      <c r="AK16" s="24">
        <f>IF($D16="","",$D16-$B16)</f>
        <v/>
      </c>
      <c r="AL16" s="18">
        <f>IF(OR($D16="",$B16=""),"",ROUND(N($R16)*($D16-$B16),2))</f>
        <v/>
      </c>
      <c r="AM16" s="17">
        <f>IF(AND($E16="Saída",$W16&gt;0,$C16&lt;&gt;""),$C16+ROW()/1000000,"")</f>
        <v/>
      </c>
      <c r="AN16" s="17">
        <f>IF(AND($E16="Entrada",$W16&gt;0,$C16&lt;&gt;""),$C16+ROW()/1000000,"")</f>
        <v/>
      </c>
      <c r="AO16" s="9">
        <f>IF(COUNTA($B16:$R16)=0,"",IF(AND($I16&lt;&gt;"",COUNTIF(CLIENTES_NOMES,$I16)+COUNTIF(CLIENTES_FANTASIA,$I16)+COUNTIF(FORNECEDORES_NOMES,$I16)+COUNTIF(FORNECEDORES_FANTASIA,$I16)=0),"⚠ Cliente/Fornecedor não cadastrado",IF(AND($G16&lt;&gt;"",COUNTIF(SUBCATEGORIAS_PLANO,$G16)=0),"⚠ Subcategoria fora do plano de contas",IF(OR($Q16="",N($Q16)=0),"⚠ Valor previsto não informado",IF(AND(OR($X16="Pago",$X16="Recebido"),$D16=""),"⚠ Status pago/recebido sem data",IF(AND($D16&lt;&gt;"",N($R16)=0),"⚠ Data de pagamento sem valor realizado",IF(AND(N($P16)&gt;1,N($O16)&gt;N($P16)),"⚠ Nº da parcela maior que o total",IF(AND($C16&lt;&gt;"",$B16&lt;&gt;"",$C16&lt;$B16),"⚠ Vencimento anterior à competência","OK"))))))))</f>
        <v/>
      </c>
    </row>
    <row r="17">
      <c r="A17" s="14" t="inlineStr">
        <is>
          <t>L0012</t>
        </is>
      </c>
      <c r="B17" s="36" t="n">
        <v>46032</v>
      </c>
      <c r="C17" s="36" t="n">
        <v>46032</v>
      </c>
      <c r="D17" s="36" t="n">
        <v>46032</v>
      </c>
      <c r="E17" s="14" t="inlineStr">
        <is>
          <t>Entrada</t>
        </is>
      </c>
      <c r="F17" s="29" t="inlineStr">
        <is>
          <t>Empréstimos e Financiamentos</t>
        </is>
      </c>
      <c r="G17" s="29" t="inlineStr">
        <is>
          <t>Empréstimos e Financiamentos Recebidos</t>
        </is>
      </c>
      <c r="H17" s="29" t="inlineStr">
        <is>
          <t>Financeiro</t>
        </is>
      </c>
      <c r="I17" s="29" t="inlineStr">
        <is>
          <t>Banco do Brasil</t>
        </is>
      </c>
      <c r="J17" s="29" t="inlineStr">
        <is>
          <t>Liberação do Capital de Giro — contrato CG-2026-0417</t>
        </is>
      </c>
      <c r="K17" s="14" t="inlineStr">
        <is>
          <t>CG-2026-0417</t>
        </is>
      </c>
      <c r="L17" s="29" t="inlineStr">
        <is>
          <t>Banco do Brasil — C/C 12345-6</t>
        </is>
      </c>
      <c r="M17" s="14" t="inlineStr">
        <is>
          <t>Transferência</t>
        </is>
      </c>
      <c r="N17" s="29" t="n"/>
      <c r="O17" s="13" t="n">
        <v>1</v>
      </c>
      <c r="P17" s="13" t="n">
        <v>1</v>
      </c>
      <c r="Q17" s="35" t="n">
        <v>60000</v>
      </c>
      <c r="R17" s="35" t="n">
        <v>60000</v>
      </c>
      <c r="S17" s="35" t="n"/>
      <c r="T17" s="35" t="n"/>
      <c r="U17" s="35" t="n"/>
      <c r="V17" s="18">
        <f>IF(COUNTA($B17:$R17)=0,"",ROUND(N($R17)+N($S17)+N($T17)-N($U17),2))</f>
        <v/>
      </c>
      <c r="W17" s="18">
        <f>IF(COUNTA($B17:$R17)=0,"",IF(OR($X17="Pago",$X17="Recebido",$X17="Cancelado"),0,ROUND(N($Q17)+N($S17)+N($T17)-N($U17)-N($R17),2)))</f>
        <v/>
      </c>
      <c r="X17" s="14" t="inlineStr">
        <is>
          <t>Recebido</t>
        </is>
      </c>
      <c r="Y17" s="17">
        <f>IF(COUNTA($B17:$R17)=0,"",IF($X17="Cancelado","Cancelado",IF(OR($X17="Pago",$X17="Recebido"),$X17,IF(OR($X17="Parcial",N($R17)&gt;0),"Parcial",IF($C17="","Sem vencimento",IF($C17&lt;TODAY(),"Vencido",IF($C17=TODAY(),"Vence hoje",IF($C17&lt;=TODAY()+7,"Vence em 7 dias",IF($C17&lt;=TODAY()+30,"Vence em 30 dias","Futuro")))))))))</f>
        <v/>
      </c>
      <c r="Z17" s="24">
        <f>IF($B17="","",MONTH($B17))</f>
        <v/>
      </c>
      <c r="AA17" s="24">
        <f>IF($B17="","",YEAR($B17))</f>
        <v/>
      </c>
      <c r="AB17" s="24">
        <f>IF($B17="","",ISOWEEKNUM($B17))</f>
        <v/>
      </c>
      <c r="AC17" s="17">
        <f>IF($B17="","",CHOOSE(WEEKDAY($B17,2),"Segunda","Terça","Quarta","Quinta","Sexta","Sábado","Domingo"))</f>
        <v/>
      </c>
      <c r="AD17" s="17">
        <f>IF($B17="","",TEXT($B17,"MM/AAAA"))</f>
        <v/>
      </c>
      <c r="AE17" s="18">
        <f>IF(COUNTA($B17:$R17)=0,"",IF($X17="Cancelado",0,ROUND(N($Q17)+N($S17)+N($T17)-N($U17),2)))</f>
        <v/>
      </c>
      <c r="AF17" s="9">
        <f>IF($G17="","",IFERROR(INDEX(LINHAS_DRE_PLANO,MATCH($G17,SUBCATEGORIAS_PLANO,0)),"Não classificado"))</f>
        <v/>
      </c>
      <c r="AG17" s="17">
        <f>IF($G17="","",IFERROR(INDEX(TIPOS_FLUXO_PLANO,MATCH($G17,SUBCATEGORIAS_PLANO,0)),"Não classificado"))</f>
        <v/>
      </c>
      <c r="AH17" s="9">
        <f>IF($G17="","",IFERROR(INDEX(GRUPOS_PLANO,MATCH($G17,SUBCATEGORIAS_PLANO,0)),"Não classificado"))</f>
        <v/>
      </c>
      <c r="AI17" s="24">
        <f>IF(OR($C17="",$X17="Pago",$X17="Recebido",$X17="Cancelado"),"",$C17-TODAY())</f>
        <v/>
      </c>
      <c r="AJ17" s="24">
        <f>IF(OR($C17="",$X17="Pago",$X17="Recebido",$X17="Cancelado"),0,MAX(0,TODAY()-$C17))</f>
        <v/>
      </c>
      <c r="AK17" s="24">
        <f>IF($D17="","",$D17-$B17)</f>
        <v/>
      </c>
      <c r="AL17" s="18">
        <f>IF(OR($D17="",$B17=""),"",ROUND(N($R17)*($D17-$B17),2))</f>
        <v/>
      </c>
      <c r="AM17" s="17">
        <f>IF(AND($E17="Saída",$W17&gt;0,$C17&lt;&gt;""),$C17+ROW()/1000000,"")</f>
        <v/>
      </c>
      <c r="AN17" s="17">
        <f>IF(AND($E17="Entrada",$W17&gt;0,$C17&lt;&gt;""),$C17+ROW()/1000000,"")</f>
        <v/>
      </c>
      <c r="AO17" s="9">
        <f>IF(COUNTA($B17:$R17)=0,"",IF(AND($I17&lt;&gt;"",COUNTIF(CLIENTES_NOMES,$I17)+COUNTIF(CLIENTES_FANTASIA,$I17)+COUNTIF(FORNECEDORES_NOMES,$I17)+COUNTIF(FORNECEDORES_FANTASIA,$I17)=0),"⚠ Cliente/Fornecedor não cadastrado",IF(AND($G17&lt;&gt;"",COUNTIF(SUBCATEGORIAS_PLANO,$G17)=0),"⚠ Subcategoria fora do plano de contas",IF(OR($Q17="",N($Q17)=0),"⚠ Valor previsto não informado",IF(AND(OR($X17="Pago",$X17="Recebido"),$D17=""),"⚠ Status pago/recebido sem data",IF(AND($D17&lt;&gt;"",N($R17)=0),"⚠ Data de pagamento sem valor realizado",IF(AND(N($P17)&gt;1,N($O17)&gt;N($P17)),"⚠ Nº da parcela maior que o total",IF(AND($C17&lt;&gt;"",$B17&lt;&gt;"",$C17&lt;$B17),"⚠ Vencimento anterior à competência","OK"))))))))</f>
        <v/>
      </c>
    </row>
    <row r="18">
      <c r="A18" s="14" t="inlineStr">
        <is>
          <t>L0013</t>
        </is>
      </c>
      <c r="B18" s="36" t="n">
        <v>46033</v>
      </c>
      <c r="C18" s="36" t="n">
        <v>46063</v>
      </c>
      <c r="D18" s="36" t="n">
        <v>46066</v>
      </c>
      <c r="E18" s="14" t="inlineStr">
        <is>
          <t>Entrada</t>
        </is>
      </c>
      <c r="F18" s="29" t="inlineStr">
        <is>
          <t>Vendas</t>
        </is>
      </c>
      <c r="G18" s="29" t="inlineStr">
        <is>
          <t>Vendas de Produtos</t>
        </is>
      </c>
      <c r="H18" s="29" t="inlineStr">
        <is>
          <t>Comercial</t>
        </is>
      </c>
      <c r="I18" s="29" t="inlineStr">
        <is>
          <t>MERCADO BOA COMPRA LTDA</t>
        </is>
      </c>
      <c r="J18" s="29" t="inlineStr">
        <is>
          <t>Venda de mercadorias para revenda</t>
        </is>
      </c>
      <c r="K18" s="14" t="inlineStr">
        <is>
          <t>NF-e 2000</t>
        </is>
      </c>
      <c r="L18" s="29" t="inlineStr">
        <is>
          <t>Banco do Brasil — C/C 12345-6</t>
        </is>
      </c>
      <c r="M18" s="14" t="inlineStr">
        <is>
          <t>Boleto</t>
        </is>
      </c>
      <c r="N18" s="29" t="n"/>
      <c r="O18" s="13" t="n">
        <v>1</v>
      </c>
      <c r="P18" s="13" t="n">
        <v>1</v>
      </c>
      <c r="Q18" s="35" t="n">
        <v>36927.73</v>
      </c>
      <c r="R18" s="35" t="n">
        <v>36927.73</v>
      </c>
      <c r="S18" s="35" t="n"/>
      <c r="T18" s="35" t="n"/>
      <c r="U18" s="35" t="n"/>
      <c r="V18" s="18">
        <f>IF(COUNTA($B18:$R18)=0,"",ROUND(N($R18)+N($S18)+N($T18)-N($U18),2))</f>
        <v/>
      </c>
      <c r="W18" s="18">
        <f>IF(COUNTA($B18:$R18)=0,"",IF(OR($X18="Pago",$X18="Recebido",$X18="Cancelado"),0,ROUND(N($Q18)+N($S18)+N($T18)-N($U18)-N($R18),2)))</f>
        <v/>
      </c>
      <c r="X18" s="14" t="inlineStr">
        <is>
          <t>Pago</t>
        </is>
      </c>
      <c r="Y18" s="17">
        <f>IF(COUNTA($B18:$R18)=0,"",IF($X18="Cancelado","Cancelado",IF(OR($X18="Pago",$X18="Recebido"),$X18,IF(OR($X18="Parcial",N($R18)&gt;0),"Parcial",IF($C18="","Sem vencimento",IF($C18&lt;TODAY(),"Vencido",IF($C18=TODAY(),"Vence hoje",IF($C18&lt;=TODAY()+7,"Vence em 7 dias",IF($C18&lt;=TODAY()+30,"Vence em 30 dias","Futuro")))))))))</f>
        <v/>
      </c>
      <c r="Z18" s="24">
        <f>IF($B18="","",MONTH($B18))</f>
        <v/>
      </c>
      <c r="AA18" s="24">
        <f>IF($B18="","",YEAR($B18))</f>
        <v/>
      </c>
      <c r="AB18" s="24">
        <f>IF($B18="","",ISOWEEKNUM($B18))</f>
        <v/>
      </c>
      <c r="AC18" s="17">
        <f>IF($B18="","",CHOOSE(WEEKDAY($B18,2),"Segunda","Terça","Quarta","Quinta","Sexta","Sábado","Domingo"))</f>
        <v/>
      </c>
      <c r="AD18" s="17">
        <f>IF($B18="","",TEXT($B18,"MM/AAAA"))</f>
        <v/>
      </c>
      <c r="AE18" s="18">
        <f>IF(COUNTA($B18:$R18)=0,"",IF($X18="Cancelado",0,ROUND(N($Q18)+N($S18)+N($T18)-N($U18),2)))</f>
        <v/>
      </c>
      <c r="AF18" s="9">
        <f>IF($G18="","",IFERROR(INDEX(LINHAS_DRE_PLANO,MATCH($G18,SUBCATEGORIAS_PLANO,0)),"Não classificado"))</f>
        <v/>
      </c>
      <c r="AG18" s="17">
        <f>IF($G18="","",IFERROR(INDEX(TIPOS_FLUXO_PLANO,MATCH($G18,SUBCATEGORIAS_PLANO,0)),"Não classificado"))</f>
        <v/>
      </c>
      <c r="AH18" s="9">
        <f>IF($G18="","",IFERROR(INDEX(GRUPOS_PLANO,MATCH($G18,SUBCATEGORIAS_PLANO,0)),"Não classificado"))</f>
        <v/>
      </c>
      <c r="AI18" s="24">
        <f>IF(OR($C18="",$X18="Pago",$X18="Recebido",$X18="Cancelado"),"",$C18-TODAY())</f>
        <v/>
      </c>
      <c r="AJ18" s="24">
        <f>IF(OR($C18="",$X18="Pago",$X18="Recebido",$X18="Cancelado"),0,MAX(0,TODAY()-$C18))</f>
        <v/>
      </c>
      <c r="AK18" s="24">
        <f>IF($D18="","",$D18-$B18)</f>
        <v/>
      </c>
      <c r="AL18" s="18">
        <f>IF(OR($D18="",$B18=""),"",ROUND(N($R18)*($D18-$B18),2))</f>
        <v/>
      </c>
      <c r="AM18" s="17">
        <f>IF(AND($E18="Saída",$W18&gt;0,$C18&lt;&gt;""),$C18+ROW()/1000000,"")</f>
        <v/>
      </c>
      <c r="AN18" s="17">
        <f>IF(AND($E18="Entrada",$W18&gt;0,$C18&lt;&gt;""),$C18+ROW()/1000000,"")</f>
        <v/>
      </c>
      <c r="AO18" s="9">
        <f>IF(COUNTA($B18:$R18)=0,"",IF(AND($I18&lt;&gt;"",COUNTIF(CLIENTES_NOMES,$I18)+COUNTIF(CLIENTES_FANTASIA,$I18)+COUNTIF(FORNECEDORES_NOMES,$I18)+COUNTIF(FORNECEDORES_FANTASIA,$I18)=0),"⚠ Cliente/Fornecedor não cadastrado",IF(AND($G18&lt;&gt;"",COUNTIF(SUBCATEGORIAS_PLANO,$G18)=0),"⚠ Subcategoria fora do plano de contas",IF(OR($Q18="",N($Q18)=0),"⚠ Valor previsto não informado",IF(AND(OR($X18="Pago",$X18="Recebido"),$D18=""),"⚠ Status pago/recebido sem data",IF(AND($D18&lt;&gt;"",N($R18)=0),"⚠ Data de pagamento sem valor realizado",IF(AND(N($P18)&gt;1,N($O18)&gt;N($P18)),"⚠ Nº da parcela maior que o total",IF(AND($C18&lt;&gt;"",$B18&lt;&gt;"",$C18&lt;$B18),"⚠ Vencimento anterior à competência","OK"))))))))</f>
        <v/>
      </c>
    </row>
    <row r="19">
      <c r="A19" s="14" t="inlineStr">
        <is>
          <t>L0014</t>
        </is>
      </c>
      <c r="B19" s="36" t="n">
        <v>46033</v>
      </c>
      <c r="C19" s="36" t="n">
        <v>46034</v>
      </c>
      <c r="D19" s="36" t="n">
        <v>46036</v>
      </c>
      <c r="E19" s="14" t="inlineStr">
        <is>
          <t>Entrada</t>
        </is>
      </c>
      <c r="F19" s="29" t="inlineStr">
        <is>
          <t>Vendas</t>
        </is>
      </c>
      <c r="G19" s="29" t="inlineStr">
        <is>
          <t>Vendas de Produtos</t>
        </is>
      </c>
      <c r="H19" s="29" t="inlineStr">
        <is>
          <t>Comercial</t>
        </is>
      </c>
      <c r="I19" s="29" t="inlineStr">
        <is>
          <t>PADARIA PÃO DOURADO ME</t>
        </is>
      </c>
      <c r="J19" s="29" t="inlineStr">
        <is>
          <t>Venda de mercadorias para revenda</t>
        </is>
      </c>
      <c r="K19" s="14" t="inlineStr">
        <is>
          <t>NF-e 2003</t>
        </is>
      </c>
      <c r="L19" s="29" t="inlineStr">
        <is>
          <t>Nubank PJ — C/C 9876543-2</t>
        </is>
      </c>
      <c r="M19" s="14" t="inlineStr">
        <is>
          <t>PIX</t>
        </is>
      </c>
      <c r="N19" s="29" t="n"/>
      <c r="O19" s="13" t="n">
        <v>1</v>
      </c>
      <c r="P19" s="13" t="n">
        <v>1</v>
      </c>
      <c r="Q19" s="35" t="n">
        <v>23835.18</v>
      </c>
      <c r="R19" s="35" t="n">
        <v>23835.18</v>
      </c>
      <c r="S19" s="35" t="n"/>
      <c r="T19" s="35" t="n"/>
      <c r="U19" s="35" t="n"/>
      <c r="V19" s="18">
        <f>IF(COUNTA($B19:$R19)=0,"",ROUND(N($R19)+N($S19)+N($T19)-N($U19),2))</f>
        <v/>
      </c>
      <c r="W19" s="18">
        <f>IF(COUNTA($B19:$R19)=0,"",IF(OR($X19="Pago",$X19="Recebido",$X19="Cancelado"),0,ROUND(N($Q19)+N($S19)+N($T19)-N($U19)-N($R19),2)))</f>
        <v/>
      </c>
      <c r="X19" s="14" t="inlineStr">
        <is>
          <t>Pago</t>
        </is>
      </c>
      <c r="Y19" s="17">
        <f>IF(COUNTA($B19:$R19)=0,"",IF($X19="Cancelado","Cancelado",IF(OR($X19="Pago",$X19="Recebido"),$X19,IF(OR($X19="Parcial",N($R19)&gt;0),"Parcial",IF($C19="","Sem vencimento",IF($C19&lt;TODAY(),"Vencido",IF($C19=TODAY(),"Vence hoje",IF($C19&lt;=TODAY()+7,"Vence em 7 dias",IF($C19&lt;=TODAY()+30,"Vence em 30 dias","Futuro")))))))))</f>
        <v/>
      </c>
      <c r="Z19" s="24">
        <f>IF($B19="","",MONTH($B19))</f>
        <v/>
      </c>
      <c r="AA19" s="24">
        <f>IF($B19="","",YEAR($B19))</f>
        <v/>
      </c>
      <c r="AB19" s="24">
        <f>IF($B19="","",ISOWEEKNUM($B19))</f>
        <v/>
      </c>
      <c r="AC19" s="17">
        <f>IF($B19="","",CHOOSE(WEEKDAY($B19,2),"Segunda","Terça","Quarta","Quinta","Sexta","Sábado","Domingo"))</f>
        <v/>
      </c>
      <c r="AD19" s="17">
        <f>IF($B19="","",TEXT($B19,"MM/AAAA"))</f>
        <v/>
      </c>
      <c r="AE19" s="18">
        <f>IF(COUNTA($B19:$R19)=0,"",IF($X19="Cancelado",0,ROUND(N($Q19)+N($S19)+N($T19)-N($U19),2)))</f>
        <v/>
      </c>
      <c r="AF19" s="9">
        <f>IF($G19="","",IFERROR(INDEX(LINHAS_DRE_PLANO,MATCH($G19,SUBCATEGORIAS_PLANO,0)),"Não classificado"))</f>
        <v/>
      </c>
      <c r="AG19" s="17">
        <f>IF($G19="","",IFERROR(INDEX(TIPOS_FLUXO_PLANO,MATCH($G19,SUBCATEGORIAS_PLANO,0)),"Não classificado"))</f>
        <v/>
      </c>
      <c r="AH19" s="9">
        <f>IF($G19="","",IFERROR(INDEX(GRUPOS_PLANO,MATCH($G19,SUBCATEGORIAS_PLANO,0)),"Não classificado"))</f>
        <v/>
      </c>
      <c r="AI19" s="24">
        <f>IF(OR($C19="",$X19="Pago",$X19="Recebido",$X19="Cancelado"),"",$C19-TODAY())</f>
        <v/>
      </c>
      <c r="AJ19" s="24">
        <f>IF(OR($C19="",$X19="Pago",$X19="Recebido",$X19="Cancelado"),0,MAX(0,TODAY()-$C19))</f>
        <v/>
      </c>
      <c r="AK19" s="24">
        <f>IF($D19="","",$D19-$B19)</f>
        <v/>
      </c>
      <c r="AL19" s="18">
        <f>IF(OR($D19="",$B19=""),"",ROUND(N($R19)*($D19-$B19),2))</f>
        <v/>
      </c>
      <c r="AM19" s="17">
        <f>IF(AND($E19="Saída",$W19&gt;0,$C19&lt;&gt;""),$C19+ROW()/1000000,"")</f>
        <v/>
      </c>
      <c r="AN19" s="17">
        <f>IF(AND($E19="Entrada",$W19&gt;0,$C19&lt;&gt;""),$C19+ROW()/1000000,"")</f>
        <v/>
      </c>
      <c r="AO19" s="9">
        <f>IF(COUNTA($B19:$R19)=0,"",IF(AND($I19&lt;&gt;"",COUNTIF(CLIENTES_NOMES,$I19)+COUNTIF(CLIENTES_FANTASIA,$I19)+COUNTIF(FORNECEDORES_NOMES,$I19)+COUNTIF(FORNECEDORES_FANTASIA,$I19)=0),"⚠ Cliente/Fornecedor não cadastrado",IF(AND($G19&lt;&gt;"",COUNTIF(SUBCATEGORIAS_PLANO,$G19)=0),"⚠ Subcategoria fora do plano de contas",IF(OR($Q19="",N($Q19)=0),"⚠ Valor previsto não informado",IF(AND(OR($X19="Pago",$X19="Recebido"),$D19=""),"⚠ Status pago/recebido sem data",IF(AND($D19&lt;&gt;"",N($R19)=0),"⚠ Data de pagamento sem valor realizado",IF(AND(N($P19)&gt;1,N($O19)&gt;N($P19)),"⚠ Nº da parcela maior que o total",IF(AND($C19&lt;&gt;"",$B19&lt;&gt;"",$C19&lt;$B19),"⚠ Vencimento anterior à competência","OK"))))))))</f>
        <v/>
      </c>
    </row>
    <row r="20">
      <c r="A20" s="14" t="inlineStr">
        <is>
          <t>L0015</t>
        </is>
      </c>
      <c r="B20" s="36" t="n">
        <v>46033</v>
      </c>
      <c r="C20" s="36" t="n">
        <v>46048</v>
      </c>
      <c r="D20" s="36" t="n">
        <v>46048</v>
      </c>
      <c r="E20" s="14" t="inlineStr">
        <is>
          <t>Entrada</t>
        </is>
      </c>
      <c r="F20" s="29" t="inlineStr">
        <is>
          <t>Vendas</t>
        </is>
      </c>
      <c r="G20" s="29" t="inlineStr">
        <is>
          <t>Vendas de Produtos</t>
        </is>
      </c>
      <c r="H20" s="29" t="inlineStr">
        <is>
          <t>Comercial</t>
        </is>
      </c>
      <c r="I20" s="29" t="inlineStr">
        <is>
          <t>RESTAURANTE SABOR CASEIRO LTDA</t>
        </is>
      </c>
      <c r="J20" s="29" t="inlineStr">
        <is>
          <t>Venda de mercadorias para revenda</t>
        </is>
      </c>
      <c r="K20" s="14" t="inlineStr">
        <is>
          <t>NF-e 2004</t>
        </is>
      </c>
      <c r="L20" s="29" t="inlineStr">
        <is>
          <t>Itaú Unibanco — C/C 45678-9</t>
        </is>
      </c>
      <c r="M20" s="14" t="inlineStr">
        <is>
          <t>Boleto</t>
        </is>
      </c>
      <c r="N20" s="29" t="n"/>
      <c r="O20" s="13" t="n">
        <v>1</v>
      </c>
      <c r="P20" s="13" t="n">
        <v>1</v>
      </c>
      <c r="Q20" s="35" t="n">
        <v>17684.54</v>
      </c>
      <c r="R20" s="35" t="n">
        <v>17684.54</v>
      </c>
      <c r="S20" s="35" t="n"/>
      <c r="T20" s="35" t="n"/>
      <c r="U20" s="35" t="n"/>
      <c r="V20" s="18">
        <f>IF(COUNTA($B20:$R20)=0,"",ROUND(N($R20)+N($S20)+N($T20)-N($U20),2))</f>
        <v/>
      </c>
      <c r="W20" s="18">
        <f>IF(COUNTA($B20:$R20)=0,"",IF(OR($X20="Pago",$X20="Recebido",$X20="Cancelado"),0,ROUND(N($Q20)+N($S20)+N($T20)-N($U20)-N($R20),2)))</f>
        <v/>
      </c>
      <c r="X20" s="14" t="inlineStr">
        <is>
          <t>Pago</t>
        </is>
      </c>
      <c r="Y20" s="17">
        <f>IF(COUNTA($B20:$R20)=0,"",IF($X20="Cancelado","Cancelado",IF(OR($X20="Pago",$X20="Recebido"),$X20,IF(OR($X20="Parcial",N($R20)&gt;0),"Parcial",IF($C20="","Sem vencimento",IF($C20&lt;TODAY(),"Vencido",IF($C20=TODAY(),"Vence hoje",IF($C20&lt;=TODAY()+7,"Vence em 7 dias",IF($C20&lt;=TODAY()+30,"Vence em 30 dias","Futuro")))))))))</f>
        <v/>
      </c>
      <c r="Z20" s="24">
        <f>IF($B20="","",MONTH($B20))</f>
        <v/>
      </c>
      <c r="AA20" s="24">
        <f>IF($B20="","",YEAR($B20))</f>
        <v/>
      </c>
      <c r="AB20" s="24">
        <f>IF($B20="","",ISOWEEKNUM($B20))</f>
        <v/>
      </c>
      <c r="AC20" s="17">
        <f>IF($B20="","",CHOOSE(WEEKDAY($B20,2),"Segunda","Terça","Quarta","Quinta","Sexta","Sábado","Domingo"))</f>
        <v/>
      </c>
      <c r="AD20" s="17">
        <f>IF($B20="","",TEXT($B20,"MM/AAAA"))</f>
        <v/>
      </c>
      <c r="AE20" s="18">
        <f>IF(COUNTA($B20:$R20)=0,"",IF($X20="Cancelado",0,ROUND(N($Q20)+N($S20)+N($T20)-N($U20),2)))</f>
        <v/>
      </c>
      <c r="AF20" s="9">
        <f>IF($G20="","",IFERROR(INDEX(LINHAS_DRE_PLANO,MATCH($G20,SUBCATEGORIAS_PLANO,0)),"Não classificado"))</f>
        <v/>
      </c>
      <c r="AG20" s="17">
        <f>IF($G20="","",IFERROR(INDEX(TIPOS_FLUXO_PLANO,MATCH($G20,SUBCATEGORIAS_PLANO,0)),"Não classificado"))</f>
        <v/>
      </c>
      <c r="AH20" s="9">
        <f>IF($G20="","",IFERROR(INDEX(GRUPOS_PLANO,MATCH($G20,SUBCATEGORIAS_PLANO,0)),"Não classificado"))</f>
        <v/>
      </c>
      <c r="AI20" s="24">
        <f>IF(OR($C20="",$X20="Pago",$X20="Recebido",$X20="Cancelado"),"",$C20-TODAY())</f>
        <v/>
      </c>
      <c r="AJ20" s="24">
        <f>IF(OR($C20="",$X20="Pago",$X20="Recebido",$X20="Cancelado"),0,MAX(0,TODAY()-$C20))</f>
        <v/>
      </c>
      <c r="AK20" s="24">
        <f>IF($D20="","",$D20-$B20)</f>
        <v/>
      </c>
      <c r="AL20" s="18">
        <f>IF(OR($D20="",$B20=""),"",ROUND(N($R20)*($D20-$B20),2))</f>
        <v/>
      </c>
      <c r="AM20" s="17">
        <f>IF(AND($E20="Saída",$W20&gt;0,$C20&lt;&gt;""),$C20+ROW()/1000000,"")</f>
        <v/>
      </c>
      <c r="AN20" s="17">
        <f>IF(AND($E20="Entrada",$W20&gt;0,$C20&lt;&gt;""),$C20+ROW()/1000000,"")</f>
        <v/>
      </c>
      <c r="AO20" s="9">
        <f>IF(COUNTA($B20:$R20)=0,"",IF(AND($I20&lt;&gt;"",COUNTIF(CLIENTES_NOMES,$I20)+COUNTIF(CLIENTES_FANTASIA,$I20)+COUNTIF(FORNECEDORES_NOMES,$I20)+COUNTIF(FORNECEDORES_FANTASIA,$I20)=0),"⚠ Cliente/Fornecedor não cadastrado",IF(AND($G20&lt;&gt;"",COUNTIF(SUBCATEGORIAS_PLANO,$G20)=0),"⚠ Subcategoria fora do plano de contas",IF(OR($Q20="",N($Q20)=0),"⚠ Valor previsto não informado",IF(AND(OR($X20="Pago",$X20="Recebido"),$D20=""),"⚠ Status pago/recebido sem data",IF(AND($D20&lt;&gt;"",N($R20)=0),"⚠ Data de pagamento sem valor realizado",IF(AND(N($P20)&gt;1,N($O20)&gt;N($P20)),"⚠ Nº da parcela maior que o total",IF(AND($C20&lt;&gt;"",$B20&lt;&gt;"",$C20&lt;$B20),"⚠ Vencimento anterior à competência","OK"))))))))</f>
        <v/>
      </c>
    </row>
    <row r="21">
      <c r="A21" s="14" t="inlineStr">
        <is>
          <t>L0016</t>
        </is>
      </c>
      <c r="B21" s="36" t="n">
        <v>46033</v>
      </c>
      <c r="C21" s="36" t="n">
        <v>46063</v>
      </c>
      <c r="D21" s="36" t="n">
        <v>46064</v>
      </c>
      <c r="E21" s="14" t="inlineStr">
        <is>
          <t>Entrada</t>
        </is>
      </c>
      <c r="F21" s="29" t="inlineStr">
        <is>
          <t>Vendas</t>
        </is>
      </c>
      <c r="G21" s="29" t="inlineStr">
        <is>
          <t>Vendas de Produtos</t>
        </is>
      </c>
      <c r="H21" s="29" t="inlineStr">
        <is>
          <t>Comercial</t>
        </is>
      </c>
      <c r="I21" s="29" t="inlineStr">
        <is>
          <t>HOTEL VISTA ALEGRE LTDA</t>
        </is>
      </c>
      <c r="J21" s="29" t="inlineStr">
        <is>
          <t>Venda de mercadorias para revenda</t>
        </is>
      </c>
      <c r="K21" s="14" t="inlineStr">
        <is>
          <t>NF-e 2007</t>
        </is>
      </c>
      <c r="L21" s="29" t="inlineStr">
        <is>
          <t>Itaú Unibanco — C/C 45678-9</t>
        </is>
      </c>
      <c r="M21" s="14" t="inlineStr">
        <is>
          <t>Boleto</t>
        </is>
      </c>
      <c r="N21" s="29" t="n"/>
      <c r="O21" s="13" t="n">
        <v>1</v>
      </c>
      <c r="P21" s="13" t="n">
        <v>1</v>
      </c>
      <c r="Q21" s="35" t="n">
        <v>33978.31</v>
      </c>
      <c r="R21" s="35" t="n">
        <v>33978.31</v>
      </c>
      <c r="S21" s="35" t="n"/>
      <c r="T21" s="35" t="n"/>
      <c r="U21" s="35" t="n"/>
      <c r="V21" s="18">
        <f>IF(COUNTA($B21:$R21)=0,"",ROUND(N($R21)+N($S21)+N($T21)-N($U21),2))</f>
        <v/>
      </c>
      <c r="W21" s="18">
        <f>IF(COUNTA($B21:$R21)=0,"",IF(OR($X21="Pago",$X21="Recebido",$X21="Cancelado"),0,ROUND(N($Q21)+N($S21)+N($T21)-N($U21)-N($R21),2)))</f>
        <v/>
      </c>
      <c r="X21" s="14" t="inlineStr">
        <is>
          <t>Pago</t>
        </is>
      </c>
      <c r="Y21" s="17">
        <f>IF(COUNTA($B21:$R21)=0,"",IF($X21="Cancelado","Cancelado",IF(OR($X21="Pago",$X21="Recebido"),$X21,IF(OR($X21="Parcial",N($R21)&gt;0),"Parcial",IF($C21="","Sem vencimento",IF($C21&lt;TODAY(),"Vencido",IF($C21=TODAY(),"Vence hoje",IF($C21&lt;=TODAY()+7,"Vence em 7 dias",IF($C21&lt;=TODAY()+30,"Vence em 30 dias","Futuro")))))))))</f>
        <v/>
      </c>
      <c r="Z21" s="24">
        <f>IF($B21="","",MONTH($B21))</f>
        <v/>
      </c>
      <c r="AA21" s="24">
        <f>IF($B21="","",YEAR($B21))</f>
        <v/>
      </c>
      <c r="AB21" s="24">
        <f>IF($B21="","",ISOWEEKNUM($B21))</f>
        <v/>
      </c>
      <c r="AC21" s="17">
        <f>IF($B21="","",CHOOSE(WEEKDAY($B21,2),"Segunda","Terça","Quarta","Quinta","Sexta","Sábado","Domingo"))</f>
        <v/>
      </c>
      <c r="AD21" s="17">
        <f>IF($B21="","",TEXT($B21,"MM/AAAA"))</f>
        <v/>
      </c>
      <c r="AE21" s="18">
        <f>IF(COUNTA($B21:$R21)=0,"",IF($X21="Cancelado",0,ROUND(N($Q21)+N($S21)+N($T21)-N($U21),2)))</f>
        <v/>
      </c>
      <c r="AF21" s="9">
        <f>IF($G21="","",IFERROR(INDEX(LINHAS_DRE_PLANO,MATCH($G21,SUBCATEGORIAS_PLANO,0)),"Não classificado"))</f>
        <v/>
      </c>
      <c r="AG21" s="17">
        <f>IF($G21="","",IFERROR(INDEX(TIPOS_FLUXO_PLANO,MATCH($G21,SUBCATEGORIAS_PLANO,0)),"Não classificado"))</f>
        <v/>
      </c>
      <c r="AH21" s="9">
        <f>IF($G21="","",IFERROR(INDEX(GRUPOS_PLANO,MATCH($G21,SUBCATEGORIAS_PLANO,0)),"Não classificado"))</f>
        <v/>
      </c>
      <c r="AI21" s="24">
        <f>IF(OR($C21="",$X21="Pago",$X21="Recebido",$X21="Cancelado"),"",$C21-TODAY())</f>
        <v/>
      </c>
      <c r="AJ21" s="24">
        <f>IF(OR($C21="",$X21="Pago",$X21="Recebido",$X21="Cancelado"),0,MAX(0,TODAY()-$C21))</f>
        <v/>
      </c>
      <c r="AK21" s="24">
        <f>IF($D21="","",$D21-$B21)</f>
        <v/>
      </c>
      <c r="AL21" s="18">
        <f>IF(OR($D21="",$B21=""),"",ROUND(N($R21)*($D21-$B21),2))</f>
        <v/>
      </c>
      <c r="AM21" s="17">
        <f>IF(AND($E21="Saída",$W21&gt;0,$C21&lt;&gt;""),$C21+ROW()/1000000,"")</f>
        <v/>
      </c>
      <c r="AN21" s="17">
        <f>IF(AND($E21="Entrada",$W21&gt;0,$C21&lt;&gt;""),$C21+ROW()/1000000,"")</f>
        <v/>
      </c>
      <c r="AO21" s="9">
        <f>IF(COUNTA($B21:$R21)=0,"",IF(AND($I21&lt;&gt;"",COUNTIF(CLIENTES_NOMES,$I21)+COUNTIF(CLIENTES_FANTASIA,$I21)+COUNTIF(FORNECEDORES_NOMES,$I21)+COUNTIF(FORNECEDORES_FANTASIA,$I21)=0),"⚠ Cliente/Fornecedor não cadastrado",IF(AND($G21&lt;&gt;"",COUNTIF(SUBCATEGORIAS_PLANO,$G21)=0),"⚠ Subcategoria fora do plano de contas",IF(OR($Q21="",N($Q21)=0),"⚠ Valor previsto não informado",IF(AND(OR($X21="Pago",$X21="Recebido"),$D21=""),"⚠ Status pago/recebido sem data",IF(AND($D21&lt;&gt;"",N($R21)=0),"⚠ Data de pagamento sem valor realizado",IF(AND(N($P21)&gt;1,N($O21)&gt;N($P21)),"⚠ Nº da parcela maior que o total",IF(AND($C21&lt;&gt;"",$B21&lt;&gt;"",$C21&lt;$B21),"⚠ Vencimento anterior à competência","OK"))))))))</f>
        <v/>
      </c>
    </row>
    <row r="22">
      <c r="A22" s="14" t="inlineStr">
        <is>
          <t>L0017</t>
        </is>
      </c>
      <c r="B22" s="36" t="n">
        <v>46033</v>
      </c>
      <c r="C22" s="36" t="n">
        <v>46055</v>
      </c>
      <c r="D22" s="36" t="n">
        <v>46057</v>
      </c>
      <c r="E22" s="14" t="inlineStr">
        <is>
          <t>Entrada</t>
        </is>
      </c>
      <c r="F22" s="29" t="inlineStr">
        <is>
          <t>Vendas</t>
        </is>
      </c>
      <c r="G22" s="29" t="inlineStr">
        <is>
          <t>Vendas de Produtos</t>
        </is>
      </c>
      <c r="H22" s="29" t="inlineStr">
        <is>
          <t>Comercial</t>
        </is>
      </c>
      <c r="I22" s="29" t="inlineStr">
        <is>
          <t>EMPÓRIO NATURAL COMÉRCIO LTDA</t>
        </is>
      </c>
      <c r="J22" s="29" t="inlineStr">
        <is>
          <t>Venda de mercadorias para revenda</t>
        </is>
      </c>
      <c r="K22" s="14" t="inlineStr">
        <is>
          <t>NF-e 2008</t>
        </is>
      </c>
      <c r="L22" s="29" t="inlineStr">
        <is>
          <t>Itaú Unibanco — C/C 45678-9</t>
        </is>
      </c>
      <c r="M22" s="14" t="inlineStr">
        <is>
          <t>Boleto</t>
        </is>
      </c>
      <c r="N22" s="29" t="n"/>
      <c r="O22" s="13" t="n">
        <v>1</v>
      </c>
      <c r="P22" s="13" t="n">
        <v>1</v>
      </c>
      <c r="Q22" s="35" t="n">
        <v>23627.91</v>
      </c>
      <c r="R22" s="35" t="n">
        <v>23627.91</v>
      </c>
      <c r="S22" s="35" t="n"/>
      <c r="T22" s="35" t="n"/>
      <c r="U22" s="35" t="n"/>
      <c r="V22" s="18">
        <f>IF(COUNTA($B22:$R22)=0,"",ROUND(N($R22)+N($S22)+N($T22)-N($U22),2))</f>
        <v/>
      </c>
      <c r="W22" s="18">
        <f>IF(COUNTA($B22:$R22)=0,"",IF(OR($X22="Pago",$X22="Recebido",$X22="Cancelado"),0,ROUND(N($Q22)+N($S22)+N($T22)-N($U22)-N($R22),2)))</f>
        <v/>
      </c>
      <c r="X22" s="14" t="inlineStr">
        <is>
          <t>Pago</t>
        </is>
      </c>
      <c r="Y22" s="17">
        <f>IF(COUNTA($B22:$R22)=0,"",IF($X22="Cancelado","Cancelado",IF(OR($X22="Pago",$X22="Recebido"),$X22,IF(OR($X22="Parcial",N($R22)&gt;0),"Parcial",IF($C22="","Sem vencimento",IF($C22&lt;TODAY(),"Vencido",IF($C22=TODAY(),"Vence hoje",IF($C22&lt;=TODAY()+7,"Vence em 7 dias",IF($C22&lt;=TODAY()+30,"Vence em 30 dias","Futuro")))))))))</f>
        <v/>
      </c>
      <c r="Z22" s="24">
        <f>IF($B22="","",MONTH($B22))</f>
        <v/>
      </c>
      <c r="AA22" s="24">
        <f>IF($B22="","",YEAR($B22))</f>
        <v/>
      </c>
      <c r="AB22" s="24">
        <f>IF($B22="","",ISOWEEKNUM($B22))</f>
        <v/>
      </c>
      <c r="AC22" s="17">
        <f>IF($B22="","",CHOOSE(WEEKDAY($B22,2),"Segunda","Terça","Quarta","Quinta","Sexta","Sábado","Domingo"))</f>
        <v/>
      </c>
      <c r="AD22" s="17">
        <f>IF($B22="","",TEXT($B22,"MM/AAAA"))</f>
        <v/>
      </c>
      <c r="AE22" s="18">
        <f>IF(COUNTA($B22:$R22)=0,"",IF($X22="Cancelado",0,ROUND(N($Q22)+N($S22)+N($T22)-N($U22),2)))</f>
        <v/>
      </c>
      <c r="AF22" s="9">
        <f>IF($G22="","",IFERROR(INDEX(LINHAS_DRE_PLANO,MATCH($G22,SUBCATEGORIAS_PLANO,0)),"Não classificado"))</f>
        <v/>
      </c>
      <c r="AG22" s="17">
        <f>IF($G22="","",IFERROR(INDEX(TIPOS_FLUXO_PLANO,MATCH($G22,SUBCATEGORIAS_PLANO,0)),"Não classificado"))</f>
        <v/>
      </c>
      <c r="AH22" s="9">
        <f>IF($G22="","",IFERROR(INDEX(GRUPOS_PLANO,MATCH($G22,SUBCATEGORIAS_PLANO,0)),"Não classificado"))</f>
        <v/>
      </c>
      <c r="AI22" s="24">
        <f>IF(OR($C22="",$X22="Pago",$X22="Recebido",$X22="Cancelado"),"",$C22-TODAY())</f>
        <v/>
      </c>
      <c r="AJ22" s="24">
        <f>IF(OR($C22="",$X22="Pago",$X22="Recebido",$X22="Cancelado"),0,MAX(0,TODAY()-$C22))</f>
        <v/>
      </c>
      <c r="AK22" s="24">
        <f>IF($D22="","",$D22-$B22)</f>
        <v/>
      </c>
      <c r="AL22" s="18">
        <f>IF(OR($D22="",$B22=""),"",ROUND(N($R22)*($D22-$B22),2))</f>
        <v/>
      </c>
      <c r="AM22" s="17">
        <f>IF(AND($E22="Saída",$W22&gt;0,$C22&lt;&gt;""),$C22+ROW()/1000000,"")</f>
        <v/>
      </c>
      <c r="AN22" s="17">
        <f>IF(AND($E22="Entrada",$W22&gt;0,$C22&lt;&gt;""),$C22+ROW()/1000000,"")</f>
        <v/>
      </c>
      <c r="AO22" s="9">
        <f>IF(COUNTA($B22:$R22)=0,"",IF(AND($I22&lt;&gt;"",COUNTIF(CLIENTES_NOMES,$I22)+COUNTIF(CLIENTES_FANTASIA,$I22)+COUNTIF(FORNECEDORES_NOMES,$I22)+COUNTIF(FORNECEDORES_FANTASIA,$I22)=0),"⚠ Cliente/Fornecedor não cadastrado",IF(AND($G22&lt;&gt;"",COUNTIF(SUBCATEGORIAS_PLANO,$G22)=0),"⚠ Subcategoria fora do plano de contas",IF(OR($Q22="",N($Q22)=0),"⚠ Valor previsto não informado",IF(AND(OR($X22="Pago",$X22="Recebido"),$D22=""),"⚠ Status pago/recebido sem data",IF(AND($D22&lt;&gt;"",N($R22)=0),"⚠ Data de pagamento sem valor realizado",IF(AND(N($P22)&gt;1,N($O22)&gt;N($P22)),"⚠ Nº da parcela maior que o total",IF(AND($C22&lt;&gt;"",$B22&lt;&gt;"",$C22&lt;$B22),"⚠ Vencimento anterior à competência","OK"))))))))</f>
        <v/>
      </c>
    </row>
    <row r="23">
      <c r="A23" s="14" t="inlineStr">
        <is>
          <t>L0018</t>
        </is>
      </c>
      <c r="B23" s="36" t="n">
        <v>46034</v>
      </c>
      <c r="C23" s="36" t="n">
        <v>46049</v>
      </c>
      <c r="D23" s="36" t="n">
        <v>46049</v>
      </c>
      <c r="E23" s="14" t="inlineStr">
        <is>
          <t>Saída</t>
        </is>
      </c>
      <c r="F23" s="29" t="inlineStr">
        <is>
          <t>Custos Variáveis</t>
        </is>
      </c>
      <c r="G23" s="29" t="inlineStr">
        <is>
          <t>Embalagens</t>
        </is>
      </c>
      <c r="H23" s="29" t="inlineStr">
        <is>
          <t>Logística</t>
        </is>
      </c>
      <c r="I23" s="29" t="inlineStr">
        <is>
          <t>EMBALAGENS PAULISTA LTDA</t>
        </is>
      </c>
      <c r="J23" s="29" t="inlineStr">
        <is>
          <t>Compra de embalagens e etiquetas</t>
        </is>
      </c>
      <c r="K23" s="14" t="inlineStr">
        <is>
          <t>DOC 7160</t>
        </is>
      </c>
      <c r="L23" s="29" t="inlineStr">
        <is>
          <t>Itaú Unibanco — C/C 45678-9</t>
        </is>
      </c>
      <c r="M23" s="14" t="inlineStr">
        <is>
          <t>Boleto</t>
        </is>
      </c>
      <c r="N23" s="29" t="n"/>
      <c r="O23" s="13" t="n">
        <v>1</v>
      </c>
      <c r="P23" s="13" t="n">
        <v>1</v>
      </c>
      <c r="Q23" s="35" t="n">
        <v>2557.88</v>
      </c>
      <c r="R23" s="35" t="n">
        <v>2557.88</v>
      </c>
      <c r="S23" s="35" t="n"/>
      <c r="T23" s="35" t="n"/>
      <c r="U23" s="35" t="n"/>
      <c r="V23" s="18">
        <f>IF(COUNTA($B23:$R23)=0,"",ROUND(N($R23)+N($S23)+N($T23)-N($U23),2))</f>
        <v/>
      </c>
      <c r="W23" s="18">
        <f>IF(COUNTA($B23:$R23)=0,"",IF(OR($X23="Pago",$X23="Recebido",$X23="Cancelado"),0,ROUND(N($Q23)+N($S23)+N($T23)-N($U23)-N($R23),2)))</f>
        <v/>
      </c>
      <c r="X23" s="14" t="inlineStr">
        <is>
          <t>Pago</t>
        </is>
      </c>
      <c r="Y23" s="17">
        <f>IF(COUNTA($B23:$R23)=0,"",IF($X23="Cancelado","Cancelado",IF(OR($X23="Pago",$X23="Recebido"),$X23,IF(OR($X23="Parcial",N($R23)&gt;0),"Parcial",IF($C23="","Sem vencimento",IF($C23&lt;TODAY(),"Vencido",IF($C23=TODAY(),"Vence hoje",IF($C23&lt;=TODAY()+7,"Vence em 7 dias",IF($C23&lt;=TODAY()+30,"Vence em 30 dias","Futuro")))))))))</f>
        <v/>
      </c>
      <c r="Z23" s="24">
        <f>IF($B23="","",MONTH($B23))</f>
        <v/>
      </c>
      <c r="AA23" s="24">
        <f>IF($B23="","",YEAR($B23))</f>
        <v/>
      </c>
      <c r="AB23" s="24">
        <f>IF($B23="","",ISOWEEKNUM($B23))</f>
        <v/>
      </c>
      <c r="AC23" s="17">
        <f>IF($B23="","",CHOOSE(WEEKDAY($B23,2),"Segunda","Terça","Quarta","Quinta","Sexta","Sábado","Domingo"))</f>
        <v/>
      </c>
      <c r="AD23" s="17">
        <f>IF($B23="","",TEXT($B23,"MM/AAAA"))</f>
        <v/>
      </c>
      <c r="AE23" s="18">
        <f>IF(COUNTA($B23:$R23)=0,"",IF($X23="Cancelado",0,ROUND(N($Q23)+N($S23)+N($T23)-N($U23),2)))</f>
        <v/>
      </c>
      <c r="AF23" s="9">
        <f>IF($G23="","",IFERROR(INDEX(LINHAS_DRE_PLANO,MATCH($G23,SUBCATEGORIAS_PLANO,0)),"Não classificado"))</f>
        <v/>
      </c>
      <c r="AG23" s="17">
        <f>IF($G23="","",IFERROR(INDEX(TIPOS_FLUXO_PLANO,MATCH($G23,SUBCATEGORIAS_PLANO,0)),"Não classificado"))</f>
        <v/>
      </c>
      <c r="AH23" s="9">
        <f>IF($G23="","",IFERROR(INDEX(GRUPOS_PLANO,MATCH($G23,SUBCATEGORIAS_PLANO,0)),"Não classificado"))</f>
        <v/>
      </c>
      <c r="AI23" s="24">
        <f>IF(OR($C23="",$X23="Pago",$X23="Recebido",$X23="Cancelado"),"",$C23-TODAY())</f>
        <v/>
      </c>
      <c r="AJ23" s="24">
        <f>IF(OR($C23="",$X23="Pago",$X23="Recebido",$X23="Cancelado"),0,MAX(0,TODAY()-$C23))</f>
        <v/>
      </c>
      <c r="AK23" s="24">
        <f>IF($D23="","",$D23-$B23)</f>
        <v/>
      </c>
      <c r="AL23" s="18">
        <f>IF(OR($D23="",$B23=""),"",ROUND(N($R23)*($D23-$B23),2))</f>
        <v/>
      </c>
      <c r="AM23" s="17">
        <f>IF(AND($E23="Saída",$W23&gt;0,$C23&lt;&gt;""),$C23+ROW()/1000000,"")</f>
        <v/>
      </c>
      <c r="AN23" s="17">
        <f>IF(AND($E23="Entrada",$W23&gt;0,$C23&lt;&gt;""),$C23+ROW()/1000000,"")</f>
        <v/>
      </c>
      <c r="AO23" s="9">
        <f>IF(COUNTA($B23:$R23)=0,"",IF(AND($I23&lt;&gt;"",COUNTIF(CLIENTES_NOMES,$I23)+COUNTIF(CLIENTES_FANTASIA,$I23)+COUNTIF(FORNECEDORES_NOMES,$I23)+COUNTIF(FORNECEDORES_FANTASIA,$I23)=0),"⚠ Cliente/Fornecedor não cadastrado",IF(AND($G23&lt;&gt;"",COUNTIF(SUBCATEGORIAS_PLANO,$G23)=0),"⚠ Subcategoria fora do plano de contas",IF(OR($Q23="",N($Q23)=0),"⚠ Valor previsto não informado",IF(AND(OR($X23="Pago",$X23="Recebido"),$D23=""),"⚠ Status pago/recebido sem data",IF(AND($D23&lt;&gt;"",N($R23)=0),"⚠ Data de pagamento sem valor realizado",IF(AND(N($P23)&gt;1,N($O23)&gt;N($P23)),"⚠ Nº da parcela maior que o total",IF(AND($C23&lt;&gt;"",$B23&lt;&gt;"",$C23&lt;$B23),"⚠ Vencimento anterior à competência","OK"))))))))</f>
        <v/>
      </c>
    </row>
    <row r="24">
      <c r="A24" s="14" t="inlineStr">
        <is>
          <t>L0019</t>
        </is>
      </c>
      <c r="B24" s="36" t="n">
        <v>46034</v>
      </c>
      <c r="C24" s="36" t="n">
        <v>46044</v>
      </c>
      <c r="D24" s="36" t="n">
        <v>46045</v>
      </c>
      <c r="E24" s="14" t="inlineStr">
        <is>
          <t>Saída</t>
        </is>
      </c>
      <c r="F24" s="29" t="inlineStr">
        <is>
          <t>Despesas Administrativas</t>
        </is>
      </c>
      <c r="G24" s="29" t="inlineStr">
        <is>
          <t>Energia Elétrica</t>
        </is>
      </c>
      <c r="H24" s="29" t="inlineStr">
        <is>
          <t>Administrativo</t>
        </is>
      </c>
      <c r="I24" s="29" t="inlineStr">
        <is>
          <t>ENEL DISTRIBUIÇÃO SÃO PAULO</t>
        </is>
      </c>
      <c r="J24" s="29" t="inlineStr">
        <is>
          <t>Energia elétrica — fatura 01/2026</t>
        </is>
      </c>
      <c r="K24" s="14" t="inlineStr">
        <is>
          <t>DOC 8266</t>
        </is>
      </c>
      <c r="L24" s="29" t="inlineStr">
        <is>
          <t>Itaú Unibanco — C/C 45678-9</t>
        </is>
      </c>
      <c r="M24" s="14" t="inlineStr">
        <is>
          <t>Débito automático</t>
        </is>
      </c>
      <c r="N24" s="29" t="n"/>
      <c r="O24" s="13" t="n">
        <v>1</v>
      </c>
      <c r="P24" s="13" t="n">
        <v>1</v>
      </c>
      <c r="Q24" s="35" t="n">
        <v>2319.32</v>
      </c>
      <c r="R24" s="35" t="n">
        <v>2319.32</v>
      </c>
      <c r="S24" s="35" t="n"/>
      <c r="T24" s="35" t="n"/>
      <c r="U24" s="35" t="n"/>
      <c r="V24" s="18">
        <f>IF(COUNTA($B24:$R24)=0,"",ROUND(N($R24)+N($S24)+N($T24)-N($U24),2))</f>
        <v/>
      </c>
      <c r="W24" s="18">
        <f>IF(COUNTA($B24:$R24)=0,"",IF(OR($X24="Pago",$X24="Recebido",$X24="Cancelado"),0,ROUND(N($Q24)+N($S24)+N($T24)-N($U24)-N($R24),2)))</f>
        <v/>
      </c>
      <c r="X24" s="14" t="inlineStr">
        <is>
          <t>Pago</t>
        </is>
      </c>
      <c r="Y24" s="17">
        <f>IF(COUNTA($B24:$R24)=0,"",IF($X24="Cancelado","Cancelado",IF(OR($X24="Pago",$X24="Recebido"),$X24,IF(OR($X24="Parcial",N($R24)&gt;0),"Parcial",IF($C24="","Sem vencimento",IF($C24&lt;TODAY(),"Vencido",IF($C24=TODAY(),"Vence hoje",IF($C24&lt;=TODAY()+7,"Vence em 7 dias",IF($C24&lt;=TODAY()+30,"Vence em 30 dias","Futuro")))))))))</f>
        <v/>
      </c>
      <c r="Z24" s="24">
        <f>IF($B24="","",MONTH($B24))</f>
        <v/>
      </c>
      <c r="AA24" s="24">
        <f>IF($B24="","",YEAR($B24))</f>
        <v/>
      </c>
      <c r="AB24" s="24">
        <f>IF($B24="","",ISOWEEKNUM($B24))</f>
        <v/>
      </c>
      <c r="AC24" s="17">
        <f>IF($B24="","",CHOOSE(WEEKDAY($B24,2),"Segunda","Terça","Quarta","Quinta","Sexta","Sábado","Domingo"))</f>
        <v/>
      </c>
      <c r="AD24" s="17">
        <f>IF($B24="","",TEXT($B24,"MM/AAAA"))</f>
        <v/>
      </c>
      <c r="AE24" s="18">
        <f>IF(COUNTA($B24:$R24)=0,"",IF($X24="Cancelado",0,ROUND(N($Q24)+N($S24)+N($T24)-N($U24),2)))</f>
        <v/>
      </c>
      <c r="AF24" s="9">
        <f>IF($G24="","",IFERROR(INDEX(LINHAS_DRE_PLANO,MATCH($G24,SUBCATEGORIAS_PLANO,0)),"Não classificado"))</f>
        <v/>
      </c>
      <c r="AG24" s="17">
        <f>IF($G24="","",IFERROR(INDEX(TIPOS_FLUXO_PLANO,MATCH($G24,SUBCATEGORIAS_PLANO,0)),"Não classificado"))</f>
        <v/>
      </c>
      <c r="AH24" s="9">
        <f>IF($G24="","",IFERROR(INDEX(GRUPOS_PLANO,MATCH($G24,SUBCATEGORIAS_PLANO,0)),"Não classificado"))</f>
        <v/>
      </c>
      <c r="AI24" s="24">
        <f>IF(OR($C24="",$X24="Pago",$X24="Recebido",$X24="Cancelado"),"",$C24-TODAY())</f>
        <v/>
      </c>
      <c r="AJ24" s="24">
        <f>IF(OR($C24="",$X24="Pago",$X24="Recebido",$X24="Cancelado"),0,MAX(0,TODAY()-$C24))</f>
        <v/>
      </c>
      <c r="AK24" s="24">
        <f>IF($D24="","",$D24-$B24)</f>
        <v/>
      </c>
      <c r="AL24" s="18">
        <f>IF(OR($D24="",$B24=""),"",ROUND(N($R24)*($D24-$B24),2))</f>
        <v/>
      </c>
      <c r="AM24" s="17">
        <f>IF(AND($E24="Saída",$W24&gt;0,$C24&lt;&gt;""),$C24+ROW()/1000000,"")</f>
        <v/>
      </c>
      <c r="AN24" s="17">
        <f>IF(AND($E24="Entrada",$W24&gt;0,$C24&lt;&gt;""),$C24+ROW()/1000000,"")</f>
        <v/>
      </c>
      <c r="AO24" s="9">
        <f>IF(COUNTA($B24:$R24)=0,"",IF(AND($I24&lt;&gt;"",COUNTIF(CLIENTES_NOMES,$I24)+COUNTIF(CLIENTES_FANTASIA,$I24)+COUNTIF(FORNECEDORES_NOMES,$I24)+COUNTIF(FORNECEDORES_FANTASIA,$I24)=0),"⚠ Cliente/Fornecedor não cadastrado",IF(AND($G24&lt;&gt;"",COUNTIF(SUBCATEGORIAS_PLANO,$G24)=0),"⚠ Subcategoria fora do plano de contas",IF(OR($Q24="",N($Q24)=0),"⚠ Valor previsto não informado",IF(AND(OR($X24="Pago",$X24="Recebido"),$D24=""),"⚠ Status pago/recebido sem data",IF(AND($D24&lt;&gt;"",N($R24)=0),"⚠ Data de pagamento sem valor realizado",IF(AND(N($P24)&gt;1,N($O24)&gt;N($P24)),"⚠ Nº da parcela maior que o total",IF(AND($C24&lt;&gt;"",$B24&lt;&gt;"",$C24&lt;$B24),"⚠ Vencimento anterior à competência","OK"))))))))</f>
        <v/>
      </c>
    </row>
    <row r="25">
      <c r="A25" s="14" t="inlineStr">
        <is>
          <t>L0020</t>
        </is>
      </c>
      <c r="B25" s="36" t="n">
        <v>46037</v>
      </c>
      <c r="C25" s="36" t="n">
        <v>46049</v>
      </c>
      <c r="D25" s="36" t="n">
        <v>46052</v>
      </c>
      <c r="E25" s="14" t="inlineStr">
        <is>
          <t>Saída</t>
        </is>
      </c>
      <c r="F25" s="29" t="inlineStr">
        <is>
          <t>Despesas Administrativas</t>
        </is>
      </c>
      <c r="G25" s="29" t="inlineStr">
        <is>
          <t>Água e Saneamento</t>
        </is>
      </c>
      <c r="H25" s="29" t="inlineStr">
        <is>
          <t>Administrativo</t>
        </is>
      </c>
      <c r="I25" s="29" t="inlineStr">
        <is>
          <t>SABESP — SANEAMENTO BÁSICO DO ESTADO DE SÃO PAULO</t>
        </is>
      </c>
      <c r="J25" s="29" t="inlineStr">
        <is>
          <t>Água e saneamento — fatura 01/2026</t>
        </is>
      </c>
      <c r="K25" s="14" t="inlineStr">
        <is>
          <t>DOC 8267</t>
        </is>
      </c>
      <c r="L25" s="29" t="inlineStr">
        <is>
          <t>Itaú Unibanco — C/C 45678-9</t>
        </is>
      </c>
      <c r="M25" s="14" t="inlineStr">
        <is>
          <t>Débito automático</t>
        </is>
      </c>
      <c r="N25" s="29" t="n"/>
      <c r="O25" s="13" t="n">
        <v>1</v>
      </c>
      <c r="P25" s="13" t="n">
        <v>1</v>
      </c>
      <c r="Q25" s="35" t="n">
        <v>425.55</v>
      </c>
      <c r="R25" s="35" t="n">
        <v>425.55</v>
      </c>
      <c r="S25" s="35" t="n"/>
      <c r="T25" s="35" t="n"/>
      <c r="U25" s="35" t="n"/>
      <c r="V25" s="18">
        <f>IF(COUNTA($B25:$R25)=0,"",ROUND(N($R25)+N($S25)+N($T25)-N($U25),2))</f>
        <v/>
      </c>
      <c r="W25" s="18">
        <f>IF(COUNTA($B25:$R25)=0,"",IF(OR($X25="Pago",$X25="Recebido",$X25="Cancelado"),0,ROUND(N($Q25)+N($S25)+N($T25)-N($U25)-N($R25),2)))</f>
        <v/>
      </c>
      <c r="X25" s="14" t="inlineStr">
        <is>
          <t>Pago</t>
        </is>
      </c>
      <c r="Y25" s="17">
        <f>IF(COUNTA($B25:$R25)=0,"",IF($X25="Cancelado","Cancelado",IF(OR($X25="Pago",$X25="Recebido"),$X25,IF(OR($X25="Parcial",N($R25)&gt;0),"Parcial",IF($C25="","Sem vencimento",IF($C25&lt;TODAY(),"Vencido",IF($C25=TODAY(),"Vence hoje",IF($C25&lt;=TODAY()+7,"Vence em 7 dias",IF($C25&lt;=TODAY()+30,"Vence em 30 dias","Futuro")))))))))</f>
        <v/>
      </c>
      <c r="Z25" s="24">
        <f>IF($B25="","",MONTH($B25))</f>
        <v/>
      </c>
      <c r="AA25" s="24">
        <f>IF($B25="","",YEAR($B25))</f>
        <v/>
      </c>
      <c r="AB25" s="24">
        <f>IF($B25="","",ISOWEEKNUM($B25))</f>
        <v/>
      </c>
      <c r="AC25" s="17">
        <f>IF($B25="","",CHOOSE(WEEKDAY($B25,2),"Segunda","Terça","Quarta","Quinta","Sexta","Sábado","Domingo"))</f>
        <v/>
      </c>
      <c r="AD25" s="17">
        <f>IF($B25="","",TEXT($B25,"MM/AAAA"))</f>
        <v/>
      </c>
      <c r="AE25" s="18">
        <f>IF(COUNTA($B25:$R25)=0,"",IF($X25="Cancelado",0,ROUND(N($Q25)+N($S25)+N($T25)-N($U25),2)))</f>
        <v/>
      </c>
      <c r="AF25" s="9">
        <f>IF($G25="","",IFERROR(INDEX(LINHAS_DRE_PLANO,MATCH($G25,SUBCATEGORIAS_PLANO,0)),"Não classificado"))</f>
        <v/>
      </c>
      <c r="AG25" s="17">
        <f>IF($G25="","",IFERROR(INDEX(TIPOS_FLUXO_PLANO,MATCH($G25,SUBCATEGORIAS_PLANO,0)),"Não classificado"))</f>
        <v/>
      </c>
      <c r="AH25" s="9">
        <f>IF($G25="","",IFERROR(INDEX(GRUPOS_PLANO,MATCH($G25,SUBCATEGORIAS_PLANO,0)),"Não classificado"))</f>
        <v/>
      </c>
      <c r="AI25" s="24">
        <f>IF(OR($C25="",$X25="Pago",$X25="Recebido",$X25="Cancelado"),"",$C25-TODAY())</f>
        <v/>
      </c>
      <c r="AJ25" s="24">
        <f>IF(OR($C25="",$X25="Pago",$X25="Recebido",$X25="Cancelado"),0,MAX(0,TODAY()-$C25))</f>
        <v/>
      </c>
      <c r="AK25" s="24">
        <f>IF($D25="","",$D25-$B25)</f>
        <v/>
      </c>
      <c r="AL25" s="18">
        <f>IF(OR($D25="",$B25=""),"",ROUND(N($R25)*($D25-$B25),2))</f>
        <v/>
      </c>
      <c r="AM25" s="17">
        <f>IF(AND($E25="Saída",$W25&gt;0,$C25&lt;&gt;""),$C25+ROW()/1000000,"")</f>
        <v/>
      </c>
      <c r="AN25" s="17">
        <f>IF(AND($E25="Entrada",$W25&gt;0,$C25&lt;&gt;""),$C25+ROW()/1000000,"")</f>
        <v/>
      </c>
      <c r="AO25" s="9">
        <f>IF(COUNTA($B25:$R25)=0,"",IF(AND($I25&lt;&gt;"",COUNTIF(CLIENTES_NOMES,$I25)+COUNTIF(CLIENTES_FANTASIA,$I25)+COUNTIF(FORNECEDORES_NOMES,$I25)+COUNTIF(FORNECEDORES_FANTASIA,$I25)=0),"⚠ Cliente/Fornecedor não cadastrado",IF(AND($G25&lt;&gt;"",COUNTIF(SUBCATEGORIAS_PLANO,$G25)=0),"⚠ Subcategoria fora do plano de contas",IF(OR($Q25="",N($Q25)=0),"⚠ Valor previsto não informado",IF(AND(OR($X25="Pago",$X25="Recebido"),$D25=""),"⚠ Status pago/recebido sem data",IF(AND($D25&lt;&gt;"",N($R25)=0),"⚠ Data de pagamento sem valor realizado",IF(AND(N($P25)&gt;1,N($O25)&gt;N($P25)),"⚠ Nº da parcela maior que o total",IF(AND($C25&lt;&gt;"",$B25&lt;&gt;"",$C25&lt;$B25),"⚠ Vencimento anterior à competência","OK"))))))))</f>
        <v/>
      </c>
    </row>
    <row r="26">
      <c r="A26" s="14" t="inlineStr">
        <is>
          <t>L0021</t>
        </is>
      </c>
      <c r="B26" s="36" t="n">
        <v>46038</v>
      </c>
      <c r="C26" s="36" t="n">
        <v>46068</v>
      </c>
      <c r="D26" s="36" t="n">
        <v>46068</v>
      </c>
      <c r="E26" s="14" t="inlineStr">
        <is>
          <t>Saída</t>
        </is>
      </c>
      <c r="F26" s="29" t="inlineStr">
        <is>
          <t>Custos Variáveis</t>
        </is>
      </c>
      <c r="G26" s="29" t="inlineStr">
        <is>
          <t>Mercadorias para Revenda</t>
        </is>
      </c>
      <c r="H26" s="29" t="inlineStr">
        <is>
          <t>Logística</t>
        </is>
      </c>
      <c r="I26" s="29" t="inlineStr">
        <is>
          <t>DISTRIBUIDORA CENTRAL DE ALIMENTOS S/A</t>
        </is>
      </c>
      <c r="J26" s="29" t="inlineStr">
        <is>
          <t>Compra de mercadorias para revenda — NF 5011</t>
        </is>
      </c>
      <c r="K26" s="14" t="inlineStr">
        <is>
          <t>NF 5011</t>
        </is>
      </c>
      <c r="L26" s="29" t="inlineStr">
        <is>
          <t>Itaú Unibanco — C/C 45678-9</t>
        </is>
      </c>
      <c r="M26" s="14" t="inlineStr">
        <is>
          <t>Boleto</t>
        </is>
      </c>
      <c r="N26" s="29" t="n"/>
      <c r="O26" s="13" t="n">
        <v>1</v>
      </c>
      <c r="P26" s="13" t="n">
        <v>1</v>
      </c>
      <c r="Q26" s="35" t="n">
        <v>50989.63</v>
      </c>
      <c r="R26" s="35" t="n">
        <v>50989.63</v>
      </c>
      <c r="S26" s="35" t="n"/>
      <c r="T26" s="35" t="n"/>
      <c r="U26" s="35" t="n"/>
      <c r="V26" s="18">
        <f>IF(COUNTA($B26:$R26)=0,"",ROUND(N($R26)+N($S26)+N($T26)-N($U26),2))</f>
        <v/>
      </c>
      <c r="W26" s="18">
        <f>IF(COUNTA($B26:$R26)=0,"",IF(OR($X26="Pago",$X26="Recebido",$X26="Cancelado"),0,ROUND(N($Q26)+N($S26)+N($T26)-N($U26)-N($R26),2)))</f>
        <v/>
      </c>
      <c r="X26" s="14" t="inlineStr">
        <is>
          <t>Pago</t>
        </is>
      </c>
      <c r="Y26" s="17">
        <f>IF(COUNTA($B26:$R26)=0,"",IF($X26="Cancelado","Cancelado",IF(OR($X26="Pago",$X26="Recebido"),$X26,IF(OR($X26="Parcial",N($R26)&gt;0),"Parcial",IF($C26="","Sem vencimento",IF($C26&lt;TODAY(),"Vencido",IF($C26=TODAY(),"Vence hoje",IF($C26&lt;=TODAY()+7,"Vence em 7 dias",IF($C26&lt;=TODAY()+30,"Vence em 30 dias","Futuro")))))))))</f>
        <v/>
      </c>
      <c r="Z26" s="24">
        <f>IF($B26="","",MONTH($B26))</f>
        <v/>
      </c>
      <c r="AA26" s="24">
        <f>IF($B26="","",YEAR($B26))</f>
        <v/>
      </c>
      <c r="AB26" s="24">
        <f>IF($B26="","",ISOWEEKNUM($B26))</f>
        <v/>
      </c>
      <c r="AC26" s="17">
        <f>IF($B26="","",CHOOSE(WEEKDAY($B26,2),"Segunda","Terça","Quarta","Quinta","Sexta","Sábado","Domingo"))</f>
        <v/>
      </c>
      <c r="AD26" s="17">
        <f>IF($B26="","",TEXT($B26,"MM/AAAA"))</f>
        <v/>
      </c>
      <c r="AE26" s="18">
        <f>IF(COUNTA($B26:$R26)=0,"",IF($X26="Cancelado",0,ROUND(N($Q26)+N($S26)+N($T26)-N($U26),2)))</f>
        <v/>
      </c>
      <c r="AF26" s="9">
        <f>IF($G26="","",IFERROR(INDEX(LINHAS_DRE_PLANO,MATCH($G26,SUBCATEGORIAS_PLANO,0)),"Não classificado"))</f>
        <v/>
      </c>
      <c r="AG26" s="17">
        <f>IF($G26="","",IFERROR(INDEX(TIPOS_FLUXO_PLANO,MATCH($G26,SUBCATEGORIAS_PLANO,0)),"Não classificado"))</f>
        <v/>
      </c>
      <c r="AH26" s="9">
        <f>IF($G26="","",IFERROR(INDEX(GRUPOS_PLANO,MATCH($G26,SUBCATEGORIAS_PLANO,0)),"Não classificado"))</f>
        <v/>
      </c>
      <c r="AI26" s="24">
        <f>IF(OR($C26="",$X26="Pago",$X26="Recebido",$X26="Cancelado"),"",$C26-TODAY())</f>
        <v/>
      </c>
      <c r="AJ26" s="24">
        <f>IF(OR($C26="",$X26="Pago",$X26="Recebido",$X26="Cancelado"),0,MAX(0,TODAY()-$C26))</f>
        <v/>
      </c>
      <c r="AK26" s="24">
        <f>IF($D26="","",$D26-$B26)</f>
        <v/>
      </c>
      <c r="AL26" s="18">
        <f>IF(OR($D26="",$B26=""),"",ROUND(N($R26)*($D26-$B26),2))</f>
        <v/>
      </c>
      <c r="AM26" s="17">
        <f>IF(AND($E26="Saída",$W26&gt;0,$C26&lt;&gt;""),$C26+ROW()/1000000,"")</f>
        <v/>
      </c>
      <c r="AN26" s="17">
        <f>IF(AND($E26="Entrada",$W26&gt;0,$C26&lt;&gt;""),$C26+ROW()/1000000,"")</f>
        <v/>
      </c>
      <c r="AO26" s="9">
        <f>IF(COUNTA($B26:$R26)=0,"",IF(AND($I26&lt;&gt;"",COUNTIF(CLIENTES_NOMES,$I26)+COUNTIF(CLIENTES_FANTASIA,$I26)+COUNTIF(FORNECEDORES_NOMES,$I26)+COUNTIF(FORNECEDORES_FANTASIA,$I26)=0),"⚠ Cliente/Fornecedor não cadastrado",IF(AND($G26&lt;&gt;"",COUNTIF(SUBCATEGORIAS_PLANO,$G26)=0),"⚠ Subcategoria fora do plano de contas",IF(OR($Q26="",N($Q26)=0),"⚠ Valor previsto não informado",IF(AND(OR($X26="Pago",$X26="Recebido"),$D26=""),"⚠ Status pago/recebido sem data",IF(AND($D26&lt;&gt;"",N($R26)=0),"⚠ Data de pagamento sem valor realizado",IF(AND(N($P26)&gt;1,N($O26)&gt;N($P26)),"⚠ Nº da parcela maior que o total",IF(AND($C26&lt;&gt;"",$B26&lt;&gt;"",$C26&lt;$B26),"⚠ Vencimento anterior à competência","OK"))))))))</f>
        <v/>
      </c>
    </row>
    <row r="27">
      <c r="A27" s="14" t="inlineStr">
        <is>
          <t>L0022</t>
        </is>
      </c>
      <c r="B27" s="36" t="n">
        <v>46040</v>
      </c>
      <c r="C27" s="36" t="n">
        <v>46050</v>
      </c>
      <c r="D27" s="36" t="n">
        <v>46052</v>
      </c>
      <c r="E27" s="14" t="inlineStr">
        <is>
          <t>Saída</t>
        </is>
      </c>
      <c r="F27" s="29" t="inlineStr">
        <is>
          <t>Despesas Comerciais</t>
        </is>
      </c>
      <c r="G27" s="29" t="inlineStr">
        <is>
          <t>Publicidade e Anúncios</t>
        </is>
      </c>
      <c r="H27" s="29" t="inlineStr">
        <is>
          <t>Marketing</t>
        </is>
      </c>
      <c r="I27" s="29" t="inlineStr">
        <is>
          <t>GOOGLE BRASIL INTERNET LTDA</t>
        </is>
      </c>
      <c r="J27" s="29" t="inlineStr">
        <is>
          <t>Anúncios e campanhas digitais</t>
        </is>
      </c>
      <c r="K27" s="14" t="inlineStr">
        <is>
          <t>DOC 8276</t>
        </is>
      </c>
      <c r="L27" s="29" t="inlineStr">
        <is>
          <t>Nubank PJ — C/C 9876543-2</t>
        </is>
      </c>
      <c r="M27" s="14" t="inlineStr">
        <is>
          <t>Cartão de crédito</t>
        </is>
      </c>
      <c r="N27" s="29" t="inlineStr">
        <is>
          <t>Cartão Mastercard Nubank PJ</t>
        </is>
      </c>
      <c r="O27" s="13" t="n">
        <v>1</v>
      </c>
      <c r="P27" s="13" t="n">
        <v>1</v>
      </c>
      <c r="Q27" s="35" t="n">
        <v>1430.37</v>
      </c>
      <c r="R27" s="35" t="n">
        <v>1430.37</v>
      </c>
      <c r="S27" s="35" t="n"/>
      <c r="T27" s="35" t="n"/>
      <c r="U27" s="35" t="n"/>
      <c r="V27" s="18">
        <f>IF(COUNTA($B27:$R27)=0,"",ROUND(N($R27)+N($S27)+N($T27)-N($U27),2))</f>
        <v/>
      </c>
      <c r="W27" s="18">
        <f>IF(COUNTA($B27:$R27)=0,"",IF(OR($X27="Pago",$X27="Recebido",$X27="Cancelado"),0,ROUND(N($Q27)+N($S27)+N($T27)-N($U27)-N($R27),2)))</f>
        <v/>
      </c>
      <c r="X27" s="14" t="inlineStr">
        <is>
          <t>Pago</t>
        </is>
      </c>
      <c r="Y27" s="17">
        <f>IF(COUNTA($B27:$R27)=0,"",IF($X27="Cancelado","Cancelado",IF(OR($X27="Pago",$X27="Recebido"),$X27,IF(OR($X27="Parcial",N($R27)&gt;0),"Parcial",IF($C27="","Sem vencimento",IF($C27&lt;TODAY(),"Vencido",IF($C27=TODAY(),"Vence hoje",IF($C27&lt;=TODAY()+7,"Vence em 7 dias",IF($C27&lt;=TODAY()+30,"Vence em 30 dias","Futuro")))))))))</f>
        <v/>
      </c>
      <c r="Z27" s="24">
        <f>IF($B27="","",MONTH($B27))</f>
        <v/>
      </c>
      <c r="AA27" s="24">
        <f>IF($B27="","",YEAR($B27))</f>
        <v/>
      </c>
      <c r="AB27" s="24">
        <f>IF($B27="","",ISOWEEKNUM($B27))</f>
        <v/>
      </c>
      <c r="AC27" s="17">
        <f>IF($B27="","",CHOOSE(WEEKDAY($B27,2),"Segunda","Terça","Quarta","Quinta","Sexta","Sábado","Domingo"))</f>
        <v/>
      </c>
      <c r="AD27" s="17">
        <f>IF($B27="","",TEXT($B27,"MM/AAAA"))</f>
        <v/>
      </c>
      <c r="AE27" s="18">
        <f>IF(COUNTA($B27:$R27)=0,"",IF($X27="Cancelado",0,ROUND(N($Q27)+N($S27)+N($T27)-N($U27),2)))</f>
        <v/>
      </c>
      <c r="AF27" s="9">
        <f>IF($G27="","",IFERROR(INDEX(LINHAS_DRE_PLANO,MATCH($G27,SUBCATEGORIAS_PLANO,0)),"Não classificado"))</f>
        <v/>
      </c>
      <c r="AG27" s="17">
        <f>IF($G27="","",IFERROR(INDEX(TIPOS_FLUXO_PLANO,MATCH($G27,SUBCATEGORIAS_PLANO,0)),"Não classificado"))</f>
        <v/>
      </c>
      <c r="AH27" s="9">
        <f>IF($G27="","",IFERROR(INDEX(GRUPOS_PLANO,MATCH($G27,SUBCATEGORIAS_PLANO,0)),"Não classificado"))</f>
        <v/>
      </c>
      <c r="AI27" s="24">
        <f>IF(OR($C27="",$X27="Pago",$X27="Recebido",$X27="Cancelado"),"",$C27-TODAY())</f>
        <v/>
      </c>
      <c r="AJ27" s="24">
        <f>IF(OR($C27="",$X27="Pago",$X27="Recebido",$X27="Cancelado"),0,MAX(0,TODAY()-$C27))</f>
        <v/>
      </c>
      <c r="AK27" s="24">
        <f>IF($D27="","",$D27-$B27)</f>
        <v/>
      </c>
      <c r="AL27" s="18">
        <f>IF(OR($D27="",$B27=""),"",ROUND(N($R27)*($D27-$B27),2))</f>
        <v/>
      </c>
      <c r="AM27" s="17">
        <f>IF(AND($E27="Saída",$W27&gt;0,$C27&lt;&gt;""),$C27+ROW()/1000000,"")</f>
        <v/>
      </c>
      <c r="AN27" s="17">
        <f>IF(AND($E27="Entrada",$W27&gt;0,$C27&lt;&gt;""),$C27+ROW()/1000000,"")</f>
        <v/>
      </c>
      <c r="AO27" s="9">
        <f>IF(COUNTA($B27:$R27)=0,"",IF(AND($I27&lt;&gt;"",COUNTIF(CLIENTES_NOMES,$I27)+COUNTIF(CLIENTES_FANTASIA,$I27)+COUNTIF(FORNECEDORES_NOMES,$I27)+COUNTIF(FORNECEDORES_FANTASIA,$I27)=0),"⚠ Cliente/Fornecedor não cadastrado",IF(AND($G27&lt;&gt;"",COUNTIF(SUBCATEGORIAS_PLANO,$G27)=0),"⚠ Subcategoria fora do plano de contas",IF(OR($Q27="",N($Q27)=0),"⚠ Valor previsto não informado",IF(AND(OR($X27="Pago",$X27="Recebido"),$D27=""),"⚠ Status pago/recebido sem data",IF(AND($D27&lt;&gt;"",N($R27)=0),"⚠ Data de pagamento sem valor realizado",IF(AND(N($P27)&gt;1,N($O27)&gt;N($P27)),"⚠ Nº da parcela maior que o total",IF(AND($C27&lt;&gt;"",$B27&lt;&gt;"",$C27&lt;$B27),"⚠ Vencimento anterior à competência","OK"))))))))</f>
        <v/>
      </c>
    </row>
    <row r="28">
      <c r="A28" s="14" t="inlineStr">
        <is>
          <t>L0023</t>
        </is>
      </c>
      <c r="B28" s="36" t="n">
        <v>46040</v>
      </c>
      <c r="C28" s="36" t="n">
        <v>46078</v>
      </c>
      <c r="D28" s="36" t="n">
        <v>46078</v>
      </c>
      <c r="E28" s="14" t="inlineStr">
        <is>
          <t>Saída</t>
        </is>
      </c>
      <c r="F28" s="29" t="inlineStr">
        <is>
          <t>Despesas Administrativas</t>
        </is>
      </c>
      <c r="G28" s="29" t="inlineStr">
        <is>
          <t>Manutenção e Conservação</t>
        </is>
      </c>
      <c r="H28" s="29" t="inlineStr">
        <is>
          <t>Logística</t>
        </is>
      </c>
      <c r="I28" s="29" t="inlineStr">
        <is>
          <t>Posto e oficina credenciados</t>
        </is>
      </c>
      <c r="J28" s="29" t="inlineStr">
        <is>
          <t>Combustível e manutenção da frota</t>
        </is>
      </c>
      <c r="K28" s="14" t="inlineStr">
        <is>
          <t>FROTA 01</t>
        </is>
      </c>
      <c r="L28" s="29" t="inlineStr">
        <is>
          <t>Banco do Brasil — C/C 12345-6</t>
        </is>
      </c>
      <c r="M28" s="14" t="inlineStr">
        <is>
          <t>Cartão de crédito</t>
        </is>
      </c>
      <c r="N28" s="29" t="inlineStr">
        <is>
          <t>Cartão Elo Banco do Brasil PJ</t>
        </is>
      </c>
      <c r="O28" s="13" t="n">
        <v>1</v>
      </c>
      <c r="P28" s="13" t="n">
        <v>1</v>
      </c>
      <c r="Q28" s="35" t="n">
        <v>924.75</v>
      </c>
      <c r="R28" s="35" t="n">
        <v>924.75</v>
      </c>
      <c r="S28" s="35" t="n"/>
      <c r="T28" s="35" t="n"/>
      <c r="U28" s="35" t="n"/>
      <c r="V28" s="18">
        <f>IF(COUNTA($B28:$R28)=0,"",ROUND(N($R28)+N($S28)+N($T28)-N($U28),2))</f>
        <v/>
      </c>
      <c r="W28" s="18">
        <f>IF(COUNTA($B28:$R28)=0,"",IF(OR($X28="Pago",$X28="Recebido",$X28="Cancelado"),0,ROUND(N($Q28)+N($S28)+N($T28)-N($U28)-N($R28),2)))</f>
        <v/>
      </c>
      <c r="X28" s="14" t="inlineStr">
        <is>
          <t>Pago</t>
        </is>
      </c>
      <c r="Y28" s="17">
        <f>IF(COUNTA($B28:$R28)=0,"",IF($X28="Cancelado","Cancelado",IF(OR($X28="Pago",$X28="Recebido"),$X28,IF(OR($X28="Parcial",N($R28)&gt;0),"Parcial",IF($C28="","Sem vencimento",IF($C28&lt;TODAY(),"Vencido",IF($C28=TODAY(),"Vence hoje",IF($C28&lt;=TODAY()+7,"Vence em 7 dias",IF($C28&lt;=TODAY()+30,"Vence em 30 dias","Futuro")))))))))</f>
        <v/>
      </c>
      <c r="Z28" s="24">
        <f>IF($B28="","",MONTH($B28))</f>
        <v/>
      </c>
      <c r="AA28" s="24">
        <f>IF($B28="","",YEAR($B28))</f>
        <v/>
      </c>
      <c r="AB28" s="24">
        <f>IF($B28="","",ISOWEEKNUM($B28))</f>
        <v/>
      </c>
      <c r="AC28" s="17">
        <f>IF($B28="","",CHOOSE(WEEKDAY($B28,2),"Segunda","Terça","Quarta","Quinta","Sexta","Sábado","Domingo"))</f>
        <v/>
      </c>
      <c r="AD28" s="17">
        <f>IF($B28="","",TEXT($B28,"MM/AAAA"))</f>
        <v/>
      </c>
      <c r="AE28" s="18">
        <f>IF(COUNTA($B28:$R28)=0,"",IF($X28="Cancelado",0,ROUND(N($Q28)+N($S28)+N($T28)-N($U28),2)))</f>
        <v/>
      </c>
      <c r="AF28" s="9">
        <f>IF($G28="","",IFERROR(INDEX(LINHAS_DRE_PLANO,MATCH($G28,SUBCATEGORIAS_PLANO,0)),"Não classificado"))</f>
        <v/>
      </c>
      <c r="AG28" s="17">
        <f>IF($G28="","",IFERROR(INDEX(TIPOS_FLUXO_PLANO,MATCH($G28,SUBCATEGORIAS_PLANO,0)),"Não classificado"))</f>
        <v/>
      </c>
      <c r="AH28" s="9">
        <f>IF($G28="","",IFERROR(INDEX(GRUPOS_PLANO,MATCH($G28,SUBCATEGORIAS_PLANO,0)),"Não classificado"))</f>
        <v/>
      </c>
      <c r="AI28" s="24">
        <f>IF(OR($C28="",$X28="Pago",$X28="Recebido",$X28="Cancelado"),"",$C28-TODAY())</f>
        <v/>
      </c>
      <c r="AJ28" s="24">
        <f>IF(OR($C28="",$X28="Pago",$X28="Recebido",$X28="Cancelado"),0,MAX(0,TODAY()-$C28))</f>
        <v/>
      </c>
      <c r="AK28" s="24">
        <f>IF($D28="","",$D28-$B28)</f>
        <v/>
      </c>
      <c r="AL28" s="18">
        <f>IF(OR($D28="",$B28=""),"",ROUND(N($R28)*($D28-$B28),2))</f>
        <v/>
      </c>
      <c r="AM28" s="17">
        <f>IF(AND($E28="Saída",$W28&gt;0,$C28&lt;&gt;""),$C28+ROW()/1000000,"")</f>
        <v/>
      </c>
      <c r="AN28" s="17">
        <f>IF(AND($E28="Entrada",$W28&gt;0,$C28&lt;&gt;""),$C28+ROW()/1000000,"")</f>
        <v/>
      </c>
      <c r="AO28" s="9">
        <f>IF(COUNTA($B28:$R28)=0,"",IF(AND($I28&lt;&gt;"",COUNTIF(CLIENTES_NOMES,$I28)+COUNTIF(CLIENTES_FANTASIA,$I28)+COUNTIF(FORNECEDORES_NOMES,$I28)+COUNTIF(FORNECEDORES_FANTASIA,$I28)=0),"⚠ Cliente/Fornecedor não cadastrado",IF(AND($G28&lt;&gt;"",COUNTIF(SUBCATEGORIAS_PLANO,$G28)=0),"⚠ Subcategoria fora do plano de contas",IF(OR($Q28="",N($Q28)=0),"⚠ Valor previsto não informado",IF(AND(OR($X28="Pago",$X28="Recebido"),$D28=""),"⚠ Status pago/recebido sem data",IF(AND($D28&lt;&gt;"",N($R28)=0),"⚠ Data de pagamento sem valor realizado",IF(AND(N($P28)&gt;1,N($O28)&gt;N($P28)),"⚠ Nº da parcela maior que o total",IF(AND($C28&lt;&gt;"",$B28&lt;&gt;"",$C28&lt;$B28),"⚠ Vencimento anterior à competência","OK"))))))))</f>
        <v/>
      </c>
    </row>
    <row r="29">
      <c r="A29" s="14" t="inlineStr">
        <is>
          <t>L0024</t>
        </is>
      </c>
      <c r="B29" s="36" t="n">
        <v>46041</v>
      </c>
      <c r="C29" s="36" t="n">
        <v>46071</v>
      </c>
      <c r="D29" s="36" t="n">
        <v>46072</v>
      </c>
      <c r="E29" s="14" t="inlineStr">
        <is>
          <t>Entrada</t>
        </is>
      </c>
      <c r="F29" s="29" t="inlineStr">
        <is>
          <t>Vendas</t>
        </is>
      </c>
      <c r="G29" s="29" t="inlineStr">
        <is>
          <t>Vendas de Produtos</t>
        </is>
      </c>
      <c r="H29" s="29" t="inlineStr">
        <is>
          <t>Comercial</t>
        </is>
      </c>
      <c r="I29" s="29" t="inlineStr">
        <is>
          <t>MERCADO BOA COMPRA LTDA</t>
        </is>
      </c>
      <c r="J29" s="29" t="inlineStr">
        <is>
          <t>Venda de mercadorias para revenda</t>
        </is>
      </c>
      <c r="K29" s="14" t="inlineStr">
        <is>
          <t>NF-e 2001</t>
        </is>
      </c>
      <c r="L29" s="29" t="inlineStr">
        <is>
          <t>Banco do Brasil — C/C 12345-6</t>
        </is>
      </c>
      <c r="M29" s="14" t="inlineStr">
        <is>
          <t>Boleto</t>
        </is>
      </c>
      <c r="N29" s="29" t="n"/>
      <c r="O29" s="13" t="n">
        <v>1</v>
      </c>
      <c r="P29" s="13" t="n">
        <v>1</v>
      </c>
      <c r="Q29" s="35" t="n">
        <v>26500.57</v>
      </c>
      <c r="R29" s="35" t="n">
        <v>26500.57</v>
      </c>
      <c r="S29" s="35" t="n"/>
      <c r="T29" s="35" t="n"/>
      <c r="U29" s="35" t="n"/>
      <c r="V29" s="18">
        <f>IF(COUNTA($B29:$R29)=0,"",ROUND(N($R29)+N($S29)+N($T29)-N($U29),2))</f>
        <v/>
      </c>
      <c r="W29" s="18">
        <f>IF(COUNTA($B29:$R29)=0,"",IF(OR($X29="Pago",$X29="Recebido",$X29="Cancelado"),0,ROUND(N($Q29)+N($S29)+N($T29)-N($U29)-N($R29),2)))</f>
        <v/>
      </c>
      <c r="X29" s="14" t="inlineStr">
        <is>
          <t>Pago</t>
        </is>
      </c>
      <c r="Y29" s="17">
        <f>IF(COUNTA($B29:$R29)=0,"",IF($X29="Cancelado","Cancelado",IF(OR($X29="Pago",$X29="Recebido"),$X29,IF(OR($X29="Parcial",N($R29)&gt;0),"Parcial",IF($C29="","Sem vencimento",IF($C29&lt;TODAY(),"Vencido",IF($C29=TODAY(),"Vence hoje",IF($C29&lt;=TODAY()+7,"Vence em 7 dias",IF($C29&lt;=TODAY()+30,"Vence em 30 dias","Futuro")))))))))</f>
        <v/>
      </c>
      <c r="Z29" s="24">
        <f>IF($B29="","",MONTH($B29))</f>
        <v/>
      </c>
      <c r="AA29" s="24">
        <f>IF($B29="","",YEAR($B29))</f>
        <v/>
      </c>
      <c r="AB29" s="24">
        <f>IF($B29="","",ISOWEEKNUM($B29))</f>
        <v/>
      </c>
      <c r="AC29" s="17">
        <f>IF($B29="","",CHOOSE(WEEKDAY($B29,2),"Segunda","Terça","Quarta","Quinta","Sexta","Sábado","Domingo"))</f>
        <v/>
      </c>
      <c r="AD29" s="17">
        <f>IF($B29="","",TEXT($B29,"MM/AAAA"))</f>
        <v/>
      </c>
      <c r="AE29" s="18">
        <f>IF(COUNTA($B29:$R29)=0,"",IF($X29="Cancelado",0,ROUND(N($Q29)+N($S29)+N($T29)-N($U29),2)))</f>
        <v/>
      </c>
      <c r="AF29" s="9">
        <f>IF($G29="","",IFERROR(INDEX(LINHAS_DRE_PLANO,MATCH($G29,SUBCATEGORIAS_PLANO,0)),"Não classificado"))</f>
        <v/>
      </c>
      <c r="AG29" s="17">
        <f>IF($G29="","",IFERROR(INDEX(TIPOS_FLUXO_PLANO,MATCH($G29,SUBCATEGORIAS_PLANO,0)),"Não classificado"))</f>
        <v/>
      </c>
      <c r="AH29" s="9">
        <f>IF($G29="","",IFERROR(INDEX(GRUPOS_PLANO,MATCH($G29,SUBCATEGORIAS_PLANO,0)),"Não classificado"))</f>
        <v/>
      </c>
      <c r="AI29" s="24">
        <f>IF(OR($C29="",$X29="Pago",$X29="Recebido",$X29="Cancelado"),"",$C29-TODAY())</f>
        <v/>
      </c>
      <c r="AJ29" s="24">
        <f>IF(OR($C29="",$X29="Pago",$X29="Recebido",$X29="Cancelado"),0,MAX(0,TODAY()-$C29))</f>
        <v/>
      </c>
      <c r="AK29" s="24">
        <f>IF($D29="","",$D29-$B29)</f>
        <v/>
      </c>
      <c r="AL29" s="18">
        <f>IF(OR($D29="",$B29=""),"",ROUND(N($R29)*($D29-$B29),2))</f>
        <v/>
      </c>
      <c r="AM29" s="17">
        <f>IF(AND($E29="Saída",$W29&gt;0,$C29&lt;&gt;""),$C29+ROW()/1000000,"")</f>
        <v/>
      </c>
      <c r="AN29" s="17">
        <f>IF(AND($E29="Entrada",$W29&gt;0,$C29&lt;&gt;""),$C29+ROW()/1000000,"")</f>
        <v/>
      </c>
      <c r="AO29" s="9">
        <f>IF(COUNTA($B29:$R29)=0,"",IF(AND($I29&lt;&gt;"",COUNTIF(CLIENTES_NOMES,$I29)+COUNTIF(CLIENTES_FANTASIA,$I29)+COUNTIF(FORNECEDORES_NOMES,$I29)+COUNTIF(FORNECEDORES_FANTASIA,$I29)=0),"⚠ Cliente/Fornecedor não cadastrado",IF(AND($G29&lt;&gt;"",COUNTIF(SUBCATEGORIAS_PLANO,$G29)=0),"⚠ Subcategoria fora do plano de contas",IF(OR($Q29="",N($Q29)=0),"⚠ Valor previsto não informado",IF(AND(OR($X29="Pago",$X29="Recebido"),$D29=""),"⚠ Status pago/recebido sem data",IF(AND($D29&lt;&gt;"",N($R29)=0),"⚠ Data de pagamento sem valor realizado",IF(AND(N($P29)&gt;1,N($O29)&gt;N($P29)),"⚠ Nº da parcela maior que o total",IF(AND($C29&lt;&gt;"",$B29&lt;&gt;"",$C29&lt;$B29),"⚠ Vencimento anterior à competência","OK"))))))))</f>
        <v/>
      </c>
    </row>
    <row r="30">
      <c r="A30" s="14" t="inlineStr">
        <is>
          <t>L0025</t>
        </is>
      </c>
      <c r="B30" s="36" t="n">
        <v>46041</v>
      </c>
      <c r="C30" s="36" t="n">
        <v>46056</v>
      </c>
      <c r="D30" s="36" t="n">
        <v>46057</v>
      </c>
      <c r="E30" s="14" t="inlineStr">
        <is>
          <t>Entrada</t>
        </is>
      </c>
      <c r="F30" s="29" t="inlineStr">
        <is>
          <t>Vendas</t>
        </is>
      </c>
      <c r="G30" s="29" t="inlineStr">
        <is>
          <t>Vendas de Produtos</t>
        </is>
      </c>
      <c r="H30" s="29" t="inlineStr">
        <is>
          <t>Comercial</t>
        </is>
      </c>
      <c r="I30" s="29" t="inlineStr">
        <is>
          <t>RESTAURANTE SABOR CASEIRO LTDA</t>
        </is>
      </c>
      <c r="J30" s="29" t="inlineStr">
        <is>
          <t>Venda de mercadorias para revenda</t>
        </is>
      </c>
      <c r="K30" s="14" t="inlineStr">
        <is>
          <t>NF-e 2005</t>
        </is>
      </c>
      <c r="L30" s="29" t="inlineStr">
        <is>
          <t>Itaú Unibanco — C/C 45678-9</t>
        </is>
      </c>
      <c r="M30" s="14" t="inlineStr">
        <is>
          <t>Boleto</t>
        </is>
      </c>
      <c r="N30" s="29" t="n"/>
      <c r="O30" s="13" t="n">
        <v>1</v>
      </c>
      <c r="P30" s="13" t="n">
        <v>1</v>
      </c>
      <c r="Q30" s="35" t="n">
        <v>12429.54</v>
      </c>
      <c r="R30" s="35" t="n">
        <v>12429.54</v>
      </c>
      <c r="S30" s="35" t="n"/>
      <c r="T30" s="35" t="n"/>
      <c r="U30" s="35" t="n"/>
      <c r="V30" s="18">
        <f>IF(COUNTA($B30:$R30)=0,"",ROUND(N($R30)+N($S30)+N($T30)-N($U30),2))</f>
        <v/>
      </c>
      <c r="W30" s="18">
        <f>IF(COUNTA($B30:$R30)=0,"",IF(OR($X30="Pago",$X30="Recebido",$X30="Cancelado"),0,ROUND(N($Q30)+N($S30)+N($T30)-N($U30)-N($R30),2)))</f>
        <v/>
      </c>
      <c r="X30" s="14" t="inlineStr">
        <is>
          <t>Pago</t>
        </is>
      </c>
      <c r="Y30" s="17">
        <f>IF(COUNTA($B30:$R30)=0,"",IF($X30="Cancelado","Cancelado",IF(OR($X30="Pago",$X30="Recebido"),$X30,IF(OR($X30="Parcial",N($R30)&gt;0),"Parcial",IF($C30="","Sem vencimento",IF($C30&lt;TODAY(),"Vencido",IF($C30=TODAY(),"Vence hoje",IF($C30&lt;=TODAY()+7,"Vence em 7 dias",IF($C30&lt;=TODAY()+30,"Vence em 30 dias","Futuro")))))))))</f>
        <v/>
      </c>
      <c r="Z30" s="24">
        <f>IF($B30="","",MONTH($B30))</f>
        <v/>
      </c>
      <c r="AA30" s="24">
        <f>IF($B30="","",YEAR($B30))</f>
        <v/>
      </c>
      <c r="AB30" s="24">
        <f>IF($B30="","",ISOWEEKNUM($B30))</f>
        <v/>
      </c>
      <c r="AC30" s="17">
        <f>IF($B30="","",CHOOSE(WEEKDAY($B30,2),"Segunda","Terça","Quarta","Quinta","Sexta","Sábado","Domingo"))</f>
        <v/>
      </c>
      <c r="AD30" s="17">
        <f>IF($B30="","",TEXT($B30,"MM/AAAA"))</f>
        <v/>
      </c>
      <c r="AE30" s="18">
        <f>IF(COUNTA($B30:$R30)=0,"",IF($X30="Cancelado",0,ROUND(N($Q30)+N($S30)+N($T30)-N($U30),2)))</f>
        <v/>
      </c>
      <c r="AF30" s="9">
        <f>IF($G30="","",IFERROR(INDEX(LINHAS_DRE_PLANO,MATCH($G30,SUBCATEGORIAS_PLANO,0)),"Não classificado"))</f>
        <v/>
      </c>
      <c r="AG30" s="17">
        <f>IF($G30="","",IFERROR(INDEX(TIPOS_FLUXO_PLANO,MATCH($G30,SUBCATEGORIAS_PLANO,0)),"Não classificado"))</f>
        <v/>
      </c>
      <c r="AH30" s="9">
        <f>IF($G30="","",IFERROR(INDEX(GRUPOS_PLANO,MATCH($G30,SUBCATEGORIAS_PLANO,0)),"Não classificado"))</f>
        <v/>
      </c>
      <c r="AI30" s="24">
        <f>IF(OR($C30="",$X30="Pago",$X30="Recebido",$X30="Cancelado"),"",$C30-TODAY())</f>
        <v/>
      </c>
      <c r="AJ30" s="24">
        <f>IF(OR($C30="",$X30="Pago",$X30="Recebido",$X30="Cancelado"),0,MAX(0,TODAY()-$C30))</f>
        <v/>
      </c>
      <c r="AK30" s="24">
        <f>IF($D30="","",$D30-$B30)</f>
        <v/>
      </c>
      <c r="AL30" s="18">
        <f>IF(OR($D30="",$B30=""),"",ROUND(N($R30)*($D30-$B30),2))</f>
        <v/>
      </c>
      <c r="AM30" s="17">
        <f>IF(AND($E30="Saída",$W30&gt;0,$C30&lt;&gt;""),$C30+ROW()/1000000,"")</f>
        <v/>
      </c>
      <c r="AN30" s="17">
        <f>IF(AND($E30="Entrada",$W30&gt;0,$C30&lt;&gt;""),$C30+ROW()/1000000,"")</f>
        <v/>
      </c>
      <c r="AO30" s="9">
        <f>IF(COUNTA($B30:$R30)=0,"",IF(AND($I30&lt;&gt;"",COUNTIF(CLIENTES_NOMES,$I30)+COUNTIF(CLIENTES_FANTASIA,$I30)+COUNTIF(FORNECEDORES_NOMES,$I30)+COUNTIF(FORNECEDORES_FANTASIA,$I30)=0),"⚠ Cliente/Fornecedor não cadastrado",IF(AND($G30&lt;&gt;"",COUNTIF(SUBCATEGORIAS_PLANO,$G30)=0),"⚠ Subcategoria fora do plano de contas",IF(OR($Q30="",N($Q30)=0),"⚠ Valor previsto não informado",IF(AND(OR($X30="Pago",$X30="Recebido"),$D30=""),"⚠ Status pago/recebido sem data",IF(AND($D30&lt;&gt;"",N($R30)=0),"⚠ Data de pagamento sem valor realizado",IF(AND(N($P30)&gt;1,N($O30)&gt;N($P30)),"⚠ Nº da parcela maior que o total",IF(AND($C30&lt;&gt;"",$B30&lt;&gt;"",$C30&lt;$B30),"⚠ Vencimento anterior à competência","OK"))))))))</f>
        <v/>
      </c>
    </row>
    <row r="31">
      <c r="A31" s="14" t="inlineStr">
        <is>
          <t>L0026</t>
        </is>
      </c>
      <c r="B31" s="36" t="n">
        <v>46041</v>
      </c>
      <c r="C31" s="36" t="n">
        <v>46062</v>
      </c>
      <c r="D31" s="36" t="n">
        <v>46064</v>
      </c>
      <c r="E31" s="14" t="inlineStr">
        <is>
          <t>Entrada</t>
        </is>
      </c>
      <c r="F31" s="29" t="inlineStr">
        <is>
          <t>Vendas</t>
        </is>
      </c>
      <c r="G31" s="29" t="inlineStr">
        <is>
          <t>Vendas de Produtos</t>
        </is>
      </c>
      <c r="H31" s="29" t="inlineStr">
        <is>
          <t>Comercial</t>
        </is>
      </c>
      <c r="I31" s="29" t="inlineStr">
        <is>
          <t>EMPÓRIO NATURAL COMÉRCIO LTDA</t>
        </is>
      </c>
      <c r="J31" s="29" t="inlineStr">
        <is>
          <t>Venda de mercadorias para revenda</t>
        </is>
      </c>
      <c r="K31" s="14" t="inlineStr">
        <is>
          <t>NF-e 2009</t>
        </is>
      </c>
      <c r="L31" s="29" t="inlineStr">
        <is>
          <t>Itaú Unibanco — C/C 45678-9</t>
        </is>
      </c>
      <c r="M31" s="14" t="inlineStr">
        <is>
          <t>Boleto</t>
        </is>
      </c>
      <c r="N31" s="29" t="n"/>
      <c r="O31" s="13" t="n">
        <v>1</v>
      </c>
      <c r="P31" s="13" t="n">
        <v>1</v>
      </c>
      <c r="Q31" s="35" t="n">
        <v>16862.21</v>
      </c>
      <c r="R31" s="35" t="n">
        <v>16862.21</v>
      </c>
      <c r="S31" s="35" t="n"/>
      <c r="T31" s="35" t="n"/>
      <c r="U31" s="35" t="n"/>
      <c r="V31" s="18">
        <f>IF(COUNTA($B31:$R31)=0,"",ROUND(N($R31)+N($S31)+N($T31)-N($U31),2))</f>
        <v/>
      </c>
      <c r="W31" s="18">
        <f>IF(COUNTA($B31:$R31)=0,"",IF(OR($X31="Pago",$X31="Recebido",$X31="Cancelado"),0,ROUND(N($Q31)+N($S31)+N($T31)-N($U31)-N($R31),2)))</f>
        <v/>
      </c>
      <c r="X31" s="14" t="inlineStr">
        <is>
          <t>Pago</t>
        </is>
      </c>
      <c r="Y31" s="17">
        <f>IF(COUNTA($B31:$R31)=0,"",IF($X31="Cancelado","Cancelado",IF(OR($X31="Pago",$X31="Recebido"),$X31,IF(OR($X31="Parcial",N($R31)&gt;0),"Parcial",IF($C31="","Sem vencimento",IF($C31&lt;TODAY(),"Vencido",IF($C31=TODAY(),"Vence hoje",IF($C31&lt;=TODAY()+7,"Vence em 7 dias",IF($C31&lt;=TODAY()+30,"Vence em 30 dias","Futuro")))))))))</f>
        <v/>
      </c>
      <c r="Z31" s="24">
        <f>IF($B31="","",MONTH($B31))</f>
        <v/>
      </c>
      <c r="AA31" s="24">
        <f>IF($B31="","",YEAR($B31))</f>
        <v/>
      </c>
      <c r="AB31" s="24">
        <f>IF($B31="","",ISOWEEKNUM($B31))</f>
        <v/>
      </c>
      <c r="AC31" s="17">
        <f>IF($B31="","",CHOOSE(WEEKDAY($B31,2),"Segunda","Terça","Quarta","Quinta","Sexta","Sábado","Domingo"))</f>
        <v/>
      </c>
      <c r="AD31" s="17">
        <f>IF($B31="","",TEXT($B31,"MM/AAAA"))</f>
        <v/>
      </c>
      <c r="AE31" s="18">
        <f>IF(COUNTA($B31:$R31)=0,"",IF($X31="Cancelado",0,ROUND(N($Q31)+N($S31)+N($T31)-N($U31),2)))</f>
        <v/>
      </c>
      <c r="AF31" s="9">
        <f>IF($G31="","",IFERROR(INDEX(LINHAS_DRE_PLANO,MATCH($G31,SUBCATEGORIAS_PLANO,0)),"Não classificado"))</f>
        <v/>
      </c>
      <c r="AG31" s="17">
        <f>IF($G31="","",IFERROR(INDEX(TIPOS_FLUXO_PLANO,MATCH($G31,SUBCATEGORIAS_PLANO,0)),"Não classificado"))</f>
        <v/>
      </c>
      <c r="AH31" s="9">
        <f>IF($G31="","",IFERROR(INDEX(GRUPOS_PLANO,MATCH($G31,SUBCATEGORIAS_PLANO,0)),"Não classificado"))</f>
        <v/>
      </c>
      <c r="AI31" s="24">
        <f>IF(OR($C31="",$X31="Pago",$X31="Recebido",$X31="Cancelado"),"",$C31-TODAY())</f>
        <v/>
      </c>
      <c r="AJ31" s="24">
        <f>IF(OR($C31="",$X31="Pago",$X31="Recebido",$X31="Cancelado"),0,MAX(0,TODAY()-$C31))</f>
        <v/>
      </c>
      <c r="AK31" s="24">
        <f>IF($D31="","",$D31-$B31)</f>
        <v/>
      </c>
      <c r="AL31" s="18">
        <f>IF(OR($D31="",$B31=""),"",ROUND(N($R31)*($D31-$B31),2))</f>
        <v/>
      </c>
      <c r="AM31" s="17">
        <f>IF(AND($E31="Saída",$W31&gt;0,$C31&lt;&gt;""),$C31+ROW()/1000000,"")</f>
        <v/>
      </c>
      <c r="AN31" s="17">
        <f>IF(AND($E31="Entrada",$W31&gt;0,$C31&lt;&gt;""),$C31+ROW()/1000000,"")</f>
        <v/>
      </c>
      <c r="AO31" s="9">
        <f>IF(COUNTA($B31:$R31)=0,"",IF(AND($I31&lt;&gt;"",COUNTIF(CLIENTES_NOMES,$I31)+COUNTIF(CLIENTES_FANTASIA,$I31)+COUNTIF(FORNECEDORES_NOMES,$I31)+COUNTIF(FORNECEDORES_FANTASIA,$I31)=0),"⚠ Cliente/Fornecedor não cadastrado",IF(AND($G31&lt;&gt;"",COUNTIF(SUBCATEGORIAS_PLANO,$G31)=0),"⚠ Subcategoria fora do plano de contas",IF(OR($Q31="",N($Q31)=0),"⚠ Valor previsto não informado",IF(AND(OR($X31="Pago",$X31="Recebido"),$D31=""),"⚠ Status pago/recebido sem data",IF(AND($D31&lt;&gt;"",N($R31)=0),"⚠ Data de pagamento sem valor realizado",IF(AND(N($P31)&gt;1,N($O31)&gt;N($P31)),"⚠ Nº da parcela maior que o total",IF(AND($C31&lt;&gt;"",$B31&lt;&gt;"",$C31&lt;$B31),"⚠ Vencimento anterior à competência","OK"))))))))</f>
        <v/>
      </c>
    </row>
    <row r="32">
      <c r="A32" s="14" t="inlineStr">
        <is>
          <t>L0027</t>
        </is>
      </c>
      <c r="B32" s="36" t="n">
        <v>46042</v>
      </c>
      <c r="C32" s="36" t="n">
        <v>46052</v>
      </c>
      <c r="D32" s="36" t="n">
        <v>46053</v>
      </c>
      <c r="E32" s="14" t="inlineStr">
        <is>
          <t>Saída</t>
        </is>
      </c>
      <c r="F32" s="29" t="inlineStr">
        <is>
          <t>Custos Variáveis</t>
        </is>
      </c>
      <c r="G32" s="29" t="inlineStr">
        <is>
          <t>Outros Custos Diretos</t>
        </is>
      </c>
      <c r="H32" s="29" t="inlineStr">
        <is>
          <t>Produção</t>
        </is>
      </c>
      <c r="I32" s="29" t="inlineStr">
        <is>
          <t>APOIO OPERACIONAL SERVIÇOS LTDA</t>
        </is>
      </c>
      <c r="J32" s="29" t="inlineStr">
        <is>
          <t>Serviços de apoio à operação e expedição</t>
        </is>
      </c>
      <c r="K32" s="14" t="inlineStr">
        <is>
          <t>DOC 7165</t>
        </is>
      </c>
      <c r="L32" s="29" t="inlineStr">
        <is>
          <t>Itaú Unibanco — C/C 45678-9</t>
        </is>
      </c>
      <c r="M32" s="14" t="inlineStr">
        <is>
          <t>PIX</t>
        </is>
      </c>
      <c r="N32" s="29" t="n"/>
      <c r="O32" s="13" t="n">
        <v>1</v>
      </c>
      <c r="P32" s="13" t="n">
        <v>1</v>
      </c>
      <c r="Q32" s="35" t="n">
        <v>880.23</v>
      </c>
      <c r="R32" s="35" t="n">
        <v>880.23</v>
      </c>
      <c r="S32" s="35" t="n"/>
      <c r="T32" s="35" t="n"/>
      <c r="U32" s="35" t="n"/>
      <c r="V32" s="18">
        <f>IF(COUNTA($B32:$R32)=0,"",ROUND(N($R32)+N($S32)+N($T32)-N($U32),2))</f>
        <v/>
      </c>
      <c r="W32" s="18">
        <f>IF(COUNTA($B32:$R32)=0,"",IF(OR($X32="Pago",$X32="Recebido",$X32="Cancelado"),0,ROUND(N($Q32)+N($S32)+N($T32)-N($U32)-N($R32),2)))</f>
        <v/>
      </c>
      <c r="X32" s="14" t="inlineStr">
        <is>
          <t>Pago</t>
        </is>
      </c>
      <c r="Y32" s="17">
        <f>IF(COUNTA($B32:$R32)=0,"",IF($X32="Cancelado","Cancelado",IF(OR($X32="Pago",$X32="Recebido"),$X32,IF(OR($X32="Parcial",N($R32)&gt;0),"Parcial",IF($C32="","Sem vencimento",IF($C32&lt;TODAY(),"Vencido",IF($C32=TODAY(),"Vence hoje",IF($C32&lt;=TODAY()+7,"Vence em 7 dias",IF($C32&lt;=TODAY()+30,"Vence em 30 dias","Futuro")))))))))</f>
        <v/>
      </c>
      <c r="Z32" s="24">
        <f>IF($B32="","",MONTH($B32))</f>
        <v/>
      </c>
      <c r="AA32" s="24">
        <f>IF($B32="","",YEAR($B32))</f>
        <v/>
      </c>
      <c r="AB32" s="24">
        <f>IF($B32="","",ISOWEEKNUM($B32))</f>
        <v/>
      </c>
      <c r="AC32" s="17">
        <f>IF($B32="","",CHOOSE(WEEKDAY($B32,2),"Segunda","Terça","Quarta","Quinta","Sexta","Sábado","Domingo"))</f>
        <v/>
      </c>
      <c r="AD32" s="17">
        <f>IF($B32="","",TEXT($B32,"MM/AAAA"))</f>
        <v/>
      </c>
      <c r="AE32" s="18">
        <f>IF(COUNTA($B32:$R32)=0,"",IF($X32="Cancelado",0,ROUND(N($Q32)+N($S32)+N($T32)-N($U32),2)))</f>
        <v/>
      </c>
      <c r="AF32" s="9">
        <f>IF($G32="","",IFERROR(INDEX(LINHAS_DRE_PLANO,MATCH($G32,SUBCATEGORIAS_PLANO,0)),"Não classificado"))</f>
        <v/>
      </c>
      <c r="AG32" s="17">
        <f>IF($G32="","",IFERROR(INDEX(TIPOS_FLUXO_PLANO,MATCH($G32,SUBCATEGORIAS_PLANO,0)),"Não classificado"))</f>
        <v/>
      </c>
      <c r="AH32" s="9">
        <f>IF($G32="","",IFERROR(INDEX(GRUPOS_PLANO,MATCH($G32,SUBCATEGORIAS_PLANO,0)),"Não classificado"))</f>
        <v/>
      </c>
      <c r="AI32" s="24">
        <f>IF(OR($C32="",$X32="Pago",$X32="Recebido",$X32="Cancelado"),"",$C32-TODAY())</f>
        <v/>
      </c>
      <c r="AJ32" s="24">
        <f>IF(OR($C32="",$X32="Pago",$X32="Recebido",$X32="Cancelado"),0,MAX(0,TODAY()-$C32))</f>
        <v/>
      </c>
      <c r="AK32" s="24">
        <f>IF($D32="","",$D32-$B32)</f>
        <v/>
      </c>
      <c r="AL32" s="18">
        <f>IF(OR($D32="",$B32=""),"",ROUND(N($R32)*($D32-$B32),2))</f>
        <v/>
      </c>
      <c r="AM32" s="17">
        <f>IF(AND($E32="Saída",$W32&gt;0,$C32&lt;&gt;""),$C32+ROW()/1000000,"")</f>
        <v/>
      </c>
      <c r="AN32" s="17">
        <f>IF(AND($E32="Entrada",$W32&gt;0,$C32&lt;&gt;""),$C32+ROW()/1000000,"")</f>
        <v/>
      </c>
      <c r="AO32" s="9">
        <f>IF(COUNTA($B32:$R32)=0,"",IF(AND($I32&lt;&gt;"",COUNTIF(CLIENTES_NOMES,$I32)+COUNTIF(CLIENTES_FANTASIA,$I32)+COUNTIF(FORNECEDORES_NOMES,$I32)+COUNTIF(FORNECEDORES_FANTASIA,$I32)=0),"⚠ Cliente/Fornecedor não cadastrado",IF(AND($G32&lt;&gt;"",COUNTIF(SUBCATEGORIAS_PLANO,$G32)=0),"⚠ Subcategoria fora do plano de contas",IF(OR($Q32="",N($Q32)=0),"⚠ Valor previsto não informado",IF(AND(OR($X32="Pago",$X32="Recebido"),$D32=""),"⚠ Status pago/recebido sem data",IF(AND($D32&lt;&gt;"",N($R32)=0),"⚠ Data de pagamento sem valor realizado",IF(AND(N($P32)&gt;1,N($O32)&gt;N($P32)),"⚠ Nº da parcela maior que o total",IF(AND($C32&lt;&gt;"",$B32&lt;&gt;"",$C32&lt;$B32),"⚠ Vencimento anterior à competência","OK"))))))))</f>
        <v/>
      </c>
    </row>
    <row r="33">
      <c r="A33" s="14" t="inlineStr">
        <is>
          <t>L0028</t>
        </is>
      </c>
      <c r="B33" s="36" t="n">
        <v>46042</v>
      </c>
      <c r="C33" s="36" t="n">
        <v>46073</v>
      </c>
      <c r="D33" s="36" t="n">
        <v>46074</v>
      </c>
      <c r="E33" s="14" t="inlineStr">
        <is>
          <t>Saída</t>
        </is>
      </c>
      <c r="F33" s="29" t="inlineStr">
        <is>
          <t>Tributos</t>
        </is>
      </c>
      <c r="G33" s="29" t="inlineStr">
        <is>
          <t>Simples Nacional</t>
        </is>
      </c>
      <c r="H33" s="29" t="inlineStr">
        <is>
          <t>Financeiro</t>
        </is>
      </c>
      <c r="I33" s="29" t="inlineStr">
        <is>
          <t>RECEITA FEDERAL DO BRASIL</t>
        </is>
      </c>
      <c r="J33" s="29" t="inlineStr">
        <is>
          <t>Simples Nacional — competência 01/2026</t>
        </is>
      </c>
      <c r="K33" s="14" t="inlineStr">
        <is>
          <t>DAS 01/2026</t>
        </is>
      </c>
      <c r="L33" s="29" t="inlineStr">
        <is>
          <t>Banco do Brasil — C/C 12345-6</t>
        </is>
      </c>
      <c r="M33" s="14" t="inlineStr">
        <is>
          <t>Transferência</t>
        </is>
      </c>
      <c r="N33" s="29" t="n"/>
      <c r="O33" s="13" t="n">
        <v>1</v>
      </c>
      <c r="P33" s="13" t="n">
        <v>1</v>
      </c>
      <c r="Q33" s="35" t="n">
        <v>19010.58</v>
      </c>
      <c r="R33" s="35" t="n">
        <v>19010.58</v>
      </c>
      <c r="S33" s="35" t="n"/>
      <c r="T33" s="35" t="n"/>
      <c r="U33" s="35" t="n"/>
      <c r="V33" s="18">
        <f>IF(COUNTA($B33:$R33)=0,"",ROUND(N($R33)+N($S33)+N($T33)-N($U33),2))</f>
        <v/>
      </c>
      <c r="W33" s="18">
        <f>IF(COUNTA($B33:$R33)=0,"",IF(OR($X33="Pago",$X33="Recebido",$X33="Cancelado"),0,ROUND(N($Q33)+N($S33)+N($T33)-N($U33)-N($R33),2)))</f>
        <v/>
      </c>
      <c r="X33" s="14" t="inlineStr">
        <is>
          <t>Pago</t>
        </is>
      </c>
      <c r="Y33" s="17">
        <f>IF(COUNTA($B33:$R33)=0,"",IF($X33="Cancelado","Cancelado",IF(OR($X33="Pago",$X33="Recebido"),$X33,IF(OR($X33="Parcial",N($R33)&gt;0),"Parcial",IF($C33="","Sem vencimento",IF($C33&lt;TODAY(),"Vencido",IF($C33=TODAY(),"Vence hoje",IF($C33&lt;=TODAY()+7,"Vence em 7 dias",IF($C33&lt;=TODAY()+30,"Vence em 30 dias","Futuro")))))))))</f>
        <v/>
      </c>
      <c r="Z33" s="24">
        <f>IF($B33="","",MONTH($B33))</f>
        <v/>
      </c>
      <c r="AA33" s="24">
        <f>IF($B33="","",YEAR($B33))</f>
        <v/>
      </c>
      <c r="AB33" s="24">
        <f>IF($B33="","",ISOWEEKNUM($B33))</f>
        <v/>
      </c>
      <c r="AC33" s="17">
        <f>IF($B33="","",CHOOSE(WEEKDAY($B33,2),"Segunda","Terça","Quarta","Quinta","Sexta","Sábado","Domingo"))</f>
        <v/>
      </c>
      <c r="AD33" s="17">
        <f>IF($B33="","",TEXT($B33,"MM/AAAA"))</f>
        <v/>
      </c>
      <c r="AE33" s="18">
        <f>IF(COUNTA($B33:$R33)=0,"",IF($X33="Cancelado",0,ROUND(N($Q33)+N($S33)+N($T33)-N($U33),2)))</f>
        <v/>
      </c>
      <c r="AF33" s="9">
        <f>IF($G33="","",IFERROR(INDEX(LINHAS_DRE_PLANO,MATCH($G33,SUBCATEGORIAS_PLANO,0)),"Não classificado"))</f>
        <v/>
      </c>
      <c r="AG33" s="17">
        <f>IF($G33="","",IFERROR(INDEX(TIPOS_FLUXO_PLANO,MATCH($G33,SUBCATEGORIAS_PLANO,0)),"Não classificado"))</f>
        <v/>
      </c>
      <c r="AH33" s="9">
        <f>IF($G33="","",IFERROR(INDEX(GRUPOS_PLANO,MATCH($G33,SUBCATEGORIAS_PLANO,0)),"Não classificado"))</f>
        <v/>
      </c>
      <c r="AI33" s="24">
        <f>IF(OR($C33="",$X33="Pago",$X33="Recebido",$X33="Cancelado"),"",$C33-TODAY())</f>
        <v/>
      </c>
      <c r="AJ33" s="24">
        <f>IF(OR($C33="",$X33="Pago",$X33="Recebido",$X33="Cancelado"),0,MAX(0,TODAY()-$C33))</f>
        <v/>
      </c>
      <c r="AK33" s="24">
        <f>IF($D33="","",$D33-$B33)</f>
        <v/>
      </c>
      <c r="AL33" s="18">
        <f>IF(OR($D33="",$B33=""),"",ROUND(N($R33)*($D33-$B33),2))</f>
        <v/>
      </c>
      <c r="AM33" s="17">
        <f>IF(AND($E33="Saída",$W33&gt;0,$C33&lt;&gt;""),$C33+ROW()/1000000,"")</f>
        <v/>
      </c>
      <c r="AN33" s="17">
        <f>IF(AND($E33="Entrada",$W33&gt;0,$C33&lt;&gt;""),$C33+ROW()/1000000,"")</f>
        <v/>
      </c>
      <c r="AO33" s="9">
        <f>IF(COUNTA($B33:$R33)=0,"",IF(AND($I33&lt;&gt;"",COUNTIF(CLIENTES_NOMES,$I33)+COUNTIF(CLIENTES_FANTASIA,$I33)+COUNTIF(FORNECEDORES_NOMES,$I33)+COUNTIF(FORNECEDORES_FANTASIA,$I33)=0),"⚠ Cliente/Fornecedor não cadastrado",IF(AND($G33&lt;&gt;"",COUNTIF(SUBCATEGORIAS_PLANO,$G33)=0),"⚠ Subcategoria fora do plano de contas",IF(OR($Q33="",N($Q33)=0),"⚠ Valor previsto não informado",IF(AND(OR($X33="Pago",$X33="Recebido"),$D33=""),"⚠ Status pago/recebido sem data",IF(AND($D33&lt;&gt;"",N($R33)=0),"⚠ Data de pagamento sem valor realizado",IF(AND(N($P33)&gt;1,N($O33)&gt;N($P33)),"⚠ Nº da parcela maior que o total",IF(AND($C33&lt;&gt;"",$B33&lt;&gt;"",$C33&lt;$B33),"⚠ Vencimento anterior à competência","OK"))))))))</f>
        <v/>
      </c>
    </row>
    <row r="34">
      <c r="A34" s="14" t="inlineStr">
        <is>
          <t>L0029</t>
        </is>
      </c>
      <c r="B34" s="36" t="n">
        <v>46044</v>
      </c>
      <c r="C34" s="36" t="n">
        <v>46076</v>
      </c>
      <c r="D34" s="36" t="n">
        <v>46077</v>
      </c>
      <c r="E34" s="14" t="inlineStr">
        <is>
          <t>Entrada</t>
        </is>
      </c>
      <c r="F34" s="29" t="inlineStr">
        <is>
          <t>Vendas</t>
        </is>
      </c>
      <c r="G34" s="29" t="inlineStr">
        <is>
          <t>Vendas de Serviços</t>
        </is>
      </c>
      <c r="H34" s="29" t="inlineStr">
        <is>
          <t>Comercial</t>
        </is>
      </c>
      <c r="I34" s="29" t="inlineStr">
        <is>
          <t>MERCADO BOA COMPRA LTDA</t>
        </is>
      </c>
      <c r="J34" s="29" t="inlineStr">
        <is>
          <t>Serviços de logística, montagem e reposição</t>
        </is>
      </c>
      <c r="K34" s="14" t="inlineStr">
        <is>
          <t>RPS 3002</t>
        </is>
      </c>
      <c r="L34" s="29" t="inlineStr">
        <is>
          <t>Banco do Brasil — C/C 12345-6</t>
        </is>
      </c>
      <c r="M34" s="14" t="inlineStr">
        <is>
          <t>Boleto</t>
        </is>
      </c>
      <c r="N34" s="29" t="n"/>
      <c r="O34" s="13" t="n">
        <v>1</v>
      </c>
      <c r="P34" s="13" t="n">
        <v>1</v>
      </c>
      <c r="Q34" s="35" t="n">
        <v>11412.69</v>
      </c>
      <c r="R34" s="35" t="n">
        <v>11412.69</v>
      </c>
      <c r="S34" s="35" t="n"/>
      <c r="T34" s="35" t="n"/>
      <c r="U34" s="35" t="n"/>
      <c r="V34" s="18">
        <f>IF(COUNTA($B34:$R34)=0,"",ROUND(N($R34)+N($S34)+N($T34)-N($U34),2))</f>
        <v/>
      </c>
      <c r="W34" s="18">
        <f>IF(COUNTA($B34:$R34)=0,"",IF(OR($X34="Pago",$X34="Recebido",$X34="Cancelado"),0,ROUND(N($Q34)+N($S34)+N($T34)-N($U34)-N($R34),2)))</f>
        <v/>
      </c>
      <c r="X34" s="14" t="inlineStr">
        <is>
          <t>Pago</t>
        </is>
      </c>
      <c r="Y34" s="17">
        <f>IF(COUNTA($B34:$R34)=0,"",IF($X34="Cancelado","Cancelado",IF(OR($X34="Pago",$X34="Recebido"),$X34,IF(OR($X34="Parcial",N($R34)&gt;0),"Parcial",IF($C34="","Sem vencimento",IF($C34&lt;TODAY(),"Vencido",IF($C34=TODAY(),"Vence hoje",IF($C34&lt;=TODAY()+7,"Vence em 7 dias",IF($C34&lt;=TODAY()+30,"Vence em 30 dias","Futuro")))))))))</f>
        <v/>
      </c>
      <c r="Z34" s="24">
        <f>IF($B34="","",MONTH($B34))</f>
        <v/>
      </c>
      <c r="AA34" s="24">
        <f>IF($B34="","",YEAR($B34))</f>
        <v/>
      </c>
      <c r="AB34" s="24">
        <f>IF($B34="","",ISOWEEKNUM($B34))</f>
        <v/>
      </c>
      <c r="AC34" s="17">
        <f>IF($B34="","",CHOOSE(WEEKDAY($B34,2),"Segunda","Terça","Quarta","Quinta","Sexta","Sábado","Domingo"))</f>
        <v/>
      </c>
      <c r="AD34" s="17">
        <f>IF($B34="","",TEXT($B34,"MM/AAAA"))</f>
        <v/>
      </c>
      <c r="AE34" s="18">
        <f>IF(COUNTA($B34:$R34)=0,"",IF($X34="Cancelado",0,ROUND(N($Q34)+N($S34)+N($T34)-N($U34),2)))</f>
        <v/>
      </c>
      <c r="AF34" s="9">
        <f>IF($G34="","",IFERROR(INDEX(LINHAS_DRE_PLANO,MATCH($G34,SUBCATEGORIAS_PLANO,0)),"Não classificado"))</f>
        <v/>
      </c>
      <c r="AG34" s="17">
        <f>IF($G34="","",IFERROR(INDEX(TIPOS_FLUXO_PLANO,MATCH($G34,SUBCATEGORIAS_PLANO,0)),"Não classificado"))</f>
        <v/>
      </c>
      <c r="AH34" s="9">
        <f>IF($G34="","",IFERROR(INDEX(GRUPOS_PLANO,MATCH($G34,SUBCATEGORIAS_PLANO,0)),"Não classificado"))</f>
        <v/>
      </c>
      <c r="AI34" s="24">
        <f>IF(OR($C34="",$X34="Pago",$X34="Recebido",$X34="Cancelado"),"",$C34-TODAY())</f>
        <v/>
      </c>
      <c r="AJ34" s="24">
        <f>IF(OR($C34="",$X34="Pago",$X34="Recebido",$X34="Cancelado"),0,MAX(0,TODAY()-$C34))</f>
        <v/>
      </c>
      <c r="AK34" s="24">
        <f>IF($D34="","",$D34-$B34)</f>
        <v/>
      </c>
      <c r="AL34" s="18">
        <f>IF(OR($D34="",$B34=""),"",ROUND(N($R34)*($D34-$B34),2))</f>
        <v/>
      </c>
      <c r="AM34" s="17">
        <f>IF(AND($E34="Saída",$W34&gt;0,$C34&lt;&gt;""),$C34+ROW()/1000000,"")</f>
        <v/>
      </c>
      <c r="AN34" s="17">
        <f>IF(AND($E34="Entrada",$W34&gt;0,$C34&lt;&gt;""),$C34+ROW()/1000000,"")</f>
        <v/>
      </c>
      <c r="AO34" s="9">
        <f>IF(COUNTA($B34:$R34)=0,"",IF(AND($I34&lt;&gt;"",COUNTIF(CLIENTES_NOMES,$I34)+COUNTIF(CLIENTES_FANTASIA,$I34)+COUNTIF(FORNECEDORES_NOMES,$I34)+COUNTIF(FORNECEDORES_FANTASIA,$I34)=0),"⚠ Cliente/Fornecedor não cadastrado",IF(AND($G34&lt;&gt;"",COUNTIF(SUBCATEGORIAS_PLANO,$G34)=0),"⚠ Subcategoria fora do plano de contas",IF(OR($Q34="",N($Q34)=0),"⚠ Valor previsto não informado",IF(AND(OR($X34="Pago",$X34="Recebido"),$D34=""),"⚠ Status pago/recebido sem data",IF(AND($D34&lt;&gt;"",N($R34)=0),"⚠ Data de pagamento sem valor realizado",IF(AND(N($P34)&gt;1,N($O34)&gt;N($P34)),"⚠ Nº da parcela maior que o total",IF(AND($C34&lt;&gt;"",$B34&lt;&gt;"",$C34&lt;$B34),"⚠ Vencimento anterior à competência","OK"))))))))</f>
        <v/>
      </c>
    </row>
    <row r="35">
      <c r="A35" s="14" t="inlineStr">
        <is>
          <t>L0030</t>
        </is>
      </c>
      <c r="B35" s="36" t="n">
        <v>46044</v>
      </c>
      <c r="C35" s="36" t="n">
        <v>46059</v>
      </c>
      <c r="D35" s="36" t="n">
        <v>46060</v>
      </c>
      <c r="E35" s="14" t="inlineStr">
        <is>
          <t>Entrada</t>
        </is>
      </c>
      <c r="F35" s="29" t="inlineStr">
        <is>
          <t>Vendas</t>
        </is>
      </c>
      <c r="G35" s="29" t="inlineStr">
        <is>
          <t>Vendas de Serviços</t>
        </is>
      </c>
      <c r="H35" s="29" t="inlineStr">
        <is>
          <t>Comercial</t>
        </is>
      </c>
      <c r="I35" s="29" t="inlineStr">
        <is>
          <t>RESTAURANTE SABOR CASEIRO LTDA</t>
        </is>
      </c>
      <c r="J35" s="29" t="inlineStr">
        <is>
          <t>Serviços de logística, montagem e reposição</t>
        </is>
      </c>
      <c r="K35" s="14" t="inlineStr">
        <is>
          <t>RPS 3006</t>
        </is>
      </c>
      <c r="L35" s="29" t="inlineStr">
        <is>
          <t>Itaú Unibanco — C/C 45678-9</t>
        </is>
      </c>
      <c r="M35" s="14" t="inlineStr">
        <is>
          <t>Boleto</t>
        </is>
      </c>
      <c r="N35" s="29" t="n"/>
      <c r="O35" s="13" t="n">
        <v>1</v>
      </c>
      <c r="P35" s="13" t="n">
        <v>1</v>
      </c>
      <c r="Q35" s="35" t="n">
        <v>6735.82</v>
      </c>
      <c r="R35" s="35" t="n">
        <v>6735.82</v>
      </c>
      <c r="S35" s="35" t="n"/>
      <c r="T35" s="35" t="n"/>
      <c r="U35" s="35" t="n"/>
      <c r="V35" s="18">
        <f>IF(COUNTA($B35:$R35)=0,"",ROUND(N($R35)+N($S35)+N($T35)-N($U35),2))</f>
        <v/>
      </c>
      <c r="W35" s="18">
        <f>IF(COUNTA($B35:$R35)=0,"",IF(OR($X35="Pago",$X35="Recebido",$X35="Cancelado"),0,ROUND(N($Q35)+N($S35)+N($T35)-N($U35)-N($R35),2)))</f>
        <v/>
      </c>
      <c r="X35" s="14" t="inlineStr">
        <is>
          <t>Pago</t>
        </is>
      </c>
      <c r="Y35" s="17">
        <f>IF(COUNTA($B35:$R35)=0,"",IF($X35="Cancelado","Cancelado",IF(OR($X35="Pago",$X35="Recebido"),$X35,IF(OR($X35="Parcial",N($R35)&gt;0),"Parcial",IF($C35="","Sem vencimento",IF($C35&lt;TODAY(),"Vencido",IF($C35=TODAY(),"Vence hoje",IF($C35&lt;=TODAY()+7,"Vence em 7 dias",IF($C35&lt;=TODAY()+30,"Vence em 30 dias","Futuro")))))))))</f>
        <v/>
      </c>
      <c r="Z35" s="24">
        <f>IF($B35="","",MONTH($B35))</f>
        <v/>
      </c>
      <c r="AA35" s="24">
        <f>IF($B35="","",YEAR($B35))</f>
        <v/>
      </c>
      <c r="AB35" s="24">
        <f>IF($B35="","",ISOWEEKNUM($B35))</f>
        <v/>
      </c>
      <c r="AC35" s="17">
        <f>IF($B35="","",CHOOSE(WEEKDAY($B35,2),"Segunda","Terça","Quarta","Quinta","Sexta","Sábado","Domingo"))</f>
        <v/>
      </c>
      <c r="AD35" s="17">
        <f>IF($B35="","",TEXT($B35,"MM/AAAA"))</f>
        <v/>
      </c>
      <c r="AE35" s="18">
        <f>IF(COUNTA($B35:$R35)=0,"",IF($X35="Cancelado",0,ROUND(N($Q35)+N($S35)+N($T35)-N($U35),2)))</f>
        <v/>
      </c>
      <c r="AF35" s="9">
        <f>IF($G35="","",IFERROR(INDEX(LINHAS_DRE_PLANO,MATCH($G35,SUBCATEGORIAS_PLANO,0)),"Não classificado"))</f>
        <v/>
      </c>
      <c r="AG35" s="17">
        <f>IF($G35="","",IFERROR(INDEX(TIPOS_FLUXO_PLANO,MATCH($G35,SUBCATEGORIAS_PLANO,0)),"Não classificado"))</f>
        <v/>
      </c>
      <c r="AH35" s="9">
        <f>IF($G35="","",IFERROR(INDEX(GRUPOS_PLANO,MATCH($G35,SUBCATEGORIAS_PLANO,0)),"Não classificado"))</f>
        <v/>
      </c>
      <c r="AI35" s="24">
        <f>IF(OR($C35="",$X35="Pago",$X35="Recebido",$X35="Cancelado"),"",$C35-TODAY())</f>
        <v/>
      </c>
      <c r="AJ35" s="24">
        <f>IF(OR($C35="",$X35="Pago",$X35="Recebido",$X35="Cancelado"),0,MAX(0,TODAY()-$C35))</f>
        <v/>
      </c>
      <c r="AK35" s="24">
        <f>IF($D35="","",$D35-$B35)</f>
        <v/>
      </c>
      <c r="AL35" s="18">
        <f>IF(OR($D35="",$B35=""),"",ROUND(N($R35)*($D35-$B35),2))</f>
        <v/>
      </c>
      <c r="AM35" s="17">
        <f>IF(AND($E35="Saída",$W35&gt;0,$C35&lt;&gt;""),$C35+ROW()/1000000,"")</f>
        <v/>
      </c>
      <c r="AN35" s="17">
        <f>IF(AND($E35="Entrada",$W35&gt;0,$C35&lt;&gt;""),$C35+ROW()/1000000,"")</f>
        <v/>
      </c>
      <c r="AO35" s="9">
        <f>IF(COUNTA($B35:$R35)=0,"",IF(AND($I35&lt;&gt;"",COUNTIF(CLIENTES_NOMES,$I35)+COUNTIF(CLIENTES_FANTASIA,$I35)+COUNTIF(FORNECEDORES_NOMES,$I35)+COUNTIF(FORNECEDORES_FANTASIA,$I35)=0),"⚠ Cliente/Fornecedor não cadastrado",IF(AND($G35&lt;&gt;"",COUNTIF(SUBCATEGORIAS_PLANO,$G35)=0),"⚠ Subcategoria fora do plano de contas",IF(OR($Q35="",N($Q35)=0),"⚠ Valor previsto não informado",IF(AND(OR($X35="Pago",$X35="Recebido"),$D35=""),"⚠ Status pago/recebido sem data",IF(AND($D35&lt;&gt;"",N($R35)=0),"⚠ Data de pagamento sem valor realizado",IF(AND(N($P35)&gt;1,N($O35)&gt;N($P35)),"⚠ Nº da parcela maior que o total",IF(AND($C35&lt;&gt;"",$B35&lt;&gt;"",$C35&lt;$B35),"⚠ Vencimento anterior à competência","OK"))))))))</f>
        <v/>
      </c>
    </row>
    <row r="36">
      <c r="A36" s="14" t="inlineStr">
        <is>
          <t>L0031</t>
        </is>
      </c>
      <c r="B36" s="36" t="n">
        <v>46044</v>
      </c>
      <c r="C36" s="36" t="n">
        <v>46065</v>
      </c>
      <c r="D36" s="36" t="n">
        <v>46068</v>
      </c>
      <c r="E36" s="14" t="inlineStr">
        <is>
          <t>Entrada</t>
        </is>
      </c>
      <c r="F36" s="29" t="inlineStr">
        <is>
          <t>Vendas</t>
        </is>
      </c>
      <c r="G36" s="29" t="inlineStr">
        <is>
          <t>Vendas de Serviços</t>
        </is>
      </c>
      <c r="H36" s="29" t="inlineStr">
        <is>
          <t>Comercial</t>
        </is>
      </c>
      <c r="I36" s="29" t="inlineStr">
        <is>
          <t>EMPÓRIO NATURAL COMÉRCIO LTDA</t>
        </is>
      </c>
      <c r="J36" s="29" t="inlineStr">
        <is>
          <t>Serviços de logística, montagem e reposição</t>
        </is>
      </c>
      <c r="K36" s="14" t="inlineStr">
        <is>
          <t>RPS 3010</t>
        </is>
      </c>
      <c r="L36" s="29" t="inlineStr">
        <is>
          <t>Itaú Unibanco — C/C 45678-9</t>
        </is>
      </c>
      <c r="M36" s="14" t="inlineStr">
        <is>
          <t>Boleto</t>
        </is>
      </c>
      <c r="N36" s="29" t="n"/>
      <c r="O36" s="13" t="n">
        <v>1</v>
      </c>
      <c r="P36" s="13" t="n">
        <v>1</v>
      </c>
      <c r="Q36" s="35" t="n">
        <v>13659.42</v>
      </c>
      <c r="R36" s="35" t="n">
        <v>13659.42</v>
      </c>
      <c r="S36" s="35" t="n"/>
      <c r="T36" s="35" t="n"/>
      <c r="U36" s="35" t="n"/>
      <c r="V36" s="18">
        <f>IF(COUNTA($B36:$R36)=0,"",ROUND(N($R36)+N($S36)+N($T36)-N($U36),2))</f>
        <v/>
      </c>
      <c r="W36" s="18">
        <f>IF(COUNTA($B36:$R36)=0,"",IF(OR($X36="Pago",$X36="Recebido",$X36="Cancelado"),0,ROUND(N($Q36)+N($S36)+N($T36)-N($U36)-N($R36),2)))</f>
        <v/>
      </c>
      <c r="X36" s="14" t="inlineStr">
        <is>
          <t>Pago</t>
        </is>
      </c>
      <c r="Y36" s="17">
        <f>IF(COUNTA($B36:$R36)=0,"",IF($X36="Cancelado","Cancelado",IF(OR($X36="Pago",$X36="Recebido"),$X36,IF(OR($X36="Parcial",N($R36)&gt;0),"Parcial",IF($C36="","Sem vencimento",IF($C36&lt;TODAY(),"Vencido",IF($C36=TODAY(),"Vence hoje",IF($C36&lt;=TODAY()+7,"Vence em 7 dias",IF($C36&lt;=TODAY()+30,"Vence em 30 dias","Futuro")))))))))</f>
        <v/>
      </c>
      <c r="Z36" s="24">
        <f>IF($B36="","",MONTH($B36))</f>
        <v/>
      </c>
      <c r="AA36" s="24">
        <f>IF($B36="","",YEAR($B36))</f>
        <v/>
      </c>
      <c r="AB36" s="24">
        <f>IF($B36="","",ISOWEEKNUM($B36))</f>
        <v/>
      </c>
      <c r="AC36" s="17">
        <f>IF($B36="","",CHOOSE(WEEKDAY($B36,2),"Segunda","Terça","Quarta","Quinta","Sexta","Sábado","Domingo"))</f>
        <v/>
      </c>
      <c r="AD36" s="17">
        <f>IF($B36="","",TEXT($B36,"MM/AAAA"))</f>
        <v/>
      </c>
      <c r="AE36" s="18">
        <f>IF(COUNTA($B36:$R36)=0,"",IF($X36="Cancelado",0,ROUND(N($Q36)+N($S36)+N($T36)-N($U36),2)))</f>
        <v/>
      </c>
      <c r="AF36" s="9">
        <f>IF($G36="","",IFERROR(INDEX(LINHAS_DRE_PLANO,MATCH($G36,SUBCATEGORIAS_PLANO,0)),"Não classificado"))</f>
        <v/>
      </c>
      <c r="AG36" s="17">
        <f>IF($G36="","",IFERROR(INDEX(TIPOS_FLUXO_PLANO,MATCH($G36,SUBCATEGORIAS_PLANO,0)),"Não classificado"))</f>
        <v/>
      </c>
      <c r="AH36" s="9">
        <f>IF($G36="","",IFERROR(INDEX(GRUPOS_PLANO,MATCH($G36,SUBCATEGORIAS_PLANO,0)),"Não classificado"))</f>
        <v/>
      </c>
      <c r="AI36" s="24">
        <f>IF(OR($C36="",$X36="Pago",$X36="Recebido",$X36="Cancelado"),"",$C36-TODAY())</f>
        <v/>
      </c>
      <c r="AJ36" s="24">
        <f>IF(OR($C36="",$X36="Pago",$X36="Recebido",$X36="Cancelado"),0,MAX(0,TODAY()-$C36))</f>
        <v/>
      </c>
      <c r="AK36" s="24">
        <f>IF($D36="","",$D36-$B36)</f>
        <v/>
      </c>
      <c r="AL36" s="18">
        <f>IF(OR($D36="",$B36=""),"",ROUND(N($R36)*($D36-$B36),2))</f>
        <v/>
      </c>
      <c r="AM36" s="17">
        <f>IF(AND($E36="Saída",$W36&gt;0,$C36&lt;&gt;""),$C36+ROW()/1000000,"")</f>
        <v/>
      </c>
      <c r="AN36" s="17">
        <f>IF(AND($E36="Entrada",$W36&gt;0,$C36&lt;&gt;""),$C36+ROW()/1000000,"")</f>
        <v/>
      </c>
      <c r="AO36" s="9">
        <f>IF(COUNTA($B36:$R36)=0,"",IF(AND($I36&lt;&gt;"",COUNTIF(CLIENTES_NOMES,$I36)+COUNTIF(CLIENTES_FANTASIA,$I36)+COUNTIF(FORNECEDORES_NOMES,$I36)+COUNTIF(FORNECEDORES_FANTASIA,$I36)=0),"⚠ Cliente/Fornecedor não cadastrado",IF(AND($G36&lt;&gt;"",COUNTIF(SUBCATEGORIAS_PLANO,$G36)=0),"⚠ Subcategoria fora do plano de contas",IF(OR($Q36="",N($Q36)=0),"⚠ Valor previsto não informado",IF(AND(OR($X36="Pago",$X36="Recebido"),$D36=""),"⚠ Status pago/recebido sem data",IF(AND($D36&lt;&gt;"",N($R36)=0),"⚠ Data de pagamento sem valor realizado",IF(AND(N($P36)&gt;1,N($O36)&gt;N($P36)),"⚠ Nº da parcela maior que o total",IF(AND($C36&lt;&gt;"",$B36&lt;&gt;"",$C36&lt;$B36),"⚠ Vencimento anterior à competência","OK"))))))))</f>
        <v/>
      </c>
    </row>
    <row r="37">
      <c r="A37" s="14" t="inlineStr">
        <is>
          <t>L0032</t>
        </is>
      </c>
      <c r="B37" s="36" t="n">
        <v>46046</v>
      </c>
      <c r="C37" s="36" t="n">
        <v>46058</v>
      </c>
      <c r="D37" s="36" t="n">
        <v>46058</v>
      </c>
      <c r="E37" s="14" t="inlineStr">
        <is>
          <t>Saída</t>
        </is>
      </c>
      <c r="F37" s="29" t="inlineStr">
        <is>
          <t>Despesas Comerciais</t>
        </is>
      </c>
      <c r="G37" s="29" t="inlineStr">
        <is>
          <t>Viagens Comerciais</t>
        </is>
      </c>
      <c r="H37" s="29" t="inlineStr">
        <is>
          <t>Comercial</t>
        </is>
      </c>
      <c r="I37" s="29" t="inlineStr">
        <is>
          <t>AGÊNCIA PULSO DIGITAL LTDA</t>
        </is>
      </c>
      <c r="J37" s="29" t="inlineStr">
        <is>
          <t>Viagens comerciais e visitas a clientes</t>
        </is>
      </c>
      <c r="K37" s="14" t="inlineStr">
        <is>
          <t>DOC 8277</t>
        </is>
      </c>
      <c r="L37" s="29" t="inlineStr">
        <is>
          <t>Itaú Unibanco — C/C 45678-9</t>
        </is>
      </c>
      <c r="M37" s="14" t="inlineStr">
        <is>
          <t>Cartão de crédito</t>
        </is>
      </c>
      <c r="N37" s="29" t="inlineStr">
        <is>
          <t>Cartão Visa Itaú Business</t>
        </is>
      </c>
      <c r="O37" s="13" t="n">
        <v>1</v>
      </c>
      <c r="P37" s="13" t="n">
        <v>1</v>
      </c>
      <c r="Q37" s="35" t="n">
        <v>1433.4</v>
      </c>
      <c r="R37" s="35" t="n">
        <v>1433.4</v>
      </c>
      <c r="S37" s="35" t="n"/>
      <c r="T37" s="35" t="n"/>
      <c r="U37" s="35" t="n"/>
      <c r="V37" s="18">
        <f>IF(COUNTA($B37:$R37)=0,"",ROUND(N($R37)+N($S37)+N($T37)-N($U37),2))</f>
        <v/>
      </c>
      <c r="W37" s="18">
        <f>IF(COUNTA($B37:$R37)=0,"",IF(OR($X37="Pago",$X37="Recebido",$X37="Cancelado"),0,ROUND(N($Q37)+N($S37)+N($T37)-N($U37)-N($R37),2)))</f>
        <v/>
      </c>
      <c r="X37" s="14" t="inlineStr">
        <is>
          <t>Pago</t>
        </is>
      </c>
      <c r="Y37" s="17">
        <f>IF(COUNTA($B37:$R37)=0,"",IF($X37="Cancelado","Cancelado",IF(OR($X37="Pago",$X37="Recebido"),$X37,IF(OR($X37="Parcial",N($R37)&gt;0),"Parcial",IF($C37="","Sem vencimento",IF($C37&lt;TODAY(),"Vencido",IF($C37=TODAY(),"Vence hoje",IF($C37&lt;=TODAY()+7,"Vence em 7 dias",IF($C37&lt;=TODAY()+30,"Vence em 30 dias","Futuro")))))))))</f>
        <v/>
      </c>
      <c r="Z37" s="24">
        <f>IF($B37="","",MONTH($B37))</f>
        <v/>
      </c>
      <c r="AA37" s="24">
        <f>IF($B37="","",YEAR($B37))</f>
        <v/>
      </c>
      <c r="AB37" s="24">
        <f>IF($B37="","",ISOWEEKNUM($B37))</f>
        <v/>
      </c>
      <c r="AC37" s="17">
        <f>IF($B37="","",CHOOSE(WEEKDAY($B37,2),"Segunda","Terça","Quarta","Quinta","Sexta","Sábado","Domingo"))</f>
        <v/>
      </c>
      <c r="AD37" s="17">
        <f>IF($B37="","",TEXT($B37,"MM/AAAA"))</f>
        <v/>
      </c>
      <c r="AE37" s="18">
        <f>IF(COUNTA($B37:$R37)=0,"",IF($X37="Cancelado",0,ROUND(N($Q37)+N($S37)+N($T37)-N($U37),2)))</f>
        <v/>
      </c>
      <c r="AF37" s="9">
        <f>IF($G37="","",IFERROR(INDEX(LINHAS_DRE_PLANO,MATCH($G37,SUBCATEGORIAS_PLANO,0)),"Não classificado"))</f>
        <v/>
      </c>
      <c r="AG37" s="17">
        <f>IF($G37="","",IFERROR(INDEX(TIPOS_FLUXO_PLANO,MATCH($G37,SUBCATEGORIAS_PLANO,0)),"Não classificado"))</f>
        <v/>
      </c>
      <c r="AH37" s="9">
        <f>IF($G37="","",IFERROR(INDEX(GRUPOS_PLANO,MATCH($G37,SUBCATEGORIAS_PLANO,0)),"Não classificado"))</f>
        <v/>
      </c>
      <c r="AI37" s="24">
        <f>IF(OR($C37="",$X37="Pago",$X37="Recebido",$X37="Cancelado"),"",$C37-TODAY())</f>
        <v/>
      </c>
      <c r="AJ37" s="24">
        <f>IF(OR($C37="",$X37="Pago",$X37="Recebido",$X37="Cancelado"),0,MAX(0,TODAY()-$C37))</f>
        <v/>
      </c>
      <c r="AK37" s="24">
        <f>IF($D37="","",$D37-$B37)</f>
        <v/>
      </c>
      <c r="AL37" s="18">
        <f>IF(OR($D37="",$B37=""),"",ROUND(N($R37)*($D37-$B37),2))</f>
        <v/>
      </c>
      <c r="AM37" s="17">
        <f>IF(AND($E37="Saída",$W37&gt;0,$C37&lt;&gt;""),$C37+ROW()/1000000,"")</f>
        <v/>
      </c>
      <c r="AN37" s="17">
        <f>IF(AND($E37="Entrada",$W37&gt;0,$C37&lt;&gt;""),$C37+ROW()/1000000,"")</f>
        <v/>
      </c>
      <c r="AO37" s="9">
        <f>IF(COUNTA($B37:$R37)=0,"",IF(AND($I37&lt;&gt;"",COUNTIF(CLIENTES_NOMES,$I37)+COUNTIF(CLIENTES_FANTASIA,$I37)+COUNTIF(FORNECEDORES_NOMES,$I37)+COUNTIF(FORNECEDORES_FANTASIA,$I37)=0),"⚠ Cliente/Fornecedor não cadastrado",IF(AND($G37&lt;&gt;"",COUNTIF(SUBCATEGORIAS_PLANO,$G37)=0),"⚠ Subcategoria fora do plano de contas",IF(OR($Q37="",N($Q37)=0),"⚠ Valor previsto não informado",IF(AND(OR($X37="Pago",$X37="Recebido"),$D37=""),"⚠ Status pago/recebido sem data",IF(AND($D37&lt;&gt;"",N($R37)=0),"⚠ Data de pagamento sem valor realizado",IF(AND(N($P37)&gt;1,N($O37)&gt;N($P37)),"⚠ Nº da parcela maior que o total",IF(AND($C37&lt;&gt;"",$B37&lt;&gt;"",$C37&lt;$B37),"⚠ Vencimento anterior à competência","OK"))))))))</f>
        <v/>
      </c>
    </row>
    <row r="38">
      <c r="A38" s="14" t="inlineStr">
        <is>
          <t>L0033</t>
        </is>
      </c>
      <c r="B38" s="36" t="n">
        <v>46047</v>
      </c>
      <c r="C38" s="36" t="n">
        <v>46062</v>
      </c>
      <c r="D38" s="36" t="n">
        <v>46064</v>
      </c>
      <c r="E38" s="14" t="inlineStr">
        <is>
          <t>Saída</t>
        </is>
      </c>
      <c r="F38" s="29" t="inlineStr">
        <is>
          <t>Custos Variáveis</t>
        </is>
      </c>
      <c r="G38" s="29" t="inlineStr">
        <is>
          <t>Fretes e Entregas sobre Vendas</t>
        </is>
      </c>
      <c r="H38" s="29" t="inlineStr">
        <is>
          <t>Logística</t>
        </is>
      </c>
      <c r="I38" s="29" t="inlineStr">
        <is>
          <t>TRANSPORTADORA RÁPIDA LOG LTDA</t>
        </is>
      </c>
      <c r="J38" s="29" t="inlineStr">
        <is>
          <t>Fretes de entrega — notas do período</t>
        </is>
      </c>
      <c r="K38" s="14" t="inlineStr">
        <is>
          <t>DOC 7161</t>
        </is>
      </c>
      <c r="L38" s="29" t="inlineStr">
        <is>
          <t>Itaú Unibanco — C/C 45678-9</t>
        </is>
      </c>
      <c r="M38" s="14" t="inlineStr">
        <is>
          <t>Boleto</t>
        </is>
      </c>
      <c r="N38" s="29" t="n"/>
      <c r="O38" s="13" t="n">
        <v>1</v>
      </c>
      <c r="P38" s="13" t="n">
        <v>1</v>
      </c>
      <c r="Q38" s="35" t="n">
        <v>3949.94</v>
      </c>
      <c r="R38" s="35" t="n">
        <v>3949.94</v>
      </c>
      <c r="S38" s="35" t="n"/>
      <c r="T38" s="35" t="n"/>
      <c r="U38" s="35" t="n"/>
      <c r="V38" s="18">
        <f>IF(COUNTA($B38:$R38)=0,"",ROUND(N($R38)+N($S38)+N($T38)-N($U38),2))</f>
        <v/>
      </c>
      <c r="W38" s="18">
        <f>IF(COUNTA($B38:$R38)=0,"",IF(OR($X38="Pago",$X38="Recebido",$X38="Cancelado"),0,ROUND(N($Q38)+N($S38)+N($T38)-N($U38)-N($R38),2)))</f>
        <v/>
      </c>
      <c r="X38" s="14" t="inlineStr">
        <is>
          <t>Pago</t>
        </is>
      </c>
      <c r="Y38" s="17">
        <f>IF(COUNTA($B38:$R38)=0,"",IF($X38="Cancelado","Cancelado",IF(OR($X38="Pago",$X38="Recebido"),$X38,IF(OR($X38="Parcial",N($R38)&gt;0),"Parcial",IF($C38="","Sem vencimento",IF($C38&lt;TODAY(),"Vencido",IF($C38=TODAY(),"Vence hoje",IF($C38&lt;=TODAY()+7,"Vence em 7 dias",IF($C38&lt;=TODAY()+30,"Vence em 30 dias","Futuro")))))))))</f>
        <v/>
      </c>
      <c r="Z38" s="24">
        <f>IF($B38="","",MONTH($B38))</f>
        <v/>
      </c>
      <c r="AA38" s="24">
        <f>IF($B38="","",YEAR($B38))</f>
        <v/>
      </c>
      <c r="AB38" s="24">
        <f>IF($B38="","",ISOWEEKNUM($B38))</f>
        <v/>
      </c>
      <c r="AC38" s="17">
        <f>IF($B38="","",CHOOSE(WEEKDAY($B38,2),"Segunda","Terça","Quarta","Quinta","Sexta","Sábado","Domingo"))</f>
        <v/>
      </c>
      <c r="AD38" s="17">
        <f>IF($B38="","",TEXT($B38,"MM/AAAA"))</f>
        <v/>
      </c>
      <c r="AE38" s="18">
        <f>IF(COUNTA($B38:$R38)=0,"",IF($X38="Cancelado",0,ROUND(N($Q38)+N($S38)+N($T38)-N($U38),2)))</f>
        <v/>
      </c>
      <c r="AF38" s="9">
        <f>IF($G38="","",IFERROR(INDEX(LINHAS_DRE_PLANO,MATCH($G38,SUBCATEGORIAS_PLANO,0)),"Não classificado"))</f>
        <v/>
      </c>
      <c r="AG38" s="17">
        <f>IF($G38="","",IFERROR(INDEX(TIPOS_FLUXO_PLANO,MATCH($G38,SUBCATEGORIAS_PLANO,0)),"Não classificado"))</f>
        <v/>
      </c>
      <c r="AH38" s="9">
        <f>IF($G38="","",IFERROR(INDEX(GRUPOS_PLANO,MATCH($G38,SUBCATEGORIAS_PLANO,0)),"Não classificado"))</f>
        <v/>
      </c>
      <c r="AI38" s="24">
        <f>IF(OR($C38="",$X38="Pago",$X38="Recebido",$X38="Cancelado"),"",$C38-TODAY())</f>
        <v/>
      </c>
      <c r="AJ38" s="24">
        <f>IF(OR($C38="",$X38="Pago",$X38="Recebido",$X38="Cancelado"),0,MAX(0,TODAY()-$C38))</f>
        <v/>
      </c>
      <c r="AK38" s="24">
        <f>IF($D38="","",$D38-$B38)</f>
        <v/>
      </c>
      <c r="AL38" s="18">
        <f>IF(OR($D38="",$B38=""),"",ROUND(N($R38)*($D38-$B38),2))</f>
        <v/>
      </c>
      <c r="AM38" s="17">
        <f>IF(AND($E38="Saída",$W38&gt;0,$C38&lt;&gt;""),$C38+ROW()/1000000,"")</f>
        <v/>
      </c>
      <c r="AN38" s="17">
        <f>IF(AND($E38="Entrada",$W38&gt;0,$C38&lt;&gt;""),$C38+ROW()/1000000,"")</f>
        <v/>
      </c>
      <c r="AO38" s="9">
        <f>IF(COUNTA($B38:$R38)=0,"",IF(AND($I38&lt;&gt;"",COUNTIF(CLIENTES_NOMES,$I38)+COUNTIF(CLIENTES_FANTASIA,$I38)+COUNTIF(FORNECEDORES_NOMES,$I38)+COUNTIF(FORNECEDORES_FANTASIA,$I38)=0),"⚠ Cliente/Fornecedor não cadastrado",IF(AND($G38&lt;&gt;"",COUNTIF(SUBCATEGORIAS_PLANO,$G38)=0),"⚠ Subcategoria fora do plano de contas",IF(OR($Q38="",N($Q38)=0),"⚠ Valor previsto não informado",IF(AND(OR($X38="Pago",$X38="Recebido"),$D38=""),"⚠ Status pago/recebido sem data",IF(AND($D38&lt;&gt;"",N($R38)=0),"⚠ Data de pagamento sem valor realizado",IF(AND(N($P38)&gt;1,N($O38)&gt;N($P38)),"⚠ Nº da parcela maior que o total",IF(AND($C38&lt;&gt;"",$B38&lt;&gt;"",$C38&lt;$B38),"⚠ Vencimento anterior à competência","OK"))))))))</f>
        <v/>
      </c>
    </row>
    <row r="39">
      <c r="A39" s="14" t="inlineStr">
        <is>
          <t>L0034</t>
        </is>
      </c>
      <c r="B39" s="36" t="n">
        <v>46047</v>
      </c>
      <c r="C39" s="36" t="n">
        <v>46047</v>
      </c>
      <c r="D39" s="36" t="n">
        <v>46047</v>
      </c>
      <c r="E39" s="14" t="inlineStr">
        <is>
          <t>Entrada</t>
        </is>
      </c>
      <c r="F39" s="29" t="inlineStr">
        <is>
          <t>Empréstimos e Financiamentos</t>
        </is>
      </c>
      <c r="G39" s="29" t="inlineStr">
        <is>
          <t>Empréstimos e Financiamentos Recebidos</t>
        </is>
      </c>
      <c r="H39" s="29" t="inlineStr">
        <is>
          <t>Diretoria</t>
        </is>
      </c>
      <c r="I39" s="29" t="inlineStr">
        <is>
          <t>Banco Santander</t>
        </is>
      </c>
      <c r="J39" s="29" t="inlineStr">
        <is>
          <t>Liberação do Financiamento de Veículo — contrato VEI-2026-0088</t>
        </is>
      </c>
      <c r="K39" s="14" t="inlineStr">
        <is>
          <t>VEI-2026-0088</t>
        </is>
      </c>
      <c r="L39" s="29" t="inlineStr">
        <is>
          <t>Itaú Unibanco — C/C 45678-9</t>
        </is>
      </c>
      <c r="M39" s="14" t="inlineStr">
        <is>
          <t>Transferência</t>
        </is>
      </c>
      <c r="N39" s="29" t="n"/>
      <c r="O39" s="13" t="n">
        <v>1</v>
      </c>
      <c r="P39" s="13" t="n">
        <v>1</v>
      </c>
      <c r="Q39" s="35" t="n">
        <v>80000</v>
      </c>
      <c r="R39" s="35" t="n">
        <v>80000</v>
      </c>
      <c r="S39" s="35" t="n"/>
      <c r="T39" s="35" t="n"/>
      <c r="U39" s="35" t="n"/>
      <c r="V39" s="18">
        <f>IF(COUNTA($B39:$R39)=0,"",ROUND(N($R39)+N($S39)+N($T39)-N($U39),2))</f>
        <v/>
      </c>
      <c r="W39" s="18">
        <f>IF(COUNTA($B39:$R39)=0,"",IF(OR($X39="Pago",$X39="Recebido",$X39="Cancelado"),0,ROUND(N($Q39)+N($S39)+N($T39)-N($U39)-N($R39),2)))</f>
        <v/>
      </c>
      <c r="X39" s="14" t="inlineStr">
        <is>
          <t>Recebido</t>
        </is>
      </c>
      <c r="Y39" s="17">
        <f>IF(COUNTA($B39:$R39)=0,"",IF($X39="Cancelado","Cancelado",IF(OR($X39="Pago",$X39="Recebido"),$X39,IF(OR($X39="Parcial",N($R39)&gt;0),"Parcial",IF($C39="","Sem vencimento",IF($C39&lt;TODAY(),"Vencido",IF($C39=TODAY(),"Vence hoje",IF($C39&lt;=TODAY()+7,"Vence em 7 dias",IF($C39&lt;=TODAY()+30,"Vence em 30 dias","Futuro")))))))))</f>
        <v/>
      </c>
      <c r="Z39" s="24">
        <f>IF($B39="","",MONTH($B39))</f>
        <v/>
      </c>
      <c r="AA39" s="24">
        <f>IF($B39="","",YEAR($B39))</f>
        <v/>
      </c>
      <c r="AB39" s="24">
        <f>IF($B39="","",ISOWEEKNUM($B39))</f>
        <v/>
      </c>
      <c r="AC39" s="17">
        <f>IF($B39="","",CHOOSE(WEEKDAY($B39,2),"Segunda","Terça","Quarta","Quinta","Sexta","Sábado","Domingo"))</f>
        <v/>
      </c>
      <c r="AD39" s="17">
        <f>IF($B39="","",TEXT($B39,"MM/AAAA"))</f>
        <v/>
      </c>
      <c r="AE39" s="18">
        <f>IF(COUNTA($B39:$R39)=0,"",IF($X39="Cancelado",0,ROUND(N($Q39)+N($S39)+N($T39)-N($U39),2)))</f>
        <v/>
      </c>
      <c r="AF39" s="9">
        <f>IF($G39="","",IFERROR(INDEX(LINHAS_DRE_PLANO,MATCH($G39,SUBCATEGORIAS_PLANO,0)),"Não classificado"))</f>
        <v/>
      </c>
      <c r="AG39" s="17">
        <f>IF($G39="","",IFERROR(INDEX(TIPOS_FLUXO_PLANO,MATCH($G39,SUBCATEGORIAS_PLANO,0)),"Não classificado"))</f>
        <v/>
      </c>
      <c r="AH39" s="9">
        <f>IF($G39="","",IFERROR(INDEX(GRUPOS_PLANO,MATCH($G39,SUBCATEGORIAS_PLANO,0)),"Não classificado"))</f>
        <v/>
      </c>
      <c r="AI39" s="24">
        <f>IF(OR($C39="",$X39="Pago",$X39="Recebido",$X39="Cancelado"),"",$C39-TODAY())</f>
        <v/>
      </c>
      <c r="AJ39" s="24">
        <f>IF(OR($C39="",$X39="Pago",$X39="Recebido",$X39="Cancelado"),0,MAX(0,TODAY()-$C39))</f>
        <v/>
      </c>
      <c r="AK39" s="24">
        <f>IF($D39="","",$D39-$B39)</f>
        <v/>
      </c>
      <c r="AL39" s="18">
        <f>IF(OR($D39="",$B39=""),"",ROUND(N($R39)*($D39-$B39),2))</f>
        <v/>
      </c>
      <c r="AM39" s="17">
        <f>IF(AND($E39="Saída",$W39&gt;0,$C39&lt;&gt;""),$C39+ROW()/1000000,"")</f>
        <v/>
      </c>
      <c r="AN39" s="17">
        <f>IF(AND($E39="Entrada",$W39&gt;0,$C39&lt;&gt;""),$C39+ROW()/1000000,"")</f>
        <v/>
      </c>
      <c r="AO39" s="9">
        <f>IF(COUNTA($B39:$R39)=0,"",IF(AND($I39&lt;&gt;"",COUNTIF(CLIENTES_NOMES,$I39)+COUNTIF(CLIENTES_FANTASIA,$I39)+COUNTIF(FORNECEDORES_NOMES,$I39)+COUNTIF(FORNECEDORES_FANTASIA,$I39)=0),"⚠ Cliente/Fornecedor não cadastrado",IF(AND($G39&lt;&gt;"",COUNTIF(SUBCATEGORIAS_PLANO,$G39)=0),"⚠ Subcategoria fora do plano de contas",IF(OR($Q39="",N($Q39)=0),"⚠ Valor previsto não informado",IF(AND(OR($X39="Pago",$X39="Recebido"),$D39=""),"⚠ Status pago/recebido sem data",IF(AND($D39&lt;&gt;"",N($R39)=0),"⚠ Data de pagamento sem valor realizado",IF(AND(N($P39)&gt;1,N($O39)&gt;N($P39)),"⚠ Nº da parcela maior que o total",IF(AND($C39&lt;&gt;"",$B39&lt;&gt;"",$C39&lt;$B39),"⚠ Vencimento anterior à competência","OK"))))))))</f>
        <v/>
      </c>
    </row>
    <row r="40">
      <c r="A40" s="14" t="inlineStr">
        <is>
          <t>L0035</t>
        </is>
      </c>
      <c r="B40" s="36" t="n">
        <v>46048</v>
      </c>
      <c r="C40" s="36" t="n">
        <v>46048</v>
      </c>
      <c r="D40" s="36" t="n">
        <v>46051</v>
      </c>
      <c r="E40" s="14" t="inlineStr">
        <is>
          <t>Saída</t>
        </is>
      </c>
      <c r="F40" s="29" t="inlineStr">
        <is>
          <t>Despesas Administrativas</t>
        </is>
      </c>
      <c r="G40" s="29" t="inlineStr">
        <is>
          <t>Outras Despesas Administrativas</t>
        </is>
      </c>
      <c r="H40" s="29" t="inlineStr">
        <is>
          <t>Administrativo</t>
        </is>
      </c>
      <c r="I40" s="29" t="inlineStr">
        <is>
          <t>MANUTENÇÃO PREDIAL EXPRESSA LTDA</t>
        </is>
      </c>
      <c r="J40" s="29" t="inlineStr">
        <is>
          <t>Despesas administrativas diversas</t>
        </is>
      </c>
      <c r="K40" s="14" t="inlineStr">
        <is>
          <t>DOC 8278</t>
        </is>
      </c>
      <c r="L40" s="29" t="inlineStr">
        <is>
          <t>Itaú Unibanco — C/C 45678-9</t>
        </is>
      </c>
      <c r="M40" s="14" t="inlineStr">
        <is>
          <t>PIX</t>
        </is>
      </c>
      <c r="N40" s="29" t="n"/>
      <c r="O40" s="13" t="n">
        <v>1</v>
      </c>
      <c r="P40" s="13" t="n">
        <v>1</v>
      </c>
      <c r="Q40" s="35" t="n">
        <v>458.14</v>
      </c>
      <c r="R40" s="35" t="n">
        <v>458.14</v>
      </c>
      <c r="S40" s="35" t="n"/>
      <c r="T40" s="35" t="n"/>
      <c r="U40" s="35" t="n"/>
      <c r="V40" s="18">
        <f>IF(COUNTA($B40:$R40)=0,"",ROUND(N($R40)+N($S40)+N($T40)-N($U40),2))</f>
        <v/>
      </c>
      <c r="W40" s="18">
        <f>IF(COUNTA($B40:$R40)=0,"",IF(OR($X40="Pago",$X40="Recebido",$X40="Cancelado"),0,ROUND(N($Q40)+N($S40)+N($T40)-N($U40)-N($R40),2)))</f>
        <v/>
      </c>
      <c r="X40" s="14" t="inlineStr">
        <is>
          <t>Pago</t>
        </is>
      </c>
      <c r="Y40" s="17">
        <f>IF(COUNTA($B40:$R40)=0,"",IF($X40="Cancelado","Cancelado",IF(OR($X40="Pago",$X40="Recebido"),$X40,IF(OR($X40="Parcial",N($R40)&gt;0),"Parcial",IF($C40="","Sem vencimento",IF($C40&lt;TODAY(),"Vencido",IF($C40=TODAY(),"Vence hoje",IF($C40&lt;=TODAY()+7,"Vence em 7 dias",IF($C40&lt;=TODAY()+30,"Vence em 30 dias","Futuro")))))))))</f>
        <v/>
      </c>
      <c r="Z40" s="24">
        <f>IF($B40="","",MONTH($B40))</f>
        <v/>
      </c>
      <c r="AA40" s="24">
        <f>IF($B40="","",YEAR($B40))</f>
        <v/>
      </c>
      <c r="AB40" s="24">
        <f>IF($B40="","",ISOWEEKNUM($B40))</f>
        <v/>
      </c>
      <c r="AC40" s="17">
        <f>IF($B40="","",CHOOSE(WEEKDAY($B40,2),"Segunda","Terça","Quarta","Quinta","Sexta","Sábado","Domingo"))</f>
        <v/>
      </c>
      <c r="AD40" s="17">
        <f>IF($B40="","",TEXT($B40,"MM/AAAA"))</f>
        <v/>
      </c>
      <c r="AE40" s="18">
        <f>IF(COUNTA($B40:$R40)=0,"",IF($X40="Cancelado",0,ROUND(N($Q40)+N($S40)+N($T40)-N($U40),2)))</f>
        <v/>
      </c>
      <c r="AF40" s="9">
        <f>IF($G40="","",IFERROR(INDEX(LINHAS_DRE_PLANO,MATCH($G40,SUBCATEGORIAS_PLANO,0)),"Não classificado"))</f>
        <v/>
      </c>
      <c r="AG40" s="17">
        <f>IF($G40="","",IFERROR(INDEX(TIPOS_FLUXO_PLANO,MATCH($G40,SUBCATEGORIAS_PLANO,0)),"Não classificado"))</f>
        <v/>
      </c>
      <c r="AH40" s="9">
        <f>IF($G40="","",IFERROR(INDEX(GRUPOS_PLANO,MATCH($G40,SUBCATEGORIAS_PLANO,0)),"Não classificado"))</f>
        <v/>
      </c>
      <c r="AI40" s="24">
        <f>IF(OR($C40="",$X40="Pago",$X40="Recebido",$X40="Cancelado"),"",$C40-TODAY())</f>
        <v/>
      </c>
      <c r="AJ40" s="24">
        <f>IF(OR($C40="",$X40="Pago",$X40="Recebido",$X40="Cancelado"),0,MAX(0,TODAY()-$C40))</f>
        <v/>
      </c>
      <c r="AK40" s="24">
        <f>IF($D40="","",$D40-$B40)</f>
        <v/>
      </c>
      <c r="AL40" s="18">
        <f>IF(OR($D40="",$B40=""),"",ROUND(N($R40)*($D40-$B40),2))</f>
        <v/>
      </c>
      <c r="AM40" s="17">
        <f>IF(AND($E40="Saída",$W40&gt;0,$C40&lt;&gt;""),$C40+ROW()/1000000,"")</f>
        <v/>
      </c>
      <c r="AN40" s="17">
        <f>IF(AND($E40="Entrada",$W40&gt;0,$C40&lt;&gt;""),$C40+ROW()/1000000,"")</f>
        <v/>
      </c>
      <c r="AO40" s="9">
        <f>IF(COUNTA($B40:$R40)=0,"",IF(AND($I40&lt;&gt;"",COUNTIF(CLIENTES_NOMES,$I40)+COUNTIF(CLIENTES_FANTASIA,$I40)+COUNTIF(FORNECEDORES_NOMES,$I40)+COUNTIF(FORNECEDORES_FANTASIA,$I40)=0),"⚠ Cliente/Fornecedor não cadastrado",IF(AND($G40&lt;&gt;"",COUNTIF(SUBCATEGORIAS_PLANO,$G40)=0),"⚠ Subcategoria fora do plano de contas",IF(OR($Q40="",N($Q40)=0),"⚠ Valor previsto não informado",IF(AND(OR($X40="Pago",$X40="Recebido"),$D40=""),"⚠ Status pago/recebido sem data",IF(AND($D40&lt;&gt;"",N($R40)=0),"⚠ Data de pagamento sem valor realizado",IF(AND(N($P40)&gt;1,N($O40)&gt;N($P40)),"⚠ Nº da parcela maior que o total",IF(AND($C40&lt;&gt;"",$B40&lt;&gt;"",$C40&lt;$B40),"⚠ Vencimento anterior à competência","OK"))))))))</f>
        <v/>
      </c>
    </row>
    <row r="41">
      <c r="A41" s="14" t="inlineStr">
        <is>
          <t>L0036</t>
        </is>
      </c>
      <c r="B41" s="36" t="n">
        <v>46050</v>
      </c>
      <c r="C41" s="36" t="n">
        <v>46050</v>
      </c>
      <c r="D41" s="36" t="n">
        <v>46050</v>
      </c>
      <c r="E41" s="14" t="inlineStr">
        <is>
          <t>Entrada</t>
        </is>
      </c>
      <c r="F41" s="29" t="inlineStr">
        <is>
          <t>Receitas Financeiras</t>
        </is>
      </c>
      <c r="G41" s="29" t="inlineStr">
        <is>
          <t>Rendimentos de Aplicações Financeiras</t>
        </is>
      </c>
      <c r="H41" s="29" t="inlineStr">
        <is>
          <t>Financeiro</t>
        </is>
      </c>
      <c r="I41" s="29" t="inlineStr">
        <is>
          <t>Itaú Unibanco</t>
        </is>
      </c>
      <c r="J41" s="29" t="inlineStr">
        <is>
          <t>Rendimento de aplicação financeira — 01/2026</t>
        </is>
      </c>
      <c r="K41" s="14" t="inlineStr">
        <is>
          <t>REND-APL</t>
        </is>
      </c>
      <c r="L41" s="29" t="inlineStr">
        <is>
          <t>Itaú Unibanco — C/C 45678-9</t>
        </is>
      </c>
      <c r="M41" s="14" t="inlineStr">
        <is>
          <t>Transferência</t>
        </is>
      </c>
      <c r="N41" s="29" t="n"/>
      <c r="O41" s="13" t="n">
        <v>1</v>
      </c>
      <c r="P41" s="13" t="n">
        <v>1</v>
      </c>
      <c r="Q41" s="35" t="n">
        <v>667.6</v>
      </c>
      <c r="R41" s="35" t="n">
        <v>667.6</v>
      </c>
      <c r="S41" s="35" t="n"/>
      <c r="T41" s="35" t="n"/>
      <c r="U41" s="35" t="n"/>
      <c r="V41" s="18">
        <f>IF(COUNTA($B41:$R41)=0,"",ROUND(N($R41)+N($S41)+N($T41)-N($U41),2))</f>
        <v/>
      </c>
      <c r="W41" s="18">
        <f>IF(COUNTA($B41:$R41)=0,"",IF(OR($X41="Pago",$X41="Recebido",$X41="Cancelado"),0,ROUND(N($Q41)+N($S41)+N($T41)-N($U41)-N($R41),2)))</f>
        <v/>
      </c>
      <c r="X41" s="14" t="inlineStr">
        <is>
          <t>Recebido</t>
        </is>
      </c>
      <c r="Y41" s="17">
        <f>IF(COUNTA($B41:$R41)=0,"",IF($X41="Cancelado","Cancelado",IF(OR($X41="Pago",$X41="Recebido"),$X41,IF(OR($X41="Parcial",N($R41)&gt;0),"Parcial",IF($C41="","Sem vencimento",IF($C41&lt;TODAY(),"Vencido",IF($C41=TODAY(),"Vence hoje",IF($C41&lt;=TODAY()+7,"Vence em 7 dias",IF($C41&lt;=TODAY()+30,"Vence em 30 dias","Futuro")))))))))</f>
        <v/>
      </c>
      <c r="Z41" s="24">
        <f>IF($B41="","",MONTH($B41))</f>
        <v/>
      </c>
      <c r="AA41" s="24">
        <f>IF($B41="","",YEAR($B41))</f>
        <v/>
      </c>
      <c r="AB41" s="24">
        <f>IF($B41="","",ISOWEEKNUM($B41))</f>
        <v/>
      </c>
      <c r="AC41" s="17">
        <f>IF($B41="","",CHOOSE(WEEKDAY($B41,2),"Segunda","Terça","Quarta","Quinta","Sexta","Sábado","Domingo"))</f>
        <v/>
      </c>
      <c r="AD41" s="17">
        <f>IF($B41="","",TEXT($B41,"MM/AAAA"))</f>
        <v/>
      </c>
      <c r="AE41" s="18">
        <f>IF(COUNTA($B41:$R41)=0,"",IF($X41="Cancelado",0,ROUND(N($Q41)+N($S41)+N($T41)-N($U41),2)))</f>
        <v/>
      </c>
      <c r="AF41" s="9">
        <f>IF($G41="","",IFERROR(INDEX(LINHAS_DRE_PLANO,MATCH($G41,SUBCATEGORIAS_PLANO,0)),"Não classificado"))</f>
        <v/>
      </c>
      <c r="AG41" s="17">
        <f>IF($G41="","",IFERROR(INDEX(TIPOS_FLUXO_PLANO,MATCH($G41,SUBCATEGORIAS_PLANO,0)),"Não classificado"))</f>
        <v/>
      </c>
      <c r="AH41" s="9">
        <f>IF($G41="","",IFERROR(INDEX(GRUPOS_PLANO,MATCH($G41,SUBCATEGORIAS_PLANO,0)),"Não classificado"))</f>
        <v/>
      </c>
      <c r="AI41" s="24">
        <f>IF(OR($C41="",$X41="Pago",$X41="Recebido",$X41="Cancelado"),"",$C41-TODAY())</f>
        <v/>
      </c>
      <c r="AJ41" s="24">
        <f>IF(OR($C41="",$X41="Pago",$X41="Recebido",$X41="Cancelado"),0,MAX(0,TODAY()-$C41))</f>
        <v/>
      </c>
      <c r="AK41" s="24">
        <f>IF($D41="","",$D41-$B41)</f>
        <v/>
      </c>
      <c r="AL41" s="18">
        <f>IF(OR($D41="",$B41=""),"",ROUND(N($R41)*($D41-$B41),2))</f>
        <v/>
      </c>
      <c r="AM41" s="17">
        <f>IF(AND($E41="Saída",$W41&gt;0,$C41&lt;&gt;""),$C41+ROW()/1000000,"")</f>
        <v/>
      </c>
      <c r="AN41" s="17">
        <f>IF(AND($E41="Entrada",$W41&gt;0,$C41&lt;&gt;""),$C41+ROW()/1000000,"")</f>
        <v/>
      </c>
      <c r="AO41" s="9">
        <f>IF(COUNTA($B41:$R41)=0,"",IF(AND($I41&lt;&gt;"",COUNTIF(CLIENTES_NOMES,$I41)+COUNTIF(CLIENTES_FANTASIA,$I41)+COUNTIF(FORNECEDORES_NOMES,$I41)+COUNTIF(FORNECEDORES_FANTASIA,$I41)=0),"⚠ Cliente/Fornecedor não cadastrado",IF(AND($G41&lt;&gt;"",COUNTIF(SUBCATEGORIAS_PLANO,$G41)=0),"⚠ Subcategoria fora do plano de contas",IF(OR($Q41="",N($Q41)=0),"⚠ Valor previsto não informado",IF(AND(OR($X41="Pago",$X41="Recebido"),$D41=""),"⚠ Status pago/recebido sem data",IF(AND($D41&lt;&gt;"",N($R41)=0),"⚠ Data de pagamento sem valor realizado",IF(AND(N($P41)&gt;1,N($O41)&gt;N($P41)),"⚠ Nº da parcela maior que o total",IF(AND($C41&lt;&gt;"",$B41&lt;&gt;"",$C41&lt;$B41),"⚠ Vencimento anterior à competência","OK"))))))))</f>
        <v/>
      </c>
    </row>
    <row r="42">
      <c r="A42" s="14" t="inlineStr">
        <is>
          <t>L0037</t>
        </is>
      </c>
      <c r="B42" s="36" t="n">
        <v>46050</v>
      </c>
      <c r="C42" s="36" t="n">
        <v>46055</v>
      </c>
      <c r="D42" s="36" t="n">
        <v>46057</v>
      </c>
      <c r="E42" s="14" t="inlineStr">
        <is>
          <t>Saída</t>
        </is>
      </c>
      <c r="F42" s="29" t="inlineStr">
        <is>
          <t>Custos Variáveis</t>
        </is>
      </c>
      <c r="G42" s="29" t="inlineStr">
        <is>
          <t>Comissões sobre Vendas</t>
        </is>
      </c>
      <c r="H42" s="29" t="inlineStr">
        <is>
          <t>Comercial</t>
        </is>
      </c>
      <c r="I42" s="29" t="inlineStr">
        <is>
          <t>EQUIPE COMERCIAL — COMISSÕES</t>
        </is>
      </c>
      <c r="J42" s="29" t="inlineStr">
        <is>
          <t>Comissões sobre vendas do período</t>
        </is>
      </c>
      <c r="K42" s="14" t="inlineStr">
        <is>
          <t>DOC 7162</t>
        </is>
      </c>
      <c r="L42" s="29" t="inlineStr">
        <is>
          <t>Itaú Unibanco — C/C 45678-9</t>
        </is>
      </c>
      <c r="M42" s="14" t="inlineStr">
        <is>
          <t>Transferência</t>
        </is>
      </c>
      <c r="N42" s="29" t="n"/>
      <c r="O42" s="13" t="n">
        <v>1</v>
      </c>
      <c r="P42" s="13" t="n">
        <v>1</v>
      </c>
      <c r="Q42" s="35" t="n">
        <v>3034.01</v>
      </c>
      <c r="R42" s="35" t="n">
        <v>3034.01</v>
      </c>
      <c r="S42" s="35" t="n"/>
      <c r="T42" s="35" t="n"/>
      <c r="U42" s="35" t="n"/>
      <c r="V42" s="18">
        <f>IF(COUNTA($B42:$R42)=0,"",ROUND(N($R42)+N($S42)+N($T42)-N($U42),2))</f>
        <v/>
      </c>
      <c r="W42" s="18">
        <f>IF(COUNTA($B42:$R42)=0,"",IF(OR($X42="Pago",$X42="Recebido",$X42="Cancelado"),0,ROUND(N($Q42)+N($S42)+N($T42)-N($U42)-N($R42),2)))</f>
        <v/>
      </c>
      <c r="X42" s="14" t="inlineStr">
        <is>
          <t>Pago</t>
        </is>
      </c>
      <c r="Y42" s="17">
        <f>IF(COUNTA($B42:$R42)=0,"",IF($X42="Cancelado","Cancelado",IF(OR($X42="Pago",$X42="Recebido"),$X42,IF(OR($X42="Parcial",N($R42)&gt;0),"Parcial",IF($C42="","Sem vencimento",IF($C42&lt;TODAY(),"Vencido",IF($C42=TODAY(),"Vence hoje",IF($C42&lt;=TODAY()+7,"Vence em 7 dias",IF($C42&lt;=TODAY()+30,"Vence em 30 dias","Futuro")))))))))</f>
        <v/>
      </c>
      <c r="Z42" s="24">
        <f>IF($B42="","",MONTH($B42))</f>
        <v/>
      </c>
      <c r="AA42" s="24">
        <f>IF($B42="","",YEAR($B42))</f>
        <v/>
      </c>
      <c r="AB42" s="24">
        <f>IF($B42="","",ISOWEEKNUM($B42))</f>
        <v/>
      </c>
      <c r="AC42" s="17">
        <f>IF($B42="","",CHOOSE(WEEKDAY($B42,2),"Segunda","Terça","Quarta","Quinta","Sexta","Sábado","Domingo"))</f>
        <v/>
      </c>
      <c r="AD42" s="17">
        <f>IF($B42="","",TEXT($B42,"MM/AAAA"))</f>
        <v/>
      </c>
      <c r="AE42" s="18">
        <f>IF(COUNTA($B42:$R42)=0,"",IF($X42="Cancelado",0,ROUND(N($Q42)+N($S42)+N($T42)-N($U42),2)))</f>
        <v/>
      </c>
      <c r="AF42" s="9">
        <f>IF($G42="","",IFERROR(INDEX(LINHAS_DRE_PLANO,MATCH($G42,SUBCATEGORIAS_PLANO,0)),"Não classificado"))</f>
        <v/>
      </c>
      <c r="AG42" s="17">
        <f>IF($G42="","",IFERROR(INDEX(TIPOS_FLUXO_PLANO,MATCH($G42,SUBCATEGORIAS_PLANO,0)),"Não classificado"))</f>
        <v/>
      </c>
      <c r="AH42" s="9">
        <f>IF($G42="","",IFERROR(INDEX(GRUPOS_PLANO,MATCH($G42,SUBCATEGORIAS_PLANO,0)),"Não classificado"))</f>
        <v/>
      </c>
      <c r="AI42" s="24">
        <f>IF(OR($C42="",$X42="Pago",$X42="Recebido",$X42="Cancelado"),"",$C42-TODAY())</f>
        <v/>
      </c>
      <c r="AJ42" s="24">
        <f>IF(OR($C42="",$X42="Pago",$X42="Recebido",$X42="Cancelado"),0,MAX(0,TODAY()-$C42))</f>
        <v/>
      </c>
      <c r="AK42" s="24">
        <f>IF($D42="","",$D42-$B42)</f>
        <v/>
      </c>
      <c r="AL42" s="18">
        <f>IF(OR($D42="",$B42=""),"",ROUND(N($R42)*($D42-$B42),2))</f>
        <v/>
      </c>
      <c r="AM42" s="17">
        <f>IF(AND($E42="Saída",$W42&gt;0,$C42&lt;&gt;""),$C42+ROW()/1000000,"")</f>
        <v/>
      </c>
      <c r="AN42" s="17">
        <f>IF(AND($E42="Entrada",$W42&gt;0,$C42&lt;&gt;""),$C42+ROW()/1000000,"")</f>
        <v/>
      </c>
      <c r="AO42" s="9">
        <f>IF(COUNTA($B42:$R42)=0,"",IF(AND($I42&lt;&gt;"",COUNTIF(CLIENTES_NOMES,$I42)+COUNTIF(CLIENTES_FANTASIA,$I42)+COUNTIF(FORNECEDORES_NOMES,$I42)+COUNTIF(FORNECEDORES_FANTASIA,$I42)=0),"⚠ Cliente/Fornecedor não cadastrado",IF(AND($G42&lt;&gt;"",COUNTIF(SUBCATEGORIAS_PLANO,$G42)=0),"⚠ Subcategoria fora do plano de contas",IF(OR($Q42="",N($Q42)=0),"⚠ Valor previsto não informado",IF(AND(OR($X42="Pago",$X42="Recebido"),$D42=""),"⚠ Status pago/recebido sem data",IF(AND($D42&lt;&gt;"",N($R42)=0),"⚠ Data de pagamento sem valor realizado",IF(AND(N($P42)&gt;1,N($O42)&gt;N($P42)),"⚠ Nº da parcela maior que o total",IF(AND($C42&lt;&gt;"",$B42&lt;&gt;"",$C42&lt;$B42),"⚠ Vencimento anterior à competência","OK"))))))))</f>
        <v/>
      </c>
    </row>
    <row r="43">
      <c r="A43" s="14" t="inlineStr">
        <is>
          <t>L0038</t>
        </is>
      </c>
      <c r="B43" s="36" t="n">
        <v>46050</v>
      </c>
      <c r="C43" s="36" t="n">
        <v>46060</v>
      </c>
      <c r="D43" s="36" t="n">
        <v>46060</v>
      </c>
      <c r="E43" s="14" t="inlineStr">
        <is>
          <t>Saída</t>
        </is>
      </c>
      <c r="F43" s="29" t="inlineStr">
        <is>
          <t>Custos Variáveis</t>
        </is>
      </c>
      <c r="G43" s="29" t="inlineStr">
        <is>
          <t>Taxas de Marketplace</t>
        </is>
      </c>
      <c r="H43" s="29" t="inlineStr">
        <is>
          <t>Comercial</t>
        </is>
      </c>
      <c r="I43" s="29" t="inlineStr">
        <is>
          <t>MARKETPLACE FOODB2B LTDA</t>
        </is>
      </c>
      <c r="J43" s="29" t="inlineStr">
        <is>
          <t>Taxas de intermediação do marketplace</t>
        </is>
      </c>
      <c r="K43" s="14" t="inlineStr">
        <is>
          <t>DOC 7163</t>
        </is>
      </c>
      <c r="L43" s="29" t="inlineStr">
        <is>
          <t>Itaú Unibanco — C/C 45678-9</t>
        </is>
      </c>
      <c r="M43" s="14" t="inlineStr">
        <is>
          <t>PIX</t>
        </is>
      </c>
      <c r="N43" s="29" t="n"/>
      <c r="O43" s="13" t="n">
        <v>1</v>
      </c>
      <c r="P43" s="13" t="n">
        <v>1</v>
      </c>
      <c r="Q43" s="35" t="n">
        <v>1673.69</v>
      </c>
      <c r="R43" s="35" t="n">
        <v>1673.69</v>
      </c>
      <c r="S43" s="35" t="n"/>
      <c r="T43" s="35" t="n"/>
      <c r="U43" s="35" t="n"/>
      <c r="V43" s="18">
        <f>IF(COUNTA($B43:$R43)=0,"",ROUND(N($R43)+N($S43)+N($T43)-N($U43),2))</f>
        <v/>
      </c>
      <c r="W43" s="18">
        <f>IF(COUNTA($B43:$R43)=0,"",IF(OR($X43="Pago",$X43="Recebido",$X43="Cancelado"),0,ROUND(N($Q43)+N($S43)+N($T43)-N($U43)-N($R43),2)))</f>
        <v/>
      </c>
      <c r="X43" s="14" t="inlineStr">
        <is>
          <t>Pago</t>
        </is>
      </c>
      <c r="Y43" s="17">
        <f>IF(COUNTA($B43:$R43)=0,"",IF($X43="Cancelado","Cancelado",IF(OR($X43="Pago",$X43="Recebido"),$X43,IF(OR($X43="Parcial",N($R43)&gt;0),"Parcial",IF($C43="","Sem vencimento",IF($C43&lt;TODAY(),"Vencido",IF($C43=TODAY(),"Vence hoje",IF($C43&lt;=TODAY()+7,"Vence em 7 dias",IF($C43&lt;=TODAY()+30,"Vence em 30 dias","Futuro")))))))))</f>
        <v/>
      </c>
      <c r="Z43" s="24">
        <f>IF($B43="","",MONTH($B43))</f>
        <v/>
      </c>
      <c r="AA43" s="24">
        <f>IF($B43="","",YEAR($B43))</f>
        <v/>
      </c>
      <c r="AB43" s="24">
        <f>IF($B43="","",ISOWEEKNUM($B43))</f>
        <v/>
      </c>
      <c r="AC43" s="17">
        <f>IF($B43="","",CHOOSE(WEEKDAY($B43,2),"Segunda","Terça","Quarta","Quinta","Sexta","Sábado","Domingo"))</f>
        <v/>
      </c>
      <c r="AD43" s="17">
        <f>IF($B43="","",TEXT($B43,"MM/AAAA"))</f>
        <v/>
      </c>
      <c r="AE43" s="18">
        <f>IF(COUNTA($B43:$R43)=0,"",IF($X43="Cancelado",0,ROUND(N($Q43)+N($S43)+N($T43)-N($U43),2)))</f>
        <v/>
      </c>
      <c r="AF43" s="9">
        <f>IF($G43="","",IFERROR(INDEX(LINHAS_DRE_PLANO,MATCH($G43,SUBCATEGORIAS_PLANO,0)),"Não classificado"))</f>
        <v/>
      </c>
      <c r="AG43" s="17">
        <f>IF($G43="","",IFERROR(INDEX(TIPOS_FLUXO_PLANO,MATCH($G43,SUBCATEGORIAS_PLANO,0)),"Não classificado"))</f>
        <v/>
      </c>
      <c r="AH43" s="9">
        <f>IF($G43="","",IFERROR(INDEX(GRUPOS_PLANO,MATCH($G43,SUBCATEGORIAS_PLANO,0)),"Não classificado"))</f>
        <v/>
      </c>
      <c r="AI43" s="24">
        <f>IF(OR($C43="",$X43="Pago",$X43="Recebido",$X43="Cancelado"),"",$C43-TODAY())</f>
        <v/>
      </c>
      <c r="AJ43" s="24">
        <f>IF(OR($C43="",$X43="Pago",$X43="Recebido",$X43="Cancelado"),0,MAX(0,TODAY()-$C43))</f>
        <v/>
      </c>
      <c r="AK43" s="24">
        <f>IF($D43="","",$D43-$B43)</f>
        <v/>
      </c>
      <c r="AL43" s="18">
        <f>IF(OR($D43="",$B43=""),"",ROUND(N($R43)*($D43-$B43),2))</f>
        <v/>
      </c>
      <c r="AM43" s="17">
        <f>IF(AND($E43="Saída",$W43&gt;0,$C43&lt;&gt;""),$C43+ROW()/1000000,"")</f>
        <v/>
      </c>
      <c r="AN43" s="17">
        <f>IF(AND($E43="Entrada",$W43&gt;0,$C43&lt;&gt;""),$C43+ROW()/1000000,"")</f>
        <v/>
      </c>
      <c r="AO43" s="9">
        <f>IF(COUNTA($B43:$R43)=0,"",IF(AND($I43&lt;&gt;"",COUNTIF(CLIENTES_NOMES,$I43)+COUNTIF(CLIENTES_FANTASIA,$I43)+COUNTIF(FORNECEDORES_NOMES,$I43)+COUNTIF(FORNECEDORES_FANTASIA,$I43)=0),"⚠ Cliente/Fornecedor não cadastrado",IF(AND($G43&lt;&gt;"",COUNTIF(SUBCATEGORIAS_PLANO,$G43)=0),"⚠ Subcategoria fora do plano de contas",IF(OR($Q43="",N($Q43)=0),"⚠ Valor previsto não informado",IF(AND(OR($X43="Pago",$X43="Recebido"),$D43=""),"⚠ Status pago/recebido sem data",IF(AND($D43&lt;&gt;"",N($R43)=0),"⚠ Data de pagamento sem valor realizado",IF(AND(N($P43)&gt;1,N($O43)&gt;N($P43)),"⚠ Nº da parcela maior que o total",IF(AND($C43&lt;&gt;"",$B43&lt;&gt;"",$C43&lt;$B43),"⚠ Vencimento anterior à competência","OK"))))))))</f>
        <v/>
      </c>
    </row>
    <row r="44">
      <c r="A44" s="14" t="inlineStr">
        <is>
          <t>L0039</t>
        </is>
      </c>
      <c r="B44" s="36" t="n">
        <v>46050</v>
      </c>
      <c r="C44" s="36" t="n">
        <v>46055</v>
      </c>
      <c r="D44" s="36" t="n">
        <v>46055</v>
      </c>
      <c r="E44" s="14" t="inlineStr">
        <is>
          <t>Saída</t>
        </is>
      </c>
      <c r="F44" s="29" t="inlineStr">
        <is>
          <t>Custos Variáveis</t>
        </is>
      </c>
      <c r="G44" s="29" t="inlineStr">
        <is>
          <t>Taxas de Cartão e Maquininha</t>
        </is>
      </c>
      <c r="H44" s="29" t="inlineStr">
        <is>
          <t>Financeiro</t>
        </is>
      </c>
      <c r="I44" s="29" t="inlineStr">
        <is>
          <t>CIELO S.A. — INSTITUIÇÃO DE PAGAMENTO</t>
        </is>
      </c>
      <c r="J44" s="29" t="inlineStr">
        <is>
          <t>Taxas de cartão e antecipação de recebíveis</t>
        </is>
      </c>
      <c r="K44" s="14" t="inlineStr">
        <is>
          <t>DOC 7164</t>
        </is>
      </c>
      <c r="L44" s="29" t="inlineStr">
        <is>
          <t>Itaú Unibanco — C/C 45678-9</t>
        </is>
      </c>
      <c r="M44" s="14" t="inlineStr">
        <is>
          <t>Transferência</t>
        </is>
      </c>
      <c r="N44" s="29" t="n"/>
      <c r="O44" s="13" t="n">
        <v>1</v>
      </c>
      <c r="P44" s="13" t="n">
        <v>1</v>
      </c>
      <c r="Q44" s="35" t="n">
        <v>2406.41</v>
      </c>
      <c r="R44" s="35" t="n">
        <v>2406.41</v>
      </c>
      <c r="S44" s="35" t="n"/>
      <c r="T44" s="35" t="n"/>
      <c r="U44" s="35" t="n"/>
      <c r="V44" s="18">
        <f>IF(COUNTA($B44:$R44)=0,"",ROUND(N($R44)+N($S44)+N($T44)-N($U44),2))</f>
        <v/>
      </c>
      <c r="W44" s="18">
        <f>IF(COUNTA($B44:$R44)=0,"",IF(OR($X44="Pago",$X44="Recebido",$X44="Cancelado"),0,ROUND(N($Q44)+N($S44)+N($T44)-N($U44)-N($R44),2)))</f>
        <v/>
      </c>
      <c r="X44" s="14" t="inlineStr">
        <is>
          <t>Pago</t>
        </is>
      </c>
      <c r="Y44" s="17">
        <f>IF(COUNTA($B44:$R44)=0,"",IF($X44="Cancelado","Cancelado",IF(OR($X44="Pago",$X44="Recebido"),$X44,IF(OR($X44="Parcial",N($R44)&gt;0),"Parcial",IF($C44="","Sem vencimento",IF($C44&lt;TODAY(),"Vencido",IF($C44=TODAY(),"Vence hoje",IF($C44&lt;=TODAY()+7,"Vence em 7 dias",IF($C44&lt;=TODAY()+30,"Vence em 30 dias","Futuro")))))))))</f>
        <v/>
      </c>
      <c r="Z44" s="24">
        <f>IF($B44="","",MONTH($B44))</f>
        <v/>
      </c>
      <c r="AA44" s="24">
        <f>IF($B44="","",YEAR($B44))</f>
        <v/>
      </c>
      <c r="AB44" s="24">
        <f>IF($B44="","",ISOWEEKNUM($B44))</f>
        <v/>
      </c>
      <c r="AC44" s="17">
        <f>IF($B44="","",CHOOSE(WEEKDAY($B44,2),"Segunda","Terça","Quarta","Quinta","Sexta","Sábado","Domingo"))</f>
        <v/>
      </c>
      <c r="AD44" s="17">
        <f>IF($B44="","",TEXT($B44,"MM/AAAA"))</f>
        <v/>
      </c>
      <c r="AE44" s="18">
        <f>IF(COUNTA($B44:$R44)=0,"",IF($X44="Cancelado",0,ROUND(N($Q44)+N($S44)+N($T44)-N($U44),2)))</f>
        <v/>
      </c>
      <c r="AF44" s="9">
        <f>IF($G44="","",IFERROR(INDEX(LINHAS_DRE_PLANO,MATCH($G44,SUBCATEGORIAS_PLANO,0)),"Não classificado"))</f>
        <v/>
      </c>
      <c r="AG44" s="17">
        <f>IF($G44="","",IFERROR(INDEX(TIPOS_FLUXO_PLANO,MATCH($G44,SUBCATEGORIAS_PLANO,0)),"Não classificado"))</f>
        <v/>
      </c>
      <c r="AH44" s="9">
        <f>IF($G44="","",IFERROR(INDEX(GRUPOS_PLANO,MATCH($G44,SUBCATEGORIAS_PLANO,0)),"Não classificado"))</f>
        <v/>
      </c>
      <c r="AI44" s="24">
        <f>IF(OR($C44="",$X44="Pago",$X44="Recebido",$X44="Cancelado"),"",$C44-TODAY())</f>
        <v/>
      </c>
      <c r="AJ44" s="24">
        <f>IF(OR($C44="",$X44="Pago",$X44="Recebido",$X44="Cancelado"),0,MAX(0,TODAY()-$C44))</f>
        <v/>
      </c>
      <c r="AK44" s="24">
        <f>IF($D44="","",$D44-$B44)</f>
        <v/>
      </c>
      <c r="AL44" s="18">
        <f>IF(OR($D44="",$B44=""),"",ROUND(N($R44)*($D44-$B44),2))</f>
        <v/>
      </c>
      <c r="AM44" s="17">
        <f>IF(AND($E44="Saída",$W44&gt;0,$C44&lt;&gt;""),$C44+ROW()/1000000,"")</f>
        <v/>
      </c>
      <c r="AN44" s="17">
        <f>IF(AND($E44="Entrada",$W44&gt;0,$C44&lt;&gt;""),$C44+ROW()/1000000,"")</f>
        <v/>
      </c>
      <c r="AO44" s="9">
        <f>IF(COUNTA($B44:$R44)=0,"",IF(AND($I44&lt;&gt;"",COUNTIF(CLIENTES_NOMES,$I44)+COUNTIF(CLIENTES_FANTASIA,$I44)+COUNTIF(FORNECEDORES_NOMES,$I44)+COUNTIF(FORNECEDORES_FANTASIA,$I44)=0),"⚠ Cliente/Fornecedor não cadastrado",IF(AND($G44&lt;&gt;"",COUNTIF(SUBCATEGORIAS_PLANO,$G44)=0),"⚠ Subcategoria fora do plano de contas",IF(OR($Q44="",N($Q44)=0),"⚠ Valor previsto não informado",IF(AND(OR($X44="Pago",$X44="Recebido"),$D44=""),"⚠ Status pago/recebido sem data",IF(AND($D44&lt;&gt;"",N($R44)=0),"⚠ Data de pagamento sem valor realizado",IF(AND(N($P44)&gt;1,N($O44)&gt;N($P44)),"⚠ Nº da parcela maior que o total",IF(AND($C44&lt;&gt;"",$B44&lt;&gt;"",$C44&lt;$B44),"⚠ Vencimento anterior à competência","OK"))))))))</f>
        <v/>
      </c>
    </row>
    <row r="45">
      <c r="A45" s="14" t="inlineStr">
        <is>
          <t>L0040</t>
        </is>
      </c>
      <c r="B45" s="36" t="n">
        <v>46050</v>
      </c>
      <c r="C45" s="36" t="n">
        <v>46050</v>
      </c>
      <c r="D45" s="36" t="n">
        <v>46052</v>
      </c>
      <c r="E45" s="14" t="inlineStr">
        <is>
          <t>Saída</t>
        </is>
      </c>
      <c r="F45" s="29" t="inlineStr">
        <is>
          <t>Despesas Financeiras</t>
        </is>
      </c>
      <c r="G45" s="29" t="inlineStr">
        <is>
          <t>Tarifas Bancárias</t>
        </is>
      </c>
      <c r="H45" s="29" t="inlineStr">
        <is>
          <t>Financeiro</t>
        </is>
      </c>
      <c r="I45" s="29" t="inlineStr">
        <is>
          <t>CONTABILIDADE AURORA ASSESSORIA CONTÁBIL LTDA</t>
        </is>
      </c>
      <c r="J45" s="29" t="inlineStr">
        <is>
          <t>Tarifas e pacote de serviços bancários</t>
        </is>
      </c>
      <c r="K45" s="14" t="inlineStr">
        <is>
          <t>DOC 8279</t>
        </is>
      </c>
      <c r="L45" s="29" t="inlineStr">
        <is>
          <t>Itaú Unibanco — C/C 45678-9</t>
        </is>
      </c>
      <c r="M45" s="14" t="inlineStr">
        <is>
          <t>Transferência</t>
        </is>
      </c>
      <c r="N45" s="29" t="n"/>
      <c r="O45" s="13" t="n">
        <v>1</v>
      </c>
      <c r="P45" s="13" t="n">
        <v>1</v>
      </c>
      <c r="Q45" s="35" t="n">
        <v>190</v>
      </c>
      <c r="R45" s="35" t="n">
        <v>190</v>
      </c>
      <c r="S45" s="35" t="n"/>
      <c r="T45" s="35" t="n"/>
      <c r="U45" s="35" t="n"/>
      <c r="V45" s="18">
        <f>IF(COUNTA($B45:$R45)=0,"",ROUND(N($R45)+N($S45)+N($T45)-N($U45),2))</f>
        <v/>
      </c>
      <c r="W45" s="18">
        <f>IF(COUNTA($B45:$R45)=0,"",IF(OR($X45="Pago",$X45="Recebido",$X45="Cancelado"),0,ROUND(N($Q45)+N($S45)+N($T45)-N($U45)-N($R45),2)))</f>
        <v/>
      </c>
      <c r="X45" s="14" t="inlineStr">
        <is>
          <t>Pago</t>
        </is>
      </c>
      <c r="Y45" s="17">
        <f>IF(COUNTA($B45:$R45)=0,"",IF($X45="Cancelado","Cancelado",IF(OR($X45="Pago",$X45="Recebido"),$X45,IF(OR($X45="Parcial",N($R45)&gt;0),"Parcial",IF($C45="","Sem vencimento",IF($C45&lt;TODAY(),"Vencido",IF($C45=TODAY(),"Vence hoje",IF($C45&lt;=TODAY()+7,"Vence em 7 dias",IF($C45&lt;=TODAY()+30,"Vence em 30 dias","Futuro")))))))))</f>
        <v/>
      </c>
      <c r="Z45" s="24">
        <f>IF($B45="","",MONTH($B45))</f>
        <v/>
      </c>
      <c r="AA45" s="24">
        <f>IF($B45="","",YEAR($B45))</f>
        <v/>
      </c>
      <c r="AB45" s="24">
        <f>IF($B45="","",ISOWEEKNUM($B45))</f>
        <v/>
      </c>
      <c r="AC45" s="17">
        <f>IF($B45="","",CHOOSE(WEEKDAY($B45,2),"Segunda","Terça","Quarta","Quinta","Sexta","Sábado","Domingo"))</f>
        <v/>
      </c>
      <c r="AD45" s="17">
        <f>IF($B45="","",TEXT($B45,"MM/AAAA"))</f>
        <v/>
      </c>
      <c r="AE45" s="18">
        <f>IF(COUNTA($B45:$R45)=0,"",IF($X45="Cancelado",0,ROUND(N($Q45)+N($S45)+N($T45)-N($U45),2)))</f>
        <v/>
      </c>
      <c r="AF45" s="9">
        <f>IF($G45="","",IFERROR(INDEX(LINHAS_DRE_PLANO,MATCH($G45,SUBCATEGORIAS_PLANO,0)),"Não classificado"))</f>
        <v/>
      </c>
      <c r="AG45" s="17">
        <f>IF($G45="","",IFERROR(INDEX(TIPOS_FLUXO_PLANO,MATCH($G45,SUBCATEGORIAS_PLANO,0)),"Não classificado"))</f>
        <v/>
      </c>
      <c r="AH45" s="9">
        <f>IF($G45="","",IFERROR(INDEX(GRUPOS_PLANO,MATCH($G45,SUBCATEGORIAS_PLANO,0)),"Não classificado"))</f>
        <v/>
      </c>
      <c r="AI45" s="24">
        <f>IF(OR($C45="",$X45="Pago",$X45="Recebido",$X45="Cancelado"),"",$C45-TODAY())</f>
        <v/>
      </c>
      <c r="AJ45" s="24">
        <f>IF(OR($C45="",$X45="Pago",$X45="Recebido",$X45="Cancelado"),0,MAX(0,TODAY()-$C45))</f>
        <v/>
      </c>
      <c r="AK45" s="24">
        <f>IF($D45="","",$D45-$B45)</f>
        <v/>
      </c>
      <c r="AL45" s="18">
        <f>IF(OR($D45="",$B45=""),"",ROUND(N($R45)*($D45-$B45),2))</f>
        <v/>
      </c>
      <c r="AM45" s="17">
        <f>IF(AND($E45="Saída",$W45&gt;0,$C45&lt;&gt;""),$C45+ROW()/1000000,"")</f>
        <v/>
      </c>
      <c r="AN45" s="17">
        <f>IF(AND($E45="Entrada",$W45&gt;0,$C45&lt;&gt;""),$C45+ROW()/1000000,"")</f>
        <v/>
      </c>
      <c r="AO45" s="9">
        <f>IF(COUNTA($B45:$R45)=0,"",IF(AND($I45&lt;&gt;"",COUNTIF(CLIENTES_NOMES,$I45)+COUNTIF(CLIENTES_FANTASIA,$I45)+COUNTIF(FORNECEDORES_NOMES,$I45)+COUNTIF(FORNECEDORES_FANTASIA,$I45)=0),"⚠ Cliente/Fornecedor não cadastrado",IF(AND($G45&lt;&gt;"",COUNTIF(SUBCATEGORIAS_PLANO,$G45)=0),"⚠ Subcategoria fora do plano de contas",IF(OR($Q45="",N($Q45)=0),"⚠ Valor previsto não informado",IF(AND(OR($X45="Pago",$X45="Recebido"),$D45=""),"⚠ Status pago/recebido sem data",IF(AND($D45&lt;&gt;"",N($R45)=0),"⚠ Data de pagamento sem valor realizado",IF(AND(N($P45)&gt;1,N($O45)&gt;N($P45)),"⚠ Nº da parcela maior que o total",IF(AND($C45&lt;&gt;"",$B45&lt;&gt;"",$C45&lt;$B45),"⚠ Vencimento anterior à competência","OK"))))))))</f>
        <v/>
      </c>
    </row>
    <row r="46">
      <c r="A46" s="14" t="inlineStr">
        <is>
          <t>L0041</t>
        </is>
      </c>
      <c r="B46" s="36" t="n">
        <v>46057</v>
      </c>
      <c r="C46" s="36" t="n">
        <v>46087</v>
      </c>
      <c r="D46" s="36" t="n">
        <v>46087</v>
      </c>
      <c r="E46" s="14" t="inlineStr">
        <is>
          <t>Saída</t>
        </is>
      </c>
      <c r="F46" s="29" t="inlineStr">
        <is>
          <t>Custos Variáveis</t>
        </is>
      </c>
      <c r="G46" s="29" t="inlineStr">
        <is>
          <t>Mercadorias para Revenda</t>
        </is>
      </c>
      <c r="H46" s="29" t="inlineStr">
        <is>
          <t>Logística</t>
        </is>
      </c>
      <c r="I46" s="29" t="inlineStr">
        <is>
          <t>DISTRIBUIDORA CENTRAL DE ALIMENTOS S/A</t>
        </is>
      </c>
      <c r="J46" s="29" t="inlineStr">
        <is>
          <t>Compra de mercadorias para revenda — NF 5020</t>
        </is>
      </c>
      <c r="K46" s="14" t="inlineStr">
        <is>
          <t>NF 5020</t>
        </is>
      </c>
      <c r="L46" s="29" t="inlineStr">
        <is>
          <t>Banco do Brasil — C/C 12345-6</t>
        </is>
      </c>
      <c r="M46" s="14" t="inlineStr">
        <is>
          <t>Boleto</t>
        </is>
      </c>
      <c r="N46" s="29" t="n"/>
      <c r="O46" s="13" t="n">
        <v>1</v>
      </c>
      <c r="P46" s="13" t="n">
        <v>1</v>
      </c>
      <c r="Q46" s="35" t="n">
        <v>55525.97</v>
      </c>
      <c r="R46" s="35" t="n">
        <v>55525.97</v>
      </c>
      <c r="S46" s="35" t="n"/>
      <c r="T46" s="35" t="n"/>
      <c r="U46" s="35" t="n"/>
      <c r="V46" s="18">
        <f>IF(COUNTA($B46:$R46)=0,"",ROUND(N($R46)+N($S46)+N($T46)-N($U46),2))</f>
        <v/>
      </c>
      <c r="W46" s="18">
        <f>IF(COUNTA($B46:$R46)=0,"",IF(OR($X46="Pago",$X46="Recebido",$X46="Cancelado"),0,ROUND(N($Q46)+N($S46)+N($T46)-N($U46)-N($R46),2)))</f>
        <v/>
      </c>
      <c r="X46" s="14" t="inlineStr">
        <is>
          <t>Pago</t>
        </is>
      </c>
      <c r="Y46" s="17">
        <f>IF(COUNTA($B46:$R46)=0,"",IF($X46="Cancelado","Cancelado",IF(OR($X46="Pago",$X46="Recebido"),$X46,IF(OR($X46="Parcial",N($R46)&gt;0),"Parcial",IF($C46="","Sem vencimento",IF($C46&lt;TODAY(),"Vencido",IF($C46=TODAY(),"Vence hoje",IF($C46&lt;=TODAY()+7,"Vence em 7 dias",IF($C46&lt;=TODAY()+30,"Vence em 30 dias","Futuro")))))))))</f>
        <v/>
      </c>
      <c r="Z46" s="24">
        <f>IF($B46="","",MONTH($B46))</f>
        <v/>
      </c>
      <c r="AA46" s="24">
        <f>IF($B46="","",YEAR($B46))</f>
        <v/>
      </c>
      <c r="AB46" s="24">
        <f>IF($B46="","",ISOWEEKNUM($B46))</f>
        <v/>
      </c>
      <c r="AC46" s="17">
        <f>IF($B46="","",CHOOSE(WEEKDAY($B46,2),"Segunda","Terça","Quarta","Quinta","Sexta","Sábado","Domingo"))</f>
        <v/>
      </c>
      <c r="AD46" s="17">
        <f>IF($B46="","",TEXT($B46,"MM/AAAA"))</f>
        <v/>
      </c>
      <c r="AE46" s="18">
        <f>IF(COUNTA($B46:$R46)=0,"",IF($X46="Cancelado",0,ROUND(N($Q46)+N($S46)+N($T46)-N($U46),2)))</f>
        <v/>
      </c>
      <c r="AF46" s="9">
        <f>IF($G46="","",IFERROR(INDEX(LINHAS_DRE_PLANO,MATCH($G46,SUBCATEGORIAS_PLANO,0)),"Não classificado"))</f>
        <v/>
      </c>
      <c r="AG46" s="17">
        <f>IF($G46="","",IFERROR(INDEX(TIPOS_FLUXO_PLANO,MATCH($G46,SUBCATEGORIAS_PLANO,0)),"Não classificado"))</f>
        <v/>
      </c>
      <c r="AH46" s="9">
        <f>IF($G46="","",IFERROR(INDEX(GRUPOS_PLANO,MATCH($G46,SUBCATEGORIAS_PLANO,0)),"Não classificado"))</f>
        <v/>
      </c>
      <c r="AI46" s="24">
        <f>IF(OR($C46="",$X46="Pago",$X46="Recebido",$X46="Cancelado"),"",$C46-TODAY())</f>
        <v/>
      </c>
      <c r="AJ46" s="24">
        <f>IF(OR($C46="",$X46="Pago",$X46="Recebido",$X46="Cancelado"),0,MAX(0,TODAY()-$C46))</f>
        <v/>
      </c>
      <c r="AK46" s="24">
        <f>IF($D46="","",$D46-$B46)</f>
        <v/>
      </c>
      <c r="AL46" s="18">
        <f>IF(OR($D46="",$B46=""),"",ROUND(N($R46)*($D46-$B46),2))</f>
        <v/>
      </c>
      <c r="AM46" s="17">
        <f>IF(AND($E46="Saída",$W46&gt;0,$C46&lt;&gt;""),$C46+ROW()/1000000,"")</f>
        <v/>
      </c>
      <c r="AN46" s="17">
        <f>IF(AND($E46="Entrada",$W46&gt;0,$C46&lt;&gt;""),$C46+ROW()/1000000,"")</f>
        <v/>
      </c>
      <c r="AO46" s="9">
        <f>IF(COUNTA($B46:$R46)=0,"",IF(AND($I46&lt;&gt;"",COUNTIF(CLIENTES_NOMES,$I46)+COUNTIF(CLIENTES_FANTASIA,$I46)+COUNTIF(FORNECEDORES_NOMES,$I46)+COUNTIF(FORNECEDORES_FANTASIA,$I46)=0),"⚠ Cliente/Fornecedor não cadastrado",IF(AND($G46&lt;&gt;"",COUNTIF(SUBCATEGORIAS_PLANO,$G46)=0),"⚠ Subcategoria fora do plano de contas",IF(OR($Q46="",N($Q46)=0),"⚠ Valor previsto não informado",IF(AND(OR($X46="Pago",$X46="Recebido"),$D46=""),"⚠ Status pago/recebido sem data",IF(AND($D46&lt;&gt;"",N($R46)=0),"⚠ Data de pagamento sem valor realizado",IF(AND(N($P46)&gt;1,N($O46)&gt;N($P46)),"⚠ Nº da parcela maior que o total",IF(AND($C46&lt;&gt;"",$B46&lt;&gt;"",$C46&lt;$B46),"⚠ Vencimento anterior à competência","OK"))))))))</f>
        <v/>
      </c>
    </row>
    <row r="47">
      <c r="A47" s="14" t="inlineStr">
        <is>
          <t>L0042</t>
        </is>
      </c>
      <c r="B47" s="36" t="n">
        <v>46058</v>
      </c>
      <c r="C47" s="36" t="n">
        <v>46063</v>
      </c>
      <c r="D47" s="36" t="n">
        <v>46063</v>
      </c>
      <c r="E47" s="14" t="inlineStr">
        <is>
          <t>Saída</t>
        </is>
      </c>
      <c r="F47" s="29" t="inlineStr">
        <is>
          <t>Despesas Administrativas</t>
        </is>
      </c>
      <c r="G47" s="29" t="inlineStr">
        <is>
          <t>Aluguel</t>
        </is>
      </c>
      <c r="H47" s="29" t="inlineStr">
        <is>
          <t>Administrativo</t>
        </is>
      </c>
      <c r="I47" s="29" t="inlineStr">
        <is>
          <t>IMÓVEIS E LOCAÇÕES PINHEIROS LTDA</t>
        </is>
      </c>
      <c r="J47" s="29" t="inlineStr">
        <is>
          <t>Aluguel do galpão — competência 02/2026</t>
        </is>
      </c>
      <c r="K47" s="14" t="inlineStr">
        <is>
          <t>DOC 8280</t>
        </is>
      </c>
      <c r="L47" s="29" t="inlineStr">
        <is>
          <t>Banco do Brasil — C/C 12345-6</t>
        </is>
      </c>
      <c r="M47" s="14" t="inlineStr">
        <is>
          <t>Boleto</t>
        </is>
      </c>
      <c r="N47" s="29" t="n"/>
      <c r="O47" s="13" t="n">
        <v>1</v>
      </c>
      <c r="P47" s="13" t="n">
        <v>1</v>
      </c>
      <c r="Q47" s="35" t="n">
        <v>7500</v>
      </c>
      <c r="R47" s="35" t="n">
        <v>7500</v>
      </c>
      <c r="S47" s="35" t="n"/>
      <c r="T47" s="35" t="n"/>
      <c r="U47" s="35" t="n"/>
      <c r="V47" s="18">
        <f>IF(COUNTA($B47:$R47)=0,"",ROUND(N($R47)+N($S47)+N($T47)-N($U47),2))</f>
        <v/>
      </c>
      <c r="W47" s="18">
        <f>IF(COUNTA($B47:$R47)=0,"",IF(OR($X47="Pago",$X47="Recebido",$X47="Cancelado"),0,ROUND(N($Q47)+N($S47)+N($T47)-N($U47)-N($R47),2)))</f>
        <v/>
      </c>
      <c r="X47" s="14" t="inlineStr">
        <is>
          <t>Pago</t>
        </is>
      </c>
      <c r="Y47" s="17">
        <f>IF(COUNTA($B47:$R47)=0,"",IF($X47="Cancelado","Cancelado",IF(OR($X47="Pago",$X47="Recebido"),$X47,IF(OR($X47="Parcial",N($R47)&gt;0),"Parcial",IF($C47="","Sem vencimento",IF($C47&lt;TODAY(),"Vencido",IF($C47=TODAY(),"Vence hoje",IF($C47&lt;=TODAY()+7,"Vence em 7 dias",IF($C47&lt;=TODAY()+30,"Vence em 30 dias","Futuro")))))))))</f>
        <v/>
      </c>
      <c r="Z47" s="24">
        <f>IF($B47="","",MONTH($B47))</f>
        <v/>
      </c>
      <c r="AA47" s="24">
        <f>IF($B47="","",YEAR($B47))</f>
        <v/>
      </c>
      <c r="AB47" s="24">
        <f>IF($B47="","",ISOWEEKNUM($B47))</f>
        <v/>
      </c>
      <c r="AC47" s="17">
        <f>IF($B47="","",CHOOSE(WEEKDAY($B47,2),"Segunda","Terça","Quarta","Quinta","Sexta","Sábado","Domingo"))</f>
        <v/>
      </c>
      <c r="AD47" s="17">
        <f>IF($B47="","",TEXT($B47,"MM/AAAA"))</f>
        <v/>
      </c>
      <c r="AE47" s="18">
        <f>IF(COUNTA($B47:$R47)=0,"",IF($X47="Cancelado",0,ROUND(N($Q47)+N($S47)+N($T47)-N($U47),2)))</f>
        <v/>
      </c>
      <c r="AF47" s="9">
        <f>IF($G47="","",IFERROR(INDEX(LINHAS_DRE_PLANO,MATCH($G47,SUBCATEGORIAS_PLANO,0)),"Não classificado"))</f>
        <v/>
      </c>
      <c r="AG47" s="17">
        <f>IF($G47="","",IFERROR(INDEX(TIPOS_FLUXO_PLANO,MATCH($G47,SUBCATEGORIAS_PLANO,0)),"Não classificado"))</f>
        <v/>
      </c>
      <c r="AH47" s="9">
        <f>IF($G47="","",IFERROR(INDEX(GRUPOS_PLANO,MATCH($G47,SUBCATEGORIAS_PLANO,0)),"Não classificado"))</f>
        <v/>
      </c>
      <c r="AI47" s="24">
        <f>IF(OR($C47="",$X47="Pago",$X47="Recebido",$X47="Cancelado"),"",$C47-TODAY())</f>
        <v/>
      </c>
      <c r="AJ47" s="24">
        <f>IF(OR($C47="",$X47="Pago",$X47="Recebido",$X47="Cancelado"),0,MAX(0,TODAY()-$C47))</f>
        <v/>
      </c>
      <c r="AK47" s="24">
        <f>IF($D47="","",$D47-$B47)</f>
        <v/>
      </c>
      <c r="AL47" s="18">
        <f>IF(OR($D47="",$B47=""),"",ROUND(N($R47)*($D47-$B47),2))</f>
        <v/>
      </c>
      <c r="AM47" s="17">
        <f>IF(AND($E47="Saída",$W47&gt;0,$C47&lt;&gt;""),$C47+ROW()/1000000,"")</f>
        <v/>
      </c>
      <c r="AN47" s="17">
        <f>IF(AND($E47="Entrada",$W47&gt;0,$C47&lt;&gt;""),$C47+ROW()/1000000,"")</f>
        <v/>
      </c>
      <c r="AO47" s="9">
        <f>IF(COUNTA($B47:$R47)=0,"",IF(AND($I47&lt;&gt;"",COUNTIF(CLIENTES_NOMES,$I47)+COUNTIF(CLIENTES_FANTASIA,$I47)+COUNTIF(FORNECEDORES_NOMES,$I47)+COUNTIF(FORNECEDORES_FANTASIA,$I47)=0),"⚠ Cliente/Fornecedor não cadastrado",IF(AND($G47&lt;&gt;"",COUNTIF(SUBCATEGORIAS_PLANO,$G47)=0),"⚠ Subcategoria fora do plano de contas",IF(OR($Q47="",N($Q47)=0),"⚠ Valor previsto não informado",IF(AND(OR($X47="Pago",$X47="Recebido"),$D47=""),"⚠ Status pago/recebido sem data",IF(AND($D47&lt;&gt;"",N($R47)=0),"⚠ Data de pagamento sem valor realizado",IF(AND(N($P47)&gt;1,N($O47)&gt;N($P47)),"⚠ Nº da parcela maior que o total",IF(AND($C47&lt;&gt;"",$B47&lt;&gt;"",$C47&lt;$B47),"⚠ Vencimento anterior à competência","OK"))))))))</f>
        <v/>
      </c>
    </row>
    <row r="48">
      <c r="A48" s="14" t="inlineStr">
        <is>
          <t>L0043</t>
        </is>
      </c>
      <c r="B48" s="36" t="n">
        <v>46058</v>
      </c>
      <c r="C48" s="36" t="n">
        <v>46063</v>
      </c>
      <c r="D48" s="36" t="n">
        <v>46065</v>
      </c>
      <c r="E48" s="14" t="inlineStr">
        <is>
          <t>Saída</t>
        </is>
      </c>
      <c r="F48" s="29" t="inlineStr">
        <is>
          <t>Despesas com Pessoal</t>
        </is>
      </c>
      <c r="G48" s="29" t="inlineStr">
        <is>
          <t>Salários</t>
        </is>
      </c>
      <c r="H48" s="29" t="inlineStr">
        <is>
          <t>Administrativo</t>
        </is>
      </c>
      <c r="I48" s="29" t="inlineStr">
        <is>
          <t>COLABORADORES — FOLHA DE PAGAMENTO</t>
        </is>
      </c>
      <c r="J48" s="29" t="inlineStr">
        <is>
          <t>Folha de pagamento — 02/2026</t>
        </is>
      </c>
      <c r="K48" s="14" t="inlineStr">
        <is>
          <t>DOC 8286</t>
        </is>
      </c>
      <c r="L48" s="29" t="inlineStr">
        <is>
          <t>Banco do Brasil — C/C 12345-6</t>
        </is>
      </c>
      <c r="M48" s="14" t="inlineStr">
        <is>
          <t>Transferência</t>
        </is>
      </c>
      <c r="N48" s="29" t="n"/>
      <c r="O48" s="13" t="n">
        <v>1</v>
      </c>
      <c r="P48" s="13" t="n">
        <v>1</v>
      </c>
      <c r="Q48" s="35" t="n">
        <v>16000</v>
      </c>
      <c r="R48" s="35" t="n">
        <v>16000</v>
      </c>
      <c r="S48" s="35" t="n"/>
      <c r="T48" s="35" t="n"/>
      <c r="U48" s="35" t="n"/>
      <c r="V48" s="18">
        <f>IF(COUNTA($B48:$R48)=0,"",ROUND(N($R48)+N($S48)+N($T48)-N($U48),2))</f>
        <v/>
      </c>
      <c r="W48" s="18">
        <f>IF(COUNTA($B48:$R48)=0,"",IF(OR($X48="Pago",$X48="Recebido",$X48="Cancelado"),0,ROUND(N($Q48)+N($S48)+N($T48)-N($U48)-N($R48),2)))</f>
        <v/>
      </c>
      <c r="X48" s="14" t="inlineStr">
        <is>
          <t>Pago</t>
        </is>
      </c>
      <c r="Y48" s="17">
        <f>IF(COUNTA($B48:$R48)=0,"",IF($X48="Cancelado","Cancelado",IF(OR($X48="Pago",$X48="Recebido"),$X48,IF(OR($X48="Parcial",N($R48)&gt;0),"Parcial",IF($C48="","Sem vencimento",IF($C48&lt;TODAY(),"Vencido",IF($C48=TODAY(),"Vence hoje",IF($C48&lt;=TODAY()+7,"Vence em 7 dias",IF($C48&lt;=TODAY()+30,"Vence em 30 dias","Futuro")))))))))</f>
        <v/>
      </c>
      <c r="Z48" s="24">
        <f>IF($B48="","",MONTH($B48))</f>
        <v/>
      </c>
      <c r="AA48" s="24">
        <f>IF($B48="","",YEAR($B48))</f>
        <v/>
      </c>
      <c r="AB48" s="24">
        <f>IF($B48="","",ISOWEEKNUM($B48))</f>
        <v/>
      </c>
      <c r="AC48" s="17">
        <f>IF($B48="","",CHOOSE(WEEKDAY($B48,2),"Segunda","Terça","Quarta","Quinta","Sexta","Sábado","Domingo"))</f>
        <v/>
      </c>
      <c r="AD48" s="17">
        <f>IF($B48="","",TEXT($B48,"MM/AAAA"))</f>
        <v/>
      </c>
      <c r="AE48" s="18">
        <f>IF(COUNTA($B48:$R48)=0,"",IF($X48="Cancelado",0,ROUND(N($Q48)+N($S48)+N($T48)-N($U48),2)))</f>
        <v/>
      </c>
      <c r="AF48" s="9">
        <f>IF($G48="","",IFERROR(INDEX(LINHAS_DRE_PLANO,MATCH($G48,SUBCATEGORIAS_PLANO,0)),"Não classificado"))</f>
        <v/>
      </c>
      <c r="AG48" s="17">
        <f>IF($G48="","",IFERROR(INDEX(TIPOS_FLUXO_PLANO,MATCH($G48,SUBCATEGORIAS_PLANO,0)),"Não classificado"))</f>
        <v/>
      </c>
      <c r="AH48" s="9">
        <f>IF($G48="","",IFERROR(INDEX(GRUPOS_PLANO,MATCH($G48,SUBCATEGORIAS_PLANO,0)),"Não classificado"))</f>
        <v/>
      </c>
      <c r="AI48" s="24">
        <f>IF(OR($C48="",$X48="Pago",$X48="Recebido",$X48="Cancelado"),"",$C48-TODAY())</f>
        <v/>
      </c>
      <c r="AJ48" s="24">
        <f>IF(OR($C48="",$X48="Pago",$X48="Recebido",$X48="Cancelado"),0,MAX(0,TODAY()-$C48))</f>
        <v/>
      </c>
      <c r="AK48" s="24">
        <f>IF($D48="","",$D48-$B48)</f>
        <v/>
      </c>
      <c r="AL48" s="18">
        <f>IF(OR($D48="",$B48=""),"",ROUND(N($R48)*($D48-$B48),2))</f>
        <v/>
      </c>
      <c r="AM48" s="17">
        <f>IF(AND($E48="Saída",$W48&gt;0,$C48&lt;&gt;""),$C48+ROW()/1000000,"")</f>
        <v/>
      </c>
      <c r="AN48" s="17">
        <f>IF(AND($E48="Entrada",$W48&gt;0,$C48&lt;&gt;""),$C48+ROW()/1000000,"")</f>
        <v/>
      </c>
      <c r="AO48" s="9">
        <f>IF(COUNTA($B48:$R48)=0,"",IF(AND($I48&lt;&gt;"",COUNTIF(CLIENTES_NOMES,$I48)+COUNTIF(CLIENTES_FANTASIA,$I48)+COUNTIF(FORNECEDORES_NOMES,$I48)+COUNTIF(FORNECEDORES_FANTASIA,$I48)=0),"⚠ Cliente/Fornecedor não cadastrado",IF(AND($G48&lt;&gt;"",COUNTIF(SUBCATEGORIAS_PLANO,$G48)=0),"⚠ Subcategoria fora do plano de contas",IF(OR($Q48="",N($Q48)=0),"⚠ Valor previsto não informado",IF(AND(OR($X48="Pago",$X48="Recebido"),$D48=""),"⚠ Status pago/recebido sem data",IF(AND($D48&lt;&gt;"",N($R48)=0),"⚠ Data de pagamento sem valor realizado",IF(AND(N($P48)&gt;1,N($O48)&gt;N($P48)),"⚠ Nº da parcela maior que o total",IF(AND($C48&lt;&gt;"",$B48&lt;&gt;"",$C48&lt;$B48),"⚠ Vencimento anterior à competência","OK"))))))))</f>
        <v/>
      </c>
    </row>
    <row r="49">
      <c r="A49" s="14" t="inlineStr">
        <is>
          <t>L0044</t>
        </is>
      </c>
      <c r="B49" s="36" t="n">
        <v>46058</v>
      </c>
      <c r="C49" s="36" t="n">
        <v>46063</v>
      </c>
      <c r="D49" s="36" t="n">
        <v>46066</v>
      </c>
      <c r="E49" s="14" t="inlineStr">
        <is>
          <t>Saída</t>
        </is>
      </c>
      <c r="F49" s="29" t="inlineStr">
        <is>
          <t>Despesas com Pessoal</t>
        </is>
      </c>
      <c r="G49" s="29" t="inlineStr">
        <is>
          <t>Benefícios (VT/VA/Plano de Saúde)</t>
        </is>
      </c>
      <c r="H49" s="29" t="inlineStr">
        <is>
          <t>Administrativo</t>
        </is>
      </c>
      <c r="I49" s="29" t="inlineStr">
        <is>
          <t>BENEFÍCIOS BRASIL ADMINISTRADORA LTDA</t>
        </is>
      </c>
      <c r="J49" s="29" t="inlineStr">
        <is>
          <t>Vale-transporte, alimentação e saúde</t>
        </is>
      </c>
      <c r="K49" s="14" t="inlineStr">
        <is>
          <t>DOC 8288</t>
        </is>
      </c>
      <c r="L49" s="29" t="inlineStr">
        <is>
          <t>Banco do Brasil — C/C 12345-6</t>
        </is>
      </c>
      <c r="M49" s="14" t="inlineStr">
        <is>
          <t>Transferência</t>
        </is>
      </c>
      <c r="N49" s="29" t="n"/>
      <c r="O49" s="13" t="n">
        <v>1</v>
      </c>
      <c r="P49" s="13" t="n">
        <v>1</v>
      </c>
      <c r="Q49" s="35" t="n">
        <v>1900</v>
      </c>
      <c r="R49" s="35" t="n">
        <v>1900</v>
      </c>
      <c r="S49" s="35" t="n"/>
      <c r="T49" s="35" t="n"/>
      <c r="U49" s="35" t="n"/>
      <c r="V49" s="18">
        <f>IF(COUNTA($B49:$R49)=0,"",ROUND(N($R49)+N($S49)+N($T49)-N($U49),2))</f>
        <v/>
      </c>
      <c r="W49" s="18">
        <f>IF(COUNTA($B49:$R49)=0,"",IF(OR($X49="Pago",$X49="Recebido",$X49="Cancelado"),0,ROUND(N($Q49)+N($S49)+N($T49)-N($U49)-N($R49),2)))</f>
        <v/>
      </c>
      <c r="X49" s="14" t="inlineStr">
        <is>
          <t>Pago</t>
        </is>
      </c>
      <c r="Y49" s="17">
        <f>IF(COUNTA($B49:$R49)=0,"",IF($X49="Cancelado","Cancelado",IF(OR($X49="Pago",$X49="Recebido"),$X49,IF(OR($X49="Parcial",N($R49)&gt;0),"Parcial",IF($C49="","Sem vencimento",IF($C49&lt;TODAY(),"Vencido",IF($C49=TODAY(),"Vence hoje",IF($C49&lt;=TODAY()+7,"Vence em 7 dias",IF($C49&lt;=TODAY()+30,"Vence em 30 dias","Futuro")))))))))</f>
        <v/>
      </c>
      <c r="Z49" s="24">
        <f>IF($B49="","",MONTH($B49))</f>
        <v/>
      </c>
      <c r="AA49" s="24">
        <f>IF($B49="","",YEAR($B49))</f>
        <v/>
      </c>
      <c r="AB49" s="24">
        <f>IF($B49="","",ISOWEEKNUM($B49))</f>
        <v/>
      </c>
      <c r="AC49" s="17">
        <f>IF($B49="","",CHOOSE(WEEKDAY($B49,2),"Segunda","Terça","Quarta","Quinta","Sexta","Sábado","Domingo"))</f>
        <v/>
      </c>
      <c r="AD49" s="17">
        <f>IF($B49="","",TEXT($B49,"MM/AAAA"))</f>
        <v/>
      </c>
      <c r="AE49" s="18">
        <f>IF(COUNTA($B49:$R49)=0,"",IF($X49="Cancelado",0,ROUND(N($Q49)+N($S49)+N($T49)-N($U49),2)))</f>
        <v/>
      </c>
      <c r="AF49" s="9">
        <f>IF($G49="","",IFERROR(INDEX(LINHAS_DRE_PLANO,MATCH($G49,SUBCATEGORIAS_PLANO,0)),"Não classificado"))</f>
        <v/>
      </c>
      <c r="AG49" s="17">
        <f>IF($G49="","",IFERROR(INDEX(TIPOS_FLUXO_PLANO,MATCH($G49,SUBCATEGORIAS_PLANO,0)),"Não classificado"))</f>
        <v/>
      </c>
      <c r="AH49" s="9">
        <f>IF($G49="","",IFERROR(INDEX(GRUPOS_PLANO,MATCH($G49,SUBCATEGORIAS_PLANO,0)),"Não classificado"))</f>
        <v/>
      </c>
      <c r="AI49" s="24">
        <f>IF(OR($C49="",$X49="Pago",$X49="Recebido",$X49="Cancelado"),"",$C49-TODAY())</f>
        <v/>
      </c>
      <c r="AJ49" s="24">
        <f>IF(OR($C49="",$X49="Pago",$X49="Recebido",$X49="Cancelado"),0,MAX(0,TODAY()-$C49))</f>
        <v/>
      </c>
      <c r="AK49" s="24">
        <f>IF($D49="","",$D49-$B49)</f>
        <v/>
      </c>
      <c r="AL49" s="18">
        <f>IF(OR($D49="",$B49=""),"",ROUND(N($R49)*($D49-$B49),2))</f>
        <v/>
      </c>
      <c r="AM49" s="17">
        <f>IF(AND($E49="Saída",$W49&gt;0,$C49&lt;&gt;""),$C49+ROW()/1000000,"")</f>
        <v/>
      </c>
      <c r="AN49" s="17">
        <f>IF(AND($E49="Entrada",$W49&gt;0,$C49&lt;&gt;""),$C49+ROW()/1000000,"")</f>
        <v/>
      </c>
      <c r="AO49" s="9">
        <f>IF(COUNTA($B49:$R49)=0,"",IF(AND($I49&lt;&gt;"",COUNTIF(CLIENTES_NOMES,$I49)+COUNTIF(CLIENTES_FANTASIA,$I49)+COUNTIF(FORNECEDORES_NOMES,$I49)+COUNTIF(FORNECEDORES_FANTASIA,$I49)=0),"⚠ Cliente/Fornecedor não cadastrado",IF(AND($G49&lt;&gt;"",COUNTIF(SUBCATEGORIAS_PLANO,$G49)=0),"⚠ Subcategoria fora do plano de contas",IF(OR($Q49="",N($Q49)=0),"⚠ Valor previsto não informado",IF(AND(OR($X49="Pago",$X49="Recebido"),$D49=""),"⚠ Status pago/recebido sem data",IF(AND($D49&lt;&gt;"",N($R49)=0),"⚠ Data de pagamento sem valor realizado",IF(AND(N($P49)&gt;1,N($O49)&gt;N($P49)),"⚠ Nº da parcela maior que o total",IF(AND($C49&lt;&gt;"",$B49&lt;&gt;"",$C49&lt;$B49),"⚠ Vencimento anterior à competência","OK"))))))))</f>
        <v/>
      </c>
    </row>
    <row r="50">
      <c r="A50" s="14" t="inlineStr">
        <is>
          <t>L0045</t>
        </is>
      </c>
      <c r="B50" s="36" t="n">
        <v>46058</v>
      </c>
      <c r="C50" s="36" t="n">
        <v>46063</v>
      </c>
      <c r="D50" s="36" t="n">
        <v>46065</v>
      </c>
      <c r="E50" s="14" t="inlineStr">
        <is>
          <t>Saída</t>
        </is>
      </c>
      <c r="F50" s="29" t="inlineStr">
        <is>
          <t>Despesas com Pessoal</t>
        </is>
      </c>
      <c r="G50" s="29" t="inlineStr">
        <is>
          <t>Pró-labore</t>
        </is>
      </c>
      <c r="H50" s="29" t="inlineStr">
        <is>
          <t>Diretoria</t>
        </is>
      </c>
      <c r="I50" s="29" t="inlineStr">
        <is>
          <t>SÓCIOS — PRÓ-LABORE E DISTRIBUIÇÕES</t>
        </is>
      </c>
      <c r="J50" s="29" t="inlineStr">
        <is>
          <t>Pró-labore dos sócios — 02/2026</t>
        </is>
      </c>
      <c r="K50" s="14" t="inlineStr">
        <is>
          <t>DOC 8289</t>
        </is>
      </c>
      <c r="L50" s="29" t="inlineStr">
        <is>
          <t>Banco do Brasil — C/C 12345-6</t>
        </is>
      </c>
      <c r="M50" s="14" t="inlineStr">
        <is>
          <t>Transferência</t>
        </is>
      </c>
      <c r="N50" s="29" t="n"/>
      <c r="O50" s="13" t="n">
        <v>1</v>
      </c>
      <c r="P50" s="13" t="n">
        <v>1</v>
      </c>
      <c r="Q50" s="35" t="n">
        <v>9500</v>
      </c>
      <c r="R50" s="35" t="n">
        <v>9500</v>
      </c>
      <c r="S50" s="35" t="n"/>
      <c r="T50" s="35" t="n"/>
      <c r="U50" s="35" t="n"/>
      <c r="V50" s="18">
        <f>IF(COUNTA($B50:$R50)=0,"",ROUND(N($R50)+N($S50)+N($T50)-N($U50),2))</f>
        <v/>
      </c>
      <c r="W50" s="18">
        <f>IF(COUNTA($B50:$R50)=0,"",IF(OR($X50="Pago",$X50="Recebido",$X50="Cancelado"),0,ROUND(N($Q50)+N($S50)+N($T50)-N($U50)-N($R50),2)))</f>
        <v/>
      </c>
      <c r="X50" s="14" t="inlineStr">
        <is>
          <t>Pago</t>
        </is>
      </c>
      <c r="Y50" s="17">
        <f>IF(COUNTA($B50:$R50)=0,"",IF($X50="Cancelado","Cancelado",IF(OR($X50="Pago",$X50="Recebido"),$X50,IF(OR($X50="Parcial",N($R50)&gt;0),"Parcial",IF($C50="","Sem vencimento",IF($C50&lt;TODAY(),"Vencido",IF($C50=TODAY(),"Vence hoje",IF($C50&lt;=TODAY()+7,"Vence em 7 dias",IF($C50&lt;=TODAY()+30,"Vence em 30 dias","Futuro")))))))))</f>
        <v/>
      </c>
      <c r="Z50" s="24">
        <f>IF($B50="","",MONTH($B50))</f>
        <v/>
      </c>
      <c r="AA50" s="24">
        <f>IF($B50="","",YEAR($B50))</f>
        <v/>
      </c>
      <c r="AB50" s="24">
        <f>IF($B50="","",ISOWEEKNUM($B50))</f>
        <v/>
      </c>
      <c r="AC50" s="17">
        <f>IF($B50="","",CHOOSE(WEEKDAY($B50,2),"Segunda","Terça","Quarta","Quinta","Sexta","Sábado","Domingo"))</f>
        <v/>
      </c>
      <c r="AD50" s="17">
        <f>IF($B50="","",TEXT($B50,"MM/AAAA"))</f>
        <v/>
      </c>
      <c r="AE50" s="18">
        <f>IF(COUNTA($B50:$R50)=0,"",IF($X50="Cancelado",0,ROUND(N($Q50)+N($S50)+N($T50)-N($U50),2)))</f>
        <v/>
      </c>
      <c r="AF50" s="9">
        <f>IF($G50="","",IFERROR(INDEX(LINHAS_DRE_PLANO,MATCH($G50,SUBCATEGORIAS_PLANO,0)),"Não classificado"))</f>
        <v/>
      </c>
      <c r="AG50" s="17">
        <f>IF($G50="","",IFERROR(INDEX(TIPOS_FLUXO_PLANO,MATCH($G50,SUBCATEGORIAS_PLANO,0)),"Não classificado"))</f>
        <v/>
      </c>
      <c r="AH50" s="9">
        <f>IF($G50="","",IFERROR(INDEX(GRUPOS_PLANO,MATCH($G50,SUBCATEGORIAS_PLANO,0)),"Não classificado"))</f>
        <v/>
      </c>
      <c r="AI50" s="24">
        <f>IF(OR($C50="",$X50="Pago",$X50="Recebido",$X50="Cancelado"),"",$C50-TODAY())</f>
        <v/>
      </c>
      <c r="AJ50" s="24">
        <f>IF(OR($C50="",$X50="Pago",$X50="Recebido",$X50="Cancelado"),0,MAX(0,TODAY()-$C50))</f>
        <v/>
      </c>
      <c r="AK50" s="24">
        <f>IF($D50="","",$D50-$B50)</f>
        <v/>
      </c>
      <c r="AL50" s="18">
        <f>IF(OR($D50="",$B50=""),"",ROUND(N($R50)*($D50-$B50),2))</f>
        <v/>
      </c>
      <c r="AM50" s="17">
        <f>IF(AND($E50="Saída",$W50&gt;0,$C50&lt;&gt;""),$C50+ROW()/1000000,"")</f>
        <v/>
      </c>
      <c r="AN50" s="17">
        <f>IF(AND($E50="Entrada",$W50&gt;0,$C50&lt;&gt;""),$C50+ROW()/1000000,"")</f>
        <v/>
      </c>
      <c r="AO50" s="9">
        <f>IF(COUNTA($B50:$R50)=0,"",IF(AND($I50&lt;&gt;"",COUNTIF(CLIENTES_NOMES,$I50)+COUNTIF(CLIENTES_FANTASIA,$I50)+COUNTIF(FORNECEDORES_NOMES,$I50)+COUNTIF(FORNECEDORES_FANTASIA,$I50)=0),"⚠ Cliente/Fornecedor não cadastrado",IF(AND($G50&lt;&gt;"",COUNTIF(SUBCATEGORIAS_PLANO,$G50)=0),"⚠ Subcategoria fora do plano de contas",IF(OR($Q50="",N($Q50)=0),"⚠ Valor previsto não informado",IF(AND(OR($X50="Pago",$X50="Recebido"),$D50=""),"⚠ Status pago/recebido sem data",IF(AND($D50&lt;&gt;"",N($R50)=0),"⚠ Data de pagamento sem valor realizado",IF(AND(N($P50)&gt;1,N($O50)&gt;N($P50)),"⚠ Nº da parcela maior que o total",IF(AND($C50&lt;&gt;"",$B50&lt;&gt;"",$C50&lt;$B50),"⚠ Vencimento anterior à competência","OK"))))))))</f>
        <v/>
      </c>
    </row>
    <row r="51">
      <c r="A51" s="14" t="inlineStr">
        <is>
          <t>L0046</t>
        </is>
      </c>
      <c r="B51" s="36" t="n">
        <v>46060</v>
      </c>
      <c r="C51" s="36" t="n">
        <v>46067</v>
      </c>
      <c r="D51" s="36" t="n">
        <v>46069</v>
      </c>
      <c r="E51" s="14" t="inlineStr">
        <is>
          <t>Saída</t>
        </is>
      </c>
      <c r="F51" s="29" t="inlineStr">
        <is>
          <t>Despesas com Pessoal</t>
        </is>
      </c>
      <c r="G51" s="29" t="inlineStr">
        <is>
          <t>Encargos Sociais (FGTS/INSS)</t>
        </is>
      </c>
      <c r="H51" s="29" t="inlineStr">
        <is>
          <t>Administrativo</t>
        </is>
      </c>
      <c r="I51" s="29" t="inlineStr">
        <is>
          <t>RECEITA FEDERAL DO BRASIL</t>
        </is>
      </c>
      <c r="J51" s="29" t="inlineStr">
        <is>
          <t>FGTS e INSS — competência 02/2026</t>
        </is>
      </c>
      <c r="K51" s="14" t="inlineStr">
        <is>
          <t>DOC 8287</t>
        </is>
      </c>
      <c r="L51" s="29" t="inlineStr">
        <is>
          <t>Itaú Unibanco — C/C 45678-9</t>
        </is>
      </c>
      <c r="M51" s="14" t="inlineStr">
        <is>
          <t>Transferência</t>
        </is>
      </c>
      <c r="N51" s="29" t="n"/>
      <c r="O51" s="13" t="n">
        <v>1</v>
      </c>
      <c r="P51" s="13" t="n">
        <v>1</v>
      </c>
      <c r="Q51" s="35" t="n">
        <v>5600</v>
      </c>
      <c r="R51" s="35" t="n">
        <v>5600</v>
      </c>
      <c r="S51" s="35" t="n"/>
      <c r="T51" s="35" t="n"/>
      <c r="U51" s="35" t="n"/>
      <c r="V51" s="18">
        <f>IF(COUNTA($B51:$R51)=0,"",ROUND(N($R51)+N($S51)+N($T51)-N($U51),2))</f>
        <v/>
      </c>
      <c r="W51" s="18">
        <f>IF(COUNTA($B51:$R51)=0,"",IF(OR($X51="Pago",$X51="Recebido",$X51="Cancelado"),0,ROUND(N($Q51)+N($S51)+N($T51)-N($U51)-N($R51),2)))</f>
        <v/>
      </c>
      <c r="X51" s="14" t="inlineStr">
        <is>
          <t>Pago</t>
        </is>
      </c>
      <c r="Y51" s="17">
        <f>IF(COUNTA($B51:$R51)=0,"",IF($X51="Cancelado","Cancelado",IF(OR($X51="Pago",$X51="Recebido"),$X51,IF(OR($X51="Parcial",N($R51)&gt;0),"Parcial",IF($C51="","Sem vencimento",IF($C51&lt;TODAY(),"Vencido",IF($C51=TODAY(),"Vence hoje",IF($C51&lt;=TODAY()+7,"Vence em 7 dias",IF($C51&lt;=TODAY()+30,"Vence em 30 dias","Futuro")))))))))</f>
        <v/>
      </c>
      <c r="Z51" s="24">
        <f>IF($B51="","",MONTH($B51))</f>
        <v/>
      </c>
      <c r="AA51" s="24">
        <f>IF($B51="","",YEAR($B51))</f>
        <v/>
      </c>
      <c r="AB51" s="24">
        <f>IF($B51="","",ISOWEEKNUM($B51))</f>
        <v/>
      </c>
      <c r="AC51" s="17">
        <f>IF($B51="","",CHOOSE(WEEKDAY($B51,2),"Segunda","Terça","Quarta","Quinta","Sexta","Sábado","Domingo"))</f>
        <v/>
      </c>
      <c r="AD51" s="17">
        <f>IF($B51="","",TEXT($B51,"MM/AAAA"))</f>
        <v/>
      </c>
      <c r="AE51" s="18">
        <f>IF(COUNTA($B51:$R51)=0,"",IF($X51="Cancelado",0,ROUND(N($Q51)+N($S51)+N($T51)-N($U51),2)))</f>
        <v/>
      </c>
      <c r="AF51" s="9">
        <f>IF($G51="","",IFERROR(INDEX(LINHAS_DRE_PLANO,MATCH($G51,SUBCATEGORIAS_PLANO,0)),"Não classificado"))</f>
        <v/>
      </c>
      <c r="AG51" s="17">
        <f>IF($G51="","",IFERROR(INDEX(TIPOS_FLUXO_PLANO,MATCH($G51,SUBCATEGORIAS_PLANO,0)),"Não classificado"))</f>
        <v/>
      </c>
      <c r="AH51" s="9">
        <f>IF($G51="","",IFERROR(INDEX(GRUPOS_PLANO,MATCH($G51,SUBCATEGORIAS_PLANO,0)),"Não classificado"))</f>
        <v/>
      </c>
      <c r="AI51" s="24">
        <f>IF(OR($C51="",$X51="Pago",$X51="Recebido",$X51="Cancelado"),"",$C51-TODAY())</f>
        <v/>
      </c>
      <c r="AJ51" s="24">
        <f>IF(OR($C51="",$X51="Pago",$X51="Recebido",$X51="Cancelado"),0,MAX(0,TODAY()-$C51))</f>
        <v/>
      </c>
      <c r="AK51" s="24">
        <f>IF($D51="","",$D51-$B51)</f>
        <v/>
      </c>
      <c r="AL51" s="18">
        <f>IF(OR($D51="",$B51=""),"",ROUND(N($R51)*($D51-$B51),2))</f>
        <v/>
      </c>
      <c r="AM51" s="17">
        <f>IF(AND($E51="Saída",$W51&gt;0,$C51&lt;&gt;""),$C51+ROW()/1000000,"")</f>
        <v/>
      </c>
      <c r="AN51" s="17">
        <f>IF(AND($E51="Entrada",$W51&gt;0,$C51&lt;&gt;""),$C51+ROW()/1000000,"")</f>
        <v/>
      </c>
      <c r="AO51" s="9">
        <f>IF(COUNTA($B51:$R51)=0,"",IF(AND($I51&lt;&gt;"",COUNTIF(CLIENTES_NOMES,$I51)+COUNTIF(CLIENTES_FANTASIA,$I51)+COUNTIF(FORNECEDORES_NOMES,$I51)+COUNTIF(FORNECEDORES_FANTASIA,$I51)=0),"⚠ Cliente/Fornecedor não cadastrado",IF(AND($G51&lt;&gt;"",COUNTIF(SUBCATEGORIAS_PLANO,$G51)=0),"⚠ Subcategoria fora do plano de contas",IF(OR($Q51="",N($Q51)=0),"⚠ Valor previsto não informado",IF(AND(OR($X51="Pago",$X51="Recebido"),$D51=""),"⚠ Status pago/recebido sem data",IF(AND($D51&lt;&gt;"",N($R51)=0),"⚠ Data de pagamento sem valor realizado",IF(AND(N($P51)&gt;1,N($O51)&gt;N($P51)),"⚠ Nº da parcela maior que o total",IF(AND($C51&lt;&gt;"",$B51&lt;&gt;"",$C51&lt;$B51),"⚠ Vencimento anterior à competência","OK"))))))))</f>
        <v/>
      </c>
    </row>
    <row r="52">
      <c r="A52" s="14" t="inlineStr">
        <is>
          <t>L0047</t>
        </is>
      </c>
      <c r="B52" s="36" t="n">
        <v>46061</v>
      </c>
      <c r="C52" s="36" t="n">
        <v>46081</v>
      </c>
      <c r="D52" s="36" t="n">
        <v>46082</v>
      </c>
      <c r="E52" s="14" t="inlineStr">
        <is>
          <t>Saída</t>
        </is>
      </c>
      <c r="F52" s="29" t="inlineStr">
        <is>
          <t>Despesas Administrativas</t>
        </is>
      </c>
      <c r="G52" s="29" t="inlineStr">
        <is>
          <t>Sistemas e Softwares</t>
        </is>
      </c>
      <c r="H52" s="29" t="inlineStr">
        <is>
          <t>Administrativo</t>
        </is>
      </c>
      <c r="I52" s="29" t="inlineStr">
        <is>
          <t>TECNOLOGIA E SISTEMAS ABC LTDA</t>
        </is>
      </c>
      <c r="J52" s="29" t="inlineStr">
        <is>
          <t>Assinatura ERP, NF-e e BI</t>
        </is>
      </c>
      <c r="K52" s="14" t="inlineStr">
        <is>
          <t>DOC 8285</t>
        </is>
      </c>
      <c r="L52" s="29" t="inlineStr">
        <is>
          <t>Nubank PJ — C/C 9876543-2</t>
        </is>
      </c>
      <c r="M52" s="14" t="inlineStr">
        <is>
          <t>Cartão de crédito</t>
        </is>
      </c>
      <c r="N52" s="29" t="inlineStr">
        <is>
          <t>Cartão Mastercard Nubank PJ</t>
        </is>
      </c>
      <c r="O52" s="13" t="n">
        <v>1</v>
      </c>
      <c r="P52" s="13" t="n">
        <v>1</v>
      </c>
      <c r="Q52" s="35" t="n">
        <v>850</v>
      </c>
      <c r="R52" s="35" t="n">
        <v>850</v>
      </c>
      <c r="S52" s="35" t="n"/>
      <c r="T52" s="35" t="n"/>
      <c r="U52" s="35" t="n"/>
      <c r="V52" s="18">
        <f>IF(COUNTA($B52:$R52)=0,"",ROUND(N($R52)+N($S52)+N($T52)-N($U52),2))</f>
        <v/>
      </c>
      <c r="W52" s="18">
        <f>IF(COUNTA($B52:$R52)=0,"",IF(OR($X52="Pago",$X52="Recebido",$X52="Cancelado"),0,ROUND(N($Q52)+N($S52)+N($T52)-N($U52)-N($R52),2)))</f>
        <v/>
      </c>
      <c r="X52" s="14" t="inlineStr">
        <is>
          <t>Pago</t>
        </is>
      </c>
      <c r="Y52" s="17">
        <f>IF(COUNTA($B52:$R52)=0,"",IF($X52="Cancelado","Cancelado",IF(OR($X52="Pago",$X52="Recebido"),$X52,IF(OR($X52="Parcial",N($R52)&gt;0),"Parcial",IF($C52="","Sem vencimento",IF($C52&lt;TODAY(),"Vencido",IF($C52=TODAY(),"Vence hoje",IF($C52&lt;=TODAY()+7,"Vence em 7 dias",IF($C52&lt;=TODAY()+30,"Vence em 30 dias","Futuro")))))))))</f>
        <v/>
      </c>
      <c r="Z52" s="24">
        <f>IF($B52="","",MONTH($B52))</f>
        <v/>
      </c>
      <c r="AA52" s="24">
        <f>IF($B52="","",YEAR($B52))</f>
        <v/>
      </c>
      <c r="AB52" s="24">
        <f>IF($B52="","",ISOWEEKNUM($B52))</f>
        <v/>
      </c>
      <c r="AC52" s="17">
        <f>IF($B52="","",CHOOSE(WEEKDAY($B52,2),"Segunda","Terça","Quarta","Quinta","Sexta","Sábado","Domingo"))</f>
        <v/>
      </c>
      <c r="AD52" s="17">
        <f>IF($B52="","",TEXT($B52,"MM/AAAA"))</f>
        <v/>
      </c>
      <c r="AE52" s="18">
        <f>IF(COUNTA($B52:$R52)=0,"",IF($X52="Cancelado",0,ROUND(N($Q52)+N($S52)+N($T52)-N($U52),2)))</f>
        <v/>
      </c>
      <c r="AF52" s="9">
        <f>IF($G52="","",IFERROR(INDEX(LINHAS_DRE_PLANO,MATCH($G52,SUBCATEGORIAS_PLANO,0)),"Não classificado"))</f>
        <v/>
      </c>
      <c r="AG52" s="17">
        <f>IF($G52="","",IFERROR(INDEX(TIPOS_FLUXO_PLANO,MATCH($G52,SUBCATEGORIAS_PLANO,0)),"Não classificado"))</f>
        <v/>
      </c>
      <c r="AH52" s="9">
        <f>IF($G52="","",IFERROR(INDEX(GRUPOS_PLANO,MATCH($G52,SUBCATEGORIAS_PLANO,0)),"Não classificado"))</f>
        <v/>
      </c>
      <c r="AI52" s="24">
        <f>IF(OR($C52="",$X52="Pago",$X52="Recebido",$X52="Cancelado"),"",$C52-TODAY())</f>
        <v/>
      </c>
      <c r="AJ52" s="24">
        <f>IF(OR($C52="",$X52="Pago",$X52="Recebido",$X52="Cancelado"),0,MAX(0,TODAY()-$C52))</f>
        <v/>
      </c>
      <c r="AK52" s="24">
        <f>IF($D52="","",$D52-$B52)</f>
        <v/>
      </c>
      <c r="AL52" s="18">
        <f>IF(OR($D52="",$B52=""),"",ROUND(N($R52)*($D52-$B52),2))</f>
        <v/>
      </c>
      <c r="AM52" s="17">
        <f>IF(AND($E52="Saída",$W52&gt;0,$C52&lt;&gt;""),$C52+ROW()/1000000,"")</f>
        <v/>
      </c>
      <c r="AN52" s="17">
        <f>IF(AND($E52="Entrada",$W52&gt;0,$C52&lt;&gt;""),$C52+ROW()/1000000,"")</f>
        <v/>
      </c>
      <c r="AO52" s="9">
        <f>IF(COUNTA($B52:$R52)=0,"",IF(AND($I52&lt;&gt;"",COUNTIF(CLIENTES_NOMES,$I52)+COUNTIF(CLIENTES_FANTASIA,$I52)+COUNTIF(FORNECEDORES_NOMES,$I52)+COUNTIF(FORNECEDORES_FANTASIA,$I52)=0),"⚠ Cliente/Fornecedor não cadastrado",IF(AND($G52&lt;&gt;"",COUNTIF(SUBCATEGORIAS_PLANO,$G52)=0),"⚠ Subcategoria fora do plano de contas",IF(OR($Q52="",N($Q52)=0),"⚠ Valor previsto não informado",IF(AND(OR($X52="Pago",$X52="Recebido"),$D52=""),"⚠ Status pago/recebido sem data",IF(AND($D52&lt;&gt;"",N($R52)=0),"⚠ Data de pagamento sem valor realizado",IF(AND(N($P52)&gt;1,N($O52)&gt;N($P52)),"⚠ Nº da parcela maior que o total",IF(AND($C52&lt;&gt;"",$B52&lt;&gt;"",$C52&lt;$B52),"⚠ Vencimento anterior à competência","OK"))))))))</f>
        <v/>
      </c>
    </row>
    <row r="53">
      <c r="A53" s="14" t="inlineStr">
        <is>
          <t>L0048</t>
        </is>
      </c>
      <c r="B53" s="36" t="n">
        <v>46062</v>
      </c>
      <c r="C53" s="36" t="n">
        <v>46077</v>
      </c>
      <c r="D53" s="36" t="n">
        <v>46078</v>
      </c>
      <c r="E53" s="14" t="inlineStr">
        <is>
          <t>Saída</t>
        </is>
      </c>
      <c r="F53" s="29" t="inlineStr">
        <is>
          <t>Custos Variáveis</t>
        </is>
      </c>
      <c r="G53" s="29" t="inlineStr">
        <is>
          <t>Matéria-prima</t>
        </is>
      </c>
      <c r="H53" s="29" t="inlineStr">
        <is>
          <t>Produção</t>
        </is>
      </c>
      <c r="I53" s="29" t="inlineStr">
        <is>
          <t>DISTRIBUIDORA CENTRAL DE ALIMENTOS S/A</t>
        </is>
      </c>
      <c r="J53" s="29" t="inlineStr">
        <is>
          <t>Insumos e matéria-prima para beneficiamento</t>
        </is>
      </c>
      <c r="K53" s="14" t="inlineStr">
        <is>
          <t>NF 5902</t>
        </is>
      </c>
      <c r="L53" s="29" t="inlineStr">
        <is>
          <t>Banco do Brasil — C/C 12345-6</t>
        </is>
      </c>
      <c r="M53" s="14" t="inlineStr">
        <is>
          <t>Boleto</t>
        </is>
      </c>
      <c r="N53" s="29" t="n"/>
      <c r="O53" s="13" t="n">
        <v>1</v>
      </c>
      <c r="P53" s="13" t="n">
        <v>1</v>
      </c>
      <c r="Q53" s="35" t="n">
        <v>8354.74</v>
      </c>
      <c r="R53" s="35" t="n">
        <v>8354.74</v>
      </c>
      <c r="S53" s="35" t="n"/>
      <c r="T53" s="35" t="n"/>
      <c r="U53" s="35" t="n"/>
      <c r="V53" s="18">
        <f>IF(COUNTA($B53:$R53)=0,"",ROUND(N($R53)+N($S53)+N($T53)-N($U53),2))</f>
        <v/>
      </c>
      <c r="W53" s="18">
        <f>IF(COUNTA($B53:$R53)=0,"",IF(OR($X53="Pago",$X53="Recebido",$X53="Cancelado"),0,ROUND(N($Q53)+N($S53)+N($T53)-N($U53)-N($R53),2)))</f>
        <v/>
      </c>
      <c r="X53" s="14" t="inlineStr">
        <is>
          <t>Pago</t>
        </is>
      </c>
      <c r="Y53" s="17">
        <f>IF(COUNTA($B53:$R53)=0,"",IF($X53="Cancelado","Cancelado",IF(OR($X53="Pago",$X53="Recebido"),$X53,IF(OR($X53="Parcial",N($R53)&gt;0),"Parcial",IF($C53="","Sem vencimento",IF($C53&lt;TODAY(),"Vencido",IF($C53=TODAY(),"Vence hoje",IF($C53&lt;=TODAY()+7,"Vence em 7 dias",IF($C53&lt;=TODAY()+30,"Vence em 30 dias","Futuro")))))))))</f>
        <v/>
      </c>
      <c r="Z53" s="24">
        <f>IF($B53="","",MONTH($B53))</f>
        <v/>
      </c>
      <c r="AA53" s="24">
        <f>IF($B53="","",YEAR($B53))</f>
        <v/>
      </c>
      <c r="AB53" s="24">
        <f>IF($B53="","",ISOWEEKNUM($B53))</f>
        <v/>
      </c>
      <c r="AC53" s="17">
        <f>IF($B53="","",CHOOSE(WEEKDAY($B53,2),"Segunda","Terça","Quarta","Quinta","Sexta","Sábado","Domingo"))</f>
        <v/>
      </c>
      <c r="AD53" s="17">
        <f>IF($B53="","",TEXT($B53,"MM/AAAA"))</f>
        <v/>
      </c>
      <c r="AE53" s="18">
        <f>IF(COUNTA($B53:$R53)=0,"",IF($X53="Cancelado",0,ROUND(N($Q53)+N($S53)+N($T53)-N($U53),2)))</f>
        <v/>
      </c>
      <c r="AF53" s="9">
        <f>IF($G53="","",IFERROR(INDEX(LINHAS_DRE_PLANO,MATCH($G53,SUBCATEGORIAS_PLANO,0)),"Não classificado"))</f>
        <v/>
      </c>
      <c r="AG53" s="17">
        <f>IF($G53="","",IFERROR(INDEX(TIPOS_FLUXO_PLANO,MATCH($G53,SUBCATEGORIAS_PLANO,0)),"Não classificado"))</f>
        <v/>
      </c>
      <c r="AH53" s="9">
        <f>IF($G53="","",IFERROR(INDEX(GRUPOS_PLANO,MATCH($G53,SUBCATEGORIAS_PLANO,0)),"Não classificado"))</f>
        <v/>
      </c>
      <c r="AI53" s="24">
        <f>IF(OR($C53="",$X53="Pago",$X53="Recebido",$X53="Cancelado"),"",$C53-TODAY())</f>
        <v/>
      </c>
      <c r="AJ53" s="24">
        <f>IF(OR($C53="",$X53="Pago",$X53="Recebido",$X53="Cancelado"),0,MAX(0,TODAY()-$C53))</f>
        <v/>
      </c>
      <c r="AK53" s="24">
        <f>IF($D53="","",$D53-$B53)</f>
        <v/>
      </c>
      <c r="AL53" s="18">
        <f>IF(OR($D53="",$B53=""),"",ROUND(N($R53)*($D53-$B53),2))</f>
        <v/>
      </c>
      <c r="AM53" s="17">
        <f>IF(AND($E53="Saída",$W53&gt;0,$C53&lt;&gt;""),$C53+ROW()/1000000,"")</f>
        <v/>
      </c>
      <c r="AN53" s="17">
        <f>IF(AND($E53="Entrada",$W53&gt;0,$C53&lt;&gt;""),$C53+ROW()/1000000,"")</f>
        <v/>
      </c>
      <c r="AO53" s="9">
        <f>IF(COUNTA($B53:$R53)=0,"",IF(AND($I53&lt;&gt;"",COUNTIF(CLIENTES_NOMES,$I53)+COUNTIF(CLIENTES_FANTASIA,$I53)+COUNTIF(FORNECEDORES_NOMES,$I53)+COUNTIF(FORNECEDORES_FANTASIA,$I53)=0),"⚠ Cliente/Fornecedor não cadastrado",IF(AND($G53&lt;&gt;"",COUNTIF(SUBCATEGORIAS_PLANO,$G53)=0),"⚠ Subcategoria fora do plano de contas",IF(OR($Q53="",N($Q53)=0),"⚠ Valor previsto não informado",IF(AND(OR($X53="Pago",$X53="Recebido"),$D53=""),"⚠ Status pago/recebido sem data",IF(AND($D53&lt;&gt;"",N($R53)=0),"⚠ Data de pagamento sem valor realizado",IF(AND(N($P53)&gt;1,N($O53)&gt;N($P53)),"⚠ Nº da parcela maior que o total",IF(AND($C53&lt;&gt;"",$B53&lt;&gt;"",$C53&lt;$B53),"⚠ Vencimento anterior à competência","OK"))))))))</f>
        <v/>
      </c>
    </row>
    <row r="54">
      <c r="A54" s="14" t="inlineStr">
        <is>
          <t>L0049</t>
        </is>
      </c>
      <c r="B54" s="36" t="n">
        <v>46063</v>
      </c>
      <c r="C54" s="36" t="n">
        <v>46081</v>
      </c>
      <c r="D54" s="36" t="n">
        <v>46081</v>
      </c>
      <c r="E54" s="14" t="inlineStr">
        <is>
          <t>Saída</t>
        </is>
      </c>
      <c r="F54" s="29" t="inlineStr">
        <is>
          <t>Despesas Administrativas</t>
        </is>
      </c>
      <c r="G54" s="29" t="inlineStr">
        <is>
          <t>Internet e Telefonia</t>
        </is>
      </c>
      <c r="H54" s="29" t="inlineStr">
        <is>
          <t>Administrativo</t>
        </is>
      </c>
      <c r="I54" s="29" t="inlineStr">
        <is>
          <t>TELEFÔNICA BRASIL S.A. (VIVO EMPRESAS)</t>
        </is>
      </c>
      <c r="J54" s="29" t="inlineStr">
        <is>
          <t>Internet, telefonia e link dedicado</t>
        </is>
      </c>
      <c r="K54" s="14" t="inlineStr">
        <is>
          <t>DOC 8283</t>
        </is>
      </c>
      <c r="L54" s="29" t="inlineStr">
        <is>
          <t>Nubank PJ — C/C 9876543-2</t>
        </is>
      </c>
      <c r="M54" s="14" t="inlineStr">
        <is>
          <t>Cartão de crédito</t>
        </is>
      </c>
      <c r="N54" s="29" t="inlineStr">
        <is>
          <t>Cartão Mastercard Nubank PJ</t>
        </is>
      </c>
      <c r="O54" s="13" t="n">
        <v>1</v>
      </c>
      <c r="P54" s="13" t="n">
        <v>1</v>
      </c>
      <c r="Q54" s="35" t="n">
        <v>780</v>
      </c>
      <c r="R54" s="35" t="n">
        <v>780</v>
      </c>
      <c r="S54" s="35" t="n"/>
      <c r="T54" s="35" t="n"/>
      <c r="U54" s="35" t="n"/>
      <c r="V54" s="18">
        <f>IF(COUNTA($B54:$R54)=0,"",ROUND(N($R54)+N($S54)+N($T54)-N($U54),2))</f>
        <v/>
      </c>
      <c r="W54" s="18">
        <f>IF(COUNTA($B54:$R54)=0,"",IF(OR($X54="Pago",$X54="Recebido",$X54="Cancelado"),0,ROUND(N($Q54)+N($S54)+N($T54)-N($U54)-N($R54),2)))</f>
        <v/>
      </c>
      <c r="X54" s="14" t="inlineStr">
        <is>
          <t>Pago</t>
        </is>
      </c>
      <c r="Y54" s="17">
        <f>IF(COUNTA($B54:$R54)=0,"",IF($X54="Cancelado","Cancelado",IF(OR($X54="Pago",$X54="Recebido"),$X54,IF(OR($X54="Parcial",N($R54)&gt;0),"Parcial",IF($C54="","Sem vencimento",IF($C54&lt;TODAY(),"Vencido",IF($C54=TODAY(),"Vence hoje",IF($C54&lt;=TODAY()+7,"Vence em 7 dias",IF($C54&lt;=TODAY()+30,"Vence em 30 dias","Futuro")))))))))</f>
        <v/>
      </c>
      <c r="Z54" s="24">
        <f>IF($B54="","",MONTH($B54))</f>
        <v/>
      </c>
      <c r="AA54" s="24">
        <f>IF($B54="","",YEAR($B54))</f>
        <v/>
      </c>
      <c r="AB54" s="24">
        <f>IF($B54="","",ISOWEEKNUM($B54))</f>
        <v/>
      </c>
      <c r="AC54" s="17">
        <f>IF($B54="","",CHOOSE(WEEKDAY($B54,2),"Segunda","Terça","Quarta","Quinta","Sexta","Sábado","Domingo"))</f>
        <v/>
      </c>
      <c r="AD54" s="17">
        <f>IF($B54="","",TEXT($B54,"MM/AAAA"))</f>
        <v/>
      </c>
      <c r="AE54" s="18">
        <f>IF(COUNTA($B54:$R54)=0,"",IF($X54="Cancelado",0,ROUND(N($Q54)+N($S54)+N($T54)-N($U54),2)))</f>
        <v/>
      </c>
      <c r="AF54" s="9">
        <f>IF($G54="","",IFERROR(INDEX(LINHAS_DRE_PLANO,MATCH($G54,SUBCATEGORIAS_PLANO,0)),"Não classificado"))</f>
        <v/>
      </c>
      <c r="AG54" s="17">
        <f>IF($G54="","",IFERROR(INDEX(TIPOS_FLUXO_PLANO,MATCH($G54,SUBCATEGORIAS_PLANO,0)),"Não classificado"))</f>
        <v/>
      </c>
      <c r="AH54" s="9">
        <f>IF($G54="","",IFERROR(INDEX(GRUPOS_PLANO,MATCH($G54,SUBCATEGORIAS_PLANO,0)),"Não classificado"))</f>
        <v/>
      </c>
      <c r="AI54" s="24">
        <f>IF(OR($C54="",$X54="Pago",$X54="Recebido",$X54="Cancelado"),"",$C54-TODAY())</f>
        <v/>
      </c>
      <c r="AJ54" s="24">
        <f>IF(OR($C54="",$X54="Pago",$X54="Recebido",$X54="Cancelado"),0,MAX(0,TODAY()-$C54))</f>
        <v/>
      </c>
      <c r="AK54" s="24">
        <f>IF($D54="","",$D54-$B54)</f>
        <v/>
      </c>
      <c r="AL54" s="18">
        <f>IF(OR($D54="",$B54=""),"",ROUND(N($R54)*($D54-$B54),2))</f>
        <v/>
      </c>
      <c r="AM54" s="17">
        <f>IF(AND($E54="Saída",$W54&gt;0,$C54&lt;&gt;""),$C54+ROW()/1000000,"")</f>
        <v/>
      </c>
      <c r="AN54" s="17">
        <f>IF(AND($E54="Entrada",$W54&gt;0,$C54&lt;&gt;""),$C54+ROW()/1000000,"")</f>
        <v/>
      </c>
      <c r="AO54" s="9">
        <f>IF(COUNTA($B54:$R54)=0,"",IF(AND($I54&lt;&gt;"",COUNTIF(CLIENTES_NOMES,$I54)+COUNTIF(CLIENTES_FANTASIA,$I54)+COUNTIF(FORNECEDORES_NOMES,$I54)+COUNTIF(FORNECEDORES_FANTASIA,$I54)=0),"⚠ Cliente/Fornecedor não cadastrado",IF(AND($G54&lt;&gt;"",COUNTIF(SUBCATEGORIAS_PLANO,$G54)=0),"⚠ Subcategoria fora do plano de contas",IF(OR($Q54="",N($Q54)=0),"⚠ Valor previsto não informado",IF(AND(OR($X54="Pago",$X54="Recebido"),$D54=""),"⚠ Status pago/recebido sem data",IF(AND($D54&lt;&gt;"",N($R54)=0),"⚠ Data de pagamento sem valor realizado",IF(AND(N($P54)&gt;1,N($O54)&gt;N($P54)),"⚠ Nº da parcela maior que o total",IF(AND($C54&lt;&gt;"",$B54&lt;&gt;"",$C54&lt;$B54),"⚠ Vencimento anterior à competência","OK"))))))))</f>
        <v/>
      </c>
    </row>
    <row r="55">
      <c r="A55" s="14" t="inlineStr">
        <is>
          <t>L0050</t>
        </is>
      </c>
      <c r="B55" s="36" t="n">
        <v>46063</v>
      </c>
      <c r="C55" s="36" t="n">
        <v>46063</v>
      </c>
      <c r="D55" s="36" t="n">
        <v>46063</v>
      </c>
      <c r="E55" s="14" t="inlineStr">
        <is>
          <t>Saída</t>
        </is>
      </c>
      <c r="F55" s="29" t="inlineStr">
        <is>
          <t>Despesas Administrativas</t>
        </is>
      </c>
      <c r="G55" s="29" t="inlineStr">
        <is>
          <t>Contabilidade</t>
        </is>
      </c>
      <c r="H55" s="29" t="inlineStr">
        <is>
          <t>Financeiro</t>
        </is>
      </c>
      <c r="I55" s="29" t="inlineStr">
        <is>
          <t>CONTABILIDADE AURORA ASSESSORIA CONTÁBIL LTDA</t>
        </is>
      </c>
      <c r="J55" s="29" t="inlineStr">
        <is>
          <t>Honorários contábeis — competência 02/2026</t>
        </is>
      </c>
      <c r="K55" s="14" t="inlineStr">
        <is>
          <t>DOC 8284</t>
        </is>
      </c>
      <c r="L55" s="29" t="inlineStr">
        <is>
          <t>Itaú Unibanco — C/C 45678-9</t>
        </is>
      </c>
      <c r="M55" s="14" t="inlineStr">
        <is>
          <t>PIX</t>
        </is>
      </c>
      <c r="N55" s="29" t="n"/>
      <c r="O55" s="13" t="n">
        <v>1</v>
      </c>
      <c r="P55" s="13" t="n">
        <v>1</v>
      </c>
      <c r="Q55" s="35" t="n">
        <v>1250</v>
      </c>
      <c r="R55" s="35" t="n">
        <v>1250</v>
      </c>
      <c r="S55" s="35" t="n"/>
      <c r="T55" s="35" t="n"/>
      <c r="U55" s="35" t="n"/>
      <c r="V55" s="18">
        <f>IF(COUNTA($B55:$R55)=0,"",ROUND(N($R55)+N($S55)+N($T55)-N($U55),2))</f>
        <v/>
      </c>
      <c r="W55" s="18">
        <f>IF(COUNTA($B55:$R55)=0,"",IF(OR($X55="Pago",$X55="Recebido",$X55="Cancelado"),0,ROUND(N($Q55)+N($S55)+N($T55)-N($U55)-N($R55),2)))</f>
        <v/>
      </c>
      <c r="X55" s="14" t="inlineStr">
        <is>
          <t>Pago</t>
        </is>
      </c>
      <c r="Y55" s="17">
        <f>IF(COUNTA($B55:$R55)=0,"",IF($X55="Cancelado","Cancelado",IF(OR($X55="Pago",$X55="Recebido"),$X55,IF(OR($X55="Parcial",N($R55)&gt;0),"Parcial",IF($C55="","Sem vencimento",IF($C55&lt;TODAY(),"Vencido",IF($C55=TODAY(),"Vence hoje",IF($C55&lt;=TODAY()+7,"Vence em 7 dias",IF($C55&lt;=TODAY()+30,"Vence em 30 dias","Futuro")))))))))</f>
        <v/>
      </c>
      <c r="Z55" s="24">
        <f>IF($B55="","",MONTH($B55))</f>
        <v/>
      </c>
      <c r="AA55" s="24">
        <f>IF($B55="","",YEAR($B55))</f>
        <v/>
      </c>
      <c r="AB55" s="24">
        <f>IF($B55="","",ISOWEEKNUM($B55))</f>
        <v/>
      </c>
      <c r="AC55" s="17">
        <f>IF($B55="","",CHOOSE(WEEKDAY($B55,2),"Segunda","Terça","Quarta","Quinta","Sexta","Sábado","Domingo"))</f>
        <v/>
      </c>
      <c r="AD55" s="17">
        <f>IF($B55="","",TEXT($B55,"MM/AAAA"))</f>
        <v/>
      </c>
      <c r="AE55" s="18">
        <f>IF(COUNTA($B55:$R55)=0,"",IF($X55="Cancelado",0,ROUND(N($Q55)+N($S55)+N($T55)-N($U55),2)))</f>
        <v/>
      </c>
      <c r="AF55" s="9">
        <f>IF($G55="","",IFERROR(INDEX(LINHAS_DRE_PLANO,MATCH($G55,SUBCATEGORIAS_PLANO,0)),"Não classificado"))</f>
        <v/>
      </c>
      <c r="AG55" s="17">
        <f>IF($G55="","",IFERROR(INDEX(TIPOS_FLUXO_PLANO,MATCH($G55,SUBCATEGORIAS_PLANO,0)),"Não classificado"))</f>
        <v/>
      </c>
      <c r="AH55" s="9">
        <f>IF($G55="","",IFERROR(INDEX(GRUPOS_PLANO,MATCH($G55,SUBCATEGORIAS_PLANO,0)),"Não classificado"))</f>
        <v/>
      </c>
      <c r="AI55" s="24">
        <f>IF(OR($C55="",$X55="Pago",$X55="Recebido",$X55="Cancelado"),"",$C55-TODAY())</f>
        <v/>
      </c>
      <c r="AJ55" s="24">
        <f>IF(OR($C55="",$X55="Pago",$X55="Recebido",$X55="Cancelado"),0,MAX(0,TODAY()-$C55))</f>
        <v/>
      </c>
      <c r="AK55" s="24">
        <f>IF($D55="","",$D55-$B55)</f>
        <v/>
      </c>
      <c r="AL55" s="18">
        <f>IF(OR($D55="",$B55=""),"",ROUND(N($R55)*($D55-$B55),2))</f>
        <v/>
      </c>
      <c r="AM55" s="17">
        <f>IF(AND($E55="Saída",$W55&gt;0,$C55&lt;&gt;""),$C55+ROW()/1000000,"")</f>
        <v/>
      </c>
      <c r="AN55" s="17">
        <f>IF(AND($E55="Entrada",$W55&gt;0,$C55&lt;&gt;""),$C55+ROW()/1000000,"")</f>
        <v/>
      </c>
      <c r="AO55" s="9">
        <f>IF(COUNTA($B55:$R55)=0,"",IF(AND($I55&lt;&gt;"",COUNTIF(CLIENTES_NOMES,$I55)+COUNTIF(CLIENTES_FANTASIA,$I55)+COUNTIF(FORNECEDORES_NOMES,$I55)+COUNTIF(FORNECEDORES_FANTASIA,$I55)=0),"⚠ Cliente/Fornecedor não cadastrado",IF(AND($G55&lt;&gt;"",COUNTIF(SUBCATEGORIAS_PLANO,$G55)=0),"⚠ Subcategoria fora do plano de contas",IF(OR($Q55="",N($Q55)=0),"⚠ Valor previsto não informado",IF(AND(OR($X55="Pago",$X55="Recebido"),$D55=""),"⚠ Status pago/recebido sem data",IF(AND($D55&lt;&gt;"",N($R55)=0),"⚠ Data de pagamento sem valor realizado",IF(AND(N($P55)&gt;1,N($O55)&gt;N($P55)),"⚠ Nº da parcela maior que o total",IF(AND($C55&lt;&gt;"",$B55&lt;&gt;"",$C55&lt;$B55),"⚠ Vencimento anterior à competência","OK"))))))))</f>
        <v/>
      </c>
    </row>
    <row r="56">
      <c r="A56" s="14" t="inlineStr">
        <is>
          <t>L0051</t>
        </is>
      </c>
      <c r="B56" s="36" t="n">
        <v>46063</v>
      </c>
      <c r="C56" s="36" t="n">
        <v>46081</v>
      </c>
      <c r="D56" s="36" t="n">
        <v>46082</v>
      </c>
      <c r="E56" s="14" t="inlineStr">
        <is>
          <t>Saída</t>
        </is>
      </c>
      <c r="F56" s="29" t="inlineStr">
        <is>
          <t>Despesas Comerciais</t>
        </is>
      </c>
      <c r="G56" s="29" t="inlineStr">
        <is>
          <t>Marketing Digital</t>
        </is>
      </c>
      <c r="H56" s="29" t="inlineStr">
        <is>
          <t>Marketing</t>
        </is>
      </c>
      <c r="I56" s="29" t="inlineStr">
        <is>
          <t>AGÊNCIA PULSO DIGITAL LTDA</t>
        </is>
      </c>
      <c r="J56" s="29" t="inlineStr">
        <is>
          <t>Gestão de tráfego pago e produção de conteúdo</t>
        </is>
      </c>
      <c r="K56" s="14" t="inlineStr">
        <is>
          <t>DOC 8290</t>
        </is>
      </c>
      <c r="L56" s="29" t="inlineStr">
        <is>
          <t>Nubank PJ — C/C 9876543-2</t>
        </is>
      </c>
      <c r="M56" s="14" t="inlineStr">
        <is>
          <t>Cartão de crédito</t>
        </is>
      </c>
      <c r="N56" s="29" t="inlineStr">
        <is>
          <t>Cartão Mastercard Nubank PJ</t>
        </is>
      </c>
      <c r="O56" s="13" t="n">
        <v>1</v>
      </c>
      <c r="P56" s="13" t="n">
        <v>1</v>
      </c>
      <c r="Q56" s="35" t="n">
        <v>3907.29</v>
      </c>
      <c r="R56" s="35" t="n">
        <v>3907.29</v>
      </c>
      <c r="S56" s="35" t="n"/>
      <c r="T56" s="35" t="n"/>
      <c r="U56" s="35" t="n"/>
      <c r="V56" s="18">
        <f>IF(COUNTA($B56:$R56)=0,"",ROUND(N($R56)+N($S56)+N($T56)-N($U56),2))</f>
        <v/>
      </c>
      <c r="W56" s="18">
        <f>IF(COUNTA($B56:$R56)=0,"",IF(OR($X56="Pago",$X56="Recebido",$X56="Cancelado"),0,ROUND(N($Q56)+N($S56)+N($T56)-N($U56)-N($R56),2)))</f>
        <v/>
      </c>
      <c r="X56" s="14" t="inlineStr">
        <is>
          <t>Pago</t>
        </is>
      </c>
      <c r="Y56" s="17">
        <f>IF(COUNTA($B56:$R56)=0,"",IF($X56="Cancelado","Cancelado",IF(OR($X56="Pago",$X56="Recebido"),$X56,IF(OR($X56="Parcial",N($R56)&gt;0),"Parcial",IF($C56="","Sem vencimento",IF($C56&lt;TODAY(),"Vencido",IF($C56=TODAY(),"Vence hoje",IF($C56&lt;=TODAY()+7,"Vence em 7 dias",IF($C56&lt;=TODAY()+30,"Vence em 30 dias","Futuro")))))))))</f>
        <v/>
      </c>
      <c r="Z56" s="24">
        <f>IF($B56="","",MONTH($B56))</f>
        <v/>
      </c>
      <c r="AA56" s="24">
        <f>IF($B56="","",YEAR($B56))</f>
        <v/>
      </c>
      <c r="AB56" s="24">
        <f>IF($B56="","",ISOWEEKNUM($B56))</f>
        <v/>
      </c>
      <c r="AC56" s="17">
        <f>IF($B56="","",CHOOSE(WEEKDAY($B56,2),"Segunda","Terça","Quarta","Quinta","Sexta","Sábado","Domingo"))</f>
        <v/>
      </c>
      <c r="AD56" s="17">
        <f>IF($B56="","",TEXT($B56,"MM/AAAA"))</f>
        <v/>
      </c>
      <c r="AE56" s="18">
        <f>IF(COUNTA($B56:$R56)=0,"",IF($X56="Cancelado",0,ROUND(N($Q56)+N($S56)+N($T56)-N($U56),2)))</f>
        <v/>
      </c>
      <c r="AF56" s="9">
        <f>IF($G56="","",IFERROR(INDEX(LINHAS_DRE_PLANO,MATCH($G56,SUBCATEGORIAS_PLANO,0)),"Não classificado"))</f>
        <v/>
      </c>
      <c r="AG56" s="17">
        <f>IF($G56="","",IFERROR(INDEX(TIPOS_FLUXO_PLANO,MATCH($G56,SUBCATEGORIAS_PLANO,0)),"Não classificado"))</f>
        <v/>
      </c>
      <c r="AH56" s="9">
        <f>IF($G56="","",IFERROR(INDEX(GRUPOS_PLANO,MATCH($G56,SUBCATEGORIAS_PLANO,0)),"Não classificado"))</f>
        <v/>
      </c>
      <c r="AI56" s="24">
        <f>IF(OR($C56="",$X56="Pago",$X56="Recebido",$X56="Cancelado"),"",$C56-TODAY())</f>
        <v/>
      </c>
      <c r="AJ56" s="24">
        <f>IF(OR($C56="",$X56="Pago",$X56="Recebido",$X56="Cancelado"),0,MAX(0,TODAY()-$C56))</f>
        <v/>
      </c>
      <c r="AK56" s="24">
        <f>IF($D56="","",$D56-$B56)</f>
        <v/>
      </c>
      <c r="AL56" s="18">
        <f>IF(OR($D56="",$B56=""),"",ROUND(N($R56)*($D56-$B56),2))</f>
        <v/>
      </c>
      <c r="AM56" s="17">
        <f>IF(AND($E56="Saída",$W56&gt;0,$C56&lt;&gt;""),$C56+ROW()/1000000,"")</f>
        <v/>
      </c>
      <c r="AN56" s="17">
        <f>IF(AND($E56="Entrada",$W56&gt;0,$C56&lt;&gt;""),$C56+ROW()/1000000,"")</f>
        <v/>
      </c>
      <c r="AO56" s="9">
        <f>IF(COUNTA($B56:$R56)=0,"",IF(AND($I56&lt;&gt;"",COUNTIF(CLIENTES_NOMES,$I56)+COUNTIF(CLIENTES_FANTASIA,$I56)+COUNTIF(FORNECEDORES_NOMES,$I56)+COUNTIF(FORNECEDORES_FANTASIA,$I56)=0),"⚠ Cliente/Fornecedor não cadastrado",IF(AND($G56&lt;&gt;"",COUNTIF(SUBCATEGORIAS_PLANO,$G56)=0),"⚠ Subcategoria fora do plano de contas",IF(OR($Q56="",N($Q56)=0),"⚠ Valor previsto não informado",IF(AND(OR($X56="Pago",$X56="Recebido"),$D56=""),"⚠ Status pago/recebido sem data",IF(AND($D56&lt;&gt;"",N($R56)=0),"⚠ Data de pagamento sem valor realizado",IF(AND(N($P56)&gt;1,N($O56)&gt;N($P56)),"⚠ Nº da parcela maior que o total",IF(AND($C56&lt;&gt;"",$B56&lt;&gt;"",$C56&lt;$B56),"⚠ Vencimento anterior à competência","OK"))))))))</f>
        <v/>
      </c>
    </row>
    <row r="57">
      <c r="A57" s="14" t="inlineStr">
        <is>
          <t>L0052</t>
        </is>
      </c>
      <c r="B57" s="36" t="n">
        <v>46063</v>
      </c>
      <c r="C57" s="36" t="n">
        <v>46063</v>
      </c>
      <c r="D57" s="36" t="n">
        <v>46063</v>
      </c>
      <c r="E57" s="14" t="inlineStr">
        <is>
          <t>Saída</t>
        </is>
      </c>
      <c r="F57" s="29" t="inlineStr">
        <is>
          <t>Empréstimos e Financiamentos</t>
        </is>
      </c>
      <c r="G57" s="29" t="inlineStr">
        <is>
          <t>Pagamento de Principal de Empréstimos</t>
        </is>
      </c>
      <c r="H57" s="29" t="inlineStr">
        <is>
          <t>Financeiro</t>
        </is>
      </c>
      <c r="I57" s="29" t="inlineStr">
        <is>
          <t>Banco do Brasil</t>
        </is>
      </c>
      <c r="J57" s="29" t="inlineStr">
        <is>
          <t>Capital de Giro — parcela 1/24 (principal)</t>
        </is>
      </c>
      <c r="K57" s="14" t="inlineStr">
        <is>
          <t>CG-2026-0417-P01</t>
        </is>
      </c>
      <c r="L57" s="29" t="inlineStr">
        <is>
          <t>Banco do Brasil — C/C 12345-6</t>
        </is>
      </c>
      <c r="M57" s="14" t="inlineStr">
        <is>
          <t>Débito automático</t>
        </is>
      </c>
      <c r="N57" s="29" t="n"/>
      <c r="O57" s="13" t="n">
        <v>1</v>
      </c>
      <c r="P57" s="13" t="n">
        <v>24</v>
      </c>
      <c r="Q57" s="35" t="n">
        <v>2095.45</v>
      </c>
      <c r="R57" s="35" t="n">
        <v>2095.45</v>
      </c>
      <c r="S57" s="35" t="n"/>
      <c r="T57" s="35" t="n"/>
      <c r="U57" s="35" t="n"/>
      <c r="V57" s="18">
        <f>IF(COUNTA($B57:$R57)=0,"",ROUND(N($R57)+N($S57)+N($T57)-N($U57),2))</f>
        <v/>
      </c>
      <c r="W57" s="18">
        <f>IF(COUNTA($B57:$R57)=0,"",IF(OR($X57="Pago",$X57="Recebido",$X57="Cancelado"),0,ROUND(N($Q57)+N($S57)+N($T57)-N($U57)-N($R57),2)))</f>
        <v/>
      </c>
      <c r="X57" s="14" t="inlineStr">
        <is>
          <t>Pago</t>
        </is>
      </c>
      <c r="Y57" s="17">
        <f>IF(COUNTA($B57:$R57)=0,"",IF($X57="Cancelado","Cancelado",IF(OR($X57="Pago",$X57="Recebido"),$X57,IF(OR($X57="Parcial",N($R57)&gt;0),"Parcial",IF($C57="","Sem vencimento",IF($C57&lt;TODAY(),"Vencido",IF($C57=TODAY(),"Vence hoje",IF($C57&lt;=TODAY()+7,"Vence em 7 dias",IF($C57&lt;=TODAY()+30,"Vence em 30 dias","Futuro")))))))))</f>
        <v/>
      </c>
      <c r="Z57" s="24">
        <f>IF($B57="","",MONTH($B57))</f>
        <v/>
      </c>
      <c r="AA57" s="24">
        <f>IF($B57="","",YEAR($B57))</f>
        <v/>
      </c>
      <c r="AB57" s="24">
        <f>IF($B57="","",ISOWEEKNUM($B57))</f>
        <v/>
      </c>
      <c r="AC57" s="17">
        <f>IF($B57="","",CHOOSE(WEEKDAY($B57,2),"Segunda","Terça","Quarta","Quinta","Sexta","Sábado","Domingo"))</f>
        <v/>
      </c>
      <c r="AD57" s="17">
        <f>IF($B57="","",TEXT($B57,"MM/AAAA"))</f>
        <v/>
      </c>
      <c r="AE57" s="18">
        <f>IF(COUNTA($B57:$R57)=0,"",IF($X57="Cancelado",0,ROUND(N($Q57)+N($S57)+N($T57)-N($U57),2)))</f>
        <v/>
      </c>
      <c r="AF57" s="9">
        <f>IF($G57="","",IFERROR(INDEX(LINHAS_DRE_PLANO,MATCH($G57,SUBCATEGORIAS_PLANO,0)),"Não classificado"))</f>
        <v/>
      </c>
      <c r="AG57" s="17">
        <f>IF($G57="","",IFERROR(INDEX(TIPOS_FLUXO_PLANO,MATCH($G57,SUBCATEGORIAS_PLANO,0)),"Não classificado"))</f>
        <v/>
      </c>
      <c r="AH57" s="9">
        <f>IF($G57="","",IFERROR(INDEX(GRUPOS_PLANO,MATCH($G57,SUBCATEGORIAS_PLANO,0)),"Não classificado"))</f>
        <v/>
      </c>
      <c r="AI57" s="24">
        <f>IF(OR($C57="",$X57="Pago",$X57="Recebido",$X57="Cancelado"),"",$C57-TODAY())</f>
        <v/>
      </c>
      <c r="AJ57" s="24">
        <f>IF(OR($C57="",$X57="Pago",$X57="Recebido",$X57="Cancelado"),0,MAX(0,TODAY()-$C57))</f>
        <v/>
      </c>
      <c r="AK57" s="24">
        <f>IF($D57="","",$D57-$B57)</f>
        <v/>
      </c>
      <c r="AL57" s="18">
        <f>IF(OR($D57="",$B57=""),"",ROUND(N($R57)*($D57-$B57),2))</f>
        <v/>
      </c>
      <c r="AM57" s="17">
        <f>IF(AND($E57="Saída",$W57&gt;0,$C57&lt;&gt;""),$C57+ROW()/1000000,"")</f>
        <v/>
      </c>
      <c r="AN57" s="17">
        <f>IF(AND($E57="Entrada",$W57&gt;0,$C57&lt;&gt;""),$C57+ROW()/1000000,"")</f>
        <v/>
      </c>
      <c r="AO57" s="9">
        <f>IF(COUNTA($B57:$R57)=0,"",IF(AND($I57&lt;&gt;"",COUNTIF(CLIENTES_NOMES,$I57)+COUNTIF(CLIENTES_FANTASIA,$I57)+COUNTIF(FORNECEDORES_NOMES,$I57)+COUNTIF(FORNECEDORES_FANTASIA,$I57)=0),"⚠ Cliente/Fornecedor não cadastrado",IF(AND($G57&lt;&gt;"",COUNTIF(SUBCATEGORIAS_PLANO,$G57)=0),"⚠ Subcategoria fora do plano de contas",IF(OR($Q57="",N($Q57)=0),"⚠ Valor previsto não informado",IF(AND(OR($X57="Pago",$X57="Recebido"),$D57=""),"⚠ Status pago/recebido sem data",IF(AND($D57&lt;&gt;"",N($R57)=0),"⚠ Data de pagamento sem valor realizado",IF(AND(N($P57)&gt;1,N($O57)&gt;N($P57)),"⚠ Nº da parcela maior que o total",IF(AND($C57&lt;&gt;"",$B57&lt;&gt;"",$C57&lt;$B57),"⚠ Vencimento anterior à competência","OK"))))))))</f>
        <v/>
      </c>
    </row>
    <row r="58">
      <c r="A58" s="14" t="inlineStr">
        <is>
          <t>L0053</t>
        </is>
      </c>
      <c r="B58" s="36" t="n">
        <v>46063</v>
      </c>
      <c r="C58" s="36" t="n">
        <v>46063</v>
      </c>
      <c r="D58" s="36" t="n">
        <v>46063</v>
      </c>
      <c r="E58" s="14" t="inlineStr">
        <is>
          <t>Saída</t>
        </is>
      </c>
      <c r="F58" s="29" t="inlineStr">
        <is>
          <t>Despesas Financeiras</t>
        </is>
      </c>
      <c r="G58" s="29" t="inlineStr">
        <is>
          <t>Juros de Empréstimos e Financiamentos</t>
        </is>
      </c>
      <c r="H58" s="29" t="inlineStr">
        <is>
          <t>Financeiro</t>
        </is>
      </c>
      <c r="I58" s="29" t="inlineStr">
        <is>
          <t>Banco do Brasil</t>
        </is>
      </c>
      <c r="J58" s="29" t="inlineStr">
        <is>
          <t>Capital de Giro — parcela 1/24 (juros)</t>
        </is>
      </c>
      <c r="K58" s="14" t="inlineStr">
        <is>
          <t>CG-2026-0417-P01</t>
        </is>
      </c>
      <c r="L58" s="29" t="inlineStr">
        <is>
          <t>Banco do Brasil — C/C 12345-6</t>
        </is>
      </c>
      <c r="M58" s="14" t="inlineStr">
        <is>
          <t>Débito automático</t>
        </is>
      </c>
      <c r="N58" s="29" t="n"/>
      <c r="O58" s="13" t="n">
        <v>1</v>
      </c>
      <c r="P58" s="13" t="n">
        <v>24</v>
      </c>
      <c r="Q58" s="35" t="n">
        <v>900</v>
      </c>
      <c r="R58" s="35" t="n">
        <v>900</v>
      </c>
      <c r="S58" s="35" t="n"/>
      <c r="T58" s="35" t="n"/>
      <c r="U58" s="35" t="n"/>
      <c r="V58" s="18">
        <f>IF(COUNTA($B58:$R58)=0,"",ROUND(N($R58)+N($S58)+N($T58)-N($U58),2))</f>
        <v/>
      </c>
      <c r="W58" s="18">
        <f>IF(COUNTA($B58:$R58)=0,"",IF(OR($X58="Pago",$X58="Recebido",$X58="Cancelado"),0,ROUND(N($Q58)+N($S58)+N($T58)-N($U58)-N($R58),2)))</f>
        <v/>
      </c>
      <c r="X58" s="14" t="inlineStr">
        <is>
          <t>Pago</t>
        </is>
      </c>
      <c r="Y58" s="17">
        <f>IF(COUNTA($B58:$R58)=0,"",IF($X58="Cancelado","Cancelado",IF(OR($X58="Pago",$X58="Recebido"),$X58,IF(OR($X58="Parcial",N($R58)&gt;0),"Parcial",IF($C58="","Sem vencimento",IF($C58&lt;TODAY(),"Vencido",IF($C58=TODAY(),"Vence hoje",IF($C58&lt;=TODAY()+7,"Vence em 7 dias",IF($C58&lt;=TODAY()+30,"Vence em 30 dias","Futuro")))))))))</f>
        <v/>
      </c>
      <c r="Z58" s="24">
        <f>IF($B58="","",MONTH($B58))</f>
        <v/>
      </c>
      <c r="AA58" s="24">
        <f>IF($B58="","",YEAR($B58))</f>
        <v/>
      </c>
      <c r="AB58" s="24">
        <f>IF($B58="","",ISOWEEKNUM($B58))</f>
        <v/>
      </c>
      <c r="AC58" s="17">
        <f>IF($B58="","",CHOOSE(WEEKDAY($B58,2),"Segunda","Terça","Quarta","Quinta","Sexta","Sábado","Domingo"))</f>
        <v/>
      </c>
      <c r="AD58" s="17">
        <f>IF($B58="","",TEXT($B58,"MM/AAAA"))</f>
        <v/>
      </c>
      <c r="AE58" s="18">
        <f>IF(COUNTA($B58:$R58)=0,"",IF($X58="Cancelado",0,ROUND(N($Q58)+N($S58)+N($T58)-N($U58),2)))</f>
        <v/>
      </c>
      <c r="AF58" s="9">
        <f>IF($G58="","",IFERROR(INDEX(LINHAS_DRE_PLANO,MATCH($G58,SUBCATEGORIAS_PLANO,0)),"Não classificado"))</f>
        <v/>
      </c>
      <c r="AG58" s="17">
        <f>IF($G58="","",IFERROR(INDEX(TIPOS_FLUXO_PLANO,MATCH($G58,SUBCATEGORIAS_PLANO,0)),"Não classificado"))</f>
        <v/>
      </c>
      <c r="AH58" s="9">
        <f>IF($G58="","",IFERROR(INDEX(GRUPOS_PLANO,MATCH($G58,SUBCATEGORIAS_PLANO,0)),"Não classificado"))</f>
        <v/>
      </c>
      <c r="AI58" s="24">
        <f>IF(OR($C58="",$X58="Pago",$X58="Recebido",$X58="Cancelado"),"",$C58-TODAY())</f>
        <v/>
      </c>
      <c r="AJ58" s="24">
        <f>IF(OR($C58="",$X58="Pago",$X58="Recebido",$X58="Cancelado"),0,MAX(0,TODAY()-$C58))</f>
        <v/>
      </c>
      <c r="AK58" s="24">
        <f>IF($D58="","",$D58-$B58)</f>
        <v/>
      </c>
      <c r="AL58" s="18">
        <f>IF(OR($D58="",$B58=""),"",ROUND(N($R58)*($D58-$B58),2))</f>
        <v/>
      </c>
      <c r="AM58" s="17">
        <f>IF(AND($E58="Saída",$W58&gt;0,$C58&lt;&gt;""),$C58+ROW()/1000000,"")</f>
        <v/>
      </c>
      <c r="AN58" s="17">
        <f>IF(AND($E58="Entrada",$W58&gt;0,$C58&lt;&gt;""),$C58+ROW()/1000000,"")</f>
        <v/>
      </c>
      <c r="AO58" s="9">
        <f>IF(COUNTA($B58:$R58)=0,"",IF(AND($I58&lt;&gt;"",COUNTIF(CLIENTES_NOMES,$I58)+COUNTIF(CLIENTES_FANTASIA,$I58)+COUNTIF(FORNECEDORES_NOMES,$I58)+COUNTIF(FORNECEDORES_FANTASIA,$I58)=0),"⚠ Cliente/Fornecedor não cadastrado",IF(AND($G58&lt;&gt;"",COUNTIF(SUBCATEGORIAS_PLANO,$G58)=0),"⚠ Subcategoria fora do plano de contas",IF(OR($Q58="",N($Q58)=0),"⚠ Valor previsto não informado",IF(AND(OR($X58="Pago",$X58="Recebido"),$D58=""),"⚠ Status pago/recebido sem data",IF(AND($D58&lt;&gt;"",N($R58)=0),"⚠ Data de pagamento sem valor realizado",IF(AND(N($P58)&gt;1,N($O58)&gt;N($P58)),"⚠ Nº da parcela maior que o total",IF(AND($C58&lt;&gt;"",$B58&lt;&gt;"",$C58&lt;$B58),"⚠ Vencimento anterior à competência","OK"))))))))</f>
        <v/>
      </c>
    </row>
    <row r="59">
      <c r="A59" s="14" t="inlineStr">
        <is>
          <t>L0054</t>
        </is>
      </c>
      <c r="B59" s="36" t="n">
        <v>46064</v>
      </c>
      <c r="C59" s="36" t="n">
        <v>46094</v>
      </c>
      <c r="D59" s="36" t="n">
        <v>46096</v>
      </c>
      <c r="E59" s="14" t="inlineStr">
        <is>
          <t>Entrada</t>
        </is>
      </c>
      <c r="F59" s="29" t="inlineStr">
        <is>
          <t>Vendas</t>
        </is>
      </c>
      <c r="G59" s="29" t="inlineStr">
        <is>
          <t>Vendas de Produtos</t>
        </is>
      </c>
      <c r="H59" s="29" t="inlineStr">
        <is>
          <t>Comercial</t>
        </is>
      </c>
      <c r="I59" s="29" t="inlineStr">
        <is>
          <t>MERCADO BOA COMPRA LTDA</t>
        </is>
      </c>
      <c r="J59" s="29" t="inlineStr">
        <is>
          <t>Venda de mercadorias para revenda</t>
        </is>
      </c>
      <c r="K59" s="14" t="inlineStr">
        <is>
          <t>NF-e 2011</t>
        </is>
      </c>
      <c r="L59" s="29" t="inlineStr">
        <is>
          <t>Banco do Brasil — C/C 12345-6</t>
        </is>
      </c>
      <c r="M59" s="14" t="inlineStr">
        <is>
          <t>Boleto</t>
        </is>
      </c>
      <c r="N59" s="29" t="n"/>
      <c r="O59" s="13" t="n">
        <v>1</v>
      </c>
      <c r="P59" s="13" t="n">
        <v>1</v>
      </c>
      <c r="Q59" s="35" t="n">
        <v>36007.7</v>
      </c>
      <c r="R59" s="35" t="n">
        <v>36007.7</v>
      </c>
      <c r="S59" s="35" t="n"/>
      <c r="T59" s="35" t="n"/>
      <c r="U59" s="35" t="n"/>
      <c r="V59" s="18">
        <f>IF(COUNTA($B59:$R59)=0,"",ROUND(N($R59)+N($S59)+N($T59)-N($U59),2))</f>
        <v/>
      </c>
      <c r="W59" s="18">
        <f>IF(COUNTA($B59:$R59)=0,"",IF(OR($X59="Pago",$X59="Recebido",$X59="Cancelado"),0,ROUND(N($Q59)+N($S59)+N($T59)-N($U59)-N($R59),2)))</f>
        <v/>
      </c>
      <c r="X59" s="14" t="inlineStr">
        <is>
          <t>Pago</t>
        </is>
      </c>
      <c r="Y59" s="17">
        <f>IF(COUNTA($B59:$R59)=0,"",IF($X59="Cancelado","Cancelado",IF(OR($X59="Pago",$X59="Recebido"),$X59,IF(OR($X59="Parcial",N($R59)&gt;0),"Parcial",IF($C59="","Sem vencimento",IF($C59&lt;TODAY(),"Vencido",IF($C59=TODAY(),"Vence hoje",IF($C59&lt;=TODAY()+7,"Vence em 7 dias",IF($C59&lt;=TODAY()+30,"Vence em 30 dias","Futuro")))))))))</f>
        <v/>
      </c>
      <c r="Z59" s="24">
        <f>IF($B59="","",MONTH($B59))</f>
        <v/>
      </c>
      <c r="AA59" s="24">
        <f>IF($B59="","",YEAR($B59))</f>
        <v/>
      </c>
      <c r="AB59" s="24">
        <f>IF($B59="","",ISOWEEKNUM($B59))</f>
        <v/>
      </c>
      <c r="AC59" s="17">
        <f>IF($B59="","",CHOOSE(WEEKDAY($B59,2),"Segunda","Terça","Quarta","Quinta","Sexta","Sábado","Domingo"))</f>
        <v/>
      </c>
      <c r="AD59" s="17">
        <f>IF($B59="","",TEXT($B59,"MM/AAAA"))</f>
        <v/>
      </c>
      <c r="AE59" s="18">
        <f>IF(COUNTA($B59:$R59)=0,"",IF($X59="Cancelado",0,ROUND(N($Q59)+N($S59)+N($T59)-N($U59),2)))</f>
        <v/>
      </c>
      <c r="AF59" s="9">
        <f>IF($G59="","",IFERROR(INDEX(LINHAS_DRE_PLANO,MATCH($G59,SUBCATEGORIAS_PLANO,0)),"Não classificado"))</f>
        <v/>
      </c>
      <c r="AG59" s="17">
        <f>IF($G59="","",IFERROR(INDEX(TIPOS_FLUXO_PLANO,MATCH($G59,SUBCATEGORIAS_PLANO,0)),"Não classificado"))</f>
        <v/>
      </c>
      <c r="AH59" s="9">
        <f>IF($G59="","",IFERROR(INDEX(GRUPOS_PLANO,MATCH($G59,SUBCATEGORIAS_PLANO,0)),"Não classificado"))</f>
        <v/>
      </c>
      <c r="AI59" s="24">
        <f>IF(OR($C59="",$X59="Pago",$X59="Recebido",$X59="Cancelado"),"",$C59-TODAY())</f>
        <v/>
      </c>
      <c r="AJ59" s="24">
        <f>IF(OR($C59="",$X59="Pago",$X59="Recebido",$X59="Cancelado"),0,MAX(0,TODAY()-$C59))</f>
        <v/>
      </c>
      <c r="AK59" s="24">
        <f>IF($D59="","",$D59-$B59)</f>
        <v/>
      </c>
      <c r="AL59" s="18">
        <f>IF(OR($D59="",$B59=""),"",ROUND(N($R59)*($D59-$B59),2))</f>
        <v/>
      </c>
      <c r="AM59" s="17">
        <f>IF(AND($E59="Saída",$W59&gt;0,$C59&lt;&gt;""),$C59+ROW()/1000000,"")</f>
        <v/>
      </c>
      <c r="AN59" s="17">
        <f>IF(AND($E59="Entrada",$W59&gt;0,$C59&lt;&gt;""),$C59+ROW()/1000000,"")</f>
        <v/>
      </c>
      <c r="AO59" s="9">
        <f>IF(COUNTA($B59:$R59)=0,"",IF(AND($I59&lt;&gt;"",COUNTIF(CLIENTES_NOMES,$I59)+COUNTIF(CLIENTES_FANTASIA,$I59)+COUNTIF(FORNECEDORES_NOMES,$I59)+COUNTIF(FORNECEDORES_FANTASIA,$I59)=0),"⚠ Cliente/Fornecedor não cadastrado",IF(AND($G59&lt;&gt;"",COUNTIF(SUBCATEGORIAS_PLANO,$G59)=0),"⚠ Subcategoria fora do plano de contas",IF(OR($Q59="",N($Q59)=0),"⚠ Valor previsto não informado",IF(AND(OR($X59="Pago",$X59="Recebido"),$D59=""),"⚠ Status pago/recebido sem data",IF(AND($D59&lt;&gt;"",N($R59)=0),"⚠ Data de pagamento sem valor realizado",IF(AND(N($P59)&gt;1,N($O59)&gt;N($P59)),"⚠ Nº da parcela maior que o total",IF(AND($C59&lt;&gt;"",$B59&lt;&gt;"",$C59&lt;$B59),"⚠ Vencimento anterior à competência","OK"))))))))</f>
        <v/>
      </c>
    </row>
    <row r="60">
      <c r="A60" s="14" t="inlineStr">
        <is>
          <t>L0055</t>
        </is>
      </c>
      <c r="B60" s="36" t="n">
        <v>46064</v>
      </c>
      <c r="C60" s="36" t="n">
        <v>46064</v>
      </c>
      <c r="D60" s="36" t="n">
        <v>46065</v>
      </c>
      <c r="E60" s="14" t="inlineStr">
        <is>
          <t>Entrada</t>
        </is>
      </c>
      <c r="F60" s="29" t="inlineStr">
        <is>
          <t>Vendas</t>
        </is>
      </c>
      <c r="G60" s="29" t="inlineStr">
        <is>
          <t>Vendas de Produtos</t>
        </is>
      </c>
      <c r="H60" s="29" t="inlineStr">
        <is>
          <t>Comercial</t>
        </is>
      </c>
      <c r="I60" s="29" t="inlineStr">
        <is>
          <t>PADARIA PÃO DOURADO ME</t>
        </is>
      </c>
      <c r="J60" s="29" t="inlineStr">
        <is>
          <t>Venda de mercadorias para revenda</t>
        </is>
      </c>
      <c r="K60" s="14" t="inlineStr">
        <is>
          <t>NF-e 2014</t>
        </is>
      </c>
      <c r="L60" s="29" t="inlineStr">
        <is>
          <t>Nubank PJ — C/C 9876543-2</t>
        </is>
      </c>
      <c r="M60" s="14" t="inlineStr">
        <is>
          <t>PIX</t>
        </is>
      </c>
      <c r="N60" s="29" t="n"/>
      <c r="O60" s="13" t="n">
        <v>1</v>
      </c>
      <c r="P60" s="13" t="n">
        <v>1</v>
      </c>
      <c r="Q60" s="35" t="n">
        <v>23372.39</v>
      </c>
      <c r="R60" s="35" t="n">
        <v>23372.39</v>
      </c>
      <c r="S60" s="35" t="n"/>
      <c r="T60" s="35" t="n"/>
      <c r="U60" s="35" t="n"/>
      <c r="V60" s="18">
        <f>IF(COUNTA($B60:$R60)=0,"",ROUND(N($R60)+N($S60)+N($T60)-N($U60),2))</f>
        <v/>
      </c>
      <c r="W60" s="18">
        <f>IF(COUNTA($B60:$R60)=0,"",IF(OR($X60="Pago",$X60="Recebido",$X60="Cancelado"),0,ROUND(N($Q60)+N($S60)+N($T60)-N($U60)-N($R60),2)))</f>
        <v/>
      </c>
      <c r="X60" s="14" t="inlineStr">
        <is>
          <t>Pago</t>
        </is>
      </c>
      <c r="Y60" s="17">
        <f>IF(COUNTA($B60:$R60)=0,"",IF($X60="Cancelado","Cancelado",IF(OR($X60="Pago",$X60="Recebido"),$X60,IF(OR($X60="Parcial",N($R60)&gt;0),"Parcial",IF($C60="","Sem vencimento",IF($C60&lt;TODAY(),"Vencido",IF($C60=TODAY(),"Vence hoje",IF($C60&lt;=TODAY()+7,"Vence em 7 dias",IF($C60&lt;=TODAY()+30,"Vence em 30 dias","Futuro")))))))))</f>
        <v/>
      </c>
      <c r="Z60" s="24">
        <f>IF($B60="","",MONTH($B60))</f>
        <v/>
      </c>
      <c r="AA60" s="24">
        <f>IF($B60="","",YEAR($B60))</f>
        <v/>
      </c>
      <c r="AB60" s="24">
        <f>IF($B60="","",ISOWEEKNUM($B60))</f>
        <v/>
      </c>
      <c r="AC60" s="17">
        <f>IF($B60="","",CHOOSE(WEEKDAY($B60,2),"Segunda","Terça","Quarta","Quinta","Sexta","Sábado","Domingo"))</f>
        <v/>
      </c>
      <c r="AD60" s="17">
        <f>IF($B60="","",TEXT($B60,"MM/AAAA"))</f>
        <v/>
      </c>
      <c r="AE60" s="18">
        <f>IF(COUNTA($B60:$R60)=0,"",IF($X60="Cancelado",0,ROUND(N($Q60)+N($S60)+N($T60)-N($U60),2)))</f>
        <v/>
      </c>
      <c r="AF60" s="9">
        <f>IF($G60="","",IFERROR(INDEX(LINHAS_DRE_PLANO,MATCH($G60,SUBCATEGORIAS_PLANO,0)),"Não classificado"))</f>
        <v/>
      </c>
      <c r="AG60" s="17">
        <f>IF($G60="","",IFERROR(INDEX(TIPOS_FLUXO_PLANO,MATCH($G60,SUBCATEGORIAS_PLANO,0)),"Não classificado"))</f>
        <v/>
      </c>
      <c r="AH60" s="9">
        <f>IF($G60="","",IFERROR(INDEX(GRUPOS_PLANO,MATCH($G60,SUBCATEGORIAS_PLANO,0)),"Não classificado"))</f>
        <v/>
      </c>
      <c r="AI60" s="24">
        <f>IF(OR($C60="",$X60="Pago",$X60="Recebido",$X60="Cancelado"),"",$C60-TODAY())</f>
        <v/>
      </c>
      <c r="AJ60" s="24">
        <f>IF(OR($C60="",$X60="Pago",$X60="Recebido",$X60="Cancelado"),0,MAX(0,TODAY()-$C60))</f>
        <v/>
      </c>
      <c r="AK60" s="24">
        <f>IF($D60="","",$D60-$B60)</f>
        <v/>
      </c>
      <c r="AL60" s="18">
        <f>IF(OR($D60="",$B60=""),"",ROUND(N($R60)*($D60-$B60),2))</f>
        <v/>
      </c>
      <c r="AM60" s="17">
        <f>IF(AND($E60="Saída",$W60&gt;0,$C60&lt;&gt;""),$C60+ROW()/1000000,"")</f>
        <v/>
      </c>
      <c r="AN60" s="17">
        <f>IF(AND($E60="Entrada",$W60&gt;0,$C60&lt;&gt;""),$C60+ROW()/1000000,"")</f>
        <v/>
      </c>
      <c r="AO60" s="9">
        <f>IF(COUNTA($B60:$R60)=0,"",IF(AND($I60&lt;&gt;"",COUNTIF(CLIENTES_NOMES,$I60)+COUNTIF(CLIENTES_FANTASIA,$I60)+COUNTIF(FORNECEDORES_NOMES,$I60)+COUNTIF(FORNECEDORES_FANTASIA,$I60)=0),"⚠ Cliente/Fornecedor não cadastrado",IF(AND($G60&lt;&gt;"",COUNTIF(SUBCATEGORIAS_PLANO,$G60)=0),"⚠ Subcategoria fora do plano de contas",IF(OR($Q60="",N($Q60)=0),"⚠ Valor previsto não informado",IF(AND(OR($X60="Pago",$X60="Recebido"),$D60=""),"⚠ Status pago/recebido sem data",IF(AND($D60&lt;&gt;"",N($R60)=0),"⚠ Data de pagamento sem valor realizado",IF(AND(N($P60)&gt;1,N($O60)&gt;N($P60)),"⚠ Nº da parcela maior que o total",IF(AND($C60&lt;&gt;"",$B60&lt;&gt;"",$C60&lt;$B60),"⚠ Vencimento anterior à competência","OK"))))))))</f>
        <v/>
      </c>
    </row>
    <row r="61">
      <c r="A61" s="14" t="inlineStr">
        <is>
          <t>L0056</t>
        </is>
      </c>
      <c r="B61" s="36" t="n">
        <v>46064</v>
      </c>
      <c r="C61" s="36" t="n">
        <v>46079</v>
      </c>
      <c r="D61" s="36" t="n">
        <v>46079</v>
      </c>
      <c r="E61" s="14" t="inlineStr">
        <is>
          <t>Entrada</t>
        </is>
      </c>
      <c r="F61" s="29" t="inlineStr">
        <is>
          <t>Vendas</t>
        </is>
      </c>
      <c r="G61" s="29" t="inlineStr">
        <is>
          <t>Vendas de Produtos</t>
        </is>
      </c>
      <c r="H61" s="29" t="inlineStr">
        <is>
          <t>Comercial</t>
        </is>
      </c>
      <c r="I61" s="29" t="inlineStr">
        <is>
          <t>RESTAURANTE SABOR CASEIRO LTDA</t>
        </is>
      </c>
      <c r="J61" s="29" t="inlineStr">
        <is>
          <t>Venda de mercadorias para revenda</t>
        </is>
      </c>
      <c r="K61" s="14" t="inlineStr">
        <is>
          <t>NF-e 2015</t>
        </is>
      </c>
      <c r="L61" s="29" t="inlineStr">
        <is>
          <t>Itaú Unibanco — C/C 45678-9</t>
        </is>
      </c>
      <c r="M61" s="14" t="inlineStr">
        <is>
          <t>Boleto</t>
        </is>
      </c>
      <c r="N61" s="29" t="n"/>
      <c r="O61" s="13" t="n">
        <v>1</v>
      </c>
      <c r="P61" s="13" t="n">
        <v>1</v>
      </c>
      <c r="Q61" s="35" t="n">
        <v>17638.56</v>
      </c>
      <c r="R61" s="35" t="n">
        <v>17638.56</v>
      </c>
      <c r="S61" s="35" t="n"/>
      <c r="T61" s="35" t="n"/>
      <c r="U61" s="35" t="n"/>
      <c r="V61" s="18">
        <f>IF(COUNTA($B61:$R61)=0,"",ROUND(N($R61)+N($S61)+N($T61)-N($U61),2))</f>
        <v/>
      </c>
      <c r="W61" s="18">
        <f>IF(COUNTA($B61:$R61)=0,"",IF(OR($X61="Pago",$X61="Recebido",$X61="Cancelado"),0,ROUND(N($Q61)+N($S61)+N($T61)-N($U61)-N($R61),2)))</f>
        <v/>
      </c>
      <c r="X61" s="14" t="inlineStr">
        <is>
          <t>Pago</t>
        </is>
      </c>
      <c r="Y61" s="17">
        <f>IF(COUNTA($B61:$R61)=0,"",IF($X61="Cancelado","Cancelado",IF(OR($X61="Pago",$X61="Recebido"),$X61,IF(OR($X61="Parcial",N($R61)&gt;0),"Parcial",IF($C61="","Sem vencimento",IF($C61&lt;TODAY(),"Vencido",IF($C61=TODAY(),"Vence hoje",IF($C61&lt;=TODAY()+7,"Vence em 7 dias",IF($C61&lt;=TODAY()+30,"Vence em 30 dias","Futuro")))))))))</f>
        <v/>
      </c>
      <c r="Z61" s="24">
        <f>IF($B61="","",MONTH($B61))</f>
        <v/>
      </c>
      <c r="AA61" s="24">
        <f>IF($B61="","",YEAR($B61))</f>
        <v/>
      </c>
      <c r="AB61" s="24">
        <f>IF($B61="","",ISOWEEKNUM($B61))</f>
        <v/>
      </c>
      <c r="AC61" s="17">
        <f>IF($B61="","",CHOOSE(WEEKDAY($B61,2),"Segunda","Terça","Quarta","Quinta","Sexta","Sábado","Domingo"))</f>
        <v/>
      </c>
      <c r="AD61" s="17">
        <f>IF($B61="","",TEXT($B61,"MM/AAAA"))</f>
        <v/>
      </c>
      <c r="AE61" s="18">
        <f>IF(COUNTA($B61:$R61)=0,"",IF($X61="Cancelado",0,ROUND(N($Q61)+N($S61)+N($T61)-N($U61),2)))</f>
        <v/>
      </c>
      <c r="AF61" s="9">
        <f>IF($G61="","",IFERROR(INDEX(LINHAS_DRE_PLANO,MATCH($G61,SUBCATEGORIAS_PLANO,0)),"Não classificado"))</f>
        <v/>
      </c>
      <c r="AG61" s="17">
        <f>IF($G61="","",IFERROR(INDEX(TIPOS_FLUXO_PLANO,MATCH($G61,SUBCATEGORIAS_PLANO,0)),"Não classificado"))</f>
        <v/>
      </c>
      <c r="AH61" s="9">
        <f>IF($G61="","",IFERROR(INDEX(GRUPOS_PLANO,MATCH($G61,SUBCATEGORIAS_PLANO,0)),"Não classificado"))</f>
        <v/>
      </c>
      <c r="AI61" s="24">
        <f>IF(OR($C61="",$X61="Pago",$X61="Recebido",$X61="Cancelado"),"",$C61-TODAY())</f>
        <v/>
      </c>
      <c r="AJ61" s="24">
        <f>IF(OR($C61="",$X61="Pago",$X61="Recebido",$X61="Cancelado"),0,MAX(0,TODAY()-$C61))</f>
        <v/>
      </c>
      <c r="AK61" s="24">
        <f>IF($D61="","",$D61-$B61)</f>
        <v/>
      </c>
      <c r="AL61" s="18">
        <f>IF(OR($D61="",$B61=""),"",ROUND(N($R61)*($D61-$B61),2))</f>
        <v/>
      </c>
      <c r="AM61" s="17">
        <f>IF(AND($E61="Saída",$W61&gt;0,$C61&lt;&gt;""),$C61+ROW()/1000000,"")</f>
        <v/>
      </c>
      <c r="AN61" s="17">
        <f>IF(AND($E61="Entrada",$W61&gt;0,$C61&lt;&gt;""),$C61+ROW()/1000000,"")</f>
        <v/>
      </c>
      <c r="AO61" s="9">
        <f>IF(COUNTA($B61:$R61)=0,"",IF(AND($I61&lt;&gt;"",COUNTIF(CLIENTES_NOMES,$I61)+COUNTIF(CLIENTES_FANTASIA,$I61)+COUNTIF(FORNECEDORES_NOMES,$I61)+COUNTIF(FORNECEDORES_FANTASIA,$I61)=0),"⚠ Cliente/Fornecedor não cadastrado",IF(AND($G61&lt;&gt;"",COUNTIF(SUBCATEGORIAS_PLANO,$G61)=0),"⚠ Subcategoria fora do plano de contas",IF(OR($Q61="",N($Q61)=0),"⚠ Valor previsto não informado",IF(AND(OR($X61="Pago",$X61="Recebido"),$D61=""),"⚠ Status pago/recebido sem data",IF(AND($D61&lt;&gt;"",N($R61)=0),"⚠ Data de pagamento sem valor realizado",IF(AND(N($P61)&gt;1,N($O61)&gt;N($P61)),"⚠ Nº da parcela maior que o total",IF(AND($C61&lt;&gt;"",$B61&lt;&gt;"",$C61&lt;$B61),"⚠ Vencimento anterior à competência","OK"))))))))</f>
        <v/>
      </c>
    </row>
    <row r="62">
      <c r="A62" s="14" t="inlineStr">
        <is>
          <t>L0057</t>
        </is>
      </c>
      <c r="B62" s="36" t="n">
        <v>46064</v>
      </c>
      <c r="C62" s="36" t="n">
        <v>46094</v>
      </c>
      <c r="D62" s="36" t="n">
        <v>46095</v>
      </c>
      <c r="E62" s="14" t="inlineStr">
        <is>
          <t>Entrada</t>
        </is>
      </c>
      <c r="F62" s="29" t="inlineStr">
        <is>
          <t>Vendas</t>
        </is>
      </c>
      <c r="G62" s="29" t="inlineStr">
        <is>
          <t>Vendas de Produtos</t>
        </is>
      </c>
      <c r="H62" s="29" t="inlineStr">
        <is>
          <t>Comercial</t>
        </is>
      </c>
      <c r="I62" s="29" t="inlineStr">
        <is>
          <t>HOTEL VISTA ALEGRE LTDA</t>
        </is>
      </c>
      <c r="J62" s="29" t="inlineStr">
        <is>
          <t>Venda de mercadorias para revenda</t>
        </is>
      </c>
      <c r="K62" s="14" t="inlineStr">
        <is>
          <t>NF-e 2018</t>
        </is>
      </c>
      <c r="L62" s="29" t="inlineStr">
        <is>
          <t>Itaú Unibanco — C/C 45678-9</t>
        </is>
      </c>
      <c r="M62" s="14" t="inlineStr">
        <is>
          <t>Boleto</t>
        </is>
      </c>
      <c r="N62" s="29" t="n"/>
      <c r="O62" s="13" t="n">
        <v>1</v>
      </c>
      <c r="P62" s="13" t="n">
        <v>1</v>
      </c>
      <c r="Q62" s="35" t="n">
        <v>33469.99</v>
      </c>
      <c r="R62" s="35" t="n">
        <v>33469.99</v>
      </c>
      <c r="S62" s="35" t="n"/>
      <c r="T62" s="35" t="n"/>
      <c r="U62" s="35" t="n"/>
      <c r="V62" s="18">
        <f>IF(COUNTA($B62:$R62)=0,"",ROUND(N($R62)+N($S62)+N($T62)-N($U62),2))</f>
        <v/>
      </c>
      <c r="W62" s="18">
        <f>IF(COUNTA($B62:$R62)=0,"",IF(OR($X62="Pago",$X62="Recebido",$X62="Cancelado"),0,ROUND(N($Q62)+N($S62)+N($T62)-N($U62)-N($R62),2)))</f>
        <v/>
      </c>
      <c r="X62" s="14" t="inlineStr">
        <is>
          <t>Pago</t>
        </is>
      </c>
      <c r="Y62" s="17">
        <f>IF(COUNTA($B62:$R62)=0,"",IF($X62="Cancelado","Cancelado",IF(OR($X62="Pago",$X62="Recebido"),$X62,IF(OR($X62="Parcial",N($R62)&gt;0),"Parcial",IF($C62="","Sem vencimento",IF($C62&lt;TODAY(),"Vencido",IF($C62=TODAY(),"Vence hoje",IF($C62&lt;=TODAY()+7,"Vence em 7 dias",IF($C62&lt;=TODAY()+30,"Vence em 30 dias","Futuro")))))))))</f>
        <v/>
      </c>
      <c r="Z62" s="24">
        <f>IF($B62="","",MONTH($B62))</f>
        <v/>
      </c>
      <c r="AA62" s="24">
        <f>IF($B62="","",YEAR($B62))</f>
        <v/>
      </c>
      <c r="AB62" s="24">
        <f>IF($B62="","",ISOWEEKNUM($B62))</f>
        <v/>
      </c>
      <c r="AC62" s="17">
        <f>IF($B62="","",CHOOSE(WEEKDAY($B62,2),"Segunda","Terça","Quarta","Quinta","Sexta","Sábado","Domingo"))</f>
        <v/>
      </c>
      <c r="AD62" s="17">
        <f>IF($B62="","",TEXT($B62,"MM/AAAA"))</f>
        <v/>
      </c>
      <c r="AE62" s="18">
        <f>IF(COUNTA($B62:$R62)=0,"",IF($X62="Cancelado",0,ROUND(N($Q62)+N($S62)+N($T62)-N($U62),2)))</f>
        <v/>
      </c>
      <c r="AF62" s="9">
        <f>IF($G62="","",IFERROR(INDEX(LINHAS_DRE_PLANO,MATCH($G62,SUBCATEGORIAS_PLANO,0)),"Não classificado"))</f>
        <v/>
      </c>
      <c r="AG62" s="17">
        <f>IF($G62="","",IFERROR(INDEX(TIPOS_FLUXO_PLANO,MATCH($G62,SUBCATEGORIAS_PLANO,0)),"Não classificado"))</f>
        <v/>
      </c>
      <c r="AH62" s="9">
        <f>IF($G62="","",IFERROR(INDEX(GRUPOS_PLANO,MATCH($G62,SUBCATEGORIAS_PLANO,0)),"Não classificado"))</f>
        <v/>
      </c>
      <c r="AI62" s="24">
        <f>IF(OR($C62="",$X62="Pago",$X62="Recebido",$X62="Cancelado"),"",$C62-TODAY())</f>
        <v/>
      </c>
      <c r="AJ62" s="24">
        <f>IF(OR($C62="",$X62="Pago",$X62="Recebido",$X62="Cancelado"),0,MAX(0,TODAY()-$C62))</f>
        <v/>
      </c>
      <c r="AK62" s="24">
        <f>IF($D62="","",$D62-$B62)</f>
        <v/>
      </c>
      <c r="AL62" s="18">
        <f>IF(OR($D62="",$B62=""),"",ROUND(N($R62)*($D62-$B62),2))</f>
        <v/>
      </c>
      <c r="AM62" s="17">
        <f>IF(AND($E62="Saída",$W62&gt;0,$C62&lt;&gt;""),$C62+ROW()/1000000,"")</f>
        <v/>
      </c>
      <c r="AN62" s="17">
        <f>IF(AND($E62="Entrada",$W62&gt;0,$C62&lt;&gt;""),$C62+ROW()/1000000,"")</f>
        <v/>
      </c>
      <c r="AO62" s="9">
        <f>IF(COUNTA($B62:$R62)=0,"",IF(AND($I62&lt;&gt;"",COUNTIF(CLIENTES_NOMES,$I62)+COUNTIF(CLIENTES_FANTASIA,$I62)+COUNTIF(FORNECEDORES_NOMES,$I62)+COUNTIF(FORNECEDORES_FANTASIA,$I62)=0),"⚠ Cliente/Fornecedor não cadastrado",IF(AND($G62&lt;&gt;"",COUNTIF(SUBCATEGORIAS_PLANO,$G62)=0),"⚠ Subcategoria fora do plano de contas",IF(OR($Q62="",N($Q62)=0),"⚠ Valor previsto não informado",IF(AND(OR($X62="Pago",$X62="Recebido"),$D62=""),"⚠ Status pago/recebido sem data",IF(AND($D62&lt;&gt;"",N($R62)=0),"⚠ Data de pagamento sem valor realizado",IF(AND(N($P62)&gt;1,N($O62)&gt;N($P62)),"⚠ Nº da parcela maior que o total",IF(AND($C62&lt;&gt;"",$B62&lt;&gt;"",$C62&lt;$B62),"⚠ Vencimento anterior à competência","OK"))))))))</f>
        <v/>
      </c>
    </row>
    <row r="63">
      <c r="A63" s="14" t="inlineStr">
        <is>
          <t>L0058</t>
        </is>
      </c>
      <c r="B63" s="36" t="n">
        <v>46064</v>
      </c>
      <c r="C63" s="36" t="n">
        <v>46085</v>
      </c>
      <c r="D63" s="36" t="n">
        <v>46085</v>
      </c>
      <c r="E63" s="14" t="inlineStr">
        <is>
          <t>Entrada</t>
        </is>
      </c>
      <c r="F63" s="29" t="inlineStr">
        <is>
          <t>Vendas</t>
        </is>
      </c>
      <c r="G63" s="29" t="inlineStr">
        <is>
          <t>Vendas de Produtos</t>
        </is>
      </c>
      <c r="H63" s="29" t="inlineStr">
        <is>
          <t>Comercial</t>
        </is>
      </c>
      <c r="I63" s="29" t="inlineStr">
        <is>
          <t>EMPÓRIO NATURAL COMÉRCIO LTDA</t>
        </is>
      </c>
      <c r="J63" s="29" t="inlineStr">
        <is>
          <t>Venda de mercadorias (parcela 1/3)</t>
        </is>
      </c>
      <c r="K63" s="14" t="inlineStr">
        <is>
          <t>NF-e 2019</t>
        </is>
      </c>
      <c r="L63" s="29" t="inlineStr">
        <is>
          <t>Itaú Unibanco — C/C 45678-9</t>
        </is>
      </c>
      <c r="M63" s="14" t="inlineStr">
        <is>
          <t>Crédito parcelado</t>
        </is>
      </c>
      <c r="N63" s="29" t="n"/>
      <c r="O63" s="13" t="n">
        <v>1</v>
      </c>
      <c r="P63" s="13" t="n">
        <v>3</v>
      </c>
      <c r="Q63" s="35" t="n">
        <v>7414.56</v>
      </c>
      <c r="R63" s="35" t="n">
        <v>7414.56</v>
      </c>
      <c r="S63" s="35" t="n"/>
      <c r="T63" s="35" t="n"/>
      <c r="U63" s="35" t="n"/>
      <c r="V63" s="18">
        <f>IF(COUNTA($B63:$R63)=0,"",ROUND(N($R63)+N($S63)+N($T63)-N($U63),2))</f>
        <v/>
      </c>
      <c r="W63" s="18">
        <f>IF(COUNTA($B63:$R63)=0,"",IF(OR($X63="Pago",$X63="Recebido",$X63="Cancelado"),0,ROUND(N($Q63)+N($S63)+N($T63)-N($U63)-N($R63),2)))</f>
        <v/>
      </c>
      <c r="X63" s="14" t="inlineStr">
        <is>
          <t>Pago</t>
        </is>
      </c>
      <c r="Y63" s="17">
        <f>IF(COUNTA($B63:$R63)=0,"",IF($X63="Cancelado","Cancelado",IF(OR($X63="Pago",$X63="Recebido"),$X63,IF(OR($X63="Parcial",N($R63)&gt;0),"Parcial",IF($C63="","Sem vencimento",IF($C63&lt;TODAY(),"Vencido",IF($C63=TODAY(),"Vence hoje",IF($C63&lt;=TODAY()+7,"Vence em 7 dias",IF($C63&lt;=TODAY()+30,"Vence em 30 dias","Futuro")))))))))</f>
        <v/>
      </c>
      <c r="Z63" s="24">
        <f>IF($B63="","",MONTH($B63))</f>
        <v/>
      </c>
      <c r="AA63" s="24">
        <f>IF($B63="","",YEAR($B63))</f>
        <v/>
      </c>
      <c r="AB63" s="24">
        <f>IF($B63="","",ISOWEEKNUM($B63))</f>
        <v/>
      </c>
      <c r="AC63" s="17">
        <f>IF($B63="","",CHOOSE(WEEKDAY($B63,2),"Segunda","Terça","Quarta","Quinta","Sexta","Sábado","Domingo"))</f>
        <v/>
      </c>
      <c r="AD63" s="17">
        <f>IF($B63="","",TEXT($B63,"MM/AAAA"))</f>
        <v/>
      </c>
      <c r="AE63" s="18">
        <f>IF(COUNTA($B63:$R63)=0,"",IF($X63="Cancelado",0,ROUND(N($Q63)+N($S63)+N($T63)-N($U63),2)))</f>
        <v/>
      </c>
      <c r="AF63" s="9">
        <f>IF($G63="","",IFERROR(INDEX(LINHAS_DRE_PLANO,MATCH($G63,SUBCATEGORIAS_PLANO,0)),"Não classificado"))</f>
        <v/>
      </c>
      <c r="AG63" s="17">
        <f>IF($G63="","",IFERROR(INDEX(TIPOS_FLUXO_PLANO,MATCH($G63,SUBCATEGORIAS_PLANO,0)),"Não classificado"))</f>
        <v/>
      </c>
      <c r="AH63" s="9">
        <f>IF($G63="","",IFERROR(INDEX(GRUPOS_PLANO,MATCH($G63,SUBCATEGORIAS_PLANO,0)),"Não classificado"))</f>
        <v/>
      </c>
      <c r="AI63" s="24">
        <f>IF(OR($C63="",$X63="Pago",$X63="Recebido",$X63="Cancelado"),"",$C63-TODAY())</f>
        <v/>
      </c>
      <c r="AJ63" s="24">
        <f>IF(OR($C63="",$X63="Pago",$X63="Recebido",$X63="Cancelado"),0,MAX(0,TODAY()-$C63))</f>
        <v/>
      </c>
      <c r="AK63" s="24">
        <f>IF($D63="","",$D63-$B63)</f>
        <v/>
      </c>
      <c r="AL63" s="18">
        <f>IF(OR($D63="",$B63=""),"",ROUND(N($R63)*($D63-$B63),2))</f>
        <v/>
      </c>
      <c r="AM63" s="17">
        <f>IF(AND($E63="Saída",$W63&gt;0,$C63&lt;&gt;""),$C63+ROW()/1000000,"")</f>
        <v/>
      </c>
      <c r="AN63" s="17">
        <f>IF(AND($E63="Entrada",$W63&gt;0,$C63&lt;&gt;""),$C63+ROW()/1000000,"")</f>
        <v/>
      </c>
      <c r="AO63" s="9">
        <f>IF(COUNTA($B63:$R63)=0,"",IF(AND($I63&lt;&gt;"",COUNTIF(CLIENTES_NOMES,$I63)+COUNTIF(CLIENTES_FANTASIA,$I63)+COUNTIF(FORNECEDORES_NOMES,$I63)+COUNTIF(FORNECEDORES_FANTASIA,$I63)=0),"⚠ Cliente/Fornecedor não cadastrado",IF(AND($G63&lt;&gt;"",COUNTIF(SUBCATEGORIAS_PLANO,$G63)=0),"⚠ Subcategoria fora do plano de contas",IF(OR($Q63="",N($Q63)=0),"⚠ Valor previsto não informado",IF(AND(OR($X63="Pago",$X63="Recebido"),$D63=""),"⚠ Status pago/recebido sem data",IF(AND($D63&lt;&gt;"",N($R63)=0),"⚠ Data de pagamento sem valor realizado",IF(AND(N($P63)&gt;1,N($O63)&gt;N($P63)),"⚠ Nº da parcela maior que o total",IF(AND($C63&lt;&gt;"",$B63&lt;&gt;"",$C63&lt;$B63),"⚠ Vencimento anterior à competência","OK"))))))))</f>
        <v/>
      </c>
    </row>
    <row r="64">
      <c r="A64" s="14" t="inlineStr">
        <is>
          <t>L0059</t>
        </is>
      </c>
      <c r="B64" s="36" t="n">
        <v>46064</v>
      </c>
      <c r="C64" s="36" t="n">
        <v>46115</v>
      </c>
      <c r="D64" s="36" t="n">
        <v>46118</v>
      </c>
      <c r="E64" s="14" t="inlineStr">
        <is>
          <t>Entrada</t>
        </is>
      </c>
      <c r="F64" s="29" t="inlineStr">
        <is>
          <t>Vendas</t>
        </is>
      </c>
      <c r="G64" s="29" t="inlineStr">
        <is>
          <t>Vendas de Produtos</t>
        </is>
      </c>
      <c r="H64" s="29" t="inlineStr">
        <is>
          <t>Comercial</t>
        </is>
      </c>
      <c r="I64" s="29" t="inlineStr">
        <is>
          <t>EMPÓRIO NATURAL COMÉRCIO LTDA</t>
        </is>
      </c>
      <c r="J64" s="29" t="inlineStr">
        <is>
          <t>Venda de mercadorias (parcela 2/3)</t>
        </is>
      </c>
      <c r="K64" s="14" t="inlineStr">
        <is>
          <t>NF-e 2020</t>
        </is>
      </c>
      <c r="L64" s="29" t="inlineStr">
        <is>
          <t>Itaú Unibanco — C/C 45678-9</t>
        </is>
      </c>
      <c r="M64" s="14" t="inlineStr">
        <is>
          <t>Crédito parcelado</t>
        </is>
      </c>
      <c r="N64" s="29" t="n"/>
      <c r="O64" s="13" t="n">
        <v>2</v>
      </c>
      <c r="P64" s="13" t="n">
        <v>3</v>
      </c>
      <c r="Q64" s="35" t="n">
        <v>7414.56</v>
      </c>
      <c r="R64" s="35" t="n">
        <v>7414.56</v>
      </c>
      <c r="S64" s="35" t="n"/>
      <c r="T64" s="35" t="n"/>
      <c r="U64" s="35" t="n"/>
      <c r="V64" s="18">
        <f>IF(COUNTA($B64:$R64)=0,"",ROUND(N($R64)+N($S64)+N($T64)-N($U64),2))</f>
        <v/>
      </c>
      <c r="W64" s="18">
        <f>IF(COUNTA($B64:$R64)=0,"",IF(OR($X64="Pago",$X64="Recebido",$X64="Cancelado"),0,ROUND(N($Q64)+N($S64)+N($T64)-N($U64)-N($R64),2)))</f>
        <v/>
      </c>
      <c r="X64" s="14" t="inlineStr">
        <is>
          <t>Pago</t>
        </is>
      </c>
      <c r="Y64" s="17">
        <f>IF(COUNTA($B64:$R64)=0,"",IF($X64="Cancelado","Cancelado",IF(OR($X64="Pago",$X64="Recebido"),$X64,IF(OR($X64="Parcial",N($R64)&gt;0),"Parcial",IF($C64="","Sem vencimento",IF($C64&lt;TODAY(),"Vencido",IF($C64=TODAY(),"Vence hoje",IF($C64&lt;=TODAY()+7,"Vence em 7 dias",IF($C64&lt;=TODAY()+30,"Vence em 30 dias","Futuro")))))))))</f>
        <v/>
      </c>
      <c r="Z64" s="24">
        <f>IF($B64="","",MONTH($B64))</f>
        <v/>
      </c>
      <c r="AA64" s="24">
        <f>IF($B64="","",YEAR($B64))</f>
        <v/>
      </c>
      <c r="AB64" s="24">
        <f>IF($B64="","",ISOWEEKNUM($B64))</f>
        <v/>
      </c>
      <c r="AC64" s="17">
        <f>IF($B64="","",CHOOSE(WEEKDAY($B64,2),"Segunda","Terça","Quarta","Quinta","Sexta","Sábado","Domingo"))</f>
        <v/>
      </c>
      <c r="AD64" s="17">
        <f>IF($B64="","",TEXT($B64,"MM/AAAA"))</f>
        <v/>
      </c>
      <c r="AE64" s="18">
        <f>IF(COUNTA($B64:$R64)=0,"",IF($X64="Cancelado",0,ROUND(N($Q64)+N($S64)+N($T64)-N($U64),2)))</f>
        <v/>
      </c>
      <c r="AF64" s="9">
        <f>IF($G64="","",IFERROR(INDEX(LINHAS_DRE_PLANO,MATCH($G64,SUBCATEGORIAS_PLANO,0)),"Não classificado"))</f>
        <v/>
      </c>
      <c r="AG64" s="17">
        <f>IF($G64="","",IFERROR(INDEX(TIPOS_FLUXO_PLANO,MATCH($G64,SUBCATEGORIAS_PLANO,0)),"Não classificado"))</f>
        <v/>
      </c>
      <c r="AH64" s="9">
        <f>IF($G64="","",IFERROR(INDEX(GRUPOS_PLANO,MATCH($G64,SUBCATEGORIAS_PLANO,0)),"Não classificado"))</f>
        <v/>
      </c>
      <c r="AI64" s="24">
        <f>IF(OR($C64="",$X64="Pago",$X64="Recebido",$X64="Cancelado"),"",$C64-TODAY())</f>
        <v/>
      </c>
      <c r="AJ64" s="24">
        <f>IF(OR($C64="",$X64="Pago",$X64="Recebido",$X64="Cancelado"),0,MAX(0,TODAY()-$C64))</f>
        <v/>
      </c>
      <c r="AK64" s="24">
        <f>IF($D64="","",$D64-$B64)</f>
        <v/>
      </c>
      <c r="AL64" s="18">
        <f>IF(OR($D64="",$B64=""),"",ROUND(N($R64)*($D64-$B64),2))</f>
        <v/>
      </c>
      <c r="AM64" s="17">
        <f>IF(AND($E64="Saída",$W64&gt;0,$C64&lt;&gt;""),$C64+ROW()/1000000,"")</f>
        <v/>
      </c>
      <c r="AN64" s="17">
        <f>IF(AND($E64="Entrada",$W64&gt;0,$C64&lt;&gt;""),$C64+ROW()/1000000,"")</f>
        <v/>
      </c>
      <c r="AO64" s="9">
        <f>IF(COUNTA($B64:$R64)=0,"",IF(AND($I64&lt;&gt;"",COUNTIF(CLIENTES_NOMES,$I64)+COUNTIF(CLIENTES_FANTASIA,$I64)+COUNTIF(FORNECEDORES_NOMES,$I64)+COUNTIF(FORNECEDORES_FANTASIA,$I64)=0),"⚠ Cliente/Fornecedor não cadastrado",IF(AND($G64&lt;&gt;"",COUNTIF(SUBCATEGORIAS_PLANO,$G64)=0),"⚠ Subcategoria fora do plano de contas",IF(OR($Q64="",N($Q64)=0),"⚠ Valor previsto não informado",IF(AND(OR($X64="Pago",$X64="Recebido"),$D64=""),"⚠ Status pago/recebido sem data",IF(AND($D64&lt;&gt;"",N($R64)=0),"⚠ Data de pagamento sem valor realizado",IF(AND(N($P64)&gt;1,N($O64)&gt;N($P64)),"⚠ Nº da parcela maior que o total",IF(AND($C64&lt;&gt;"",$B64&lt;&gt;"",$C64&lt;$B64),"⚠ Vencimento anterior à competência","OK"))))))))</f>
        <v/>
      </c>
    </row>
    <row r="65">
      <c r="A65" s="14" t="inlineStr">
        <is>
          <t>L0060</t>
        </is>
      </c>
      <c r="B65" s="36" t="n">
        <v>46064</v>
      </c>
      <c r="C65" s="36" t="n">
        <v>46145</v>
      </c>
      <c r="D65" s="36" t="n">
        <v>46145</v>
      </c>
      <c r="E65" s="14" t="inlineStr">
        <is>
          <t>Entrada</t>
        </is>
      </c>
      <c r="F65" s="29" t="inlineStr">
        <is>
          <t>Vendas</t>
        </is>
      </c>
      <c r="G65" s="29" t="inlineStr">
        <is>
          <t>Vendas de Produtos</t>
        </is>
      </c>
      <c r="H65" s="29" t="inlineStr">
        <is>
          <t>Comercial</t>
        </is>
      </c>
      <c r="I65" s="29" t="inlineStr">
        <is>
          <t>EMPÓRIO NATURAL COMÉRCIO LTDA</t>
        </is>
      </c>
      <c r="J65" s="29" t="inlineStr">
        <is>
          <t>Venda de mercadorias (parcela 3/3)</t>
        </is>
      </c>
      <c r="K65" s="14" t="inlineStr">
        <is>
          <t>NF-e 2021</t>
        </is>
      </c>
      <c r="L65" s="29" t="inlineStr">
        <is>
          <t>Itaú Unibanco — C/C 45678-9</t>
        </is>
      </c>
      <c r="M65" s="14" t="inlineStr">
        <is>
          <t>Crédito parcelado</t>
        </is>
      </c>
      <c r="N65" s="29" t="n"/>
      <c r="O65" s="13" t="n">
        <v>3</v>
      </c>
      <c r="P65" s="13" t="n">
        <v>3</v>
      </c>
      <c r="Q65" s="35" t="n">
        <v>7414.56</v>
      </c>
      <c r="R65" s="35" t="n">
        <v>7414.56</v>
      </c>
      <c r="S65" s="35" t="n"/>
      <c r="T65" s="35" t="n"/>
      <c r="U65" s="35" t="n"/>
      <c r="V65" s="18">
        <f>IF(COUNTA($B65:$R65)=0,"",ROUND(N($R65)+N($S65)+N($T65)-N($U65),2))</f>
        <v/>
      </c>
      <c r="W65" s="18">
        <f>IF(COUNTA($B65:$R65)=0,"",IF(OR($X65="Pago",$X65="Recebido",$X65="Cancelado"),0,ROUND(N($Q65)+N($S65)+N($T65)-N($U65)-N($R65),2)))</f>
        <v/>
      </c>
      <c r="X65" s="14" t="inlineStr">
        <is>
          <t>Pago</t>
        </is>
      </c>
      <c r="Y65" s="17">
        <f>IF(COUNTA($B65:$R65)=0,"",IF($X65="Cancelado","Cancelado",IF(OR($X65="Pago",$X65="Recebido"),$X65,IF(OR($X65="Parcial",N($R65)&gt;0),"Parcial",IF($C65="","Sem vencimento",IF($C65&lt;TODAY(),"Vencido",IF($C65=TODAY(),"Vence hoje",IF($C65&lt;=TODAY()+7,"Vence em 7 dias",IF($C65&lt;=TODAY()+30,"Vence em 30 dias","Futuro")))))))))</f>
        <v/>
      </c>
      <c r="Z65" s="24">
        <f>IF($B65="","",MONTH($B65))</f>
        <v/>
      </c>
      <c r="AA65" s="24">
        <f>IF($B65="","",YEAR($B65))</f>
        <v/>
      </c>
      <c r="AB65" s="24">
        <f>IF($B65="","",ISOWEEKNUM($B65))</f>
        <v/>
      </c>
      <c r="AC65" s="17">
        <f>IF($B65="","",CHOOSE(WEEKDAY($B65,2),"Segunda","Terça","Quarta","Quinta","Sexta","Sábado","Domingo"))</f>
        <v/>
      </c>
      <c r="AD65" s="17">
        <f>IF($B65="","",TEXT($B65,"MM/AAAA"))</f>
        <v/>
      </c>
      <c r="AE65" s="18">
        <f>IF(COUNTA($B65:$R65)=0,"",IF($X65="Cancelado",0,ROUND(N($Q65)+N($S65)+N($T65)-N($U65),2)))</f>
        <v/>
      </c>
      <c r="AF65" s="9">
        <f>IF($G65="","",IFERROR(INDEX(LINHAS_DRE_PLANO,MATCH($G65,SUBCATEGORIAS_PLANO,0)),"Não classificado"))</f>
        <v/>
      </c>
      <c r="AG65" s="17">
        <f>IF($G65="","",IFERROR(INDEX(TIPOS_FLUXO_PLANO,MATCH($G65,SUBCATEGORIAS_PLANO,0)),"Não classificado"))</f>
        <v/>
      </c>
      <c r="AH65" s="9">
        <f>IF($G65="","",IFERROR(INDEX(GRUPOS_PLANO,MATCH($G65,SUBCATEGORIAS_PLANO,0)),"Não classificado"))</f>
        <v/>
      </c>
      <c r="AI65" s="24">
        <f>IF(OR($C65="",$X65="Pago",$X65="Recebido",$X65="Cancelado"),"",$C65-TODAY())</f>
        <v/>
      </c>
      <c r="AJ65" s="24">
        <f>IF(OR($C65="",$X65="Pago",$X65="Recebido",$X65="Cancelado"),0,MAX(0,TODAY()-$C65))</f>
        <v/>
      </c>
      <c r="AK65" s="24">
        <f>IF($D65="","",$D65-$B65)</f>
        <v/>
      </c>
      <c r="AL65" s="18">
        <f>IF(OR($D65="",$B65=""),"",ROUND(N($R65)*($D65-$B65),2))</f>
        <v/>
      </c>
      <c r="AM65" s="17">
        <f>IF(AND($E65="Saída",$W65&gt;0,$C65&lt;&gt;""),$C65+ROW()/1000000,"")</f>
        <v/>
      </c>
      <c r="AN65" s="17">
        <f>IF(AND($E65="Entrada",$W65&gt;0,$C65&lt;&gt;""),$C65+ROW()/1000000,"")</f>
        <v/>
      </c>
      <c r="AO65" s="9">
        <f>IF(COUNTA($B65:$R65)=0,"",IF(AND($I65&lt;&gt;"",COUNTIF(CLIENTES_NOMES,$I65)+COUNTIF(CLIENTES_FANTASIA,$I65)+COUNTIF(FORNECEDORES_NOMES,$I65)+COUNTIF(FORNECEDORES_FANTASIA,$I65)=0),"⚠ Cliente/Fornecedor não cadastrado",IF(AND($G65&lt;&gt;"",COUNTIF(SUBCATEGORIAS_PLANO,$G65)=0),"⚠ Subcategoria fora do plano de contas",IF(OR($Q65="",N($Q65)=0),"⚠ Valor previsto não informado",IF(AND(OR($X65="Pago",$X65="Recebido"),$D65=""),"⚠ Status pago/recebido sem data",IF(AND($D65&lt;&gt;"",N($R65)=0),"⚠ Data de pagamento sem valor realizado",IF(AND(N($P65)&gt;1,N($O65)&gt;N($P65)),"⚠ Nº da parcela maior que o total",IF(AND($C65&lt;&gt;"",$B65&lt;&gt;"",$C65&lt;$B65),"⚠ Vencimento anterior à competência","OK"))))))))</f>
        <v/>
      </c>
    </row>
    <row r="66">
      <c r="A66" s="14" t="inlineStr">
        <is>
          <t>L0061</t>
        </is>
      </c>
      <c r="B66" s="36" t="n">
        <v>46065</v>
      </c>
      <c r="C66" s="36" t="n">
        <v>46080</v>
      </c>
      <c r="D66" s="36" t="n">
        <v>46083</v>
      </c>
      <c r="E66" s="14" t="inlineStr">
        <is>
          <t>Saída</t>
        </is>
      </c>
      <c r="F66" s="29" t="inlineStr">
        <is>
          <t>Custos Variáveis</t>
        </is>
      </c>
      <c r="G66" s="29" t="inlineStr">
        <is>
          <t>Embalagens</t>
        </is>
      </c>
      <c r="H66" s="29" t="inlineStr">
        <is>
          <t>Logística</t>
        </is>
      </c>
      <c r="I66" s="29" t="inlineStr">
        <is>
          <t>EMBALAGENS PAULISTA LTDA</t>
        </is>
      </c>
      <c r="J66" s="29" t="inlineStr">
        <is>
          <t>Compra de embalagens e etiquetas</t>
        </is>
      </c>
      <c r="K66" s="14" t="inlineStr">
        <is>
          <t>DOC 7169</t>
        </is>
      </c>
      <c r="L66" s="29" t="inlineStr">
        <is>
          <t>Banco do Brasil — C/C 12345-6</t>
        </is>
      </c>
      <c r="M66" s="14" t="inlineStr">
        <is>
          <t>Boleto</t>
        </is>
      </c>
      <c r="N66" s="29" t="n"/>
      <c r="O66" s="13" t="n">
        <v>1</v>
      </c>
      <c r="P66" s="13" t="n">
        <v>1</v>
      </c>
      <c r="Q66" s="35" t="n">
        <v>2509.88</v>
      </c>
      <c r="R66" s="35" t="n">
        <v>2509.88</v>
      </c>
      <c r="S66" s="35" t="n"/>
      <c r="T66" s="35" t="n"/>
      <c r="U66" s="35" t="n"/>
      <c r="V66" s="18">
        <f>IF(COUNTA($B66:$R66)=0,"",ROUND(N($R66)+N($S66)+N($T66)-N($U66),2))</f>
        <v/>
      </c>
      <c r="W66" s="18">
        <f>IF(COUNTA($B66:$R66)=0,"",IF(OR($X66="Pago",$X66="Recebido",$X66="Cancelado"),0,ROUND(N($Q66)+N($S66)+N($T66)-N($U66)-N($R66),2)))</f>
        <v/>
      </c>
      <c r="X66" s="14" t="inlineStr">
        <is>
          <t>Pago</t>
        </is>
      </c>
      <c r="Y66" s="17">
        <f>IF(COUNTA($B66:$R66)=0,"",IF($X66="Cancelado","Cancelado",IF(OR($X66="Pago",$X66="Recebido"),$X66,IF(OR($X66="Parcial",N($R66)&gt;0),"Parcial",IF($C66="","Sem vencimento",IF($C66&lt;TODAY(),"Vencido",IF($C66=TODAY(),"Vence hoje",IF($C66&lt;=TODAY()+7,"Vence em 7 dias",IF($C66&lt;=TODAY()+30,"Vence em 30 dias","Futuro")))))))))</f>
        <v/>
      </c>
      <c r="Z66" s="24">
        <f>IF($B66="","",MONTH($B66))</f>
        <v/>
      </c>
      <c r="AA66" s="24">
        <f>IF($B66="","",YEAR($B66))</f>
        <v/>
      </c>
      <c r="AB66" s="24">
        <f>IF($B66="","",ISOWEEKNUM($B66))</f>
        <v/>
      </c>
      <c r="AC66" s="17">
        <f>IF($B66="","",CHOOSE(WEEKDAY($B66,2),"Segunda","Terça","Quarta","Quinta","Sexta","Sábado","Domingo"))</f>
        <v/>
      </c>
      <c r="AD66" s="17">
        <f>IF($B66="","",TEXT($B66,"MM/AAAA"))</f>
        <v/>
      </c>
      <c r="AE66" s="18">
        <f>IF(COUNTA($B66:$R66)=0,"",IF($X66="Cancelado",0,ROUND(N($Q66)+N($S66)+N($T66)-N($U66),2)))</f>
        <v/>
      </c>
      <c r="AF66" s="9">
        <f>IF($G66="","",IFERROR(INDEX(LINHAS_DRE_PLANO,MATCH($G66,SUBCATEGORIAS_PLANO,0)),"Não classificado"))</f>
        <v/>
      </c>
      <c r="AG66" s="17">
        <f>IF($G66="","",IFERROR(INDEX(TIPOS_FLUXO_PLANO,MATCH($G66,SUBCATEGORIAS_PLANO,0)),"Não classificado"))</f>
        <v/>
      </c>
      <c r="AH66" s="9">
        <f>IF($G66="","",IFERROR(INDEX(GRUPOS_PLANO,MATCH($G66,SUBCATEGORIAS_PLANO,0)),"Não classificado"))</f>
        <v/>
      </c>
      <c r="AI66" s="24">
        <f>IF(OR($C66="",$X66="Pago",$X66="Recebido",$X66="Cancelado"),"",$C66-TODAY())</f>
        <v/>
      </c>
      <c r="AJ66" s="24">
        <f>IF(OR($C66="",$X66="Pago",$X66="Recebido",$X66="Cancelado"),0,MAX(0,TODAY()-$C66))</f>
        <v/>
      </c>
      <c r="AK66" s="24">
        <f>IF($D66="","",$D66-$B66)</f>
        <v/>
      </c>
      <c r="AL66" s="18">
        <f>IF(OR($D66="",$B66=""),"",ROUND(N($R66)*($D66-$B66),2))</f>
        <v/>
      </c>
      <c r="AM66" s="17">
        <f>IF(AND($E66="Saída",$W66&gt;0,$C66&lt;&gt;""),$C66+ROW()/1000000,"")</f>
        <v/>
      </c>
      <c r="AN66" s="17">
        <f>IF(AND($E66="Entrada",$W66&gt;0,$C66&lt;&gt;""),$C66+ROW()/1000000,"")</f>
        <v/>
      </c>
      <c r="AO66" s="9">
        <f>IF(COUNTA($B66:$R66)=0,"",IF(AND($I66&lt;&gt;"",COUNTIF(CLIENTES_NOMES,$I66)+COUNTIF(CLIENTES_FANTASIA,$I66)+COUNTIF(FORNECEDORES_NOMES,$I66)+COUNTIF(FORNECEDORES_FANTASIA,$I66)=0),"⚠ Cliente/Fornecedor não cadastrado",IF(AND($G66&lt;&gt;"",COUNTIF(SUBCATEGORIAS_PLANO,$G66)=0),"⚠ Subcategoria fora do plano de contas",IF(OR($Q66="",N($Q66)=0),"⚠ Valor previsto não informado",IF(AND(OR($X66="Pago",$X66="Recebido"),$D66=""),"⚠ Status pago/recebido sem data",IF(AND($D66&lt;&gt;"",N($R66)=0),"⚠ Data de pagamento sem valor realizado",IF(AND(N($P66)&gt;1,N($O66)&gt;N($P66)),"⚠ Nº da parcela maior que o total",IF(AND($C66&lt;&gt;"",$B66&lt;&gt;"",$C66&lt;$B66),"⚠ Vencimento anterior à competência","OK"))))))))</f>
        <v/>
      </c>
    </row>
    <row r="67">
      <c r="A67" s="14" t="inlineStr">
        <is>
          <t>L0062</t>
        </is>
      </c>
      <c r="B67" s="36" t="n">
        <v>46065</v>
      </c>
      <c r="C67" s="36" t="n">
        <v>46075</v>
      </c>
      <c r="D67" s="36" t="n">
        <v>46076</v>
      </c>
      <c r="E67" s="14" t="inlineStr">
        <is>
          <t>Saída</t>
        </is>
      </c>
      <c r="F67" s="29" t="inlineStr">
        <is>
          <t>Despesas Administrativas</t>
        </is>
      </c>
      <c r="G67" s="29" t="inlineStr">
        <is>
          <t>Energia Elétrica</t>
        </is>
      </c>
      <c r="H67" s="29" t="inlineStr">
        <is>
          <t>Administrativo</t>
        </is>
      </c>
      <c r="I67" s="29" t="inlineStr">
        <is>
          <t>ENEL DISTRIBUIÇÃO SÃO PAULO</t>
        </is>
      </c>
      <c r="J67" s="29" t="inlineStr">
        <is>
          <t>Energia elétrica — fatura 02/2026</t>
        </is>
      </c>
      <c r="K67" s="14" t="inlineStr">
        <is>
          <t>DOC 8281</t>
        </is>
      </c>
      <c r="L67" s="29" t="inlineStr">
        <is>
          <t>Itaú Unibanco — C/C 45678-9</t>
        </is>
      </c>
      <c r="M67" s="14" t="inlineStr">
        <is>
          <t>Débito automático</t>
        </is>
      </c>
      <c r="N67" s="29" t="n"/>
      <c r="O67" s="13" t="n">
        <v>1</v>
      </c>
      <c r="P67" s="13" t="n">
        <v>1</v>
      </c>
      <c r="Q67" s="35" t="n">
        <v>2201.63</v>
      </c>
      <c r="R67" s="35" t="n">
        <v>2201.63</v>
      </c>
      <c r="S67" s="35" t="n"/>
      <c r="T67" s="35" t="n"/>
      <c r="U67" s="35" t="n"/>
      <c r="V67" s="18">
        <f>IF(COUNTA($B67:$R67)=0,"",ROUND(N($R67)+N($S67)+N($T67)-N($U67),2))</f>
        <v/>
      </c>
      <c r="W67" s="18">
        <f>IF(COUNTA($B67:$R67)=0,"",IF(OR($X67="Pago",$X67="Recebido",$X67="Cancelado"),0,ROUND(N($Q67)+N($S67)+N($T67)-N($U67)-N($R67),2)))</f>
        <v/>
      </c>
      <c r="X67" s="14" t="inlineStr">
        <is>
          <t>Pago</t>
        </is>
      </c>
      <c r="Y67" s="17">
        <f>IF(COUNTA($B67:$R67)=0,"",IF($X67="Cancelado","Cancelado",IF(OR($X67="Pago",$X67="Recebido"),$X67,IF(OR($X67="Parcial",N($R67)&gt;0),"Parcial",IF($C67="","Sem vencimento",IF($C67&lt;TODAY(),"Vencido",IF($C67=TODAY(),"Vence hoje",IF($C67&lt;=TODAY()+7,"Vence em 7 dias",IF($C67&lt;=TODAY()+30,"Vence em 30 dias","Futuro")))))))))</f>
        <v/>
      </c>
      <c r="Z67" s="24">
        <f>IF($B67="","",MONTH($B67))</f>
        <v/>
      </c>
      <c r="AA67" s="24">
        <f>IF($B67="","",YEAR($B67))</f>
        <v/>
      </c>
      <c r="AB67" s="24">
        <f>IF($B67="","",ISOWEEKNUM($B67))</f>
        <v/>
      </c>
      <c r="AC67" s="17">
        <f>IF($B67="","",CHOOSE(WEEKDAY($B67,2),"Segunda","Terça","Quarta","Quinta","Sexta","Sábado","Domingo"))</f>
        <v/>
      </c>
      <c r="AD67" s="17">
        <f>IF($B67="","",TEXT($B67,"MM/AAAA"))</f>
        <v/>
      </c>
      <c r="AE67" s="18">
        <f>IF(COUNTA($B67:$R67)=0,"",IF($X67="Cancelado",0,ROUND(N($Q67)+N($S67)+N($T67)-N($U67),2)))</f>
        <v/>
      </c>
      <c r="AF67" s="9">
        <f>IF($G67="","",IFERROR(INDEX(LINHAS_DRE_PLANO,MATCH($G67,SUBCATEGORIAS_PLANO,0)),"Não classificado"))</f>
        <v/>
      </c>
      <c r="AG67" s="17">
        <f>IF($G67="","",IFERROR(INDEX(TIPOS_FLUXO_PLANO,MATCH($G67,SUBCATEGORIAS_PLANO,0)),"Não classificado"))</f>
        <v/>
      </c>
      <c r="AH67" s="9">
        <f>IF($G67="","",IFERROR(INDEX(GRUPOS_PLANO,MATCH($G67,SUBCATEGORIAS_PLANO,0)),"Não classificado"))</f>
        <v/>
      </c>
      <c r="AI67" s="24">
        <f>IF(OR($C67="",$X67="Pago",$X67="Recebido",$X67="Cancelado"),"",$C67-TODAY())</f>
        <v/>
      </c>
      <c r="AJ67" s="24">
        <f>IF(OR($C67="",$X67="Pago",$X67="Recebido",$X67="Cancelado"),0,MAX(0,TODAY()-$C67))</f>
        <v/>
      </c>
      <c r="AK67" s="24">
        <f>IF($D67="","",$D67-$B67)</f>
        <v/>
      </c>
      <c r="AL67" s="18">
        <f>IF(OR($D67="",$B67=""),"",ROUND(N($R67)*($D67-$B67),2))</f>
        <v/>
      </c>
      <c r="AM67" s="17">
        <f>IF(AND($E67="Saída",$W67&gt;0,$C67&lt;&gt;""),$C67+ROW()/1000000,"")</f>
        <v/>
      </c>
      <c r="AN67" s="17">
        <f>IF(AND($E67="Entrada",$W67&gt;0,$C67&lt;&gt;""),$C67+ROW()/1000000,"")</f>
        <v/>
      </c>
      <c r="AO67" s="9">
        <f>IF(COUNTA($B67:$R67)=0,"",IF(AND($I67&lt;&gt;"",COUNTIF(CLIENTES_NOMES,$I67)+COUNTIF(CLIENTES_FANTASIA,$I67)+COUNTIF(FORNECEDORES_NOMES,$I67)+COUNTIF(FORNECEDORES_FANTASIA,$I67)=0),"⚠ Cliente/Fornecedor não cadastrado",IF(AND($G67&lt;&gt;"",COUNTIF(SUBCATEGORIAS_PLANO,$G67)=0),"⚠ Subcategoria fora do plano de contas",IF(OR($Q67="",N($Q67)=0),"⚠ Valor previsto não informado",IF(AND(OR($X67="Pago",$X67="Recebido"),$D67=""),"⚠ Status pago/recebido sem data",IF(AND($D67&lt;&gt;"",N($R67)=0),"⚠ Data de pagamento sem valor realizado",IF(AND(N($P67)&gt;1,N($O67)&gt;N($P67)),"⚠ Nº da parcela maior que o total",IF(AND($C67&lt;&gt;"",$B67&lt;&gt;"",$C67&lt;$B67),"⚠ Vencimento anterior à competência","OK"))))))))</f>
        <v/>
      </c>
    </row>
    <row r="68">
      <c r="A68" s="14" t="inlineStr">
        <is>
          <t>L0063</t>
        </is>
      </c>
      <c r="B68" s="36" t="n">
        <v>46068</v>
      </c>
      <c r="C68" s="36" t="n">
        <v>46080</v>
      </c>
      <c r="D68" s="36" t="n">
        <v>46082</v>
      </c>
      <c r="E68" s="14" t="inlineStr">
        <is>
          <t>Saída</t>
        </is>
      </c>
      <c r="F68" s="29" t="inlineStr">
        <is>
          <t>Despesas Administrativas</t>
        </is>
      </c>
      <c r="G68" s="29" t="inlineStr">
        <is>
          <t>Água e Saneamento</t>
        </is>
      </c>
      <c r="H68" s="29" t="inlineStr">
        <is>
          <t>Administrativo</t>
        </is>
      </c>
      <c r="I68" s="29" t="inlineStr">
        <is>
          <t>SABESP — SANEAMENTO BÁSICO DO ESTADO DE SÃO PAULO</t>
        </is>
      </c>
      <c r="J68" s="29" t="inlineStr">
        <is>
          <t>Água e saneamento — fatura 02/2026</t>
        </is>
      </c>
      <c r="K68" s="14" t="inlineStr">
        <is>
          <t>DOC 8282</t>
        </is>
      </c>
      <c r="L68" s="29" t="inlineStr">
        <is>
          <t>Itaú Unibanco — C/C 45678-9</t>
        </is>
      </c>
      <c r="M68" s="14" t="inlineStr">
        <is>
          <t>Débito automático</t>
        </is>
      </c>
      <c r="N68" s="29" t="n"/>
      <c r="O68" s="13" t="n">
        <v>1</v>
      </c>
      <c r="P68" s="13" t="n">
        <v>1</v>
      </c>
      <c r="Q68" s="35" t="n">
        <v>397.91</v>
      </c>
      <c r="R68" s="35" t="n">
        <v>397.91</v>
      </c>
      <c r="S68" s="35" t="n"/>
      <c r="T68" s="35" t="n"/>
      <c r="U68" s="35" t="n"/>
      <c r="V68" s="18">
        <f>IF(COUNTA($B68:$R68)=0,"",ROUND(N($R68)+N($S68)+N($T68)-N($U68),2))</f>
        <v/>
      </c>
      <c r="W68" s="18">
        <f>IF(COUNTA($B68:$R68)=0,"",IF(OR($X68="Pago",$X68="Recebido",$X68="Cancelado"),0,ROUND(N($Q68)+N($S68)+N($T68)-N($U68)-N($R68),2)))</f>
        <v/>
      </c>
      <c r="X68" s="14" t="inlineStr">
        <is>
          <t>Pago</t>
        </is>
      </c>
      <c r="Y68" s="17">
        <f>IF(COUNTA($B68:$R68)=0,"",IF($X68="Cancelado","Cancelado",IF(OR($X68="Pago",$X68="Recebido"),$X68,IF(OR($X68="Parcial",N($R68)&gt;0),"Parcial",IF($C68="","Sem vencimento",IF($C68&lt;TODAY(),"Vencido",IF($C68=TODAY(),"Vence hoje",IF($C68&lt;=TODAY()+7,"Vence em 7 dias",IF($C68&lt;=TODAY()+30,"Vence em 30 dias","Futuro")))))))))</f>
        <v/>
      </c>
      <c r="Z68" s="24">
        <f>IF($B68="","",MONTH($B68))</f>
        <v/>
      </c>
      <c r="AA68" s="24">
        <f>IF($B68="","",YEAR($B68))</f>
        <v/>
      </c>
      <c r="AB68" s="24">
        <f>IF($B68="","",ISOWEEKNUM($B68))</f>
        <v/>
      </c>
      <c r="AC68" s="17">
        <f>IF($B68="","",CHOOSE(WEEKDAY($B68,2),"Segunda","Terça","Quarta","Quinta","Sexta","Sábado","Domingo"))</f>
        <v/>
      </c>
      <c r="AD68" s="17">
        <f>IF($B68="","",TEXT($B68,"MM/AAAA"))</f>
        <v/>
      </c>
      <c r="AE68" s="18">
        <f>IF(COUNTA($B68:$R68)=0,"",IF($X68="Cancelado",0,ROUND(N($Q68)+N($S68)+N($T68)-N($U68),2)))</f>
        <v/>
      </c>
      <c r="AF68" s="9">
        <f>IF($G68="","",IFERROR(INDEX(LINHAS_DRE_PLANO,MATCH($G68,SUBCATEGORIAS_PLANO,0)),"Não classificado"))</f>
        <v/>
      </c>
      <c r="AG68" s="17">
        <f>IF($G68="","",IFERROR(INDEX(TIPOS_FLUXO_PLANO,MATCH($G68,SUBCATEGORIAS_PLANO,0)),"Não classificado"))</f>
        <v/>
      </c>
      <c r="AH68" s="9">
        <f>IF($G68="","",IFERROR(INDEX(GRUPOS_PLANO,MATCH($G68,SUBCATEGORIAS_PLANO,0)),"Não classificado"))</f>
        <v/>
      </c>
      <c r="AI68" s="24">
        <f>IF(OR($C68="",$X68="Pago",$X68="Recebido",$X68="Cancelado"),"",$C68-TODAY())</f>
        <v/>
      </c>
      <c r="AJ68" s="24">
        <f>IF(OR($C68="",$X68="Pago",$X68="Recebido",$X68="Cancelado"),0,MAX(0,TODAY()-$C68))</f>
        <v/>
      </c>
      <c r="AK68" s="24">
        <f>IF($D68="","",$D68-$B68)</f>
        <v/>
      </c>
      <c r="AL68" s="18">
        <f>IF(OR($D68="",$B68=""),"",ROUND(N($R68)*($D68-$B68),2))</f>
        <v/>
      </c>
      <c r="AM68" s="17">
        <f>IF(AND($E68="Saída",$W68&gt;0,$C68&lt;&gt;""),$C68+ROW()/1000000,"")</f>
        <v/>
      </c>
      <c r="AN68" s="17">
        <f>IF(AND($E68="Entrada",$W68&gt;0,$C68&lt;&gt;""),$C68+ROW()/1000000,"")</f>
        <v/>
      </c>
      <c r="AO68" s="9">
        <f>IF(COUNTA($B68:$R68)=0,"",IF(AND($I68&lt;&gt;"",COUNTIF(CLIENTES_NOMES,$I68)+COUNTIF(CLIENTES_FANTASIA,$I68)+COUNTIF(FORNECEDORES_NOMES,$I68)+COUNTIF(FORNECEDORES_FANTASIA,$I68)=0),"⚠ Cliente/Fornecedor não cadastrado",IF(AND($G68&lt;&gt;"",COUNTIF(SUBCATEGORIAS_PLANO,$G68)=0),"⚠ Subcategoria fora do plano de contas",IF(OR($Q68="",N($Q68)=0),"⚠ Valor previsto não informado",IF(AND(OR($X68="Pago",$X68="Recebido"),$D68=""),"⚠ Status pago/recebido sem data",IF(AND($D68&lt;&gt;"",N($R68)=0),"⚠ Data de pagamento sem valor realizado",IF(AND(N($P68)&gt;1,N($O68)&gt;N($P68)),"⚠ Nº da parcela maior que o total",IF(AND($C68&lt;&gt;"",$B68&lt;&gt;"",$C68&lt;$B68),"⚠ Vencimento anterior à competência","OK"))))))))</f>
        <v/>
      </c>
    </row>
    <row r="69">
      <c r="A69" s="14" t="inlineStr">
        <is>
          <t>L0064</t>
        </is>
      </c>
      <c r="B69" s="36" t="n">
        <v>46069</v>
      </c>
      <c r="C69" s="36" t="n">
        <v>46099</v>
      </c>
      <c r="D69" s="36" t="n">
        <v>46099</v>
      </c>
      <c r="E69" s="14" t="inlineStr">
        <is>
          <t>Saída</t>
        </is>
      </c>
      <c r="F69" s="29" t="inlineStr">
        <is>
          <t>Custos Variáveis</t>
        </is>
      </c>
      <c r="G69" s="29" t="inlineStr">
        <is>
          <t>Mercadorias para Revenda</t>
        </is>
      </c>
      <c r="H69" s="29" t="inlineStr">
        <is>
          <t>Logística</t>
        </is>
      </c>
      <c r="I69" s="29" t="inlineStr">
        <is>
          <t>DISTRIBUIDORA CENTRAL DE ALIMENTOS S/A</t>
        </is>
      </c>
      <c r="J69" s="29" t="inlineStr">
        <is>
          <t>Compra de mercadorias para revenda — NF 5021</t>
        </is>
      </c>
      <c r="K69" s="14" t="inlineStr">
        <is>
          <t>NF 5021</t>
        </is>
      </c>
      <c r="L69" s="29" t="inlineStr">
        <is>
          <t>Itaú Unibanco — C/C 45678-9</t>
        </is>
      </c>
      <c r="M69" s="14" t="inlineStr">
        <is>
          <t>Boleto</t>
        </is>
      </c>
      <c r="N69" s="29" t="n"/>
      <c r="O69" s="13" t="n">
        <v>1</v>
      </c>
      <c r="P69" s="13" t="n">
        <v>1</v>
      </c>
      <c r="Q69" s="35" t="n">
        <v>47436.65</v>
      </c>
      <c r="R69" s="35" t="n">
        <v>47436.65</v>
      </c>
      <c r="S69" s="35" t="n"/>
      <c r="T69" s="35" t="n"/>
      <c r="U69" s="35" t="n"/>
      <c r="V69" s="18">
        <f>IF(COUNTA($B69:$R69)=0,"",ROUND(N($R69)+N($S69)+N($T69)-N($U69),2))</f>
        <v/>
      </c>
      <c r="W69" s="18">
        <f>IF(COUNTA($B69:$R69)=0,"",IF(OR($X69="Pago",$X69="Recebido",$X69="Cancelado"),0,ROUND(N($Q69)+N($S69)+N($T69)-N($U69)-N($R69),2)))</f>
        <v/>
      </c>
      <c r="X69" s="14" t="inlineStr">
        <is>
          <t>Pago</t>
        </is>
      </c>
      <c r="Y69" s="17">
        <f>IF(COUNTA($B69:$R69)=0,"",IF($X69="Cancelado","Cancelado",IF(OR($X69="Pago",$X69="Recebido"),$X69,IF(OR($X69="Parcial",N($R69)&gt;0),"Parcial",IF($C69="","Sem vencimento",IF($C69&lt;TODAY(),"Vencido",IF($C69=TODAY(),"Vence hoje",IF($C69&lt;=TODAY()+7,"Vence em 7 dias",IF($C69&lt;=TODAY()+30,"Vence em 30 dias","Futuro")))))))))</f>
        <v/>
      </c>
      <c r="Z69" s="24">
        <f>IF($B69="","",MONTH($B69))</f>
        <v/>
      </c>
      <c r="AA69" s="24">
        <f>IF($B69="","",YEAR($B69))</f>
        <v/>
      </c>
      <c r="AB69" s="24">
        <f>IF($B69="","",ISOWEEKNUM($B69))</f>
        <v/>
      </c>
      <c r="AC69" s="17">
        <f>IF($B69="","",CHOOSE(WEEKDAY($B69,2),"Segunda","Terça","Quarta","Quinta","Sexta","Sábado","Domingo"))</f>
        <v/>
      </c>
      <c r="AD69" s="17">
        <f>IF($B69="","",TEXT($B69,"MM/AAAA"))</f>
        <v/>
      </c>
      <c r="AE69" s="18">
        <f>IF(COUNTA($B69:$R69)=0,"",IF($X69="Cancelado",0,ROUND(N($Q69)+N($S69)+N($T69)-N($U69),2)))</f>
        <v/>
      </c>
      <c r="AF69" s="9">
        <f>IF($G69="","",IFERROR(INDEX(LINHAS_DRE_PLANO,MATCH($G69,SUBCATEGORIAS_PLANO,0)),"Não classificado"))</f>
        <v/>
      </c>
      <c r="AG69" s="17">
        <f>IF($G69="","",IFERROR(INDEX(TIPOS_FLUXO_PLANO,MATCH($G69,SUBCATEGORIAS_PLANO,0)),"Não classificado"))</f>
        <v/>
      </c>
      <c r="AH69" s="9">
        <f>IF($G69="","",IFERROR(INDEX(GRUPOS_PLANO,MATCH($G69,SUBCATEGORIAS_PLANO,0)),"Não classificado"))</f>
        <v/>
      </c>
      <c r="AI69" s="24">
        <f>IF(OR($C69="",$X69="Pago",$X69="Recebido",$X69="Cancelado"),"",$C69-TODAY())</f>
        <v/>
      </c>
      <c r="AJ69" s="24">
        <f>IF(OR($C69="",$X69="Pago",$X69="Recebido",$X69="Cancelado"),0,MAX(0,TODAY()-$C69))</f>
        <v/>
      </c>
      <c r="AK69" s="24">
        <f>IF($D69="","",$D69-$B69)</f>
        <v/>
      </c>
      <c r="AL69" s="18">
        <f>IF(OR($D69="",$B69=""),"",ROUND(N($R69)*($D69-$B69),2))</f>
        <v/>
      </c>
      <c r="AM69" s="17">
        <f>IF(AND($E69="Saída",$W69&gt;0,$C69&lt;&gt;""),$C69+ROW()/1000000,"")</f>
        <v/>
      </c>
      <c r="AN69" s="17">
        <f>IF(AND($E69="Entrada",$W69&gt;0,$C69&lt;&gt;""),$C69+ROW()/1000000,"")</f>
        <v/>
      </c>
      <c r="AO69" s="9">
        <f>IF(COUNTA($B69:$R69)=0,"",IF(AND($I69&lt;&gt;"",COUNTIF(CLIENTES_NOMES,$I69)+COUNTIF(CLIENTES_FANTASIA,$I69)+COUNTIF(FORNECEDORES_NOMES,$I69)+COUNTIF(FORNECEDORES_FANTASIA,$I69)=0),"⚠ Cliente/Fornecedor não cadastrado",IF(AND($G69&lt;&gt;"",COUNTIF(SUBCATEGORIAS_PLANO,$G69)=0),"⚠ Subcategoria fora do plano de contas",IF(OR($Q69="",N($Q69)=0),"⚠ Valor previsto não informado",IF(AND(OR($X69="Pago",$X69="Recebido"),$D69=""),"⚠ Status pago/recebido sem data",IF(AND($D69&lt;&gt;"",N($R69)=0),"⚠ Data de pagamento sem valor realizado",IF(AND(N($P69)&gt;1,N($O69)&gt;N($P69)),"⚠ Nº da parcela maior que o total",IF(AND($C69&lt;&gt;"",$B69&lt;&gt;"",$C69&lt;$B69),"⚠ Vencimento anterior à competência","OK"))))))))</f>
        <v/>
      </c>
    </row>
    <row r="70">
      <c r="A70" s="14" t="inlineStr">
        <is>
          <t>L0065</t>
        </is>
      </c>
      <c r="B70" s="36" t="n">
        <v>46071</v>
      </c>
      <c r="C70" s="36" t="n">
        <v>46081</v>
      </c>
      <c r="D70" s="36" t="n">
        <v>46081</v>
      </c>
      <c r="E70" s="14" t="inlineStr">
        <is>
          <t>Saída</t>
        </is>
      </c>
      <c r="F70" s="29" t="inlineStr">
        <is>
          <t>Despesas Comerciais</t>
        </is>
      </c>
      <c r="G70" s="29" t="inlineStr">
        <is>
          <t>Publicidade e Anúncios</t>
        </is>
      </c>
      <c r="H70" s="29" t="inlineStr">
        <is>
          <t>Marketing</t>
        </is>
      </c>
      <c r="I70" s="29" t="inlineStr">
        <is>
          <t>GOOGLE BRASIL INTERNET LTDA</t>
        </is>
      </c>
      <c r="J70" s="29" t="inlineStr">
        <is>
          <t>Anúncios e campanhas digitais</t>
        </is>
      </c>
      <c r="K70" s="14" t="inlineStr">
        <is>
          <t>DOC 8291</t>
        </is>
      </c>
      <c r="L70" s="29" t="inlineStr">
        <is>
          <t>Nubank PJ — C/C 9876543-2</t>
        </is>
      </c>
      <c r="M70" s="14" t="inlineStr">
        <is>
          <t>Cartão de crédito</t>
        </is>
      </c>
      <c r="N70" s="29" t="inlineStr">
        <is>
          <t>Cartão Mastercard Nubank PJ</t>
        </is>
      </c>
      <c r="O70" s="13" t="n">
        <v>1</v>
      </c>
      <c r="P70" s="13" t="n">
        <v>1</v>
      </c>
      <c r="Q70" s="35" t="n">
        <v>1222.64</v>
      </c>
      <c r="R70" s="35" t="n">
        <v>1222.64</v>
      </c>
      <c r="S70" s="35" t="n"/>
      <c r="T70" s="35" t="n"/>
      <c r="U70" s="35" t="n"/>
      <c r="V70" s="18">
        <f>IF(COUNTA($B70:$R70)=0,"",ROUND(N($R70)+N($S70)+N($T70)-N($U70),2))</f>
        <v/>
      </c>
      <c r="W70" s="18">
        <f>IF(COUNTA($B70:$R70)=0,"",IF(OR($X70="Pago",$X70="Recebido",$X70="Cancelado"),0,ROUND(N($Q70)+N($S70)+N($T70)-N($U70)-N($R70),2)))</f>
        <v/>
      </c>
      <c r="X70" s="14" t="inlineStr">
        <is>
          <t>Pago</t>
        </is>
      </c>
      <c r="Y70" s="17">
        <f>IF(COUNTA($B70:$R70)=0,"",IF($X70="Cancelado","Cancelado",IF(OR($X70="Pago",$X70="Recebido"),$X70,IF(OR($X70="Parcial",N($R70)&gt;0),"Parcial",IF($C70="","Sem vencimento",IF($C70&lt;TODAY(),"Vencido",IF($C70=TODAY(),"Vence hoje",IF($C70&lt;=TODAY()+7,"Vence em 7 dias",IF($C70&lt;=TODAY()+30,"Vence em 30 dias","Futuro")))))))))</f>
        <v/>
      </c>
      <c r="Z70" s="24">
        <f>IF($B70="","",MONTH($B70))</f>
        <v/>
      </c>
      <c r="AA70" s="24">
        <f>IF($B70="","",YEAR($B70))</f>
        <v/>
      </c>
      <c r="AB70" s="24">
        <f>IF($B70="","",ISOWEEKNUM($B70))</f>
        <v/>
      </c>
      <c r="AC70" s="17">
        <f>IF($B70="","",CHOOSE(WEEKDAY($B70,2),"Segunda","Terça","Quarta","Quinta","Sexta","Sábado","Domingo"))</f>
        <v/>
      </c>
      <c r="AD70" s="17">
        <f>IF($B70="","",TEXT($B70,"MM/AAAA"))</f>
        <v/>
      </c>
      <c r="AE70" s="18">
        <f>IF(COUNTA($B70:$R70)=0,"",IF($X70="Cancelado",0,ROUND(N($Q70)+N($S70)+N($T70)-N($U70),2)))</f>
        <v/>
      </c>
      <c r="AF70" s="9">
        <f>IF($G70="","",IFERROR(INDEX(LINHAS_DRE_PLANO,MATCH($G70,SUBCATEGORIAS_PLANO,0)),"Não classificado"))</f>
        <v/>
      </c>
      <c r="AG70" s="17">
        <f>IF($G70="","",IFERROR(INDEX(TIPOS_FLUXO_PLANO,MATCH($G70,SUBCATEGORIAS_PLANO,0)),"Não classificado"))</f>
        <v/>
      </c>
      <c r="AH70" s="9">
        <f>IF($G70="","",IFERROR(INDEX(GRUPOS_PLANO,MATCH($G70,SUBCATEGORIAS_PLANO,0)),"Não classificado"))</f>
        <v/>
      </c>
      <c r="AI70" s="24">
        <f>IF(OR($C70="",$X70="Pago",$X70="Recebido",$X70="Cancelado"),"",$C70-TODAY())</f>
        <v/>
      </c>
      <c r="AJ70" s="24">
        <f>IF(OR($C70="",$X70="Pago",$X70="Recebido",$X70="Cancelado"),0,MAX(0,TODAY()-$C70))</f>
        <v/>
      </c>
      <c r="AK70" s="24">
        <f>IF($D70="","",$D70-$B70)</f>
        <v/>
      </c>
      <c r="AL70" s="18">
        <f>IF(OR($D70="",$B70=""),"",ROUND(N($R70)*($D70-$B70),2))</f>
        <v/>
      </c>
      <c r="AM70" s="17">
        <f>IF(AND($E70="Saída",$W70&gt;0,$C70&lt;&gt;""),$C70+ROW()/1000000,"")</f>
        <v/>
      </c>
      <c r="AN70" s="17">
        <f>IF(AND($E70="Entrada",$W70&gt;0,$C70&lt;&gt;""),$C70+ROW()/1000000,"")</f>
        <v/>
      </c>
      <c r="AO70" s="9">
        <f>IF(COUNTA($B70:$R70)=0,"",IF(AND($I70&lt;&gt;"",COUNTIF(CLIENTES_NOMES,$I70)+COUNTIF(CLIENTES_FANTASIA,$I70)+COUNTIF(FORNECEDORES_NOMES,$I70)+COUNTIF(FORNECEDORES_FANTASIA,$I70)=0),"⚠ Cliente/Fornecedor não cadastrado",IF(AND($G70&lt;&gt;"",COUNTIF(SUBCATEGORIAS_PLANO,$G70)=0),"⚠ Subcategoria fora do plano de contas",IF(OR($Q70="",N($Q70)=0),"⚠ Valor previsto não informado",IF(AND(OR($X70="Pago",$X70="Recebido"),$D70=""),"⚠ Status pago/recebido sem data",IF(AND($D70&lt;&gt;"",N($R70)=0),"⚠ Data de pagamento sem valor realizado",IF(AND(N($P70)&gt;1,N($O70)&gt;N($P70)),"⚠ Nº da parcela maior que o total",IF(AND($C70&lt;&gt;"",$B70&lt;&gt;"",$C70&lt;$B70),"⚠ Vencimento anterior à competência","OK"))))))))</f>
        <v/>
      </c>
    </row>
    <row r="71">
      <c r="A71" s="14" t="inlineStr">
        <is>
          <t>L0066</t>
        </is>
      </c>
      <c r="B71" s="36" t="n">
        <v>46071</v>
      </c>
      <c r="C71" s="36" t="n">
        <v>46101</v>
      </c>
      <c r="D71" s="36" t="n">
        <v>46103</v>
      </c>
      <c r="E71" s="14" t="inlineStr">
        <is>
          <t>Saída</t>
        </is>
      </c>
      <c r="F71" s="29" t="inlineStr">
        <is>
          <t>Investimentos</t>
        </is>
      </c>
      <c r="G71" s="29" t="inlineStr">
        <is>
          <t>Reformas e Benfeitorias</t>
        </is>
      </c>
      <c r="H71" s="29" t="inlineStr">
        <is>
          <t>Produção</t>
        </is>
      </c>
      <c r="I71" s="29" t="inlineStr">
        <is>
          <t>CONSTRUTORA E REFORMAS GAMA LTDA</t>
        </is>
      </c>
      <c r="J71" s="29" t="inlineStr">
        <is>
          <t>Reforma do galpão — área de expedição</t>
        </is>
      </c>
      <c r="K71" s="14" t="inlineStr">
        <is>
          <t>INV-0218</t>
        </is>
      </c>
      <c r="L71" s="29" t="inlineStr">
        <is>
          <t>Itaú Unibanco — C/C 45678-9</t>
        </is>
      </c>
      <c r="M71" s="14" t="inlineStr">
        <is>
          <t>Transferência</t>
        </is>
      </c>
      <c r="N71" s="29" t="n"/>
      <c r="O71" s="13" t="n">
        <v>1</v>
      </c>
      <c r="P71" s="13" t="n">
        <v>1</v>
      </c>
      <c r="Q71" s="35" t="n">
        <v>15800</v>
      </c>
      <c r="R71" s="35" t="n">
        <v>15800</v>
      </c>
      <c r="S71" s="35" t="n"/>
      <c r="T71" s="35" t="n"/>
      <c r="U71" s="35" t="n"/>
      <c r="V71" s="18">
        <f>IF(COUNTA($B71:$R71)=0,"",ROUND(N($R71)+N($S71)+N($T71)-N($U71),2))</f>
        <v/>
      </c>
      <c r="W71" s="18">
        <f>IF(COUNTA($B71:$R71)=0,"",IF(OR($X71="Pago",$X71="Recebido",$X71="Cancelado"),0,ROUND(N($Q71)+N($S71)+N($T71)-N($U71)-N($R71),2)))</f>
        <v/>
      </c>
      <c r="X71" s="14" t="inlineStr">
        <is>
          <t>Pago</t>
        </is>
      </c>
      <c r="Y71" s="17">
        <f>IF(COUNTA($B71:$R71)=0,"",IF($X71="Cancelado","Cancelado",IF(OR($X71="Pago",$X71="Recebido"),$X71,IF(OR($X71="Parcial",N($R71)&gt;0),"Parcial",IF($C71="","Sem vencimento",IF($C71&lt;TODAY(),"Vencido",IF($C71=TODAY(),"Vence hoje",IF($C71&lt;=TODAY()+7,"Vence em 7 dias",IF($C71&lt;=TODAY()+30,"Vence em 30 dias","Futuro")))))))))</f>
        <v/>
      </c>
      <c r="Z71" s="24">
        <f>IF($B71="","",MONTH($B71))</f>
        <v/>
      </c>
      <c r="AA71" s="24">
        <f>IF($B71="","",YEAR($B71))</f>
        <v/>
      </c>
      <c r="AB71" s="24">
        <f>IF($B71="","",ISOWEEKNUM($B71))</f>
        <v/>
      </c>
      <c r="AC71" s="17">
        <f>IF($B71="","",CHOOSE(WEEKDAY($B71,2),"Segunda","Terça","Quarta","Quinta","Sexta","Sábado","Domingo"))</f>
        <v/>
      </c>
      <c r="AD71" s="17">
        <f>IF($B71="","",TEXT($B71,"MM/AAAA"))</f>
        <v/>
      </c>
      <c r="AE71" s="18">
        <f>IF(COUNTA($B71:$R71)=0,"",IF($X71="Cancelado",0,ROUND(N($Q71)+N($S71)+N($T71)-N($U71),2)))</f>
        <v/>
      </c>
      <c r="AF71" s="9">
        <f>IF($G71="","",IFERROR(INDEX(LINHAS_DRE_PLANO,MATCH($G71,SUBCATEGORIAS_PLANO,0)),"Não classificado"))</f>
        <v/>
      </c>
      <c r="AG71" s="17">
        <f>IF($G71="","",IFERROR(INDEX(TIPOS_FLUXO_PLANO,MATCH($G71,SUBCATEGORIAS_PLANO,0)),"Não classificado"))</f>
        <v/>
      </c>
      <c r="AH71" s="9">
        <f>IF($G71="","",IFERROR(INDEX(GRUPOS_PLANO,MATCH($G71,SUBCATEGORIAS_PLANO,0)),"Não classificado"))</f>
        <v/>
      </c>
      <c r="AI71" s="24">
        <f>IF(OR($C71="",$X71="Pago",$X71="Recebido",$X71="Cancelado"),"",$C71-TODAY())</f>
        <v/>
      </c>
      <c r="AJ71" s="24">
        <f>IF(OR($C71="",$X71="Pago",$X71="Recebido",$X71="Cancelado"),0,MAX(0,TODAY()-$C71))</f>
        <v/>
      </c>
      <c r="AK71" s="24">
        <f>IF($D71="","",$D71-$B71)</f>
        <v/>
      </c>
      <c r="AL71" s="18">
        <f>IF(OR($D71="",$B71=""),"",ROUND(N($R71)*($D71-$B71),2))</f>
        <v/>
      </c>
      <c r="AM71" s="17">
        <f>IF(AND($E71="Saída",$W71&gt;0,$C71&lt;&gt;""),$C71+ROW()/1000000,"")</f>
        <v/>
      </c>
      <c r="AN71" s="17">
        <f>IF(AND($E71="Entrada",$W71&gt;0,$C71&lt;&gt;""),$C71+ROW()/1000000,"")</f>
        <v/>
      </c>
      <c r="AO71" s="9">
        <f>IF(COUNTA($B71:$R71)=0,"",IF(AND($I71&lt;&gt;"",COUNTIF(CLIENTES_NOMES,$I71)+COUNTIF(CLIENTES_FANTASIA,$I71)+COUNTIF(FORNECEDORES_NOMES,$I71)+COUNTIF(FORNECEDORES_FANTASIA,$I71)=0),"⚠ Cliente/Fornecedor não cadastrado",IF(AND($G71&lt;&gt;"",COUNTIF(SUBCATEGORIAS_PLANO,$G71)=0),"⚠ Subcategoria fora do plano de contas",IF(OR($Q71="",N($Q71)=0),"⚠ Valor previsto não informado",IF(AND(OR($X71="Pago",$X71="Recebido"),$D71=""),"⚠ Status pago/recebido sem data",IF(AND($D71&lt;&gt;"",N($R71)=0),"⚠ Data de pagamento sem valor realizado",IF(AND(N($P71)&gt;1,N($O71)&gt;N($P71)),"⚠ Nº da parcela maior que o total",IF(AND($C71&lt;&gt;"",$B71&lt;&gt;"",$C71&lt;$B71),"⚠ Vencimento anterior à competência","OK"))))))))</f>
        <v/>
      </c>
    </row>
    <row r="72">
      <c r="A72" s="14" t="inlineStr">
        <is>
          <t>L0067</t>
        </is>
      </c>
      <c r="B72" s="36" t="n">
        <v>46072</v>
      </c>
      <c r="C72" s="36" t="n">
        <v>46104</v>
      </c>
      <c r="D72" s="36" t="n">
        <v>46107</v>
      </c>
      <c r="E72" s="14" t="inlineStr">
        <is>
          <t>Entrada</t>
        </is>
      </c>
      <c r="F72" s="29" t="inlineStr">
        <is>
          <t>Vendas</t>
        </is>
      </c>
      <c r="G72" s="29" t="inlineStr">
        <is>
          <t>Vendas de Produtos</t>
        </is>
      </c>
      <c r="H72" s="29" t="inlineStr">
        <is>
          <t>Comercial</t>
        </is>
      </c>
      <c r="I72" s="29" t="inlineStr">
        <is>
          <t>MERCADO BOA COMPRA LTDA</t>
        </is>
      </c>
      <c r="J72" s="29" t="inlineStr">
        <is>
          <t>Venda de mercadorias para revenda</t>
        </is>
      </c>
      <c r="K72" s="14" t="inlineStr">
        <is>
          <t>NF-e 2012</t>
        </is>
      </c>
      <c r="L72" s="29" t="inlineStr">
        <is>
          <t>Banco do Brasil — C/C 12345-6</t>
        </is>
      </c>
      <c r="M72" s="14" t="inlineStr">
        <is>
          <t>Boleto</t>
        </is>
      </c>
      <c r="N72" s="29" t="n"/>
      <c r="O72" s="13" t="n">
        <v>1</v>
      </c>
      <c r="P72" s="13" t="n">
        <v>1</v>
      </c>
      <c r="Q72" s="35" t="n">
        <v>25030.96</v>
      </c>
      <c r="R72" s="35" t="n">
        <v>25030.96</v>
      </c>
      <c r="S72" s="35" t="n"/>
      <c r="T72" s="35" t="n"/>
      <c r="U72" s="35" t="n"/>
      <c r="V72" s="18">
        <f>IF(COUNTA($B72:$R72)=0,"",ROUND(N($R72)+N($S72)+N($T72)-N($U72),2))</f>
        <v/>
      </c>
      <c r="W72" s="18">
        <f>IF(COUNTA($B72:$R72)=0,"",IF(OR($X72="Pago",$X72="Recebido",$X72="Cancelado"),0,ROUND(N($Q72)+N($S72)+N($T72)-N($U72)-N($R72),2)))</f>
        <v/>
      </c>
      <c r="X72" s="14" t="inlineStr">
        <is>
          <t>Pago</t>
        </is>
      </c>
      <c r="Y72" s="17">
        <f>IF(COUNTA($B72:$R72)=0,"",IF($X72="Cancelado","Cancelado",IF(OR($X72="Pago",$X72="Recebido"),$X72,IF(OR($X72="Parcial",N($R72)&gt;0),"Parcial",IF($C72="","Sem vencimento",IF($C72&lt;TODAY(),"Vencido",IF($C72=TODAY(),"Vence hoje",IF($C72&lt;=TODAY()+7,"Vence em 7 dias",IF($C72&lt;=TODAY()+30,"Vence em 30 dias","Futuro")))))))))</f>
        <v/>
      </c>
      <c r="Z72" s="24">
        <f>IF($B72="","",MONTH($B72))</f>
        <v/>
      </c>
      <c r="AA72" s="24">
        <f>IF($B72="","",YEAR($B72))</f>
        <v/>
      </c>
      <c r="AB72" s="24">
        <f>IF($B72="","",ISOWEEKNUM($B72))</f>
        <v/>
      </c>
      <c r="AC72" s="17">
        <f>IF($B72="","",CHOOSE(WEEKDAY($B72,2),"Segunda","Terça","Quarta","Quinta","Sexta","Sábado","Domingo"))</f>
        <v/>
      </c>
      <c r="AD72" s="17">
        <f>IF($B72="","",TEXT($B72,"MM/AAAA"))</f>
        <v/>
      </c>
      <c r="AE72" s="18">
        <f>IF(COUNTA($B72:$R72)=0,"",IF($X72="Cancelado",0,ROUND(N($Q72)+N($S72)+N($T72)-N($U72),2)))</f>
        <v/>
      </c>
      <c r="AF72" s="9">
        <f>IF($G72="","",IFERROR(INDEX(LINHAS_DRE_PLANO,MATCH($G72,SUBCATEGORIAS_PLANO,0)),"Não classificado"))</f>
        <v/>
      </c>
      <c r="AG72" s="17">
        <f>IF($G72="","",IFERROR(INDEX(TIPOS_FLUXO_PLANO,MATCH($G72,SUBCATEGORIAS_PLANO,0)),"Não classificado"))</f>
        <v/>
      </c>
      <c r="AH72" s="9">
        <f>IF($G72="","",IFERROR(INDEX(GRUPOS_PLANO,MATCH($G72,SUBCATEGORIAS_PLANO,0)),"Não classificado"))</f>
        <v/>
      </c>
      <c r="AI72" s="24">
        <f>IF(OR($C72="",$X72="Pago",$X72="Recebido",$X72="Cancelado"),"",$C72-TODAY())</f>
        <v/>
      </c>
      <c r="AJ72" s="24">
        <f>IF(OR($C72="",$X72="Pago",$X72="Recebido",$X72="Cancelado"),0,MAX(0,TODAY()-$C72))</f>
        <v/>
      </c>
      <c r="AK72" s="24">
        <f>IF($D72="","",$D72-$B72)</f>
        <v/>
      </c>
      <c r="AL72" s="18">
        <f>IF(OR($D72="",$B72=""),"",ROUND(N($R72)*($D72-$B72),2))</f>
        <v/>
      </c>
      <c r="AM72" s="17">
        <f>IF(AND($E72="Saída",$W72&gt;0,$C72&lt;&gt;""),$C72+ROW()/1000000,"")</f>
        <v/>
      </c>
      <c r="AN72" s="17">
        <f>IF(AND($E72="Entrada",$W72&gt;0,$C72&lt;&gt;""),$C72+ROW()/1000000,"")</f>
        <v/>
      </c>
      <c r="AO72" s="9">
        <f>IF(COUNTA($B72:$R72)=0,"",IF(AND($I72&lt;&gt;"",COUNTIF(CLIENTES_NOMES,$I72)+COUNTIF(CLIENTES_FANTASIA,$I72)+COUNTIF(FORNECEDORES_NOMES,$I72)+COUNTIF(FORNECEDORES_FANTASIA,$I72)=0),"⚠ Cliente/Fornecedor não cadastrado",IF(AND($G72&lt;&gt;"",COUNTIF(SUBCATEGORIAS_PLANO,$G72)=0),"⚠ Subcategoria fora do plano de contas",IF(OR($Q72="",N($Q72)=0),"⚠ Valor previsto não informado",IF(AND(OR($X72="Pago",$X72="Recebido"),$D72=""),"⚠ Status pago/recebido sem data",IF(AND($D72&lt;&gt;"",N($R72)=0),"⚠ Data de pagamento sem valor realizado",IF(AND(N($P72)&gt;1,N($O72)&gt;N($P72)),"⚠ Nº da parcela maior que o total",IF(AND($C72&lt;&gt;"",$B72&lt;&gt;"",$C72&lt;$B72),"⚠ Vencimento anterior à competência","OK"))))))))</f>
        <v/>
      </c>
    </row>
    <row r="73">
      <c r="A73" s="14" t="inlineStr">
        <is>
          <t>L0068</t>
        </is>
      </c>
      <c r="B73" s="36" t="n">
        <v>46072</v>
      </c>
      <c r="C73" s="36" t="n">
        <v>46087</v>
      </c>
      <c r="D73" s="36" t="n">
        <v>46089</v>
      </c>
      <c r="E73" s="14" t="inlineStr">
        <is>
          <t>Entrada</t>
        </is>
      </c>
      <c r="F73" s="29" t="inlineStr">
        <is>
          <t>Vendas</t>
        </is>
      </c>
      <c r="G73" s="29" t="inlineStr">
        <is>
          <t>Vendas de Produtos</t>
        </is>
      </c>
      <c r="H73" s="29" t="inlineStr">
        <is>
          <t>Comercial</t>
        </is>
      </c>
      <c r="I73" s="29" t="inlineStr">
        <is>
          <t>RESTAURANTE SABOR CASEIRO LTDA</t>
        </is>
      </c>
      <c r="J73" s="29" t="inlineStr">
        <is>
          <t>Venda de mercadorias para revenda</t>
        </is>
      </c>
      <c r="K73" s="14" t="inlineStr">
        <is>
          <t>NF-e 2016</t>
        </is>
      </c>
      <c r="L73" s="29" t="inlineStr">
        <is>
          <t>Itaú Unibanco — C/C 45678-9</t>
        </is>
      </c>
      <c r="M73" s="14" t="inlineStr">
        <is>
          <t>Boleto</t>
        </is>
      </c>
      <c r="N73" s="29" t="n"/>
      <c r="O73" s="13" t="n">
        <v>1</v>
      </c>
      <c r="P73" s="13" t="n">
        <v>1</v>
      </c>
      <c r="Q73" s="35" t="n">
        <v>11563.24</v>
      </c>
      <c r="R73" s="35" t="n">
        <v>11563.24</v>
      </c>
      <c r="S73" s="35" t="n"/>
      <c r="T73" s="35" t="n"/>
      <c r="U73" s="35" t="n"/>
      <c r="V73" s="18">
        <f>IF(COUNTA($B73:$R73)=0,"",ROUND(N($R73)+N($S73)+N($T73)-N($U73),2))</f>
        <v/>
      </c>
      <c r="W73" s="18">
        <f>IF(COUNTA($B73:$R73)=0,"",IF(OR($X73="Pago",$X73="Recebido",$X73="Cancelado"),0,ROUND(N($Q73)+N($S73)+N($T73)-N($U73)-N($R73),2)))</f>
        <v/>
      </c>
      <c r="X73" s="14" t="inlineStr">
        <is>
          <t>Pago</t>
        </is>
      </c>
      <c r="Y73" s="17">
        <f>IF(COUNTA($B73:$R73)=0,"",IF($X73="Cancelado","Cancelado",IF(OR($X73="Pago",$X73="Recebido"),$X73,IF(OR($X73="Parcial",N($R73)&gt;0),"Parcial",IF($C73="","Sem vencimento",IF($C73&lt;TODAY(),"Vencido",IF($C73=TODAY(),"Vence hoje",IF($C73&lt;=TODAY()+7,"Vence em 7 dias",IF($C73&lt;=TODAY()+30,"Vence em 30 dias","Futuro")))))))))</f>
        <v/>
      </c>
      <c r="Z73" s="24">
        <f>IF($B73="","",MONTH($B73))</f>
        <v/>
      </c>
      <c r="AA73" s="24">
        <f>IF($B73="","",YEAR($B73))</f>
        <v/>
      </c>
      <c r="AB73" s="24">
        <f>IF($B73="","",ISOWEEKNUM($B73))</f>
        <v/>
      </c>
      <c r="AC73" s="17">
        <f>IF($B73="","",CHOOSE(WEEKDAY($B73,2),"Segunda","Terça","Quarta","Quinta","Sexta","Sábado","Domingo"))</f>
        <v/>
      </c>
      <c r="AD73" s="17">
        <f>IF($B73="","",TEXT($B73,"MM/AAAA"))</f>
        <v/>
      </c>
      <c r="AE73" s="18">
        <f>IF(COUNTA($B73:$R73)=0,"",IF($X73="Cancelado",0,ROUND(N($Q73)+N($S73)+N($T73)-N($U73),2)))</f>
        <v/>
      </c>
      <c r="AF73" s="9">
        <f>IF($G73="","",IFERROR(INDEX(LINHAS_DRE_PLANO,MATCH($G73,SUBCATEGORIAS_PLANO,0)),"Não classificado"))</f>
        <v/>
      </c>
      <c r="AG73" s="17">
        <f>IF($G73="","",IFERROR(INDEX(TIPOS_FLUXO_PLANO,MATCH($G73,SUBCATEGORIAS_PLANO,0)),"Não classificado"))</f>
        <v/>
      </c>
      <c r="AH73" s="9">
        <f>IF($G73="","",IFERROR(INDEX(GRUPOS_PLANO,MATCH($G73,SUBCATEGORIAS_PLANO,0)),"Não classificado"))</f>
        <v/>
      </c>
      <c r="AI73" s="24">
        <f>IF(OR($C73="",$X73="Pago",$X73="Recebido",$X73="Cancelado"),"",$C73-TODAY())</f>
        <v/>
      </c>
      <c r="AJ73" s="24">
        <f>IF(OR($C73="",$X73="Pago",$X73="Recebido",$X73="Cancelado"),0,MAX(0,TODAY()-$C73))</f>
        <v/>
      </c>
      <c r="AK73" s="24">
        <f>IF($D73="","",$D73-$B73)</f>
        <v/>
      </c>
      <c r="AL73" s="18">
        <f>IF(OR($D73="",$B73=""),"",ROUND(N($R73)*($D73-$B73),2))</f>
        <v/>
      </c>
      <c r="AM73" s="17">
        <f>IF(AND($E73="Saída",$W73&gt;0,$C73&lt;&gt;""),$C73+ROW()/1000000,"")</f>
        <v/>
      </c>
      <c r="AN73" s="17">
        <f>IF(AND($E73="Entrada",$W73&gt;0,$C73&lt;&gt;""),$C73+ROW()/1000000,"")</f>
        <v/>
      </c>
      <c r="AO73" s="9">
        <f>IF(COUNTA($B73:$R73)=0,"",IF(AND($I73&lt;&gt;"",COUNTIF(CLIENTES_NOMES,$I73)+COUNTIF(CLIENTES_FANTASIA,$I73)+COUNTIF(FORNECEDORES_NOMES,$I73)+COUNTIF(FORNECEDORES_FANTASIA,$I73)=0),"⚠ Cliente/Fornecedor não cadastrado",IF(AND($G73&lt;&gt;"",COUNTIF(SUBCATEGORIAS_PLANO,$G73)=0),"⚠ Subcategoria fora do plano de contas",IF(OR($Q73="",N($Q73)=0),"⚠ Valor previsto não informado",IF(AND(OR($X73="Pago",$X73="Recebido"),$D73=""),"⚠ Status pago/recebido sem data",IF(AND($D73&lt;&gt;"",N($R73)=0),"⚠ Data de pagamento sem valor realizado",IF(AND(N($P73)&gt;1,N($O73)&gt;N($P73)),"⚠ Nº da parcela maior que o total",IF(AND($C73&lt;&gt;"",$B73&lt;&gt;"",$C73&lt;$B73),"⚠ Vencimento anterior à competência","OK"))))))))</f>
        <v/>
      </c>
    </row>
    <row r="74">
      <c r="A74" s="14" t="inlineStr">
        <is>
          <t>L0069</t>
        </is>
      </c>
      <c r="B74" s="36" t="n">
        <v>46072</v>
      </c>
      <c r="C74" s="36" t="n">
        <v>46093</v>
      </c>
      <c r="D74" s="36" t="n">
        <v>46095</v>
      </c>
      <c r="E74" s="14" t="inlineStr">
        <is>
          <t>Entrada</t>
        </is>
      </c>
      <c r="F74" s="29" t="inlineStr">
        <is>
          <t>Vendas</t>
        </is>
      </c>
      <c r="G74" s="29" t="inlineStr">
        <is>
          <t>Vendas de Produtos</t>
        </is>
      </c>
      <c r="H74" s="29" t="inlineStr">
        <is>
          <t>Comercial</t>
        </is>
      </c>
      <c r="I74" s="29" t="inlineStr">
        <is>
          <t>EMPÓRIO NATURAL COMÉRCIO LTDA</t>
        </is>
      </c>
      <c r="J74" s="29" t="inlineStr">
        <is>
          <t>Venda de mercadorias para revenda</t>
        </is>
      </c>
      <c r="K74" s="14" t="inlineStr">
        <is>
          <t>NF-e 2022</t>
        </is>
      </c>
      <c r="L74" s="29" t="inlineStr">
        <is>
          <t>Itaú Unibanco — C/C 45678-9</t>
        </is>
      </c>
      <c r="M74" s="14" t="inlineStr">
        <is>
          <t>Boleto</t>
        </is>
      </c>
      <c r="N74" s="29" t="n"/>
      <c r="O74" s="13" t="n">
        <v>1</v>
      </c>
      <c r="P74" s="13" t="n">
        <v>1</v>
      </c>
      <c r="Q74" s="35" t="n">
        <v>16132.32</v>
      </c>
      <c r="R74" s="35" t="n">
        <v>16132.32</v>
      </c>
      <c r="S74" s="35" t="n"/>
      <c r="T74" s="35" t="n"/>
      <c r="U74" s="35" t="n"/>
      <c r="V74" s="18">
        <f>IF(COUNTA($B74:$R74)=0,"",ROUND(N($R74)+N($S74)+N($T74)-N($U74),2))</f>
        <v/>
      </c>
      <c r="W74" s="18">
        <f>IF(COUNTA($B74:$R74)=0,"",IF(OR($X74="Pago",$X74="Recebido",$X74="Cancelado"),0,ROUND(N($Q74)+N($S74)+N($T74)-N($U74)-N($R74),2)))</f>
        <v/>
      </c>
      <c r="X74" s="14" t="inlineStr">
        <is>
          <t>Pago</t>
        </is>
      </c>
      <c r="Y74" s="17">
        <f>IF(COUNTA($B74:$R74)=0,"",IF($X74="Cancelado","Cancelado",IF(OR($X74="Pago",$X74="Recebido"),$X74,IF(OR($X74="Parcial",N($R74)&gt;0),"Parcial",IF($C74="","Sem vencimento",IF($C74&lt;TODAY(),"Vencido",IF($C74=TODAY(),"Vence hoje",IF($C74&lt;=TODAY()+7,"Vence em 7 dias",IF($C74&lt;=TODAY()+30,"Vence em 30 dias","Futuro")))))))))</f>
        <v/>
      </c>
      <c r="Z74" s="24">
        <f>IF($B74="","",MONTH($B74))</f>
        <v/>
      </c>
      <c r="AA74" s="24">
        <f>IF($B74="","",YEAR($B74))</f>
        <v/>
      </c>
      <c r="AB74" s="24">
        <f>IF($B74="","",ISOWEEKNUM($B74))</f>
        <v/>
      </c>
      <c r="AC74" s="17">
        <f>IF($B74="","",CHOOSE(WEEKDAY($B74,2),"Segunda","Terça","Quarta","Quinta","Sexta","Sábado","Domingo"))</f>
        <v/>
      </c>
      <c r="AD74" s="17">
        <f>IF($B74="","",TEXT($B74,"MM/AAAA"))</f>
        <v/>
      </c>
      <c r="AE74" s="18">
        <f>IF(COUNTA($B74:$R74)=0,"",IF($X74="Cancelado",0,ROUND(N($Q74)+N($S74)+N($T74)-N($U74),2)))</f>
        <v/>
      </c>
      <c r="AF74" s="9">
        <f>IF($G74="","",IFERROR(INDEX(LINHAS_DRE_PLANO,MATCH($G74,SUBCATEGORIAS_PLANO,0)),"Não classificado"))</f>
        <v/>
      </c>
      <c r="AG74" s="17">
        <f>IF($G74="","",IFERROR(INDEX(TIPOS_FLUXO_PLANO,MATCH($G74,SUBCATEGORIAS_PLANO,0)),"Não classificado"))</f>
        <v/>
      </c>
      <c r="AH74" s="9">
        <f>IF($G74="","",IFERROR(INDEX(GRUPOS_PLANO,MATCH($G74,SUBCATEGORIAS_PLANO,0)),"Não classificado"))</f>
        <v/>
      </c>
      <c r="AI74" s="24">
        <f>IF(OR($C74="",$X74="Pago",$X74="Recebido",$X74="Cancelado"),"",$C74-TODAY())</f>
        <v/>
      </c>
      <c r="AJ74" s="24">
        <f>IF(OR($C74="",$X74="Pago",$X74="Recebido",$X74="Cancelado"),0,MAX(0,TODAY()-$C74))</f>
        <v/>
      </c>
      <c r="AK74" s="24">
        <f>IF($D74="","",$D74-$B74)</f>
        <v/>
      </c>
      <c r="AL74" s="18">
        <f>IF(OR($D74="",$B74=""),"",ROUND(N($R74)*($D74-$B74),2))</f>
        <v/>
      </c>
      <c r="AM74" s="17">
        <f>IF(AND($E74="Saída",$W74&gt;0,$C74&lt;&gt;""),$C74+ROW()/1000000,"")</f>
        <v/>
      </c>
      <c r="AN74" s="17">
        <f>IF(AND($E74="Entrada",$W74&gt;0,$C74&lt;&gt;""),$C74+ROW()/1000000,"")</f>
        <v/>
      </c>
      <c r="AO74" s="9">
        <f>IF(COUNTA($B74:$R74)=0,"",IF(AND($I74&lt;&gt;"",COUNTIF(CLIENTES_NOMES,$I74)+COUNTIF(CLIENTES_FANTASIA,$I74)+COUNTIF(FORNECEDORES_NOMES,$I74)+COUNTIF(FORNECEDORES_FANTASIA,$I74)=0),"⚠ Cliente/Fornecedor não cadastrado",IF(AND($G74&lt;&gt;"",COUNTIF(SUBCATEGORIAS_PLANO,$G74)=0),"⚠ Subcategoria fora do plano de contas",IF(OR($Q74="",N($Q74)=0),"⚠ Valor previsto não informado",IF(AND(OR($X74="Pago",$X74="Recebido"),$D74=""),"⚠ Status pago/recebido sem data",IF(AND($D74&lt;&gt;"",N($R74)=0),"⚠ Data de pagamento sem valor realizado",IF(AND(N($P74)&gt;1,N($O74)&gt;N($P74)),"⚠ Nº da parcela maior que o total",IF(AND($C74&lt;&gt;"",$B74&lt;&gt;"",$C74&lt;$B74),"⚠ Vencimento anterior à competência","OK"))))))))</f>
        <v/>
      </c>
    </row>
    <row r="75">
      <c r="A75" s="14" t="inlineStr">
        <is>
          <t>L0070</t>
        </is>
      </c>
      <c r="B75" s="36" t="n">
        <v>46073</v>
      </c>
      <c r="C75" s="36" t="n">
        <v>46083</v>
      </c>
      <c r="D75" s="36" t="n">
        <v>46083</v>
      </c>
      <c r="E75" s="14" t="inlineStr">
        <is>
          <t>Saída</t>
        </is>
      </c>
      <c r="F75" s="29" t="inlineStr">
        <is>
          <t>Custos Variáveis</t>
        </is>
      </c>
      <c r="G75" s="29" t="inlineStr">
        <is>
          <t>Outros Custos Diretos</t>
        </is>
      </c>
      <c r="H75" s="29" t="inlineStr">
        <is>
          <t>Produção</t>
        </is>
      </c>
      <c r="I75" s="29" t="inlineStr">
        <is>
          <t>APOIO OPERACIONAL SERVIÇOS LTDA</t>
        </is>
      </c>
      <c r="J75" s="29" t="inlineStr">
        <is>
          <t>Serviços de apoio à operação e expedição</t>
        </is>
      </c>
      <c r="K75" s="14" t="inlineStr">
        <is>
          <t>DOC 7174</t>
        </is>
      </c>
      <c r="L75" s="29" t="inlineStr">
        <is>
          <t>Banco do Brasil — C/C 12345-6</t>
        </is>
      </c>
      <c r="M75" s="14" t="inlineStr">
        <is>
          <t>PIX</t>
        </is>
      </c>
      <c r="N75" s="29" t="n"/>
      <c r="O75" s="13" t="n">
        <v>1</v>
      </c>
      <c r="P75" s="13" t="n">
        <v>1</v>
      </c>
      <c r="Q75" s="35" t="n">
        <v>825.42</v>
      </c>
      <c r="R75" s="35" t="n">
        <v>825.42</v>
      </c>
      <c r="S75" s="35" t="n"/>
      <c r="T75" s="35" t="n"/>
      <c r="U75" s="35" t="n"/>
      <c r="V75" s="18">
        <f>IF(COUNTA($B75:$R75)=0,"",ROUND(N($R75)+N($S75)+N($T75)-N($U75),2))</f>
        <v/>
      </c>
      <c r="W75" s="18">
        <f>IF(COUNTA($B75:$R75)=0,"",IF(OR($X75="Pago",$X75="Recebido",$X75="Cancelado"),0,ROUND(N($Q75)+N($S75)+N($T75)-N($U75)-N($R75),2)))</f>
        <v/>
      </c>
      <c r="X75" s="14" t="inlineStr">
        <is>
          <t>Pago</t>
        </is>
      </c>
      <c r="Y75" s="17">
        <f>IF(COUNTA($B75:$R75)=0,"",IF($X75="Cancelado","Cancelado",IF(OR($X75="Pago",$X75="Recebido"),$X75,IF(OR($X75="Parcial",N($R75)&gt;0),"Parcial",IF($C75="","Sem vencimento",IF($C75&lt;TODAY(),"Vencido",IF($C75=TODAY(),"Vence hoje",IF($C75&lt;=TODAY()+7,"Vence em 7 dias",IF($C75&lt;=TODAY()+30,"Vence em 30 dias","Futuro")))))))))</f>
        <v/>
      </c>
      <c r="Z75" s="24">
        <f>IF($B75="","",MONTH($B75))</f>
        <v/>
      </c>
      <c r="AA75" s="24">
        <f>IF($B75="","",YEAR($B75))</f>
        <v/>
      </c>
      <c r="AB75" s="24">
        <f>IF($B75="","",ISOWEEKNUM($B75))</f>
        <v/>
      </c>
      <c r="AC75" s="17">
        <f>IF($B75="","",CHOOSE(WEEKDAY($B75,2),"Segunda","Terça","Quarta","Quinta","Sexta","Sábado","Domingo"))</f>
        <v/>
      </c>
      <c r="AD75" s="17">
        <f>IF($B75="","",TEXT($B75,"MM/AAAA"))</f>
        <v/>
      </c>
      <c r="AE75" s="18">
        <f>IF(COUNTA($B75:$R75)=0,"",IF($X75="Cancelado",0,ROUND(N($Q75)+N($S75)+N($T75)-N($U75),2)))</f>
        <v/>
      </c>
      <c r="AF75" s="9">
        <f>IF($G75="","",IFERROR(INDEX(LINHAS_DRE_PLANO,MATCH($G75,SUBCATEGORIAS_PLANO,0)),"Não classificado"))</f>
        <v/>
      </c>
      <c r="AG75" s="17">
        <f>IF($G75="","",IFERROR(INDEX(TIPOS_FLUXO_PLANO,MATCH($G75,SUBCATEGORIAS_PLANO,0)),"Não classificado"))</f>
        <v/>
      </c>
      <c r="AH75" s="9">
        <f>IF($G75="","",IFERROR(INDEX(GRUPOS_PLANO,MATCH($G75,SUBCATEGORIAS_PLANO,0)),"Não classificado"))</f>
        <v/>
      </c>
      <c r="AI75" s="24">
        <f>IF(OR($C75="",$X75="Pago",$X75="Recebido",$X75="Cancelado"),"",$C75-TODAY())</f>
        <v/>
      </c>
      <c r="AJ75" s="24">
        <f>IF(OR($C75="",$X75="Pago",$X75="Recebido",$X75="Cancelado"),0,MAX(0,TODAY()-$C75))</f>
        <v/>
      </c>
      <c r="AK75" s="24">
        <f>IF($D75="","",$D75-$B75)</f>
        <v/>
      </c>
      <c r="AL75" s="18">
        <f>IF(OR($D75="",$B75=""),"",ROUND(N($R75)*($D75-$B75),2))</f>
        <v/>
      </c>
      <c r="AM75" s="17">
        <f>IF(AND($E75="Saída",$W75&gt;0,$C75&lt;&gt;""),$C75+ROW()/1000000,"")</f>
        <v/>
      </c>
      <c r="AN75" s="17">
        <f>IF(AND($E75="Entrada",$W75&gt;0,$C75&lt;&gt;""),$C75+ROW()/1000000,"")</f>
        <v/>
      </c>
      <c r="AO75" s="9">
        <f>IF(COUNTA($B75:$R75)=0,"",IF(AND($I75&lt;&gt;"",COUNTIF(CLIENTES_NOMES,$I75)+COUNTIF(CLIENTES_FANTASIA,$I75)+COUNTIF(FORNECEDORES_NOMES,$I75)+COUNTIF(FORNECEDORES_FANTASIA,$I75)=0),"⚠ Cliente/Fornecedor não cadastrado",IF(AND($G75&lt;&gt;"",COUNTIF(SUBCATEGORIAS_PLANO,$G75)=0),"⚠ Subcategoria fora do plano de contas",IF(OR($Q75="",N($Q75)=0),"⚠ Valor previsto não informado",IF(AND(OR($X75="Pago",$X75="Recebido"),$D75=""),"⚠ Status pago/recebido sem data",IF(AND($D75&lt;&gt;"",N($R75)=0),"⚠ Data de pagamento sem valor realizado",IF(AND(N($P75)&gt;1,N($O75)&gt;N($P75)),"⚠ Nº da parcela maior que o total",IF(AND($C75&lt;&gt;"",$B75&lt;&gt;"",$C75&lt;$B75),"⚠ Vencimento anterior à competência","OK"))))))))</f>
        <v/>
      </c>
    </row>
    <row r="76">
      <c r="A76" s="14" t="inlineStr">
        <is>
          <t>L0071</t>
        </is>
      </c>
      <c r="B76" s="36" t="n">
        <v>46073</v>
      </c>
      <c r="C76" s="36" t="n">
        <v>46101</v>
      </c>
      <c r="D76" s="36" t="n">
        <v>46102</v>
      </c>
      <c r="E76" s="14" t="inlineStr">
        <is>
          <t>Saída</t>
        </is>
      </c>
      <c r="F76" s="29" t="inlineStr">
        <is>
          <t>Tributos</t>
        </is>
      </c>
      <c r="G76" s="29" t="inlineStr">
        <is>
          <t>Simples Nacional</t>
        </is>
      </c>
      <c r="H76" s="29" t="inlineStr">
        <is>
          <t>Financeiro</t>
        </is>
      </c>
      <c r="I76" s="29" t="inlineStr">
        <is>
          <t>RECEITA FEDERAL DO BRASIL</t>
        </is>
      </c>
      <c r="J76" s="29" t="inlineStr">
        <is>
          <t>Simples Nacional — competência 02/2026</t>
        </is>
      </c>
      <c r="K76" s="14" t="inlineStr">
        <is>
          <t>DAS 02/2026</t>
        </is>
      </c>
      <c r="L76" s="29" t="inlineStr">
        <is>
          <t>Banco do Brasil — C/C 12345-6</t>
        </is>
      </c>
      <c r="M76" s="14" t="inlineStr">
        <is>
          <t>Transferência</t>
        </is>
      </c>
      <c r="N76" s="29" t="n"/>
      <c r="O76" s="13" t="n">
        <v>1</v>
      </c>
      <c r="P76" s="13" t="n">
        <v>1</v>
      </c>
      <c r="Q76" s="35" t="n">
        <v>18412.2</v>
      </c>
      <c r="R76" s="35" t="n">
        <v>18412.2</v>
      </c>
      <c r="S76" s="35" t="n"/>
      <c r="T76" s="35" t="n"/>
      <c r="U76" s="35" t="n"/>
      <c r="V76" s="18">
        <f>IF(COUNTA($B76:$R76)=0,"",ROUND(N($R76)+N($S76)+N($T76)-N($U76),2))</f>
        <v/>
      </c>
      <c r="W76" s="18">
        <f>IF(COUNTA($B76:$R76)=0,"",IF(OR($X76="Pago",$X76="Recebido",$X76="Cancelado"),0,ROUND(N($Q76)+N($S76)+N($T76)-N($U76)-N($R76),2)))</f>
        <v/>
      </c>
      <c r="X76" s="14" t="inlineStr">
        <is>
          <t>Pago</t>
        </is>
      </c>
      <c r="Y76" s="17">
        <f>IF(COUNTA($B76:$R76)=0,"",IF($X76="Cancelado","Cancelado",IF(OR($X76="Pago",$X76="Recebido"),$X76,IF(OR($X76="Parcial",N($R76)&gt;0),"Parcial",IF($C76="","Sem vencimento",IF($C76&lt;TODAY(),"Vencido",IF($C76=TODAY(),"Vence hoje",IF($C76&lt;=TODAY()+7,"Vence em 7 dias",IF($C76&lt;=TODAY()+30,"Vence em 30 dias","Futuro")))))))))</f>
        <v/>
      </c>
      <c r="Z76" s="24">
        <f>IF($B76="","",MONTH($B76))</f>
        <v/>
      </c>
      <c r="AA76" s="24">
        <f>IF($B76="","",YEAR($B76))</f>
        <v/>
      </c>
      <c r="AB76" s="24">
        <f>IF($B76="","",ISOWEEKNUM($B76))</f>
        <v/>
      </c>
      <c r="AC76" s="17">
        <f>IF($B76="","",CHOOSE(WEEKDAY($B76,2),"Segunda","Terça","Quarta","Quinta","Sexta","Sábado","Domingo"))</f>
        <v/>
      </c>
      <c r="AD76" s="17">
        <f>IF($B76="","",TEXT($B76,"MM/AAAA"))</f>
        <v/>
      </c>
      <c r="AE76" s="18">
        <f>IF(COUNTA($B76:$R76)=0,"",IF($X76="Cancelado",0,ROUND(N($Q76)+N($S76)+N($T76)-N($U76),2)))</f>
        <v/>
      </c>
      <c r="AF76" s="9">
        <f>IF($G76="","",IFERROR(INDEX(LINHAS_DRE_PLANO,MATCH($G76,SUBCATEGORIAS_PLANO,0)),"Não classificado"))</f>
        <v/>
      </c>
      <c r="AG76" s="17">
        <f>IF($G76="","",IFERROR(INDEX(TIPOS_FLUXO_PLANO,MATCH($G76,SUBCATEGORIAS_PLANO,0)),"Não classificado"))</f>
        <v/>
      </c>
      <c r="AH76" s="9">
        <f>IF($G76="","",IFERROR(INDEX(GRUPOS_PLANO,MATCH($G76,SUBCATEGORIAS_PLANO,0)),"Não classificado"))</f>
        <v/>
      </c>
      <c r="AI76" s="24">
        <f>IF(OR($C76="",$X76="Pago",$X76="Recebido",$X76="Cancelado"),"",$C76-TODAY())</f>
        <v/>
      </c>
      <c r="AJ76" s="24">
        <f>IF(OR($C76="",$X76="Pago",$X76="Recebido",$X76="Cancelado"),0,MAX(0,TODAY()-$C76))</f>
        <v/>
      </c>
      <c r="AK76" s="24">
        <f>IF($D76="","",$D76-$B76)</f>
        <v/>
      </c>
      <c r="AL76" s="18">
        <f>IF(OR($D76="",$B76=""),"",ROUND(N($R76)*($D76-$B76),2))</f>
        <v/>
      </c>
      <c r="AM76" s="17">
        <f>IF(AND($E76="Saída",$W76&gt;0,$C76&lt;&gt;""),$C76+ROW()/1000000,"")</f>
        <v/>
      </c>
      <c r="AN76" s="17">
        <f>IF(AND($E76="Entrada",$W76&gt;0,$C76&lt;&gt;""),$C76+ROW()/1000000,"")</f>
        <v/>
      </c>
      <c r="AO76" s="9">
        <f>IF(COUNTA($B76:$R76)=0,"",IF(AND($I76&lt;&gt;"",COUNTIF(CLIENTES_NOMES,$I76)+COUNTIF(CLIENTES_FANTASIA,$I76)+COUNTIF(FORNECEDORES_NOMES,$I76)+COUNTIF(FORNECEDORES_FANTASIA,$I76)=0),"⚠ Cliente/Fornecedor não cadastrado",IF(AND($G76&lt;&gt;"",COUNTIF(SUBCATEGORIAS_PLANO,$G76)=0),"⚠ Subcategoria fora do plano de contas",IF(OR($Q76="",N($Q76)=0),"⚠ Valor previsto não informado",IF(AND(OR($X76="Pago",$X76="Recebido"),$D76=""),"⚠ Status pago/recebido sem data",IF(AND($D76&lt;&gt;"",N($R76)=0),"⚠ Data de pagamento sem valor realizado",IF(AND(N($P76)&gt;1,N($O76)&gt;N($P76)),"⚠ Nº da parcela maior que o total",IF(AND($C76&lt;&gt;"",$B76&lt;&gt;"",$C76&lt;$B76),"⚠ Vencimento anterior à competência","OK"))))))))</f>
        <v/>
      </c>
    </row>
    <row r="77">
      <c r="A77" s="14" t="inlineStr">
        <is>
          <t>L0072</t>
        </is>
      </c>
      <c r="B77" s="36" t="n">
        <v>46073</v>
      </c>
      <c r="C77" s="36" t="n">
        <v>46073</v>
      </c>
      <c r="D77" s="36" t="n">
        <v>46073</v>
      </c>
      <c r="E77" s="14" t="inlineStr">
        <is>
          <t>Entrada</t>
        </is>
      </c>
      <c r="F77" s="29" t="inlineStr">
        <is>
          <t>Empréstimos e Financiamentos</t>
        </is>
      </c>
      <c r="G77" s="29" t="inlineStr">
        <is>
          <t>Empréstimos e Financiamentos Recebidos</t>
        </is>
      </c>
      <c r="H77" s="29" t="inlineStr">
        <is>
          <t>Financeiro</t>
        </is>
      </c>
      <c r="I77" s="29" t="inlineStr">
        <is>
          <t>BNDES / Banco do Brasil</t>
        </is>
      </c>
      <c r="J77" s="29" t="inlineStr">
        <is>
          <t>Liberação do Financiamento de Máquinas — contrato FIN-2026-1198</t>
        </is>
      </c>
      <c r="K77" s="14" t="inlineStr">
        <is>
          <t>FIN-2026-1198</t>
        </is>
      </c>
      <c r="L77" s="29" t="inlineStr">
        <is>
          <t>Banco do Brasil — C/C 12345-6</t>
        </is>
      </c>
      <c r="M77" s="14" t="inlineStr">
        <is>
          <t>Transferência</t>
        </is>
      </c>
      <c r="N77" s="29" t="n"/>
      <c r="O77" s="13" t="n">
        <v>1</v>
      </c>
      <c r="P77" s="13" t="n">
        <v>1</v>
      </c>
      <c r="Q77" s="35" t="n">
        <v>120000</v>
      </c>
      <c r="R77" s="35" t="n">
        <v>120000</v>
      </c>
      <c r="S77" s="35" t="n"/>
      <c r="T77" s="35" t="n"/>
      <c r="U77" s="35" t="n"/>
      <c r="V77" s="18">
        <f>IF(COUNTA($B77:$R77)=0,"",ROUND(N($R77)+N($S77)+N($T77)-N($U77),2))</f>
        <v/>
      </c>
      <c r="W77" s="18">
        <f>IF(COUNTA($B77:$R77)=0,"",IF(OR($X77="Pago",$X77="Recebido",$X77="Cancelado"),0,ROUND(N($Q77)+N($S77)+N($T77)-N($U77)-N($R77),2)))</f>
        <v/>
      </c>
      <c r="X77" s="14" t="inlineStr">
        <is>
          <t>Recebido</t>
        </is>
      </c>
      <c r="Y77" s="17">
        <f>IF(COUNTA($B77:$R77)=0,"",IF($X77="Cancelado","Cancelado",IF(OR($X77="Pago",$X77="Recebido"),$X77,IF(OR($X77="Parcial",N($R77)&gt;0),"Parcial",IF($C77="","Sem vencimento",IF($C77&lt;TODAY(),"Vencido",IF($C77=TODAY(),"Vence hoje",IF($C77&lt;=TODAY()+7,"Vence em 7 dias",IF($C77&lt;=TODAY()+30,"Vence em 30 dias","Futuro")))))))))</f>
        <v/>
      </c>
      <c r="Z77" s="24">
        <f>IF($B77="","",MONTH($B77))</f>
        <v/>
      </c>
      <c r="AA77" s="24">
        <f>IF($B77="","",YEAR($B77))</f>
        <v/>
      </c>
      <c r="AB77" s="24">
        <f>IF($B77="","",ISOWEEKNUM($B77))</f>
        <v/>
      </c>
      <c r="AC77" s="17">
        <f>IF($B77="","",CHOOSE(WEEKDAY($B77,2),"Segunda","Terça","Quarta","Quinta","Sexta","Sábado","Domingo"))</f>
        <v/>
      </c>
      <c r="AD77" s="17">
        <f>IF($B77="","",TEXT($B77,"MM/AAAA"))</f>
        <v/>
      </c>
      <c r="AE77" s="18">
        <f>IF(COUNTA($B77:$R77)=0,"",IF($X77="Cancelado",0,ROUND(N($Q77)+N($S77)+N($T77)-N($U77),2)))</f>
        <v/>
      </c>
      <c r="AF77" s="9">
        <f>IF($G77="","",IFERROR(INDEX(LINHAS_DRE_PLANO,MATCH($G77,SUBCATEGORIAS_PLANO,0)),"Não classificado"))</f>
        <v/>
      </c>
      <c r="AG77" s="17">
        <f>IF($G77="","",IFERROR(INDEX(TIPOS_FLUXO_PLANO,MATCH($G77,SUBCATEGORIAS_PLANO,0)),"Não classificado"))</f>
        <v/>
      </c>
      <c r="AH77" s="9">
        <f>IF($G77="","",IFERROR(INDEX(GRUPOS_PLANO,MATCH($G77,SUBCATEGORIAS_PLANO,0)),"Não classificado"))</f>
        <v/>
      </c>
      <c r="AI77" s="24">
        <f>IF(OR($C77="",$X77="Pago",$X77="Recebido",$X77="Cancelado"),"",$C77-TODAY())</f>
        <v/>
      </c>
      <c r="AJ77" s="24">
        <f>IF(OR($C77="",$X77="Pago",$X77="Recebido",$X77="Cancelado"),0,MAX(0,TODAY()-$C77))</f>
        <v/>
      </c>
      <c r="AK77" s="24">
        <f>IF($D77="","",$D77-$B77)</f>
        <v/>
      </c>
      <c r="AL77" s="18">
        <f>IF(OR($D77="",$B77=""),"",ROUND(N($R77)*($D77-$B77),2))</f>
        <v/>
      </c>
      <c r="AM77" s="17">
        <f>IF(AND($E77="Saída",$W77&gt;0,$C77&lt;&gt;""),$C77+ROW()/1000000,"")</f>
        <v/>
      </c>
      <c r="AN77" s="17">
        <f>IF(AND($E77="Entrada",$W77&gt;0,$C77&lt;&gt;""),$C77+ROW()/1000000,"")</f>
        <v/>
      </c>
      <c r="AO77" s="9">
        <f>IF(COUNTA($B77:$R77)=0,"",IF(AND($I77&lt;&gt;"",COUNTIF(CLIENTES_NOMES,$I77)+COUNTIF(CLIENTES_FANTASIA,$I77)+COUNTIF(FORNECEDORES_NOMES,$I77)+COUNTIF(FORNECEDORES_FANTASIA,$I77)=0),"⚠ Cliente/Fornecedor não cadastrado",IF(AND($G77&lt;&gt;"",COUNTIF(SUBCATEGORIAS_PLANO,$G77)=0),"⚠ Subcategoria fora do plano de contas",IF(OR($Q77="",N($Q77)=0),"⚠ Valor previsto não informado",IF(AND(OR($X77="Pago",$X77="Recebido"),$D77=""),"⚠ Status pago/recebido sem data",IF(AND($D77&lt;&gt;"",N($R77)=0),"⚠ Data de pagamento sem valor realizado",IF(AND(N($P77)&gt;1,N($O77)&gt;N($P77)),"⚠ Nº da parcela maior que o total",IF(AND($C77&lt;&gt;"",$B77&lt;&gt;"",$C77&lt;$B77),"⚠ Vencimento anterior à competência","OK"))))))))</f>
        <v/>
      </c>
    </row>
    <row r="78">
      <c r="A78" s="14" t="inlineStr">
        <is>
          <t>L0073</t>
        </is>
      </c>
      <c r="B78" s="36" t="n">
        <v>46073</v>
      </c>
      <c r="C78" s="36" t="n">
        <v>46073</v>
      </c>
      <c r="D78" s="36" t="n">
        <v>46073</v>
      </c>
      <c r="E78" s="14" t="inlineStr">
        <is>
          <t>Saída</t>
        </is>
      </c>
      <c r="F78" s="29" t="inlineStr">
        <is>
          <t>Empréstimos e Financiamentos</t>
        </is>
      </c>
      <c r="G78" s="29" t="inlineStr">
        <is>
          <t>Pagamento de Principal de Empréstimos</t>
        </is>
      </c>
      <c r="H78" s="29" t="inlineStr">
        <is>
          <t>Diretoria</t>
        </is>
      </c>
      <c r="I78" s="29" t="inlineStr">
        <is>
          <t>Banco Santander</t>
        </is>
      </c>
      <c r="J78" s="29" t="inlineStr">
        <is>
          <t>Financiamento de Veículo — parcela 1/48 (principal)</t>
        </is>
      </c>
      <c r="K78" s="14" t="inlineStr">
        <is>
          <t>VEI-2026-0088-P01</t>
        </is>
      </c>
      <c r="L78" s="29" t="inlineStr">
        <is>
          <t>Itaú Unibanco — C/C 45678-9</t>
        </is>
      </c>
      <c r="M78" s="14" t="inlineStr">
        <is>
          <t>Débito automático</t>
        </is>
      </c>
      <c r="N78" s="29" t="n"/>
      <c r="O78" s="13" t="n">
        <v>1</v>
      </c>
      <c r="P78" s="13" t="n">
        <v>48</v>
      </c>
      <c r="Q78" s="35" t="n">
        <v>1226.46</v>
      </c>
      <c r="R78" s="35" t="n">
        <v>1226.46</v>
      </c>
      <c r="S78" s="35" t="n"/>
      <c r="T78" s="35" t="n"/>
      <c r="U78" s="35" t="n"/>
      <c r="V78" s="18">
        <f>IF(COUNTA($B78:$R78)=0,"",ROUND(N($R78)+N($S78)+N($T78)-N($U78),2))</f>
        <v/>
      </c>
      <c r="W78" s="18">
        <f>IF(COUNTA($B78:$R78)=0,"",IF(OR($X78="Pago",$X78="Recebido",$X78="Cancelado"),0,ROUND(N($Q78)+N($S78)+N($T78)-N($U78)-N($R78),2)))</f>
        <v/>
      </c>
      <c r="X78" s="14" t="inlineStr">
        <is>
          <t>Pago</t>
        </is>
      </c>
      <c r="Y78" s="17">
        <f>IF(COUNTA($B78:$R78)=0,"",IF($X78="Cancelado","Cancelado",IF(OR($X78="Pago",$X78="Recebido"),$X78,IF(OR($X78="Parcial",N($R78)&gt;0),"Parcial",IF($C78="","Sem vencimento",IF($C78&lt;TODAY(),"Vencido",IF($C78=TODAY(),"Vence hoje",IF($C78&lt;=TODAY()+7,"Vence em 7 dias",IF($C78&lt;=TODAY()+30,"Vence em 30 dias","Futuro")))))))))</f>
        <v/>
      </c>
      <c r="Z78" s="24">
        <f>IF($B78="","",MONTH($B78))</f>
        <v/>
      </c>
      <c r="AA78" s="24">
        <f>IF($B78="","",YEAR($B78))</f>
        <v/>
      </c>
      <c r="AB78" s="24">
        <f>IF($B78="","",ISOWEEKNUM($B78))</f>
        <v/>
      </c>
      <c r="AC78" s="17">
        <f>IF($B78="","",CHOOSE(WEEKDAY($B78,2),"Segunda","Terça","Quarta","Quinta","Sexta","Sábado","Domingo"))</f>
        <v/>
      </c>
      <c r="AD78" s="17">
        <f>IF($B78="","",TEXT($B78,"MM/AAAA"))</f>
        <v/>
      </c>
      <c r="AE78" s="18">
        <f>IF(COUNTA($B78:$R78)=0,"",IF($X78="Cancelado",0,ROUND(N($Q78)+N($S78)+N($T78)-N($U78),2)))</f>
        <v/>
      </c>
      <c r="AF78" s="9">
        <f>IF($G78="","",IFERROR(INDEX(LINHAS_DRE_PLANO,MATCH($G78,SUBCATEGORIAS_PLANO,0)),"Não classificado"))</f>
        <v/>
      </c>
      <c r="AG78" s="17">
        <f>IF($G78="","",IFERROR(INDEX(TIPOS_FLUXO_PLANO,MATCH($G78,SUBCATEGORIAS_PLANO,0)),"Não classificado"))</f>
        <v/>
      </c>
      <c r="AH78" s="9">
        <f>IF($G78="","",IFERROR(INDEX(GRUPOS_PLANO,MATCH($G78,SUBCATEGORIAS_PLANO,0)),"Não classificado"))</f>
        <v/>
      </c>
      <c r="AI78" s="24">
        <f>IF(OR($C78="",$X78="Pago",$X78="Recebido",$X78="Cancelado"),"",$C78-TODAY())</f>
        <v/>
      </c>
      <c r="AJ78" s="24">
        <f>IF(OR($C78="",$X78="Pago",$X78="Recebido",$X78="Cancelado"),0,MAX(0,TODAY()-$C78))</f>
        <v/>
      </c>
      <c r="AK78" s="24">
        <f>IF($D78="","",$D78-$B78)</f>
        <v/>
      </c>
      <c r="AL78" s="18">
        <f>IF(OR($D78="",$B78=""),"",ROUND(N($R78)*($D78-$B78),2))</f>
        <v/>
      </c>
      <c r="AM78" s="17">
        <f>IF(AND($E78="Saída",$W78&gt;0,$C78&lt;&gt;""),$C78+ROW()/1000000,"")</f>
        <v/>
      </c>
      <c r="AN78" s="17">
        <f>IF(AND($E78="Entrada",$W78&gt;0,$C78&lt;&gt;""),$C78+ROW()/1000000,"")</f>
        <v/>
      </c>
      <c r="AO78" s="9">
        <f>IF(COUNTA($B78:$R78)=0,"",IF(AND($I78&lt;&gt;"",COUNTIF(CLIENTES_NOMES,$I78)+COUNTIF(CLIENTES_FANTASIA,$I78)+COUNTIF(FORNECEDORES_NOMES,$I78)+COUNTIF(FORNECEDORES_FANTASIA,$I78)=0),"⚠ Cliente/Fornecedor não cadastrado",IF(AND($G78&lt;&gt;"",COUNTIF(SUBCATEGORIAS_PLANO,$G78)=0),"⚠ Subcategoria fora do plano de contas",IF(OR($Q78="",N($Q78)=0),"⚠ Valor previsto não informado",IF(AND(OR($X78="Pago",$X78="Recebido"),$D78=""),"⚠ Status pago/recebido sem data",IF(AND($D78&lt;&gt;"",N($R78)=0),"⚠ Data de pagamento sem valor realizado",IF(AND(N($P78)&gt;1,N($O78)&gt;N($P78)),"⚠ Nº da parcela maior que o total",IF(AND($C78&lt;&gt;"",$B78&lt;&gt;"",$C78&lt;$B78),"⚠ Vencimento anterior à competência","OK"))))))))</f>
        <v/>
      </c>
    </row>
    <row r="79">
      <c r="A79" s="14" t="inlineStr">
        <is>
          <t>L0074</t>
        </is>
      </c>
      <c r="B79" s="36" t="n">
        <v>46073</v>
      </c>
      <c r="C79" s="36" t="n">
        <v>46073</v>
      </c>
      <c r="D79" s="36" t="n">
        <v>46073</v>
      </c>
      <c r="E79" s="14" t="inlineStr">
        <is>
          <t>Saída</t>
        </is>
      </c>
      <c r="F79" s="29" t="inlineStr">
        <is>
          <t>Despesas Financeiras</t>
        </is>
      </c>
      <c r="G79" s="29" t="inlineStr">
        <is>
          <t>Juros de Empréstimos e Financiamentos</t>
        </is>
      </c>
      <c r="H79" s="29" t="inlineStr">
        <is>
          <t>Diretoria</t>
        </is>
      </c>
      <c r="I79" s="29" t="inlineStr">
        <is>
          <t>Banco Santander</t>
        </is>
      </c>
      <c r="J79" s="29" t="inlineStr">
        <is>
          <t>Financiamento de Veículo — parcela 1/48 (juros)</t>
        </is>
      </c>
      <c r="K79" s="14" t="inlineStr">
        <is>
          <t>VEI-2026-0088-P01</t>
        </is>
      </c>
      <c r="L79" s="29" t="inlineStr">
        <is>
          <t>Itaú Unibanco — C/C 45678-9</t>
        </is>
      </c>
      <c r="M79" s="14" t="inlineStr">
        <is>
          <t>Débito automático</t>
        </is>
      </c>
      <c r="N79" s="29" t="n"/>
      <c r="O79" s="13" t="n">
        <v>1</v>
      </c>
      <c r="P79" s="13" t="n">
        <v>48</v>
      </c>
      <c r="Q79" s="35" t="n">
        <v>1000</v>
      </c>
      <c r="R79" s="35" t="n">
        <v>1000</v>
      </c>
      <c r="S79" s="35" t="n"/>
      <c r="T79" s="35" t="n"/>
      <c r="U79" s="35" t="n"/>
      <c r="V79" s="18">
        <f>IF(COUNTA($B79:$R79)=0,"",ROUND(N($R79)+N($S79)+N($T79)-N($U79),2))</f>
        <v/>
      </c>
      <c r="W79" s="18">
        <f>IF(COUNTA($B79:$R79)=0,"",IF(OR($X79="Pago",$X79="Recebido",$X79="Cancelado"),0,ROUND(N($Q79)+N($S79)+N($T79)-N($U79)-N($R79),2)))</f>
        <v/>
      </c>
      <c r="X79" s="14" t="inlineStr">
        <is>
          <t>Pago</t>
        </is>
      </c>
      <c r="Y79" s="17">
        <f>IF(COUNTA($B79:$R79)=0,"",IF($X79="Cancelado","Cancelado",IF(OR($X79="Pago",$X79="Recebido"),$X79,IF(OR($X79="Parcial",N($R79)&gt;0),"Parcial",IF($C79="","Sem vencimento",IF($C79&lt;TODAY(),"Vencido",IF($C79=TODAY(),"Vence hoje",IF($C79&lt;=TODAY()+7,"Vence em 7 dias",IF($C79&lt;=TODAY()+30,"Vence em 30 dias","Futuro")))))))))</f>
        <v/>
      </c>
      <c r="Z79" s="24">
        <f>IF($B79="","",MONTH($B79))</f>
        <v/>
      </c>
      <c r="AA79" s="24">
        <f>IF($B79="","",YEAR($B79))</f>
        <v/>
      </c>
      <c r="AB79" s="24">
        <f>IF($B79="","",ISOWEEKNUM($B79))</f>
        <v/>
      </c>
      <c r="AC79" s="17">
        <f>IF($B79="","",CHOOSE(WEEKDAY($B79,2),"Segunda","Terça","Quarta","Quinta","Sexta","Sábado","Domingo"))</f>
        <v/>
      </c>
      <c r="AD79" s="17">
        <f>IF($B79="","",TEXT($B79,"MM/AAAA"))</f>
        <v/>
      </c>
      <c r="AE79" s="18">
        <f>IF(COUNTA($B79:$R79)=0,"",IF($X79="Cancelado",0,ROUND(N($Q79)+N($S79)+N($T79)-N($U79),2)))</f>
        <v/>
      </c>
      <c r="AF79" s="9">
        <f>IF($G79="","",IFERROR(INDEX(LINHAS_DRE_PLANO,MATCH($G79,SUBCATEGORIAS_PLANO,0)),"Não classificado"))</f>
        <v/>
      </c>
      <c r="AG79" s="17">
        <f>IF($G79="","",IFERROR(INDEX(TIPOS_FLUXO_PLANO,MATCH($G79,SUBCATEGORIAS_PLANO,0)),"Não classificado"))</f>
        <v/>
      </c>
      <c r="AH79" s="9">
        <f>IF($G79="","",IFERROR(INDEX(GRUPOS_PLANO,MATCH($G79,SUBCATEGORIAS_PLANO,0)),"Não classificado"))</f>
        <v/>
      </c>
      <c r="AI79" s="24">
        <f>IF(OR($C79="",$X79="Pago",$X79="Recebido",$X79="Cancelado"),"",$C79-TODAY())</f>
        <v/>
      </c>
      <c r="AJ79" s="24">
        <f>IF(OR($C79="",$X79="Pago",$X79="Recebido",$X79="Cancelado"),0,MAX(0,TODAY()-$C79))</f>
        <v/>
      </c>
      <c r="AK79" s="24">
        <f>IF($D79="","",$D79-$B79)</f>
        <v/>
      </c>
      <c r="AL79" s="18">
        <f>IF(OR($D79="",$B79=""),"",ROUND(N($R79)*($D79-$B79),2))</f>
        <v/>
      </c>
      <c r="AM79" s="17">
        <f>IF(AND($E79="Saída",$W79&gt;0,$C79&lt;&gt;""),$C79+ROW()/1000000,"")</f>
        <v/>
      </c>
      <c r="AN79" s="17">
        <f>IF(AND($E79="Entrada",$W79&gt;0,$C79&lt;&gt;""),$C79+ROW()/1000000,"")</f>
        <v/>
      </c>
      <c r="AO79" s="9">
        <f>IF(COUNTA($B79:$R79)=0,"",IF(AND($I79&lt;&gt;"",COUNTIF(CLIENTES_NOMES,$I79)+COUNTIF(CLIENTES_FANTASIA,$I79)+COUNTIF(FORNECEDORES_NOMES,$I79)+COUNTIF(FORNECEDORES_FANTASIA,$I79)=0),"⚠ Cliente/Fornecedor não cadastrado",IF(AND($G79&lt;&gt;"",COUNTIF(SUBCATEGORIAS_PLANO,$G79)=0),"⚠ Subcategoria fora do plano de contas",IF(OR($Q79="",N($Q79)=0),"⚠ Valor previsto não informado",IF(AND(OR($X79="Pago",$X79="Recebido"),$D79=""),"⚠ Status pago/recebido sem data",IF(AND($D79&lt;&gt;"",N($R79)=0),"⚠ Data de pagamento sem valor realizado",IF(AND(N($P79)&gt;1,N($O79)&gt;N($P79)),"⚠ Nº da parcela maior que o total",IF(AND($C79&lt;&gt;"",$B79&lt;&gt;"",$C79&lt;$B79),"⚠ Vencimento anterior à competência","OK"))))))))</f>
        <v/>
      </c>
    </row>
    <row r="80">
      <c r="A80" s="14" t="inlineStr">
        <is>
          <t>L0075</t>
        </is>
      </c>
      <c r="B80" s="36" t="n">
        <v>46075</v>
      </c>
      <c r="C80" s="36" t="n">
        <v>46105</v>
      </c>
      <c r="D80" s="36" t="n">
        <v>46105</v>
      </c>
      <c r="E80" s="14" t="inlineStr">
        <is>
          <t>Entrada</t>
        </is>
      </c>
      <c r="F80" s="29" t="inlineStr">
        <is>
          <t>Vendas</t>
        </is>
      </c>
      <c r="G80" s="29" t="inlineStr">
        <is>
          <t>Vendas de Serviços</t>
        </is>
      </c>
      <c r="H80" s="29" t="inlineStr">
        <is>
          <t>Comercial</t>
        </is>
      </c>
      <c r="I80" s="29" t="inlineStr">
        <is>
          <t>MERCADO BOA COMPRA LTDA</t>
        </is>
      </c>
      <c r="J80" s="29" t="inlineStr">
        <is>
          <t>Serviços de logística, montagem e reposição</t>
        </is>
      </c>
      <c r="K80" s="14" t="inlineStr">
        <is>
          <t>RPS 3013</t>
        </is>
      </c>
      <c r="L80" s="29" t="inlineStr">
        <is>
          <t>Banco do Brasil — C/C 12345-6</t>
        </is>
      </c>
      <c r="M80" s="14" t="inlineStr">
        <is>
          <t>Boleto</t>
        </is>
      </c>
      <c r="N80" s="29" t="n"/>
      <c r="O80" s="13" t="n">
        <v>1</v>
      </c>
      <c r="P80" s="13" t="n">
        <v>1</v>
      </c>
      <c r="Q80" s="35" t="n">
        <v>10909.03</v>
      </c>
      <c r="R80" s="35" t="n">
        <v>10909.03</v>
      </c>
      <c r="S80" s="35" t="n"/>
      <c r="T80" s="35" t="n"/>
      <c r="U80" s="35" t="n"/>
      <c r="V80" s="18">
        <f>IF(COUNTA($B80:$R80)=0,"",ROUND(N($R80)+N($S80)+N($T80)-N($U80),2))</f>
        <v/>
      </c>
      <c r="W80" s="18">
        <f>IF(COUNTA($B80:$R80)=0,"",IF(OR($X80="Pago",$X80="Recebido",$X80="Cancelado"),0,ROUND(N($Q80)+N($S80)+N($T80)-N($U80)-N($R80),2)))</f>
        <v/>
      </c>
      <c r="X80" s="14" t="inlineStr">
        <is>
          <t>Pago</t>
        </is>
      </c>
      <c r="Y80" s="17">
        <f>IF(COUNTA($B80:$R80)=0,"",IF($X80="Cancelado","Cancelado",IF(OR($X80="Pago",$X80="Recebido"),$X80,IF(OR($X80="Parcial",N($R80)&gt;0),"Parcial",IF($C80="","Sem vencimento",IF($C80&lt;TODAY(),"Vencido",IF($C80=TODAY(),"Vence hoje",IF($C80&lt;=TODAY()+7,"Vence em 7 dias",IF($C80&lt;=TODAY()+30,"Vence em 30 dias","Futuro")))))))))</f>
        <v/>
      </c>
      <c r="Z80" s="24">
        <f>IF($B80="","",MONTH($B80))</f>
        <v/>
      </c>
      <c r="AA80" s="24">
        <f>IF($B80="","",YEAR($B80))</f>
        <v/>
      </c>
      <c r="AB80" s="24">
        <f>IF($B80="","",ISOWEEKNUM($B80))</f>
        <v/>
      </c>
      <c r="AC80" s="17">
        <f>IF($B80="","",CHOOSE(WEEKDAY($B80,2),"Segunda","Terça","Quarta","Quinta","Sexta","Sábado","Domingo"))</f>
        <v/>
      </c>
      <c r="AD80" s="17">
        <f>IF($B80="","",TEXT($B80,"MM/AAAA"))</f>
        <v/>
      </c>
      <c r="AE80" s="18">
        <f>IF(COUNTA($B80:$R80)=0,"",IF($X80="Cancelado",0,ROUND(N($Q80)+N($S80)+N($T80)-N($U80),2)))</f>
        <v/>
      </c>
      <c r="AF80" s="9">
        <f>IF($G80="","",IFERROR(INDEX(LINHAS_DRE_PLANO,MATCH($G80,SUBCATEGORIAS_PLANO,0)),"Não classificado"))</f>
        <v/>
      </c>
      <c r="AG80" s="17">
        <f>IF($G80="","",IFERROR(INDEX(TIPOS_FLUXO_PLANO,MATCH($G80,SUBCATEGORIAS_PLANO,0)),"Não classificado"))</f>
        <v/>
      </c>
      <c r="AH80" s="9">
        <f>IF($G80="","",IFERROR(INDEX(GRUPOS_PLANO,MATCH($G80,SUBCATEGORIAS_PLANO,0)),"Não classificado"))</f>
        <v/>
      </c>
      <c r="AI80" s="24">
        <f>IF(OR($C80="",$X80="Pago",$X80="Recebido",$X80="Cancelado"),"",$C80-TODAY())</f>
        <v/>
      </c>
      <c r="AJ80" s="24">
        <f>IF(OR($C80="",$X80="Pago",$X80="Recebido",$X80="Cancelado"),0,MAX(0,TODAY()-$C80))</f>
        <v/>
      </c>
      <c r="AK80" s="24">
        <f>IF($D80="","",$D80-$B80)</f>
        <v/>
      </c>
      <c r="AL80" s="18">
        <f>IF(OR($D80="",$B80=""),"",ROUND(N($R80)*($D80-$B80),2))</f>
        <v/>
      </c>
      <c r="AM80" s="17">
        <f>IF(AND($E80="Saída",$W80&gt;0,$C80&lt;&gt;""),$C80+ROW()/1000000,"")</f>
        <v/>
      </c>
      <c r="AN80" s="17">
        <f>IF(AND($E80="Entrada",$W80&gt;0,$C80&lt;&gt;""),$C80+ROW()/1000000,"")</f>
        <v/>
      </c>
      <c r="AO80" s="9">
        <f>IF(COUNTA($B80:$R80)=0,"",IF(AND($I80&lt;&gt;"",COUNTIF(CLIENTES_NOMES,$I80)+COUNTIF(CLIENTES_FANTASIA,$I80)+COUNTIF(FORNECEDORES_NOMES,$I80)+COUNTIF(FORNECEDORES_FANTASIA,$I80)=0),"⚠ Cliente/Fornecedor não cadastrado",IF(AND($G80&lt;&gt;"",COUNTIF(SUBCATEGORIAS_PLANO,$G80)=0),"⚠ Subcategoria fora do plano de contas",IF(OR($Q80="",N($Q80)=0),"⚠ Valor previsto não informado",IF(AND(OR($X80="Pago",$X80="Recebido"),$D80=""),"⚠ Status pago/recebido sem data",IF(AND($D80&lt;&gt;"",N($R80)=0),"⚠ Data de pagamento sem valor realizado",IF(AND(N($P80)&gt;1,N($O80)&gt;N($P80)),"⚠ Nº da parcela maior que o total",IF(AND($C80&lt;&gt;"",$B80&lt;&gt;"",$C80&lt;$B80),"⚠ Vencimento anterior à competência","OK"))))))))</f>
        <v/>
      </c>
    </row>
    <row r="81">
      <c r="A81" s="14" t="inlineStr">
        <is>
          <t>L0076</t>
        </is>
      </c>
      <c r="B81" s="36" t="n">
        <v>46075</v>
      </c>
      <c r="C81" s="36" t="n">
        <v>46090</v>
      </c>
      <c r="D81" s="36" t="n">
        <v>46093</v>
      </c>
      <c r="E81" s="14" t="inlineStr">
        <is>
          <t>Entrada</t>
        </is>
      </c>
      <c r="F81" s="29" t="inlineStr">
        <is>
          <t>Vendas</t>
        </is>
      </c>
      <c r="G81" s="29" t="inlineStr">
        <is>
          <t>Vendas de Serviços</t>
        </is>
      </c>
      <c r="H81" s="29" t="inlineStr">
        <is>
          <t>Comercial</t>
        </is>
      </c>
      <c r="I81" s="29" t="inlineStr">
        <is>
          <t>RESTAURANTE SABOR CASEIRO LTDA</t>
        </is>
      </c>
      <c r="J81" s="29" t="inlineStr">
        <is>
          <t>Serviços de logística, montagem e reposição</t>
        </is>
      </c>
      <c r="K81" s="14" t="inlineStr">
        <is>
          <t>RPS 3017</t>
        </is>
      </c>
      <c r="L81" s="29" t="inlineStr">
        <is>
          <t>Itaú Unibanco — C/C 45678-9</t>
        </is>
      </c>
      <c r="M81" s="14" t="inlineStr">
        <is>
          <t>Boleto</t>
        </is>
      </c>
      <c r="N81" s="29" t="n"/>
      <c r="O81" s="13" t="n">
        <v>1</v>
      </c>
      <c r="P81" s="13" t="n">
        <v>1</v>
      </c>
      <c r="Q81" s="35" t="n">
        <v>6516.77</v>
      </c>
      <c r="R81" s="35" t="n">
        <v>6516.77</v>
      </c>
      <c r="S81" s="35" t="n"/>
      <c r="T81" s="35" t="n"/>
      <c r="U81" s="35" t="n"/>
      <c r="V81" s="18">
        <f>IF(COUNTA($B81:$R81)=0,"",ROUND(N($R81)+N($S81)+N($T81)-N($U81),2))</f>
        <v/>
      </c>
      <c r="W81" s="18">
        <f>IF(COUNTA($B81:$R81)=0,"",IF(OR($X81="Pago",$X81="Recebido",$X81="Cancelado"),0,ROUND(N($Q81)+N($S81)+N($T81)-N($U81)-N($R81),2)))</f>
        <v/>
      </c>
      <c r="X81" s="14" t="inlineStr">
        <is>
          <t>Pago</t>
        </is>
      </c>
      <c r="Y81" s="17">
        <f>IF(COUNTA($B81:$R81)=0,"",IF($X81="Cancelado","Cancelado",IF(OR($X81="Pago",$X81="Recebido"),$X81,IF(OR($X81="Parcial",N($R81)&gt;0),"Parcial",IF($C81="","Sem vencimento",IF($C81&lt;TODAY(),"Vencido",IF($C81=TODAY(),"Vence hoje",IF($C81&lt;=TODAY()+7,"Vence em 7 dias",IF($C81&lt;=TODAY()+30,"Vence em 30 dias","Futuro")))))))))</f>
        <v/>
      </c>
      <c r="Z81" s="24">
        <f>IF($B81="","",MONTH($B81))</f>
        <v/>
      </c>
      <c r="AA81" s="24">
        <f>IF($B81="","",YEAR($B81))</f>
        <v/>
      </c>
      <c r="AB81" s="24">
        <f>IF($B81="","",ISOWEEKNUM($B81))</f>
        <v/>
      </c>
      <c r="AC81" s="17">
        <f>IF($B81="","",CHOOSE(WEEKDAY($B81,2),"Segunda","Terça","Quarta","Quinta","Sexta","Sábado","Domingo"))</f>
        <v/>
      </c>
      <c r="AD81" s="17">
        <f>IF($B81="","",TEXT($B81,"MM/AAAA"))</f>
        <v/>
      </c>
      <c r="AE81" s="18">
        <f>IF(COUNTA($B81:$R81)=0,"",IF($X81="Cancelado",0,ROUND(N($Q81)+N($S81)+N($T81)-N($U81),2)))</f>
        <v/>
      </c>
      <c r="AF81" s="9">
        <f>IF($G81="","",IFERROR(INDEX(LINHAS_DRE_PLANO,MATCH($G81,SUBCATEGORIAS_PLANO,0)),"Não classificado"))</f>
        <v/>
      </c>
      <c r="AG81" s="17">
        <f>IF($G81="","",IFERROR(INDEX(TIPOS_FLUXO_PLANO,MATCH($G81,SUBCATEGORIAS_PLANO,0)),"Não classificado"))</f>
        <v/>
      </c>
      <c r="AH81" s="9">
        <f>IF($G81="","",IFERROR(INDEX(GRUPOS_PLANO,MATCH($G81,SUBCATEGORIAS_PLANO,0)),"Não classificado"))</f>
        <v/>
      </c>
      <c r="AI81" s="24">
        <f>IF(OR($C81="",$X81="Pago",$X81="Recebido",$X81="Cancelado"),"",$C81-TODAY())</f>
        <v/>
      </c>
      <c r="AJ81" s="24">
        <f>IF(OR($C81="",$X81="Pago",$X81="Recebido",$X81="Cancelado"),0,MAX(0,TODAY()-$C81))</f>
        <v/>
      </c>
      <c r="AK81" s="24">
        <f>IF($D81="","",$D81-$B81)</f>
        <v/>
      </c>
      <c r="AL81" s="18">
        <f>IF(OR($D81="",$B81=""),"",ROUND(N($R81)*($D81-$B81),2))</f>
        <v/>
      </c>
      <c r="AM81" s="17">
        <f>IF(AND($E81="Saída",$W81&gt;0,$C81&lt;&gt;""),$C81+ROW()/1000000,"")</f>
        <v/>
      </c>
      <c r="AN81" s="17">
        <f>IF(AND($E81="Entrada",$W81&gt;0,$C81&lt;&gt;""),$C81+ROW()/1000000,"")</f>
        <v/>
      </c>
      <c r="AO81" s="9">
        <f>IF(COUNTA($B81:$R81)=0,"",IF(AND($I81&lt;&gt;"",COUNTIF(CLIENTES_NOMES,$I81)+COUNTIF(CLIENTES_FANTASIA,$I81)+COUNTIF(FORNECEDORES_NOMES,$I81)+COUNTIF(FORNECEDORES_FANTASIA,$I81)=0),"⚠ Cliente/Fornecedor não cadastrado",IF(AND($G81&lt;&gt;"",COUNTIF(SUBCATEGORIAS_PLANO,$G81)=0),"⚠ Subcategoria fora do plano de contas",IF(OR($Q81="",N($Q81)=0),"⚠ Valor previsto não informado",IF(AND(OR($X81="Pago",$X81="Recebido"),$D81=""),"⚠ Status pago/recebido sem data",IF(AND($D81&lt;&gt;"",N($R81)=0),"⚠ Data de pagamento sem valor realizado",IF(AND(N($P81)&gt;1,N($O81)&gt;N($P81)),"⚠ Nº da parcela maior que o total",IF(AND($C81&lt;&gt;"",$B81&lt;&gt;"",$C81&lt;$B81),"⚠ Vencimento anterior à competência","OK"))))))))</f>
        <v/>
      </c>
    </row>
    <row r="82">
      <c r="A82" s="14" t="inlineStr">
        <is>
          <t>L0077</t>
        </is>
      </c>
      <c r="B82" s="36" t="n">
        <v>46075</v>
      </c>
      <c r="C82" s="36" t="n">
        <v>46097</v>
      </c>
      <c r="D82" s="36" t="n">
        <v>46097</v>
      </c>
      <c r="E82" s="14" t="inlineStr">
        <is>
          <t>Entrada</t>
        </is>
      </c>
      <c r="F82" s="29" t="inlineStr">
        <is>
          <t>Vendas</t>
        </is>
      </c>
      <c r="G82" s="29" t="inlineStr">
        <is>
          <t>Vendas de Serviços</t>
        </is>
      </c>
      <c r="H82" s="29" t="inlineStr">
        <is>
          <t>Comercial</t>
        </is>
      </c>
      <c r="I82" s="29" t="inlineStr">
        <is>
          <t>EMPÓRIO NATURAL COMÉRCIO LTDA</t>
        </is>
      </c>
      <c r="J82" s="29" t="inlineStr">
        <is>
          <t>Serviços de logística, montagem e reposição</t>
        </is>
      </c>
      <c r="K82" s="14" t="inlineStr">
        <is>
          <t>RPS 3023</t>
        </is>
      </c>
      <c r="L82" s="29" t="inlineStr">
        <is>
          <t>Itaú Unibanco — C/C 45678-9</t>
        </is>
      </c>
      <c r="M82" s="14" t="inlineStr">
        <is>
          <t>Boleto</t>
        </is>
      </c>
      <c r="N82" s="29" t="n"/>
      <c r="O82" s="13" t="n">
        <v>1</v>
      </c>
      <c r="P82" s="13" t="n">
        <v>1</v>
      </c>
      <c r="Q82" s="35" t="n">
        <v>13729.45</v>
      </c>
      <c r="R82" s="35" t="n">
        <v>13729.45</v>
      </c>
      <c r="S82" s="35" t="n"/>
      <c r="T82" s="35" t="n"/>
      <c r="U82" s="35" t="n"/>
      <c r="V82" s="18">
        <f>IF(COUNTA($B82:$R82)=0,"",ROUND(N($R82)+N($S82)+N($T82)-N($U82),2))</f>
        <v/>
      </c>
      <c r="W82" s="18">
        <f>IF(COUNTA($B82:$R82)=0,"",IF(OR($X82="Pago",$X82="Recebido",$X82="Cancelado"),0,ROUND(N($Q82)+N($S82)+N($T82)-N($U82)-N($R82),2)))</f>
        <v/>
      </c>
      <c r="X82" s="14" t="inlineStr">
        <is>
          <t>Pago</t>
        </is>
      </c>
      <c r="Y82" s="17">
        <f>IF(COUNTA($B82:$R82)=0,"",IF($X82="Cancelado","Cancelado",IF(OR($X82="Pago",$X82="Recebido"),$X82,IF(OR($X82="Parcial",N($R82)&gt;0),"Parcial",IF($C82="","Sem vencimento",IF($C82&lt;TODAY(),"Vencido",IF($C82=TODAY(),"Vence hoje",IF($C82&lt;=TODAY()+7,"Vence em 7 dias",IF($C82&lt;=TODAY()+30,"Vence em 30 dias","Futuro")))))))))</f>
        <v/>
      </c>
      <c r="Z82" s="24">
        <f>IF($B82="","",MONTH($B82))</f>
        <v/>
      </c>
      <c r="AA82" s="24">
        <f>IF($B82="","",YEAR($B82))</f>
        <v/>
      </c>
      <c r="AB82" s="24">
        <f>IF($B82="","",ISOWEEKNUM($B82))</f>
        <v/>
      </c>
      <c r="AC82" s="17">
        <f>IF($B82="","",CHOOSE(WEEKDAY($B82,2),"Segunda","Terça","Quarta","Quinta","Sexta","Sábado","Domingo"))</f>
        <v/>
      </c>
      <c r="AD82" s="17">
        <f>IF($B82="","",TEXT($B82,"MM/AAAA"))</f>
        <v/>
      </c>
      <c r="AE82" s="18">
        <f>IF(COUNTA($B82:$R82)=0,"",IF($X82="Cancelado",0,ROUND(N($Q82)+N($S82)+N($T82)-N($U82),2)))</f>
        <v/>
      </c>
      <c r="AF82" s="9">
        <f>IF($G82="","",IFERROR(INDEX(LINHAS_DRE_PLANO,MATCH($G82,SUBCATEGORIAS_PLANO,0)),"Não classificado"))</f>
        <v/>
      </c>
      <c r="AG82" s="17">
        <f>IF($G82="","",IFERROR(INDEX(TIPOS_FLUXO_PLANO,MATCH($G82,SUBCATEGORIAS_PLANO,0)),"Não classificado"))</f>
        <v/>
      </c>
      <c r="AH82" s="9">
        <f>IF($G82="","",IFERROR(INDEX(GRUPOS_PLANO,MATCH($G82,SUBCATEGORIAS_PLANO,0)),"Não classificado"))</f>
        <v/>
      </c>
      <c r="AI82" s="24">
        <f>IF(OR($C82="",$X82="Pago",$X82="Recebido",$X82="Cancelado"),"",$C82-TODAY())</f>
        <v/>
      </c>
      <c r="AJ82" s="24">
        <f>IF(OR($C82="",$X82="Pago",$X82="Recebido",$X82="Cancelado"),0,MAX(0,TODAY()-$C82))</f>
        <v/>
      </c>
      <c r="AK82" s="24">
        <f>IF($D82="","",$D82-$B82)</f>
        <v/>
      </c>
      <c r="AL82" s="18">
        <f>IF(OR($D82="",$B82=""),"",ROUND(N($R82)*($D82-$B82),2))</f>
        <v/>
      </c>
      <c r="AM82" s="17">
        <f>IF(AND($E82="Saída",$W82&gt;0,$C82&lt;&gt;""),$C82+ROW()/1000000,"")</f>
        <v/>
      </c>
      <c r="AN82" s="17">
        <f>IF(AND($E82="Entrada",$W82&gt;0,$C82&lt;&gt;""),$C82+ROW()/1000000,"")</f>
        <v/>
      </c>
      <c r="AO82" s="9">
        <f>IF(COUNTA($B82:$R82)=0,"",IF(AND($I82&lt;&gt;"",COUNTIF(CLIENTES_NOMES,$I82)+COUNTIF(CLIENTES_FANTASIA,$I82)+COUNTIF(FORNECEDORES_NOMES,$I82)+COUNTIF(FORNECEDORES_FANTASIA,$I82)=0),"⚠ Cliente/Fornecedor não cadastrado",IF(AND($G82&lt;&gt;"",COUNTIF(SUBCATEGORIAS_PLANO,$G82)=0),"⚠ Subcategoria fora do plano de contas",IF(OR($Q82="",N($Q82)=0),"⚠ Valor previsto não informado",IF(AND(OR($X82="Pago",$X82="Recebido"),$D82=""),"⚠ Status pago/recebido sem data",IF(AND($D82&lt;&gt;"",N($R82)=0),"⚠ Data de pagamento sem valor realizado",IF(AND(N($P82)&gt;1,N($O82)&gt;N($P82)),"⚠ Nº da parcela maior que o total",IF(AND($C82&lt;&gt;"",$B82&lt;&gt;"",$C82&lt;$B82),"⚠ Vencimento anterior à competência","OK"))))))))</f>
        <v/>
      </c>
    </row>
    <row r="83">
      <c r="A83" s="14" t="inlineStr">
        <is>
          <t>L0078</t>
        </is>
      </c>
      <c r="B83" s="36" t="n">
        <v>46075</v>
      </c>
      <c r="C83" s="36" t="n">
        <v>46085</v>
      </c>
      <c r="D83" s="36" t="n">
        <v>46087</v>
      </c>
      <c r="E83" s="14" t="inlineStr">
        <is>
          <t>Saída</t>
        </is>
      </c>
      <c r="F83" s="29" t="inlineStr">
        <is>
          <t>Despesas Administrativas</t>
        </is>
      </c>
      <c r="G83" s="29" t="inlineStr">
        <is>
          <t>Manutenção e Conservação</t>
        </is>
      </c>
      <c r="H83" s="29" t="inlineStr">
        <is>
          <t>Administrativo</t>
        </is>
      </c>
      <c r="I83" s="29" t="inlineStr">
        <is>
          <t>MANUTENÇÃO PREDIAL EXPRESSA LTDA</t>
        </is>
      </c>
      <c r="J83" s="29" t="inlineStr">
        <is>
          <t>Manutenção predial, empilhadeira e frota</t>
        </is>
      </c>
      <c r="K83" s="14" t="inlineStr">
        <is>
          <t>DOC 8292</t>
        </is>
      </c>
      <c r="L83" s="29" t="inlineStr">
        <is>
          <t>Banco do Brasil — C/C 12345-6</t>
        </is>
      </c>
      <c r="M83" s="14" t="inlineStr">
        <is>
          <t>PIX</t>
        </is>
      </c>
      <c r="N83" s="29" t="n"/>
      <c r="O83" s="13" t="n">
        <v>1</v>
      </c>
      <c r="P83" s="13" t="n">
        <v>1</v>
      </c>
      <c r="Q83" s="35" t="n">
        <v>622.86</v>
      </c>
      <c r="R83" s="35" t="n">
        <v>622.86</v>
      </c>
      <c r="S83" s="35" t="n"/>
      <c r="T83" s="35" t="n"/>
      <c r="U83" s="35" t="n"/>
      <c r="V83" s="18">
        <f>IF(COUNTA($B83:$R83)=0,"",ROUND(N($R83)+N($S83)+N($T83)-N($U83),2))</f>
        <v/>
      </c>
      <c r="W83" s="18">
        <f>IF(COUNTA($B83:$R83)=0,"",IF(OR($X83="Pago",$X83="Recebido",$X83="Cancelado"),0,ROUND(N($Q83)+N($S83)+N($T83)-N($U83)-N($R83),2)))</f>
        <v/>
      </c>
      <c r="X83" s="14" t="inlineStr">
        <is>
          <t>Pago</t>
        </is>
      </c>
      <c r="Y83" s="17">
        <f>IF(COUNTA($B83:$R83)=0,"",IF($X83="Cancelado","Cancelado",IF(OR($X83="Pago",$X83="Recebido"),$X83,IF(OR($X83="Parcial",N($R83)&gt;0),"Parcial",IF($C83="","Sem vencimento",IF($C83&lt;TODAY(),"Vencido",IF($C83=TODAY(),"Vence hoje",IF($C83&lt;=TODAY()+7,"Vence em 7 dias",IF($C83&lt;=TODAY()+30,"Vence em 30 dias","Futuro")))))))))</f>
        <v/>
      </c>
      <c r="Z83" s="24">
        <f>IF($B83="","",MONTH($B83))</f>
        <v/>
      </c>
      <c r="AA83" s="24">
        <f>IF($B83="","",YEAR($B83))</f>
        <v/>
      </c>
      <c r="AB83" s="24">
        <f>IF($B83="","",ISOWEEKNUM($B83))</f>
        <v/>
      </c>
      <c r="AC83" s="17">
        <f>IF($B83="","",CHOOSE(WEEKDAY($B83,2),"Segunda","Terça","Quarta","Quinta","Sexta","Sábado","Domingo"))</f>
        <v/>
      </c>
      <c r="AD83" s="17">
        <f>IF($B83="","",TEXT($B83,"MM/AAAA"))</f>
        <v/>
      </c>
      <c r="AE83" s="18">
        <f>IF(COUNTA($B83:$R83)=0,"",IF($X83="Cancelado",0,ROUND(N($Q83)+N($S83)+N($T83)-N($U83),2)))</f>
        <v/>
      </c>
      <c r="AF83" s="9">
        <f>IF($G83="","",IFERROR(INDEX(LINHAS_DRE_PLANO,MATCH($G83,SUBCATEGORIAS_PLANO,0)),"Não classificado"))</f>
        <v/>
      </c>
      <c r="AG83" s="17">
        <f>IF($G83="","",IFERROR(INDEX(TIPOS_FLUXO_PLANO,MATCH($G83,SUBCATEGORIAS_PLANO,0)),"Não classificado"))</f>
        <v/>
      </c>
      <c r="AH83" s="9">
        <f>IF($G83="","",IFERROR(INDEX(GRUPOS_PLANO,MATCH($G83,SUBCATEGORIAS_PLANO,0)),"Não classificado"))</f>
        <v/>
      </c>
      <c r="AI83" s="24">
        <f>IF(OR($C83="",$X83="Pago",$X83="Recebido",$X83="Cancelado"),"",$C83-TODAY())</f>
        <v/>
      </c>
      <c r="AJ83" s="24">
        <f>IF(OR($C83="",$X83="Pago",$X83="Recebido",$X83="Cancelado"),0,MAX(0,TODAY()-$C83))</f>
        <v/>
      </c>
      <c r="AK83" s="24">
        <f>IF($D83="","",$D83-$B83)</f>
        <v/>
      </c>
      <c r="AL83" s="18">
        <f>IF(OR($D83="",$B83=""),"",ROUND(N($R83)*($D83-$B83),2))</f>
        <v/>
      </c>
      <c r="AM83" s="17">
        <f>IF(AND($E83="Saída",$W83&gt;0,$C83&lt;&gt;""),$C83+ROW()/1000000,"")</f>
        <v/>
      </c>
      <c r="AN83" s="17">
        <f>IF(AND($E83="Entrada",$W83&gt;0,$C83&lt;&gt;""),$C83+ROW()/1000000,"")</f>
        <v/>
      </c>
      <c r="AO83" s="9">
        <f>IF(COUNTA($B83:$R83)=0,"",IF(AND($I83&lt;&gt;"",COUNTIF(CLIENTES_NOMES,$I83)+COUNTIF(CLIENTES_FANTASIA,$I83)+COUNTIF(FORNECEDORES_NOMES,$I83)+COUNTIF(FORNECEDORES_FANTASIA,$I83)=0),"⚠ Cliente/Fornecedor não cadastrado",IF(AND($G83&lt;&gt;"",COUNTIF(SUBCATEGORIAS_PLANO,$G83)=0),"⚠ Subcategoria fora do plano de contas",IF(OR($Q83="",N($Q83)=0),"⚠ Valor previsto não informado",IF(AND(OR($X83="Pago",$X83="Recebido"),$D83=""),"⚠ Status pago/recebido sem data",IF(AND($D83&lt;&gt;"",N($R83)=0),"⚠ Data de pagamento sem valor realizado",IF(AND(N($P83)&gt;1,N($O83)&gt;N($P83)),"⚠ Nº da parcela maior que o total",IF(AND($C83&lt;&gt;"",$B83&lt;&gt;"",$C83&lt;$B83),"⚠ Vencimento anterior à competência","OK"))))))))</f>
        <v/>
      </c>
    </row>
    <row r="84">
      <c r="A84" s="14" t="inlineStr">
        <is>
          <t>L0079</t>
        </is>
      </c>
      <c r="B84" s="36" t="n">
        <v>46077</v>
      </c>
      <c r="C84" s="36" t="n">
        <v>46086</v>
      </c>
      <c r="D84" s="36" t="n">
        <v>46086</v>
      </c>
      <c r="E84" s="14" t="inlineStr">
        <is>
          <t>Saída</t>
        </is>
      </c>
      <c r="F84" s="29" t="inlineStr">
        <is>
          <t>Despesas Comerciais</t>
        </is>
      </c>
      <c r="G84" s="29" t="inlineStr">
        <is>
          <t>Viagens Comerciais</t>
        </is>
      </c>
      <c r="H84" s="29" t="inlineStr">
        <is>
          <t>Comercial</t>
        </is>
      </c>
      <c r="I84" s="29" t="inlineStr">
        <is>
          <t>AGÊNCIA PULSO DIGITAL LTDA</t>
        </is>
      </c>
      <c r="J84" s="29" t="inlineStr">
        <is>
          <t>Viagens comerciais e visitas a clientes</t>
        </is>
      </c>
      <c r="K84" s="14" t="inlineStr">
        <is>
          <t>DOC 8293</t>
        </is>
      </c>
      <c r="L84" s="29" t="inlineStr">
        <is>
          <t>Itaú Unibanco — C/C 45678-9</t>
        </is>
      </c>
      <c r="M84" s="14" t="inlineStr">
        <is>
          <t>Cartão de crédito</t>
        </is>
      </c>
      <c r="N84" s="29" t="inlineStr">
        <is>
          <t>Cartão Visa Itaú Business</t>
        </is>
      </c>
      <c r="O84" s="13" t="n">
        <v>1</v>
      </c>
      <c r="P84" s="13" t="n">
        <v>1</v>
      </c>
      <c r="Q84" s="35" t="n">
        <v>1085.46</v>
      </c>
      <c r="R84" s="35" t="n">
        <v>1085.46</v>
      </c>
      <c r="S84" s="35" t="n"/>
      <c r="T84" s="35" t="n"/>
      <c r="U84" s="35" t="n"/>
      <c r="V84" s="18">
        <f>IF(COUNTA($B84:$R84)=0,"",ROUND(N($R84)+N($S84)+N($T84)-N($U84),2))</f>
        <v/>
      </c>
      <c r="W84" s="18">
        <f>IF(COUNTA($B84:$R84)=0,"",IF(OR($X84="Pago",$X84="Recebido",$X84="Cancelado"),0,ROUND(N($Q84)+N($S84)+N($T84)-N($U84)-N($R84),2)))</f>
        <v/>
      </c>
      <c r="X84" s="14" t="inlineStr">
        <is>
          <t>Pago</t>
        </is>
      </c>
      <c r="Y84" s="17">
        <f>IF(COUNTA($B84:$R84)=0,"",IF($X84="Cancelado","Cancelado",IF(OR($X84="Pago",$X84="Recebido"),$X84,IF(OR($X84="Parcial",N($R84)&gt;0),"Parcial",IF($C84="","Sem vencimento",IF($C84&lt;TODAY(),"Vencido",IF($C84=TODAY(),"Vence hoje",IF($C84&lt;=TODAY()+7,"Vence em 7 dias",IF($C84&lt;=TODAY()+30,"Vence em 30 dias","Futuro")))))))))</f>
        <v/>
      </c>
      <c r="Z84" s="24">
        <f>IF($B84="","",MONTH($B84))</f>
        <v/>
      </c>
      <c r="AA84" s="24">
        <f>IF($B84="","",YEAR($B84))</f>
        <v/>
      </c>
      <c r="AB84" s="24">
        <f>IF($B84="","",ISOWEEKNUM($B84))</f>
        <v/>
      </c>
      <c r="AC84" s="17">
        <f>IF($B84="","",CHOOSE(WEEKDAY($B84,2),"Segunda","Terça","Quarta","Quinta","Sexta","Sábado","Domingo"))</f>
        <v/>
      </c>
      <c r="AD84" s="17">
        <f>IF($B84="","",TEXT($B84,"MM/AAAA"))</f>
        <v/>
      </c>
      <c r="AE84" s="18">
        <f>IF(COUNTA($B84:$R84)=0,"",IF($X84="Cancelado",0,ROUND(N($Q84)+N($S84)+N($T84)-N($U84),2)))</f>
        <v/>
      </c>
      <c r="AF84" s="9">
        <f>IF($G84="","",IFERROR(INDEX(LINHAS_DRE_PLANO,MATCH($G84,SUBCATEGORIAS_PLANO,0)),"Não classificado"))</f>
        <v/>
      </c>
      <c r="AG84" s="17">
        <f>IF($G84="","",IFERROR(INDEX(TIPOS_FLUXO_PLANO,MATCH($G84,SUBCATEGORIAS_PLANO,0)),"Não classificado"))</f>
        <v/>
      </c>
      <c r="AH84" s="9">
        <f>IF($G84="","",IFERROR(INDEX(GRUPOS_PLANO,MATCH($G84,SUBCATEGORIAS_PLANO,0)),"Não classificado"))</f>
        <v/>
      </c>
      <c r="AI84" s="24">
        <f>IF(OR($C84="",$X84="Pago",$X84="Recebido",$X84="Cancelado"),"",$C84-TODAY())</f>
        <v/>
      </c>
      <c r="AJ84" s="24">
        <f>IF(OR($C84="",$X84="Pago",$X84="Recebido",$X84="Cancelado"),0,MAX(0,TODAY()-$C84))</f>
        <v/>
      </c>
      <c r="AK84" s="24">
        <f>IF($D84="","",$D84-$B84)</f>
        <v/>
      </c>
      <c r="AL84" s="18">
        <f>IF(OR($D84="",$B84=""),"",ROUND(N($R84)*($D84-$B84),2))</f>
        <v/>
      </c>
      <c r="AM84" s="17">
        <f>IF(AND($E84="Saída",$W84&gt;0,$C84&lt;&gt;""),$C84+ROW()/1000000,"")</f>
        <v/>
      </c>
      <c r="AN84" s="17">
        <f>IF(AND($E84="Entrada",$W84&gt;0,$C84&lt;&gt;""),$C84+ROW()/1000000,"")</f>
        <v/>
      </c>
      <c r="AO84" s="9">
        <f>IF(COUNTA($B84:$R84)=0,"",IF(AND($I84&lt;&gt;"",COUNTIF(CLIENTES_NOMES,$I84)+COUNTIF(CLIENTES_FANTASIA,$I84)+COUNTIF(FORNECEDORES_NOMES,$I84)+COUNTIF(FORNECEDORES_FANTASIA,$I84)=0),"⚠ Cliente/Fornecedor não cadastrado",IF(AND($G84&lt;&gt;"",COUNTIF(SUBCATEGORIAS_PLANO,$G84)=0),"⚠ Subcategoria fora do plano de contas",IF(OR($Q84="",N($Q84)=0),"⚠ Valor previsto não informado",IF(AND(OR($X84="Pago",$X84="Recebido"),$D84=""),"⚠ Status pago/recebido sem data",IF(AND($D84&lt;&gt;"",N($R84)=0),"⚠ Data de pagamento sem valor realizado",IF(AND(N($P84)&gt;1,N($O84)&gt;N($P84)),"⚠ Nº da parcela maior que o total",IF(AND($C84&lt;&gt;"",$B84&lt;&gt;"",$C84&lt;$B84),"⚠ Vencimento anterior à competência","OK"))))))))</f>
        <v/>
      </c>
    </row>
    <row r="85">
      <c r="A85" s="14" t="inlineStr">
        <is>
          <t>L0080</t>
        </is>
      </c>
      <c r="B85" s="36" t="n">
        <v>46078</v>
      </c>
      <c r="C85" s="36" t="n">
        <v>46093</v>
      </c>
      <c r="D85" s="36" t="n">
        <v>46095</v>
      </c>
      <c r="E85" s="14" t="inlineStr">
        <is>
          <t>Saída</t>
        </is>
      </c>
      <c r="F85" s="29" t="inlineStr">
        <is>
          <t>Custos Variáveis</t>
        </is>
      </c>
      <c r="G85" s="29" t="inlineStr">
        <is>
          <t>Fretes e Entregas sobre Vendas</t>
        </is>
      </c>
      <c r="H85" s="29" t="inlineStr">
        <is>
          <t>Logística</t>
        </is>
      </c>
      <c r="I85" s="29" t="inlineStr">
        <is>
          <t>TRANSPORTADORA RÁPIDA LOG LTDA</t>
        </is>
      </c>
      <c r="J85" s="29" t="inlineStr">
        <is>
          <t>Fretes de entrega — notas do período</t>
        </is>
      </c>
      <c r="K85" s="14" t="inlineStr">
        <is>
          <t>DOC 7170</t>
        </is>
      </c>
      <c r="L85" s="29" t="inlineStr">
        <is>
          <t>Itaú Unibanco — C/C 45678-9</t>
        </is>
      </c>
      <c r="M85" s="14" t="inlineStr">
        <is>
          <t>Boleto</t>
        </is>
      </c>
      <c r="N85" s="29" t="n"/>
      <c r="O85" s="13" t="n">
        <v>1</v>
      </c>
      <c r="P85" s="13" t="n">
        <v>1</v>
      </c>
      <c r="Q85" s="35" t="n">
        <v>3768.57</v>
      </c>
      <c r="R85" s="35" t="n">
        <v>3768.57</v>
      </c>
      <c r="S85" s="35" t="n"/>
      <c r="T85" s="35" t="n"/>
      <c r="U85" s="35" t="n"/>
      <c r="V85" s="18">
        <f>IF(COUNTA($B85:$R85)=0,"",ROUND(N($R85)+N($S85)+N($T85)-N($U85),2))</f>
        <v/>
      </c>
      <c r="W85" s="18">
        <f>IF(COUNTA($B85:$R85)=0,"",IF(OR($X85="Pago",$X85="Recebido",$X85="Cancelado"),0,ROUND(N($Q85)+N($S85)+N($T85)-N($U85)-N($R85),2)))</f>
        <v/>
      </c>
      <c r="X85" s="14" t="inlineStr">
        <is>
          <t>Pago</t>
        </is>
      </c>
      <c r="Y85" s="17">
        <f>IF(COUNTA($B85:$R85)=0,"",IF($X85="Cancelado","Cancelado",IF(OR($X85="Pago",$X85="Recebido"),$X85,IF(OR($X85="Parcial",N($R85)&gt;0),"Parcial",IF($C85="","Sem vencimento",IF($C85&lt;TODAY(),"Vencido",IF($C85=TODAY(),"Vence hoje",IF($C85&lt;=TODAY()+7,"Vence em 7 dias",IF($C85&lt;=TODAY()+30,"Vence em 30 dias","Futuro")))))))))</f>
        <v/>
      </c>
      <c r="Z85" s="24">
        <f>IF($B85="","",MONTH($B85))</f>
        <v/>
      </c>
      <c r="AA85" s="24">
        <f>IF($B85="","",YEAR($B85))</f>
        <v/>
      </c>
      <c r="AB85" s="24">
        <f>IF($B85="","",ISOWEEKNUM($B85))</f>
        <v/>
      </c>
      <c r="AC85" s="17">
        <f>IF($B85="","",CHOOSE(WEEKDAY($B85,2),"Segunda","Terça","Quarta","Quinta","Sexta","Sábado","Domingo"))</f>
        <v/>
      </c>
      <c r="AD85" s="17">
        <f>IF($B85="","",TEXT($B85,"MM/AAAA"))</f>
        <v/>
      </c>
      <c r="AE85" s="18">
        <f>IF(COUNTA($B85:$R85)=0,"",IF($X85="Cancelado",0,ROUND(N($Q85)+N($S85)+N($T85)-N($U85),2)))</f>
        <v/>
      </c>
      <c r="AF85" s="9">
        <f>IF($G85="","",IFERROR(INDEX(LINHAS_DRE_PLANO,MATCH($G85,SUBCATEGORIAS_PLANO,0)),"Não classificado"))</f>
        <v/>
      </c>
      <c r="AG85" s="17">
        <f>IF($G85="","",IFERROR(INDEX(TIPOS_FLUXO_PLANO,MATCH($G85,SUBCATEGORIAS_PLANO,0)),"Não classificado"))</f>
        <v/>
      </c>
      <c r="AH85" s="9">
        <f>IF($G85="","",IFERROR(INDEX(GRUPOS_PLANO,MATCH($G85,SUBCATEGORIAS_PLANO,0)),"Não classificado"))</f>
        <v/>
      </c>
      <c r="AI85" s="24">
        <f>IF(OR($C85="",$X85="Pago",$X85="Recebido",$X85="Cancelado"),"",$C85-TODAY())</f>
        <v/>
      </c>
      <c r="AJ85" s="24">
        <f>IF(OR($C85="",$X85="Pago",$X85="Recebido",$X85="Cancelado"),0,MAX(0,TODAY()-$C85))</f>
        <v/>
      </c>
      <c r="AK85" s="24">
        <f>IF($D85="","",$D85-$B85)</f>
        <v/>
      </c>
      <c r="AL85" s="18">
        <f>IF(OR($D85="",$B85=""),"",ROUND(N($R85)*($D85-$B85),2))</f>
        <v/>
      </c>
      <c r="AM85" s="17">
        <f>IF(AND($E85="Saída",$W85&gt;0,$C85&lt;&gt;""),$C85+ROW()/1000000,"")</f>
        <v/>
      </c>
      <c r="AN85" s="17">
        <f>IF(AND($E85="Entrada",$W85&gt;0,$C85&lt;&gt;""),$C85+ROW()/1000000,"")</f>
        <v/>
      </c>
      <c r="AO85" s="9">
        <f>IF(COUNTA($B85:$R85)=0,"",IF(AND($I85&lt;&gt;"",COUNTIF(CLIENTES_NOMES,$I85)+COUNTIF(CLIENTES_FANTASIA,$I85)+COUNTIF(FORNECEDORES_NOMES,$I85)+COUNTIF(FORNECEDORES_FANTASIA,$I85)=0),"⚠ Cliente/Fornecedor não cadastrado",IF(AND($G85&lt;&gt;"",COUNTIF(SUBCATEGORIAS_PLANO,$G85)=0),"⚠ Subcategoria fora do plano de contas",IF(OR($Q85="",N($Q85)=0),"⚠ Valor previsto não informado",IF(AND(OR($X85="Pago",$X85="Recebido"),$D85=""),"⚠ Status pago/recebido sem data",IF(AND($D85&lt;&gt;"",N($R85)=0),"⚠ Data de pagamento sem valor realizado",IF(AND(N($P85)&gt;1,N($O85)&gt;N($P85)),"⚠ Nº da parcela maior que o total",IF(AND($C85&lt;&gt;"",$B85&lt;&gt;"",$C85&lt;$B85),"⚠ Vencimento anterior à competência","OK"))))))))</f>
        <v/>
      </c>
    </row>
    <row r="86">
      <c r="A86" s="14" t="inlineStr">
        <is>
          <t>L0081</t>
        </is>
      </c>
      <c r="B86" s="36" t="n">
        <v>46079</v>
      </c>
      <c r="C86" s="36" t="n">
        <v>46079</v>
      </c>
      <c r="D86" s="36" t="n">
        <v>46082</v>
      </c>
      <c r="E86" s="14" t="inlineStr">
        <is>
          <t>Saída</t>
        </is>
      </c>
      <c r="F86" s="29" t="inlineStr">
        <is>
          <t>Despesas Administrativas</t>
        </is>
      </c>
      <c r="G86" s="29" t="inlineStr">
        <is>
          <t>Outras Despesas Administrativas</t>
        </is>
      </c>
      <c r="H86" s="29" t="inlineStr">
        <is>
          <t>Administrativo</t>
        </is>
      </c>
      <c r="I86" s="29" t="inlineStr">
        <is>
          <t>MANUTENÇÃO PREDIAL EXPRESSA LTDA</t>
        </is>
      </c>
      <c r="J86" s="29" t="inlineStr">
        <is>
          <t>Despesas administrativas diversas</t>
        </is>
      </c>
      <c r="K86" s="14" t="inlineStr">
        <is>
          <t>DOC 8294</t>
        </is>
      </c>
      <c r="L86" s="29" t="inlineStr">
        <is>
          <t>Banco do Brasil — C/C 12345-6</t>
        </is>
      </c>
      <c r="M86" s="14" t="inlineStr">
        <is>
          <t>PIX</t>
        </is>
      </c>
      <c r="N86" s="29" t="n"/>
      <c r="O86" s="13" t="n">
        <v>1</v>
      </c>
      <c r="P86" s="13" t="n">
        <v>1</v>
      </c>
      <c r="Q86" s="35" t="n">
        <v>546.38</v>
      </c>
      <c r="R86" s="35" t="n">
        <v>546.38</v>
      </c>
      <c r="S86" s="35" t="n"/>
      <c r="T86" s="35" t="n"/>
      <c r="U86" s="35" t="n"/>
      <c r="V86" s="18">
        <f>IF(COUNTA($B86:$R86)=0,"",ROUND(N($R86)+N($S86)+N($T86)-N($U86),2))</f>
        <v/>
      </c>
      <c r="W86" s="18">
        <f>IF(COUNTA($B86:$R86)=0,"",IF(OR($X86="Pago",$X86="Recebido",$X86="Cancelado"),0,ROUND(N($Q86)+N($S86)+N($T86)-N($U86)-N($R86),2)))</f>
        <v/>
      </c>
      <c r="X86" s="14" t="inlineStr">
        <is>
          <t>Pago</t>
        </is>
      </c>
      <c r="Y86" s="17">
        <f>IF(COUNTA($B86:$R86)=0,"",IF($X86="Cancelado","Cancelado",IF(OR($X86="Pago",$X86="Recebido"),$X86,IF(OR($X86="Parcial",N($R86)&gt;0),"Parcial",IF($C86="","Sem vencimento",IF($C86&lt;TODAY(),"Vencido",IF($C86=TODAY(),"Vence hoje",IF($C86&lt;=TODAY()+7,"Vence em 7 dias",IF($C86&lt;=TODAY()+30,"Vence em 30 dias","Futuro")))))))))</f>
        <v/>
      </c>
      <c r="Z86" s="24">
        <f>IF($B86="","",MONTH($B86))</f>
        <v/>
      </c>
      <c r="AA86" s="24">
        <f>IF($B86="","",YEAR($B86))</f>
        <v/>
      </c>
      <c r="AB86" s="24">
        <f>IF($B86="","",ISOWEEKNUM($B86))</f>
        <v/>
      </c>
      <c r="AC86" s="17">
        <f>IF($B86="","",CHOOSE(WEEKDAY($B86,2),"Segunda","Terça","Quarta","Quinta","Sexta","Sábado","Domingo"))</f>
        <v/>
      </c>
      <c r="AD86" s="17">
        <f>IF($B86="","",TEXT($B86,"MM/AAAA"))</f>
        <v/>
      </c>
      <c r="AE86" s="18">
        <f>IF(COUNTA($B86:$R86)=0,"",IF($X86="Cancelado",0,ROUND(N($Q86)+N($S86)+N($T86)-N($U86),2)))</f>
        <v/>
      </c>
      <c r="AF86" s="9">
        <f>IF($G86="","",IFERROR(INDEX(LINHAS_DRE_PLANO,MATCH($G86,SUBCATEGORIAS_PLANO,0)),"Não classificado"))</f>
        <v/>
      </c>
      <c r="AG86" s="17">
        <f>IF($G86="","",IFERROR(INDEX(TIPOS_FLUXO_PLANO,MATCH($G86,SUBCATEGORIAS_PLANO,0)),"Não classificado"))</f>
        <v/>
      </c>
      <c r="AH86" s="9">
        <f>IF($G86="","",IFERROR(INDEX(GRUPOS_PLANO,MATCH($G86,SUBCATEGORIAS_PLANO,0)),"Não classificado"))</f>
        <v/>
      </c>
      <c r="AI86" s="24">
        <f>IF(OR($C86="",$X86="Pago",$X86="Recebido",$X86="Cancelado"),"",$C86-TODAY())</f>
        <v/>
      </c>
      <c r="AJ86" s="24">
        <f>IF(OR($C86="",$X86="Pago",$X86="Recebido",$X86="Cancelado"),0,MAX(0,TODAY()-$C86))</f>
        <v/>
      </c>
      <c r="AK86" s="24">
        <f>IF($D86="","",$D86-$B86)</f>
        <v/>
      </c>
      <c r="AL86" s="18">
        <f>IF(OR($D86="",$B86=""),"",ROUND(N($R86)*($D86-$B86),2))</f>
        <v/>
      </c>
      <c r="AM86" s="17">
        <f>IF(AND($E86="Saída",$W86&gt;0,$C86&lt;&gt;""),$C86+ROW()/1000000,"")</f>
        <v/>
      </c>
      <c r="AN86" s="17">
        <f>IF(AND($E86="Entrada",$W86&gt;0,$C86&lt;&gt;""),$C86+ROW()/1000000,"")</f>
        <v/>
      </c>
      <c r="AO86" s="9">
        <f>IF(COUNTA($B86:$R86)=0,"",IF(AND($I86&lt;&gt;"",COUNTIF(CLIENTES_NOMES,$I86)+COUNTIF(CLIENTES_FANTASIA,$I86)+COUNTIF(FORNECEDORES_NOMES,$I86)+COUNTIF(FORNECEDORES_FANTASIA,$I86)=0),"⚠ Cliente/Fornecedor não cadastrado",IF(AND($G86&lt;&gt;"",COUNTIF(SUBCATEGORIAS_PLANO,$G86)=0),"⚠ Subcategoria fora do plano de contas",IF(OR($Q86="",N($Q86)=0),"⚠ Valor previsto não informado",IF(AND(OR($X86="Pago",$X86="Recebido"),$D86=""),"⚠ Status pago/recebido sem data",IF(AND($D86&lt;&gt;"",N($R86)=0),"⚠ Data de pagamento sem valor realizado",IF(AND(N($P86)&gt;1,N($O86)&gt;N($P86)),"⚠ Nº da parcela maior que o total",IF(AND($C86&lt;&gt;"",$B86&lt;&gt;"",$C86&lt;$B86),"⚠ Vencimento anterior à competência","OK"))))))))</f>
        <v/>
      </c>
    </row>
    <row r="87">
      <c r="A87" s="14" t="inlineStr">
        <is>
          <t>L0082</t>
        </is>
      </c>
      <c r="B87" s="36" t="n">
        <v>46081</v>
      </c>
      <c r="C87" s="36" t="n">
        <v>46081</v>
      </c>
      <c r="D87" s="36" t="n">
        <v>46081</v>
      </c>
      <c r="E87" s="14" t="inlineStr">
        <is>
          <t>Entrada</t>
        </is>
      </c>
      <c r="F87" s="29" t="inlineStr">
        <is>
          <t>Receitas Financeiras</t>
        </is>
      </c>
      <c r="G87" s="29" t="inlineStr">
        <is>
          <t>Rendimentos de Aplicações Financeiras</t>
        </is>
      </c>
      <c r="H87" s="29" t="inlineStr">
        <is>
          <t>Financeiro</t>
        </is>
      </c>
      <c r="I87" s="29" t="inlineStr">
        <is>
          <t>Itaú Unibanco</t>
        </is>
      </c>
      <c r="J87" s="29" t="inlineStr">
        <is>
          <t>Rendimento de aplicação financeira — 02/2026</t>
        </is>
      </c>
      <c r="K87" s="14" t="inlineStr">
        <is>
          <t>REND-APL</t>
        </is>
      </c>
      <c r="L87" s="29" t="inlineStr">
        <is>
          <t>Itaú Unibanco — C/C 45678-9</t>
        </is>
      </c>
      <c r="M87" s="14" t="inlineStr">
        <is>
          <t>Transferência</t>
        </is>
      </c>
      <c r="N87" s="29" t="n"/>
      <c r="O87" s="13" t="n">
        <v>1</v>
      </c>
      <c r="P87" s="13" t="n">
        <v>1</v>
      </c>
      <c r="Q87" s="35" t="n">
        <v>623.5700000000001</v>
      </c>
      <c r="R87" s="35" t="n">
        <v>623.5700000000001</v>
      </c>
      <c r="S87" s="35" t="n"/>
      <c r="T87" s="35" t="n"/>
      <c r="U87" s="35" t="n"/>
      <c r="V87" s="18">
        <f>IF(COUNTA($B87:$R87)=0,"",ROUND(N($R87)+N($S87)+N($T87)-N($U87),2))</f>
        <v/>
      </c>
      <c r="W87" s="18">
        <f>IF(COUNTA($B87:$R87)=0,"",IF(OR($X87="Pago",$X87="Recebido",$X87="Cancelado"),0,ROUND(N($Q87)+N($S87)+N($T87)-N($U87)-N($R87),2)))</f>
        <v/>
      </c>
      <c r="X87" s="14" t="inlineStr">
        <is>
          <t>Recebido</t>
        </is>
      </c>
      <c r="Y87" s="17">
        <f>IF(COUNTA($B87:$R87)=0,"",IF($X87="Cancelado","Cancelado",IF(OR($X87="Pago",$X87="Recebido"),$X87,IF(OR($X87="Parcial",N($R87)&gt;0),"Parcial",IF($C87="","Sem vencimento",IF($C87&lt;TODAY(),"Vencido",IF($C87=TODAY(),"Vence hoje",IF($C87&lt;=TODAY()+7,"Vence em 7 dias",IF($C87&lt;=TODAY()+30,"Vence em 30 dias","Futuro")))))))))</f>
        <v/>
      </c>
      <c r="Z87" s="24">
        <f>IF($B87="","",MONTH($B87))</f>
        <v/>
      </c>
      <c r="AA87" s="24">
        <f>IF($B87="","",YEAR($B87))</f>
        <v/>
      </c>
      <c r="AB87" s="24">
        <f>IF($B87="","",ISOWEEKNUM($B87))</f>
        <v/>
      </c>
      <c r="AC87" s="17">
        <f>IF($B87="","",CHOOSE(WEEKDAY($B87,2),"Segunda","Terça","Quarta","Quinta","Sexta","Sábado","Domingo"))</f>
        <v/>
      </c>
      <c r="AD87" s="17">
        <f>IF($B87="","",TEXT($B87,"MM/AAAA"))</f>
        <v/>
      </c>
      <c r="AE87" s="18">
        <f>IF(COUNTA($B87:$R87)=0,"",IF($X87="Cancelado",0,ROUND(N($Q87)+N($S87)+N($T87)-N($U87),2)))</f>
        <v/>
      </c>
      <c r="AF87" s="9">
        <f>IF($G87="","",IFERROR(INDEX(LINHAS_DRE_PLANO,MATCH($G87,SUBCATEGORIAS_PLANO,0)),"Não classificado"))</f>
        <v/>
      </c>
      <c r="AG87" s="17">
        <f>IF($G87="","",IFERROR(INDEX(TIPOS_FLUXO_PLANO,MATCH($G87,SUBCATEGORIAS_PLANO,0)),"Não classificado"))</f>
        <v/>
      </c>
      <c r="AH87" s="9">
        <f>IF($G87="","",IFERROR(INDEX(GRUPOS_PLANO,MATCH($G87,SUBCATEGORIAS_PLANO,0)),"Não classificado"))</f>
        <v/>
      </c>
      <c r="AI87" s="24">
        <f>IF(OR($C87="",$X87="Pago",$X87="Recebido",$X87="Cancelado"),"",$C87-TODAY())</f>
        <v/>
      </c>
      <c r="AJ87" s="24">
        <f>IF(OR($C87="",$X87="Pago",$X87="Recebido",$X87="Cancelado"),0,MAX(0,TODAY()-$C87))</f>
        <v/>
      </c>
      <c r="AK87" s="24">
        <f>IF($D87="","",$D87-$B87)</f>
        <v/>
      </c>
      <c r="AL87" s="18">
        <f>IF(OR($D87="",$B87=""),"",ROUND(N($R87)*($D87-$B87),2))</f>
        <v/>
      </c>
      <c r="AM87" s="17">
        <f>IF(AND($E87="Saída",$W87&gt;0,$C87&lt;&gt;""),$C87+ROW()/1000000,"")</f>
        <v/>
      </c>
      <c r="AN87" s="17">
        <f>IF(AND($E87="Entrada",$W87&gt;0,$C87&lt;&gt;""),$C87+ROW()/1000000,"")</f>
        <v/>
      </c>
      <c r="AO87" s="9">
        <f>IF(COUNTA($B87:$R87)=0,"",IF(AND($I87&lt;&gt;"",COUNTIF(CLIENTES_NOMES,$I87)+COUNTIF(CLIENTES_FANTASIA,$I87)+COUNTIF(FORNECEDORES_NOMES,$I87)+COUNTIF(FORNECEDORES_FANTASIA,$I87)=0),"⚠ Cliente/Fornecedor não cadastrado",IF(AND($G87&lt;&gt;"",COUNTIF(SUBCATEGORIAS_PLANO,$G87)=0),"⚠ Subcategoria fora do plano de contas",IF(OR($Q87="",N($Q87)=0),"⚠ Valor previsto não informado",IF(AND(OR($X87="Pago",$X87="Recebido"),$D87=""),"⚠ Status pago/recebido sem data",IF(AND($D87&lt;&gt;"",N($R87)=0),"⚠ Data de pagamento sem valor realizado",IF(AND(N($P87)&gt;1,N($O87)&gt;N($P87)),"⚠ Nº da parcela maior que o total",IF(AND($C87&lt;&gt;"",$B87&lt;&gt;"",$C87&lt;$B87),"⚠ Vencimento anterior à competência","OK"))))))))</f>
        <v/>
      </c>
    </row>
    <row r="88">
      <c r="A88" s="14" t="inlineStr">
        <is>
          <t>L0083</t>
        </is>
      </c>
      <c r="B88" s="36" t="n">
        <v>46081</v>
      </c>
      <c r="C88" s="36" t="n">
        <v>46086</v>
      </c>
      <c r="D88" s="36" t="n">
        <v>46089</v>
      </c>
      <c r="E88" s="14" t="inlineStr">
        <is>
          <t>Saída</t>
        </is>
      </c>
      <c r="F88" s="29" t="inlineStr">
        <is>
          <t>Custos Variáveis</t>
        </is>
      </c>
      <c r="G88" s="29" t="inlineStr">
        <is>
          <t>Comissões sobre Vendas</t>
        </is>
      </c>
      <c r="H88" s="29" t="inlineStr">
        <is>
          <t>Comercial</t>
        </is>
      </c>
      <c r="I88" s="29" t="inlineStr">
        <is>
          <t>EQUIPE COMERCIAL — COMISSÕES</t>
        </is>
      </c>
      <c r="J88" s="29" t="inlineStr">
        <is>
          <t>Comissões sobre vendas do período</t>
        </is>
      </c>
      <c r="K88" s="14" t="inlineStr">
        <is>
          <t>DOC 7171</t>
        </is>
      </c>
      <c r="L88" s="29" t="inlineStr">
        <is>
          <t>Banco do Brasil — C/C 12345-6</t>
        </is>
      </c>
      <c r="M88" s="14" t="inlineStr">
        <is>
          <t>Transferência</t>
        </is>
      </c>
      <c r="N88" s="29" t="n"/>
      <c r="O88" s="13" t="n">
        <v>1</v>
      </c>
      <c r="P88" s="13" t="n">
        <v>1</v>
      </c>
      <c r="Q88" s="35" t="n">
        <v>3006.9</v>
      </c>
      <c r="R88" s="35" t="n">
        <v>3006.9</v>
      </c>
      <c r="S88" s="35" t="n"/>
      <c r="T88" s="35" t="n"/>
      <c r="U88" s="35" t="n"/>
      <c r="V88" s="18">
        <f>IF(COUNTA($B88:$R88)=0,"",ROUND(N($R88)+N($S88)+N($T88)-N($U88),2))</f>
        <v/>
      </c>
      <c r="W88" s="18">
        <f>IF(COUNTA($B88:$R88)=0,"",IF(OR($X88="Pago",$X88="Recebido",$X88="Cancelado"),0,ROUND(N($Q88)+N($S88)+N($T88)-N($U88)-N($R88),2)))</f>
        <v/>
      </c>
      <c r="X88" s="14" t="inlineStr">
        <is>
          <t>Pago</t>
        </is>
      </c>
      <c r="Y88" s="17">
        <f>IF(COUNTA($B88:$R88)=0,"",IF($X88="Cancelado","Cancelado",IF(OR($X88="Pago",$X88="Recebido"),$X88,IF(OR($X88="Parcial",N($R88)&gt;0),"Parcial",IF($C88="","Sem vencimento",IF($C88&lt;TODAY(),"Vencido",IF($C88=TODAY(),"Vence hoje",IF($C88&lt;=TODAY()+7,"Vence em 7 dias",IF($C88&lt;=TODAY()+30,"Vence em 30 dias","Futuro")))))))))</f>
        <v/>
      </c>
      <c r="Z88" s="24">
        <f>IF($B88="","",MONTH($B88))</f>
        <v/>
      </c>
      <c r="AA88" s="24">
        <f>IF($B88="","",YEAR($B88))</f>
        <v/>
      </c>
      <c r="AB88" s="24">
        <f>IF($B88="","",ISOWEEKNUM($B88))</f>
        <v/>
      </c>
      <c r="AC88" s="17">
        <f>IF($B88="","",CHOOSE(WEEKDAY($B88,2),"Segunda","Terça","Quarta","Quinta","Sexta","Sábado","Domingo"))</f>
        <v/>
      </c>
      <c r="AD88" s="17">
        <f>IF($B88="","",TEXT($B88,"MM/AAAA"))</f>
        <v/>
      </c>
      <c r="AE88" s="18">
        <f>IF(COUNTA($B88:$R88)=0,"",IF($X88="Cancelado",0,ROUND(N($Q88)+N($S88)+N($T88)-N($U88),2)))</f>
        <v/>
      </c>
      <c r="AF88" s="9">
        <f>IF($G88="","",IFERROR(INDEX(LINHAS_DRE_PLANO,MATCH($G88,SUBCATEGORIAS_PLANO,0)),"Não classificado"))</f>
        <v/>
      </c>
      <c r="AG88" s="17">
        <f>IF($G88="","",IFERROR(INDEX(TIPOS_FLUXO_PLANO,MATCH($G88,SUBCATEGORIAS_PLANO,0)),"Não classificado"))</f>
        <v/>
      </c>
      <c r="AH88" s="9">
        <f>IF($G88="","",IFERROR(INDEX(GRUPOS_PLANO,MATCH($G88,SUBCATEGORIAS_PLANO,0)),"Não classificado"))</f>
        <v/>
      </c>
      <c r="AI88" s="24">
        <f>IF(OR($C88="",$X88="Pago",$X88="Recebido",$X88="Cancelado"),"",$C88-TODAY())</f>
        <v/>
      </c>
      <c r="AJ88" s="24">
        <f>IF(OR($C88="",$X88="Pago",$X88="Recebido",$X88="Cancelado"),0,MAX(0,TODAY()-$C88))</f>
        <v/>
      </c>
      <c r="AK88" s="24">
        <f>IF($D88="","",$D88-$B88)</f>
        <v/>
      </c>
      <c r="AL88" s="18">
        <f>IF(OR($D88="",$B88=""),"",ROUND(N($R88)*($D88-$B88),2))</f>
        <v/>
      </c>
      <c r="AM88" s="17">
        <f>IF(AND($E88="Saída",$W88&gt;0,$C88&lt;&gt;""),$C88+ROW()/1000000,"")</f>
        <v/>
      </c>
      <c r="AN88" s="17">
        <f>IF(AND($E88="Entrada",$W88&gt;0,$C88&lt;&gt;""),$C88+ROW()/1000000,"")</f>
        <v/>
      </c>
      <c r="AO88" s="9">
        <f>IF(COUNTA($B88:$R88)=0,"",IF(AND($I88&lt;&gt;"",COUNTIF(CLIENTES_NOMES,$I88)+COUNTIF(CLIENTES_FANTASIA,$I88)+COUNTIF(FORNECEDORES_NOMES,$I88)+COUNTIF(FORNECEDORES_FANTASIA,$I88)=0),"⚠ Cliente/Fornecedor não cadastrado",IF(AND($G88&lt;&gt;"",COUNTIF(SUBCATEGORIAS_PLANO,$G88)=0),"⚠ Subcategoria fora do plano de contas",IF(OR($Q88="",N($Q88)=0),"⚠ Valor previsto não informado",IF(AND(OR($X88="Pago",$X88="Recebido"),$D88=""),"⚠ Status pago/recebido sem data",IF(AND($D88&lt;&gt;"",N($R88)=0),"⚠ Data de pagamento sem valor realizado",IF(AND(N($P88)&gt;1,N($O88)&gt;N($P88)),"⚠ Nº da parcela maior que o total",IF(AND($C88&lt;&gt;"",$B88&lt;&gt;"",$C88&lt;$B88),"⚠ Vencimento anterior à competência","OK"))))))))</f>
        <v/>
      </c>
    </row>
    <row r="89">
      <c r="A89" s="14" t="inlineStr">
        <is>
          <t>L0084</t>
        </is>
      </c>
      <c r="B89" s="36" t="n">
        <v>46081</v>
      </c>
      <c r="C89" s="36" t="n">
        <v>46091</v>
      </c>
      <c r="D89" s="36" t="n">
        <v>46094</v>
      </c>
      <c r="E89" s="14" t="inlineStr">
        <is>
          <t>Saída</t>
        </is>
      </c>
      <c r="F89" s="29" t="inlineStr">
        <is>
          <t>Custos Variáveis</t>
        </is>
      </c>
      <c r="G89" s="29" t="inlineStr">
        <is>
          <t>Taxas de Marketplace</t>
        </is>
      </c>
      <c r="H89" s="29" t="inlineStr">
        <is>
          <t>Comercial</t>
        </is>
      </c>
      <c r="I89" s="29" t="inlineStr">
        <is>
          <t>MARKETPLACE FOODB2B LTDA</t>
        </is>
      </c>
      <c r="J89" s="29" t="inlineStr">
        <is>
          <t>Taxas de intermediação do marketplace</t>
        </is>
      </c>
      <c r="K89" s="14" t="inlineStr">
        <is>
          <t>DOC 7172</t>
        </is>
      </c>
      <c r="L89" s="29" t="inlineStr">
        <is>
          <t>Itaú Unibanco — C/C 45678-9</t>
        </is>
      </c>
      <c r="M89" s="14" t="inlineStr">
        <is>
          <t>PIX</t>
        </is>
      </c>
      <c r="N89" s="29" t="n"/>
      <c r="O89" s="13" t="n">
        <v>1</v>
      </c>
      <c r="P89" s="13" t="n">
        <v>1</v>
      </c>
      <c r="Q89" s="35" t="n">
        <v>1509.62</v>
      </c>
      <c r="R89" s="35" t="n">
        <v>1509.62</v>
      </c>
      <c r="S89" s="35" t="n"/>
      <c r="T89" s="35" t="n"/>
      <c r="U89" s="35" t="n"/>
      <c r="V89" s="18">
        <f>IF(COUNTA($B89:$R89)=0,"",ROUND(N($R89)+N($S89)+N($T89)-N($U89),2))</f>
        <v/>
      </c>
      <c r="W89" s="18">
        <f>IF(COUNTA($B89:$R89)=0,"",IF(OR($X89="Pago",$X89="Recebido",$X89="Cancelado"),0,ROUND(N($Q89)+N($S89)+N($T89)-N($U89)-N($R89),2)))</f>
        <v/>
      </c>
      <c r="X89" s="14" t="inlineStr">
        <is>
          <t>Pago</t>
        </is>
      </c>
      <c r="Y89" s="17">
        <f>IF(COUNTA($B89:$R89)=0,"",IF($X89="Cancelado","Cancelado",IF(OR($X89="Pago",$X89="Recebido"),$X89,IF(OR($X89="Parcial",N($R89)&gt;0),"Parcial",IF($C89="","Sem vencimento",IF($C89&lt;TODAY(),"Vencido",IF($C89=TODAY(),"Vence hoje",IF($C89&lt;=TODAY()+7,"Vence em 7 dias",IF($C89&lt;=TODAY()+30,"Vence em 30 dias","Futuro")))))))))</f>
        <v/>
      </c>
      <c r="Z89" s="24">
        <f>IF($B89="","",MONTH($B89))</f>
        <v/>
      </c>
      <c r="AA89" s="24">
        <f>IF($B89="","",YEAR($B89))</f>
        <v/>
      </c>
      <c r="AB89" s="24">
        <f>IF($B89="","",ISOWEEKNUM($B89))</f>
        <v/>
      </c>
      <c r="AC89" s="17">
        <f>IF($B89="","",CHOOSE(WEEKDAY($B89,2),"Segunda","Terça","Quarta","Quinta","Sexta","Sábado","Domingo"))</f>
        <v/>
      </c>
      <c r="AD89" s="17">
        <f>IF($B89="","",TEXT($B89,"MM/AAAA"))</f>
        <v/>
      </c>
      <c r="AE89" s="18">
        <f>IF(COUNTA($B89:$R89)=0,"",IF($X89="Cancelado",0,ROUND(N($Q89)+N($S89)+N($T89)-N($U89),2)))</f>
        <v/>
      </c>
      <c r="AF89" s="9">
        <f>IF($G89="","",IFERROR(INDEX(LINHAS_DRE_PLANO,MATCH($G89,SUBCATEGORIAS_PLANO,0)),"Não classificado"))</f>
        <v/>
      </c>
      <c r="AG89" s="17">
        <f>IF($G89="","",IFERROR(INDEX(TIPOS_FLUXO_PLANO,MATCH($G89,SUBCATEGORIAS_PLANO,0)),"Não classificado"))</f>
        <v/>
      </c>
      <c r="AH89" s="9">
        <f>IF($G89="","",IFERROR(INDEX(GRUPOS_PLANO,MATCH($G89,SUBCATEGORIAS_PLANO,0)),"Não classificado"))</f>
        <v/>
      </c>
      <c r="AI89" s="24">
        <f>IF(OR($C89="",$X89="Pago",$X89="Recebido",$X89="Cancelado"),"",$C89-TODAY())</f>
        <v/>
      </c>
      <c r="AJ89" s="24">
        <f>IF(OR($C89="",$X89="Pago",$X89="Recebido",$X89="Cancelado"),0,MAX(0,TODAY()-$C89))</f>
        <v/>
      </c>
      <c r="AK89" s="24">
        <f>IF($D89="","",$D89-$B89)</f>
        <v/>
      </c>
      <c r="AL89" s="18">
        <f>IF(OR($D89="",$B89=""),"",ROUND(N($R89)*($D89-$B89),2))</f>
        <v/>
      </c>
      <c r="AM89" s="17">
        <f>IF(AND($E89="Saída",$W89&gt;0,$C89&lt;&gt;""),$C89+ROW()/1000000,"")</f>
        <v/>
      </c>
      <c r="AN89" s="17">
        <f>IF(AND($E89="Entrada",$W89&gt;0,$C89&lt;&gt;""),$C89+ROW()/1000000,"")</f>
        <v/>
      </c>
      <c r="AO89" s="9">
        <f>IF(COUNTA($B89:$R89)=0,"",IF(AND($I89&lt;&gt;"",COUNTIF(CLIENTES_NOMES,$I89)+COUNTIF(CLIENTES_FANTASIA,$I89)+COUNTIF(FORNECEDORES_NOMES,$I89)+COUNTIF(FORNECEDORES_FANTASIA,$I89)=0),"⚠ Cliente/Fornecedor não cadastrado",IF(AND($G89&lt;&gt;"",COUNTIF(SUBCATEGORIAS_PLANO,$G89)=0),"⚠ Subcategoria fora do plano de contas",IF(OR($Q89="",N($Q89)=0),"⚠ Valor previsto não informado",IF(AND(OR($X89="Pago",$X89="Recebido"),$D89=""),"⚠ Status pago/recebido sem data",IF(AND($D89&lt;&gt;"",N($R89)=0),"⚠ Data de pagamento sem valor realizado",IF(AND(N($P89)&gt;1,N($O89)&gt;N($P89)),"⚠ Nº da parcela maior que o total",IF(AND($C89&lt;&gt;"",$B89&lt;&gt;"",$C89&lt;$B89),"⚠ Vencimento anterior à competência","OK"))))))))</f>
        <v/>
      </c>
    </row>
    <row r="90">
      <c r="A90" s="14" t="inlineStr">
        <is>
          <t>L0085</t>
        </is>
      </c>
      <c r="B90" s="36" t="n">
        <v>46081</v>
      </c>
      <c r="C90" s="36" t="n">
        <v>46086</v>
      </c>
      <c r="D90" s="36" t="n">
        <v>46089</v>
      </c>
      <c r="E90" s="14" t="inlineStr">
        <is>
          <t>Saída</t>
        </is>
      </c>
      <c r="F90" s="29" t="inlineStr">
        <is>
          <t>Custos Variáveis</t>
        </is>
      </c>
      <c r="G90" s="29" t="inlineStr">
        <is>
          <t>Taxas de Cartão e Maquininha</t>
        </is>
      </c>
      <c r="H90" s="29" t="inlineStr">
        <is>
          <t>Financeiro</t>
        </is>
      </c>
      <c r="I90" s="29" t="inlineStr">
        <is>
          <t>CIELO S.A. — INSTITUIÇÃO DE PAGAMENTO</t>
        </is>
      </c>
      <c r="J90" s="29" t="inlineStr">
        <is>
          <t>Taxas de cartão e antecipação de recebíveis</t>
        </is>
      </c>
      <c r="K90" s="14" t="inlineStr">
        <is>
          <t>DOC 7173</t>
        </is>
      </c>
      <c r="L90" s="29" t="inlineStr">
        <is>
          <t>Banco do Brasil — C/C 12345-6</t>
        </is>
      </c>
      <c r="M90" s="14" t="inlineStr">
        <is>
          <t>Transferência</t>
        </is>
      </c>
      <c r="N90" s="29" t="n"/>
      <c r="O90" s="13" t="n">
        <v>1</v>
      </c>
      <c r="P90" s="13" t="n">
        <v>1</v>
      </c>
      <c r="Q90" s="35" t="n">
        <v>2339.45</v>
      </c>
      <c r="R90" s="35" t="n">
        <v>2339.45</v>
      </c>
      <c r="S90" s="35" t="n"/>
      <c r="T90" s="35" t="n"/>
      <c r="U90" s="35" t="n"/>
      <c r="V90" s="18">
        <f>IF(COUNTA($B90:$R90)=0,"",ROUND(N($R90)+N($S90)+N($T90)-N($U90),2))</f>
        <v/>
      </c>
      <c r="W90" s="18">
        <f>IF(COUNTA($B90:$R90)=0,"",IF(OR($X90="Pago",$X90="Recebido",$X90="Cancelado"),0,ROUND(N($Q90)+N($S90)+N($T90)-N($U90)-N($R90),2)))</f>
        <v/>
      </c>
      <c r="X90" s="14" t="inlineStr">
        <is>
          <t>Pago</t>
        </is>
      </c>
      <c r="Y90" s="17">
        <f>IF(COUNTA($B90:$R90)=0,"",IF($X90="Cancelado","Cancelado",IF(OR($X90="Pago",$X90="Recebido"),$X90,IF(OR($X90="Parcial",N($R90)&gt;0),"Parcial",IF($C90="","Sem vencimento",IF($C90&lt;TODAY(),"Vencido",IF($C90=TODAY(),"Vence hoje",IF($C90&lt;=TODAY()+7,"Vence em 7 dias",IF($C90&lt;=TODAY()+30,"Vence em 30 dias","Futuro")))))))))</f>
        <v/>
      </c>
      <c r="Z90" s="24">
        <f>IF($B90="","",MONTH($B90))</f>
        <v/>
      </c>
      <c r="AA90" s="24">
        <f>IF($B90="","",YEAR($B90))</f>
        <v/>
      </c>
      <c r="AB90" s="24">
        <f>IF($B90="","",ISOWEEKNUM($B90))</f>
        <v/>
      </c>
      <c r="AC90" s="17">
        <f>IF($B90="","",CHOOSE(WEEKDAY($B90,2),"Segunda","Terça","Quarta","Quinta","Sexta","Sábado","Domingo"))</f>
        <v/>
      </c>
      <c r="AD90" s="17">
        <f>IF($B90="","",TEXT($B90,"MM/AAAA"))</f>
        <v/>
      </c>
      <c r="AE90" s="18">
        <f>IF(COUNTA($B90:$R90)=0,"",IF($X90="Cancelado",0,ROUND(N($Q90)+N($S90)+N($T90)-N($U90),2)))</f>
        <v/>
      </c>
      <c r="AF90" s="9">
        <f>IF($G90="","",IFERROR(INDEX(LINHAS_DRE_PLANO,MATCH($G90,SUBCATEGORIAS_PLANO,0)),"Não classificado"))</f>
        <v/>
      </c>
      <c r="AG90" s="17">
        <f>IF($G90="","",IFERROR(INDEX(TIPOS_FLUXO_PLANO,MATCH($G90,SUBCATEGORIAS_PLANO,0)),"Não classificado"))</f>
        <v/>
      </c>
      <c r="AH90" s="9">
        <f>IF($G90="","",IFERROR(INDEX(GRUPOS_PLANO,MATCH($G90,SUBCATEGORIAS_PLANO,0)),"Não classificado"))</f>
        <v/>
      </c>
      <c r="AI90" s="24">
        <f>IF(OR($C90="",$X90="Pago",$X90="Recebido",$X90="Cancelado"),"",$C90-TODAY())</f>
        <v/>
      </c>
      <c r="AJ90" s="24">
        <f>IF(OR($C90="",$X90="Pago",$X90="Recebido",$X90="Cancelado"),0,MAX(0,TODAY()-$C90))</f>
        <v/>
      </c>
      <c r="AK90" s="24">
        <f>IF($D90="","",$D90-$B90)</f>
        <v/>
      </c>
      <c r="AL90" s="18">
        <f>IF(OR($D90="",$B90=""),"",ROUND(N($R90)*($D90-$B90),2))</f>
        <v/>
      </c>
      <c r="AM90" s="17">
        <f>IF(AND($E90="Saída",$W90&gt;0,$C90&lt;&gt;""),$C90+ROW()/1000000,"")</f>
        <v/>
      </c>
      <c r="AN90" s="17">
        <f>IF(AND($E90="Entrada",$W90&gt;0,$C90&lt;&gt;""),$C90+ROW()/1000000,"")</f>
        <v/>
      </c>
      <c r="AO90" s="9">
        <f>IF(COUNTA($B90:$R90)=0,"",IF(AND($I90&lt;&gt;"",COUNTIF(CLIENTES_NOMES,$I90)+COUNTIF(CLIENTES_FANTASIA,$I90)+COUNTIF(FORNECEDORES_NOMES,$I90)+COUNTIF(FORNECEDORES_FANTASIA,$I90)=0),"⚠ Cliente/Fornecedor não cadastrado",IF(AND($G90&lt;&gt;"",COUNTIF(SUBCATEGORIAS_PLANO,$G90)=0),"⚠ Subcategoria fora do plano de contas",IF(OR($Q90="",N($Q90)=0),"⚠ Valor previsto não informado",IF(AND(OR($X90="Pago",$X90="Recebido"),$D90=""),"⚠ Status pago/recebido sem data",IF(AND($D90&lt;&gt;"",N($R90)=0),"⚠ Data de pagamento sem valor realizado",IF(AND(N($P90)&gt;1,N($O90)&gt;N($P90)),"⚠ Nº da parcela maior que o total",IF(AND($C90&lt;&gt;"",$B90&lt;&gt;"",$C90&lt;$B90),"⚠ Vencimento anterior à competência","OK"))))))))</f>
        <v/>
      </c>
    </row>
    <row r="91">
      <c r="A91" s="14" t="inlineStr">
        <is>
          <t>L0086</t>
        </is>
      </c>
      <c r="B91" s="36" t="n">
        <v>46081</v>
      </c>
      <c r="C91" s="36" t="n">
        <v>46081</v>
      </c>
      <c r="D91" s="36" t="n">
        <v>46083</v>
      </c>
      <c r="E91" s="14" t="inlineStr">
        <is>
          <t>Saída</t>
        </is>
      </c>
      <c r="F91" s="29" t="inlineStr">
        <is>
          <t>Despesas Financeiras</t>
        </is>
      </c>
      <c r="G91" s="29" t="inlineStr">
        <is>
          <t>Tarifas Bancárias</t>
        </is>
      </c>
      <c r="H91" s="29" t="inlineStr">
        <is>
          <t>Financeiro</t>
        </is>
      </c>
      <c r="I91" s="29" t="inlineStr">
        <is>
          <t>CONTABILIDADE AURORA ASSESSORIA CONTÁBIL LTDA</t>
        </is>
      </c>
      <c r="J91" s="29" t="inlineStr">
        <is>
          <t>Tarifas e pacote de serviços bancários</t>
        </is>
      </c>
      <c r="K91" s="14" t="inlineStr">
        <is>
          <t>DOC 8295</t>
        </is>
      </c>
      <c r="L91" s="29" t="inlineStr">
        <is>
          <t>Itaú Unibanco — C/C 45678-9</t>
        </is>
      </c>
      <c r="M91" s="14" t="inlineStr">
        <is>
          <t>Transferência</t>
        </is>
      </c>
      <c r="N91" s="29" t="n"/>
      <c r="O91" s="13" t="n">
        <v>1</v>
      </c>
      <c r="P91" s="13" t="n">
        <v>1</v>
      </c>
      <c r="Q91" s="35" t="n">
        <v>190</v>
      </c>
      <c r="R91" s="35" t="n">
        <v>190</v>
      </c>
      <c r="S91" s="35" t="n"/>
      <c r="T91" s="35" t="n"/>
      <c r="U91" s="35" t="n"/>
      <c r="V91" s="18">
        <f>IF(COUNTA($B91:$R91)=0,"",ROUND(N($R91)+N($S91)+N($T91)-N($U91),2))</f>
        <v/>
      </c>
      <c r="W91" s="18">
        <f>IF(COUNTA($B91:$R91)=0,"",IF(OR($X91="Pago",$X91="Recebido",$X91="Cancelado"),0,ROUND(N($Q91)+N($S91)+N($T91)-N($U91)-N($R91),2)))</f>
        <v/>
      </c>
      <c r="X91" s="14" t="inlineStr">
        <is>
          <t>Pago</t>
        </is>
      </c>
      <c r="Y91" s="17">
        <f>IF(COUNTA($B91:$R91)=0,"",IF($X91="Cancelado","Cancelado",IF(OR($X91="Pago",$X91="Recebido"),$X91,IF(OR($X91="Parcial",N($R91)&gt;0),"Parcial",IF($C91="","Sem vencimento",IF($C91&lt;TODAY(),"Vencido",IF($C91=TODAY(),"Vence hoje",IF($C91&lt;=TODAY()+7,"Vence em 7 dias",IF($C91&lt;=TODAY()+30,"Vence em 30 dias","Futuro")))))))))</f>
        <v/>
      </c>
      <c r="Z91" s="24">
        <f>IF($B91="","",MONTH($B91))</f>
        <v/>
      </c>
      <c r="AA91" s="24">
        <f>IF($B91="","",YEAR($B91))</f>
        <v/>
      </c>
      <c r="AB91" s="24">
        <f>IF($B91="","",ISOWEEKNUM($B91))</f>
        <v/>
      </c>
      <c r="AC91" s="17">
        <f>IF($B91="","",CHOOSE(WEEKDAY($B91,2),"Segunda","Terça","Quarta","Quinta","Sexta","Sábado","Domingo"))</f>
        <v/>
      </c>
      <c r="AD91" s="17">
        <f>IF($B91="","",TEXT($B91,"MM/AAAA"))</f>
        <v/>
      </c>
      <c r="AE91" s="18">
        <f>IF(COUNTA($B91:$R91)=0,"",IF($X91="Cancelado",0,ROUND(N($Q91)+N($S91)+N($T91)-N($U91),2)))</f>
        <v/>
      </c>
      <c r="AF91" s="9">
        <f>IF($G91="","",IFERROR(INDEX(LINHAS_DRE_PLANO,MATCH($G91,SUBCATEGORIAS_PLANO,0)),"Não classificado"))</f>
        <v/>
      </c>
      <c r="AG91" s="17">
        <f>IF($G91="","",IFERROR(INDEX(TIPOS_FLUXO_PLANO,MATCH($G91,SUBCATEGORIAS_PLANO,0)),"Não classificado"))</f>
        <v/>
      </c>
      <c r="AH91" s="9">
        <f>IF($G91="","",IFERROR(INDEX(GRUPOS_PLANO,MATCH($G91,SUBCATEGORIAS_PLANO,0)),"Não classificado"))</f>
        <v/>
      </c>
      <c r="AI91" s="24">
        <f>IF(OR($C91="",$X91="Pago",$X91="Recebido",$X91="Cancelado"),"",$C91-TODAY())</f>
        <v/>
      </c>
      <c r="AJ91" s="24">
        <f>IF(OR($C91="",$X91="Pago",$X91="Recebido",$X91="Cancelado"),0,MAX(0,TODAY()-$C91))</f>
        <v/>
      </c>
      <c r="AK91" s="24">
        <f>IF($D91="","",$D91-$B91)</f>
        <v/>
      </c>
      <c r="AL91" s="18">
        <f>IF(OR($D91="",$B91=""),"",ROUND(N($R91)*($D91-$B91),2))</f>
        <v/>
      </c>
      <c r="AM91" s="17">
        <f>IF(AND($E91="Saída",$W91&gt;0,$C91&lt;&gt;""),$C91+ROW()/1000000,"")</f>
        <v/>
      </c>
      <c r="AN91" s="17">
        <f>IF(AND($E91="Entrada",$W91&gt;0,$C91&lt;&gt;""),$C91+ROW()/1000000,"")</f>
        <v/>
      </c>
      <c r="AO91" s="9">
        <f>IF(COUNTA($B91:$R91)=0,"",IF(AND($I91&lt;&gt;"",COUNTIF(CLIENTES_NOMES,$I91)+COUNTIF(CLIENTES_FANTASIA,$I91)+COUNTIF(FORNECEDORES_NOMES,$I91)+COUNTIF(FORNECEDORES_FANTASIA,$I91)=0),"⚠ Cliente/Fornecedor não cadastrado",IF(AND($G91&lt;&gt;"",COUNTIF(SUBCATEGORIAS_PLANO,$G91)=0),"⚠ Subcategoria fora do plano de contas",IF(OR($Q91="",N($Q91)=0),"⚠ Valor previsto não informado",IF(AND(OR($X91="Pago",$X91="Recebido"),$D91=""),"⚠ Status pago/recebido sem data",IF(AND($D91&lt;&gt;"",N($R91)=0),"⚠ Data de pagamento sem valor realizado",IF(AND(N($P91)&gt;1,N($O91)&gt;N($P91)),"⚠ Nº da parcela maior que o total",IF(AND($C91&lt;&gt;"",$B91&lt;&gt;"",$C91&lt;$B91),"⚠ Vencimento anterior à competência","OK"))))))))</f>
        <v/>
      </c>
    </row>
    <row r="92">
      <c r="A92" s="14" t="inlineStr">
        <is>
          <t>L0087</t>
        </is>
      </c>
      <c r="B92" s="36" t="n">
        <v>46085</v>
      </c>
      <c r="C92" s="36" t="n">
        <v>46115</v>
      </c>
      <c r="D92" s="36" t="n">
        <v>46116</v>
      </c>
      <c r="E92" s="14" t="inlineStr">
        <is>
          <t>Saída</t>
        </is>
      </c>
      <c r="F92" s="29" t="inlineStr">
        <is>
          <t>Custos Variáveis</t>
        </is>
      </c>
      <c r="G92" s="29" t="inlineStr">
        <is>
          <t>Mercadorias para Revenda</t>
        </is>
      </c>
      <c r="H92" s="29" t="inlineStr">
        <is>
          <t>Logística</t>
        </is>
      </c>
      <c r="I92" s="29" t="inlineStr">
        <is>
          <t>DISTRIBUIDORA CENTRAL DE ALIMENTOS S/A</t>
        </is>
      </c>
      <c r="J92" s="29" t="inlineStr">
        <is>
          <t>Compra de mercadorias para revenda — NF 5030</t>
        </is>
      </c>
      <c r="K92" s="14" t="inlineStr">
        <is>
          <t>NF 5030</t>
        </is>
      </c>
      <c r="L92" s="29" t="inlineStr">
        <is>
          <t>Itaú Unibanco — C/C 45678-9</t>
        </is>
      </c>
      <c r="M92" s="14" t="inlineStr">
        <is>
          <t>Boleto</t>
        </is>
      </c>
      <c r="N92" s="29" t="n"/>
      <c r="O92" s="13" t="n">
        <v>1</v>
      </c>
      <c r="P92" s="13" t="n">
        <v>1</v>
      </c>
      <c r="Q92" s="35" t="n">
        <v>57294.31</v>
      </c>
      <c r="R92" s="35" t="n">
        <v>57294.31</v>
      </c>
      <c r="S92" s="35" t="n"/>
      <c r="T92" s="35" t="n"/>
      <c r="U92" s="35" t="n"/>
      <c r="V92" s="18">
        <f>IF(COUNTA($B92:$R92)=0,"",ROUND(N($R92)+N($S92)+N($T92)-N($U92),2))</f>
        <v/>
      </c>
      <c r="W92" s="18">
        <f>IF(COUNTA($B92:$R92)=0,"",IF(OR($X92="Pago",$X92="Recebido",$X92="Cancelado"),0,ROUND(N($Q92)+N($S92)+N($T92)-N($U92)-N($R92),2)))</f>
        <v/>
      </c>
      <c r="X92" s="14" t="inlineStr">
        <is>
          <t>Pago</t>
        </is>
      </c>
      <c r="Y92" s="17">
        <f>IF(COUNTA($B92:$R92)=0,"",IF($X92="Cancelado","Cancelado",IF(OR($X92="Pago",$X92="Recebido"),$X92,IF(OR($X92="Parcial",N($R92)&gt;0),"Parcial",IF($C92="","Sem vencimento",IF($C92&lt;TODAY(),"Vencido",IF($C92=TODAY(),"Vence hoje",IF($C92&lt;=TODAY()+7,"Vence em 7 dias",IF($C92&lt;=TODAY()+30,"Vence em 30 dias","Futuro")))))))))</f>
        <v/>
      </c>
      <c r="Z92" s="24">
        <f>IF($B92="","",MONTH($B92))</f>
        <v/>
      </c>
      <c r="AA92" s="24">
        <f>IF($B92="","",YEAR($B92))</f>
        <v/>
      </c>
      <c r="AB92" s="24">
        <f>IF($B92="","",ISOWEEKNUM($B92))</f>
        <v/>
      </c>
      <c r="AC92" s="17">
        <f>IF($B92="","",CHOOSE(WEEKDAY($B92,2),"Segunda","Terça","Quarta","Quinta","Sexta","Sábado","Domingo"))</f>
        <v/>
      </c>
      <c r="AD92" s="17">
        <f>IF($B92="","",TEXT($B92,"MM/AAAA"))</f>
        <v/>
      </c>
      <c r="AE92" s="18">
        <f>IF(COUNTA($B92:$R92)=0,"",IF($X92="Cancelado",0,ROUND(N($Q92)+N($S92)+N($T92)-N($U92),2)))</f>
        <v/>
      </c>
      <c r="AF92" s="9">
        <f>IF($G92="","",IFERROR(INDEX(LINHAS_DRE_PLANO,MATCH($G92,SUBCATEGORIAS_PLANO,0)),"Não classificado"))</f>
        <v/>
      </c>
      <c r="AG92" s="17">
        <f>IF($G92="","",IFERROR(INDEX(TIPOS_FLUXO_PLANO,MATCH($G92,SUBCATEGORIAS_PLANO,0)),"Não classificado"))</f>
        <v/>
      </c>
      <c r="AH92" s="9">
        <f>IF($G92="","",IFERROR(INDEX(GRUPOS_PLANO,MATCH($G92,SUBCATEGORIAS_PLANO,0)),"Não classificado"))</f>
        <v/>
      </c>
      <c r="AI92" s="24">
        <f>IF(OR($C92="",$X92="Pago",$X92="Recebido",$X92="Cancelado"),"",$C92-TODAY())</f>
        <v/>
      </c>
      <c r="AJ92" s="24">
        <f>IF(OR($C92="",$X92="Pago",$X92="Recebido",$X92="Cancelado"),0,MAX(0,TODAY()-$C92))</f>
        <v/>
      </c>
      <c r="AK92" s="24">
        <f>IF($D92="","",$D92-$B92)</f>
        <v/>
      </c>
      <c r="AL92" s="18">
        <f>IF(OR($D92="",$B92=""),"",ROUND(N($R92)*($D92-$B92),2))</f>
        <v/>
      </c>
      <c r="AM92" s="17">
        <f>IF(AND($E92="Saída",$W92&gt;0,$C92&lt;&gt;""),$C92+ROW()/1000000,"")</f>
        <v/>
      </c>
      <c r="AN92" s="17">
        <f>IF(AND($E92="Entrada",$W92&gt;0,$C92&lt;&gt;""),$C92+ROW()/1000000,"")</f>
        <v/>
      </c>
      <c r="AO92" s="9">
        <f>IF(COUNTA($B92:$R92)=0,"",IF(AND($I92&lt;&gt;"",COUNTIF(CLIENTES_NOMES,$I92)+COUNTIF(CLIENTES_FANTASIA,$I92)+COUNTIF(FORNECEDORES_NOMES,$I92)+COUNTIF(FORNECEDORES_FANTASIA,$I92)=0),"⚠ Cliente/Fornecedor não cadastrado",IF(AND($G92&lt;&gt;"",COUNTIF(SUBCATEGORIAS_PLANO,$G92)=0),"⚠ Subcategoria fora do plano de contas",IF(OR($Q92="",N($Q92)=0),"⚠ Valor previsto não informado",IF(AND(OR($X92="Pago",$X92="Recebido"),$D92=""),"⚠ Status pago/recebido sem data",IF(AND($D92&lt;&gt;"",N($R92)=0),"⚠ Data de pagamento sem valor realizado",IF(AND(N($P92)&gt;1,N($O92)&gt;N($P92)),"⚠ Nº da parcela maior que o total",IF(AND($C92&lt;&gt;"",$B92&lt;&gt;"",$C92&lt;$B92),"⚠ Vencimento anterior à competência","OK"))))))))</f>
        <v/>
      </c>
    </row>
    <row r="93">
      <c r="A93" s="14" t="inlineStr">
        <is>
          <t>L0088</t>
        </is>
      </c>
      <c r="B93" s="36" t="n">
        <v>46086</v>
      </c>
      <c r="C93" s="36" t="n">
        <v>46091</v>
      </c>
      <c r="D93" s="36" t="n">
        <v>46091</v>
      </c>
      <c r="E93" s="14" t="inlineStr">
        <is>
          <t>Saída</t>
        </is>
      </c>
      <c r="F93" s="29" t="inlineStr">
        <is>
          <t>Despesas Administrativas</t>
        </is>
      </c>
      <c r="G93" s="29" t="inlineStr">
        <is>
          <t>Aluguel</t>
        </is>
      </c>
      <c r="H93" s="29" t="inlineStr">
        <is>
          <t>Administrativo</t>
        </is>
      </c>
      <c r="I93" s="29" t="inlineStr">
        <is>
          <t>IMÓVEIS E LOCAÇÕES PINHEIROS LTDA</t>
        </is>
      </c>
      <c r="J93" s="29" t="inlineStr">
        <is>
          <t>Aluguel do galpão — competência 03/2026</t>
        </is>
      </c>
      <c r="K93" s="14" t="inlineStr">
        <is>
          <t>DOC 8296</t>
        </is>
      </c>
      <c r="L93" s="29" t="inlineStr">
        <is>
          <t>Banco do Brasil — C/C 12345-6</t>
        </is>
      </c>
      <c r="M93" s="14" t="inlineStr">
        <is>
          <t>Boleto</t>
        </is>
      </c>
      <c r="N93" s="29" t="n"/>
      <c r="O93" s="13" t="n">
        <v>1</v>
      </c>
      <c r="P93" s="13" t="n">
        <v>1</v>
      </c>
      <c r="Q93" s="35" t="n">
        <v>7500</v>
      </c>
      <c r="R93" s="35" t="n">
        <v>7500</v>
      </c>
      <c r="S93" s="35" t="n"/>
      <c r="T93" s="35" t="n"/>
      <c r="U93" s="35" t="n"/>
      <c r="V93" s="18">
        <f>IF(COUNTA($B93:$R93)=0,"",ROUND(N($R93)+N($S93)+N($T93)-N($U93),2))</f>
        <v/>
      </c>
      <c r="W93" s="18">
        <f>IF(COUNTA($B93:$R93)=0,"",IF(OR($X93="Pago",$X93="Recebido",$X93="Cancelado"),0,ROUND(N($Q93)+N($S93)+N($T93)-N($U93)-N($R93),2)))</f>
        <v/>
      </c>
      <c r="X93" s="14" t="inlineStr">
        <is>
          <t>Pago</t>
        </is>
      </c>
      <c r="Y93" s="17">
        <f>IF(COUNTA($B93:$R93)=0,"",IF($X93="Cancelado","Cancelado",IF(OR($X93="Pago",$X93="Recebido"),$X93,IF(OR($X93="Parcial",N($R93)&gt;0),"Parcial",IF($C93="","Sem vencimento",IF($C93&lt;TODAY(),"Vencido",IF($C93=TODAY(),"Vence hoje",IF($C93&lt;=TODAY()+7,"Vence em 7 dias",IF($C93&lt;=TODAY()+30,"Vence em 30 dias","Futuro")))))))))</f>
        <v/>
      </c>
      <c r="Z93" s="24">
        <f>IF($B93="","",MONTH($B93))</f>
        <v/>
      </c>
      <c r="AA93" s="24">
        <f>IF($B93="","",YEAR($B93))</f>
        <v/>
      </c>
      <c r="AB93" s="24">
        <f>IF($B93="","",ISOWEEKNUM($B93))</f>
        <v/>
      </c>
      <c r="AC93" s="17">
        <f>IF($B93="","",CHOOSE(WEEKDAY($B93,2),"Segunda","Terça","Quarta","Quinta","Sexta","Sábado","Domingo"))</f>
        <v/>
      </c>
      <c r="AD93" s="17">
        <f>IF($B93="","",TEXT($B93,"MM/AAAA"))</f>
        <v/>
      </c>
      <c r="AE93" s="18">
        <f>IF(COUNTA($B93:$R93)=0,"",IF($X93="Cancelado",0,ROUND(N($Q93)+N($S93)+N($T93)-N($U93),2)))</f>
        <v/>
      </c>
      <c r="AF93" s="9">
        <f>IF($G93="","",IFERROR(INDEX(LINHAS_DRE_PLANO,MATCH($G93,SUBCATEGORIAS_PLANO,0)),"Não classificado"))</f>
        <v/>
      </c>
      <c r="AG93" s="17">
        <f>IF($G93="","",IFERROR(INDEX(TIPOS_FLUXO_PLANO,MATCH($G93,SUBCATEGORIAS_PLANO,0)),"Não classificado"))</f>
        <v/>
      </c>
      <c r="AH93" s="9">
        <f>IF($G93="","",IFERROR(INDEX(GRUPOS_PLANO,MATCH($G93,SUBCATEGORIAS_PLANO,0)),"Não classificado"))</f>
        <v/>
      </c>
      <c r="AI93" s="24">
        <f>IF(OR($C93="",$X93="Pago",$X93="Recebido",$X93="Cancelado"),"",$C93-TODAY())</f>
        <v/>
      </c>
      <c r="AJ93" s="24">
        <f>IF(OR($C93="",$X93="Pago",$X93="Recebido",$X93="Cancelado"),0,MAX(0,TODAY()-$C93))</f>
        <v/>
      </c>
      <c r="AK93" s="24">
        <f>IF($D93="","",$D93-$B93)</f>
        <v/>
      </c>
      <c r="AL93" s="18">
        <f>IF(OR($D93="",$B93=""),"",ROUND(N($R93)*($D93-$B93),2))</f>
        <v/>
      </c>
      <c r="AM93" s="17">
        <f>IF(AND($E93="Saída",$W93&gt;0,$C93&lt;&gt;""),$C93+ROW()/1000000,"")</f>
        <v/>
      </c>
      <c r="AN93" s="17">
        <f>IF(AND($E93="Entrada",$W93&gt;0,$C93&lt;&gt;""),$C93+ROW()/1000000,"")</f>
        <v/>
      </c>
      <c r="AO93" s="9">
        <f>IF(COUNTA($B93:$R93)=0,"",IF(AND($I93&lt;&gt;"",COUNTIF(CLIENTES_NOMES,$I93)+COUNTIF(CLIENTES_FANTASIA,$I93)+COUNTIF(FORNECEDORES_NOMES,$I93)+COUNTIF(FORNECEDORES_FANTASIA,$I93)=0),"⚠ Cliente/Fornecedor não cadastrado",IF(AND($G93&lt;&gt;"",COUNTIF(SUBCATEGORIAS_PLANO,$G93)=0),"⚠ Subcategoria fora do plano de contas",IF(OR($Q93="",N($Q93)=0),"⚠ Valor previsto não informado",IF(AND(OR($X93="Pago",$X93="Recebido"),$D93=""),"⚠ Status pago/recebido sem data",IF(AND($D93&lt;&gt;"",N($R93)=0),"⚠ Data de pagamento sem valor realizado",IF(AND(N($P93)&gt;1,N($O93)&gt;N($P93)),"⚠ Nº da parcela maior que o total",IF(AND($C93&lt;&gt;"",$B93&lt;&gt;"",$C93&lt;$B93),"⚠ Vencimento anterior à competência","OK"))))))))</f>
        <v/>
      </c>
    </row>
    <row r="94">
      <c r="A94" s="14" t="inlineStr">
        <is>
          <t>L0089</t>
        </is>
      </c>
      <c r="B94" s="36" t="n">
        <v>46086</v>
      </c>
      <c r="C94" s="36" t="n">
        <v>46091</v>
      </c>
      <c r="D94" s="36" t="n">
        <v>46094</v>
      </c>
      <c r="E94" s="14" t="inlineStr">
        <is>
          <t>Saída</t>
        </is>
      </c>
      <c r="F94" s="29" t="inlineStr">
        <is>
          <t>Despesas com Pessoal</t>
        </is>
      </c>
      <c r="G94" s="29" t="inlineStr">
        <is>
          <t>Salários</t>
        </is>
      </c>
      <c r="H94" s="29" t="inlineStr">
        <is>
          <t>Administrativo</t>
        </is>
      </c>
      <c r="I94" s="29" t="inlineStr">
        <is>
          <t>COLABORADORES — FOLHA DE PAGAMENTO</t>
        </is>
      </c>
      <c r="J94" s="29" t="inlineStr">
        <is>
          <t>Folha de pagamento — 03/2026</t>
        </is>
      </c>
      <c r="K94" s="14" t="inlineStr">
        <is>
          <t>DOC 8302</t>
        </is>
      </c>
      <c r="L94" s="29" t="inlineStr">
        <is>
          <t>Banco do Brasil — C/C 12345-6</t>
        </is>
      </c>
      <c r="M94" s="14" t="inlineStr">
        <is>
          <t>Transferência</t>
        </is>
      </c>
      <c r="N94" s="29" t="n"/>
      <c r="O94" s="13" t="n">
        <v>1</v>
      </c>
      <c r="P94" s="13" t="n">
        <v>1</v>
      </c>
      <c r="Q94" s="35" t="n">
        <v>16000</v>
      </c>
      <c r="R94" s="35" t="n">
        <v>16000</v>
      </c>
      <c r="S94" s="35" t="n"/>
      <c r="T94" s="35" t="n"/>
      <c r="U94" s="35" t="n"/>
      <c r="V94" s="18">
        <f>IF(COUNTA($B94:$R94)=0,"",ROUND(N($R94)+N($S94)+N($T94)-N($U94),2))</f>
        <v/>
      </c>
      <c r="W94" s="18">
        <f>IF(COUNTA($B94:$R94)=0,"",IF(OR($X94="Pago",$X94="Recebido",$X94="Cancelado"),0,ROUND(N($Q94)+N($S94)+N($T94)-N($U94)-N($R94),2)))</f>
        <v/>
      </c>
      <c r="X94" s="14" t="inlineStr">
        <is>
          <t>Pago</t>
        </is>
      </c>
      <c r="Y94" s="17">
        <f>IF(COUNTA($B94:$R94)=0,"",IF($X94="Cancelado","Cancelado",IF(OR($X94="Pago",$X94="Recebido"),$X94,IF(OR($X94="Parcial",N($R94)&gt;0),"Parcial",IF($C94="","Sem vencimento",IF($C94&lt;TODAY(),"Vencido",IF($C94=TODAY(),"Vence hoje",IF($C94&lt;=TODAY()+7,"Vence em 7 dias",IF($C94&lt;=TODAY()+30,"Vence em 30 dias","Futuro")))))))))</f>
        <v/>
      </c>
      <c r="Z94" s="24">
        <f>IF($B94="","",MONTH($B94))</f>
        <v/>
      </c>
      <c r="AA94" s="24">
        <f>IF($B94="","",YEAR($B94))</f>
        <v/>
      </c>
      <c r="AB94" s="24">
        <f>IF($B94="","",ISOWEEKNUM($B94))</f>
        <v/>
      </c>
      <c r="AC94" s="17">
        <f>IF($B94="","",CHOOSE(WEEKDAY($B94,2),"Segunda","Terça","Quarta","Quinta","Sexta","Sábado","Domingo"))</f>
        <v/>
      </c>
      <c r="AD94" s="17">
        <f>IF($B94="","",TEXT($B94,"MM/AAAA"))</f>
        <v/>
      </c>
      <c r="AE94" s="18">
        <f>IF(COUNTA($B94:$R94)=0,"",IF($X94="Cancelado",0,ROUND(N($Q94)+N($S94)+N($T94)-N($U94),2)))</f>
        <v/>
      </c>
      <c r="AF94" s="9">
        <f>IF($G94="","",IFERROR(INDEX(LINHAS_DRE_PLANO,MATCH($G94,SUBCATEGORIAS_PLANO,0)),"Não classificado"))</f>
        <v/>
      </c>
      <c r="AG94" s="17">
        <f>IF($G94="","",IFERROR(INDEX(TIPOS_FLUXO_PLANO,MATCH($G94,SUBCATEGORIAS_PLANO,0)),"Não classificado"))</f>
        <v/>
      </c>
      <c r="AH94" s="9">
        <f>IF($G94="","",IFERROR(INDEX(GRUPOS_PLANO,MATCH($G94,SUBCATEGORIAS_PLANO,0)),"Não classificado"))</f>
        <v/>
      </c>
      <c r="AI94" s="24">
        <f>IF(OR($C94="",$X94="Pago",$X94="Recebido",$X94="Cancelado"),"",$C94-TODAY())</f>
        <v/>
      </c>
      <c r="AJ94" s="24">
        <f>IF(OR($C94="",$X94="Pago",$X94="Recebido",$X94="Cancelado"),0,MAX(0,TODAY()-$C94))</f>
        <v/>
      </c>
      <c r="AK94" s="24">
        <f>IF($D94="","",$D94-$B94)</f>
        <v/>
      </c>
      <c r="AL94" s="18">
        <f>IF(OR($D94="",$B94=""),"",ROUND(N($R94)*($D94-$B94),2))</f>
        <v/>
      </c>
      <c r="AM94" s="17">
        <f>IF(AND($E94="Saída",$W94&gt;0,$C94&lt;&gt;""),$C94+ROW()/1000000,"")</f>
        <v/>
      </c>
      <c r="AN94" s="17">
        <f>IF(AND($E94="Entrada",$W94&gt;0,$C94&lt;&gt;""),$C94+ROW()/1000000,"")</f>
        <v/>
      </c>
      <c r="AO94" s="9">
        <f>IF(COUNTA($B94:$R94)=0,"",IF(AND($I94&lt;&gt;"",COUNTIF(CLIENTES_NOMES,$I94)+COUNTIF(CLIENTES_FANTASIA,$I94)+COUNTIF(FORNECEDORES_NOMES,$I94)+COUNTIF(FORNECEDORES_FANTASIA,$I94)=0),"⚠ Cliente/Fornecedor não cadastrado",IF(AND($G94&lt;&gt;"",COUNTIF(SUBCATEGORIAS_PLANO,$G94)=0),"⚠ Subcategoria fora do plano de contas",IF(OR($Q94="",N($Q94)=0),"⚠ Valor previsto não informado",IF(AND(OR($X94="Pago",$X94="Recebido"),$D94=""),"⚠ Status pago/recebido sem data",IF(AND($D94&lt;&gt;"",N($R94)=0),"⚠ Data de pagamento sem valor realizado",IF(AND(N($P94)&gt;1,N($O94)&gt;N($P94)),"⚠ Nº da parcela maior que o total",IF(AND($C94&lt;&gt;"",$B94&lt;&gt;"",$C94&lt;$B94),"⚠ Vencimento anterior à competência","OK"))))))))</f>
        <v/>
      </c>
    </row>
    <row r="95">
      <c r="A95" s="14" t="inlineStr">
        <is>
          <t>L0090</t>
        </is>
      </c>
      <c r="B95" s="36" t="n">
        <v>46086</v>
      </c>
      <c r="C95" s="36" t="n">
        <v>46091</v>
      </c>
      <c r="D95" s="36" t="n">
        <v>46093</v>
      </c>
      <c r="E95" s="14" t="inlineStr">
        <is>
          <t>Saída</t>
        </is>
      </c>
      <c r="F95" s="29" t="inlineStr">
        <is>
          <t>Despesas com Pessoal</t>
        </is>
      </c>
      <c r="G95" s="29" t="inlineStr">
        <is>
          <t>Benefícios (VT/VA/Plano de Saúde)</t>
        </is>
      </c>
      <c r="H95" s="29" t="inlineStr">
        <is>
          <t>Administrativo</t>
        </is>
      </c>
      <c r="I95" s="29" t="inlineStr">
        <is>
          <t>BENEFÍCIOS BRASIL ADMINISTRADORA LTDA</t>
        </is>
      </c>
      <c r="J95" s="29" t="inlineStr">
        <is>
          <t>Vale-transporte, alimentação e saúde</t>
        </is>
      </c>
      <c r="K95" s="14" t="inlineStr">
        <is>
          <t>DOC 8304</t>
        </is>
      </c>
      <c r="L95" s="29" t="inlineStr">
        <is>
          <t>Banco do Brasil — C/C 12345-6</t>
        </is>
      </c>
      <c r="M95" s="14" t="inlineStr">
        <is>
          <t>Transferência</t>
        </is>
      </c>
      <c r="N95" s="29" t="n"/>
      <c r="O95" s="13" t="n">
        <v>1</v>
      </c>
      <c r="P95" s="13" t="n">
        <v>1</v>
      </c>
      <c r="Q95" s="35" t="n">
        <v>1900</v>
      </c>
      <c r="R95" s="35" t="n">
        <v>1900</v>
      </c>
      <c r="S95" s="35" t="n"/>
      <c r="T95" s="35" t="n"/>
      <c r="U95" s="35" t="n"/>
      <c r="V95" s="18">
        <f>IF(COUNTA($B95:$R95)=0,"",ROUND(N($R95)+N($S95)+N($T95)-N($U95),2))</f>
        <v/>
      </c>
      <c r="W95" s="18">
        <f>IF(COUNTA($B95:$R95)=0,"",IF(OR($X95="Pago",$X95="Recebido",$X95="Cancelado"),0,ROUND(N($Q95)+N($S95)+N($T95)-N($U95)-N($R95),2)))</f>
        <v/>
      </c>
      <c r="X95" s="14" t="inlineStr">
        <is>
          <t>Pago</t>
        </is>
      </c>
      <c r="Y95" s="17">
        <f>IF(COUNTA($B95:$R95)=0,"",IF($X95="Cancelado","Cancelado",IF(OR($X95="Pago",$X95="Recebido"),$X95,IF(OR($X95="Parcial",N($R95)&gt;0),"Parcial",IF($C95="","Sem vencimento",IF($C95&lt;TODAY(),"Vencido",IF($C95=TODAY(),"Vence hoje",IF($C95&lt;=TODAY()+7,"Vence em 7 dias",IF($C95&lt;=TODAY()+30,"Vence em 30 dias","Futuro")))))))))</f>
        <v/>
      </c>
      <c r="Z95" s="24">
        <f>IF($B95="","",MONTH($B95))</f>
        <v/>
      </c>
      <c r="AA95" s="24">
        <f>IF($B95="","",YEAR($B95))</f>
        <v/>
      </c>
      <c r="AB95" s="24">
        <f>IF($B95="","",ISOWEEKNUM($B95))</f>
        <v/>
      </c>
      <c r="AC95" s="17">
        <f>IF($B95="","",CHOOSE(WEEKDAY($B95,2),"Segunda","Terça","Quarta","Quinta","Sexta","Sábado","Domingo"))</f>
        <v/>
      </c>
      <c r="AD95" s="17">
        <f>IF($B95="","",TEXT($B95,"MM/AAAA"))</f>
        <v/>
      </c>
      <c r="AE95" s="18">
        <f>IF(COUNTA($B95:$R95)=0,"",IF($X95="Cancelado",0,ROUND(N($Q95)+N($S95)+N($T95)-N($U95),2)))</f>
        <v/>
      </c>
      <c r="AF95" s="9">
        <f>IF($G95="","",IFERROR(INDEX(LINHAS_DRE_PLANO,MATCH($G95,SUBCATEGORIAS_PLANO,0)),"Não classificado"))</f>
        <v/>
      </c>
      <c r="AG95" s="17">
        <f>IF($G95="","",IFERROR(INDEX(TIPOS_FLUXO_PLANO,MATCH($G95,SUBCATEGORIAS_PLANO,0)),"Não classificado"))</f>
        <v/>
      </c>
      <c r="AH95" s="9">
        <f>IF($G95="","",IFERROR(INDEX(GRUPOS_PLANO,MATCH($G95,SUBCATEGORIAS_PLANO,0)),"Não classificado"))</f>
        <v/>
      </c>
      <c r="AI95" s="24">
        <f>IF(OR($C95="",$X95="Pago",$X95="Recebido",$X95="Cancelado"),"",$C95-TODAY())</f>
        <v/>
      </c>
      <c r="AJ95" s="24">
        <f>IF(OR($C95="",$X95="Pago",$X95="Recebido",$X95="Cancelado"),0,MAX(0,TODAY()-$C95))</f>
        <v/>
      </c>
      <c r="AK95" s="24">
        <f>IF($D95="","",$D95-$B95)</f>
        <v/>
      </c>
      <c r="AL95" s="18">
        <f>IF(OR($D95="",$B95=""),"",ROUND(N($R95)*($D95-$B95),2))</f>
        <v/>
      </c>
      <c r="AM95" s="17">
        <f>IF(AND($E95="Saída",$W95&gt;0,$C95&lt;&gt;""),$C95+ROW()/1000000,"")</f>
        <v/>
      </c>
      <c r="AN95" s="17">
        <f>IF(AND($E95="Entrada",$W95&gt;0,$C95&lt;&gt;""),$C95+ROW()/1000000,"")</f>
        <v/>
      </c>
      <c r="AO95" s="9">
        <f>IF(COUNTA($B95:$R95)=0,"",IF(AND($I95&lt;&gt;"",COUNTIF(CLIENTES_NOMES,$I95)+COUNTIF(CLIENTES_FANTASIA,$I95)+COUNTIF(FORNECEDORES_NOMES,$I95)+COUNTIF(FORNECEDORES_FANTASIA,$I95)=0),"⚠ Cliente/Fornecedor não cadastrado",IF(AND($G95&lt;&gt;"",COUNTIF(SUBCATEGORIAS_PLANO,$G95)=0),"⚠ Subcategoria fora do plano de contas",IF(OR($Q95="",N($Q95)=0),"⚠ Valor previsto não informado",IF(AND(OR($X95="Pago",$X95="Recebido"),$D95=""),"⚠ Status pago/recebido sem data",IF(AND($D95&lt;&gt;"",N($R95)=0),"⚠ Data de pagamento sem valor realizado",IF(AND(N($P95)&gt;1,N($O95)&gt;N($P95)),"⚠ Nº da parcela maior que o total",IF(AND($C95&lt;&gt;"",$B95&lt;&gt;"",$C95&lt;$B95),"⚠ Vencimento anterior à competência","OK"))))))))</f>
        <v/>
      </c>
    </row>
    <row r="96">
      <c r="A96" s="14" t="inlineStr">
        <is>
          <t>L0091</t>
        </is>
      </c>
      <c r="B96" s="36" t="n">
        <v>46086</v>
      </c>
      <c r="C96" s="36" t="n">
        <v>46091</v>
      </c>
      <c r="D96" s="36" t="n">
        <v>46092</v>
      </c>
      <c r="E96" s="14" t="inlineStr">
        <is>
          <t>Saída</t>
        </is>
      </c>
      <c r="F96" s="29" t="inlineStr">
        <is>
          <t>Despesas com Pessoal</t>
        </is>
      </c>
      <c r="G96" s="29" t="inlineStr">
        <is>
          <t>Pró-labore</t>
        </is>
      </c>
      <c r="H96" s="29" t="inlineStr">
        <is>
          <t>Diretoria</t>
        </is>
      </c>
      <c r="I96" s="29" t="inlineStr">
        <is>
          <t>SÓCIOS — PRÓ-LABORE E DISTRIBUIÇÕES</t>
        </is>
      </c>
      <c r="J96" s="29" t="inlineStr">
        <is>
          <t>Pró-labore dos sócios — 03/2026</t>
        </is>
      </c>
      <c r="K96" s="14" t="inlineStr">
        <is>
          <t>DOC 8305</t>
        </is>
      </c>
      <c r="L96" s="29" t="inlineStr">
        <is>
          <t>Banco do Brasil — C/C 12345-6</t>
        </is>
      </c>
      <c r="M96" s="14" t="inlineStr">
        <is>
          <t>Transferência</t>
        </is>
      </c>
      <c r="N96" s="29" t="n"/>
      <c r="O96" s="13" t="n">
        <v>1</v>
      </c>
      <c r="P96" s="13" t="n">
        <v>1</v>
      </c>
      <c r="Q96" s="35" t="n">
        <v>9500</v>
      </c>
      <c r="R96" s="35" t="n">
        <v>9500</v>
      </c>
      <c r="S96" s="35" t="n"/>
      <c r="T96" s="35" t="n"/>
      <c r="U96" s="35" t="n"/>
      <c r="V96" s="18">
        <f>IF(COUNTA($B96:$R96)=0,"",ROUND(N($R96)+N($S96)+N($T96)-N($U96),2))</f>
        <v/>
      </c>
      <c r="W96" s="18">
        <f>IF(COUNTA($B96:$R96)=0,"",IF(OR($X96="Pago",$X96="Recebido",$X96="Cancelado"),0,ROUND(N($Q96)+N($S96)+N($T96)-N($U96)-N($R96),2)))</f>
        <v/>
      </c>
      <c r="X96" s="14" t="inlineStr">
        <is>
          <t>Pago</t>
        </is>
      </c>
      <c r="Y96" s="17">
        <f>IF(COUNTA($B96:$R96)=0,"",IF($X96="Cancelado","Cancelado",IF(OR($X96="Pago",$X96="Recebido"),$X96,IF(OR($X96="Parcial",N($R96)&gt;0),"Parcial",IF($C96="","Sem vencimento",IF($C96&lt;TODAY(),"Vencido",IF($C96=TODAY(),"Vence hoje",IF($C96&lt;=TODAY()+7,"Vence em 7 dias",IF($C96&lt;=TODAY()+30,"Vence em 30 dias","Futuro")))))))))</f>
        <v/>
      </c>
      <c r="Z96" s="24">
        <f>IF($B96="","",MONTH($B96))</f>
        <v/>
      </c>
      <c r="AA96" s="24">
        <f>IF($B96="","",YEAR($B96))</f>
        <v/>
      </c>
      <c r="AB96" s="24">
        <f>IF($B96="","",ISOWEEKNUM($B96))</f>
        <v/>
      </c>
      <c r="AC96" s="17">
        <f>IF($B96="","",CHOOSE(WEEKDAY($B96,2),"Segunda","Terça","Quarta","Quinta","Sexta","Sábado","Domingo"))</f>
        <v/>
      </c>
      <c r="AD96" s="17">
        <f>IF($B96="","",TEXT($B96,"MM/AAAA"))</f>
        <v/>
      </c>
      <c r="AE96" s="18">
        <f>IF(COUNTA($B96:$R96)=0,"",IF($X96="Cancelado",0,ROUND(N($Q96)+N($S96)+N($T96)-N($U96),2)))</f>
        <v/>
      </c>
      <c r="AF96" s="9">
        <f>IF($G96="","",IFERROR(INDEX(LINHAS_DRE_PLANO,MATCH($G96,SUBCATEGORIAS_PLANO,0)),"Não classificado"))</f>
        <v/>
      </c>
      <c r="AG96" s="17">
        <f>IF($G96="","",IFERROR(INDEX(TIPOS_FLUXO_PLANO,MATCH($G96,SUBCATEGORIAS_PLANO,0)),"Não classificado"))</f>
        <v/>
      </c>
      <c r="AH96" s="9">
        <f>IF($G96="","",IFERROR(INDEX(GRUPOS_PLANO,MATCH($G96,SUBCATEGORIAS_PLANO,0)),"Não classificado"))</f>
        <v/>
      </c>
      <c r="AI96" s="24">
        <f>IF(OR($C96="",$X96="Pago",$X96="Recebido",$X96="Cancelado"),"",$C96-TODAY())</f>
        <v/>
      </c>
      <c r="AJ96" s="24">
        <f>IF(OR($C96="",$X96="Pago",$X96="Recebido",$X96="Cancelado"),0,MAX(0,TODAY()-$C96))</f>
        <v/>
      </c>
      <c r="AK96" s="24">
        <f>IF($D96="","",$D96-$B96)</f>
        <v/>
      </c>
      <c r="AL96" s="18">
        <f>IF(OR($D96="",$B96=""),"",ROUND(N($R96)*($D96-$B96),2))</f>
        <v/>
      </c>
      <c r="AM96" s="17">
        <f>IF(AND($E96="Saída",$W96&gt;0,$C96&lt;&gt;""),$C96+ROW()/1000000,"")</f>
        <v/>
      </c>
      <c r="AN96" s="17">
        <f>IF(AND($E96="Entrada",$W96&gt;0,$C96&lt;&gt;""),$C96+ROW()/1000000,"")</f>
        <v/>
      </c>
      <c r="AO96" s="9">
        <f>IF(COUNTA($B96:$R96)=0,"",IF(AND($I96&lt;&gt;"",COUNTIF(CLIENTES_NOMES,$I96)+COUNTIF(CLIENTES_FANTASIA,$I96)+COUNTIF(FORNECEDORES_NOMES,$I96)+COUNTIF(FORNECEDORES_FANTASIA,$I96)=0),"⚠ Cliente/Fornecedor não cadastrado",IF(AND($G96&lt;&gt;"",COUNTIF(SUBCATEGORIAS_PLANO,$G96)=0),"⚠ Subcategoria fora do plano de contas",IF(OR($Q96="",N($Q96)=0),"⚠ Valor previsto não informado",IF(AND(OR($X96="Pago",$X96="Recebido"),$D96=""),"⚠ Status pago/recebido sem data",IF(AND($D96&lt;&gt;"",N($R96)=0),"⚠ Data de pagamento sem valor realizado",IF(AND(N($P96)&gt;1,N($O96)&gt;N($P96)),"⚠ Nº da parcela maior que o total",IF(AND($C96&lt;&gt;"",$B96&lt;&gt;"",$C96&lt;$B96),"⚠ Vencimento anterior à competência","OK"))))))))</f>
        <v/>
      </c>
    </row>
    <row r="97">
      <c r="A97" s="14" t="inlineStr">
        <is>
          <t>L0092</t>
        </is>
      </c>
      <c r="B97" s="36" t="n">
        <v>46087</v>
      </c>
      <c r="C97" s="36" t="n">
        <v>46117</v>
      </c>
      <c r="D97" s="36" t="n">
        <v>46117</v>
      </c>
      <c r="E97" s="14" t="inlineStr">
        <is>
          <t>Saída</t>
        </is>
      </c>
      <c r="F97" s="29" t="inlineStr">
        <is>
          <t>Investimentos</t>
        </is>
      </c>
      <c r="G97" s="29" t="inlineStr">
        <is>
          <t>Tecnologia e Informática</t>
        </is>
      </c>
      <c r="H97" s="29" t="inlineStr">
        <is>
          <t>Diretoria</t>
        </is>
      </c>
      <c r="I97" s="29" t="inlineStr">
        <is>
          <t>TECNOLOGIA E SISTEMAS ABC LTDA</t>
        </is>
      </c>
      <c r="J97" s="29" t="inlineStr">
        <is>
          <t>Notebooks para a equipe comercial (3 un.)</t>
        </is>
      </c>
      <c r="K97" s="14" t="inlineStr">
        <is>
          <t>INV-0306</t>
        </is>
      </c>
      <c r="L97" s="29" t="inlineStr">
        <is>
          <t>Banco do Brasil — C/C 12345-6</t>
        </is>
      </c>
      <c r="M97" s="14" t="inlineStr">
        <is>
          <t>Transferência</t>
        </is>
      </c>
      <c r="N97" s="29" t="n"/>
      <c r="O97" s="13" t="n">
        <v>1</v>
      </c>
      <c r="P97" s="13" t="n">
        <v>1</v>
      </c>
      <c r="Q97" s="35" t="n">
        <v>12400</v>
      </c>
      <c r="R97" s="35" t="n">
        <v>12400</v>
      </c>
      <c r="S97" s="35" t="n"/>
      <c r="T97" s="35" t="n"/>
      <c r="U97" s="35" t="n"/>
      <c r="V97" s="18">
        <f>IF(COUNTA($B97:$R97)=0,"",ROUND(N($R97)+N($S97)+N($T97)-N($U97),2))</f>
        <v/>
      </c>
      <c r="W97" s="18">
        <f>IF(COUNTA($B97:$R97)=0,"",IF(OR($X97="Pago",$X97="Recebido",$X97="Cancelado"),0,ROUND(N($Q97)+N($S97)+N($T97)-N($U97)-N($R97),2)))</f>
        <v/>
      </c>
      <c r="X97" s="14" t="inlineStr">
        <is>
          <t>Pago</t>
        </is>
      </c>
      <c r="Y97" s="17">
        <f>IF(COUNTA($B97:$R97)=0,"",IF($X97="Cancelado","Cancelado",IF(OR($X97="Pago",$X97="Recebido"),$X97,IF(OR($X97="Parcial",N($R97)&gt;0),"Parcial",IF($C97="","Sem vencimento",IF($C97&lt;TODAY(),"Vencido",IF($C97=TODAY(),"Vence hoje",IF($C97&lt;=TODAY()+7,"Vence em 7 dias",IF($C97&lt;=TODAY()+30,"Vence em 30 dias","Futuro")))))))))</f>
        <v/>
      </c>
      <c r="Z97" s="24">
        <f>IF($B97="","",MONTH($B97))</f>
        <v/>
      </c>
      <c r="AA97" s="24">
        <f>IF($B97="","",YEAR($B97))</f>
        <v/>
      </c>
      <c r="AB97" s="24">
        <f>IF($B97="","",ISOWEEKNUM($B97))</f>
        <v/>
      </c>
      <c r="AC97" s="17">
        <f>IF($B97="","",CHOOSE(WEEKDAY($B97,2),"Segunda","Terça","Quarta","Quinta","Sexta","Sábado","Domingo"))</f>
        <v/>
      </c>
      <c r="AD97" s="17">
        <f>IF($B97="","",TEXT($B97,"MM/AAAA"))</f>
        <v/>
      </c>
      <c r="AE97" s="18">
        <f>IF(COUNTA($B97:$R97)=0,"",IF($X97="Cancelado",0,ROUND(N($Q97)+N($S97)+N($T97)-N($U97),2)))</f>
        <v/>
      </c>
      <c r="AF97" s="9">
        <f>IF($G97="","",IFERROR(INDEX(LINHAS_DRE_PLANO,MATCH($G97,SUBCATEGORIAS_PLANO,0)),"Não classificado"))</f>
        <v/>
      </c>
      <c r="AG97" s="17">
        <f>IF($G97="","",IFERROR(INDEX(TIPOS_FLUXO_PLANO,MATCH($G97,SUBCATEGORIAS_PLANO,0)),"Não classificado"))</f>
        <v/>
      </c>
      <c r="AH97" s="9">
        <f>IF($G97="","",IFERROR(INDEX(GRUPOS_PLANO,MATCH($G97,SUBCATEGORIAS_PLANO,0)),"Não classificado"))</f>
        <v/>
      </c>
      <c r="AI97" s="24">
        <f>IF(OR($C97="",$X97="Pago",$X97="Recebido",$X97="Cancelado"),"",$C97-TODAY())</f>
        <v/>
      </c>
      <c r="AJ97" s="24">
        <f>IF(OR($C97="",$X97="Pago",$X97="Recebido",$X97="Cancelado"),0,MAX(0,TODAY()-$C97))</f>
        <v/>
      </c>
      <c r="AK97" s="24">
        <f>IF($D97="","",$D97-$B97)</f>
        <v/>
      </c>
      <c r="AL97" s="18">
        <f>IF(OR($D97="",$B97=""),"",ROUND(N($R97)*($D97-$B97),2))</f>
        <v/>
      </c>
      <c r="AM97" s="17">
        <f>IF(AND($E97="Saída",$W97&gt;0,$C97&lt;&gt;""),$C97+ROW()/1000000,"")</f>
        <v/>
      </c>
      <c r="AN97" s="17">
        <f>IF(AND($E97="Entrada",$W97&gt;0,$C97&lt;&gt;""),$C97+ROW()/1000000,"")</f>
        <v/>
      </c>
      <c r="AO97" s="9">
        <f>IF(COUNTA($B97:$R97)=0,"",IF(AND($I97&lt;&gt;"",COUNTIF(CLIENTES_NOMES,$I97)+COUNTIF(CLIENTES_FANTASIA,$I97)+COUNTIF(FORNECEDORES_NOMES,$I97)+COUNTIF(FORNECEDORES_FANTASIA,$I97)=0),"⚠ Cliente/Fornecedor não cadastrado",IF(AND($G97&lt;&gt;"",COUNTIF(SUBCATEGORIAS_PLANO,$G97)=0),"⚠ Subcategoria fora do plano de contas",IF(OR($Q97="",N($Q97)=0),"⚠ Valor previsto não informado",IF(AND(OR($X97="Pago",$X97="Recebido"),$D97=""),"⚠ Status pago/recebido sem data",IF(AND($D97&lt;&gt;"",N($R97)=0),"⚠ Data de pagamento sem valor realizado",IF(AND(N($P97)&gt;1,N($O97)&gt;N($P97)),"⚠ Nº da parcela maior que o total",IF(AND($C97&lt;&gt;"",$B97&lt;&gt;"",$C97&lt;$B97),"⚠ Vencimento anterior à competência","OK"))))))))</f>
        <v/>
      </c>
    </row>
    <row r="98">
      <c r="A98" s="14" t="inlineStr">
        <is>
          <t>L0093</t>
        </is>
      </c>
      <c r="B98" s="36" t="n">
        <v>46088</v>
      </c>
      <c r="C98" s="36" t="n">
        <v>46095</v>
      </c>
      <c r="D98" s="36" t="n">
        <v>46098</v>
      </c>
      <c r="E98" s="14" t="inlineStr">
        <is>
          <t>Saída</t>
        </is>
      </c>
      <c r="F98" s="29" t="inlineStr">
        <is>
          <t>Despesas com Pessoal</t>
        </is>
      </c>
      <c r="G98" s="29" t="inlineStr">
        <is>
          <t>Encargos Sociais (FGTS/INSS)</t>
        </is>
      </c>
      <c r="H98" s="29" t="inlineStr">
        <is>
          <t>Administrativo</t>
        </is>
      </c>
      <c r="I98" s="29" t="inlineStr">
        <is>
          <t>RECEITA FEDERAL DO BRASIL</t>
        </is>
      </c>
      <c r="J98" s="29" t="inlineStr">
        <is>
          <t>FGTS e INSS — competência 03/2026</t>
        </is>
      </c>
      <c r="K98" s="14" t="inlineStr">
        <is>
          <t>DOC 8303</t>
        </is>
      </c>
      <c r="L98" s="29" t="inlineStr">
        <is>
          <t>Itaú Unibanco — C/C 45678-9</t>
        </is>
      </c>
      <c r="M98" s="14" t="inlineStr">
        <is>
          <t>Transferência</t>
        </is>
      </c>
      <c r="N98" s="29" t="n"/>
      <c r="O98" s="13" t="n">
        <v>1</v>
      </c>
      <c r="P98" s="13" t="n">
        <v>1</v>
      </c>
      <c r="Q98" s="35" t="n">
        <v>5600</v>
      </c>
      <c r="R98" s="35" t="n">
        <v>5600</v>
      </c>
      <c r="S98" s="35" t="n"/>
      <c r="T98" s="35" t="n"/>
      <c r="U98" s="35" t="n"/>
      <c r="V98" s="18">
        <f>IF(COUNTA($B98:$R98)=0,"",ROUND(N($R98)+N($S98)+N($T98)-N($U98),2))</f>
        <v/>
      </c>
      <c r="W98" s="18">
        <f>IF(COUNTA($B98:$R98)=0,"",IF(OR($X98="Pago",$X98="Recebido",$X98="Cancelado"),0,ROUND(N($Q98)+N($S98)+N($T98)-N($U98)-N($R98),2)))</f>
        <v/>
      </c>
      <c r="X98" s="14" t="inlineStr">
        <is>
          <t>Pago</t>
        </is>
      </c>
      <c r="Y98" s="17">
        <f>IF(COUNTA($B98:$R98)=0,"",IF($X98="Cancelado","Cancelado",IF(OR($X98="Pago",$X98="Recebido"),$X98,IF(OR($X98="Parcial",N($R98)&gt;0),"Parcial",IF($C98="","Sem vencimento",IF($C98&lt;TODAY(),"Vencido",IF($C98=TODAY(),"Vence hoje",IF($C98&lt;=TODAY()+7,"Vence em 7 dias",IF($C98&lt;=TODAY()+30,"Vence em 30 dias","Futuro")))))))))</f>
        <v/>
      </c>
      <c r="Z98" s="24">
        <f>IF($B98="","",MONTH($B98))</f>
        <v/>
      </c>
      <c r="AA98" s="24">
        <f>IF($B98="","",YEAR($B98))</f>
        <v/>
      </c>
      <c r="AB98" s="24">
        <f>IF($B98="","",ISOWEEKNUM($B98))</f>
        <v/>
      </c>
      <c r="AC98" s="17">
        <f>IF($B98="","",CHOOSE(WEEKDAY($B98,2),"Segunda","Terça","Quarta","Quinta","Sexta","Sábado","Domingo"))</f>
        <v/>
      </c>
      <c r="AD98" s="17">
        <f>IF($B98="","",TEXT($B98,"MM/AAAA"))</f>
        <v/>
      </c>
      <c r="AE98" s="18">
        <f>IF(COUNTA($B98:$R98)=0,"",IF($X98="Cancelado",0,ROUND(N($Q98)+N($S98)+N($T98)-N($U98),2)))</f>
        <v/>
      </c>
      <c r="AF98" s="9">
        <f>IF($G98="","",IFERROR(INDEX(LINHAS_DRE_PLANO,MATCH($G98,SUBCATEGORIAS_PLANO,0)),"Não classificado"))</f>
        <v/>
      </c>
      <c r="AG98" s="17">
        <f>IF($G98="","",IFERROR(INDEX(TIPOS_FLUXO_PLANO,MATCH($G98,SUBCATEGORIAS_PLANO,0)),"Não classificado"))</f>
        <v/>
      </c>
      <c r="AH98" s="9">
        <f>IF($G98="","",IFERROR(INDEX(GRUPOS_PLANO,MATCH($G98,SUBCATEGORIAS_PLANO,0)),"Não classificado"))</f>
        <v/>
      </c>
      <c r="AI98" s="24">
        <f>IF(OR($C98="",$X98="Pago",$X98="Recebido",$X98="Cancelado"),"",$C98-TODAY())</f>
        <v/>
      </c>
      <c r="AJ98" s="24">
        <f>IF(OR($C98="",$X98="Pago",$X98="Recebido",$X98="Cancelado"),0,MAX(0,TODAY()-$C98))</f>
        <v/>
      </c>
      <c r="AK98" s="24">
        <f>IF($D98="","",$D98-$B98)</f>
        <v/>
      </c>
      <c r="AL98" s="18">
        <f>IF(OR($D98="",$B98=""),"",ROUND(N($R98)*($D98-$B98),2))</f>
        <v/>
      </c>
      <c r="AM98" s="17">
        <f>IF(AND($E98="Saída",$W98&gt;0,$C98&lt;&gt;""),$C98+ROW()/1000000,"")</f>
        <v/>
      </c>
      <c r="AN98" s="17">
        <f>IF(AND($E98="Entrada",$W98&gt;0,$C98&lt;&gt;""),$C98+ROW()/1000000,"")</f>
        <v/>
      </c>
      <c r="AO98" s="9">
        <f>IF(COUNTA($B98:$R98)=0,"",IF(AND($I98&lt;&gt;"",COUNTIF(CLIENTES_NOMES,$I98)+COUNTIF(CLIENTES_FANTASIA,$I98)+COUNTIF(FORNECEDORES_NOMES,$I98)+COUNTIF(FORNECEDORES_FANTASIA,$I98)=0),"⚠ Cliente/Fornecedor não cadastrado",IF(AND($G98&lt;&gt;"",COUNTIF(SUBCATEGORIAS_PLANO,$G98)=0),"⚠ Subcategoria fora do plano de contas",IF(OR($Q98="",N($Q98)=0),"⚠ Valor previsto não informado",IF(AND(OR($X98="Pago",$X98="Recebido"),$D98=""),"⚠ Status pago/recebido sem data",IF(AND($D98&lt;&gt;"",N($R98)=0),"⚠ Data de pagamento sem valor realizado",IF(AND(N($P98)&gt;1,N($O98)&gt;N($P98)),"⚠ Nº da parcela maior que o total",IF(AND($C98&lt;&gt;"",$B98&lt;&gt;"",$C98&lt;$B98),"⚠ Vencimento anterior à competência","OK"))))))))</f>
        <v/>
      </c>
    </row>
    <row r="99">
      <c r="A99" s="14" t="inlineStr">
        <is>
          <t>L0094</t>
        </is>
      </c>
      <c r="B99" s="36" t="n">
        <v>46089</v>
      </c>
      <c r="C99" s="36" t="n">
        <v>46109</v>
      </c>
      <c r="D99" s="36" t="n">
        <v>46109</v>
      </c>
      <c r="E99" s="14" t="inlineStr">
        <is>
          <t>Saída</t>
        </is>
      </c>
      <c r="F99" s="29" t="inlineStr">
        <is>
          <t>Despesas Administrativas</t>
        </is>
      </c>
      <c r="G99" s="29" t="inlineStr">
        <is>
          <t>Sistemas e Softwares</t>
        </is>
      </c>
      <c r="H99" s="29" t="inlineStr">
        <is>
          <t>Administrativo</t>
        </is>
      </c>
      <c r="I99" s="29" t="inlineStr">
        <is>
          <t>TECNOLOGIA E SISTEMAS ABC LTDA</t>
        </is>
      </c>
      <c r="J99" s="29" t="inlineStr">
        <is>
          <t>Assinatura ERP, NF-e e BI</t>
        </is>
      </c>
      <c r="K99" s="14" t="inlineStr">
        <is>
          <t>DOC 8301</t>
        </is>
      </c>
      <c r="L99" s="29" t="inlineStr">
        <is>
          <t>Nubank PJ — C/C 9876543-2</t>
        </is>
      </c>
      <c r="M99" s="14" t="inlineStr">
        <is>
          <t>Cartão de crédito</t>
        </is>
      </c>
      <c r="N99" s="29" t="inlineStr">
        <is>
          <t>Cartão Mastercard Nubank PJ</t>
        </is>
      </c>
      <c r="O99" s="13" t="n">
        <v>1</v>
      </c>
      <c r="P99" s="13" t="n">
        <v>1</v>
      </c>
      <c r="Q99" s="35" t="n">
        <v>850</v>
      </c>
      <c r="R99" s="35" t="n">
        <v>850</v>
      </c>
      <c r="S99" s="35" t="n"/>
      <c r="T99" s="35" t="n"/>
      <c r="U99" s="35" t="n"/>
      <c r="V99" s="18">
        <f>IF(COUNTA($B99:$R99)=0,"",ROUND(N($R99)+N($S99)+N($T99)-N($U99),2))</f>
        <v/>
      </c>
      <c r="W99" s="18">
        <f>IF(COUNTA($B99:$R99)=0,"",IF(OR($X99="Pago",$X99="Recebido",$X99="Cancelado"),0,ROUND(N($Q99)+N($S99)+N($T99)-N($U99)-N($R99),2)))</f>
        <v/>
      </c>
      <c r="X99" s="14" t="inlineStr">
        <is>
          <t>Pago</t>
        </is>
      </c>
      <c r="Y99" s="17">
        <f>IF(COUNTA($B99:$R99)=0,"",IF($X99="Cancelado","Cancelado",IF(OR($X99="Pago",$X99="Recebido"),$X99,IF(OR($X99="Parcial",N($R99)&gt;0),"Parcial",IF($C99="","Sem vencimento",IF($C99&lt;TODAY(),"Vencido",IF($C99=TODAY(),"Vence hoje",IF($C99&lt;=TODAY()+7,"Vence em 7 dias",IF($C99&lt;=TODAY()+30,"Vence em 30 dias","Futuro")))))))))</f>
        <v/>
      </c>
      <c r="Z99" s="24">
        <f>IF($B99="","",MONTH($B99))</f>
        <v/>
      </c>
      <c r="AA99" s="24">
        <f>IF($B99="","",YEAR($B99))</f>
        <v/>
      </c>
      <c r="AB99" s="24">
        <f>IF($B99="","",ISOWEEKNUM($B99))</f>
        <v/>
      </c>
      <c r="AC99" s="17">
        <f>IF($B99="","",CHOOSE(WEEKDAY($B99,2),"Segunda","Terça","Quarta","Quinta","Sexta","Sábado","Domingo"))</f>
        <v/>
      </c>
      <c r="AD99" s="17">
        <f>IF($B99="","",TEXT($B99,"MM/AAAA"))</f>
        <v/>
      </c>
      <c r="AE99" s="18">
        <f>IF(COUNTA($B99:$R99)=0,"",IF($X99="Cancelado",0,ROUND(N($Q99)+N($S99)+N($T99)-N($U99),2)))</f>
        <v/>
      </c>
      <c r="AF99" s="9">
        <f>IF($G99="","",IFERROR(INDEX(LINHAS_DRE_PLANO,MATCH($G99,SUBCATEGORIAS_PLANO,0)),"Não classificado"))</f>
        <v/>
      </c>
      <c r="AG99" s="17">
        <f>IF($G99="","",IFERROR(INDEX(TIPOS_FLUXO_PLANO,MATCH($G99,SUBCATEGORIAS_PLANO,0)),"Não classificado"))</f>
        <v/>
      </c>
      <c r="AH99" s="9">
        <f>IF($G99="","",IFERROR(INDEX(GRUPOS_PLANO,MATCH($G99,SUBCATEGORIAS_PLANO,0)),"Não classificado"))</f>
        <v/>
      </c>
      <c r="AI99" s="24">
        <f>IF(OR($C99="",$X99="Pago",$X99="Recebido",$X99="Cancelado"),"",$C99-TODAY())</f>
        <v/>
      </c>
      <c r="AJ99" s="24">
        <f>IF(OR($C99="",$X99="Pago",$X99="Recebido",$X99="Cancelado"),0,MAX(0,TODAY()-$C99))</f>
        <v/>
      </c>
      <c r="AK99" s="24">
        <f>IF($D99="","",$D99-$B99)</f>
        <v/>
      </c>
      <c r="AL99" s="18">
        <f>IF(OR($D99="",$B99=""),"",ROUND(N($R99)*($D99-$B99),2))</f>
        <v/>
      </c>
      <c r="AM99" s="17">
        <f>IF(AND($E99="Saída",$W99&gt;0,$C99&lt;&gt;""),$C99+ROW()/1000000,"")</f>
        <v/>
      </c>
      <c r="AN99" s="17">
        <f>IF(AND($E99="Entrada",$W99&gt;0,$C99&lt;&gt;""),$C99+ROW()/1000000,"")</f>
        <v/>
      </c>
      <c r="AO99" s="9">
        <f>IF(COUNTA($B99:$R99)=0,"",IF(AND($I99&lt;&gt;"",COUNTIF(CLIENTES_NOMES,$I99)+COUNTIF(CLIENTES_FANTASIA,$I99)+COUNTIF(FORNECEDORES_NOMES,$I99)+COUNTIF(FORNECEDORES_FANTASIA,$I99)=0),"⚠ Cliente/Fornecedor não cadastrado",IF(AND($G99&lt;&gt;"",COUNTIF(SUBCATEGORIAS_PLANO,$G99)=0),"⚠ Subcategoria fora do plano de contas",IF(OR($Q99="",N($Q99)=0),"⚠ Valor previsto não informado",IF(AND(OR($X99="Pago",$X99="Recebido"),$D99=""),"⚠ Status pago/recebido sem data",IF(AND($D99&lt;&gt;"",N($R99)=0),"⚠ Data de pagamento sem valor realizado",IF(AND(N($P99)&gt;1,N($O99)&gt;N($P99)),"⚠ Nº da parcela maior que o total",IF(AND($C99&lt;&gt;"",$B99&lt;&gt;"",$C99&lt;$B99),"⚠ Vencimento anterior à competência","OK"))))))))</f>
        <v/>
      </c>
    </row>
    <row r="100">
      <c r="A100" s="14" t="inlineStr">
        <is>
          <t>L0095</t>
        </is>
      </c>
      <c r="B100" s="36" t="n">
        <v>46090</v>
      </c>
      <c r="C100" s="36" t="n">
        <v>46105</v>
      </c>
      <c r="D100" s="36" t="n">
        <v>46107</v>
      </c>
      <c r="E100" s="14" t="inlineStr">
        <is>
          <t>Saída</t>
        </is>
      </c>
      <c r="F100" s="29" t="inlineStr">
        <is>
          <t>Custos Variáveis</t>
        </is>
      </c>
      <c r="G100" s="29" t="inlineStr">
        <is>
          <t>Matéria-prima</t>
        </is>
      </c>
      <c r="H100" s="29" t="inlineStr">
        <is>
          <t>Produção</t>
        </is>
      </c>
      <c r="I100" s="29" t="inlineStr">
        <is>
          <t>DISTRIBUIDORA CENTRAL DE ALIMENTOS S/A</t>
        </is>
      </c>
      <c r="J100" s="29" t="inlineStr">
        <is>
          <t>Insumos e matéria-prima para beneficiamento</t>
        </is>
      </c>
      <c r="K100" s="14" t="inlineStr">
        <is>
          <t>NF 5903</t>
        </is>
      </c>
      <c r="L100" s="29" t="inlineStr">
        <is>
          <t>Banco do Brasil — C/C 12345-6</t>
        </is>
      </c>
      <c r="M100" s="14" t="inlineStr">
        <is>
          <t>Boleto</t>
        </is>
      </c>
      <c r="N100" s="29" t="n"/>
      <c r="O100" s="13" t="n">
        <v>1</v>
      </c>
      <c r="P100" s="13" t="n">
        <v>1</v>
      </c>
      <c r="Q100" s="35" t="n">
        <v>9339.41</v>
      </c>
      <c r="R100" s="35" t="n">
        <v>9339.41</v>
      </c>
      <c r="S100" s="35" t="n"/>
      <c r="T100" s="35" t="n"/>
      <c r="U100" s="35" t="n"/>
      <c r="V100" s="18">
        <f>IF(COUNTA($B100:$R100)=0,"",ROUND(N($R100)+N($S100)+N($T100)-N($U100),2))</f>
        <v/>
      </c>
      <c r="W100" s="18">
        <f>IF(COUNTA($B100:$R100)=0,"",IF(OR($X100="Pago",$X100="Recebido",$X100="Cancelado"),0,ROUND(N($Q100)+N($S100)+N($T100)-N($U100)-N($R100),2)))</f>
        <v/>
      </c>
      <c r="X100" s="14" t="inlineStr">
        <is>
          <t>Pago</t>
        </is>
      </c>
      <c r="Y100" s="17">
        <f>IF(COUNTA($B100:$R100)=0,"",IF($X100="Cancelado","Cancelado",IF(OR($X100="Pago",$X100="Recebido"),$X100,IF(OR($X100="Parcial",N($R100)&gt;0),"Parcial",IF($C100="","Sem vencimento",IF($C100&lt;TODAY(),"Vencido",IF($C100=TODAY(),"Vence hoje",IF($C100&lt;=TODAY()+7,"Vence em 7 dias",IF($C100&lt;=TODAY()+30,"Vence em 30 dias","Futuro")))))))))</f>
        <v/>
      </c>
      <c r="Z100" s="24">
        <f>IF($B100="","",MONTH($B100))</f>
        <v/>
      </c>
      <c r="AA100" s="24">
        <f>IF($B100="","",YEAR($B100))</f>
        <v/>
      </c>
      <c r="AB100" s="24">
        <f>IF($B100="","",ISOWEEKNUM($B100))</f>
        <v/>
      </c>
      <c r="AC100" s="17">
        <f>IF($B100="","",CHOOSE(WEEKDAY($B100,2),"Segunda","Terça","Quarta","Quinta","Sexta","Sábado","Domingo"))</f>
        <v/>
      </c>
      <c r="AD100" s="17">
        <f>IF($B100="","",TEXT($B100,"MM/AAAA"))</f>
        <v/>
      </c>
      <c r="AE100" s="18">
        <f>IF(COUNTA($B100:$R100)=0,"",IF($X100="Cancelado",0,ROUND(N($Q100)+N($S100)+N($T100)-N($U100),2)))</f>
        <v/>
      </c>
      <c r="AF100" s="9">
        <f>IF($G100="","",IFERROR(INDEX(LINHAS_DRE_PLANO,MATCH($G100,SUBCATEGORIAS_PLANO,0)),"Não classificado"))</f>
        <v/>
      </c>
      <c r="AG100" s="17">
        <f>IF($G100="","",IFERROR(INDEX(TIPOS_FLUXO_PLANO,MATCH($G100,SUBCATEGORIAS_PLANO,0)),"Não classificado"))</f>
        <v/>
      </c>
      <c r="AH100" s="9">
        <f>IF($G100="","",IFERROR(INDEX(GRUPOS_PLANO,MATCH($G100,SUBCATEGORIAS_PLANO,0)),"Não classificado"))</f>
        <v/>
      </c>
      <c r="AI100" s="24">
        <f>IF(OR($C100="",$X100="Pago",$X100="Recebido",$X100="Cancelado"),"",$C100-TODAY())</f>
        <v/>
      </c>
      <c r="AJ100" s="24">
        <f>IF(OR($C100="",$X100="Pago",$X100="Recebido",$X100="Cancelado"),0,MAX(0,TODAY()-$C100))</f>
        <v/>
      </c>
      <c r="AK100" s="24">
        <f>IF($D100="","",$D100-$B100)</f>
        <v/>
      </c>
      <c r="AL100" s="18">
        <f>IF(OR($D100="",$B100=""),"",ROUND(N($R100)*($D100-$B100),2))</f>
        <v/>
      </c>
      <c r="AM100" s="17">
        <f>IF(AND($E100="Saída",$W100&gt;0,$C100&lt;&gt;""),$C100+ROW()/1000000,"")</f>
        <v/>
      </c>
      <c r="AN100" s="17">
        <f>IF(AND($E100="Entrada",$W100&gt;0,$C100&lt;&gt;""),$C100+ROW()/1000000,"")</f>
        <v/>
      </c>
      <c r="AO100" s="9">
        <f>IF(COUNTA($B100:$R100)=0,"",IF(AND($I100&lt;&gt;"",COUNTIF(CLIENTES_NOMES,$I100)+COUNTIF(CLIENTES_FANTASIA,$I100)+COUNTIF(FORNECEDORES_NOMES,$I100)+COUNTIF(FORNECEDORES_FANTASIA,$I100)=0),"⚠ Cliente/Fornecedor não cadastrado",IF(AND($G100&lt;&gt;"",COUNTIF(SUBCATEGORIAS_PLANO,$G100)=0),"⚠ Subcategoria fora do plano de contas",IF(OR($Q100="",N($Q100)=0),"⚠ Valor previsto não informado",IF(AND(OR($X100="Pago",$X100="Recebido"),$D100=""),"⚠ Status pago/recebido sem data",IF(AND($D100&lt;&gt;"",N($R100)=0),"⚠ Data de pagamento sem valor realizado",IF(AND(N($P100)&gt;1,N($O100)&gt;N($P100)),"⚠ Nº da parcela maior que o total",IF(AND($C100&lt;&gt;"",$B100&lt;&gt;"",$C100&lt;$B100),"⚠ Vencimento anterior à competência","OK"))))))))</f>
        <v/>
      </c>
    </row>
    <row r="101">
      <c r="A101" s="14" t="inlineStr">
        <is>
          <t>L0096</t>
        </is>
      </c>
      <c r="B101" s="36" t="n">
        <v>46091</v>
      </c>
      <c r="C101" s="36" t="n">
        <v>46109</v>
      </c>
      <c r="D101" s="36" t="n">
        <v>46111</v>
      </c>
      <c r="E101" s="14" t="inlineStr">
        <is>
          <t>Saída</t>
        </is>
      </c>
      <c r="F101" s="29" t="inlineStr">
        <is>
          <t>Despesas Administrativas</t>
        </is>
      </c>
      <c r="G101" s="29" t="inlineStr">
        <is>
          <t>Internet e Telefonia</t>
        </is>
      </c>
      <c r="H101" s="29" t="inlineStr">
        <is>
          <t>Administrativo</t>
        </is>
      </c>
      <c r="I101" s="29" t="inlineStr">
        <is>
          <t>TELEFÔNICA BRASIL S.A. (VIVO EMPRESAS)</t>
        </is>
      </c>
      <c r="J101" s="29" t="inlineStr">
        <is>
          <t>Internet, telefonia e link dedicado</t>
        </is>
      </c>
      <c r="K101" s="14" t="inlineStr">
        <is>
          <t>DOC 8299</t>
        </is>
      </c>
      <c r="L101" s="29" t="inlineStr">
        <is>
          <t>Nubank PJ — C/C 9876543-2</t>
        </is>
      </c>
      <c r="M101" s="14" t="inlineStr">
        <is>
          <t>Cartão de crédito</t>
        </is>
      </c>
      <c r="N101" s="29" t="inlineStr">
        <is>
          <t>Cartão Mastercard Nubank PJ</t>
        </is>
      </c>
      <c r="O101" s="13" t="n">
        <v>1</v>
      </c>
      <c r="P101" s="13" t="n">
        <v>1</v>
      </c>
      <c r="Q101" s="35" t="n">
        <v>780</v>
      </c>
      <c r="R101" s="35" t="n">
        <v>780</v>
      </c>
      <c r="S101" s="35" t="n"/>
      <c r="T101" s="35" t="n"/>
      <c r="U101" s="35" t="n"/>
      <c r="V101" s="18">
        <f>IF(COUNTA($B101:$R101)=0,"",ROUND(N($R101)+N($S101)+N($T101)-N($U101),2))</f>
        <v/>
      </c>
      <c r="W101" s="18">
        <f>IF(COUNTA($B101:$R101)=0,"",IF(OR($X101="Pago",$X101="Recebido",$X101="Cancelado"),0,ROUND(N($Q101)+N($S101)+N($T101)-N($U101)-N($R101),2)))</f>
        <v/>
      </c>
      <c r="X101" s="14" t="inlineStr">
        <is>
          <t>Pago</t>
        </is>
      </c>
      <c r="Y101" s="17">
        <f>IF(COUNTA($B101:$R101)=0,"",IF($X101="Cancelado","Cancelado",IF(OR($X101="Pago",$X101="Recebido"),$X101,IF(OR($X101="Parcial",N($R101)&gt;0),"Parcial",IF($C101="","Sem vencimento",IF($C101&lt;TODAY(),"Vencido",IF($C101=TODAY(),"Vence hoje",IF($C101&lt;=TODAY()+7,"Vence em 7 dias",IF($C101&lt;=TODAY()+30,"Vence em 30 dias","Futuro")))))))))</f>
        <v/>
      </c>
      <c r="Z101" s="24">
        <f>IF($B101="","",MONTH($B101))</f>
        <v/>
      </c>
      <c r="AA101" s="24">
        <f>IF($B101="","",YEAR($B101))</f>
        <v/>
      </c>
      <c r="AB101" s="24">
        <f>IF($B101="","",ISOWEEKNUM($B101))</f>
        <v/>
      </c>
      <c r="AC101" s="17">
        <f>IF($B101="","",CHOOSE(WEEKDAY($B101,2),"Segunda","Terça","Quarta","Quinta","Sexta","Sábado","Domingo"))</f>
        <v/>
      </c>
      <c r="AD101" s="17">
        <f>IF($B101="","",TEXT($B101,"MM/AAAA"))</f>
        <v/>
      </c>
      <c r="AE101" s="18">
        <f>IF(COUNTA($B101:$R101)=0,"",IF($X101="Cancelado",0,ROUND(N($Q101)+N($S101)+N($T101)-N($U101),2)))</f>
        <v/>
      </c>
      <c r="AF101" s="9">
        <f>IF($G101="","",IFERROR(INDEX(LINHAS_DRE_PLANO,MATCH($G101,SUBCATEGORIAS_PLANO,0)),"Não classificado"))</f>
        <v/>
      </c>
      <c r="AG101" s="17">
        <f>IF($G101="","",IFERROR(INDEX(TIPOS_FLUXO_PLANO,MATCH($G101,SUBCATEGORIAS_PLANO,0)),"Não classificado"))</f>
        <v/>
      </c>
      <c r="AH101" s="9">
        <f>IF($G101="","",IFERROR(INDEX(GRUPOS_PLANO,MATCH($G101,SUBCATEGORIAS_PLANO,0)),"Não classificado"))</f>
        <v/>
      </c>
      <c r="AI101" s="24">
        <f>IF(OR($C101="",$X101="Pago",$X101="Recebido",$X101="Cancelado"),"",$C101-TODAY())</f>
        <v/>
      </c>
      <c r="AJ101" s="24">
        <f>IF(OR($C101="",$X101="Pago",$X101="Recebido",$X101="Cancelado"),0,MAX(0,TODAY()-$C101))</f>
        <v/>
      </c>
      <c r="AK101" s="24">
        <f>IF($D101="","",$D101-$B101)</f>
        <v/>
      </c>
      <c r="AL101" s="18">
        <f>IF(OR($D101="",$B101=""),"",ROUND(N($R101)*($D101-$B101),2))</f>
        <v/>
      </c>
      <c r="AM101" s="17">
        <f>IF(AND($E101="Saída",$W101&gt;0,$C101&lt;&gt;""),$C101+ROW()/1000000,"")</f>
        <v/>
      </c>
      <c r="AN101" s="17">
        <f>IF(AND($E101="Entrada",$W101&gt;0,$C101&lt;&gt;""),$C101+ROW()/1000000,"")</f>
        <v/>
      </c>
      <c r="AO101" s="9">
        <f>IF(COUNTA($B101:$R101)=0,"",IF(AND($I101&lt;&gt;"",COUNTIF(CLIENTES_NOMES,$I101)+COUNTIF(CLIENTES_FANTASIA,$I101)+COUNTIF(FORNECEDORES_NOMES,$I101)+COUNTIF(FORNECEDORES_FANTASIA,$I101)=0),"⚠ Cliente/Fornecedor não cadastrado",IF(AND($G101&lt;&gt;"",COUNTIF(SUBCATEGORIAS_PLANO,$G101)=0),"⚠ Subcategoria fora do plano de contas",IF(OR($Q101="",N($Q101)=0),"⚠ Valor previsto não informado",IF(AND(OR($X101="Pago",$X101="Recebido"),$D101=""),"⚠ Status pago/recebido sem data",IF(AND($D101&lt;&gt;"",N($R101)=0),"⚠ Data de pagamento sem valor realizado",IF(AND(N($P101)&gt;1,N($O101)&gt;N($P101)),"⚠ Nº da parcela maior que o total",IF(AND($C101&lt;&gt;"",$B101&lt;&gt;"",$C101&lt;$B101),"⚠ Vencimento anterior à competência","OK"))))))))</f>
        <v/>
      </c>
    </row>
    <row r="102">
      <c r="A102" s="14" t="inlineStr">
        <is>
          <t>L0097</t>
        </is>
      </c>
      <c r="B102" s="36" t="n">
        <v>46091</v>
      </c>
      <c r="C102" s="36" t="n">
        <v>46091</v>
      </c>
      <c r="D102" s="36" t="n">
        <v>46092</v>
      </c>
      <c r="E102" s="14" t="inlineStr">
        <is>
          <t>Saída</t>
        </is>
      </c>
      <c r="F102" s="29" t="inlineStr">
        <is>
          <t>Despesas Administrativas</t>
        </is>
      </c>
      <c r="G102" s="29" t="inlineStr">
        <is>
          <t>Contabilidade</t>
        </is>
      </c>
      <c r="H102" s="29" t="inlineStr">
        <is>
          <t>Financeiro</t>
        </is>
      </c>
      <c r="I102" s="29" t="inlineStr">
        <is>
          <t>CONTABILIDADE AURORA ASSESSORIA CONTÁBIL LTDA</t>
        </is>
      </c>
      <c r="J102" s="29" t="inlineStr">
        <is>
          <t>Honorários contábeis — competência 03/2026</t>
        </is>
      </c>
      <c r="K102" s="14" t="inlineStr">
        <is>
          <t>DOC 8300</t>
        </is>
      </c>
      <c r="L102" s="29" t="inlineStr">
        <is>
          <t>Itaú Unibanco — C/C 45678-9</t>
        </is>
      </c>
      <c r="M102" s="14" t="inlineStr">
        <is>
          <t>PIX</t>
        </is>
      </c>
      <c r="N102" s="29" t="n"/>
      <c r="O102" s="13" t="n">
        <v>1</v>
      </c>
      <c r="P102" s="13" t="n">
        <v>1</v>
      </c>
      <c r="Q102" s="35" t="n">
        <v>1250</v>
      </c>
      <c r="R102" s="35" t="n">
        <v>1250</v>
      </c>
      <c r="S102" s="35" t="n"/>
      <c r="T102" s="35" t="n"/>
      <c r="U102" s="35" t="n"/>
      <c r="V102" s="18">
        <f>IF(COUNTA($B102:$R102)=0,"",ROUND(N($R102)+N($S102)+N($T102)-N($U102),2))</f>
        <v/>
      </c>
      <c r="W102" s="18">
        <f>IF(COUNTA($B102:$R102)=0,"",IF(OR($X102="Pago",$X102="Recebido",$X102="Cancelado"),0,ROUND(N($Q102)+N($S102)+N($T102)-N($U102)-N($R102),2)))</f>
        <v/>
      </c>
      <c r="X102" s="14" t="inlineStr">
        <is>
          <t>Pago</t>
        </is>
      </c>
      <c r="Y102" s="17">
        <f>IF(COUNTA($B102:$R102)=0,"",IF($X102="Cancelado","Cancelado",IF(OR($X102="Pago",$X102="Recebido"),$X102,IF(OR($X102="Parcial",N($R102)&gt;0),"Parcial",IF($C102="","Sem vencimento",IF($C102&lt;TODAY(),"Vencido",IF($C102=TODAY(),"Vence hoje",IF($C102&lt;=TODAY()+7,"Vence em 7 dias",IF($C102&lt;=TODAY()+30,"Vence em 30 dias","Futuro")))))))))</f>
        <v/>
      </c>
      <c r="Z102" s="24">
        <f>IF($B102="","",MONTH($B102))</f>
        <v/>
      </c>
      <c r="AA102" s="24">
        <f>IF($B102="","",YEAR($B102))</f>
        <v/>
      </c>
      <c r="AB102" s="24">
        <f>IF($B102="","",ISOWEEKNUM($B102))</f>
        <v/>
      </c>
      <c r="AC102" s="17">
        <f>IF($B102="","",CHOOSE(WEEKDAY($B102,2),"Segunda","Terça","Quarta","Quinta","Sexta","Sábado","Domingo"))</f>
        <v/>
      </c>
      <c r="AD102" s="17">
        <f>IF($B102="","",TEXT($B102,"MM/AAAA"))</f>
        <v/>
      </c>
      <c r="AE102" s="18">
        <f>IF(COUNTA($B102:$R102)=0,"",IF($X102="Cancelado",0,ROUND(N($Q102)+N($S102)+N($T102)-N($U102),2)))</f>
        <v/>
      </c>
      <c r="AF102" s="9">
        <f>IF($G102="","",IFERROR(INDEX(LINHAS_DRE_PLANO,MATCH($G102,SUBCATEGORIAS_PLANO,0)),"Não classificado"))</f>
        <v/>
      </c>
      <c r="AG102" s="17">
        <f>IF($G102="","",IFERROR(INDEX(TIPOS_FLUXO_PLANO,MATCH($G102,SUBCATEGORIAS_PLANO,0)),"Não classificado"))</f>
        <v/>
      </c>
      <c r="AH102" s="9">
        <f>IF($G102="","",IFERROR(INDEX(GRUPOS_PLANO,MATCH($G102,SUBCATEGORIAS_PLANO,0)),"Não classificado"))</f>
        <v/>
      </c>
      <c r="AI102" s="24">
        <f>IF(OR($C102="",$X102="Pago",$X102="Recebido",$X102="Cancelado"),"",$C102-TODAY())</f>
        <v/>
      </c>
      <c r="AJ102" s="24">
        <f>IF(OR($C102="",$X102="Pago",$X102="Recebido",$X102="Cancelado"),0,MAX(0,TODAY()-$C102))</f>
        <v/>
      </c>
      <c r="AK102" s="24">
        <f>IF($D102="","",$D102-$B102)</f>
        <v/>
      </c>
      <c r="AL102" s="18">
        <f>IF(OR($D102="",$B102=""),"",ROUND(N($R102)*($D102-$B102),2))</f>
        <v/>
      </c>
      <c r="AM102" s="17">
        <f>IF(AND($E102="Saída",$W102&gt;0,$C102&lt;&gt;""),$C102+ROW()/1000000,"")</f>
        <v/>
      </c>
      <c r="AN102" s="17">
        <f>IF(AND($E102="Entrada",$W102&gt;0,$C102&lt;&gt;""),$C102+ROW()/1000000,"")</f>
        <v/>
      </c>
      <c r="AO102" s="9">
        <f>IF(COUNTA($B102:$R102)=0,"",IF(AND($I102&lt;&gt;"",COUNTIF(CLIENTES_NOMES,$I102)+COUNTIF(CLIENTES_FANTASIA,$I102)+COUNTIF(FORNECEDORES_NOMES,$I102)+COUNTIF(FORNECEDORES_FANTASIA,$I102)=0),"⚠ Cliente/Fornecedor não cadastrado",IF(AND($G102&lt;&gt;"",COUNTIF(SUBCATEGORIAS_PLANO,$G102)=0),"⚠ Subcategoria fora do plano de contas",IF(OR($Q102="",N($Q102)=0),"⚠ Valor previsto não informado",IF(AND(OR($X102="Pago",$X102="Recebido"),$D102=""),"⚠ Status pago/recebido sem data",IF(AND($D102&lt;&gt;"",N($R102)=0),"⚠ Data de pagamento sem valor realizado",IF(AND(N($P102)&gt;1,N($O102)&gt;N($P102)),"⚠ Nº da parcela maior que o total",IF(AND($C102&lt;&gt;"",$B102&lt;&gt;"",$C102&lt;$B102),"⚠ Vencimento anterior à competência","OK"))))))))</f>
        <v/>
      </c>
    </row>
    <row r="103">
      <c r="A103" s="14" t="inlineStr">
        <is>
          <t>L0098</t>
        </is>
      </c>
      <c r="B103" s="36" t="n">
        <v>46091</v>
      </c>
      <c r="C103" s="36" t="n">
        <v>46109</v>
      </c>
      <c r="D103" s="36" t="n">
        <v>46109</v>
      </c>
      <c r="E103" s="14" t="inlineStr">
        <is>
          <t>Saída</t>
        </is>
      </c>
      <c r="F103" s="29" t="inlineStr">
        <is>
          <t>Despesas Comerciais</t>
        </is>
      </c>
      <c r="G103" s="29" t="inlineStr">
        <is>
          <t>Marketing Digital</t>
        </is>
      </c>
      <c r="H103" s="29" t="inlineStr">
        <is>
          <t>Marketing</t>
        </is>
      </c>
      <c r="I103" s="29" t="inlineStr">
        <is>
          <t>AGÊNCIA PULSO DIGITAL LTDA</t>
        </is>
      </c>
      <c r="J103" s="29" t="inlineStr">
        <is>
          <t>Gestão de tráfego pago e produção de conteúdo</t>
        </is>
      </c>
      <c r="K103" s="14" t="inlineStr">
        <is>
          <t>DOC 8306</t>
        </is>
      </c>
      <c r="L103" s="29" t="inlineStr">
        <is>
          <t>Nubank PJ — C/C 9876543-2</t>
        </is>
      </c>
      <c r="M103" s="14" t="inlineStr">
        <is>
          <t>Cartão de crédito</t>
        </is>
      </c>
      <c r="N103" s="29" t="inlineStr">
        <is>
          <t>Cartão Mastercard Nubank PJ</t>
        </is>
      </c>
      <c r="O103" s="13" t="n">
        <v>1</v>
      </c>
      <c r="P103" s="13" t="n">
        <v>1</v>
      </c>
      <c r="Q103" s="35" t="n">
        <v>3853.28</v>
      </c>
      <c r="R103" s="35" t="n">
        <v>3853.28</v>
      </c>
      <c r="S103" s="35" t="n"/>
      <c r="T103" s="35" t="n"/>
      <c r="U103" s="35" t="n"/>
      <c r="V103" s="18">
        <f>IF(COUNTA($B103:$R103)=0,"",ROUND(N($R103)+N($S103)+N($T103)-N($U103),2))</f>
        <v/>
      </c>
      <c r="W103" s="18">
        <f>IF(COUNTA($B103:$R103)=0,"",IF(OR($X103="Pago",$X103="Recebido",$X103="Cancelado"),0,ROUND(N($Q103)+N($S103)+N($T103)-N($U103)-N($R103),2)))</f>
        <v/>
      </c>
      <c r="X103" s="14" t="inlineStr">
        <is>
          <t>Pago</t>
        </is>
      </c>
      <c r="Y103" s="17">
        <f>IF(COUNTA($B103:$R103)=0,"",IF($X103="Cancelado","Cancelado",IF(OR($X103="Pago",$X103="Recebido"),$X103,IF(OR($X103="Parcial",N($R103)&gt;0),"Parcial",IF($C103="","Sem vencimento",IF($C103&lt;TODAY(),"Vencido",IF($C103=TODAY(),"Vence hoje",IF($C103&lt;=TODAY()+7,"Vence em 7 dias",IF($C103&lt;=TODAY()+30,"Vence em 30 dias","Futuro")))))))))</f>
        <v/>
      </c>
      <c r="Z103" s="24">
        <f>IF($B103="","",MONTH($B103))</f>
        <v/>
      </c>
      <c r="AA103" s="24">
        <f>IF($B103="","",YEAR($B103))</f>
        <v/>
      </c>
      <c r="AB103" s="24">
        <f>IF($B103="","",ISOWEEKNUM($B103))</f>
        <v/>
      </c>
      <c r="AC103" s="17">
        <f>IF($B103="","",CHOOSE(WEEKDAY($B103,2),"Segunda","Terça","Quarta","Quinta","Sexta","Sábado","Domingo"))</f>
        <v/>
      </c>
      <c r="AD103" s="17">
        <f>IF($B103="","",TEXT($B103,"MM/AAAA"))</f>
        <v/>
      </c>
      <c r="AE103" s="18">
        <f>IF(COUNTA($B103:$R103)=0,"",IF($X103="Cancelado",0,ROUND(N($Q103)+N($S103)+N($T103)-N($U103),2)))</f>
        <v/>
      </c>
      <c r="AF103" s="9">
        <f>IF($G103="","",IFERROR(INDEX(LINHAS_DRE_PLANO,MATCH($G103,SUBCATEGORIAS_PLANO,0)),"Não classificado"))</f>
        <v/>
      </c>
      <c r="AG103" s="17">
        <f>IF($G103="","",IFERROR(INDEX(TIPOS_FLUXO_PLANO,MATCH($G103,SUBCATEGORIAS_PLANO,0)),"Não classificado"))</f>
        <v/>
      </c>
      <c r="AH103" s="9">
        <f>IF($G103="","",IFERROR(INDEX(GRUPOS_PLANO,MATCH($G103,SUBCATEGORIAS_PLANO,0)),"Não classificado"))</f>
        <v/>
      </c>
      <c r="AI103" s="24">
        <f>IF(OR($C103="",$X103="Pago",$X103="Recebido",$X103="Cancelado"),"",$C103-TODAY())</f>
        <v/>
      </c>
      <c r="AJ103" s="24">
        <f>IF(OR($C103="",$X103="Pago",$X103="Recebido",$X103="Cancelado"),0,MAX(0,TODAY()-$C103))</f>
        <v/>
      </c>
      <c r="AK103" s="24">
        <f>IF($D103="","",$D103-$B103)</f>
        <v/>
      </c>
      <c r="AL103" s="18">
        <f>IF(OR($D103="",$B103=""),"",ROUND(N($R103)*($D103-$B103),2))</f>
        <v/>
      </c>
      <c r="AM103" s="17">
        <f>IF(AND($E103="Saída",$W103&gt;0,$C103&lt;&gt;""),$C103+ROW()/1000000,"")</f>
        <v/>
      </c>
      <c r="AN103" s="17">
        <f>IF(AND($E103="Entrada",$W103&gt;0,$C103&lt;&gt;""),$C103+ROW()/1000000,"")</f>
        <v/>
      </c>
      <c r="AO103" s="9">
        <f>IF(COUNTA($B103:$R103)=0,"",IF(AND($I103&lt;&gt;"",COUNTIF(CLIENTES_NOMES,$I103)+COUNTIF(CLIENTES_FANTASIA,$I103)+COUNTIF(FORNECEDORES_NOMES,$I103)+COUNTIF(FORNECEDORES_FANTASIA,$I103)=0),"⚠ Cliente/Fornecedor não cadastrado",IF(AND($G103&lt;&gt;"",COUNTIF(SUBCATEGORIAS_PLANO,$G103)=0),"⚠ Subcategoria fora do plano de contas",IF(OR($Q103="",N($Q103)=0),"⚠ Valor previsto não informado",IF(AND(OR($X103="Pago",$X103="Recebido"),$D103=""),"⚠ Status pago/recebido sem data",IF(AND($D103&lt;&gt;"",N($R103)=0),"⚠ Data de pagamento sem valor realizado",IF(AND(N($P103)&gt;1,N($O103)&gt;N($P103)),"⚠ Nº da parcela maior que o total",IF(AND($C103&lt;&gt;"",$B103&lt;&gt;"",$C103&lt;$B103),"⚠ Vencimento anterior à competência","OK"))))))))</f>
        <v/>
      </c>
    </row>
    <row r="104">
      <c r="A104" s="14" t="inlineStr">
        <is>
          <t>L0099</t>
        </is>
      </c>
      <c r="B104" s="36" t="n">
        <v>46091</v>
      </c>
      <c r="C104" s="36" t="n">
        <v>46091</v>
      </c>
      <c r="D104" s="36" t="n">
        <v>46091</v>
      </c>
      <c r="E104" s="14" t="inlineStr">
        <is>
          <t>Saída</t>
        </is>
      </c>
      <c r="F104" s="29" t="inlineStr">
        <is>
          <t>Empréstimos e Financiamentos</t>
        </is>
      </c>
      <c r="G104" s="29" t="inlineStr">
        <is>
          <t>Pagamento de Principal de Empréstimos</t>
        </is>
      </c>
      <c r="H104" s="29" t="inlineStr">
        <is>
          <t>Financeiro</t>
        </is>
      </c>
      <c r="I104" s="29" t="inlineStr">
        <is>
          <t>Banco do Brasil</t>
        </is>
      </c>
      <c r="J104" s="29" t="inlineStr">
        <is>
          <t>Capital de Giro — parcela 2/24 (principal)</t>
        </is>
      </c>
      <c r="K104" s="14" t="inlineStr">
        <is>
          <t>CG-2026-0417-P02</t>
        </is>
      </c>
      <c r="L104" s="29" t="inlineStr">
        <is>
          <t>Banco do Brasil — C/C 12345-6</t>
        </is>
      </c>
      <c r="M104" s="14" t="inlineStr">
        <is>
          <t>Débito automático</t>
        </is>
      </c>
      <c r="N104" s="29" t="n"/>
      <c r="O104" s="13" t="n">
        <v>2</v>
      </c>
      <c r="P104" s="13" t="n">
        <v>24</v>
      </c>
      <c r="Q104" s="35" t="n">
        <v>2126.88</v>
      </c>
      <c r="R104" s="35" t="n">
        <v>2126.88</v>
      </c>
      <c r="S104" s="35" t="n"/>
      <c r="T104" s="35" t="n"/>
      <c r="U104" s="35" t="n"/>
      <c r="V104" s="18">
        <f>IF(COUNTA($B104:$R104)=0,"",ROUND(N($R104)+N($S104)+N($T104)-N($U104),2))</f>
        <v/>
      </c>
      <c r="W104" s="18">
        <f>IF(COUNTA($B104:$R104)=0,"",IF(OR($X104="Pago",$X104="Recebido",$X104="Cancelado"),0,ROUND(N($Q104)+N($S104)+N($T104)-N($U104)-N($R104),2)))</f>
        <v/>
      </c>
      <c r="X104" s="14" t="inlineStr">
        <is>
          <t>Pago</t>
        </is>
      </c>
      <c r="Y104" s="17">
        <f>IF(COUNTA($B104:$R104)=0,"",IF($X104="Cancelado","Cancelado",IF(OR($X104="Pago",$X104="Recebido"),$X104,IF(OR($X104="Parcial",N($R104)&gt;0),"Parcial",IF($C104="","Sem vencimento",IF($C104&lt;TODAY(),"Vencido",IF($C104=TODAY(),"Vence hoje",IF($C104&lt;=TODAY()+7,"Vence em 7 dias",IF($C104&lt;=TODAY()+30,"Vence em 30 dias","Futuro")))))))))</f>
        <v/>
      </c>
      <c r="Z104" s="24">
        <f>IF($B104="","",MONTH($B104))</f>
        <v/>
      </c>
      <c r="AA104" s="24">
        <f>IF($B104="","",YEAR($B104))</f>
        <v/>
      </c>
      <c r="AB104" s="24">
        <f>IF($B104="","",ISOWEEKNUM($B104))</f>
        <v/>
      </c>
      <c r="AC104" s="17">
        <f>IF($B104="","",CHOOSE(WEEKDAY($B104,2),"Segunda","Terça","Quarta","Quinta","Sexta","Sábado","Domingo"))</f>
        <v/>
      </c>
      <c r="AD104" s="17">
        <f>IF($B104="","",TEXT($B104,"MM/AAAA"))</f>
        <v/>
      </c>
      <c r="AE104" s="18">
        <f>IF(COUNTA($B104:$R104)=0,"",IF($X104="Cancelado",0,ROUND(N($Q104)+N($S104)+N($T104)-N($U104),2)))</f>
        <v/>
      </c>
      <c r="AF104" s="9">
        <f>IF($G104="","",IFERROR(INDEX(LINHAS_DRE_PLANO,MATCH($G104,SUBCATEGORIAS_PLANO,0)),"Não classificado"))</f>
        <v/>
      </c>
      <c r="AG104" s="17">
        <f>IF($G104="","",IFERROR(INDEX(TIPOS_FLUXO_PLANO,MATCH($G104,SUBCATEGORIAS_PLANO,0)),"Não classificado"))</f>
        <v/>
      </c>
      <c r="AH104" s="9">
        <f>IF($G104="","",IFERROR(INDEX(GRUPOS_PLANO,MATCH($G104,SUBCATEGORIAS_PLANO,0)),"Não classificado"))</f>
        <v/>
      </c>
      <c r="AI104" s="24">
        <f>IF(OR($C104="",$X104="Pago",$X104="Recebido",$X104="Cancelado"),"",$C104-TODAY())</f>
        <v/>
      </c>
      <c r="AJ104" s="24">
        <f>IF(OR($C104="",$X104="Pago",$X104="Recebido",$X104="Cancelado"),0,MAX(0,TODAY()-$C104))</f>
        <v/>
      </c>
      <c r="AK104" s="24">
        <f>IF($D104="","",$D104-$B104)</f>
        <v/>
      </c>
      <c r="AL104" s="18">
        <f>IF(OR($D104="",$B104=""),"",ROUND(N($R104)*($D104-$B104),2))</f>
        <v/>
      </c>
      <c r="AM104" s="17">
        <f>IF(AND($E104="Saída",$W104&gt;0,$C104&lt;&gt;""),$C104+ROW()/1000000,"")</f>
        <v/>
      </c>
      <c r="AN104" s="17">
        <f>IF(AND($E104="Entrada",$W104&gt;0,$C104&lt;&gt;""),$C104+ROW()/1000000,"")</f>
        <v/>
      </c>
      <c r="AO104" s="9">
        <f>IF(COUNTA($B104:$R104)=0,"",IF(AND($I104&lt;&gt;"",COUNTIF(CLIENTES_NOMES,$I104)+COUNTIF(CLIENTES_FANTASIA,$I104)+COUNTIF(FORNECEDORES_NOMES,$I104)+COUNTIF(FORNECEDORES_FANTASIA,$I104)=0),"⚠ Cliente/Fornecedor não cadastrado",IF(AND($G104&lt;&gt;"",COUNTIF(SUBCATEGORIAS_PLANO,$G104)=0),"⚠ Subcategoria fora do plano de contas",IF(OR($Q104="",N($Q104)=0),"⚠ Valor previsto não informado",IF(AND(OR($X104="Pago",$X104="Recebido"),$D104=""),"⚠ Status pago/recebido sem data",IF(AND($D104&lt;&gt;"",N($R104)=0),"⚠ Data de pagamento sem valor realizado",IF(AND(N($P104)&gt;1,N($O104)&gt;N($P104)),"⚠ Nº da parcela maior que o total",IF(AND($C104&lt;&gt;"",$B104&lt;&gt;"",$C104&lt;$B104),"⚠ Vencimento anterior à competência","OK"))))))))</f>
        <v/>
      </c>
    </row>
    <row r="105">
      <c r="A105" s="14" t="inlineStr">
        <is>
          <t>L0100</t>
        </is>
      </c>
      <c r="B105" s="36" t="n">
        <v>46091</v>
      </c>
      <c r="C105" s="36" t="n">
        <v>46091</v>
      </c>
      <c r="D105" s="36" t="n">
        <v>46091</v>
      </c>
      <c r="E105" s="14" t="inlineStr">
        <is>
          <t>Saída</t>
        </is>
      </c>
      <c r="F105" s="29" t="inlineStr">
        <is>
          <t>Despesas Financeiras</t>
        </is>
      </c>
      <c r="G105" s="29" t="inlineStr">
        <is>
          <t>Juros de Empréstimos e Financiamentos</t>
        </is>
      </c>
      <c r="H105" s="29" t="inlineStr">
        <is>
          <t>Financeiro</t>
        </is>
      </c>
      <c r="I105" s="29" t="inlineStr">
        <is>
          <t>Banco do Brasil</t>
        </is>
      </c>
      <c r="J105" s="29" t="inlineStr">
        <is>
          <t>Capital de Giro — parcela 2/24 (juros)</t>
        </is>
      </c>
      <c r="K105" s="14" t="inlineStr">
        <is>
          <t>CG-2026-0417-P02</t>
        </is>
      </c>
      <c r="L105" s="29" t="inlineStr">
        <is>
          <t>Banco do Brasil — C/C 12345-6</t>
        </is>
      </c>
      <c r="M105" s="14" t="inlineStr">
        <is>
          <t>Débito automático</t>
        </is>
      </c>
      <c r="N105" s="29" t="n"/>
      <c r="O105" s="13" t="n">
        <v>2</v>
      </c>
      <c r="P105" s="13" t="n">
        <v>24</v>
      </c>
      <c r="Q105" s="35" t="n">
        <v>868.5700000000001</v>
      </c>
      <c r="R105" s="35" t="n">
        <v>868.5700000000001</v>
      </c>
      <c r="S105" s="35" t="n"/>
      <c r="T105" s="35" t="n"/>
      <c r="U105" s="35" t="n"/>
      <c r="V105" s="18">
        <f>IF(COUNTA($B105:$R105)=0,"",ROUND(N($R105)+N($S105)+N($T105)-N($U105),2))</f>
        <v/>
      </c>
      <c r="W105" s="18">
        <f>IF(COUNTA($B105:$R105)=0,"",IF(OR($X105="Pago",$X105="Recebido",$X105="Cancelado"),0,ROUND(N($Q105)+N($S105)+N($T105)-N($U105)-N($R105),2)))</f>
        <v/>
      </c>
      <c r="X105" s="14" t="inlineStr">
        <is>
          <t>Pago</t>
        </is>
      </c>
      <c r="Y105" s="17">
        <f>IF(COUNTA($B105:$R105)=0,"",IF($X105="Cancelado","Cancelado",IF(OR($X105="Pago",$X105="Recebido"),$X105,IF(OR($X105="Parcial",N($R105)&gt;0),"Parcial",IF($C105="","Sem vencimento",IF($C105&lt;TODAY(),"Vencido",IF($C105=TODAY(),"Vence hoje",IF($C105&lt;=TODAY()+7,"Vence em 7 dias",IF($C105&lt;=TODAY()+30,"Vence em 30 dias","Futuro")))))))))</f>
        <v/>
      </c>
      <c r="Z105" s="24">
        <f>IF($B105="","",MONTH($B105))</f>
        <v/>
      </c>
      <c r="AA105" s="24">
        <f>IF($B105="","",YEAR($B105))</f>
        <v/>
      </c>
      <c r="AB105" s="24">
        <f>IF($B105="","",ISOWEEKNUM($B105))</f>
        <v/>
      </c>
      <c r="AC105" s="17">
        <f>IF($B105="","",CHOOSE(WEEKDAY($B105,2),"Segunda","Terça","Quarta","Quinta","Sexta","Sábado","Domingo"))</f>
        <v/>
      </c>
      <c r="AD105" s="17">
        <f>IF($B105="","",TEXT($B105,"MM/AAAA"))</f>
        <v/>
      </c>
      <c r="AE105" s="18">
        <f>IF(COUNTA($B105:$R105)=0,"",IF($X105="Cancelado",0,ROUND(N($Q105)+N($S105)+N($T105)-N($U105),2)))</f>
        <v/>
      </c>
      <c r="AF105" s="9">
        <f>IF($G105="","",IFERROR(INDEX(LINHAS_DRE_PLANO,MATCH($G105,SUBCATEGORIAS_PLANO,0)),"Não classificado"))</f>
        <v/>
      </c>
      <c r="AG105" s="17">
        <f>IF($G105="","",IFERROR(INDEX(TIPOS_FLUXO_PLANO,MATCH($G105,SUBCATEGORIAS_PLANO,0)),"Não classificado"))</f>
        <v/>
      </c>
      <c r="AH105" s="9">
        <f>IF($G105="","",IFERROR(INDEX(GRUPOS_PLANO,MATCH($G105,SUBCATEGORIAS_PLANO,0)),"Não classificado"))</f>
        <v/>
      </c>
      <c r="AI105" s="24">
        <f>IF(OR($C105="",$X105="Pago",$X105="Recebido",$X105="Cancelado"),"",$C105-TODAY())</f>
        <v/>
      </c>
      <c r="AJ105" s="24">
        <f>IF(OR($C105="",$X105="Pago",$X105="Recebido",$X105="Cancelado"),0,MAX(0,TODAY()-$C105))</f>
        <v/>
      </c>
      <c r="AK105" s="24">
        <f>IF($D105="","",$D105-$B105)</f>
        <v/>
      </c>
      <c r="AL105" s="18">
        <f>IF(OR($D105="",$B105=""),"",ROUND(N($R105)*($D105-$B105),2))</f>
        <v/>
      </c>
      <c r="AM105" s="17">
        <f>IF(AND($E105="Saída",$W105&gt;0,$C105&lt;&gt;""),$C105+ROW()/1000000,"")</f>
        <v/>
      </c>
      <c r="AN105" s="17">
        <f>IF(AND($E105="Entrada",$W105&gt;0,$C105&lt;&gt;""),$C105+ROW()/1000000,"")</f>
        <v/>
      </c>
      <c r="AO105" s="9">
        <f>IF(COUNTA($B105:$R105)=0,"",IF(AND($I105&lt;&gt;"",COUNTIF(CLIENTES_NOMES,$I105)+COUNTIF(CLIENTES_FANTASIA,$I105)+COUNTIF(FORNECEDORES_NOMES,$I105)+COUNTIF(FORNECEDORES_FANTASIA,$I105)=0),"⚠ Cliente/Fornecedor não cadastrado",IF(AND($G105&lt;&gt;"",COUNTIF(SUBCATEGORIAS_PLANO,$G105)=0),"⚠ Subcategoria fora do plano de contas",IF(OR($Q105="",N($Q105)=0),"⚠ Valor previsto não informado",IF(AND(OR($X105="Pago",$X105="Recebido"),$D105=""),"⚠ Status pago/recebido sem data",IF(AND($D105&lt;&gt;"",N($R105)=0),"⚠ Data de pagamento sem valor realizado",IF(AND(N($P105)&gt;1,N($O105)&gt;N($P105)),"⚠ Nº da parcela maior que o total",IF(AND($C105&lt;&gt;"",$B105&lt;&gt;"",$C105&lt;$B105),"⚠ Vencimento anterior à competência","OK"))))))))</f>
        <v/>
      </c>
    </row>
    <row r="106">
      <c r="A106" s="14" t="inlineStr">
        <is>
          <t>L0101</t>
        </is>
      </c>
      <c r="B106" s="36" t="n">
        <v>46092</v>
      </c>
      <c r="C106" s="36" t="n">
        <v>46122</v>
      </c>
      <c r="D106" s="36" t="n">
        <v>46125</v>
      </c>
      <c r="E106" s="14" t="inlineStr">
        <is>
          <t>Entrada</t>
        </is>
      </c>
      <c r="F106" s="29" t="inlineStr">
        <is>
          <t>Vendas</t>
        </is>
      </c>
      <c r="G106" s="29" t="inlineStr">
        <is>
          <t>Vendas de Produtos</t>
        </is>
      </c>
      <c r="H106" s="29" t="inlineStr">
        <is>
          <t>Comercial</t>
        </is>
      </c>
      <c r="I106" s="29" t="inlineStr">
        <is>
          <t>MERCADO BOA COMPRA LTDA</t>
        </is>
      </c>
      <c r="J106" s="29" t="inlineStr">
        <is>
          <t>Venda de mercadorias (parcela 1/2)</t>
        </is>
      </c>
      <c r="K106" s="14" t="inlineStr">
        <is>
          <t>NF-e 2024</t>
        </is>
      </c>
      <c r="L106" s="29" t="inlineStr">
        <is>
          <t>Banco do Brasil — C/C 12345-6</t>
        </is>
      </c>
      <c r="M106" s="14" t="inlineStr">
        <is>
          <t>Crédito parcelado</t>
        </is>
      </c>
      <c r="N106" s="29" t="n"/>
      <c r="O106" s="13" t="n">
        <v>1</v>
      </c>
      <c r="P106" s="13" t="n">
        <v>2</v>
      </c>
      <c r="Q106" s="35" t="n">
        <v>19156.3</v>
      </c>
      <c r="R106" s="35" t="n">
        <v>19156.3</v>
      </c>
      <c r="S106" s="35" t="n"/>
      <c r="T106" s="35" t="n"/>
      <c r="U106" s="35" t="n"/>
      <c r="V106" s="18">
        <f>IF(COUNTA($B106:$R106)=0,"",ROUND(N($R106)+N($S106)+N($T106)-N($U106),2))</f>
        <v/>
      </c>
      <c r="W106" s="18">
        <f>IF(COUNTA($B106:$R106)=0,"",IF(OR($X106="Pago",$X106="Recebido",$X106="Cancelado"),0,ROUND(N($Q106)+N($S106)+N($T106)-N($U106)-N($R106),2)))</f>
        <v/>
      </c>
      <c r="X106" s="14" t="inlineStr">
        <is>
          <t>Pago</t>
        </is>
      </c>
      <c r="Y106" s="17">
        <f>IF(COUNTA($B106:$R106)=0,"",IF($X106="Cancelado","Cancelado",IF(OR($X106="Pago",$X106="Recebido"),$X106,IF(OR($X106="Parcial",N($R106)&gt;0),"Parcial",IF($C106="","Sem vencimento",IF($C106&lt;TODAY(),"Vencido",IF($C106=TODAY(),"Vence hoje",IF($C106&lt;=TODAY()+7,"Vence em 7 dias",IF($C106&lt;=TODAY()+30,"Vence em 30 dias","Futuro")))))))))</f>
        <v/>
      </c>
      <c r="Z106" s="24">
        <f>IF($B106="","",MONTH($B106))</f>
        <v/>
      </c>
      <c r="AA106" s="24">
        <f>IF($B106="","",YEAR($B106))</f>
        <v/>
      </c>
      <c r="AB106" s="24">
        <f>IF($B106="","",ISOWEEKNUM($B106))</f>
        <v/>
      </c>
      <c r="AC106" s="17">
        <f>IF($B106="","",CHOOSE(WEEKDAY($B106,2),"Segunda","Terça","Quarta","Quinta","Sexta","Sábado","Domingo"))</f>
        <v/>
      </c>
      <c r="AD106" s="17">
        <f>IF($B106="","",TEXT($B106,"MM/AAAA"))</f>
        <v/>
      </c>
      <c r="AE106" s="18">
        <f>IF(COUNTA($B106:$R106)=0,"",IF($X106="Cancelado",0,ROUND(N($Q106)+N($S106)+N($T106)-N($U106),2)))</f>
        <v/>
      </c>
      <c r="AF106" s="9">
        <f>IF($G106="","",IFERROR(INDEX(LINHAS_DRE_PLANO,MATCH($G106,SUBCATEGORIAS_PLANO,0)),"Não classificado"))</f>
        <v/>
      </c>
      <c r="AG106" s="17">
        <f>IF($G106="","",IFERROR(INDEX(TIPOS_FLUXO_PLANO,MATCH($G106,SUBCATEGORIAS_PLANO,0)),"Não classificado"))</f>
        <v/>
      </c>
      <c r="AH106" s="9">
        <f>IF($G106="","",IFERROR(INDEX(GRUPOS_PLANO,MATCH($G106,SUBCATEGORIAS_PLANO,0)),"Não classificado"))</f>
        <v/>
      </c>
      <c r="AI106" s="24">
        <f>IF(OR($C106="",$X106="Pago",$X106="Recebido",$X106="Cancelado"),"",$C106-TODAY())</f>
        <v/>
      </c>
      <c r="AJ106" s="24">
        <f>IF(OR($C106="",$X106="Pago",$X106="Recebido",$X106="Cancelado"),0,MAX(0,TODAY()-$C106))</f>
        <v/>
      </c>
      <c r="AK106" s="24">
        <f>IF($D106="","",$D106-$B106)</f>
        <v/>
      </c>
      <c r="AL106" s="18">
        <f>IF(OR($D106="",$B106=""),"",ROUND(N($R106)*($D106-$B106),2))</f>
        <v/>
      </c>
      <c r="AM106" s="17">
        <f>IF(AND($E106="Saída",$W106&gt;0,$C106&lt;&gt;""),$C106+ROW()/1000000,"")</f>
        <v/>
      </c>
      <c r="AN106" s="17">
        <f>IF(AND($E106="Entrada",$W106&gt;0,$C106&lt;&gt;""),$C106+ROW()/1000000,"")</f>
        <v/>
      </c>
      <c r="AO106" s="9">
        <f>IF(COUNTA($B106:$R106)=0,"",IF(AND($I106&lt;&gt;"",COUNTIF(CLIENTES_NOMES,$I106)+COUNTIF(CLIENTES_FANTASIA,$I106)+COUNTIF(FORNECEDORES_NOMES,$I106)+COUNTIF(FORNECEDORES_FANTASIA,$I106)=0),"⚠ Cliente/Fornecedor não cadastrado",IF(AND($G106&lt;&gt;"",COUNTIF(SUBCATEGORIAS_PLANO,$G106)=0),"⚠ Subcategoria fora do plano de contas",IF(OR($Q106="",N($Q106)=0),"⚠ Valor previsto não informado",IF(AND(OR($X106="Pago",$X106="Recebido"),$D106=""),"⚠ Status pago/recebido sem data",IF(AND($D106&lt;&gt;"",N($R106)=0),"⚠ Data de pagamento sem valor realizado",IF(AND(N($P106)&gt;1,N($O106)&gt;N($P106)),"⚠ Nº da parcela maior que o total",IF(AND($C106&lt;&gt;"",$B106&lt;&gt;"",$C106&lt;$B106),"⚠ Vencimento anterior à competência","OK"))))))))</f>
        <v/>
      </c>
    </row>
    <row r="107">
      <c r="A107" s="14" t="inlineStr">
        <is>
          <t>L0102</t>
        </is>
      </c>
      <c r="B107" s="36" t="n">
        <v>46092</v>
      </c>
      <c r="C107" s="36" t="n">
        <v>46152</v>
      </c>
      <c r="D107" s="36" t="n">
        <v>46153</v>
      </c>
      <c r="E107" s="14" t="inlineStr">
        <is>
          <t>Entrada</t>
        </is>
      </c>
      <c r="F107" s="29" t="inlineStr">
        <is>
          <t>Vendas</t>
        </is>
      </c>
      <c r="G107" s="29" t="inlineStr">
        <is>
          <t>Vendas de Produtos</t>
        </is>
      </c>
      <c r="H107" s="29" t="inlineStr">
        <is>
          <t>Comercial</t>
        </is>
      </c>
      <c r="I107" s="29" t="inlineStr">
        <is>
          <t>MERCADO BOA COMPRA LTDA</t>
        </is>
      </c>
      <c r="J107" s="29" t="inlineStr">
        <is>
          <t>Venda de mercadorias (parcela 2/2)</t>
        </is>
      </c>
      <c r="K107" s="14" t="inlineStr">
        <is>
          <t>NF-e 2025</t>
        </is>
      </c>
      <c r="L107" s="29" t="inlineStr">
        <is>
          <t>Banco do Brasil — C/C 12345-6</t>
        </is>
      </c>
      <c r="M107" s="14" t="inlineStr">
        <is>
          <t>Crédito parcelado</t>
        </is>
      </c>
      <c r="N107" s="29" t="n"/>
      <c r="O107" s="13" t="n">
        <v>2</v>
      </c>
      <c r="P107" s="13" t="n">
        <v>2</v>
      </c>
      <c r="Q107" s="35" t="n">
        <v>19156.3</v>
      </c>
      <c r="R107" s="35" t="n">
        <v>19156.3</v>
      </c>
      <c r="S107" s="35" t="n"/>
      <c r="T107" s="35" t="n"/>
      <c r="U107" s="35" t="n"/>
      <c r="V107" s="18">
        <f>IF(COUNTA($B107:$R107)=0,"",ROUND(N($R107)+N($S107)+N($T107)-N($U107),2))</f>
        <v/>
      </c>
      <c r="W107" s="18">
        <f>IF(COUNTA($B107:$R107)=0,"",IF(OR($X107="Pago",$X107="Recebido",$X107="Cancelado"),0,ROUND(N($Q107)+N($S107)+N($T107)-N($U107)-N($R107),2)))</f>
        <v/>
      </c>
      <c r="X107" s="14" t="inlineStr">
        <is>
          <t>Pago</t>
        </is>
      </c>
      <c r="Y107" s="17">
        <f>IF(COUNTA($B107:$R107)=0,"",IF($X107="Cancelado","Cancelado",IF(OR($X107="Pago",$X107="Recebido"),$X107,IF(OR($X107="Parcial",N($R107)&gt;0),"Parcial",IF($C107="","Sem vencimento",IF($C107&lt;TODAY(),"Vencido",IF($C107=TODAY(),"Vence hoje",IF($C107&lt;=TODAY()+7,"Vence em 7 dias",IF($C107&lt;=TODAY()+30,"Vence em 30 dias","Futuro")))))))))</f>
        <v/>
      </c>
      <c r="Z107" s="24">
        <f>IF($B107="","",MONTH($B107))</f>
        <v/>
      </c>
      <c r="AA107" s="24">
        <f>IF($B107="","",YEAR($B107))</f>
        <v/>
      </c>
      <c r="AB107" s="24">
        <f>IF($B107="","",ISOWEEKNUM($B107))</f>
        <v/>
      </c>
      <c r="AC107" s="17">
        <f>IF($B107="","",CHOOSE(WEEKDAY($B107,2),"Segunda","Terça","Quarta","Quinta","Sexta","Sábado","Domingo"))</f>
        <v/>
      </c>
      <c r="AD107" s="17">
        <f>IF($B107="","",TEXT($B107,"MM/AAAA"))</f>
        <v/>
      </c>
      <c r="AE107" s="18">
        <f>IF(COUNTA($B107:$R107)=0,"",IF($X107="Cancelado",0,ROUND(N($Q107)+N($S107)+N($T107)-N($U107),2)))</f>
        <v/>
      </c>
      <c r="AF107" s="9">
        <f>IF($G107="","",IFERROR(INDEX(LINHAS_DRE_PLANO,MATCH($G107,SUBCATEGORIAS_PLANO,0)),"Não classificado"))</f>
        <v/>
      </c>
      <c r="AG107" s="17">
        <f>IF($G107="","",IFERROR(INDEX(TIPOS_FLUXO_PLANO,MATCH($G107,SUBCATEGORIAS_PLANO,0)),"Não classificado"))</f>
        <v/>
      </c>
      <c r="AH107" s="9">
        <f>IF($G107="","",IFERROR(INDEX(GRUPOS_PLANO,MATCH($G107,SUBCATEGORIAS_PLANO,0)),"Não classificado"))</f>
        <v/>
      </c>
      <c r="AI107" s="24">
        <f>IF(OR($C107="",$X107="Pago",$X107="Recebido",$X107="Cancelado"),"",$C107-TODAY())</f>
        <v/>
      </c>
      <c r="AJ107" s="24">
        <f>IF(OR($C107="",$X107="Pago",$X107="Recebido",$X107="Cancelado"),0,MAX(0,TODAY()-$C107))</f>
        <v/>
      </c>
      <c r="AK107" s="24">
        <f>IF($D107="","",$D107-$B107)</f>
        <v/>
      </c>
      <c r="AL107" s="18">
        <f>IF(OR($D107="",$B107=""),"",ROUND(N($R107)*($D107-$B107),2))</f>
        <v/>
      </c>
      <c r="AM107" s="17">
        <f>IF(AND($E107="Saída",$W107&gt;0,$C107&lt;&gt;""),$C107+ROW()/1000000,"")</f>
        <v/>
      </c>
      <c r="AN107" s="17">
        <f>IF(AND($E107="Entrada",$W107&gt;0,$C107&lt;&gt;""),$C107+ROW()/1000000,"")</f>
        <v/>
      </c>
      <c r="AO107" s="9">
        <f>IF(COUNTA($B107:$R107)=0,"",IF(AND($I107&lt;&gt;"",COUNTIF(CLIENTES_NOMES,$I107)+COUNTIF(CLIENTES_FANTASIA,$I107)+COUNTIF(FORNECEDORES_NOMES,$I107)+COUNTIF(FORNECEDORES_FANTASIA,$I107)=0),"⚠ Cliente/Fornecedor não cadastrado",IF(AND($G107&lt;&gt;"",COUNTIF(SUBCATEGORIAS_PLANO,$G107)=0),"⚠ Subcategoria fora do plano de contas",IF(OR($Q107="",N($Q107)=0),"⚠ Valor previsto não informado",IF(AND(OR($X107="Pago",$X107="Recebido"),$D107=""),"⚠ Status pago/recebido sem data",IF(AND($D107&lt;&gt;"",N($R107)=0),"⚠ Data de pagamento sem valor realizado",IF(AND(N($P107)&gt;1,N($O107)&gt;N($P107)),"⚠ Nº da parcela maior que o total",IF(AND($C107&lt;&gt;"",$B107&lt;&gt;"",$C107&lt;$B107),"⚠ Vencimento anterior à competência","OK"))))))))</f>
        <v/>
      </c>
    </row>
    <row r="108">
      <c r="A108" s="14" t="inlineStr">
        <is>
          <t>L0103</t>
        </is>
      </c>
      <c r="B108" s="36" t="n">
        <v>46092</v>
      </c>
      <c r="C108" s="36" t="n">
        <v>46092</v>
      </c>
      <c r="D108" s="36" t="n">
        <v>46094</v>
      </c>
      <c r="E108" s="14" t="inlineStr">
        <is>
          <t>Entrada</t>
        </is>
      </c>
      <c r="F108" s="29" t="inlineStr">
        <is>
          <t>Vendas</t>
        </is>
      </c>
      <c r="G108" s="29" t="inlineStr">
        <is>
          <t>Vendas de Produtos</t>
        </is>
      </c>
      <c r="H108" s="29" t="inlineStr">
        <is>
          <t>Comercial</t>
        </is>
      </c>
      <c r="I108" s="29" t="inlineStr">
        <is>
          <t>PADARIA PÃO DOURADO ME</t>
        </is>
      </c>
      <c r="J108" s="29" t="inlineStr">
        <is>
          <t>Venda de mercadorias para revenda</t>
        </is>
      </c>
      <c r="K108" s="14" t="inlineStr">
        <is>
          <t>NF-e 2028</t>
        </is>
      </c>
      <c r="L108" s="29" t="inlineStr">
        <is>
          <t>Nubank PJ — C/C 9876543-2</t>
        </is>
      </c>
      <c r="M108" s="14" t="inlineStr">
        <is>
          <t>PIX</t>
        </is>
      </c>
      <c r="N108" s="29" t="n"/>
      <c r="O108" s="13" t="n">
        <v>1</v>
      </c>
      <c r="P108" s="13" t="n">
        <v>1</v>
      </c>
      <c r="Q108" s="35" t="n">
        <v>25086.37</v>
      </c>
      <c r="R108" s="35" t="n">
        <v>25086.37</v>
      </c>
      <c r="S108" s="35" t="n"/>
      <c r="T108" s="35" t="n"/>
      <c r="U108" s="35" t="n"/>
      <c r="V108" s="18">
        <f>IF(COUNTA($B108:$R108)=0,"",ROUND(N($R108)+N($S108)+N($T108)-N($U108),2))</f>
        <v/>
      </c>
      <c r="W108" s="18">
        <f>IF(COUNTA($B108:$R108)=0,"",IF(OR($X108="Pago",$X108="Recebido",$X108="Cancelado"),0,ROUND(N($Q108)+N($S108)+N($T108)-N($U108)-N($R108),2)))</f>
        <v/>
      </c>
      <c r="X108" s="14" t="inlineStr">
        <is>
          <t>Pago</t>
        </is>
      </c>
      <c r="Y108" s="17">
        <f>IF(COUNTA($B108:$R108)=0,"",IF($X108="Cancelado","Cancelado",IF(OR($X108="Pago",$X108="Recebido"),$X108,IF(OR($X108="Parcial",N($R108)&gt;0),"Parcial",IF($C108="","Sem vencimento",IF($C108&lt;TODAY(),"Vencido",IF($C108=TODAY(),"Vence hoje",IF($C108&lt;=TODAY()+7,"Vence em 7 dias",IF($C108&lt;=TODAY()+30,"Vence em 30 dias","Futuro")))))))))</f>
        <v/>
      </c>
      <c r="Z108" s="24">
        <f>IF($B108="","",MONTH($B108))</f>
        <v/>
      </c>
      <c r="AA108" s="24">
        <f>IF($B108="","",YEAR($B108))</f>
        <v/>
      </c>
      <c r="AB108" s="24">
        <f>IF($B108="","",ISOWEEKNUM($B108))</f>
        <v/>
      </c>
      <c r="AC108" s="17">
        <f>IF($B108="","",CHOOSE(WEEKDAY($B108,2),"Segunda","Terça","Quarta","Quinta","Sexta","Sábado","Domingo"))</f>
        <v/>
      </c>
      <c r="AD108" s="17">
        <f>IF($B108="","",TEXT($B108,"MM/AAAA"))</f>
        <v/>
      </c>
      <c r="AE108" s="18">
        <f>IF(COUNTA($B108:$R108)=0,"",IF($X108="Cancelado",0,ROUND(N($Q108)+N($S108)+N($T108)-N($U108),2)))</f>
        <v/>
      </c>
      <c r="AF108" s="9">
        <f>IF($G108="","",IFERROR(INDEX(LINHAS_DRE_PLANO,MATCH($G108,SUBCATEGORIAS_PLANO,0)),"Não classificado"))</f>
        <v/>
      </c>
      <c r="AG108" s="17">
        <f>IF($G108="","",IFERROR(INDEX(TIPOS_FLUXO_PLANO,MATCH($G108,SUBCATEGORIAS_PLANO,0)),"Não classificado"))</f>
        <v/>
      </c>
      <c r="AH108" s="9">
        <f>IF($G108="","",IFERROR(INDEX(GRUPOS_PLANO,MATCH($G108,SUBCATEGORIAS_PLANO,0)),"Não classificado"))</f>
        <v/>
      </c>
      <c r="AI108" s="24">
        <f>IF(OR($C108="",$X108="Pago",$X108="Recebido",$X108="Cancelado"),"",$C108-TODAY())</f>
        <v/>
      </c>
      <c r="AJ108" s="24">
        <f>IF(OR($C108="",$X108="Pago",$X108="Recebido",$X108="Cancelado"),0,MAX(0,TODAY()-$C108))</f>
        <v/>
      </c>
      <c r="AK108" s="24">
        <f>IF($D108="","",$D108-$B108)</f>
        <v/>
      </c>
      <c r="AL108" s="18">
        <f>IF(OR($D108="",$B108=""),"",ROUND(N($R108)*($D108-$B108),2))</f>
        <v/>
      </c>
      <c r="AM108" s="17">
        <f>IF(AND($E108="Saída",$W108&gt;0,$C108&lt;&gt;""),$C108+ROW()/1000000,"")</f>
        <v/>
      </c>
      <c r="AN108" s="17">
        <f>IF(AND($E108="Entrada",$W108&gt;0,$C108&lt;&gt;""),$C108+ROW()/1000000,"")</f>
        <v/>
      </c>
      <c r="AO108" s="9">
        <f>IF(COUNTA($B108:$R108)=0,"",IF(AND($I108&lt;&gt;"",COUNTIF(CLIENTES_NOMES,$I108)+COUNTIF(CLIENTES_FANTASIA,$I108)+COUNTIF(FORNECEDORES_NOMES,$I108)+COUNTIF(FORNECEDORES_FANTASIA,$I108)=0),"⚠ Cliente/Fornecedor não cadastrado",IF(AND($G108&lt;&gt;"",COUNTIF(SUBCATEGORIAS_PLANO,$G108)=0),"⚠ Subcategoria fora do plano de contas",IF(OR($Q108="",N($Q108)=0),"⚠ Valor previsto não informado",IF(AND(OR($X108="Pago",$X108="Recebido"),$D108=""),"⚠ Status pago/recebido sem data",IF(AND($D108&lt;&gt;"",N($R108)=0),"⚠ Data de pagamento sem valor realizado",IF(AND(N($P108)&gt;1,N($O108)&gt;N($P108)),"⚠ Nº da parcela maior que o total",IF(AND($C108&lt;&gt;"",$B108&lt;&gt;"",$C108&lt;$B108),"⚠ Vencimento anterior à competência","OK"))))))))</f>
        <v/>
      </c>
    </row>
    <row r="109">
      <c r="A109" s="14" t="inlineStr">
        <is>
          <t>L0104</t>
        </is>
      </c>
      <c r="B109" s="36" t="n">
        <v>46092</v>
      </c>
      <c r="C109" s="36" t="n">
        <v>46107</v>
      </c>
      <c r="D109" s="36" t="n">
        <v>46110</v>
      </c>
      <c r="E109" s="14" t="inlineStr">
        <is>
          <t>Entrada</t>
        </is>
      </c>
      <c r="F109" s="29" t="inlineStr">
        <is>
          <t>Vendas</t>
        </is>
      </c>
      <c r="G109" s="29" t="inlineStr">
        <is>
          <t>Vendas de Produtos</t>
        </is>
      </c>
      <c r="H109" s="29" t="inlineStr">
        <is>
          <t>Comercial</t>
        </is>
      </c>
      <c r="I109" s="29" t="inlineStr">
        <is>
          <t>RESTAURANTE SABOR CASEIRO LTDA</t>
        </is>
      </c>
      <c r="J109" s="29" t="inlineStr">
        <is>
          <t>Venda de mercadorias para revenda</t>
        </is>
      </c>
      <c r="K109" s="14" t="inlineStr">
        <is>
          <t>NF-e 2029</t>
        </is>
      </c>
      <c r="L109" s="29" t="inlineStr">
        <is>
          <t>Itaú Unibanco — C/C 45678-9</t>
        </is>
      </c>
      <c r="M109" s="14" t="inlineStr">
        <is>
          <t>Boleto</t>
        </is>
      </c>
      <c r="N109" s="29" t="n"/>
      <c r="O109" s="13" t="n">
        <v>1</v>
      </c>
      <c r="P109" s="13" t="n">
        <v>1</v>
      </c>
      <c r="Q109" s="35" t="n">
        <v>19122.54</v>
      </c>
      <c r="R109" s="35" t="n">
        <v>19122.54</v>
      </c>
      <c r="S109" s="35" t="n"/>
      <c r="T109" s="35" t="n"/>
      <c r="U109" s="35" t="n"/>
      <c r="V109" s="18">
        <f>IF(COUNTA($B109:$R109)=0,"",ROUND(N($R109)+N($S109)+N($T109)-N($U109),2))</f>
        <v/>
      </c>
      <c r="W109" s="18">
        <f>IF(COUNTA($B109:$R109)=0,"",IF(OR($X109="Pago",$X109="Recebido",$X109="Cancelado"),0,ROUND(N($Q109)+N($S109)+N($T109)-N($U109)-N($R109),2)))</f>
        <v/>
      </c>
      <c r="X109" s="14" t="inlineStr">
        <is>
          <t>Pago</t>
        </is>
      </c>
      <c r="Y109" s="17">
        <f>IF(COUNTA($B109:$R109)=0,"",IF($X109="Cancelado","Cancelado",IF(OR($X109="Pago",$X109="Recebido"),$X109,IF(OR($X109="Parcial",N($R109)&gt;0),"Parcial",IF($C109="","Sem vencimento",IF($C109&lt;TODAY(),"Vencido",IF($C109=TODAY(),"Vence hoje",IF($C109&lt;=TODAY()+7,"Vence em 7 dias",IF($C109&lt;=TODAY()+30,"Vence em 30 dias","Futuro")))))))))</f>
        <v/>
      </c>
      <c r="Z109" s="24">
        <f>IF($B109="","",MONTH($B109))</f>
        <v/>
      </c>
      <c r="AA109" s="24">
        <f>IF($B109="","",YEAR($B109))</f>
        <v/>
      </c>
      <c r="AB109" s="24">
        <f>IF($B109="","",ISOWEEKNUM($B109))</f>
        <v/>
      </c>
      <c r="AC109" s="17">
        <f>IF($B109="","",CHOOSE(WEEKDAY($B109,2),"Segunda","Terça","Quarta","Quinta","Sexta","Sábado","Domingo"))</f>
        <v/>
      </c>
      <c r="AD109" s="17">
        <f>IF($B109="","",TEXT($B109,"MM/AAAA"))</f>
        <v/>
      </c>
      <c r="AE109" s="18">
        <f>IF(COUNTA($B109:$R109)=0,"",IF($X109="Cancelado",0,ROUND(N($Q109)+N($S109)+N($T109)-N($U109),2)))</f>
        <v/>
      </c>
      <c r="AF109" s="9">
        <f>IF($G109="","",IFERROR(INDEX(LINHAS_DRE_PLANO,MATCH($G109,SUBCATEGORIAS_PLANO,0)),"Não classificado"))</f>
        <v/>
      </c>
      <c r="AG109" s="17">
        <f>IF($G109="","",IFERROR(INDEX(TIPOS_FLUXO_PLANO,MATCH($G109,SUBCATEGORIAS_PLANO,0)),"Não classificado"))</f>
        <v/>
      </c>
      <c r="AH109" s="9">
        <f>IF($G109="","",IFERROR(INDEX(GRUPOS_PLANO,MATCH($G109,SUBCATEGORIAS_PLANO,0)),"Não classificado"))</f>
        <v/>
      </c>
      <c r="AI109" s="24">
        <f>IF(OR($C109="",$X109="Pago",$X109="Recebido",$X109="Cancelado"),"",$C109-TODAY())</f>
        <v/>
      </c>
      <c r="AJ109" s="24">
        <f>IF(OR($C109="",$X109="Pago",$X109="Recebido",$X109="Cancelado"),0,MAX(0,TODAY()-$C109))</f>
        <v/>
      </c>
      <c r="AK109" s="24">
        <f>IF($D109="","",$D109-$B109)</f>
        <v/>
      </c>
      <c r="AL109" s="18">
        <f>IF(OR($D109="",$B109=""),"",ROUND(N($R109)*($D109-$B109),2))</f>
        <v/>
      </c>
      <c r="AM109" s="17">
        <f>IF(AND($E109="Saída",$W109&gt;0,$C109&lt;&gt;""),$C109+ROW()/1000000,"")</f>
        <v/>
      </c>
      <c r="AN109" s="17">
        <f>IF(AND($E109="Entrada",$W109&gt;0,$C109&lt;&gt;""),$C109+ROW()/1000000,"")</f>
        <v/>
      </c>
      <c r="AO109" s="9">
        <f>IF(COUNTA($B109:$R109)=0,"",IF(AND($I109&lt;&gt;"",COUNTIF(CLIENTES_NOMES,$I109)+COUNTIF(CLIENTES_FANTASIA,$I109)+COUNTIF(FORNECEDORES_NOMES,$I109)+COUNTIF(FORNECEDORES_FANTASIA,$I109)=0),"⚠ Cliente/Fornecedor não cadastrado",IF(AND($G109&lt;&gt;"",COUNTIF(SUBCATEGORIAS_PLANO,$G109)=0),"⚠ Subcategoria fora do plano de contas",IF(OR($Q109="",N($Q109)=0),"⚠ Valor previsto não informado",IF(AND(OR($X109="Pago",$X109="Recebido"),$D109=""),"⚠ Status pago/recebido sem data",IF(AND($D109&lt;&gt;"",N($R109)=0),"⚠ Data de pagamento sem valor realizado",IF(AND(N($P109)&gt;1,N($O109)&gt;N($P109)),"⚠ Nº da parcela maior que o total",IF(AND($C109&lt;&gt;"",$B109&lt;&gt;"",$C109&lt;$B109),"⚠ Vencimento anterior à competência","OK"))))))))</f>
        <v/>
      </c>
    </row>
    <row r="110">
      <c r="A110" s="14" t="inlineStr">
        <is>
          <t>L0105</t>
        </is>
      </c>
      <c r="B110" s="36" t="n">
        <v>46092</v>
      </c>
      <c r="C110" s="36" t="n">
        <v>46122</v>
      </c>
      <c r="D110" s="36" t="n">
        <v>46123</v>
      </c>
      <c r="E110" s="14" t="inlineStr">
        <is>
          <t>Entrada</t>
        </is>
      </c>
      <c r="F110" s="29" t="inlineStr">
        <is>
          <t>Vendas</t>
        </is>
      </c>
      <c r="G110" s="29" t="inlineStr">
        <is>
          <t>Vendas de Produtos</t>
        </is>
      </c>
      <c r="H110" s="29" t="inlineStr">
        <is>
          <t>Comercial</t>
        </is>
      </c>
      <c r="I110" s="29" t="inlineStr">
        <is>
          <t>HOTEL VISTA ALEGRE LTDA</t>
        </is>
      </c>
      <c r="J110" s="29" t="inlineStr">
        <is>
          <t>Venda de mercadorias para revenda</t>
        </is>
      </c>
      <c r="K110" s="14" t="inlineStr">
        <is>
          <t>NF-e 2032</t>
        </is>
      </c>
      <c r="L110" s="29" t="inlineStr">
        <is>
          <t>Itaú Unibanco — C/C 45678-9</t>
        </is>
      </c>
      <c r="M110" s="14" t="inlineStr">
        <is>
          <t>Boleto</t>
        </is>
      </c>
      <c r="N110" s="29" t="n"/>
      <c r="O110" s="13" t="n">
        <v>1</v>
      </c>
      <c r="P110" s="13" t="n">
        <v>1</v>
      </c>
      <c r="Q110" s="35" t="n">
        <v>35773.98</v>
      </c>
      <c r="R110" s="35" t="n">
        <v>35773.98</v>
      </c>
      <c r="S110" s="35" t="n"/>
      <c r="T110" s="35" t="n"/>
      <c r="U110" s="35" t="n"/>
      <c r="V110" s="18">
        <f>IF(COUNTA($B110:$R110)=0,"",ROUND(N($R110)+N($S110)+N($T110)-N($U110),2))</f>
        <v/>
      </c>
      <c r="W110" s="18">
        <f>IF(COUNTA($B110:$R110)=0,"",IF(OR($X110="Pago",$X110="Recebido",$X110="Cancelado"),0,ROUND(N($Q110)+N($S110)+N($T110)-N($U110)-N($R110),2)))</f>
        <v/>
      </c>
      <c r="X110" s="14" t="inlineStr">
        <is>
          <t>Pago</t>
        </is>
      </c>
      <c r="Y110" s="17">
        <f>IF(COUNTA($B110:$R110)=0,"",IF($X110="Cancelado","Cancelado",IF(OR($X110="Pago",$X110="Recebido"),$X110,IF(OR($X110="Parcial",N($R110)&gt;0),"Parcial",IF($C110="","Sem vencimento",IF($C110&lt;TODAY(),"Vencido",IF($C110=TODAY(),"Vence hoje",IF($C110&lt;=TODAY()+7,"Vence em 7 dias",IF($C110&lt;=TODAY()+30,"Vence em 30 dias","Futuro")))))))))</f>
        <v/>
      </c>
      <c r="Z110" s="24">
        <f>IF($B110="","",MONTH($B110))</f>
        <v/>
      </c>
      <c r="AA110" s="24">
        <f>IF($B110="","",YEAR($B110))</f>
        <v/>
      </c>
      <c r="AB110" s="24">
        <f>IF($B110="","",ISOWEEKNUM($B110))</f>
        <v/>
      </c>
      <c r="AC110" s="17">
        <f>IF($B110="","",CHOOSE(WEEKDAY($B110,2),"Segunda","Terça","Quarta","Quinta","Sexta","Sábado","Domingo"))</f>
        <v/>
      </c>
      <c r="AD110" s="17">
        <f>IF($B110="","",TEXT($B110,"MM/AAAA"))</f>
        <v/>
      </c>
      <c r="AE110" s="18">
        <f>IF(COUNTA($B110:$R110)=0,"",IF($X110="Cancelado",0,ROUND(N($Q110)+N($S110)+N($T110)-N($U110),2)))</f>
        <v/>
      </c>
      <c r="AF110" s="9">
        <f>IF($G110="","",IFERROR(INDEX(LINHAS_DRE_PLANO,MATCH($G110,SUBCATEGORIAS_PLANO,0)),"Não classificado"))</f>
        <v/>
      </c>
      <c r="AG110" s="17">
        <f>IF($G110="","",IFERROR(INDEX(TIPOS_FLUXO_PLANO,MATCH($G110,SUBCATEGORIAS_PLANO,0)),"Não classificado"))</f>
        <v/>
      </c>
      <c r="AH110" s="9">
        <f>IF($G110="","",IFERROR(INDEX(GRUPOS_PLANO,MATCH($G110,SUBCATEGORIAS_PLANO,0)),"Não classificado"))</f>
        <v/>
      </c>
      <c r="AI110" s="24">
        <f>IF(OR($C110="",$X110="Pago",$X110="Recebido",$X110="Cancelado"),"",$C110-TODAY())</f>
        <v/>
      </c>
      <c r="AJ110" s="24">
        <f>IF(OR($C110="",$X110="Pago",$X110="Recebido",$X110="Cancelado"),0,MAX(0,TODAY()-$C110))</f>
        <v/>
      </c>
      <c r="AK110" s="24">
        <f>IF($D110="","",$D110-$B110)</f>
        <v/>
      </c>
      <c r="AL110" s="18">
        <f>IF(OR($D110="",$B110=""),"",ROUND(N($R110)*($D110-$B110),2))</f>
        <v/>
      </c>
      <c r="AM110" s="17">
        <f>IF(AND($E110="Saída",$W110&gt;0,$C110&lt;&gt;""),$C110+ROW()/1000000,"")</f>
        <v/>
      </c>
      <c r="AN110" s="17">
        <f>IF(AND($E110="Entrada",$W110&gt;0,$C110&lt;&gt;""),$C110+ROW()/1000000,"")</f>
        <v/>
      </c>
      <c r="AO110" s="9">
        <f>IF(COUNTA($B110:$R110)=0,"",IF(AND($I110&lt;&gt;"",COUNTIF(CLIENTES_NOMES,$I110)+COUNTIF(CLIENTES_FANTASIA,$I110)+COUNTIF(FORNECEDORES_NOMES,$I110)+COUNTIF(FORNECEDORES_FANTASIA,$I110)=0),"⚠ Cliente/Fornecedor não cadastrado",IF(AND($G110&lt;&gt;"",COUNTIF(SUBCATEGORIAS_PLANO,$G110)=0),"⚠ Subcategoria fora do plano de contas",IF(OR($Q110="",N($Q110)=0),"⚠ Valor previsto não informado",IF(AND(OR($X110="Pago",$X110="Recebido"),$D110=""),"⚠ Status pago/recebido sem data",IF(AND($D110&lt;&gt;"",N($R110)=0),"⚠ Data de pagamento sem valor realizado",IF(AND(N($P110)&gt;1,N($O110)&gt;N($P110)),"⚠ Nº da parcela maior que o total",IF(AND($C110&lt;&gt;"",$B110&lt;&gt;"",$C110&lt;$B110),"⚠ Vencimento anterior à competência","OK"))))))))</f>
        <v/>
      </c>
    </row>
    <row r="111">
      <c r="A111" s="14" t="inlineStr">
        <is>
          <t>L0106</t>
        </is>
      </c>
      <c r="B111" s="36" t="n">
        <v>46092</v>
      </c>
      <c r="C111" s="36" t="n">
        <v>46113</v>
      </c>
      <c r="D111" s="36" t="n">
        <v>46116</v>
      </c>
      <c r="E111" s="14" t="inlineStr">
        <is>
          <t>Entrada</t>
        </is>
      </c>
      <c r="F111" s="29" t="inlineStr">
        <is>
          <t>Vendas</t>
        </is>
      </c>
      <c r="G111" s="29" t="inlineStr">
        <is>
          <t>Vendas de Produtos</t>
        </is>
      </c>
      <c r="H111" s="29" t="inlineStr">
        <is>
          <t>Comercial</t>
        </is>
      </c>
      <c r="I111" s="29" t="inlineStr">
        <is>
          <t>EMPÓRIO NATURAL COMÉRCIO LTDA</t>
        </is>
      </c>
      <c r="J111" s="29" t="inlineStr">
        <is>
          <t>Venda de mercadorias para revenda</t>
        </is>
      </c>
      <c r="K111" s="14" t="inlineStr">
        <is>
          <t>NF-e 2033</t>
        </is>
      </c>
      <c r="L111" s="29" t="inlineStr">
        <is>
          <t>Itaú Unibanco — C/C 45678-9</t>
        </is>
      </c>
      <c r="M111" s="14" t="inlineStr">
        <is>
          <t>Boleto</t>
        </is>
      </c>
      <c r="N111" s="29" t="n"/>
      <c r="O111" s="13" t="n">
        <v>1</v>
      </c>
      <c r="P111" s="13" t="n">
        <v>1</v>
      </c>
      <c r="Q111" s="35" t="n">
        <v>25392.56</v>
      </c>
      <c r="R111" s="35" t="n">
        <v>25392.56</v>
      </c>
      <c r="S111" s="35" t="n"/>
      <c r="T111" s="35" t="n"/>
      <c r="U111" s="35" t="n"/>
      <c r="V111" s="18">
        <f>IF(COUNTA($B111:$R111)=0,"",ROUND(N($R111)+N($S111)+N($T111)-N($U111),2))</f>
        <v/>
      </c>
      <c r="W111" s="18">
        <f>IF(COUNTA($B111:$R111)=0,"",IF(OR($X111="Pago",$X111="Recebido",$X111="Cancelado"),0,ROUND(N($Q111)+N($S111)+N($T111)-N($U111)-N($R111),2)))</f>
        <v/>
      </c>
      <c r="X111" s="14" t="inlineStr">
        <is>
          <t>Pago</t>
        </is>
      </c>
      <c r="Y111" s="17">
        <f>IF(COUNTA($B111:$R111)=0,"",IF($X111="Cancelado","Cancelado",IF(OR($X111="Pago",$X111="Recebido"),$X111,IF(OR($X111="Parcial",N($R111)&gt;0),"Parcial",IF($C111="","Sem vencimento",IF($C111&lt;TODAY(),"Vencido",IF($C111=TODAY(),"Vence hoje",IF($C111&lt;=TODAY()+7,"Vence em 7 dias",IF($C111&lt;=TODAY()+30,"Vence em 30 dias","Futuro")))))))))</f>
        <v/>
      </c>
      <c r="Z111" s="24">
        <f>IF($B111="","",MONTH($B111))</f>
        <v/>
      </c>
      <c r="AA111" s="24">
        <f>IF($B111="","",YEAR($B111))</f>
        <v/>
      </c>
      <c r="AB111" s="24">
        <f>IF($B111="","",ISOWEEKNUM($B111))</f>
        <v/>
      </c>
      <c r="AC111" s="17">
        <f>IF($B111="","",CHOOSE(WEEKDAY($B111,2),"Segunda","Terça","Quarta","Quinta","Sexta","Sábado","Domingo"))</f>
        <v/>
      </c>
      <c r="AD111" s="17">
        <f>IF($B111="","",TEXT($B111,"MM/AAAA"))</f>
        <v/>
      </c>
      <c r="AE111" s="18">
        <f>IF(COUNTA($B111:$R111)=0,"",IF($X111="Cancelado",0,ROUND(N($Q111)+N($S111)+N($T111)-N($U111),2)))</f>
        <v/>
      </c>
      <c r="AF111" s="9">
        <f>IF($G111="","",IFERROR(INDEX(LINHAS_DRE_PLANO,MATCH($G111,SUBCATEGORIAS_PLANO,0)),"Não classificado"))</f>
        <v/>
      </c>
      <c r="AG111" s="17">
        <f>IF($G111="","",IFERROR(INDEX(TIPOS_FLUXO_PLANO,MATCH($G111,SUBCATEGORIAS_PLANO,0)),"Não classificado"))</f>
        <v/>
      </c>
      <c r="AH111" s="9">
        <f>IF($G111="","",IFERROR(INDEX(GRUPOS_PLANO,MATCH($G111,SUBCATEGORIAS_PLANO,0)),"Não classificado"))</f>
        <v/>
      </c>
      <c r="AI111" s="24">
        <f>IF(OR($C111="",$X111="Pago",$X111="Recebido",$X111="Cancelado"),"",$C111-TODAY())</f>
        <v/>
      </c>
      <c r="AJ111" s="24">
        <f>IF(OR($C111="",$X111="Pago",$X111="Recebido",$X111="Cancelado"),0,MAX(0,TODAY()-$C111))</f>
        <v/>
      </c>
      <c r="AK111" s="24">
        <f>IF($D111="","",$D111-$B111)</f>
        <v/>
      </c>
      <c r="AL111" s="18">
        <f>IF(OR($D111="",$B111=""),"",ROUND(N($R111)*($D111-$B111),2))</f>
        <v/>
      </c>
      <c r="AM111" s="17">
        <f>IF(AND($E111="Saída",$W111&gt;0,$C111&lt;&gt;""),$C111+ROW()/1000000,"")</f>
        <v/>
      </c>
      <c r="AN111" s="17">
        <f>IF(AND($E111="Entrada",$W111&gt;0,$C111&lt;&gt;""),$C111+ROW()/1000000,"")</f>
        <v/>
      </c>
      <c r="AO111" s="9">
        <f>IF(COUNTA($B111:$R111)=0,"",IF(AND($I111&lt;&gt;"",COUNTIF(CLIENTES_NOMES,$I111)+COUNTIF(CLIENTES_FANTASIA,$I111)+COUNTIF(FORNECEDORES_NOMES,$I111)+COUNTIF(FORNECEDORES_FANTASIA,$I111)=0),"⚠ Cliente/Fornecedor não cadastrado",IF(AND($G111&lt;&gt;"",COUNTIF(SUBCATEGORIAS_PLANO,$G111)=0),"⚠ Subcategoria fora do plano de contas",IF(OR($Q111="",N($Q111)=0),"⚠ Valor previsto não informado",IF(AND(OR($X111="Pago",$X111="Recebido"),$D111=""),"⚠ Status pago/recebido sem data",IF(AND($D111&lt;&gt;"",N($R111)=0),"⚠ Data de pagamento sem valor realizado",IF(AND(N($P111)&gt;1,N($O111)&gt;N($P111)),"⚠ Nº da parcela maior que o total",IF(AND($C111&lt;&gt;"",$B111&lt;&gt;"",$C111&lt;$B111),"⚠ Vencimento anterior à competência","OK"))))))))</f>
        <v/>
      </c>
    </row>
    <row r="112">
      <c r="A112" s="14" t="inlineStr">
        <is>
          <t>L0107</t>
        </is>
      </c>
      <c r="B112" s="36" t="n">
        <v>46093</v>
      </c>
      <c r="C112" s="36" t="n">
        <v>46108</v>
      </c>
      <c r="D112" s="36" t="n">
        <v>46108</v>
      </c>
      <c r="E112" s="14" t="inlineStr">
        <is>
          <t>Saída</t>
        </is>
      </c>
      <c r="F112" s="29" t="inlineStr">
        <is>
          <t>Custos Variáveis</t>
        </is>
      </c>
      <c r="G112" s="29" t="inlineStr">
        <is>
          <t>Embalagens</t>
        </is>
      </c>
      <c r="H112" s="29" t="inlineStr">
        <is>
          <t>Logística</t>
        </is>
      </c>
      <c r="I112" s="29" t="inlineStr">
        <is>
          <t>EMBALAGENS PAULISTA LTDA</t>
        </is>
      </c>
      <c r="J112" s="29" t="inlineStr">
        <is>
          <t>Compra de embalagens e etiquetas</t>
        </is>
      </c>
      <c r="K112" s="14" t="inlineStr">
        <is>
          <t>DOC 7178</t>
        </is>
      </c>
      <c r="L112" s="29" t="inlineStr">
        <is>
          <t>Banco do Brasil — C/C 12345-6</t>
        </is>
      </c>
      <c r="M112" s="14" t="inlineStr">
        <is>
          <t>Boleto</t>
        </is>
      </c>
      <c r="N112" s="29" t="n"/>
      <c r="O112" s="13" t="n">
        <v>1</v>
      </c>
      <c r="P112" s="13" t="n">
        <v>1</v>
      </c>
      <c r="Q112" s="35" t="n">
        <v>2728.1</v>
      </c>
      <c r="R112" s="35" t="n">
        <v>2728.1</v>
      </c>
      <c r="S112" s="35" t="n"/>
      <c r="T112" s="35" t="n"/>
      <c r="U112" s="35" t="n"/>
      <c r="V112" s="18">
        <f>IF(COUNTA($B112:$R112)=0,"",ROUND(N($R112)+N($S112)+N($T112)-N($U112),2))</f>
        <v/>
      </c>
      <c r="W112" s="18">
        <f>IF(COUNTA($B112:$R112)=0,"",IF(OR($X112="Pago",$X112="Recebido",$X112="Cancelado"),0,ROUND(N($Q112)+N($S112)+N($T112)-N($U112)-N($R112),2)))</f>
        <v/>
      </c>
      <c r="X112" s="14" t="inlineStr">
        <is>
          <t>Pago</t>
        </is>
      </c>
      <c r="Y112" s="17">
        <f>IF(COUNTA($B112:$R112)=0,"",IF($X112="Cancelado","Cancelado",IF(OR($X112="Pago",$X112="Recebido"),$X112,IF(OR($X112="Parcial",N($R112)&gt;0),"Parcial",IF($C112="","Sem vencimento",IF($C112&lt;TODAY(),"Vencido",IF($C112=TODAY(),"Vence hoje",IF($C112&lt;=TODAY()+7,"Vence em 7 dias",IF($C112&lt;=TODAY()+30,"Vence em 30 dias","Futuro")))))))))</f>
        <v/>
      </c>
      <c r="Z112" s="24">
        <f>IF($B112="","",MONTH($B112))</f>
        <v/>
      </c>
      <c r="AA112" s="24">
        <f>IF($B112="","",YEAR($B112))</f>
        <v/>
      </c>
      <c r="AB112" s="24">
        <f>IF($B112="","",ISOWEEKNUM($B112))</f>
        <v/>
      </c>
      <c r="AC112" s="17">
        <f>IF($B112="","",CHOOSE(WEEKDAY($B112,2),"Segunda","Terça","Quarta","Quinta","Sexta","Sábado","Domingo"))</f>
        <v/>
      </c>
      <c r="AD112" s="17">
        <f>IF($B112="","",TEXT($B112,"MM/AAAA"))</f>
        <v/>
      </c>
      <c r="AE112" s="18">
        <f>IF(COUNTA($B112:$R112)=0,"",IF($X112="Cancelado",0,ROUND(N($Q112)+N($S112)+N($T112)-N($U112),2)))</f>
        <v/>
      </c>
      <c r="AF112" s="9">
        <f>IF($G112="","",IFERROR(INDEX(LINHAS_DRE_PLANO,MATCH($G112,SUBCATEGORIAS_PLANO,0)),"Não classificado"))</f>
        <v/>
      </c>
      <c r="AG112" s="17">
        <f>IF($G112="","",IFERROR(INDEX(TIPOS_FLUXO_PLANO,MATCH($G112,SUBCATEGORIAS_PLANO,0)),"Não classificado"))</f>
        <v/>
      </c>
      <c r="AH112" s="9">
        <f>IF($G112="","",IFERROR(INDEX(GRUPOS_PLANO,MATCH($G112,SUBCATEGORIAS_PLANO,0)),"Não classificado"))</f>
        <v/>
      </c>
      <c r="AI112" s="24">
        <f>IF(OR($C112="",$X112="Pago",$X112="Recebido",$X112="Cancelado"),"",$C112-TODAY())</f>
        <v/>
      </c>
      <c r="AJ112" s="24">
        <f>IF(OR($C112="",$X112="Pago",$X112="Recebido",$X112="Cancelado"),0,MAX(0,TODAY()-$C112))</f>
        <v/>
      </c>
      <c r="AK112" s="24">
        <f>IF($D112="","",$D112-$B112)</f>
        <v/>
      </c>
      <c r="AL112" s="18">
        <f>IF(OR($D112="",$B112=""),"",ROUND(N($R112)*($D112-$B112),2))</f>
        <v/>
      </c>
      <c r="AM112" s="17">
        <f>IF(AND($E112="Saída",$W112&gt;0,$C112&lt;&gt;""),$C112+ROW()/1000000,"")</f>
        <v/>
      </c>
      <c r="AN112" s="17">
        <f>IF(AND($E112="Entrada",$W112&gt;0,$C112&lt;&gt;""),$C112+ROW()/1000000,"")</f>
        <v/>
      </c>
      <c r="AO112" s="9">
        <f>IF(COUNTA($B112:$R112)=0,"",IF(AND($I112&lt;&gt;"",COUNTIF(CLIENTES_NOMES,$I112)+COUNTIF(CLIENTES_FANTASIA,$I112)+COUNTIF(FORNECEDORES_NOMES,$I112)+COUNTIF(FORNECEDORES_FANTASIA,$I112)=0),"⚠ Cliente/Fornecedor não cadastrado",IF(AND($G112&lt;&gt;"",COUNTIF(SUBCATEGORIAS_PLANO,$G112)=0),"⚠ Subcategoria fora do plano de contas",IF(OR($Q112="",N($Q112)=0),"⚠ Valor previsto não informado",IF(AND(OR($X112="Pago",$X112="Recebido"),$D112=""),"⚠ Status pago/recebido sem data",IF(AND($D112&lt;&gt;"",N($R112)=0),"⚠ Data de pagamento sem valor realizado",IF(AND(N($P112)&gt;1,N($O112)&gt;N($P112)),"⚠ Nº da parcela maior que o total",IF(AND($C112&lt;&gt;"",$B112&lt;&gt;"",$C112&lt;$B112),"⚠ Vencimento anterior à competência","OK"))))))))</f>
        <v/>
      </c>
    </row>
    <row r="113">
      <c r="A113" s="14" t="inlineStr">
        <is>
          <t>L0108</t>
        </is>
      </c>
      <c r="B113" s="36" t="n">
        <v>46093</v>
      </c>
      <c r="C113" s="36" t="n">
        <v>46103</v>
      </c>
      <c r="D113" s="36" t="n">
        <v>46103</v>
      </c>
      <c r="E113" s="14" t="inlineStr">
        <is>
          <t>Saída</t>
        </is>
      </c>
      <c r="F113" s="29" t="inlineStr">
        <is>
          <t>Despesas Administrativas</t>
        </is>
      </c>
      <c r="G113" s="29" t="inlineStr">
        <is>
          <t>Energia Elétrica</t>
        </is>
      </c>
      <c r="H113" s="29" t="inlineStr">
        <is>
          <t>Administrativo</t>
        </is>
      </c>
      <c r="I113" s="29" t="inlineStr">
        <is>
          <t>ENEL DISTRIBUIÇÃO SÃO PAULO</t>
        </is>
      </c>
      <c r="J113" s="29" t="inlineStr">
        <is>
          <t>Energia elétrica — fatura 03/2026</t>
        </is>
      </c>
      <c r="K113" s="14" t="inlineStr">
        <is>
          <t>DOC 8297</t>
        </is>
      </c>
      <c r="L113" s="29" t="inlineStr">
        <is>
          <t>Itaú Unibanco — C/C 45678-9</t>
        </is>
      </c>
      <c r="M113" s="14" t="inlineStr">
        <is>
          <t>Débito automático</t>
        </is>
      </c>
      <c r="N113" s="29" t="n"/>
      <c r="O113" s="13" t="n">
        <v>1</v>
      </c>
      <c r="P113" s="13" t="n">
        <v>1</v>
      </c>
      <c r="Q113" s="35" t="n">
        <v>2378.88</v>
      </c>
      <c r="R113" s="35" t="n">
        <v>2378.88</v>
      </c>
      <c r="S113" s="35" t="n"/>
      <c r="T113" s="35" t="n"/>
      <c r="U113" s="35" t="n"/>
      <c r="V113" s="18">
        <f>IF(COUNTA($B113:$R113)=0,"",ROUND(N($R113)+N($S113)+N($T113)-N($U113),2))</f>
        <v/>
      </c>
      <c r="W113" s="18">
        <f>IF(COUNTA($B113:$R113)=0,"",IF(OR($X113="Pago",$X113="Recebido",$X113="Cancelado"),0,ROUND(N($Q113)+N($S113)+N($T113)-N($U113)-N($R113),2)))</f>
        <v/>
      </c>
      <c r="X113" s="14" t="inlineStr">
        <is>
          <t>Pago</t>
        </is>
      </c>
      <c r="Y113" s="17">
        <f>IF(COUNTA($B113:$R113)=0,"",IF($X113="Cancelado","Cancelado",IF(OR($X113="Pago",$X113="Recebido"),$X113,IF(OR($X113="Parcial",N($R113)&gt;0),"Parcial",IF($C113="","Sem vencimento",IF($C113&lt;TODAY(),"Vencido",IF($C113=TODAY(),"Vence hoje",IF($C113&lt;=TODAY()+7,"Vence em 7 dias",IF($C113&lt;=TODAY()+30,"Vence em 30 dias","Futuro")))))))))</f>
        <v/>
      </c>
      <c r="Z113" s="24">
        <f>IF($B113="","",MONTH($B113))</f>
        <v/>
      </c>
      <c r="AA113" s="24">
        <f>IF($B113="","",YEAR($B113))</f>
        <v/>
      </c>
      <c r="AB113" s="24">
        <f>IF($B113="","",ISOWEEKNUM($B113))</f>
        <v/>
      </c>
      <c r="AC113" s="17">
        <f>IF($B113="","",CHOOSE(WEEKDAY($B113,2),"Segunda","Terça","Quarta","Quinta","Sexta","Sábado","Domingo"))</f>
        <v/>
      </c>
      <c r="AD113" s="17">
        <f>IF($B113="","",TEXT($B113,"MM/AAAA"))</f>
        <v/>
      </c>
      <c r="AE113" s="18">
        <f>IF(COUNTA($B113:$R113)=0,"",IF($X113="Cancelado",0,ROUND(N($Q113)+N($S113)+N($T113)-N($U113),2)))</f>
        <v/>
      </c>
      <c r="AF113" s="9">
        <f>IF($G113="","",IFERROR(INDEX(LINHAS_DRE_PLANO,MATCH($G113,SUBCATEGORIAS_PLANO,0)),"Não classificado"))</f>
        <v/>
      </c>
      <c r="AG113" s="17">
        <f>IF($G113="","",IFERROR(INDEX(TIPOS_FLUXO_PLANO,MATCH($G113,SUBCATEGORIAS_PLANO,0)),"Não classificado"))</f>
        <v/>
      </c>
      <c r="AH113" s="9">
        <f>IF($G113="","",IFERROR(INDEX(GRUPOS_PLANO,MATCH($G113,SUBCATEGORIAS_PLANO,0)),"Não classificado"))</f>
        <v/>
      </c>
      <c r="AI113" s="24">
        <f>IF(OR($C113="",$X113="Pago",$X113="Recebido",$X113="Cancelado"),"",$C113-TODAY())</f>
        <v/>
      </c>
      <c r="AJ113" s="24">
        <f>IF(OR($C113="",$X113="Pago",$X113="Recebido",$X113="Cancelado"),0,MAX(0,TODAY()-$C113))</f>
        <v/>
      </c>
      <c r="AK113" s="24">
        <f>IF($D113="","",$D113-$B113)</f>
        <v/>
      </c>
      <c r="AL113" s="18">
        <f>IF(OR($D113="",$B113=""),"",ROUND(N($R113)*($D113-$B113),2))</f>
        <v/>
      </c>
      <c r="AM113" s="17">
        <f>IF(AND($E113="Saída",$W113&gt;0,$C113&lt;&gt;""),$C113+ROW()/1000000,"")</f>
        <v/>
      </c>
      <c r="AN113" s="17">
        <f>IF(AND($E113="Entrada",$W113&gt;0,$C113&lt;&gt;""),$C113+ROW()/1000000,"")</f>
        <v/>
      </c>
      <c r="AO113" s="9">
        <f>IF(COUNTA($B113:$R113)=0,"",IF(AND($I113&lt;&gt;"",COUNTIF(CLIENTES_NOMES,$I113)+COUNTIF(CLIENTES_FANTASIA,$I113)+COUNTIF(FORNECEDORES_NOMES,$I113)+COUNTIF(FORNECEDORES_FANTASIA,$I113)=0),"⚠ Cliente/Fornecedor não cadastrado",IF(AND($G113&lt;&gt;"",COUNTIF(SUBCATEGORIAS_PLANO,$G113)=0),"⚠ Subcategoria fora do plano de contas",IF(OR($Q113="",N($Q113)=0),"⚠ Valor previsto não informado",IF(AND(OR($X113="Pago",$X113="Recebido"),$D113=""),"⚠ Status pago/recebido sem data",IF(AND($D113&lt;&gt;"",N($R113)=0),"⚠ Data de pagamento sem valor realizado",IF(AND(N($P113)&gt;1,N($O113)&gt;N($P113)),"⚠ Nº da parcela maior que o total",IF(AND($C113&lt;&gt;"",$B113&lt;&gt;"",$C113&lt;$B113),"⚠ Vencimento anterior à competência","OK"))))))))</f>
        <v/>
      </c>
    </row>
    <row r="114">
      <c r="A114" s="14" t="inlineStr">
        <is>
          <t>L0109</t>
        </is>
      </c>
      <c r="B114" s="36" t="n">
        <v>46096</v>
      </c>
      <c r="C114" s="36" t="n">
        <v>46108</v>
      </c>
      <c r="D114" s="36" t="n">
        <v>46108</v>
      </c>
      <c r="E114" s="14" t="inlineStr">
        <is>
          <t>Saída</t>
        </is>
      </c>
      <c r="F114" s="29" t="inlineStr">
        <is>
          <t>Despesas Administrativas</t>
        </is>
      </c>
      <c r="G114" s="29" t="inlineStr">
        <is>
          <t>Água e Saneamento</t>
        </is>
      </c>
      <c r="H114" s="29" t="inlineStr">
        <is>
          <t>Administrativo</t>
        </is>
      </c>
      <c r="I114" s="29" t="inlineStr">
        <is>
          <t>SABESP — SANEAMENTO BÁSICO DO ESTADO DE SÃO PAULO</t>
        </is>
      </c>
      <c r="J114" s="29" t="inlineStr">
        <is>
          <t>Água e saneamento — fatura 03/2026</t>
        </is>
      </c>
      <c r="K114" s="14" t="inlineStr">
        <is>
          <t>DOC 8298</t>
        </is>
      </c>
      <c r="L114" s="29" t="inlineStr">
        <is>
          <t>Itaú Unibanco — C/C 45678-9</t>
        </is>
      </c>
      <c r="M114" s="14" t="inlineStr">
        <is>
          <t>Débito automático</t>
        </is>
      </c>
      <c r="N114" s="29" t="n"/>
      <c r="O114" s="13" t="n">
        <v>1</v>
      </c>
      <c r="P114" s="13" t="n">
        <v>1</v>
      </c>
      <c r="Q114" s="35" t="n">
        <v>430.37</v>
      </c>
      <c r="R114" s="35" t="n">
        <v>430.37</v>
      </c>
      <c r="S114" s="35" t="n"/>
      <c r="T114" s="35" t="n"/>
      <c r="U114" s="35" t="n"/>
      <c r="V114" s="18">
        <f>IF(COUNTA($B114:$R114)=0,"",ROUND(N($R114)+N($S114)+N($T114)-N($U114),2))</f>
        <v/>
      </c>
      <c r="W114" s="18">
        <f>IF(COUNTA($B114:$R114)=0,"",IF(OR($X114="Pago",$X114="Recebido",$X114="Cancelado"),0,ROUND(N($Q114)+N($S114)+N($T114)-N($U114)-N($R114),2)))</f>
        <v/>
      </c>
      <c r="X114" s="14" t="inlineStr">
        <is>
          <t>Pago</t>
        </is>
      </c>
      <c r="Y114" s="17">
        <f>IF(COUNTA($B114:$R114)=0,"",IF($X114="Cancelado","Cancelado",IF(OR($X114="Pago",$X114="Recebido"),$X114,IF(OR($X114="Parcial",N($R114)&gt;0),"Parcial",IF($C114="","Sem vencimento",IF($C114&lt;TODAY(),"Vencido",IF($C114=TODAY(),"Vence hoje",IF($C114&lt;=TODAY()+7,"Vence em 7 dias",IF($C114&lt;=TODAY()+30,"Vence em 30 dias","Futuro")))))))))</f>
        <v/>
      </c>
      <c r="Z114" s="24">
        <f>IF($B114="","",MONTH($B114))</f>
        <v/>
      </c>
      <c r="AA114" s="24">
        <f>IF($B114="","",YEAR($B114))</f>
        <v/>
      </c>
      <c r="AB114" s="24">
        <f>IF($B114="","",ISOWEEKNUM($B114))</f>
        <v/>
      </c>
      <c r="AC114" s="17">
        <f>IF($B114="","",CHOOSE(WEEKDAY($B114,2),"Segunda","Terça","Quarta","Quinta","Sexta","Sábado","Domingo"))</f>
        <v/>
      </c>
      <c r="AD114" s="17">
        <f>IF($B114="","",TEXT($B114,"MM/AAAA"))</f>
        <v/>
      </c>
      <c r="AE114" s="18">
        <f>IF(COUNTA($B114:$R114)=0,"",IF($X114="Cancelado",0,ROUND(N($Q114)+N($S114)+N($T114)-N($U114),2)))</f>
        <v/>
      </c>
      <c r="AF114" s="9">
        <f>IF($G114="","",IFERROR(INDEX(LINHAS_DRE_PLANO,MATCH($G114,SUBCATEGORIAS_PLANO,0)),"Não classificado"))</f>
        <v/>
      </c>
      <c r="AG114" s="17">
        <f>IF($G114="","",IFERROR(INDEX(TIPOS_FLUXO_PLANO,MATCH($G114,SUBCATEGORIAS_PLANO,0)),"Não classificado"))</f>
        <v/>
      </c>
      <c r="AH114" s="9">
        <f>IF($G114="","",IFERROR(INDEX(GRUPOS_PLANO,MATCH($G114,SUBCATEGORIAS_PLANO,0)),"Não classificado"))</f>
        <v/>
      </c>
      <c r="AI114" s="24">
        <f>IF(OR($C114="",$X114="Pago",$X114="Recebido",$X114="Cancelado"),"",$C114-TODAY())</f>
        <v/>
      </c>
      <c r="AJ114" s="24">
        <f>IF(OR($C114="",$X114="Pago",$X114="Recebido",$X114="Cancelado"),0,MAX(0,TODAY()-$C114))</f>
        <v/>
      </c>
      <c r="AK114" s="24">
        <f>IF($D114="","",$D114-$B114)</f>
        <v/>
      </c>
      <c r="AL114" s="18">
        <f>IF(OR($D114="",$B114=""),"",ROUND(N($R114)*($D114-$B114),2))</f>
        <v/>
      </c>
      <c r="AM114" s="17">
        <f>IF(AND($E114="Saída",$W114&gt;0,$C114&lt;&gt;""),$C114+ROW()/1000000,"")</f>
        <v/>
      </c>
      <c r="AN114" s="17">
        <f>IF(AND($E114="Entrada",$W114&gt;0,$C114&lt;&gt;""),$C114+ROW()/1000000,"")</f>
        <v/>
      </c>
      <c r="AO114" s="9">
        <f>IF(COUNTA($B114:$R114)=0,"",IF(AND($I114&lt;&gt;"",COUNTIF(CLIENTES_NOMES,$I114)+COUNTIF(CLIENTES_FANTASIA,$I114)+COUNTIF(FORNECEDORES_NOMES,$I114)+COUNTIF(FORNECEDORES_FANTASIA,$I114)=0),"⚠ Cliente/Fornecedor não cadastrado",IF(AND($G114&lt;&gt;"",COUNTIF(SUBCATEGORIAS_PLANO,$G114)=0),"⚠ Subcategoria fora do plano de contas",IF(OR($Q114="",N($Q114)=0),"⚠ Valor previsto não informado",IF(AND(OR($X114="Pago",$X114="Recebido"),$D114=""),"⚠ Status pago/recebido sem data",IF(AND($D114&lt;&gt;"",N($R114)=0),"⚠ Data de pagamento sem valor realizado",IF(AND(N($P114)&gt;1,N($O114)&gt;N($P114)),"⚠ Nº da parcela maior que o total",IF(AND($C114&lt;&gt;"",$B114&lt;&gt;"",$C114&lt;$B114),"⚠ Vencimento anterior à competência","OK"))))))))</f>
        <v/>
      </c>
    </row>
    <row r="115">
      <c r="A115" s="14" t="inlineStr">
        <is>
          <t>L0110</t>
        </is>
      </c>
      <c r="B115" s="36" t="n">
        <v>46096</v>
      </c>
      <c r="C115" s="36" t="n">
        <v>46106</v>
      </c>
      <c r="D115" s="36" t="n">
        <v>46109</v>
      </c>
      <c r="E115" s="14" t="inlineStr">
        <is>
          <t>Saída</t>
        </is>
      </c>
      <c r="F115" s="29" t="inlineStr">
        <is>
          <t>Despesas com Pessoal</t>
        </is>
      </c>
      <c r="G115" s="29" t="inlineStr">
        <is>
          <t>Serviços Terceirizados (PJ)</t>
        </is>
      </c>
      <c r="H115" s="29" t="inlineStr">
        <is>
          <t>Produção</t>
        </is>
      </c>
      <c r="I115" s="29" t="inlineStr">
        <is>
          <t>APOIO OPERACIONAL SERVIÇOS LTDA</t>
        </is>
      </c>
      <c r="J115" s="29" t="inlineStr">
        <is>
          <t>Equipe terceirizada de separação e expedição</t>
        </is>
      </c>
      <c r="K115" s="14" t="inlineStr">
        <is>
          <t>DOC 8309</t>
        </is>
      </c>
      <c r="L115" s="29" t="inlineStr">
        <is>
          <t>Banco do Brasil — C/C 12345-6</t>
        </is>
      </c>
      <c r="M115" s="14" t="inlineStr">
        <is>
          <t>PIX</t>
        </is>
      </c>
      <c r="N115" s="29" t="n"/>
      <c r="O115" s="13" t="n">
        <v>1</v>
      </c>
      <c r="P115" s="13" t="n">
        <v>1</v>
      </c>
      <c r="Q115" s="35" t="n">
        <v>1800</v>
      </c>
      <c r="R115" s="35" t="n">
        <v>1800</v>
      </c>
      <c r="S115" s="35" t="n"/>
      <c r="T115" s="35" t="n"/>
      <c r="U115" s="35" t="n"/>
      <c r="V115" s="18">
        <f>IF(COUNTA($B115:$R115)=0,"",ROUND(N($R115)+N($S115)+N($T115)-N($U115),2))</f>
        <v/>
      </c>
      <c r="W115" s="18">
        <f>IF(COUNTA($B115:$R115)=0,"",IF(OR($X115="Pago",$X115="Recebido",$X115="Cancelado"),0,ROUND(N($Q115)+N($S115)+N($T115)-N($U115)-N($R115),2)))</f>
        <v/>
      </c>
      <c r="X115" s="14" t="inlineStr">
        <is>
          <t>Pago</t>
        </is>
      </c>
      <c r="Y115" s="17">
        <f>IF(COUNTA($B115:$R115)=0,"",IF($X115="Cancelado","Cancelado",IF(OR($X115="Pago",$X115="Recebido"),$X115,IF(OR($X115="Parcial",N($R115)&gt;0),"Parcial",IF($C115="","Sem vencimento",IF($C115&lt;TODAY(),"Vencido",IF($C115=TODAY(),"Vence hoje",IF($C115&lt;=TODAY()+7,"Vence em 7 dias",IF($C115&lt;=TODAY()+30,"Vence em 30 dias","Futuro")))))))))</f>
        <v/>
      </c>
      <c r="Z115" s="24">
        <f>IF($B115="","",MONTH($B115))</f>
        <v/>
      </c>
      <c r="AA115" s="24">
        <f>IF($B115="","",YEAR($B115))</f>
        <v/>
      </c>
      <c r="AB115" s="24">
        <f>IF($B115="","",ISOWEEKNUM($B115))</f>
        <v/>
      </c>
      <c r="AC115" s="17">
        <f>IF($B115="","",CHOOSE(WEEKDAY($B115,2),"Segunda","Terça","Quarta","Quinta","Sexta","Sábado","Domingo"))</f>
        <v/>
      </c>
      <c r="AD115" s="17">
        <f>IF($B115="","",TEXT($B115,"MM/AAAA"))</f>
        <v/>
      </c>
      <c r="AE115" s="18">
        <f>IF(COUNTA($B115:$R115)=0,"",IF($X115="Cancelado",0,ROUND(N($Q115)+N($S115)+N($T115)-N($U115),2)))</f>
        <v/>
      </c>
      <c r="AF115" s="9">
        <f>IF($G115="","",IFERROR(INDEX(LINHAS_DRE_PLANO,MATCH($G115,SUBCATEGORIAS_PLANO,0)),"Não classificado"))</f>
        <v/>
      </c>
      <c r="AG115" s="17">
        <f>IF($G115="","",IFERROR(INDEX(TIPOS_FLUXO_PLANO,MATCH($G115,SUBCATEGORIAS_PLANO,0)),"Não classificado"))</f>
        <v/>
      </c>
      <c r="AH115" s="9">
        <f>IF($G115="","",IFERROR(INDEX(GRUPOS_PLANO,MATCH($G115,SUBCATEGORIAS_PLANO,0)),"Não classificado"))</f>
        <v/>
      </c>
      <c r="AI115" s="24">
        <f>IF(OR($C115="",$X115="Pago",$X115="Recebido",$X115="Cancelado"),"",$C115-TODAY())</f>
        <v/>
      </c>
      <c r="AJ115" s="24">
        <f>IF(OR($C115="",$X115="Pago",$X115="Recebido",$X115="Cancelado"),0,MAX(0,TODAY()-$C115))</f>
        <v/>
      </c>
      <c r="AK115" s="24">
        <f>IF($D115="","",$D115-$B115)</f>
        <v/>
      </c>
      <c r="AL115" s="18">
        <f>IF(OR($D115="",$B115=""),"",ROUND(N($R115)*($D115-$B115),2))</f>
        <v/>
      </c>
      <c r="AM115" s="17">
        <f>IF(AND($E115="Saída",$W115&gt;0,$C115&lt;&gt;""),$C115+ROW()/1000000,"")</f>
        <v/>
      </c>
      <c r="AN115" s="17">
        <f>IF(AND($E115="Entrada",$W115&gt;0,$C115&lt;&gt;""),$C115+ROW()/1000000,"")</f>
        <v/>
      </c>
      <c r="AO115" s="9">
        <f>IF(COUNTA($B115:$R115)=0,"",IF(AND($I115&lt;&gt;"",COUNTIF(CLIENTES_NOMES,$I115)+COUNTIF(CLIENTES_FANTASIA,$I115)+COUNTIF(FORNECEDORES_NOMES,$I115)+COUNTIF(FORNECEDORES_FANTASIA,$I115)=0),"⚠ Cliente/Fornecedor não cadastrado",IF(AND($G115&lt;&gt;"",COUNTIF(SUBCATEGORIAS_PLANO,$G115)=0),"⚠ Subcategoria fora do plano de contas",IF(OR($Q115="",N($Q115)=0),"⚠ Valor previsto não informado",IF(AND(OR($X115="Pago",$X115="Recebido"),$D115=""),"⚠ Status pago/recebido sem data",IF(AND($D115&lt;&gt;"",N($R115)=0),"⚠ Data de pagamento sem valor realizado",IF(AND(N($P115)&gt;1,N($O115)&gt;N($P115)),"⚠ Nº da parcela maior que o total",IF(AND($C115&lt;&gt;"",$B115&lt;&gt;"",$C115&lt;$B115),"⚠ Vencimento anterior à competência","OK"))))))))</f>
        <v/>
      </c>
    </row>
    <row r="116">
      <c r="A116" s="14" t="inlineStr">
        <is>
          <t>L0111</t>
        </is>
      </c>
      <c r="B116" s="36" t="n">
        <v>46096</v>
      </c>
      <c r="C116" s="36" t="n">
        <v>46096</v>
      </c>
      <c r="D116" s="36" t="n">
        <v>46096</v>
      </c>
      <c r="E116" s="14" t="inlineStr">
        <is>
          <t>Saída</t>
        </is>
      </c>
      <c r="F116" s="29" t="inlineStr">
        <is>
          <t>Empréstimos e Financiamentos</t>
        </is>
      </c>
      <c r="G116" s="29" t="inlineStr">
        <is>
          <t>Pagamento de Principal de Empréstimos</t>
        </is>
      </c>
      <c r="H116" s="29" t="inlineStr">
        <is>
          <t>Financeiro</t>
        </is>
      </c>
      <c r="I116" s="29" t="inlineStr">
        <is>
          <t>BNDES / Banco do Brasil</t>
        </is>
      </c>
      <c r="J116" s="29" t="inlineStr">
        <is>
          <t>Financiamento de Máquinas — parcela 1/36 (principal)</t>
        </is>
      </c>
      <c r="K116" s="14" t="inlineStr">
        <is>
          <t>FIN-2026-1198-P01</t>
        </is>
      </c>
      <c r="L116" s="29" t="inlineStr">
        <is>
          <t>Banco do Brasil — C/C 12345-6</t>
        </is>
      </c>
      <c r="M116" s="14" t="inlineStr">
        <is>
          <t>Débito automático</t>
        </is>
      </c>
      <c r="N116" s="29" t="n"/>
      <c r="O116" s="13" t="n">
        <v>1</v>
      </c>
      <c r="P116" s="13" t="n">
        <v>36</v>
      </c>
      <c r="Q116" s="35" t="n">
        <v>3333.33</v>
      </c>
      <c r="R116" s="35" t="n">
        <v>3333.33</v>
      </c>
      <c r="S116" s="35" t="n"/>
      <c r="T116" s="35" t="n"/>
      <c r="U116" s="35" t="n"/>
      <c r="V116" s="18">
        <f>IF(COUNTA($B116:$R116)=0,"",ROUND(N($R116)+N($S116)+N($T116)-N($U116),2))</f>
        <v/>
      </c>
      <c r="W116" s="18">
        <f>IF(COUNTA($B116:$R116)=0,"",IF(OR($X116="Pago",$X116="Recebido",$X116="Cancelado"),0,ROUND(N($Q116)+N($S116)+N($T116)-N($U116)-N($R116),2)))</f>
        <v/>
      </c>
      <c r="X116" s="14" t="inlineStr">
        <is>
          <t>Pago</t>
        </is>
      </c>
      <c r="Y116" s="17">
        <f>IF(COUNTA($B116:$R116)=0,"",IF($X116="Cancelado","Cancelado",IF(OR($X116="Pago",$X116="Recebido"),$X116,IF(OR($X116="Parcial",N($R116)&gt;0),"Parcial",IF($C116="","Sem vencimento",IF($C116&lt;TODAY(),"Vencido",IF($C116=TODAY(),"Vence hoje",IF($C116&lt;=TODAY()+7,"Vence em 7 dias",IF($C116&lt;=TODAY()+30,"Vence em 30 dias","Futuro")))))))))</f>
        <v/>
      </c>
      <c r="Z116" s="24">
        <f>IF($B116="","",MONTH($B116))</f>
        <v/>
      </c>
      <c r="AA116" s="24">
        <f>IF($B116="","",YEAR($B116))</f>
        <v/>
      </c>
      <c r="AB116" s="24">
        <f>IF($B116="","",ISOWEEKNUM($B116))</f>
        <v/>
      </c>
      <c r="AC116" s="17">
        <f>IF($B116="","",CHOOSE(WEEKDAY($B116,2),"Segunda","Terça","Quarta","Quinta","Sexta","Sábado","Domingo"))</f>
        <v/>
      </c>
      <c r="AD116" s="17">
        <f>IF($B116="","",TEXT($B116,"MM/AAAA"))</f>
        <v/>
      </c>
      <c r="AE116" s="18">
        <f>IF(COUNTA($B116:$R116)=0,"",IF($X116="Cancelado",0,ROUND(N($Q116)+N($S116)+N($T116)-N($U116),2)))</f>
        <v/>
      </c>
      <c r="AF116" s="9">
        <f>IF($G116="","",IFERROR(INDEX(LINHAS_DRE_PLANO,MATCH($G116,SUBCATEGORIAS_PLANO,0)),"Não classificado"))</f>
        <v/>
      </c>
      <c r="AG116" s="17">
        <f>IF($G116="","",IFERROR(INDEX(TIPOS_FLUXO_PLANO,MATCH($G116,SUBCATEGORIAS_PLANO,0)),"Não classificado"))</f>
        <v/>
      </c>
      <c r="AH116" s="9">
        <f>IF($G116="","",IFERROR(INDEX(GRUPOS_PLANO,MATCH($G116,SUBCATEGORIAS_PLANO,0)),"Não classificado"))</f>
        <v/>
      </c>
      <c r="AI116" s="24">
        <f>IF(OR($C116="",$X116="Pago",$X116="Recebido",$X116="Cancelado"),"",$C116-TODAY())</f>
        <v/>
      </c>
      <c r="AJ116" s="24">
        <f>IF(OR($C116="",$X116="Pago",$X116="Recebido",$X116="Cancelado"),0,MAX(0,TODAY()-$C116))</f>
        <v/>
      </c>
      <c r="AK116" s="24">
        <f>IF($D116="","",$D116-$B116)</f>
        <v/>
      </c>
      <c r="AL116" s="18">
        <f>IF(OR($D116="",$B116=""),"",ROUND(N($R116)*($D116-$B116),2))</f>
        <v/>
      </c>
      <c r="AM116" s="17">
        <f>IF(AND($E116="Saída",$W116&gt;0,$C116&lt;&gt;""),$C116+ROW()/1000000,"")</f>
        <v/>
      </c>
      <c r="AN116" s="17">
        <f>IF(AND($E116="Entrada",$W116&gt;0,$C116&lt;&gt;""),$C116+ROW()/1000000,"")</f>
        <v/>
      </c>
      <c r="AO116" s="9">
        <f>IF(COUNTA($B116:$R116)=0,"",IF(AND($I116&lt;&gt;"",COUNTIF(CLIENTES_NOMES,$I116)+COUNTIF(CLIENTES_FANTASIA,$I116)+COUNTIF(FORNECEDORES_NOMES,$I116)+COUNTIF(FORNECEDORES_FANTASIA,$I116)=0),"⚠ Cliente/Fornecedor não cadastrado",IF(AND($G116&lt;&gt;"",COUNTIF(SUBCATEGORIAS_PLANO,$G116)=0),"⚠ Subcategoria fora do plano de contas",IF(OR($Q116="",N($Q116)=0),"⚠ Valor previsto não informado",IF(AND(OR($X116="Pago",$X116="Recebido"),$D116=""),"⚠ Status pago/recebido sem data",IF(AND($D116&lt;&gt;"",N($R116)=0),"⚠ Data de pagamento sem valor realizado",IF(AND(N($P116)&gt;1,N($O116)&gt;N($P116)),"⚠ Nº da parcela maior que o total",IF(AND($C116&lt;&gt;"",$B116&lt;&gt;"",$C116&lt;$B116),"⚠ Vencimento anterior à competência","OK"))))))))</f>
        <v/>
      </c>
    </row>
    <row r="117">
      <c r="A117" s="14" t="inlineStr">
        <is>
          <t>L0112</t>
        </is>
      </c>
      <c r="B117" s="36" t="n">
        <v>46096</v>
      </c>
      <c r="C117" s="36" t="n">
        <v>46096</v>
      </c>
      <c r="D117" s="36" t="n">
        <v>46096</v>
      </c>
      <c r="E117" s="14" t="inlineStr">
        <is>
          <t>Saída</t>
        </is>
      </c>
      <c r="F117" s="29" t="inlineStr">
        <is>
          <t>Despesas Financeiras</t>
        </is>
      </c>
      <c r="G117" s="29" t="inlineStr">
        <is>
          <t>Juros de Empréstimos e Financiamentos</t>
        </is>
      </c>
      <c r="H117" s="29" t="inlineStr">
        <is>
          <t>Financeiro</t>
        </is>
      </c>
      <c r="I117" s="29" t="inlineStr">
        <is>
          <t>BNDES / Banco do Brasil</t>
        </is>
      </c>
      <c r="J117" s="29" t="inlineStr">
        <is>
          <t>Financiamento de Máquinas — parcela 1/36 (juros)</t>
        </is>
      </c>
      <c r="K117" s="14" t="inlineStr">
        <is>
          <t>FIN-2026-1198-P01</t>
        </is>
      </c>
      <c r="L117" s="29" t="inlineStr">
        <is>
          <t>Banco do Brasil — C/C 12345-6</t>
        </is>
      </c>
      <c r="M117" s="14" t="inlineStr">
        <is>
          <t>Débito automático</t>
        </is>
      </c>
      <c r="N117" s="29" t="n"/>
      <c r="O117" s="13" t="n">
        <v>1</v>
      </c>
      <c r="P117" s="13" t="n">
        <v>36</v>
      </c>
      <c r="Q117" s="35" t="n">
        <v>1320</v>
      </c>
      <c r="R117" s="35" t="n">
        <v>1320</v>
      </c>
      <c r="S117" s="35" t="n"/>
      <c r="T117" s="35" t="n"/>
      <c r="U117" s="35" t="n"/>
      <c r="V117" s="18">
        <f>IF(COUNTA($B117:$R117)=0,"",ROUND(N($R117)+N($S117)+N($T117)-N($U117),2))</f>
        <v/>
      </c>
      <c r="W117" s="18">
        <f>IF(COUNTA($B117:$R117)=0,"",IF(OR($X117="Pago",$X117="Recebido",$X117="Cancelado"),0,ROUND(N($Q117)+N($S117)+N($T117)-N($U117)-N($R117),2)))</f>
        <v/>
      </c>
      <c r="X117" s="14" t="inlineStr">
        <is>
          <t>Pago</t>
        </is>
      </c>
      <c r="Y117" s="17">
        <f>IF(COUNTA($B117:$R117)=0,"",IF($X117="Cancelado","Cancelado",IF(OR($X117="Pago",$X117="Recebido"),$X117,IF(OR($X117="Parcial",N($R117)&gt;0),"Parcial",IF($C117="","Sem vencimento",IF($C117&lt;TODAY(),"Vencido",IF($C117=TODAY(),"Vence hoje",IF($C117&lt;=TODAY()+7,"Vence em 7 dias",IF($C117&lt;=TODAY()+30,"Vence em 30 dias","Futuro")))))))))</f>
        <v/>
      </c>
      <c r="Z117" s="24">
        <f>IF($B117="","",MONTH($B117))</f>
        <v/>
      </c>
      <c r="AA117" s="24">
        <f>IF($B117="","",YEAR($B117))</f>
        <v/>
      </c>
      <c r="AB117" s="24">
        <f>IF($B117="","",ISOWEEKNUM($B117))</f>
        <v/>
      </c>
      <c r="AC117" s="17">
        <f>IF($B117="","",CHOOSE(WEEKDAY($B117,2),"Segunda","Terça","Quarta","Quinta","Sexta","Sábado","Domingo"))</f>
        <v/>
      </c>
      <c r="AD117" s="17">
        <f>IF($B117="","",TEXT($B117,"MM/AAAA"))</f>
        <v/>
      </c>
      <c r="AE117" s="18">
        <f>IF(COUNTA($B117:$R117)=0,"",IF($X117="Cancelado",0,ROUND(N($Q117)+N($S117)+N($T117)-N($U117),2)))</f>
        <v/>
      </c>
      <c r="AF117" s="9">
        <f>IF($G117="","",IFERROR(INDEX(LINHAS_DRE_PLANO,MATCH($G117,SUBCATEGORIAS_PLANO,0)),"Não classificado"))</f>
        <v/>
      </c>
      <c r="AG117" s="17">
        <f>IF($G117="","",IFERROR(INDEX(TIPOS_FLUXO_PLANO,MATCH($G117,SUBCATEGORIAS_PLANO,0)),"Não classificado"))</f>
        <v/>
      </c>
      <c r="AH117" s="9">
        <f>IF($G117="","",IFERROR(INDEX(GRUPOS_PLANO,MATCH($G117,SUBCATEGORIAS_PLANO,0)),"Não classificado"))</f>
        <v/>
      </c>
      <c r="AI117" s="24">
        <f>IF(OR($C117="",$X117="Pago",$X117="Recebido",$X117="Cancelado"),"",$C117-TODAY())</f>
        <v/>
      </c>
      <c r="AJ117" s="24">
        <f>IF(OR($C117="",$X117="Pago",$X117="Recebido",$X117="Cancelado"),0,MAX(0,TODAY()-$C117))</f>
        <v/>
      </c>
      <c r="AK117" s="24">
        <f>IF($D117="","",$D117-$B117)</f>
        <v/>
      </c>
      <c r="AL117" s="18">
        <f>IF(OR($D117="",$B117=""),"",ROUND(N($R117)*($D117-$B117),2))</f>
        <v/>
      </c>
      <c r="AM117" s="17">
        <f>IF(AND($E117="Saída",$W117&gt;0,$C117&lt;&gt;""),$C117+ROW()/1000000,"")</f>
        <v/>
      </c>
      <c r="AN117" s="17">
        <f>IF(AND($E117="Entrada",$W117&gt;0,$C117&lt;&gt;""),$C117+ROW()/1000000,"")</f>
        <v/>
      </c>
      <c r="AO117" s="9">
        <f>IF(COUNTA($B117:$R117)=0,"",IF(AND($I117&lt;&gt;"",COUNTIF(CLIENTES_NOMES,$I117)+COUNTIF(CLIENTES_FANTASIA,$I117)+COUNTIF(FORNECEDORES_NOMES,$I117)+COUNTIF(FORNECEDORES_FANTASIA,$I117)=0),"⚠ Cliente/Fornecedor não cadastrado",IF(AND($G117&lt;&gt;"",COUNTIF(SUBCATEGORIAS_PLANO,$G117)=0),"⚠ Subcategoria fora do plano de contas",IF(OR($Q117="",N($Q117)=0),"⚠ Valor previsto não informado",IF(AND(OR($X117="Pago",$X117="Recebido"),$D117=""),"⚠ Status pago/recebido sem data",IF(AND($D117&lt;&gt;"",N($R117)=0),"⚠ Data de pagamento sem valor realizado",IF(AND(N($P117)&gt;1,N($O117)&gt;N($P117)),"⚠ Nº da parcela maior que o total",IF(AND($C117&lt;&gt;"",$B117&lt;&gt;"",$C117&lt;$B117),"⚠ Vencimento anterior à competência","OK"))))))))</f>
        <v/>
      </c>
    </row>
    <row r="118">
      <c r="A118" s="14" t="inlineStr">
        <is>
          <t>L0113</t>
        </is>
      </c>
      <c r="B118" s="36" t="n">
        <v>46097</v>
      </c>
      <c r="C118" s="36" t="n">
        <v>46127</v>
      </c>
      <c r="D118" s="36" t="n">
        <v>46129</v>
      </c>
      <c r="E118" s="14" t="inlineStr">
        <is>
          <t>Saída</t>
        </is>
      </c>
      <c r="F118" s="29" t="inlineStr">
        <is>
          <t>Custos Variáveis</t>
        </is>
      </c>
      <c r="G118" s="29" t="inlineStr">
        <is>
          <t>Mercadorias para Revenda</t>
        </is>
      </c>
      <c r="H118" s="29" t="inlineStr">
        <is>
          <t>Logística</t>
        </is>
      </c>
      <c r="I118" s="29" t="inlineStr">
        <is>
          <t>DISTRIBUIDORA CENTRAL DE ALIMENTOS S/A</t>
        </is>
      </c>
      <c r="J118" s="29" t="inlineStr">
        <is>
          <t>Compra de mercadorias para revenda — NF 5031</t>
        </is>
      </c>
      <c r="K118" s="14" t="inlineStr">
        <is>
          <t>NF 5031</t>
        </is>
      </c>
      <c r="L118" s="29" t="inlineStr">
        <is>
          <t>Itaú Unibanco — C/C 45678-9</t>
        </is>
      </c>
      <c r="M118" s="14" t="inlineStr">
        <is>
          <t>Boleto</t>
        </is>
      </c>
      <c r="N118" s="29" t="n"/>
      <c r="O118" s="13" t="n">
        <v>1</v>
      </c>
      <c r="P118" s="13" t="n">
        <v>1</v>
      </c>
      <c r="Q118" s="35" t="n">
        <v>55241.18</v>
      </c>
      <c r="R118" s="35" t="n">
        <v>55241.18</v>
      </c>
      <c r="S118" s="35" t="n"/>
      <c r="T118" s="35" t="n"/>
      <c r="U118" s="35" t="n"/>
      <c r="V118" s="18">
        <f>IF(COUNTA($B118:$R118)=0,"",ROUND(N($R118)+N($S118)+N($T118)-N($U118),2))</f>
        <v/>
      </c>
      <c r="W118" s="18">
        <f>IF(COUNTA($B118:$R118)=0,"",IF(OR($X118="Pago",$X118="Recebido",$X118="Cancelado"),0,ROUND(N($Q118)+N($S118)+N($T118)-N($U118)-N($R118),2)))</f>
        <v/>
      </c>
      <c r="X118" s="14" t="inlineStr">
        <is>
          <t>Pago</t>
        </is>
      </c>
      <c r="Y118" s="17">
        <f>IF(COUNTA($B118:$R118)=0,"",IF($X118="Cancelado","Cancelado",IF(OR($X118="Pago",$X118="Recebido"),$X118,IF(OR($X118="Parcial",N($R118)&gt;0),"Parcial",IF($C118="","Sem vencimento",IF($C118&lt;TODAY(),"Vencido",IF($C118=TODAY(),"Vence hoje",IF($C118&lt;=TODAY()+7,"Vence em 7 dias",IF($C118&lt;=TODAY()+30,"Vence em 30 dias","Futuro")))))))))</f>
        <v/>
      </c>
      <c r="Z118" s="24">
        <f>IF($B118="","",MONTH($B118))</f>
        <v/>
      </c>
      <c r="AA118" s="24">
        <f>IF($B118="","",YEAR($B118))</f>
        <v/>
      </c>
      <c r="AB118" s="24">
        <f>IF($B118="","",ISOWEEKNUM($B118))</f>
        <v/>
      </c>
      <c r="AC118" s="17">
        <f>IF($B118="","",CHOOSE(WEEKDAY($B118,2),"Segunda","Terça","Quarta","Quinta","Sexta","Sábado","Domingo"))</f>
        <v/>
      </c>
      <c r="AD118" s="17">
        <f>IF($B118="","",TEXT($B118,"MM/AAAA"))</f>
        <v/>
      </c>
      <c r="AE118" s="18">
        <f>IF(COUNTA($B118:$R118)=0,"",IF($X118="Cancelado",0,ROUND(N($Q118)+N($S118)+N($T118)-N($U118),2)))</f>
        <v/>
      </c>
      <c r="AF118" s="9">
        <f>IF($G118="","",IFERROR(INDEX(LINHAS_DRE_PLANO,MATCH($G118,SUBCATEGORIAS_PLANO,0)),"Não classificado"))</f>
        <v/>
      </c>
      <c r="AG118" s="17">
        <f>IF($G118="","",IFERROR(INDEX(TIPOS_FLUXO_PLANO,MATCH($G118,SUBCATEGORIAS_PLANO,0)),"Não classificado"))</f>
        <v/>
      </c>
      <c r="AH118" s="9">
        <f>IF($G118="","",IFERROR(INDEX(GRUPOS_PLANO,MATCH($G118,SUBCATEGORIAS_PLANO,0)),"Não classificado"))</f>
        <v/>
      </c>
      <c r="AI118" s="24">
        <f>IF(OR($C118="",$X118="Pago",$X118="Recebido",$X118="Cancelado"),"",$C118-TODAY())</f>
        <v/>
      </c>
      <c r="AJ118" s="24">
        <f>IF(OR($C118="",$X118="Pago",$X118="Recebido",$X118="Cancelado"),0,MAX(0,TODAY()-$C118))</f>
        <v/>
      </c>
      <c r="AK118" s="24">
        <f>IF($D118="","",$D118-$B118)</f>
        <v/>
      </c>
      <c r="AL118" s="18">
        <f>IF(OR($D118="",$B118=""),"",ROUND(N($R118)*($D118-$B118),2))</f>
        <v/>
      </c>
      <c r="AM118" s="17">
        <f>IF(AND($E118="Saída",$W118&gt;0,$C118&lt;&gt;""),$C118+ROW()/1000000,"")</f>
        <v/>
      </c>
      <c r="AN118" s="17">
        <f>IF(AND($E118="Entrada",$W118&gt;0,$C118&lt;&gt;""),$C118+ROW()/1000000,"")</f>
        <v/>
      </c>
      <c r="AO118" s="9">
        <f>IF(COUNTA($B118:$R118)=0,"",IF(AND($I118&lt;&gt;"",COUNTIF(CLIENTES_NOMES,$I118)+COUNTIF(CLIENTES_FANTASIA,$I118)+COUNTIF(FORNECEDORES_NOMES,$I118)+COUNTIF(FORNECEDORES_FANTASIA,$I118)=0),"⚠ Cliente/Fornecedor não cadastrado",IF(AND($G118&lt;&gt;"",COUNTIF(SUBCATEGORIAS_PLANO,$G118)=0),"⚠ Subcategoria fora do plano de contas",IF(OR($Q118="",N($Q118)=0),"⚠ Valor previsto não informado",IF(AND(OR($X118="Pago",$X118="Recebido"),$D118=""),"⚠ Status pago/recebido sem data",IF(AND($D118&lt;&gt;"",N($R118)=0),"⚠ Data de pagamento sem valor realizado",IF(AND(N($P118)&gt;1,N($O118)&gt;N($P118)),"⚠ Nº da parcela maior que o total",IF(AND($C118&lt;&gt;"",$B118&lt;&gt;"",$C118&lt;$B118),"⚠ Vencimento anterior à competência","OK"))))))))</f>
        <v/>
      </c>
    </row>
    <row r="119">
      <c r="A119" s="14" t="inlineStr">
        <is>
          <t>L0114</t>
        </is>
      </c>
      <c r="B119" s="36" t="n">
        <v>46097</v>
      </c>
      <c r="C119" s="36" t="n">
        <v>46117</v>
      </c>
      <c r="D119" s="36" t="n">
        <v>46117</v>
      </c>
      <c r="E119" s="14" t="inlineStr">
        <is>
          <t>Saída</t>
        </is>
      </c>
      <c r="F119" s="29" t="inlineStr">
        <is>
          <t>Despesas Administrativas</t>
        </is>
      </c>
      <c r="G119" s="29" t="inlineStr">
        <is>
          <t>Material de Escritório</t>
        </is>
      </c>
      <c r="H119" s="29" t="inlineStr">
        <is>
          <t>Administrativo</t>
        </is>
      </c>
      <c r="I119" s="29" t="inlineStr">
        <is>
          <t>PAPELARIA CENTRAL LTDA</t>
        </is>
      </c>
      <c r="J119" s="29" t="inlineStr">
        <is>
          <t>Material de escritório e itens de consumo</t>
        </is>
      </c>
      <c r="K119" s="14" t="inlineStr">
        <is>
          <t>DOC 8308</t>
        </is>
      </c>
      <c r="L119" s="29" t="inlineStr">
        <is>
          <t>Itaú Unibanco — C/C 45678-9</t>
        </is>
      </c>
      <c r="M119" s="14" t="inlineStr">
        <is>
          <t>Cartão de crédito</t>
        </is>
      </c>
      <c r="N119" s="29" t="inlineStr">
        <is>
          <t>Cartão Visa Itaú Business</t>
        </is>
      </c>
      <c r="O119" s="13" t="n">
        <v>1</v>
      </c>
      <c r="P119" s="13" t="n">
        <v>1</v>
      </c>
      <c r="Q119" s="35" t="n">
        <v>523.86</v>
      </c>
      <c r="R119" s="35" t="n">
        <v>523.86</v>
      </c>
      <c r="S119" s="35" t="n"/>
      <c r="T119" s="35" t="n"/>
      <c r="U119" s="35" t="n"/>
      <c r="V119" s="18">
        <f>IF(COUNTA($B119:$R119)=0,"",ROUND(N($R119)+N($S119)+N($T119)-N($U119),2))</f>
        <v/>
      </c>
      <c r="W119" s="18">
        <f>IF(COUNTA($B119:$R119)=0,"",IF(OR($X119="Pago",$X119="Recebido",$X119="Cancelado"),0,ROUND(N($Q119)+N($S119)+N($T119)-N($U119)-N($R119),2)))</f>
        <v/>
      </c>
      <c r="X119" s="14" t="inlineStr">
        <is>
          <t>Pago</t>
        </is>
      </c>
      <c r="Y119" s="17">
        <f>IF(COUNTA($B119:$R119)=0,"",IF($X119="Cancelado","Cancelado",IF(OR($X119="Pago",$X119="Recebido"),$X119,IF(OR($X119="Parcial",N($R119)&gt;0),"Parcial",IF($C119="","Sem vencimento",IF($C119&lt;TODAY(),"Vencido",IF($C119=TODAY(),"Vence hoje",IF($C119&lt;=TODAY()+7,"Vence em 7 dias",IF($C119&lt;=TODAY()+30,"Vence em 30 dias","Futuro")))))))))</f>
        <v/>
      </c>
      <c r="Z119" s="24">
        <f>IF($B119="","",MONTH($B119))</f>
        <v/>
      </c>
      <c r="AA119" s="24">
        <f>IF($B119="","",YEAR($B119))</f>
        <v/>
      </c>
      <c r="AB119" s="24">
        <f>IF($B119="","",ISOWEEKNUM($B119))</f>
        <v/>
      </c>
      <c r="AC119" s="17">
        <f>IF($B119="","",CHOOSE(WEEKDAY($B119,2),"Segunda","Terça","Quarta","Quinta","Sexta","Sábado","Domingo"))</f>
        <v/>
      </c>
      <c r="AD119" s="17">
        <f>IF($B119="","",TEXT($B119,"MM/AAAA"))</f>
        <v/>
      </c>
      <c r="AE119" s="18">
        <f>IF(COUNTA($B119:$R119)=0,"",IF($X119="Cancelado",0,ROUND(N($Q119)+N($S119)+N($T119)-N($U119),2)))</f>
        <v/>
      </c>
      <c r="AF119" s="9">
        <f>IF($G119="","",IFERROR(INDEX(LINHAS_DRE_PLANO,MATCH($G119,SUBCATEGORIAS_PLANO,0)),"Não classificado"))</f>
        <v/>
      </c>
      <c r="AG119" s="17">
        <f>IF($G119="","",IFERROR(INDEX(TIPOS_FLUXO_PLANO,MATCH($G119,SUBCATEGORIAS_PLANO,0)),"Não classificado"))</f>
        <v/>
      </c>
      <c r="AH119" s="9">
        <f>IF($G119="","",IFERROR(INDEX(GRUPOS_PLANO,MATCH($G119,SUBCATEGORIAS_PLANO,0)),"Não classificado"))</f>
        <v/>
      </c>
      <c r="AI119" s="24">
        <f>IF(OR($C119="",$X119="Pago",$X119="Recebido",$X119="Cancelado"),"",$C119-TODAY())</f>
        <v/>
      </c>
      <c r="AJ119" s="24">
        <f>IF(OR($C119="",$X119="Pago",$X119="Recebido",$X119="Cancelado"),0,MAX(0,TODAY()-$C119))</f>
        <v/>
      </c>
      <c r="AK119" s="24">
        <f>IF($D119="","",$D119-$B119)</f>
        <v/>
      </c>
      <c r="AL119" s="18">
        <f>IF(OR($D119="",$B119=""),"",ROUND(N($R119)*($D119-$B119),2))</f>
        <v/>
      </c>
      <c r="AM119" s="17">
        <f>IF(AND($E119="Saída",$W119&gt;0,$C119&lt;&gt;""),$C119+ROW()/1000000,"")</f>
        <v/>
      </c>
      <c r="AN119" s="17">
        <f>IF(AND($E119="Entrada",$W119&gt;0,$C119&lt;&gt;""),$C119+ROW()/1000000,"")</f>
        <v/>
      </c>
      <c r="AO119" s="9">
        <f>IF(COUNTA($B119:$R119)=0,"",IF(AND($I119&lt;&gt;"",COUNTIF(CLIENTES_NOMES,$I119)+COUNTIF(CLIENTES_FANTASIA,$I119)+COUNTIF(FORNECEDORES_NOMES,$I119)+COUNTIF(FORNECEDORES_FANTASIA,$I119)=0),"⚠ Cliente/Fornecedor não cadastrado",IF(AND($G119&lt;&gt;"",COUNTIF(SUBCATEGORIAS_PLANO,$G119)=0),"⚠ Subcategoria fora do plano de contas",IF(OR($Q119="",N($Q119)=0),"⚠ Valor previsto não informado",IF(AND(OR($X119="Pago",$X119="Recebido"),$D119=""),"⚠ Status pago/recebido sem data",IF(AND($D119&lt;&gt;"",N($R119)=0),"⚠ Data de pagamento sem valor realizado",IF(AND(N($P119)&gt;1,N($O119)&gt;N($P119)),"⚠ Nº da parcela maior que o total",IF(AND($C119&lt;&gt;"",$B119&lt;&gt;"",$C119&lt;$B119),"⚠ Vencimento anterior à competência","OK"))))))))</f>
        <v/>
      </c>
    </row>
    <row r="120">
      <c r="A120" s="14" t="inlineStr">
        <is>
          <t>L0115</t>
        </is>
      </c>
      <c r="B120" s="36" t="n">
        <v>46099</v>
      </c>
      <c r="C120" s="36" t="n">
        <v>46109</v>
      </c>
      <c r="D120" s="36" t="n">
        <v>46111</v>
      </c>
      <c r="E120" s="14" t="inlineStr">
        <is>
          <t>Saída</t>
        </is>
      </c>
      <c r="F120" s="29" t="inlineStr">
        <is>
          <t>Despesas Comerciais</t>
        </is>
      </c>
      <c r="G120" s="29" t="inlineStr">
        <is>
          <t>Publicidade e Anúncios</t>
        </is>
      </c>
      <c r="H120" s="29" t="inlineStr">
        <is>
          <t>Marketing</t>
        </is>
      </c>
      <c r="I120" s="29" t="inlineStr">
        <is>
          <t>GOOGLE BRASIL INTERNET LTDA</t>
        </is>
      </c>
      <c r="J120" s="29" t="inlineStr">
        <is>
          <t>Anúncios e campanhas digitais</t>
        </is>
      </c>
      <c r="K120" s="14" t="inlineStr">
        <is>
          <t>DOC 8307</t>
        </is>
      </c>
      <c r="L120" s="29" t="inlineStr">
        <is>
          <t>Nubank PJ — C/C 9876543-2</t>
        </is>
      </c>
      <c r="M120" s="14" t="inlineStr">
        <is>
          <t>Cartão de crédito</t>
        </is>
      </c>
      <c r="N120" s="29" t="inlineStr">
        <is>
          <t>Cartão Mastercard Nubank PJ</t>
        </is>
      </c>
      <c r="O120" s="13" t="n">
        <v>1</v>
      </c>
      <c r="P120" s="13" t="n">
        <v>1</v>
      </c>
      <c r="Q120" s="35" t="n">
        <v>1547.1</v>
      </c>
      <c r="R120" s="35" t="n">
        <v>1547.1</v>
      </c>
      <c r="S120" s="35" t="n"/>
      <c r="T120" s="35" t="n"/>
      <c r="U120" s="35" t="n"/>
      <c r="V120" s="18">
        <f>IF(COUNTA($B120:$R120)=0,"",ROUND(N($R120)+N($S120)+N($T120)-N($U120),2))</f>
        <v/>
      </c>
      <c r="W120" s="18">
        <f>IF(COUNTA($B120:$R120)=0,"",IF(OR($X120="Pago",$X120="Recebido",$X120="Cancelado"),0,ROUND(N($Q120)+N($S120)+N($T120)-N($U120)-N($R120),2)))</f>
        <v/>
      </c>
      <c r="X120" s="14" t="inlineStr">
        <is>
          <t>Pago</t>
        </is>
      </c>
      <c r="Y120" s="17">
        <f>IF(COUNTA($B120:$R120)=0,"",IF($X120="Cancelado","Cancelado",IF(OR($X120="Pago",$X120="Recebido"),$X120,IF(OR($X120="Parcial",N($R120)&gt;0),"Parcial",IF($C120="","Sem vencimento",IF($C120&lt;TODAY(),"Vencido",IF($C120=TODAY(),"Vence hoje",IF($C120&lt;=TODAY()+7,"Vence em 7 dias",IF($C120&lt;=TODAY()+30,"Vence em 30 dias","Futuro")))))))))</f>
        <v/>
      </c>
      <c r="Z120" s="24">
        <f>IF($B120="","",MONTH($B120))</f>
        <v/>
      </c>
      <c r="AA120" s="24">
        <f>IF($B120="","",YEAR($B120))</f>
        <v/>
      </c>
      <c r="AB120" s="24">
        <f>IF($B120="","",ISOWEEKNUM($B120))</f>
        <v/>
      </c>
      <c r="AC120" s="17">
        <f>IF($B120="","",CHOOSE(WEEKDAY($B120,2),"Segunda","Terça","Quarta","Quinta","Sexta","Sábado","Domingo"))</f>
        <v/>
      </c>
      <c r="AD120" s="17">
        <f>IF($B120="","",TEXT($B120,"MM/AAAA"))</f>
        <v/>
      </c>
      <c r="AE120" s="18">
        <f>IF(COUNTA($B120:$R120)=0,"",IF($X120="Cancelado",0,ROUND(N($Q120)+N($S120)+N($T120)-N($U120),2)))</f>
        <v/>
      </c>
      <c r="AF120" s="9">
        <f>IF($G120="","",IFERROR(INDEX(LINHAS_DRE_PLANO,MATCH($G120,SUBCATEGORIAS_PLANO,0)),"Não classificado"))</f>
        <v/>
      </c>
      <c r="AG120" s="17">
        <f>IF($G120="","",IFERROR(INDEX(TIPOS_FLUXO_PLANO,MATCH($G120,SUBCATEGORIAS_PLANO,0)),"Não classificado"))</f>
        <v/>
      </c>
      <c r="AH120" s="9">
        <f>IF($G120="","",IFERROR(INDEX(GRUPOS_PLANO,MATCH($G120,SUBCATEGORIAS_PLANO,0)),"Não classificado"))</f>
        <v/>
      </c>
      <c r="AI120" s="24">
        <f>IF(OR($C120="",$X120="Pago",$X120="Recebido",$X120="Cancelado"),"",$C120-TODAY())</f>
        <v/>
      </c>
      <c r="AJ120" s="24">
        <f>IF(OR($C120="",$X120="Pago",$X120="Recebido",$X120="Cancelado"),0,MAX(0,TODAY()-$C120))</f>
        <v/>
      </c>
      <c r="AK120" s="24">
        <f>IF($D120="","",$D120-$B120)</f>
        <v/>
      </c>
      <c r="AL120" s="18">
        <f>IF(OR($D120="",$B120=""),"",ROUND(N($R120)*($D120-$B120),2))</f>
        <v/>
      </c>
      <c r="AM120" s="17">
        <f>IF(AND($E120="Saída",$W120&gt;0,$C120&lt;&gt;""),$C120+ROW()/1000000,"")</f>
        <v/>
      </c>
      <c r="AN120" s="17">
        <f>IF(AND($E120="Entrada",$W120&gt;0,$C120&lt;&gt;""),$C120+ROW()/1000000,"")</f>
        <v/>
      </c>
      <c r="AO120" s="9">
        <f>IF(COUNTA($B120:$R120)=0,"",IF(AND($I120&lt;&gt;"",COUNTIF(CLIENTES_NOMES,$I120)+COUNTIF(CLIENTES_FANTASIA,$I120)+COUNTIF(FORNECEDORES_NOMES,$I120)+COUNTIF(FORNECEDORES_FANTASIA,$I120)=0),"⚠ Cliente/Fornecedor não cadastrado",IF(AND($G120&lt;&gt;"",COUNTIF(SUBCATEGORIAS_PLANO,$G120)=0),"⚠ Subcategoria fora do plano de contas",IF(OR($Q120="",N($Q120)=0),"⚠ Valor previsto não informado",IF(AND(OR($X120="Pago",$X120="Recebido"),$D120=""),"⚠ Status pago/recebido sem data",IF(AND($D120&lt;&gt;"",N($R120)=0),"⚠ Data de pagamento sem valor realizado",IF(AND(N($P120)&gt;1,N($O120)&gt;N($P120)),"⚠ Nº da parcela maior que o total",IF(AND($C120&lt;&gt;"",$B120&lt;&gt;"",$C120&lt;$B120),"⚠ Vencimento anterior à competência","OK"))))))))</f>
        <v/>
      </c>
    </row>
    <row r="121">
      <c r="A121" s="14" t="inlineStr">
        <is>
          <t>L0116</t>
        </is>
      </c>
      <c r="B121" s="36" t="n">
        <v>46099</v>
      </c>
      <c r="C121" s="36" t="n">
        <v>46137</v>
      </c>
      <c r="D121" s="36" t="n">
        <v>46139</v>
      </c>
      <c r="E121" s="14" t="inlineStr">
        <is>
          <t>Saída</t>
        </is>
      </c>
      <c r="F121" s="29" t="inlineStr">
        <is>
          <t>Despesas Administrativas</t>
        </is>
      </c>
      <c r="G121" s="29" t="inlineStr">
        <is>
          <t>Manutenção e Conservação</t>
        </is>
      </c>
      <c r="H121" s="29" t="inlineStr">
        <is>
          <t>Logística</t>
        </is>
      </c>
      <c r="I121" s="29" t="inlineStr">
        <is>
          <t>Posto e oficina credenciados</t>
        </is>
      </c>
      <c r="J121" s="29" t="inlineStr">
        <is>
          <t>Combustível e manutenção da frota</t>
        </is>
      </c>
      <c r="K121" s="14" t="inlineStr">
        <is>
          <t>FROTA 03</t>
        </is>
      </c>
      <c r="L121" s="29" t="inlineStr">
        <is>
          <t>Banco do Brasil — C/C 12345-6</t>
        </is>
      </c>
      <c r="M121" s="14" t="inlineStr">
        <is>
          <t>Cartão de crédito</t>
        </is>
      </c>
      <c r="N121" s="29" t="inlineStr">
        <is>
          <t>Cartão Elo Banco do Brasil PJ</t>
        </is>
      </c>
      <c r="O121" s="13" t="n">
        <v>1</v>
      </c>
      <c r="P121" s="13" t="n">
        <v>1</v>
      </c>
      <c r="Q121" s="35" t="n">
        <v>1000.91</v>
      </c>
      <c r="R121" s="35" t="n">
        <v>1000.91</v>
      </c>
      <c r="S121" s="35" t="n"/>
      <c r="T121" s="35" t="n"/>
      <c r="U121" s="35" t="n"/>
      <c r="V121" s="18">
        <f>IF(COUNTA($B121:$R121)=0,"",ROUND(N($R121)+N($S121)+N($T121)-N($U121),2))</f>
        <v/>
      </c>
      <c r="W121" s="18">
        <f>IF(COUNTA($B121:$R121)=0,"",IF(OR($X121="Pago",$X121="Recebido",$X121="Cancelado"),0,ROUND(N($Q121)+N($S121)+N($T121)-N($U121)-N($R121),2)))</f>
        <v/>
      </c>
      <c r="X121" s="14" t="inlineStr">
        <is>
          <t>Pago</t>
        </is>
      </c>
      <c r="Y121" s="17">
        <f>IF(COUNTA($B121:$R121)=0,"",IF($X121="Cancelado","Cancelado",IF(OR($X121="Pago",$X121="Recebido"),$X121,IF(OR($X121="Parcial",N($R121)&gt;0),"Parcial",IF($C121="","Sem vencimento",IF($C121&lt;TODAY(),"Vencido",IF($C121=TODAY(),"Vence hoje",IF($C121&lt;=TODAY()+7,"Vence em 7 dias",IF($C121&lt;=TODAY()+30,"Vence em 30 dias","Futuro")))))))))</f>
        <v/>
      </c>
      <c r="Z121" s="24">
        <f>IF($B121="","",MONTH($B121))</f>
        <v/>
      </c>
      <c r="AA121" s="24">
        <f>IF($B121="","",YEAR($B121))</f>
        <v/>
      </c>
      <c r="AB121" s="24">
        <f>IF($B121="","",ISOWEEKNUM($B121))</f>
        <v/>
      </c>
      <c r="AC121" s="17">
        <f>IF($B121="","",CHOOSE(WEEKDAY($B121,2),"Segunda","Terça","Quarta","Quinta","Sexta","Sábado","Domingo"))</f>
        <v/>
      </c>
      <c r="AD121" s="17">
        <f>IF($B121="","",TEXT($B121,"MM/AAAA"))</f>
        <v/>
      </c>
      <c r="AE121" s="18">
        <f>IF(COUNTA($B121:$R121)=0,"",IF($X121="Cancelado",0,ROUND(N($Q121)+N($S121)+N($T121)-N($U121),2)))</f>
        <v/>
      </c>
      <c r="AF121" s="9">
        <f>IF($G121="","",IFERROR(INDEX(LINHAS_DRE_PLANO,MATCH($G121,SUBCATEGORIAS_PLANO,0)),"Não classificado"))</f>
        <v/>
      </c>
      <c r="AG121" s="17">
        <f>IF($G121="","",IFERROR(INDEX(TIPOS_FLUXO_PLANO,MATCH($G121,SUBCATEGORIAS_PLANO,0)),"Não classificado"))</f>
        <v/>
      </c>
      <c r="AH121" s="9">
        <f>IF($G121="","",IFERROR(INDEX(GRUPOS_PLANO,MATCH($G121,SUBCATEGORIAS_PLANO,0)),"Não classificado"))</f>
        <v/>
      </c>
      <c r="AI121" s="24">
        <f>IF(OR($C121="",$X121="Pago",$X121="Recebido",$X121="Cancelado"),"",$C121-TODAY())</f>
        <v/>
      </c>
      <c r="AJ121" s="24">
        <f>IF(OR($C121="",$X121="Pago",$X121="Recebido",$X121="Cancelado"),0,MAX(0,TODAY()-$C121))</f>
        <v/>
      </c>
      <c r="AK121" s="24">
        <f>IF($D121="","",$D121-$B121)</f>
        <v/>
      </c>
      <c r="AL121" s="18">
        <f>IF(OR($D121="",$B121=""),"",ROUND(N($R121)*($D121-$B121),2))</f>
        <v/>
      </c>
      <c r="AM121" s="17">
        <f>IF(AND($E121="Saída",$W121&gt;0,$C121&lt;&gt;""),$C121+ROW()/1000000,"")</f>
        <v/>
      </c>
      <c r="AN121" s="17">
        <f>IF(AND($E121="Entrada",$W121&gt;0,$C121&lt;&gt;""),$C121+ROW()/1000000,"")</f>
        <v/>
      </c>
      <c r="AO121" s="9">
        <f>IF(COUNTA($B121:$R121)=0,"",IF(AND($I121&lt;&gt;"",COUNTIF(CLIENTES_NOMES,$I121)+COUNTIF(CLIENTES_FANTASIA,$I121)+COUNTIF(FORNECEDORES_NOMES,$I121)+COUNTIF(FORNECEDORES_FANTASIA,$I121)=0),"⚠ Cliente/Fornecedor não cadastrado",IF(AND($G121&lt;&gt;"",COUNTIF(SUBCATEGORIAS_PLANO,$G121)=0),"⚠ Subcategoria fora do plano de contas",IF(OR($Q121="",N($Q121)=0),"⚠ Valor previsto não informado",IF(AND(OR($X121="Pago",$X121="Recebido"),$D121=""),"⚠ Status pago/recebido sem data",IF(AND($D121&lt;&gt;"",N($R121)=0),"⚠ Data de pagamento sem valor realizado",IF(AND(N($P121)&gt;1,N($O121)&gt;N($P121)),"⚠ Nº da parcela maior que o total",IF(AND($C121&lt;&gt;"",$B121&lt;&gt;"",$C121&lt;$B121),"⚠ Vencimento anterior à competência","OK"))))))))</f>
        <v/>
      </c>
    </row>
    <row r="122">
      <c r="A122" s="14" t="inlineStr">
        <is>
          <t>L0117</t>
        </is>
      </c>
      <c r="B122" s="36" t="n">
        <v>46100</v>
      </c>
      <c r="C122" s="36" t="n">
        <v>46132</v>
      </c>
      <c r="D122" s="36" t="n">
        <v>46132</v>
      </c>
      <c r="E122" s="14" t="inlineStr">
        <is>
          <t>Entrada</t>
        </is>
      </c>
      <c r="F122" s="29" t="inlineStr">
        <is>
          <t>Vendas</t>
        </is>
      </c>
      <c r="G122" s="29" t="inlineStr">
        <is>
          <t>Vendas de Produtos</t>
        </is>
      </c>
      <c r="H122" s="29" t="inlineStr">
        <is>
          <t>Comercial</t>
        </is>
      </c>
      <c r="I122" s="29" t="inlineStr">
        <is>
          <t>MERCADO BOA COMPRA LTDA</t>
        </is>
      </c>
      <c r="J122" s="29" t="inlineStr">
        <is>
          <t>Venda de mercadorias para revenda</t>
        </is>
      </c>
      <c r="K122" s="14" t="inlineStr">
        <is>
          <t>NF-e 2026</t>
        </is>
      </c>
      <c r="L122" s="29" t="inlineStr">
        <is>
          <t>Banco do Brasil — C/C 12345-6</t>
        </is>
      </c>
      <c r="M122" s="14" t="inlineStr">
        <is>
          <t>Boleto</t>
        </is>
      </c>
      <c r="N122" s="29" t="n"/>
      <c r="O122" s="13" t="n">
        <v>1</v>
      </c>
      <c r="P122" s="13" t="n">
        <v>1</v>
      </c>
      <c r="Q122" s="35" t="n">
        <v>26788.77</v>
      </c>
      <c r="R122" s="35" t="n">
        <v>26788.77</v>
      </c>
      <c r="S122" s="35" t="n"/>
      <c r="T122" s="35" t="n"/>
      <c r="U122" s="35" t="n"/>
      <c r="V122" s="18">
        <f>IF(COUNTA($B122:$R122)=0,"",ROUND(N($R122)+N($S122)+N($T122)-N($U122),2))</f>
        <v/>
      </c>
      <c r="W122" s="18">
        <f>IF(COUNTA($B122:$R122)=0,"",IF(OR($X122="Pago",$X122="Recebido",$X122="Cancelado"),0,ROUND(N($Q122)+N($S122)+N($T122)-N($U122)-N($R122),2)))</f>
        <v/>
      </c>
      <c r="X122" s="14" t="inlineStr">
        <is>
          <t>Pago</t>
        </is>
      </c>
      <c r="Y122" s="17">
        <f>IF(COUNTA($B122:$R122)=0,"",IF($X122="Cancelado","Cancelado",IF(OR($X122="Pago",$X122="Recebido"),$X122,IF(OR($X122="Parcial",N($R122)&gt;0),"Parcial",IF($C122="","Sem vencimento",IF($C122&lt;TODAY(),"Vencido",IF($C122=TODAY(),"Vence hoje",IF($C122&lt;=TODAY()+7,"Vence em 7 dias",IF($C122&lt;=TODAY()+30,"Vence em 30 dias","Futuro")))))))))</f>
        <v/>
      </c>
      <c r="Z122" s="24">
        <f>IF($B122="","",MONTH($B122))</f>
        <v/>
      </c>
      <c r="AA122" s="24">
        <f>IF($B122="","",YEAR($B122))</f>
        <v/>
      </c>
      <c r="AB122" s="24">
        <f>IF($B122="","",ISOWEEKNUM($B122))</f>
        <v/>
      </c>
      <c r="AC122" s="17">
        <f>IF($B122="","",CHOOSE(WEEKDAY($B122,2),"Segunda","Terça","Quarta","Quinta","Sexta","Sábado","Domingo"))</f>
        <v/>
      </c>
      <c r="AD122" s="17">
        <f>IF($B122="","",TEXT($B122,"MM/AAAA"))</f>
        <v/>
      </c>
      <c r="AE122" s="18">
        <f>IF(COUNTA($B122:$R122)=0,"",IF($X122="Cancelado",0,ROUND(N($Q122)+N($S122)+N($T122)-N($U122),2)))</f>
        <v/>
      </c>
      <c r="AF122" s="9">
        <f>IF($G122="","",IFERROR(INDEX(LINHAS_DRE_PLANO,MATCH($G122,SUBCATEGORIAS_PLANO,0)),"Não classificado"))</f>
        <v/>
      </c>
      <c r="AG122" s="17">
        <f>IF($G122="","",IFERROR(INDEX(TIPOS_FLUXO_PLANO,MATCH($G122,SUBCATEGORIAS_PLANO,0)),"Não classificado"))</f>
        <v/>
      </c>
      <c r="AH122" s="9">
        <f>IF($G122="","",IFERROR(INDEX(GRUPOS_PLANO,MATCH($G122,SUBCATEGORIAS_PLANO,0)),"Não classificado"))</f>
        <v/>
      </c>
      <c r="AI122" s="24">
        <f>IF(OR($C122="",$X122="Pago",$X122="Recebido",$X122="Cancelado"),"",$C122-TODAY())</f>
        <v/>
      </c>
      <c r="AJ122" s="24">
        <f>IF(OR($C122="",$X122="Pago",$X122="Recebido",$X122="Cancelado"),0,MAX(0,TODAY()-$C122))</f>
        <v/>
      </c>
      <c r="AK122" s="24">
        <f>IF($D122="","",$D122-$B122)</f>
        <v/>
      </c>
      <c r="AL122" s="18">
        <f>IF(OR($D122="",$B122=""),"",ROUND(N($R122)*($D122-$B122),2))</f>
        <v/>
      </c>
      <c r="AM122" s="17">
        <f>IF(AND($E122="Saída",$W122&gt;0,$C122&lt;&gt;""),$C122+ROW()/1000000,"")</f>
        <v/>
      </c>
      <c r="AN122" s="17">
        <f>IF(AND($E122="Entrada",$W122&gt;0,$C122&lt;&gt;""),$C122+ROW()/1000000,"")</f>
        <v/>
      </c>
      <c r="AO122" s="9">
        <f>IF(COUNTA($B122:$R122)=0,"",IF(AND($I122&lt;&gt;"",COUNTIF(CLIENTES_NOMES,$I122)+COUNTIF(CLIENTES_FANTASIA,$I122)+COUNTIF(FORNECEDORES_NOMES,$I122)+COUNTIF(FORNECEDORES_FANTASIA,$I122)=0),"⚠ Cliente/Fornecedor não cadastrado",IF(AND($G122&lt;&gt;"",COUNTIF(SUBCATEGORIAS_PLANO,$G122)=0),"⚠ Subcategoria fora do plano de contas",IF(OR($Q122="",N($Q122)=0),"⚠ Valor previsto não informado",IF(AND(OR($X122="Pago",$X122="Recebido"),$D122=""),"⚠ Status pago/recebido sem data",IF(AND($D122&lt;&gt;"",N($R122)=0),"⚠ Data de pagamento sem valor realizado",IF(AND(N($P122)&gt;1,N($O122)&gt;N($P122)),"⚠ Nº da parcela maior que o total",IF(AND($C122&lt;&gt;"",$B122&lt;&gt;"",$C122&lt;$B122),"⚠ Vencimento anterior à competência","OK"))))))))</f>
        <v/>
      </c>
    </row>
    <row r="123">
      <c r="A123" s="14" t="inlineStr">
        <is>
          <t>L0118</t>
        </is>
      </c>
      <c r="B123" s="36" t="n">
        <v>46100</v>
      </c>
      <c r="C123" s="36" t="n">
        <v>46115</v>
      </c>
      <c r="D123" s="36" t="n">
        <v>46116</v>
      </c>
      <c r="E123" s="14" t="inlineStr">
        <is>
          <t>Entrada</t>
        </is>
      </c>
      <c r="F123" s="29" t="inlineStr">
        <is>
          <t>Vendas</t>
        </is>
      </c>
      <c r="G123" s="29" t="inlineStr">
        <is>
          <t>Vendas de Produtos</t>
        </is>
      </c>
      <c r="H123" s="29" t="inlineStr">
        <is>
          <t>Comercial</t>
        </is>
      </c>
      <c r="I123" s="29" t="inlineStr">
        <is>
          <t>RESTAURANTE SABOR CASEIRO LTDA</t>
        </is>
      </c>
      <c r="J123" s="29" t="inlineStr">
        <is>
          <t>Venda de mercadorias para revenda</t>
        </is>
      </c>
      <c r="K123" s="14" t="inlineStr">
        <is>
          <t>NF-e 2030</t>
        </is>
      </c>
      <c r="L123" s="29" t="inlineStr">
        <is>
          <t>Itaú Unibanco — C/C 45678-9</t>
        </is>
      </c>
      <c r="M123" s="14" t="inlineStr">
        <is>
          <t>Boleto</t>
        </is>
      </c>
      <c r="N123" s="29" t="n"/>
      <c r="O123" s="13" t="n">
        <v>1</v>
      </c>
      <c r="P123" s="13" t="n">
        <v>1</v>
      </c>
      <c r="Q123" s="35" t="n">
        <v>12745.53</v>
      </c>
      <c r="R123" s="35" t="n">
        <v>12745.53</v>
      </c>
      <c r="S123" s="35" t="n"/>
      <c r="T123" s="35" t="n"/>
      <c r="U123" s="35" t="n"/>
      <c r="V123" s="18">
        <f>IF(COUNTA($B123:$R123)=0,"",ROUND(N($R123)+N($S123)+N($T123)-N($U123),2))</f>
        <v/>
      </c>
      <c r="W123" s="18">
        <f>IF(COUNTA($B123:$R123)=0,"",IF(OR($X123="Pago",$X123="Recebido",$X123="Cancelado"),0,ROUND(N($Q123)+N($S123)+N($T123)-N($U123)-N($R123),2)))</f>
        <v/>
      </c>
      <c r="X123" s="14" t="inlineStr">
        <is>
          <t>Pago</t>
        </is>
      </c>
      <c r="Y123" s="17">
        <f>IF(COUNTA($B123:$R123)=0,"",IF($X123="Cancelado","Cancelado",IF(OR($X123="Pago",$X123="Recebido"),$X123,IF(OR($X123="Parcial",N($R123)&gt;0),"Parcial",IF($C123="","Sem vencimento",IF($C123&lt;TODAY(),"Vencido",IF($C123=TODAY(),"Vence hoje",IF($C123&lt;=TODAY()+7,"Vence em 7 dias",IF($C123&lt;=TODAY()+30,"Vence em 30 dias","Futuro")))))))))</f>
        <v/>
      </c>
      <c r="Z123" s="24">
        <f>IF($B123="","",MONTH($B123))</f>
        <v/>
      </c>
      <c r="AA123" s="24">
        <f>IF($B123="","",YEAR($B123))</f>
        <v/>
      </c>
      <c r="AB123" s="24">
        <f>IF($B123="","",ISOWEEKNUM($B123))</f>
        <v/>
      </c>
      <c r="AC123" s="17">
        <f>IF($B123="","",CHOOSE(WEEKDAY($B123,2),"Segunda","Terça","Quarta","Quinta","Sexta","Sábado","Domingo"))</f>
        <v/>
      </c>
      <c r="AD123" s="17">
        <f>IF($B123="","",TEXT($B123,"MM/AAAA"))</f>
        <v/>
      </c>
      <c r="AE123" s="18">
        <f>IF(COUNTA($B123:$R123)=0,"",IF($X123="Cancelado",0,ROUND(N($Q123)+N($S123)+N($T123)-N($U123),2)))</f>
        <v/>
      </c>
      <c r="AF123" s="9">
        <f>IF($G123="","",IFERROR(INDEX(LINHAS_DRE_PLANO,MATCH($G123,SUBCATEGORIAS_PLANO,0)),"Não classificado"))</f>
        <v/>
      </c>
      <c r="AG123" s="17">
        <f>IF($G123="","",IFERROR(INDEX(TIPOS_FLUXO_PLANO,MATCH($G123,SUBCATEGORIAS_PLANO,0)),"Não classificado"))</f>
        <v/>
      </c>
      <c r="AH123" s="9">
        <f>IF($G123="","",IFERROR(INDEX(GRUPOS_PLANO,MATCH($G123,SUBCATEGORIAS_PLANO,0)),"Não classificado"))</f>
        <v/>
      </c>
      <c r="AI123" s="24">
        <f>IF(OR($C123="",$X123="Pago",$X123="Recebido",$X123="Cancelado"),"",$C123-TODAY())</f>
        <v/>
      </c>
      <c r="AJ123" s="24">
        <f>IF(OR($C123="",$X123="Pago",$X123="Recebido",$X123="Cancelado"),0,MAX(0,TODAY()-$C123))</f>
        <v/>
      </c>
      <c r="AK123" s="24">
        <f>IF($D123="","",$D123-$B123)</f>
        <v/>
      </c>
      <c r="AL123" s="18">
        <f>IF(OR($D123="",$B123=""),"",ROUND(N($R123)*($D123-$B123),2))</f>
        <v/>
      </c>
      <c r="AM123" s="17">
        <f>IF(AND($E123="Saída",$W123&gt;0,$C123&lt;&gt;""),$C123+ROW()/1000000,"")</f>
        <v/>
      </c>
      <c r="AN123" s="17">
        <f>IF(AND($E123="Entrada",$W123&gt;0,$C123&lt;&gt;""),$C123+ROW()/1000000,"")</f>
        <v/>
      </c>
      <c r="AO123" s="9">
        <f>IF(COUNTA($B123:$R123)=0,"",IF(AND($I123&lt;&gt;"",COUNTIF(CLIENTES_NOMES,$I123)+COUNTIF(CLIENTES_FANTASIA,$I123)+COUNTIF(FORNECEDORES_NOMES,$I123)+COUNTIF(FORNECEDORES_FANTASIA,$I123)=0),"⚠ Cliente/Fornecedor não cadastrado",IF(AND($G123&lt;&gt;"",COUNTIF(SUBCATEGORIAS_PLANO,$G123)=0),"⚠ Subcategoria fora do plano de contas",IF(OR($Q123="",N($Q123)=0),"⚠ Valor previsto não informado",IF(AND(OR($X123="Pago",$X123="Recebido"),$D123=""),"⚠ Status pago/recebido sem data",IF(AND($D123&lt;&gt;"",N($R123)=0),"⚠ Data de pagamento sem valor realizado",IF(AND(N($P123)&gt;1,N($O123)&gt;N($P123)),"⚠ Nº da parcela maior que o total",IF(AND($C123&lt;&gt;"",$B123&lt;&gt;"",$C123&lt;$B123),"⚠ Vencimento anterior à competência","OK"))))))))</f>
        <v/>
      </c>
    </row>
    <row r="124">
      <c r="A124" s="14" t="inlineStr">
        <is>
          <t>L0119</t>
        </is>
      </c>
      <c r="B124" s="36" t="n">
        <v>46100</v>
      </c>
      <c r="C124" s="36" t="n">
        <v>46121</v>
      </c>
      <c r="D124" s="36" t="n">
        <v>46123</v>
      </c>
      <c r="E124" s="14" t="inlineStr">
        <is>
          <t>Entrada</t>
        </is>
      </c>
      <c r="F124" s="29" t="inlineStr">
        <is>
          <t>Vendas</t>
        </is>
      </c>
      <c r="G124" s="29" t="inlineStr">
        <is>
          <t>Vendas de Produtos</t>
        </is>
      </c>
      <c r="H124" s="29" t="inlineStr">
        <is>
          <t>Comercial</t>
        </is>
      </c>
      <c r="I124" s="29" t="inlineStr">
        <is>
          <t>EMPÓRIO NATURAL COMÉRCIO LTDA</t>
        </is>
      </c>
      <c r="J124" s="29" t="inlineStr">
        <is>
          <t>Venda de mercadorias para revenda</t>
        </is>
      </c>
      <c r="K124" s="14" t="inlineStr">
        <is>
          <t>NF-e 2034</t>
        </is>
      </c>
      <c r="L124" s="29" t="inlineStr">
        <is>
          <t>Itaú Unibanco — C/C 45678-9</t>
        </is>
      </c>
      <c r="M124" s="14" t="inlineStr">
        <is>
          <t>Boleto</t>
        </is>
      </c>
      <c r="N124" s="29" t="n"/>
      <c r="O124" s="13" t="n">
        <v>1</v>
      </c>
      <c r="P124" s="13" t="n">
        <v>1</v>
      </c>
      <c r="Q124" s="35" t="n">
        <v>18253.07</v>
      </c>
      <c r="R124" s="35" t="n">
        <v>18253.07</v>
      </c>
      <c r="S124" s="35" t="n"/>
      <c r="T124" s="35" t="n"/>
      <c r="U124" s="35" t="n"/>
      <c r="V124" s="18">
        <f>IF(COUNTA($B124:$R124)=0,"",ROUND(N($R124)+N($S124)+N($T124)-N($U124),2))</f>
        <v/>
      </c>
      <c r="W124" s="18">
        <f>IF(COUNTA($B124:$R124)=0,"",IF(OR($X124="Pago",$X124="Recebido",$X124="Cancelado"),0,ROUND(N($Q124)+N($S124)+N($T124)-N($U124)-N($R124),2)))</f>
        <v/>
      </c>
      <c r="X124" s="14" t="inlineStr">
        <is>
          <t>Pago</t>
        </is>
      </c>
      <c r="Y124" s="17">
        <f>IF(COUNTA($B124:$R124)=0,"",IF($X124="Cancelado","Cancelado",IF(OR($X124="Pago",$X124="Recebido"),$X124,IF(OR($X124="Parcial",N($R124)&gt;0),"Parcial",IF($C124="","Sem vencimento",IF($C124&lt;TODAY(),"Vencido",IF($C124=TODAY(),"Vence hoje",IF($C124&lt;=TODAY()+7,"Vence em 7 dias",IF($C124&lt;=TODAY()+30,"Vence em 30 dias","Futuro")))))))))</f>
        <v/>
      </c>
      <c r="Z124" s="24">
        <f>IF($B124="","",MONTH($B124))</f>
        <v/>
      </c>
      <c r="AA124" s="24">
        <f>IF($B124="","",YEAR($B124))</f>
        <v/>
      </c>
      <c r="AB124" s="24">
        <f>IF($B124="","",ISOWEEKNUM($B124))</f>
        <v/>
      </c>
      <c r="AC124" s="17">
        <f>IF($B124="","",CHOOSE(WEEKDAY($B124,2),"Segunda","Terça","Quarta","Quinta","Sexta","Sábado","Domingo"))</f>
        <v/>
      </c>
      <c r="AD124" s="17">
        <f>IF($B124="","",TEXT($B124,"MM/AAAA"))</f>
        <v/>
      </c>
      <c r="AE124" s="18">
        <f>IF(COUNTA($B124:$R124)=0,"",IF($X124="Cancelado",0,ROUND(N($Q124)+N($S124)+N($T124)-N($U124),2)))</f>
        <v/>
      </c>
      <c r="AF124" s="9">
        <f>IF($G124="","",IFERROR(INDEX(LINHAS_DRE_PLANO,MATCH($G124,SUBCATEGORIAS_PLANO,0)),"Não classificado"))</f>
        <v/>
      </c>
      <c r="AG124" s="17">
        <f>IF($G124="","",IFERROR(INDEX(TIPOS_FLUXO_PLANO,MATCH($G124,SUBCATEGORIAS_PLANO,0)),"Não classificado"))</f>
        <v/>
      </c>
      <c r="AH124" s="9">
        <f>IF($G124="","",IFERROR(INDEX(GRUPOS_PLANO,MATCH($G124,SUBCATEGORIAS_PLANO,0)),"Não classificado"))</f>
        <v/>
      </c>
      <c r="AI124" s="24">
        <f>IF(OR($C124="",$X124="Pago",$X124="Recebido",$X124="Cancelado"),"",$C124-TODAY())</f>
        <v/>
      </c>
      <c r="AJ124" s="24">
        <f>IF(OR($C124="",$X124="Pago",$X124="Recebido",$X124="Cancelado"),0,MAX(0,TODAY()-$C124))</f>
        <v/>
      </c>
      <c r="AK124" s="24">
        <f>IF($D124="","",$D124-$B124)</f>
        <v/>
      </c>
      <c r="AL124" s="18">
        <f>IF(OR($D124="",$B124=""),"",ROUND(N($R124)*($D124-$B124),2))</f>
        <v/>
      </c>
      <c r="AM124" s="17">
        <f>IF(AND($E124="Saída",$W124&gt;0,$C124&lt;&gt;""),$C124+ROW()/1000000,"")</f>
        <v/>
      </c>
      <c r="AN124" s="17">
        <f>IF(AND($E124="Entrada",$W124&gt;0,$C124&lt;&gt;""),$C124+ROW()/1000000,"")</f>
        <v/>
      </c>
      <c r="AO124" s="9">
        <f>IF(COUNTA($B124:$R124)=0,"",IF(AND($I124&lt;&gt;"",COUNTIF(CLIENTES_NOMES,$I124)+COUNTIF(CLIENTES_FANTASIA,$I124)+COUNTIF(FORNECEDORES_NOMES,$I124)+COUNTIF(FORNECEDORES_FANTASIA,$I124)=0),"⚠ Cliente/Fornecedor não cadastrado",IF(AND($G124&lt;&gt;"",COUNTIF(SUBCATEGORIAS_PLANO,$G124)=0),"⚠ Subcategoria fora do plano de contas",IF(OR($Q124="",N($Q124)=0),"⚠ Valor previsto não informado",IF(AND(OR($X124="Pago",$X124="Recebido"),$D124=""),"⚠ Status pago/recebido sem data",IF(AND($D124&lt;&gt;"",N($R124)=0),"⚠ Data de pagamento sem valor realizado",IF(AND(N($P124)&gt;1,N($O124)&gt;N($P124)),"⚠ Nº da parcela maior que o total",IF(AND($C124&lt;&gt;"",$B124&lt;&gt;"",$C124&lt;$B124),"⚠ Vencimento anterior à competência","OK"))))))))</f>
        <v/>
      </c>
    </row>
    <row r="125">
      <c r="A125" s="14" t="inlineStr">
        <is>
          <t>L0120</t>
        </is>
      </c>
      <c r="B125" s="36" t="n">
        <v>46101</v>
      </c>
      <c r="C125" s="36" t="n">
        <v>46111</v>
      </c>
      <c r="D125" s="36" t="n">
        <v>46112</v>
      </c>
      <c r="E125" s="14" t="inlineStr">
        <is>
          <t>Saída</t>
        </is>
      </c>
      <c r="F125" s="29" t="inlineStr">
        <is>
          <t>Custos Variáveis</t>
        </is>
      </c>
      <c r="G125" s="29" t="inlineStr">
        <is>
          <t>Outros Custos Diretos</t>
        </is>
      </c>
      <c r="H125" s="29" t="inlineStr">
        <is>
          <t>Produção</t>
        </is>
      </c>
      <c r="I125" s="29" t="inlineStr">
        <is>
          <t>APOIO OPERACIONAL SERVIÇOS LTDA</t>
        </is>
      </c>
      <c r="J125" s="29" t="inlineStr">
        <is>
          <t>Serviços de apoio à operação e expedição</t>
        </is>
      </c>
      <c r="K125" s="14" t="inlineStr">
        <is>
          <t>DOC 7183</t>
        </is>
      </c>
      <c r="L125" s="29" t="inlineStr">
        <is>
          <t>Itaú Unibanco — C/C 45678-9</t>
        </is>
      </c>
      <c r="M125" s="14" t="inlineStr">
        <is>
          <t>PIX</t>
        </is>
      </c>
      <c r="N125" s="29" t="n"/>
      <c r="O125" s="13" t="n">
        <v>1</v>
      </c>
      <c r="P125" s="13" t="n">
        <v>1</v>
      </c>
      <c r="Q125" s="35" t="n">
        <v>945.48</v>
      </c>
      <c r="R125" s="35" t="n">
        <v>945.48</v>
      </c>
      <c r="S125" s="35" t="n"/>
      <c r="T125" s="35" t="n"/>
      <c r="U125" s="35" t="n"/>
      <c r="V125" s="18">
        <f>IF(COUNTA($B125:$R125)=0,"",ROUND(N($R125)+N($S125)+N($T125)-N($U125),2))</f>
        <v/>
      </c>
      <c r="W125" s="18">
        <f>IF(COUNTA($B125:$R125)=0,"",IF(OR($X125="Pago",$X125="Recebido",$X125="Cancelado"),0,ROUND(N($Q125)+N($S125)+N($T125)-N($U125)-N($R125),2)))</f>
        <v/>
      </c>
      <c r="X125" s="14" t="inlineStr">
        <is>
          <t>Pago</t>
        </is>
      </c>
      <c r="Y125" s="17">
        <f>IF(COUNTA($B125:$R125)=0,"",IF($X125="Cancelado","Cancelado",IF(OR($X125="Pago",$X125="Recebido"),$X125,IF(OR($X125="Parcial",N($R125)&gt;0),"Parcial",IF($C125="","Sem vencimento",IF($C125&lt;TODAY(),"Vencido",IF($C125=TODAY(),"Vence hoje",IF($C125&lt;=TODAY()+7,"Vence em 7 dias",IF($C125&lt;=TODAY()+30,"Vence em 30 dias","Futuro")))))))))</f>
        <v/>
      </c>
      <c r="Z125" s="24">
        <f>IF($B125="","",MONTH($B125))</f>
        <v/>
      </c>
      <c r="AA125" s="24">
        <f>IF($B125="","",YEAR($B125))</f>
        <v/>
      </c>
      <c r="AB125" s="24">
        <f>IF($B125="","",ISOWEEKNUM($B125))</f>
        <v/>
      </c>
      <c r="AC125" s="17">
        <f>IF($B125="","",CHOOSE(WEEKDAY($B125,2),"Segunda","Terça","Quarta","Quinta","Sexta","Sábado","Domingo"))</f>
        <v/>
      </c>
      <c r="AD125" s="17">
        <f>IF($B125="","",TEXT($B125,"MM/AAAA"))</f>
        <v/>
      </c>
      <c r="AE125" s="18">
        <f>IF(COUNTA($B125:$R125)=0,"",IF($X125="Cancelado",0,ROUND(N($Q125)+N($S125)+N($T125)-N($U125),2)))</f>
        <v/>
      </c>
      <c r="AF125" s="9">
        <f>IF($G125="","",IFERROR(INDEX(LINHAS_DRE_PLANO,MATCH($G125,SUBCATEGORIAS_PLANO,0)),"Não classificado"))</f>
        <v/>
      </c>
      <c r="AG125" s="17">
        <f>IF($G125="","",IFERROR(INDEX(TIPOS_FLUXO_PLANO,MATCH($G125,SUBCATEGORIAS_PLANO,0)),"Não classificado"))</f>
        <v/>
      </c>
      <c r="AH125" s="9">
        <f>IF($G125="","",IFERROR(INDEX(GRUPOS_PLANO,MATCH($G125,SUBCATEGORIAS_PLANO,0)),"Não classificado"))</f>
        <v/>
      </c>
      <c r="AI125" s="24">
        <f>IF(OR($C125="",$X125="Pago",$X125="Recebido",$X125="Cancelado"),"",$C125-TODAY())</f>
        <v/>
      </c>
      <c r="AJ125" s="24">
        <f>IF(OR($C125="",$X125="Pago",$X125="Recebido",$X125="Cancelado"),0,MAX(0,TODAY()-$C125))</f>
        <v/>
      </c>
      <c r="AK125" s="24">
        <f>IF($D125="","",$D125-$B125)</f>
        <v/>
      </c>
      <c r="AL125" s="18">
        <f>IF(OR($D125="",$B125=""),"",ROUND(N($R125)*($D125-$B125),2))</f>
        <v/>
      </c>
      <c r="AM125" s="17">
        <f>IF(AND($E125="Saída",$W125&gt;0,$C125&lt;&gt;""),$C125+ROW()/1000000,"")</f>
        <v/>
      </c>
      <c r="AN125" s="17">
        <f>IF(AND($E125="Entrada",$W125&gt;0,$C125&lt;&gt;""),$C125+ROW()/1000000,"")</f>
        <v/>
      </c>
      <c r="AO125" s="9">
        <f>IF(COUNTA($B125:$R125)=0,"",IF(AND($I125&lt;&gt;"",COUNTIF(CLIENTES_NOMES,$I125)+COUNTIF(CLIENTES_FANTASIA,$I125)+COUNTIF(FORNECEDORES_NOMES,$I125)+COUNTIF(FORNECEDORES_FANTASIA,$I125)=0),"⚠ Cliente/Fornecedor não cadastrado",IF(AND($G125&lt;&gt;"",COUNTIF(SUBCATEGORIAS_PLANO,$G125)=0),"⚠ Subcategoria fora do plano de contas",IF(OR($Q125="",N($Q125)=0),"⚠ Valor previsto não informado",IF(AND(OR($X125="Pago",$X125="Recebido"),$D125=""),"⚠ Status pago/recebido sem data",IF(AND($D125&lt;&gt;"",N($R125)=0),"⚠ Data de pagamento sem valor realizado",IF(AND(N($P125)&gt;1,N($O125)&gt;N($P125)),"⚠ Nº da parcela maior que o total",IF(AND($C125&lt;&gt;"",$B125&lt;&gt;"",$C125&lt;$B125),"⚠ Vencimento anterior à competência","OK"))))))))</f>
        <v/>
      </c>
    </row>
    <row r="126">
      <c r="A126" s="14" t="inlineStr">
        <is>
          <t>L0121</t>
        </is>
      </c>
      <c r="B126" s="36" t="n">
        <v>46101</v>
      </c>
      <c r="C126" s="36" t="n">
        <v>46132</v>
      </c>
      <c r="D126" s="36" t="n">
        <v>46132</v>
      </c>
      <c r="E126" s="14" t="inlineStr">
        <is>
          <t>Saída</t>
        </is>
      </c>
      <c r="F126" s="29" t="inlineStr">
        <is>
          <t>Tributos</t>
        </is>
      </c>
      <c r="G126" s="29" t="inlineStr">
        <is>
          <t>Simples Nacional</t>
        </is>
      </c>
      <c r="H126" s="29" t="inlineStr">
        <is>
          <t>Financeiro</t>
        </is>
      </c>
      <c r="I126" s="29" t="inlineStr">
        <is>
          <t>RECEITA FEDERAL DO BRASIL</t>
        </is>
      </c>
      <c r="J126" s="29" t="inlineStr">
        <is>
          <t>Simples Nacional — competência 03/2026</t>
        </is>
      </c>
      <c r="K126" s="14" t="inlineStr">
        <is>
          <t>DAS 03/2026</t>
        </is>
      </c>
      <c r="L126" s="29" t="inlineStr">
        <is>
          <t>Itaú Unibanco — C/C 45678-9</t>
        </is>
      </c>
      <c r="M126" s="14" t="inlineStr">
        <is>
          <t>Transferência</t>
        </is>
      </c>
      <c r="N126" s="29" t="n"/>
      <c r="O126" s="13" t="n">
        <v>1</v>
      </c>
      <c r="P126" s="13" t="n">
        <v>1</v>
      </c>
      <c r="Q126" s="35" t="n">
        <v>19933.25</v>
      </c>
      <c r="R126" s="35" t="n">
        <v>19933.25</v>
      </c>
      <c r="S126" s="35" t="n"/>
      <c r="T126" s="35" t="n"/>
      <c r="U126" s="35" t="n"/>
      <c r="V126" s="18">
        <f>IF(COUNTA($B126:$R126)=0,"",ROUND(N($R126)+N($S126)+N($T126)-N($U126),2))</f>
        <v/>
      </c>
      <c r="W126" s="18">
        <f>IF(COUNTA($B126:$R126)=0,"",IF(OR($X126="Pago",$X126="Recebido",$X126="Cancelado"),0,ROUND(N($Q126)+N($S126)+N($T126)-N($U126)-N($R126),2)))</f>
        <v/>
      </c>
      <c r="X126" s="14" t="inlineStr">
        <is>
          <t>Pago</t>
        </is>
      </c>
      <c r="Y126" s="17">
        <f>IF(COUNTA($B126:$R126)=0,"",IF($X126="Cancelado","Cancelado",IF(OR($X126="Pago",$X126="Recebido"),$X126,IF(OR($X126="Parcial",N($R126)&gt;0),"Parcial",IF($C126="","Sem vencimento",IF($C126&lt;TODAY(),"Vencido",IF($C126=TODAY(),"Vence hoje",IF($C126&lt;=TODAY()+7,"Vence em 7 dias",IF($C126&lt;=TODAY()+30,"Vence em 30 dias","Futuro")))))))))</f>
        <v/>
      </c>
      <c r="Z126" s="24">
        <f>IF($B126="","",MONTH($B126))</f>
        <v/>
      </c>
      <c r="AA126" s="24">
        <f>IF($B126="","",YEAR($B126))</f>
        <v/>
      </c>
      <c r="AB126" s="24">
        <f>IF($B126="","",ISOWEEKNUM($B126))</f>
        <v/>
      </c>
      <c r="AC126" s="17">
        <f>IF($B126="","",CHOOSE(WEEKDAY($B126,2),"Segunda","Terça","Quarta","Quinta","Sexta","Sábado","Domingo"))</f>
        <v/>
      </c>
      <c r="AD126" s="17">
        <f>IF($B126="","",TEXT($B126,"MM/AAAA"))</f>
        <v/>
      </c>
      <c r="AE126" s="18">
        <f>IF(COUNTA($B126:$R126)=0,"",IF($X126="Cancelado",0,ROUND(N($Q126)+N($S126)+N($T126)-N($U126),2)))</f>
        <v/>
      </c>
      <c r="AF126" s="9">
        <f>IF($G126="","",IFERROR(INDEX(LINHAS_DRE_PLANO,MATCH($G126,SUBCATEGORIAS_PLANO,0)),"Não classificado"))</f>
        <v/>
      </c>
      <c r="AG126" s="17">
        <f>IF($G126="","",IFERROR(INDEX(TIPOS_FLUXO_PLANO,MATCH($G126,SUBCATEGORIAS_PLANO,0)),"Não classificado"))</f>
        <v/>
      </c>
      <c r="AH126" s="9">
        <f>IF($G126="","",IFERROR(INDEX(GRUPOS_PLANO,MATCH($G126,SUBCATEGORIAS_PLANO,0)),"Não classificado"))</f>
        <v/>
      </c>
      <c r="AI126" s="24">
        <f>IF(OR($C126="",$X126="Pago",$X126="Recebido",$X126="Cancelado"),"",$C126-TODAY())</f>
        <v/>
      </c>
      <c r="AJ126" s="24">
        <f>IF(OR($C126="",$X126="Pago",$X126="Recebido",$X126="Cancelado"),0,MAX(0,TODAY()-$C126))</f>
        <v/>
      </c>
      <c r="AK126" s="24">
        <f>IF($D126="","",$D126-$B126)</f>
        <v/>
      </c>
      <c r="AL126" s="18">
        <f>IF(OR($D126="",$B126=""),"",ROUND(N($R126)*($D126-$B126),2))</f>
        <v/>
      </c>
      <c r="AM126" s="17">
        <f>IF(AND($E126="Saída",$W126&gt;0,$C126&lt;&gt;""),$C126+ROW()/1000000,"")</f>
        <v/>
      </c>
      <c r="AN126" s="17">
        <f>IF(AND($E126="Entrada",$W126&gt;0,$C126&lt;&gt;""),$C126+ROW()/1000000,"")</f>
        <v/>
      </c>
      <c r="AO126" s="9">
        <f>IF(COUNTA($B126:$R126)=0,"",IF(AND($I126&lt;&gt;"",COUNTIF(CLIENTES_NOMES,$I126)+COUNTIF(CLIENTES_FANTASIA,$I126)+COUNTIF(FORNECEDORES_NOMES,$I126)+COUNTIF(FORNECEDORES_FANTASIA,$I126)=0),"⚠ Cliente/Fornecedor não cadastrado",IF(AND($G126&lt;&gt;"",COUNTIF(SUBCATEGORIAS_PLANO,$G126)=0),"⚠ Subcategoria fora do plano de contas",IF(OR($Q126="",N($Q126)=0),"⚠ Valor previsto não informado",IF(AND(OR($X126="Pago",$X126="Recebido"),$D126=""),"⚠ Status pago/recebido sem data",IF(AND($D126&lt;&gt;"",N($R126)=0),"⚠ Data de pagamento sem valor realizado",IF(AND(N($P126)&gt;1,N($O126)&gt;N($P126)),"⚠ Nº da parcela maior que o total",IF(AND($C126&lt;&gt;"",$B126&lt;&gt;"",$C126&lt;$B126),"⚠ Vencimento anterior à competência","OK"))))))))</f>
        <v/>
      </c>
    </row>
    <row r="127">
      <c r="A127" s="14" t="inlineStr">
        <is>
          <t>L0122</t>
        </is>
      </c>
      <c r="B127" s="36" t="n">
        <v>46101</v>
      </c>
      <c r="C127" s="36" t="n">
        <v>46101</v>
      </c>
      <c r="D127" s="36" t="n">
        <v>46101</v>
      </c>
      <c r="E127" s="14" t="inlineStr">
        <is>
          <t>Saída</t>
        </is>
      </c>
      <c r="F127" s="29" t="inlineStr">
        <is>
          <t>Empréstimos e Financiamentos</t>
        </is>
      </c>
      <c r="G127" s="29" t="inlineStr">
        <is>
          <t>Pagamento de Principal de Empréstimos</t>
        </is>
      </c>
      <c r="H127" s="29" t="inlineStr">
        <is>
          <t>Diretoria</t>
        </is>
      </c>
      <c r="I127" s="29" t="inlineStr">
        <is>
          <t>Banco Santander</t>
        </is>
      </c>
      <c r="J127" s="29" t="inlineStr">
        <is>
          <t>Financiamento de Veículo — parcela 2/48 (principal)</t>
        </is>
      </c>
      <c r="K127" s="14" t="inlineStr">
        <is>
          <t>VEI-2026-0088-P02</t>
        </is>
      </c>
      <c r="L127" s="29" t="inlineStr">
        <is>
          <t>Itaú Unibanco — C/C 45678-9</t>
        </is>
      </c>
      <c r="M127" s="14" t="inlineStr">
        <is>
          <t>Débito automático</t>
        </is>
      </c>
      <c r="N127" s="29" t="n"/>
      <c r="O127" s="13" t="n">
        <v>2</v>
      </c>
      <c r="P127" s="13" t="n">
        <v>48</v>
      </c>
      <c r="Q127" s="35" t="n">
        <v>1241.79</v>
      </c>
      <c r="R127" s="35" t="n">
        <v>1241.79</v>
      </c>
      <c r="S127" s="35" t="n"/>
      <c r="T127" s="35" t="n"/>
      <c r="U127" s="35" t="n"/>
      <c r="V127" s="18">
        <f>IF(COUNTA($B127:$R127)=0,"",ROUND(N($R127)+N($S127)+N($T127)-N($U127),2))</f>
        <v/>
      </c>
      <c r="W127" s="18">
        <f>IF(COUNTA($B127:$R127)=0,"",IF(OR($X127="Pago",$X127="Recebido",$X127="Cancelado"),0,ROUND(N($Q127)+N($S127)+N($T127)-N($U127)-N($R127),2)))</f>
        <v/>
      </c>
      <c r="X127" s="14" t="inlineStr">
        <is>
          <t>Pago</t>
        </is>
      </c>
      <c r="Y127" s="17">
        <f>IF(COUNTA($B127:$R127)=0,"",IF($X127="Cancelado","Cancelado",IF(OR($X127="Pago",$X127="Recebido"),$X127,IF(OR($X127="Parcial",N($R127)&gt;0),"Parcial",IF($C127="","Sem vencimento",IF($C127&lt;TODAY(),"Vencido",IF($C127=TODAY(),"Vence hoje",IF($C127&lt;=TODAY()+7,"Vence em 7 dias",IF($C127&lt;=TODAY()+30,"Vence em 30 dias","Futuro")))))))))</f>
        <v/>
      </c>
      <c r="Z127" s="24">
        <f>IF($B127="","",MONTH($B127))</f>
        <v/>
      </c>
      <c r="AA127" s="24">
        <f>IF($B127="","",YEAR($B127))</f>
        <v/>
      </c>
      <c r="AB127" s="24">
        <f>IF($B127="","",ISOWEEKNUM($B127))</f>
        <v/>
      </c>
      <c r="AC127" s="17">
        <f>IF($B127="","",CHOOSE(WEEKDAY($B127,2),"Segunda","Terça","Quarta","Quinta","Sexta","Sábado","Domingo"))</f>
        <v/>
      </c>
      <c r="AD127" s="17">
        <f>IF($B127="","",TEXT($B127,"MM/AAAA"))</f>
        <v/>
      </c>
      <c r="AE127" s="18">
        <f>IF(COUNTA($B127:$R127)=0,"",IF($X127="Cancelado",0,ROUND(N($Q127)+N($S127)+N($T127)-N($U127),2)))</f>
        <v/>
      </c>
      <c r="AF127" s="9">
        <f>IF($G127="","",IFERROR(INDEX(LINHAS_DRE_PLANO,MATCH($G127,SUBCATEGORIAS_PLANO,0)),"Não classificado"))</f>
        <v/>
      </c>
      <c r="AG127" s="17">
        <f>IF($G127="","",IFERROR(INDEX(TIPOS_FLUXO_PLANO,MATCH($G127,SUBCATEGORIAS_PLANO,0)),"Não classificado"))</f>
        <v/>
      </c>
      <c r="AH127" s="9">
        <f>IF($G127="","",IFERROR(INDEX(GRUPOS_PLANO,MATCH($G127,SUBCATEGORIAS_PLANO,0)),"Não classificado"))</f>
        <v/>
      </c>
      <c r="AI127" s="24">
        <f>IF(OR($C127="",$X127="Pago",$X127="Recebido",$X127="Cancelado"),"",$C127-TODAY())</f>
        <v/>
      </c>
      <c r="AJ127" s="24">
        <f>IF(OR($C127="",$X127="Pago",$X127="Recebido",$X127="Cancelado"),0,MAX(0,TODAY()-$C127))</f>
        <v/>
      </c>
      <c r="AK127" s="24">
        <f>IF($D127="","",$D127-$B127)</f>
        <v/>
      </c>
      <c r="AL127" s="18">
        <f>IF(OR($D127="",$B127=""),"",ROUND(N($R127)*($D127-$B127),2))</f>
        <v/>
      </c>
      <c r="AM127" s="17">
        <f>IF(AND($E127="Saída",$W127&gt;0,$C127&lt;&gt;""),$C127+ROW()/1000000,"")</f>
        <v/>
      </c>
      <c r="AN127" s="17">
        <f>IF(AND($E127="Entrada",$W127&gt;0,$C127&lt;&gt;""),$C127+ROW()/1000000,"")</f>
        <v/>
      </c>
      <c r="AO127" s="9">
        <f>IF(COUNTA($B127:$R127)=0,"",IF(AND($I127&lt;&gt;"",COUNTIF(CLIENTES_NOMES,$I127)+COUNTIF(CLIENTES_FANTASIA,$I127)+COUNTIF(FORNECEDORES_NOMES,$I127)+COUNTIF(FORNECEDORES_FANTASIA,$I127)=0),"⚠ Cliente/Fornecedor não cadastrado",IF(AND($G127&lt;&gt;"",COUNTIF(SUBCATEGORIAS_PLANO,$G127)=0),"⚠ Subcategoria fora do plano de contas",IF(OR($Q127="",N($Q127)=0),"⚠ Valor previsto não informado",IF(AND(OR($X127="Pago",$X127="Recebido"),$D127=""),"⚠ Status pago/recebido sem data",IF(AND($D127&lt;&gt;"",N($R127)=0),"⚠ Data de pagamento sem valor realizado",IF(AND(N($P127)&gt;1,N($O127)&gt;N($P127)),"⚠ Nº da parcela maior que o total",IF(AND($C127&lt;&gt;"",$B127&lt;&gt;"",$C127&lt;$B127),"⚠ Vencimento anterior à competência","OK"))))))))</f>
        <v/>
      </c>
    </row>
    <row r="128">
      <c r="A128" s="14" t="inlineStr">
        <is>
          <t>L0123</t>
        </is>
      </c>
      <c r="B128" s="36" t="n">
        <v>46101</v>
      </c>
      <c r="C128" s="36" t="n">
        <v>46101</v>
      </c>
      <c r="D128" s="36" t="n">
        <v>46101</v>
      </c>
      <c r="E128" s="14" t="inlineStr">
        <is>
          <t>Saída</t>
        </is>
      </c>
      <c r="F128" s="29" t="inlineStr">
        <is>
          <t>Despesas Financeiras</t>
        </is>
      </c>
      <c r="G128" s="29" t="inlineStr">
        <is>
          <t>Juros de Empréstimos e Financiamentos</t>
        </is>
      </c>
      <c r="H128" s="29" t="inlineStr">
        <is>
          <t>Diretoria</t>
        </is>
      </c>
      <c r="I128" s="29" t="inlineStr">
        <is>
          <t>Banco Santander</t>
        </is>
      </c>
      <c r="J128" s="29" t="inlineStr">
        <is>
          <t>Financiamento de Veículo — parcela 2/48 (juros)</t>
        </is>
      </c>
      <c r="K128" s="14" t="inlineStr">
        <is>
          <t>VEI-2026-0088-P02</t>
        </is>
      </c>
      <c r="L128" s="29" t="inlineStr">
        <is>
          <t>Itaú Unibanco — C/C 45678-9</t>
        </is>
      </c>
      <c r="M128" s="14" t="inlineStr">
        <is>
          <t>Débito automático</t>
        </is>
      </c>
      <c r="N128" s="29" t="n"/>
      <c r="O128" s="13" t="n">
        <v>2</v>
      </c>
      <c r="P128" s="13" t="n">
        <v>48</v>
      </c>
      <c r="Q128" s="35" t="n">
        <v>984.67</v>
      </c>
      <c r="R128" s="35" t="n">
        <v>984.67</v>
      </c>
      <c r="S128" s="35" t="n"/>
      <c r="T128" s="35" t="n"/>
      <c r="U128" s="35" t="n"/>
      <c r="V128" s="18">
        <f>IF(COUNTA($B128:$R128)=0,"",ROUND(N($R128)+N($S128)+N($T128)-N($U128),2))</f>
        <v/>
      </c>
      <c r="W128" s="18">
        <f>IF(COUNTA($B128:$R128)=0,"",IF(OR($X128="Pago",$X128="Recebido",$X128="Cancelado"),0,ROUND(N($Q128)+N($S128)+N($T128)-N($U128)-N($R128),2)))</f>
        <v/>
      </c>
      <c r="X128" s="14" t="inlineStr">
        <is>
          <t>Pago</t>
        </is>
      </c>
      <c r="Y128" s="17">
        <f>IF(COUNTA($B128:$R128)=0,"",IF($X128="Cancelado","Cancelado",IF(OR($X128="Pago",$X128="Recebido"),$X128,IF(OR($X128="Parcial",N($R128)&gt;0),"Parcial",IF($C128="","Sem vencimento",IF($C128&lt;TODAY(),"Vencido",IF($C128=TODAY(),"Vence hoje",IF($C128&lt;=TODAY()+7,"Vence em 7 dias",IF($C128&lt;=TODAY()+30,"Vence em 30 dias","Futuro")))))))))</f>
        <v/>
      </c>
      <c r="Z128" s="24">
        <f>IF($B128="","",MONTH($B128))</f>
        <v/>
      </c>
      <c r="AA128" s="24">
        <f>IF($B128="","",YEAR($B128))</f>
        <v/>
      </c>
      <c r="AB128" s="24">
        <f>IF($B128="","",ISOWEEKNUM($B128))</f>
        <v/>
      </c>
      <c r="AC128" s="17">
        <f>IF($B128="","",CHOOSE(WEEKDAY($B128,2),"Segunda","Terça","Quarta","Quinta","Sexta","Sábado","Domingo"))</f>
        <v/>
      </c>
      <c r="AD128" s="17">
        <f>IF($B128="","",TEXT($B128,"MM/AAAA"))</f>
        <v/>
      </c>
      <c r="AE128" s="18">
        <f>IF(COUNTA($B128:$R128)=0,"",IF($X128="Cancelado",0,ROUND(N($Q128)+N($S128)+N($T128)-N($U128),2)))</f>
        <v/>
      </c>
      <c r="AF128" s="9">
        <f>IF($G128="","",IFERROR(INDEX(LINHAS_DRE_PLANO,MATCH($G128,SUBCATEGORIAS_PLANO,0)),"Não classificado"))</f>
        <v/>
      </c>
      <c r="AG128" s="17">
        <f>IF($G128="","",IFERROR(INDEX(TIPOS_FLUXO_PLANO,MATCH($G128,SUBCATEGORIAS_PLANO,0)),"Não classificado"))</f>
        <v/>
      </c>
      <c r="AH128" s="9">
        <f>IF($G128="","",IFERROR(INDEX(GRUPOS_PLANO,MATCH($G128,SUBCATEGORIAS_PLANO,0)),"Não classificado"))</f>
        <v/>
      </c>
      <c r="AI128" s="24">
        <f>IF(OR($C128="",$X128="Pago",$X128="Recebido",$X128="Cancelado"),"",$C128-TODAY())</f>
        <v/>
      </c>
      <c r="AJ128" s="24">
        <f>IF(OR($C128="",$X128="Pago",$X128="Recebido",$X128="Cancelado"),0,MAX(0,TODAY()-$C128))</f>
        <v/>
      </c>
      <c r="AK128" s="24">
        <f>IF($D128="","",$D128-$B128)</f>
        <v/>
      </c>
      <c r="AL128" s="18">
        <f>IF(OR($D128="",$B128=""),"",ROUND(N($R128)*($D128-$B128),2))</f>
        <v/>
      </c>
      <c r="AM128" s="17">
        <f>IF(AND($E128="Saída",$W128&gt;0,$C128&lt;&gt;""),$C128+ROW()/1000000,"")</f>
        <v/>
      </c>
      <c r="AN128" s="17">
        <f>IF(AND($E128="Entrada",$W128&gt;0,$C128&lt;&gt;""),$C128+ROW()/1000000,"")</f>
        <v/>
      </c>
      <c r="AO128" s="9">
        <f>IF(COUNTA($B128:$R128)=0,"",IF(AND($I128&lt;&gt;"",COUNTIF(CLIENTES_NOMES,$I128)+COUNTIF(CLIENTES_FANTASIA,$I128)+COUNTIF(FORNECEDORES_NOMES,$I128)+COUNTIF(FORNECEDORES_FANTASIA,$I128)=0),"⚠ Cliente/Fornecedor não cadastrado",IF(AND($G128&lt;&gt;"",COUNTIF(SUBCATEGORIAS_PLANO,$G128)=0),"⚠ Subcategoria fora do plano de contas",IF(OR($Q128="",N($Q128)=0),"⚠ Valor previsto não informado",IF(AND(OR($X128="Pago",$X128="Recebido"),$D128=""),"⚠ Status pago/recebido sem data",IF(AND($D128&lt;&gt;"",N($R128)=0),"⚠ Data de pagamento sem valor realizado",IF(AND(N($P128)&gt;1,N($O128)&gt;N($P128)),"⚠ Nº da parcela maior que o total",IF(AND($C128&lt;&gt;"",$B128&lt;&gt;"",$C128&lt;$B128),"⚠ Vencimento anterior à competência","OK"))))))))</f>
        <v/>
      </c>
    </row>
    <row r="129">
      <c r="A129" s="14" t="inlineStr">
        <is>
          <t>L0124</t>
        </is>
      </c>
      <c r="B129" s="36" t="n">
        <v>46103</v>
      </c>
      <c r="C129" s="36" t="n">
        <v>46133</v>
      </c>
      <c r="D129" s="36" t="n">
        <v>46136</v>
      </c>
      <c r="E129" s="14" t="inlineStr">
        <is>
          <t>Entrada</t>
        </is>
      </c>
      <c r="F129" s="29" t="inlineStr">
        <is>
          <t>Vendas</t>
        </is>
      </c>
      <c r="G129" s="29" t="inlineStr">
        <is>
          <t>Vendas de Serviços</t>
        </is>
      </c>
      <c r="H129" s="29" t="inlineStr">
        <is>
          <t>Comercial</t>
        </is>
      </c>
      <c r="I129" s="29" t="inlineStr">
        <is>
          <t>MERCADO BOA COMPRA LTDA</t>
        </is>
      </c>
      <c r="J129" s="29" t="inlineStr">
        <is>
          <t>Serviços de logística, montagem e reposição</t>
        </is>
      </c>
      <c r="K129" s="14" t="inlineStr">
        <is>
          <t>RPS 3027</t>
        </is>
      </c>
      <c r="L129" s="29" t="inlineStr">
        <is>
          <t>Banco do Brasil — C/C 12345-6</t>
        </is>
      </c>
      <c r="M129" s="14" t="inlineStr">
        <is>
          <t>Boleto</t>
        </is>
      </c>
      <c r="N129" s="29" t="n"/>
      <c r="O129" s="13" t="n">
        <v>1</v>
      </c>
      <c r="P129" s="13" t="n">
        <v>1</v>
      </c>
      <c r="Q129" s="35" t="n">
        <v>11547.29</v>
      </c>
      <c r="R129" s="35" t="n">
        <v>11547.29</v>
      </c>
      <c r="S129" s="35" t="n"/>
      <c r="T129" s="35" t="n"/>
      <c r="U129" s="35" t="n"/>
      <c r="V129" s="18">
        <f>IF(COUNTA($B129:$R129)=0,"",ROUND(N($R129)+N($S129)+N($T129)-N($U129),2))</f>
        <v/>
      </c>
      <c r="W129" s="18">
        <f>IF(COUNTA($B129:$R129)=0,"",IF(OR($X129="Pago",$X129="Recebido",$X129="Cancelado"),0,ROUND(N($Q129)+N($S129)+N($T129)-N($U129)-N($R129),2)))</f>
        <v/>
      </c>
      <c r="X129" s="14" t="inlineStr">
        <is>
          <t>Pago</t>
        </is>
      </c>
      <c r="Y129" s="17">
        <f>IF(COUNTA($B129:$R129)=0,"",IF($X129="Cancelado","Cancelado",IF(OR($X129="Pago",$X129="Recebido"),$X129,IF(OR($X129="Parcial",N($R129)&gt;0),"Parcial",IF($C129="","Sem vencimento",IF($C129&lt;TODAY(),"Vencido",IF($C129=TODAY(),"Vence hoje",IF($C129&lt;=TODAY()+7,"Vence em 7 dias",IF($C129&lt;=TODAY()+30,"Vence em 30 dias","Futuro")))))))))</f>
        <v/>
      </c>
      <c r="Z129" s="24">
        <f>IF($B129="","",MONTH($B129))</f>
        <v/>
      </c>
      <c r="AA129" s="24">
        <f>IF($B129="","",YEAR($B129))</f>
        <v/>
      </c>
      <c r="AB129" s="24">
        <f>IF($B129="","",ISOWEEKNUM($B129))</f>
        <v/>
      </c>
      <c r="AC129" s="17">
        <f>IF($B129="","",CHOOSE(WEEKDAY($B129,2),"Segunda","Terça","Quarta","Quinta","Sexta","Sábado","Domingo"))</f>
        <v/>
      </c>
      <c r="AD129" s="17">
        <f>IF($B129="","",TEXT($B129,"MM/AAAA"))</f>
        <v/>
      </c>
      <c r="AE129" s="18">
        <f>IF(COUNTA($B129:$R129)=0,"",IF($X129="Cancelado",0,ROUND(N($Q129)+N($S129)+N($T129)-N($U129),2)))</f>
        <v/>
      </c>
      <c r="AF129" s="9">
        <f>IF($G129="","",IFERROR(INDEX(LINHAS_DRE_PLANO,MATCH($G129,SUBCATEGORIAS_PLANO,0)),"Não classificado"))</f>
        <v/>
      </c>
      <c r="AG129" s="17">
        <f>IF($G129="","",IFERROR(INDEX(TIPOS_FLUXO_PLANO,MATCH($G129,SUBCATEGORIAS_PLANO,0)),"Não classificado"))</f>
        <v/>
      </c>
      <c r="AH129" s="9">
        <f>IF($G129="","",IFERROR(INDEX(GRUPOS_PLANO,MATCH($G129,SUBCATEGORIAS_PLANO,0)),"Não classificado"))</f>
        <v/>
      </c>
      <c r="AI129" s="24">
        <f>IF(OR($C129="",$X129="Pago",$X129="Recebido",$X129="Cancelado"),"",$C129-TODAY())</f>
        <v/>
      </c>
      <c r="AJ129" s="24">
        <f>IF(OR($C129="",$X129="Pago",$X129="Recebido",$X129="Cancelado"),0,MAX(0,TODAY()-$C129))</f>
        <v/>
      </c>
      <c r="AK129" s="24">
        <f>IF($D129="","",$D129-$B129)</f>
        <v/>
      </c>
      <c r="AL129" s="18">
        <f>IF(OR($D129="",$B129=""),"",ROUND(N($R129)*($D129-$B129),2))</f>
        <v/>
      </c>
      <c r="AM129" s="17">
        <f>IF(AND($E129="Saída",$W129&gt;0,$C129&lt;&gt;""),$C129+ROW()/1000000,"")</f>
        <v/>
      </c>
      <c r="AN129" s="17">
        <f>IF(AND($E129="Entrada",$W129&gt;0,$C129&lt;&gt;""),$C129+ROW()/1000000,"")</f>
        <v/>
      </c>
      <c r="AO129" s="9">
        <f>IF(COUNTA($B129:$R129)=0,"",IF(AND($I129&lt;&gt;"",COUNTIF(CLIENTES_NOMES,$I129)+COUNTIF(CLIENTES_FANTASIA,$I129)+COUNTIF(FORNECEDORES_NOMES,$I129)+COUNTIF(FORNECEDORES_FANTASIA,$I129)=0),"⚠ Cliente/Fornecedor não cadastrado",IF(AND($G129&lt;&gt;"",COUNTIF(SUBCATEGORIAS_PLANO,$G129)=0),"⚠ Subcategoria fora do plano de contas",IF(OR($Q129="",N($Q129)=0),"⚠ Valor previsto não informado",IF(AND(OR($X129="Pago",$X129="Recebido"),$D129=""),"⚠ Status pago/recebido sem data",IF(AND($D129&lt;&gt;"",N($R129)=0),"⚠ Data de pagamento sem valor realizado",IF(AND(N($P129)&gt;1,N($O129)&gt;N($P129)),"⚠ Nº da parcela maior que o total",IF(AND($C129&lt;&gt;"",$B129&lt;&gt;"",$C129&lt;$B129),"⚠ Vencimento anterior à competência","OK"))))))))</f>
        <v/>
      </c>
    </row>
    <row r="130">
      <c r="A130" s="14" t="inlineStr">
        <is>
          <t>L0125</t>
        </is>
      </c>
      <c r="B130" s="36" t="n">
        <v>46103</v>
      </c>
      <c r="C130" s="36" t="n">
        <v>46118</v>
      </c>
      <c r="D130" s="36" t="n">
        <v>46118</v>
      </c>
      <c r="E130" s="14" t="inlineStr">
        <is>
          <t>Entrada</t>
        </is>
      </c>
      <c r="F130" s="29" t="inlineStr">
        <is>
          <t>Vendas</t>
        </is>
      </c>
      <c r="G130" s="29" t="inlineStr">
        <is>
          <t>Vendas de Serviços</t>
        </is>
      </c>
      <c r="H130" s="29" t="inlineStr">
        <is>
          <t>Comercial</t>
        </is>
      </c>
      <c r="I130" s="29" t="inlineStr">
        <is>
          <t>RESTAURANTE SABOR CASEIRO LTDA</t>
        </is>
      </c>
      <c r="J130" s="29" t="inlineStr">
        <is>
          <t>Serviços de logística, montagem e reposição</t>
        </is>
      </c>
      <c r="K130" s="14" t="inlineStr">
        <is>
          <t>RPS 3031</t>
        </is>
      </c>
      <c r="L130" s="29" t="inlineStr">
        <is>
          <t>Itaú Unibanco — C/C 45678-9</t>
        </is>
      </c>
      <c r="M130" s="14" t="inlineStr">
        <is>
          <t>Boleto</t>
        </is>
      </c>
      <c r="N130" s="29" t="n"/>
      <c r="O130" s="13" t="n">
        <v>1</v>
      </c>
      <c r="P130" s="13" t="n">
        <v>1</v>
      </c>
      <c r="Q130" s="35" t="n">
        <v>7060.14</v>
      </c>
      <c r="R130" s="35" t="n">
        <v>7060.14</v>
      </c>
      <c r="S130" s="35" t="n"/>
      <c r="T130" s="35" t="n"/>
      <c r="U130" s="35" t="n"/>
      <c r="V130" s="18">
        <f>IF(COUNTA($B130:$R130)=0,"",ROUND(N($R130)+N($S130)+N($T130)-N($U130),2))</f>
        <v/>
      </c>
      <c r="W130" s="18">
        <f>IF(COUNTA($B130:$R130)=0,"",IF(OR($X130="Pago",$X130="Recebido",$X130="Cancelado"),0,ROUND(N($Q130)+N($S130)+N($T130)-N($U130)-N($R130),2)))</f>
        <v/>
      </c>
      <c r="X130" s="14" t="inlineStr">
        <is>
          <t>Pago</t>
        </is>
      </c>
      <c r="Y130" s="17">
        <f>IF(COUNTA($B130:$R130)=0,"",IF($X130="Cancelado","Cancelado",IF(OR($X130="Pago",$X130="Recebido"),$X130,IF(OR($X130="Parcial",N($R130)&gt;0),"Parcial",IF($C130="","Sem vencimento",IF($C130&lt;TODAY(),"Vencido",IF($C130=TODAY(),"Vence hoje",IF($C130&lt;=TODAY()+7,"Vence em 7 dias",IF($C130&lt;=TODAY()+30,"Vence em 30 dias","Futuro")))))))))</f>
        <v/>
      </c>
      <c r="Z130" s="24">
        <f>IF($B130="","",MONTH($B130))</f>
        <v/>
      </c>
      <c r="AA130" s="24">
        <f>IF($B130="","",YEAR($B130))</f>
        <v/>
      </c>
      <c r="AB130" s="24">
        <f>IF($B130="","",ISOWEEKNUM($B130))</f>
        <v/>
      </c>
      <c r="AC130" s="17">
        <f>IF($B130="","",CHOOSE(WEEKDAY($B130,2),"Segunda","Terça","Quarta","Quinta","Sexta","Sábado","Domingo"))</f>
        <v/>
      </c>
      <c r="AD130" s="17">
        <f>IF($B130="","",TEXT($B130,"MM/AAAA"))</f>
        <v/>
      </c>
      <c r="AE130" s="18">
        <f>IF(COUNTA($B130:$R130)=0,"",IF($X130="Cancelado",0,ROUND(N($Q130)+N($S130)+N($T130)-N($U130),2)))</f>
        <v/>
      </c>
      <c r="AF130" s="9">
        <f>IF($G130="","",IFERROR(INDEX(LINHAS_DRE_PLANO,MATCH($G130,SUBCATEGORIAS_PLANO,0)),"Não classificado"))</f>
        <v/>
      </c>
      <c r="AG130" s="17">
        <f>IF($G130="","",IFERROR(INDEX(TIPOS_FLUXO_PLANO,MATCH($G130,SUBCATEGORIAS_PLANO,0)),"Não classificado"))</f>
        <v/>
      </c>
      <c r="AH130" s="9">
        <f>IF($G130="","",IFERROR(INDEX(GRUPOS_PLANO,MATCH($G130,SUBCATEGORIAS_PLANO,0)),"Não classificado"))</f>
        <v/>
      </c>
      <c r="AI130" s="24">
        <f>IF(OR($C130="",$X130="Pago",$X130="Recebido",$X130="Cancelado"),"",$C130-TODAY())</f>
        <v/>
      </c>
      <c r="AJ130" s="24">
        <f>IF(OR($C130="",$X130="Pago",$X130="Recebido",$X130="Cancelado"),0,MAX(0,TODAY()-$C130))</f>
        <v/>
      </c>
      <c r="AK130" s="24">
        <f>IF($D130="","",$D130-$B130)</f>
        <v/>
      </c>
      <c r="AL130" s="18">
        <f>IF(OR($D130="",$B130=""),"",ROUND(N($R130)*($D130-$B130),2))</f>
        <v/>
      </c>
      <c r="AM130" s="17">
        <f>IF(AND($E130="Saída",$W130&gt;0,$C130&lt;&gt;""),$C130+ROW()/1000000,"")</f>
        <v/>
      </c>
      <c r="AN130" s="17">
        <f>IF(AND($E130="Entrada",$W130&gt;0,$C130&lt;&gt;""),$C130+ROW()/1000000,"")</f>
        <v/>
      </c>
      <c r="AO130" s="9">
        <f>IF(COUNTA($B130:$R130)=0,"",IF(AND($I130&lt;&gt;"",COUNTIF(CLIENTES_NOMES,$I130)+COUNTIF(CLIENTES_FANTASIA,$I130)+COUNTIF(FORNECEDORES_NOMES,$I130)+COUNTIF(FORNECEDORES_FANTASIA,$I130)=0),"⚠ Cliente/Fornecedor não cadastrado",IF(AND($G130&lt;&gt;"",COUNTIF(SUBCATEGORIAS_PLANO,$G130)=0),"⚠ Subcategoria fora do plano de contas",IF(OR($Q130="",N($Q130)=0),"⚠ Valor previsto não informado",IF(AND(OR($X130="Pago",$X130="Recebido"),$D130=""),"⚠ Status pago/recebido sem data",IF(AND($D130&lt;&gt;"",N($R130)=0),"⚠ Data de pagamento sem valor realizado",IF(AND(N($P130)&gt;1,N($O130)&gt;N($P130)),"⚠ Nº da parcela maior que o total",IF(AND($C130&lt;&gt;"",$B130&lt;&gt;"",$C130&lt;$B130),"⚠ Vencimento anterior à competência","OK"))))))))</f>
        <v/>
      </c>
    </row>
    <row r="131">
      <c r="A131" s="14" t="inlineStr">
        <is>
          <t>L0126</t>
        </is>
      </c>
      <c r="B131" s="36" t="n">
        <v>46103</v>
      </c>
      <c r="C131" s="36" t="n">
        <v>46125</v>
      </c>
      <c r="D131" s="36" t="n">
        <v>46125</v>
      </c>
      <c r="E131" s="14" t="inlineStr">
        <is>
          <t>Entrada</t>
        </is>
      </c>
      <c r="F131" s="29" t="inlineStr">
        <is>
          <t>Vendas</t>
        </is>
      </c>
      <c r="G131" s="29" t="inlineStr">
        <is>
          <t>Vendas de Serviços</t>
        </is>
      </c>
      <c r="H131" s="29" t="inlineStr">
        <is>
          <t>Comercial</t>
        </is>
      </c>
      <c r="I131" s="29" t="inlineStr">
        <is>
          <t>EMPÓRIO NATURAL COMÉRCIO LTDA</t>
        </is>
      </c>
      <c r="J131" s="29" t="inlineStr">
        <is>
          <t>Serviços de logística, montagem e reposição</t>
        </is>
      </c>
      <c r="K131" s="14" t="inlineStr">
        <is>
          <t>RPS 3035</t>
        </is>
      </c>
      <c r="L131" s="29" t="inlineStr">
        <is>
          <t>Itaú Unibanco — C/C 45678-9</t>
        </is>
      </c>
      <c r="M131" s="14" t="inlineStr">
        <is>
          <t>Boleto</t>
        </is>
      </c>
      <c r="N131" s="29" t="n"/>
      <c r="O131" s="13" t="n">
        <v>1</v>
      </c>
      <c r="P131" s="13" t="n">
        <v>1</v>
      </c>
      <c r="Q131" s="35" t="n">
        <v>14425.95</v>
      </c>
      <c r="R131" s="35" t="n">
        <v>14425.95</v>
      </c>
      <c r="S131" s="35" t="n"/>
      <c r="T131" s="35" t="n"/>
      <c r="U131" s="35" t="n"/>
      <c r="V131" s="18">
        <f>IF(COUNTA($B131:$R131)=0,"",ROUND(N($R131)+N($S131)+N($T131)-N($U131),2))</f>
        <v/>
      </c>
      <c r="W131" s="18">
        <f>IF(COUNTA($B131:$R131)=0,"",IF(OR($X131="Pago",$X131="Recebido",$X131="Cancelado"),0,ROUND(N($Q131)+N($S131)+N($T131)-N($U131)-N($R131),2)))</f>
        <v/>
      </c>
      <c r="X131" s="14" t="inlineStr">
        <is>
          <t>Pago</t>
        </is>
      </c>
      <c r="Y131" s="17">
        <f>IF(COUNTA($B131:$R131)=0,"",IF($X131="Cancelado","Cancelado",IF(OR($X131="Pago",$X131="Recebido"),$X131,IF(OR($X131="Parcial",N($R131)&gt;0),"Parcial",IF($C131="","Sem vencimento",IF($C131&lt;TODAY(),"Vencido",IF($C131=TODAY(),"Vence hoje",IF($C131&lt;=TODAY()+7,"Vence em 7 dias",IF($C131&lt;=TODAY()+30,"Vence em 30 dias","Futuro")))))))))</f>
        <v/>
      </c>
      <c r="Z131" s="24">
        <f>IF($B131="","",MONTH($B131))</f>
        <v/>
      </c>
      <c r="AA131" s="24">
        <f>IF($B131="","",YEAR($B131))</f>
        <v/>
      </c>
      <c r="AB131" s="24">
        <f>IF($B131="","",ISOWEEKNUM($B131))</f>
        <v/>
      </c>
      <c r="AC131" s="17">
        <f>IF($B131="","",CHOOSE(WEEKDAY($B131,2),"Segunda","Terça","Quarta","Quinta","Sexta","Sábado","Domingo"))</f>
        <v/>
      </c>
      <c r="AD131" s="17">
        <f>IF($B131="","",TEXT($B131,"MM/AAAA"))</f>
        <v/>
      </c>
      <c r="AE131" s="18">
        <f>IF(COUNTA($B131:$R131)=0,"",IF($X131="Cancelado",0,ROUND(N($Q131)+N($S131)+N($T131)-N($U131),2)))</f>
        <v/>
      </c>
      <c r="AF131" s="9">
        <f>IF($G131="","",IFERROR(INDEX(LINHAS_DRE_PLANO,MATCH($G131,SUBCATEGORIAS_PLANO,0)),"Não classificado"))</f>
        <v/>
      </c>
      <c r="AG131" s="17">
        <f>IF($G131="","",IFERROR(INDEX(TIPOS_FLUXO_PLANO,MATCH($G131,SUBCATEGORIAS_PLANO,0)),"Não classificado"))</f>
        <v/>
      </c>
      <c r="AH131" s="9">
        <f>IF($G131="","",IFERROR(INDEX(GRUPOS_PLANO,MATCH($G131,SUBCATEGORIAS_PLANO,0)),"Não classificado"))</f>
        <v/>
      </c>
      <c r="AI131" s="24">
        <f>IF(OR($C131="",$X131="Pago",$X131="Recebido",$X131="Cancelado"),"",$C131-TODAY())</f>
        <v/>
      </c>
      <c r="AJ131" s="24">
        <f>IF(OR($C131="",$X131="Pago",$X131="Recebido",$X131="Cancelado"),0,MAX(0,TODAY()-$C131))</f>
        <v/>
      </c>
      <c r="AK131" s="24">
        <f>IF($D131="","",$D131-$B131)</f>
        <v/>
      </c>
      <c r="AL131" s="18">
        <f>IF(OR($D131="",$B131=""),"",ROUND(N($R131)*($D131-$B131),2))</f>
        <v/>
      </c>
      <c r="AM131" s="17">
        <f>IF(AND($E131="Saída",$W131&gt;0,$C131&lt;&gt;""),$C131+ROW()/1000000,"")</f>
        <v/>
      </c>
      <c r="AN131" s="17">
        <f>IF(AND($E131="Entrada",$W131&gt;0,$C131&lt;&gt;""),$C131+ROW()/1000000,"")</f>
        <v/>
      </c>
      <c r="AO131" s="9">
        <f>IF(COUNTA($B131:$R131)=0,"",IF(AND($I131&lt;&gt;"",COUNTIF(CLIENTES_NOMES,$I131)+COUNTIF(CLIENTES_FANTASIA,$I131)+COUNTIF(FORNECEDORES_NOMES,$I131)+COUNTIF(FORNECEDORES_FANTASIA,$I131)=0),"⚠ Cliente/Fornecedor não cadastrado",IF(AND($G131&lt;&gt;"",COUNTIF(SUBCATEGORIAS_PLANO,$G131)=0),"⚠ Subcategoria fora do plano de contas",IF(OR($Q131="",N($Q131)=0),"⚠ Valor previsto não informado",IF(AND(OR($X131="Pago",$X131="Recebido"),$D131=""),"⚠ Status pago/recebido sem data",IF(AND($D131&lt;&gt;"",N($R131)=0),"⚠ Data de pagamento sem valor realizado",IF(AND(N($P131)&gt;1,N($O131)&gt;N($P131)),"⚠ Nº da parcela maior que o total",IF(AND($C131&lt;&gt;"",$B131&lt;&gt;"",$C131&lt;$B131),"⚠ Vencimento anterior à competência","OK"))))))))</f>
        <v/>
      </c>
    </row>
    <row r="132">
      <c r="A132" s="14" t="inlineStr">
        <is>
          <t>L0127</t>
        </is>
      </c>
      <c r="B132" s="36" t="n">
        <v>46105</v>
      </c>
      <c r="C132" s="36" t="n">
        <v>46117</v>
      </c>
      <c r="D132" s="36" t="n">
        <v>46117</v>
      </c>
      <c r="E132" s="14" t="inlineStr">
        <is>
          <t>Saída</t>
        </is>
      </c>
      <c r="F132" s="29" t="inlineStr">
        <is>
          <t>Despesas Comerciais</t>
        </is>
      </c>
      <c r="G132" s="29" t="inlineStr">
        <is>
          <t>Viagens Comerciais</t>
        </is>
      </c>
      <c r="H132" s="29" t="inlineStr">
        <is>
          <t>Comercial</t>
        </is>
      </c>
      <c r="I132" s="29" t="inlineStr">
        <is>
          <t>AGÊNCIA PULSO DIGITAL LTDA</t>
        </is>
      </c>
      <c r="J132" s="29" t="inlineStr">
        <is>
          <t>Viagens comerciais e visitas a clientes</t>
        </is>
      </c>
      <c r="K132" s="14" t="inlineStr">
        <is>
          <t>DOC 8310</t>
        </is>
      </c>
      <c r="L132" s="29" t="inlineStr">
        <is>
          <t>Itaú Unibanco — C/C 45678-9</t>
        </is>
      </c>
      <c r="M132" s="14" t="inlineStr">
        <is>
          <t>Cartão de crédito</t>
        </is>
      </c>
      <c r="N132" s="29" t="inlineStr">
        <is>
          <t>Cartão Visa Itaú Business</t>
        </is>
      </c>
      <c r="O132" s="13" t="n">
        <v>1</v>
      </c>
      <c r="P132" s="13" t="n">
        <v>1</v>
      </c>
      <c r="Q132" s="35" t="n">
        <v>1193.42</v>
      </c>
      <c r="R132" s="35" t="n">
        <v>1193.42</v>
      </c>
      <c r="S132" s="35" t="n"/>
      <c r="T132" s="35" t="n"/>
      <c r="U132" s="35" t="n"/>
      <c r="V132" s="18">
        <f>IF(COUNTA($B132:$R132)=0,"",ROUND(N($R132)+N($S132)+N($T132)-N($U132),2))</f>
        <v/>
      </c>
      <c r="W132" s="18">
        <f>IF(COUNTA($B132:$R132)=0,"",IF(OR($X132="Pago",$X132="Recebido",$X132="Cancelado"),0,ROUND(N($Q132)+N($S132)+N($T132)-N($U132)-N($R132),2)))</f>
        <v/>
      </c>
      <c r="X132" s="14" t="inlineStr">
        <is>
          <t>Pago</t>
        </is>
      </c>
      <c r="Y132" s="17">
        <f>IF(COUNTA($B132:$R132)=0,"",IF($X132="Cancelado","Cancelado",IF(OR($X132="Pago",$X132="Recebido"),$X132,IF(OR($X132="Parcial",N($R132)&gt;0),"Parcial",IF($C132="","Sem vencimento",IF($C132&lt;TODAY(),"Vencido",IF($C132=TODAY(),"Vence hoje",IF($C132&lt;=TODAY()+7,"Vence em 7 dias",IF($C132&lt;=TODAY()+30,"Vence em 30 dias","Futuro")))))))))</f>
        <v/>
      </c>
      <c r="Z132" s="24">
        <f>IF($B132="","",MONTH($B132))</f>
        <v/>
      </c>
      <c r="AA132" s="24">
        <f>IF($B132="","",YEAR($B132))</f>
        <v/>
      </c>
      <c r="AB132" s="24">
        <f>IF($B132="","",ISOWEEKNUM($B132))</f>
        <v/>
      </c>
      <c r="AC132" s="17">
        <f>IF($B132="","",CHOOSE(WEEKDAY($B132,2),"Segunda","Terça","Quarta","Quinta","Sexta","Sábado","Domingo"))</f>
        <v/>
      </c>
      <c r="AD132" s="17">
        <f>IF($B132="","",TEXT($B132,"MM/AAAA"))</f>
        <v/>
      </c>
      <c r="AE132" s="18">
        <f>IF(COUNTA($B132:$R132)=0,"",IF($X132="Cancelado",0,ROUND(N($Q132)+N($S132)+N($T132)-N($U132),2)))</f>
        <v/>
      </c>
      <c r="AF132" s="9">
        <f>IF($G132="","",IFERROR(INDEX(LINHAS_DRE_PLANO,MATCH($G132,SUBCATEGORIAS_PLANO,0)),"Não classificado"))</f>
        <v/>
      </c>
      <c r="AG132" s="17">
        <f>IF($G132="","",IFERROR(INDEX(TIPOS_FLUXO_PLANO,MATCH($G132,SUBCATEGORIAS_PLANO,0)),"Não classificado"))</f>
        <v/>
      </c>
      <c r="AH132" s="9">
        <f>IF($G132="","",IFERROR(INDEX(GRUPOS_PLANO,MATCH($G132,SUBCATEGORIAS_PLANO,0)),"Não classificado"))</f>
        <v/>
      </c>
      <c r="AI132" s="24">
        <f>IF(OR($C132="",$X132="Pago",$X132="Recebido",$X132="Cancelado"),"",$C132-TODAY())</f>
        <v/>
      </c>
      <c r="AJ132" s="24">
        <f>IF(OR($C132="",$X132="Pago",$X132="Recebido",$X132="Cancelado"),0,MAX(0,TODAY()-$C132))</f>
        <v/>
      </c>
      <c r="AK132" s="24">
        <f>IF($D132="","",$D132-$B132)</f>
        <v/>
      </c>
      <c r="AL132" s="18">
        <f>IF(OR($D132="",$B132=""),"",ROUND(N($R132)*($D132-$B132),2))</f>
        <v/>
      </c>
      <c r="AM132" s="17">
        <f>IF(AND($E132="Saída",$W132&gt;0,$C132&lt;&gt;""),$C132+ROW()/1000000,"")</f>
        <v/>
      </c>
      <c r="AN132" s="17">
        <f>IF(AND($E132="Entrada",$W132&gt;0,$C132&lt;&gt;""),$C132+ROW()/1000000,"")</f>
        <v/>
      </c>
      <c r="AO132" s="9">
        <f>IF(COUNTA($B132:$R132)=0,"",IF(AND($I132&lt;&gt;"",COUNTIF(CLIENTES_NOMES,$I132)+COUNTIF(CLIENTES_FANTASIA,$I132)+COUNTIF(FORNECEDORES_NOMES,$I132)+COUNTIF(FORNECEDORES_FANTASIA,$I132)=0),"⚠ Cliente/Fornecedor não cadastrado",IF(AND($G132&lt;&gt;"",COUNTIF(SUBCATEGORIAS_PLANO,$G132)=0),"⚠ Subcategoria fora do plano de contas",IF(OR($Q132="",N($Q132)=0),"⚠ Valor previsto não informado",IF(AND(OR($X132="Pago",$X132="Recebido"),$D132=""),"⚠ Status pago/recebido sem data",IF(AND($D132&lt;&gt;"",N($R132)=0),"⚠ Data de pagamento sem valor realizado",IF(AND(N($P132)&gt;1,N($O132)&gt;N($P132)),"⚠ Nº da parcela maior que o total",IF(AND($C132&lt;&gt;"",$B132&lt;&gt;"",$C132&lt;$B132),"⚠ Vencimento anterior à competência","OK"))))))))</f>
        <v/>
      </c>
    </row>
    <row r="133">
      <c r="A133" s="14" t="inlineStr">
        <is>
          <t>L0128</t>
        </is>
      </c>
      <c r="B133" s="36" t="n">
        <v>46106</v>
      </c>
      <c r="C133" s="36" t="n">
        <v>46121</v>
      </c>
      <c r="D133" s="36" t="n">
        <v>46121</v>
      </c>
      <c r="E133" s="14" t="inlineStr">
        <is>
          <t>Saída</t>
        </is>
      </c>
      <c r="F133" s="29" t="inlineStr">
        <is>
          <t>Custos Variáveis</t>
        </is>
      </c>
      <c r="G133" s="29" t="inlineStr">
        <is>
          <t>Fretes e Entregas sobre Vendas</t>
        </is>
      </c>
      <c r="H133" s="29" t="inlineStr">
        <is>
          <t>Logística</t>
        </is>
      </c>
      <c r="I133" s="29" t="inlineStr">
        <is>
          <t>TRANSPORTADORA RÁPIDA LOG LTDA</t>
        </is>
      </c>
      <c r="J133" s="29" t="inlineStr">
        <is>
          <t>Fretes de entrega — notas do período</t>
        </is>
      </c>
      <c r="K133" s="14" t="inlineStr">
        <is>
          <t>DOC 7179</t>
        </is>
      </c>
      <c r="L133" s="29" t="inlineStr">
        <is>
          <t>Itaú Unibanco — C/C 45678-9</t>
        </is>
      </c>
      <c r="M133" s="14" t="inlineStr">
        <is>
          <t>Boleto</t>
        </is>
      </c>
      <c r="N133" s="29" t="n"/>
      <c r="O133" s="13" t="n">
        <v>1</v>
      </c>
      <c r="P133" s="13" t="n">
        <v>1</v>
      </c>
      <c r="Q133" s="35" t="n">
        <v>4257.67</v>
      </c>
      <c r="R133" s="35" t="n">
        <v>4257.67</v>
      </c>
      <c r="S133" s="35" t="n"/>
      <c r="T133" s="35" t="n"/>
      <c r="U133" s="35" t="n"/>
      <c r="V133" s="18">
        <f>IF(COUNTA($B133:$R133)=0,"",ROUND(N($R133)+N($S133)+N($T133)-N($U133),2))</f>
        <v/>
      </c>
      <c r="W133" s="18">
        <f>IF(COUNTA($B133:$R133)=0,"",IF(OR($X133="Pago",$X133="Recebido",$X133="Cancelado"),0,ROUND(N($Q133)+N($S133)+N($T133)-N($U133)-N($R133),2)))</f>
        <v/>
      </c>
      <c r="X133" s="14" t="inlineStr">
        <is>
          <t>Pago</t>
        </is>
      </c>
      <c r="Y133" s="17">
        <f>IF(COUNTA($B133:$R133)=0,"",IF($X133="Cancelado","Cancelado",IF(OR($X133="Pago",$X133="Recebido"),$X133,IF(OR($X133="Parcial",N($R133)&gt;0),"Parcial",IF($C133="","Sem vencimento",IF($C133&lt;TODAY(),"Vencido",IF($C133=TODAY(),"Vence hoje",IF($C133&lt;=TODAY()+7,"Vence em 7 dias",IF($C133&lt;=TODAY()+30,"Vence em 30 dias","Futuro")))))))))</f>
        <v/>
      </c>
      <c r="Z133" s="24">
        <f>IF($B133="","",MONTH($B133))</f>
        <v/>
      </c>
      <c r="AA133" s="24">
        <f>IF($B133="","",YEAR($B133))</f>
        <v/>
      </c>
      <c r="AB133" s="24">
        <f>IF($B133="","",ISOWEEKNUM($B133))</f>
        <v/>
      </c>
      <c r="AC133" s="17">
        <f>IF($B133="","",CHOOSE(WEEKDAY($B133,2),"Segunda","Terça","Quarta","Quinta","Sexta","Sábado","Domingo"))</f>
        <v/>
      </c>
      <c r="AD133" s="17">
        <f>IF($B133="","",TEXT($B133,"MM/AAAA"))</f>
        <v/>
      </c>
      <c r="AE133" s="18">
        <f>IF(COUNTA($B133:$R133)=0,"",IF($X133="Cancelado",0,ROUND(N($Q133)+N($S133)+N($T133)-N($U133),2)))</f>
        <v/>
      </c>
      <c r="AF133" s="9">
        <f>IF($G133="","",IFERROR(INDEX(LINHAS_DRE_PLANO,MATCH($G133,SUBCATEGORIAS_PLANO,0)),"Não classificado"))</f>
        <v/>
      </c>
      <c r="AG133" s="17">
        <f>IF($G133="","",IFERROR(INDEX(TIPOS_FLUXO_PLANO,MATCH($G133,SUBCATEGORIAS_PLANO,0)),"Não classificado"))</f>
        <v/>
      </c>
      <c r="AH133" s="9">
        <f>IF($G133="","",IFERROR(INDEX(GRUPOS_PLANO,MATCH($G133,SUBCATEGORIAS_PLANO,0)),"Não classificado"))</f>
        <v/>
      </c>
      <c r="AI133" s="24">
        <f>IF(OR($C133="",$X133="Pago",$X133="Recebido",$X133="Cancelado"),"",$C133-TODAY())</f>
        <v/>
      </c>
      <c r="AJ133" s="24">
        <f>IF(OR($C133="",$X133="Pago",$X133="Recebido",$X133="Cancelado"),0,MAX(0,TODAY()-$C133))</f>
        <v/>
      </c>
      <c r="AK133" s="24">
        <f>IF($D133="","",$D133-$B133)</f>
        <v/>
      </c>
      <c r="AL133" s="18">
        <f>IF(OR($D133="",$B133=""),"",ROUND(N($R133)*($D133-$B133),2))</f>
        <v/>
      </c>
      <c r="AM133" s="17">
        <f>IF(AND($E133="Saída",$W133&gt;0,$C133&lt;&gt;""),$C133+ROW()/1000000,"")</f>
        <v/>
      </c>
      <c r="AN133" s="17">
        <f>IF(AND($E133="Entrada",$W133&gt;0,$C133&lt;&gt;""),$C133+ROW()/1000000,"")</f>
        <v/>
      </c>
      <c r="AO133" s="9">
        <f>IF(COUNTA($B133:$R133)=0,"",IF(AND($I133&lt;&gt;"",COUNTIF(CLIENTES_NOMES,$I133)+COUNTIF(CLIENTES_FANTASIA,$I133)+COUNTIF(FORNECEDORES_NOMES,$I133)+COUNTIF(FORNECEDORES_FANTASIA,$I133)=0),"⚠ Cliente/Fornecedor não cadastrado",IF(AND($G133&lt;&gt;"",COUNTIF(SUBCATEGORIAS_PLANO,$G133)=0),"⚠ Subcategoria fora do plano de contas",IF(OR($Q133="",N($Q133)=0),"⚠ Valor previsto não informado",IF(AND(OR($X133="Pago",$X133="Recebido"),$D133=""),"⚠ Status pago/recebido sem data",IF(AND($D133&lt;&gt;"",N($R133)=0),"⚠ Data de pagamento sem valor realizado",IF(AND(N($P133)&gt;1,N($O133)&gt;N($P133)),"⚠ Nº da parcela maior que o total",IF(AND($C133&lt;&gt;"",$B133&lt;&gt;"",$C133&lt;$B133),"⚠ Vencimento anterior à competência","OK"))))))))</f>
        <v/>
      </c>
    </row>
    <row r="134">
      <c r="A134" s="14" t="inlineStr">
        <is>
          <t>L0129</t>
        </is>
      </c>
      <c r="B134" s="36" t="n">
        <v>46106</v>
      </c>
      <c r="C134" s="36" t="n">
        <v>46116</v>
      </c>
      <c r="D134" s="36" t="n">
        <v>46118</v>
      </c>
      <c r="E134" s="14" t="inlineStr">
        <is>
          <t>Saída</t>
        </is>
      </c>
      <c r="F134" s="29" t="inlineStr">
        <is>
          <t>Tributos</t>
        </is>
      </c>
      <c r="G134" s="29" t="inlineStr">
        <is>
          <t>Outros Impostos e Taxas</t>
        </is>
      </c>
      <c r="H134" s="29" t="inlineStr">
        <is>
          <t>Financeiro</t>
        </is>
      </c>
      <c r="I134" s="29" t="inlineStr">
        <is>
          <t>PREFEITURA DE SÃO PAULO</t>
        </is>
      </c>
      <c r="J134" s="29" t="inlineStr">
        <is>
          <t>Taxas municipais e alvará — 03/2026</t>
        </is>
      </c>
      <c r="K134" s="14" t="inlineStr"/>
      <c r="L134" s="29" t="inlineStr">
        <is>
          <t>Itaú Unibanco — C/C 45678-9</t>
        </is>
      </c>
      <c r="M134" s="14" t="inlineStr">
        <is>
          <t>Transferência</t>
        </is>
      </c>
      <c r="N134" s="29" t="n"/>
      <c r="O134" s="13" t="n">
        <v>1</v>
      </c>
      <c r="P134" s="13" t="n">
        <v>1</v>
      </c>
      <c r="Q134" s="35" t="n">
        <v>292.96</v>
      </c>
      <c r="R134" s="35" t="n">
        <v>292.96</v>
      </c>
      <c r="S134" s="35" t="n"/>
      <c r="T134" s="35" t="n"/>
      <c r="U134" s="35" t="n"/>
      <c r="V134" s="18">
        <f>IF(COUNTA($B134:$R134)=0,"",ROUND(N($R134)+N($S134)+N($T134)-N($U134),2))</f>
        <v/>
      </c>
      <c r="W134" s="18">
        <f>IF(COUNTA($B134:$R134)=0,"",IF(OR($X134="Pago",$X134="Recebido",$X134="Cancelado"),0,ROUND(N($Q134)+N($S134)+N($T134)-N($U134)-N($R134),2)))</f>
        <v/>
      </c>
      <c r="X134" s="14" t="inlineStr">
        <is>
          <t>Pago</t>
        </is>
      </c>
      <c r="Y134" s="17">
        <f>IF(COUNTA($B134:$R134)=0,"",IF($X134="Cancelado","Cancelado",IF(OR($X134="Pago",$X134="Recebido"),$X134,IF(OR($X134="Parcial",N($R134)&gt;0),"Parcial",IF($C134="","Sem vencimento",IF($C134&lt;TODAY(),"Vencido",IF($C134=TODAY(),"Vence hoje",IF($C134&lt;=TODAY()+7,"Vence em 7 dias",IF($C134&lt;=TODAY()+30,"Vence em 30 dias","Futuro")))))))))</f>
        <v/>
      </c>
      <c r="Z134" s="24">
        <f>IF($B134="","",MONTH($B134))</f>
        <v/>
      </c>
      <c r="AA134" s="24">
        <f>IF($B134="","",YEAR($B134))</f>
        <v/>
      </c>
      <c r="AB134" s="24">
        <f>IF($B134="","",ISOWEEKNUM($B134))</f>
        <v/>
      </c>
      <c r="AC134" s="17">
        <f>IF($B134="","",CHOOSE(WEEKDAY($B134,2),"Segunda","Terça","Quarta","Quinta","Sexta","Sábado","Domingo"))</f>
        <v/>
      </c>
      <c r="AD134" s="17">
        <f>IF($B134="","",TEXT($B134,"MM/AAAA"))</f>
        <v/>
      </c>
      <c r="AE134" s="18">
        <f>IF(COUNTA($B134:$R134)=0,"",IF($X134="Cancelado",0,ROUND(N($Q134)+N($S134)+N($T134)-N($U134),2)))</f>
        <v/>
      </c>
      <c r="AF134" s="9">
        <f>IF($G134="","",IFERROR(INDEX(LINHAS_DRE_PLANO,MATCH($G134,SUBCATEGORIAS_PLANO,0)),"Não classificado"))</f>
        <v/>
      </c>
      <c r="AG134" s="17">
        <f>IF($G134="","",IFERROR(INDEX(TIPOS_FLUXO_PLANO,MATCH($G134,SUBCATEGORIAS_PLANO,0)),"Não classificado"))</f>
        <v/>
      </c>
      <c r="AH134" s="9">
        <f>IF($G134="","",IFERROR(INDEX(GRUPOS_PLANO,MATCH($G134,SUBCATEGORIAS_PLANO,0)),"Não classificado"))</f>
        <v/>
      </c>
      <c r="AI134" s="24">
        <f>IF(OR($C134="",$X134="Pago",$X134="Recebido",$X134="Cancelado"),"",$C134-TODAY())</f>
        <v/>
      </c>
      <c r="AJ134" s="24">
        <f>IF(OR($C134="",$X134="Pago",$X134="Recebido",$X134="Cancelado"),0,MAX(0,TODAY()-$C134))</f>
        <v/>
      </c>
      <c r="AK134" s="24">
        <f>IF($D134="","",$D134-$B134)</f>
        <v/>
      </c>
      <c r="AL134" s="18">
        <f>IF(OR($D134="",$B134=""),"",ROUND(N($R134)*($D134-$B134),2))</f>
        <v/>
      </c>
      <c r="AM134" s="17">
        <f>IF(AND($E134="Saída",$W134&gt;0,$C134&lt;&gt;""),$C134+ROW()/1000000,"")</f>
        <v/>
      </c>
      <c r="AN134" s="17">
        <f>IF(AND($E134="Entrada",$W134&gt;0,$C134&lt;&gt;""),$C134+ROW()/1000000,"")</f>
        <v/>
      </c>
      <c r="AO134" s="9">
        <f>IF(COUNTA($B134:$R134)=0,"",IF(AND($I134&lt;&gt;"",COUNTIF(CLIENTES_NOMES,$I134)+COUNTIF(CLIENTES_FANTASIA,$I134)+COUNTIF(FORNECEDORES_NOMES,$I134)+COUNTIF(FORNECEDORES_FANTASIA,$I134)=0),"⚠ Cliente/Fornecedor não cadastrado",IF(AND($G134&lt;&gt;"",COUNTIF(SUBCATEGORIAS_PLANO,$G134)=0),"⚠ Subcategoria fora do plano de contas",IF(OR($Q134="",N($Q134)=0),"⚠ Valor previsto não informado",IF(AND(OR($X134="Pago",$X134="Recebido"),$D134=""),"⚠ Status pago/recebido sem data",IF(AND($D134&lt;&gt;"",N($R134)=0),"⚠ Data de pagamento sem valor realizado",IF(AND(N($P134)&gt;1,N($O134)&gt;N($P134)),"⚠ Nº da parcela maior que o total",IF(AND($C134&lt;&gt;"",$B134&lt;&gt;"",$C134&lt;$B134),"⚠ Vencimento anterior à competência","OK"))))))))</f>
        <v/>
      </c>
    </row>
    <row r="135">
      <c r="A135" s="14" t="inlineStr">
        <is>
          <t>L0130</t>
        </is>
      </c>
      <c r="B135" s="36" t="n">
        <v>46107</v>
      </c>
      <c r="C135" s="36" t="n">
        <v>46107</v>
      </c>
      <c r="D135" s="36" t="n">
        <v>46107</v>
      </c>
      <c r="E135" s="14" t="inlineStr">
        <is>
          <t>Saída</t>
        </is>
      </c>
      <c r="F135" s="29" t="inlineStr">
        <is>
          <t>Despesas Administrativas</t>
        </is>
      </c>
      <c r="G135" s="29" t="inlineStr">
        <is>
          <t>Outras Despesas Administrativas</t>
        </is>
      </c>
      <c r="H135" s="29" t="inlineStr">
        <is>
          <t>Administrativo</t>
        </is>
      </c>
      <c r="I135" s="29" t="inlineStr">
        <is>
          <t>MANUTENÇÃO PREDIAL EXPRESSA LTDA</t>
        </is>
      </c>
      <c r="J135" s="29" t="inlineStr">
        <is>
          <t>Despesas administrativas diversas</t>
        </is>
      </c>
      <c r="K135" s="14" t="inlineStr">
        <is>
          <t>DOC 8311</t>
        </is>
      </c>
      <c r="L135" s="29" t="inlineStr">
        <is>
          <t>Banco do Brasil — C/C 12345-6</t>
        </is>
      </c>
      <c r="M135" s="14" t="inlineStr">
        <is>
          <t>PIX</t>
        </is>
      </c>
      <c r="N135" s="29" t="n"/>
      <c r="O135" s="13" t="n">
        <v>1</v>
      </c>
      <c r="P135" s="13" t="n">
        <v>1</v>
      </c>
      <c r="Q135" s="35" t="n">
        <v>527.9</v>
      </c>
      <c r="R135" s="35" t="n">
        <v>527.9</v>
      </c>
      <c r="S135" s="35" t="n"/>
      <c r="T135" s="35" t="n"/>
      <c r="U135" s="35" t="n"/>
      <c r="V135" s="18">
        <f>IF(COUNTA($B135:$R135)=0,"",ROUND(N($R135)+N($S135)+N($T135)-N($U135),2))</f>
        <v/>
      </c>
      <c r="W135" s="18">
        <f>IF(COUNTA($B135:$R135)=0,"",IF(OR($X135="Pago",$X135="Recebido",$X135="Cancelado"),0,ROUND(N($Q135)+N($S135)+N($T135)-N($U135)-N($R135),2)))</f>
        <v/>
      </c>
      <c r="X135" s="14" t="inlineStr">
        <is>
          <t>Pago</t>
        </is>
      </c>
      <c r="Y135" s="17">
        <f>IF(COUNTA($B135:$R135)=0,"",IF($X135="Cancelado","Cancelado",IF(OR($X135="Pago",$X135="Recebido"),$X135,IF(OR($X135="Parcial",N($R135)&gt;0),"Parcial",IF($C135="","Sem vencimento",IF($C135&lt;TODAY(),"Vencido",IF($C135=TODAY(),"Vence hoje",IF($C135&lt;=TODAY()+7,"Vence em 7 dias",IF($C135&lt;=TODAY()+30,"Vence em 30 dias","Futuro")))))))))</f>
        <v/>
      </c>
      <c r="Z135" s="24">
        <f>IF($B135="","",MONTH($B135))</f>
        <v/>
      </c>
      <c r="AA135" s="24">
        <f>IF($B135="","",YEAR($B135))</f>
        <v/>
      </c>
      <c r="AB135" s="24">
        <f>IF($B135="","",ISOWEEKNUM($B135))</f>
        <v/>
      </c>
      <c r="AC135" s="17">
        <f>IF($B135="","",CHOOSE(WEEKDAY($B135,2),"Segunda","Terça","Quarta","Quinta","Sexta","Sábado","Domingo"))</f>
        <v/>
      </c>
      <c r="AD135" s="17">
        <f>IF($B135="","",TEXT($B135,"MM/AAAA"))</f>
        <v/>
      </c>
      <c r="AE135" s="18">
        <f>IF(COUNTA($B135:$R135)=0,"",IF($X135="Cancelado",0,ROUND(N($Q135)+N($S135)+N($T135)-N($U135),2)))</f>
        <v/>
      </c>
      <c r="AF135" s="9">
        <f>IF($G135="","",IFERROR(INDEX(LINHAS_DRE_PLANO,MATCH($G135,SUBCATEGORIAS_PLANO,0)),"Não classificado"))</f>
        <v/>
      </c>
      <c r="AG135" s="17">
        <f>IF($G135="","",IFERROR(INDEX(TIPOS_FLUXO_PLANO,MATCH($G135,SUBCATEGORIAS_PLANO,0)),"Não classificado"))</f>
        <v/>
      </c>
      <c r="AH135" s="9">
        <f>IF($G135="","",IFERROR(INDEX(GRUPOS_PLANO,MATCH($G135,SUBCATEGORIAS_PLANO,0)),"Não classificado"))</f>
        <v/>
      </c>
      <c r="AI135" s="24">
        <f>IF(OR($C135="",$X135="Pago",$X135="Recebido",$X135="Cancelado"),"",$C135-TODAY())</f>
        <v/>
      </c>
      <c r="AJ135" s="24">
        <f>IF(OR($C135="",$X135="Pago",$X135="Recebido",$X135="Cancelado"),0,MAX(0,TODAY()-$C135))</f>
        <v/>
      </c>
      <c r="AK135" s="24">
        <f>IF($D135="","",$D135-$B135)</f>
        <v/>
      </c>
      <c r="AL135" s="18">
        <f>IF(OR($D135="",$B135=""),"",ROUND(N($R135)*($D135-$B135),2))</f>
        <v/>
      </c>
      <c r="AM135" s="17">
        <f>IF(AND($E135="Saída",$W135&gt;0,$C135&lt;&gt;""),$C135+ROW()/1000000,"")</f>
        <v/>
      </c>
      <c r="AN135" s="17">
        <f>IF(AND($E135="Entrada",$W135&gt;0,$C135&lt;&gt;""),$C135+ROW()/1000000,"")</f>
        <v/>
      </c>
      <c r="AO135" s="9">
        <f>IF(COUNTA($B135:$R135)=0,"",IF(AND($I135&lt;&gt;"",COUNTIF(CLIENTES_NOMES,$I135)+COUNTIF(CLIENTES_FANTASIA,$I135)+COUNTIF(FORNECEDORES_NOMES,$I135)+COUNTIF(FORNECEDORES_FANTASIA,$I135)=0),"⚠ Cliente/Fornecedor não cadastrado",IF(AND($G135&lt;&gt;"",COUNTIF(SUBCATEGORIAS_PLANO,$G135)=0),"⚠ Subcategoria fora do plano de contas",IF(OR($Q135="",N($Q135)=0),"⚠ Valor previsto não informado",IF(AND(OR($X135="Pago",$X135="Recebido"),$D135=""),"⚠ Status pago/recebido sem data",IF(AND($D135&lt;&gt;"",N($R135)=0),"⚠ Data de pagamento sem valor realizado",IF(AND(N($P135)&gt;1,N($O135)&gt;N($P135)),"⚠ Nº da parcela maior que o total",IF(AND($C135&lt;&gt;"",$B135&lt;&gt;"",$C135&lt;$B135),"⚠ Vencimento anterior à competência","OK"))))))))</f>
        <v/>
      </c>
    </row>
    <row r="136">
      <c r="A136" s="14" t="inlineStr">
        <is>
          <t>L0131</t>
        </is>
      </c>
      <c r="B136" s="36" t="n">
        <v>46109</v>
      </c>
      <c r="C136" s="36" t="n">
        <v>46109</v>
      </c>
      <c r="D136" s="36" t="n">
        <v>46109</v>
      </c>
      <c r="E136" s="14" t="inlineStr">
        <is>
          <t>Entrada</t>
        </is>
      </c>
      <c r="F136" s="29" t="inlineStr">
        <is>
          <t>Receitas Financeiras</t>
        </is>
      </c>
      <c r="G136" s="29" t="inlineStr">
        <is>
          <t>Rendimentos de Aplicações Financeiras</t>
        </is>
      </c>
      <c r="H136" s="29" t="inlineStr">
        <is>
          <t>Financeiro</t>
        </is>
      </c>
      <c r="I136" s="29" t="inlineStr">
        <is>
          <t>Itaú Unibanco</t>
        </is>
      </c>
      <c r="J136" s="29" t="inlineStr">
        <is>
          <t>Rendimento de aplicação financeira — 03/2026</t>
        </is>
      </c>
      <c r="K136" s="14" t="inlineStr">
        <is>
          <t>REND-APL</t>
        </is>
      </c>
      <c r="L136" s="29" t="inlineStr">
        <is>
          <t>Itaú Unibanco — C/C 45678-9</t>
        </is>
      </c>
      <c r="M136" s="14" t="inlineStr">
        <is>
          <t>Transferência</t>
        </is>
      </c>
      <c r="N136" s="29" t="n"/>
      <c r="O136" s="13" t="n">
        <v>1</v>
      </c>
      <c r="P136" s="13" t="n">
        <v>1</v>
      </c>
      <c r="Q136" s="35" t="n">
        <v>792.47</v>
      </c>
      <c r="R136" s="35" t="n">
        <v>792.47</v>
      </c>
      <c r="S136" s="35" t="n"/>
      <c r="T136" s="35" t="n"/>
      <c r="U136" s="35" t="n"/>
      <c r="V136" s="18">
        <f>IF(COUNTA($B136:$R136)=0,"",ROUND(N($R136)+N($S136)+N($T136)-N($U136),2))</f>
        <v/>
      </c>
      <c r="W136" s="18">
        <f>IF(COUNTA($B136:$R136)=0,"",IF(OR($X136="Pago",$X136="Recebido",$X136="Cancelado"),0,ROUND(N($Q136)+N($S136)+N($T136)-N($U136)-N($R136),2)))</f>
        <v/>
      </c>
      <c r="X136" s="14" t="inlineStr">
        <is>
          <t>Recebido</t>
        </is>
      </c>
      <c r="Y136" s="17">
        <f>IF(COUNTA($B136:$R136)=0,"",IF($X136="Cancelado","Cancelado",IF(OR($X136="Pago",$X136="Recebido"),$X136,IF(OR($X136="Parcial",N($R136)&gt;0),"Parcial",IF($C136="","Sem vencimento",IF($C136&lt;TODAY(),"Vencido",IF($C136=TODAY(),"Vence hoje",IF($C136&lt;=TODAY()+7,"Vence em 7 dias",IF($C136&lt;=TODAY()+30,"Vence em 30 dias","Futuro")))))))))</f>
        <v/>
      </c>
      <c r="Z136" s="24">
        <f>IF($B136="","",MONTH($B136))</f>
        <v/>
      </c>
      <c r="AA136" s="24">
        <f>IF($B136="","",YEAR($B136))</f>
        <v/>
      </c>
      <c r="AB136" s="24">
        <f>IF($B136="","",ISOWEEKNUM($B136))</f>
        <v/>
      </c>
      <c r="AC136" s="17">
        <f>IF($B136="","",CHOOSE(WEEKDAY($B136,2),"Segunda","Terça","Quarta","Quinta","Sexta","Sábado","Domingo"))</f>
        <v/>
      </c>
      <c r="AD136" s="17">
        <f>IF($B136="","",TEXT($B136,"MM/AAAA"))</f>
        <v/>
      </c>
      <c r="AE136" s="18">
        <f>IF(COUNTA($B136:$R136)=0,"",IF($X136="Cancelado",0,ROUND(N($Q136)+N($S136)+N($T136)-N($U136),2)))</f>
        <v/>
      </c>
      <c r="AF136" s="9">
        <f>IF($G136="","",IFERROR(INDEX(LINHAS_DRE_PLANO,MATCH($G136,SUBCATEGORIAS_PLANO,0)),"Não classificado"))</f>
        <v/>
      </c>
      <c r="AG136" s="17">
        <f>IF($G136="","",IFERROR(INDEX(TIPOS_FLUXO_PLANO,MATCH($G136,SUBCATEGORIAS_PLANO,0)),"Não classificado"))</f>
        <v/>
      </c>
      <c r="AH136" s="9">
        <f>IF($G136="","",IFERROR(INDEX(GRUPOS_PLANO,MATCH($G136,SUBCATEGORIAS_PLANO,0)),"Não classificado"))</f>
        <v/>
      </c>
      <c r="AI136" s="24">
        <f>IF(OR($C136="",$X136="Pago",$X136="Recebido",$X136="Cancelado"),"",$C136-TODAY())</f>
        <v/>
      </c>
      <c r="AJ136" s="24">
        <f>IF(OR($C136="",$X136="Pago",$X136="Recebido",$X136="Cancelado"),0,MAX(0,TODAY()-$C136))</f>
        <v/>
      </c>
      <c r="AK136" s="24">
        <f>IF($D136="","",$D136-$B136)</f>
        <v/>
      </c>
      <c r="AL136" s="18">
        <f>IF(OR($D136="",$B136=""),"",ROUND(N($R136)*($D136-$B136),2))</f>
        <v/>
      </c>
      <c r="AM136" s="17">
        <f>IF(AND($E136="Saída",$W136&gt;0,$C136&lt;&gt;""),$C136+ROW()/1000000,"")</f>
        <v/>
      </c>
      <c r="AN136" s="17">
        <f>IF(AND($E136="Entrada",$W136&gt;0,$C136&lt;&gt;""),$C136+ROW()/1000000,"")</f>
        <v/>
      </c>
      <c r="AO136" s="9">
        <f>IF(COUNTA($B136:$R136)=0,"",IF(AND($I136&lt;&gt;"",COUNTIF(CLIENTES_NOMES,$I136)+COUNTIF(CLIENTES_FANTASIA,$I136)+COUNTIF(FORNECEDORES_NOMES,$I136)+COUNTIF(FORNECEDORES_FANTASIA,$I136)=0),"⚠ Cliente/Fornecedor não cadastrado",IF(AND($G136&lt;&gt;"",COUNTIF(SUBCATEGORIAS_PLANO,$G136)=0),"⚠ Subcategoria fora do plano de contas",IF(OR($Q136="",N($Q136)=0),"⚠ Valor previsto não informado",IF(AND(OR($X136="Pago",$X136="Recebido"),$D136=""),"⚠ Status pago/recebido sem data",IF(AND($D136&lt;&gt;"",N($R136)=0),"⚠ Data de pagamento sem valor realizado",IF(AND(N($P136)&gt;1,N($O136)&gt;N($P136)),"⚠ Nº da parcela maior que o total",IF(AND($C136&lt;&gt;"",$B136&lt;&gt;"",$C136&lt;$B136),"⚠ Vencimento anterior à competência","OK"))))))))</f>
        <v/>
      </c>
    </row>
    <row r="137">
      <c r="A137" s="14" t="inlineStr">
        <is>
          <t>L0132</t>
        </is>
      </c>
      <c r="B137" s="36" t="n">
        <v>46109</v>
      </c>
      <c r="C137" s="36" t="n">
        <v>46114</v>
      </c>
      <c r="D137" s="36" t="n">
        <v>46116</v>
      </c>
      <c r="E137" s="14" t="inlineStr">
        <is>
          <t>Saída</t>
        </is>
      </c>
      <c r="F137" s="29" t="inlineStr">
        <is>
          <t>Custos Variáveis</t>
        </is>
      </c>
      <c r="G137" s="29" t="inlineStr">
        <is>
          <t>Comissões sobre Vendas</t>
        </is>
      </c>
      <c r="H137" s="29" t="inlineStr">
        <is>
          <t>Comercial</t>
        </is>
      </c>
      <c r="I137" s="29" t="inlineStr">
        <is>
          <t>EQUIPE COMERCIAL — COMISSÕES</t>
        </is>
      </c>
      <c r="J137" s="29" t="inlineStr">
        <is>
          <t>Comissões sobre vendas do período</t>
        </is>
      </c>
      <c r="K137" s="14" t="inlineStr">
        <is>
          <t>DOC 7180</t>
        </is>
      </c>
      <c r="L137" s="29" t="inlineStr">
        <is>
          <t>Banco do Brasil — C/C 12345-6</t>
        </is>
      </c>
      <c r="M137" s="14" t="inlineStr">
        <is>
          <t>Transferência</t>
        </is>
      </c>
      <c r="N137" s="29" t="n"/>
      <c r="O137" s="13" t="n">
        <v>1</v>
      </c>
      <c r="P137" s="13" t="n">
        <v>1</v>
      </c>
      <c r="Q137" s="35" t="n">
        <v>3289.47</v>
      </c>
      <c r="R137" s="35" t="n">
        <v>3289.47</v>
      </c>
      <c r="S137" s="35" t="n"/>
      <c r="T137" s="35" t="n"/>
      <c r="U137" s="35" t="n"/>
      <c r="V137" s="18">
        <f>IF(COUNTA($B137:$R137)=0,"",ROUND(N($R137)+N($S137)+N($T137)-N($U137),2))</f>
        <v/>
      </c>
      <c r="W137" s="18">
        <f>IF(COUNTA($B137:$R137)=0,"",IF(OR($X137="Pago",$X137="Recebido",$X137="Cancelado"),0,ROUND(N($Q137)+N($S137)+N($T137)-N($U137)-N($R137),2)))</f>
        <v/>
      </c>
      <c r="X137" s="14" t="inlineStr">
        <is>
          <t>Pago</t>
        </is>
      </c>
      <c r="Y137" s="17">
        <f>IF(COUNTA($B137:$R137)=0,"",IF($X137="Cancelado","Cancelado",IF(OR($X137="Pago",$X137="Recebido"),$X137,IF(OR($X137="Parcial",N($R137)&gt;0),"Parcial",IF($C137="","Sem vencimento",IF($C137&lt;TODAY(),"Vencido",IF($C137=TODAY(),"Vence hoje",IF($C137&lt;=TODAY()+7,"Vence em 7 dias",IF($C137&lt;=TODAY()+30,"Vence em 30 dias","Futuro")))))))))</f>
        <v/>
      </c>
      <c r="Z137" s="24">
        <f>IF($B137="","",MONTH($B137))</f>
        <v/>
      </c>
      <c r="AA137" s="24">
        <f>IF($B137="","",YEAR($B137))</f>
        <v/>
      </c>
      <c r="AB137" s="24">
        <f>IF($B137="","",ISOWEEKNUM($B137))</f>
        <v/>
      </c>
      <c r="AC137" s="17">
        <f>IF($B137="","",CHOOSE(WEEKDAY($B137,2),"Segunda","Terça","Quarta","Quinta","Sexta","Sábado","Domingo"))</f>
        <v/>
      </c>
      <c r="AD137" s="17">
        <f>IF($B137="","",TEXT($B137,"MM/AAAA"))</f>
        <v/>
      </c>
      <c r="AE137" s="18">
        <f>IF(COUNTA($B137:$R137)=0,"",IF($X137="Cancelado",0,ROUND(N($Q137)+N($S137)+N($T137)-N($U137),2)))</f>
        <v/>
      </c>
      <c r="AF137" s="9">
        <f>IF($G137="","",IFERROR(INDEX(LINHAS_DRE_PLANO,MATCH($G137,SUBCATEGORIAS_PLANO,0)),"Não classificado"))</f>
        <v/>
      </c>
      <c r="AG137" s="17">
        <f>IF($G137="","",IFERROR(INDEX(TIPOS_FLUXO_PLANO,MATCH($G137,SUBCATEGORIAS_PLANO,0)),"Não classificado"))</f>
        <v/>
      </c>
      <c r="AH137" s="9">
        <f>IF($G137="","",IFERROR(INDEX(GRUPOS_PLANO,MATCH($G137,SUBCATEGORIAS_PLANO,0)),"Não classificado"))</f>
        <v/>
      </c>
      <c r="AI137" s="24">
        <f>IF(OR($C137="",$X137="Pago",$X137="Recebido",$X137="Cancelado"),"",$C137-TODAY())</f>
        <v/>
      </c>
      <c r="AJ137" s="24">
        <f>IF(OR($C137="",$X137="Pago",$X137="Recebido",$X137="Cancelado"),0,MAX(0,TODAY()-$C137))</f>
        <v/>
      </c>
      <c r="AK137" s="24">
        <f>IF($D137="","",$D137-$B137)</f>
        <v/>
      </c>
      <c r="AL137" s="18">
        <f>IF(OR($D137="",$B137=""),"",ROUND(N($R137)*($D137-$B137),2))</f>
        <v/>
      </c>
      <c r="AM137" s="17">
        <f>IF(AND($E137="Saída",$W137&gt;0,$C137&lt;&gt;""),$C137+ROW()/1000000,"")</f>
        <v/>
      </c>
      <c r="AN137" s="17">
        <f>IF(AND($E137="Entrada",$W137&gt;0,$C137&lt;&gt;""),$C137+ROW()/1000000,"")</f>
        <v/>
      </c>
      <c r="AO137" s="9">
        <f>IF(COUNTA($B137:$R137)=0,"",IF(AND($I137&lt;&gt;"",COUNTIF(CLIENTES_NOMES,$I137)+COUNTIF(CLIENTES_FANTASIA,$I137)+COUNTIF(FORNECEDORES_NOMES,$I137)+COUNTIF(FORNECEDORES_FANTASIA,$I137)=0),"⚠ Cliente/Fornecedor não cadastrado",IF(AND($G137&lt;&gt;"",COUNTIF(SUBCATEGORIAS_PLANO,$G137)=0),"⚠ Subcategoria fora do plano de contas",IF(OR($Q137="",N($Q137)=0),"⚠ Valor previsto não informado",IF(AND(OR($X137="Pago",$X137="Recebido"),$D137=""),"⚠ Status pago/recebido sem data",IF(AND($D137&lt;&gt;"",N($R137)=0),"⚠ Data de pagamento sem valor realizado",IF(AND(N($P137)&gt;1,N($O137)&gt;N($P137)),"⚠ Nº da parcela maior que o total",IF(AND($C137&lt;&gt;"",$B137&lt;&gt;"",$C137&lt;$B137),"⚠ Vencimento anterior à competência","OK"))))))))</f>
        <v/>
      </c>
    </row>
    <row r="138">
      <c r="A138" s="14" t="inlineStr">
        <is>
          <t>L0133</t>
        </is>
      </c>
      <c r="B138" s="36" t="n">
        <v>46109</v>
      </c>
      <c r="C138" s="36" t="n">
        <v>46119</v>
      </c>
      <c r="D138" s="36" t="n">
        <v>46122</v>
      </c>
      <c r="E138" s="14" t="inlineStr">
        <is>
          <t>Saída</t>
        </is>
      </c>
      <c r="F138" s="29" t="inlineStr">
        <is>
          <t>Custos Variáveis</t>
        </is>
      </c>
      <c r="G138" s="29" t="inlineStr">
        <is>
          <t>Taxas de Marketplace</t>
        </is>
      </c>
      <c r="H138" s="29" t="inlineStr">
        <is>
          <t>Comercial</t>
        </is>
      </c>
      <c r="I138" s="29" t="inlineStr">
        <is>
          <t>MARKETPLACE FOODB2B LTDA</t>
        </is>
      </c>
      <c r="J138" s="29" t="inlineStr">
        <is>
          <t>Taxas de intermediação do marketplace</t>
        </is>
      </c>
      <c r="K138" s="14" t="inlineStr">
        <is>
          <t>DOC 7181</t>
        </is>
      </c>
      <c r="L138" s="29" t="inlineStr">
        <is>
          <t>Itaú Unibanco — C/C 45678-9</t>
        </is>
      </c>
      <c r="M138" s="14" t="inlineStr">
        <is>
          <t>PIX</t>
        </is>
      </c>
      <c r="N138" s="29" t="n"/>
      <c r="O138" s="13" t="n">
        <v>1</v>
      </c>
      <c r="P138" s="13" t="n">
        <v>1</v>
      </c>
      <c r="Q138" s="35" t="n">
        <v>1728.25</v>
      </c>
      <c r="R138" s="35" t="n">
        <v>1728.25</v>
      </c>
      <c r="S138" s="35" t="n"/>
      <c r="T138" s="35" t="n"/>
      <c r="U138" s="35" t="n"/>
      <c r="V138" s="18">
        <f>IF(COUNTA($B138:$R138)=0,"",ROUND(N($R138)+N($S138)+N($T138)-N($U138),2))</f>
        <v/>
      </c>
      <c r="W138" s="18">
        <f>IF(COUNTA($B138:$R138)=0,"",IF(OR($X138="Pago",$X138="Recebido",$X138="Cancelado"),0,ROUND(N($Q138)+N($S138)+N($T138)-N($U138)-N($R138),2)))</f>
        <v/>
      </c>
      <c r="X138" s="14" t="inlineStr">
        <is>
          <t>Pago</t>
        </is>
      </c>
      <c r="Y138" s="17">
        <f>IF(COUNTA($B138:$R138)=0,"",IF($X138="Cancelado","Cancelado",IF(OR($X138="Pago",$X138="Recebido"),$X138,IF(OR($X138="Parcial",N($R138)&gt;0),"Parcial",IF($C138="","Sem vencimento",IF($C138&lt;TODAY(),"Vencido",IF($C138=TODAY(),"Vence hoje",IF($C138&lt;=TODAY()+7,"Vence em 7 dias",IF($C138&lt;=TODAY()+30,"Vence em 30 dias","Futuro")))))))))</f>
        <v/>
      </c>
      <c r="Z138" s="24">
        <f>IF($B138="","",MONTH($B138))</f>
        <v/>
      </c>
      <c r="AA138" s="24">
        <f>IF($B138="","",YEAR($B138))</f>
        <v/>
      </c>
      <c r="AB138" s="24">
        <f>IF($B138="","",ISOWEEKNUM($B138))</f>
        <v/>
      </c>
      <c r="AC138" s="17">
        <f>IF($B138="","",CHOOSE(WEEKDAY($B138,2),"Segunda","Terça","Quarta","Quinta","Sexta","Sábado","Domingo"))</f>
        <v/>
      </c>
      <c r="AD138" s="17">
        <f>IF($B138="","",TEXT($B138,"MM/AAAA"))</f>
        <v/>
      </c>
      <c r="AE138" s="18">
        <f>IF(COUNTA($B138:$R138)=0,"",IF($X138="Cancelado",0,ROUND(N($Q138)+N($S138)+N($T138)-N($U138),2)))</f>
        <v/>
      </c>
      <c r="AF138" s="9">
        <f>IF($G138="","",IFERROR(INDEX(LINHAS_DRE_PLANO,MATCH($G138,SUBCATEGORIAS_PLANO,0)),"Não classificado"))</f>
        <v/>
      </c>
      <c r="AG138" s="17">
        <f>IF($G138="","",IFERROR(INDEX(TIPOS_FLUXO_PLANO,MATCH($G138,SUBCATEGORIAS_PLANO,0)),"Não classificado"))</f>
        <v/>
      </c>
      <c r="AH138" s="9">
        <f>IF($G138="","",IFERROR(INDEX(GRUPOS_PLANO,MATCH($G138,SUBCATEGORIAS_PLANO,0)),"Não classificado"))</f>
        <v/>
      </c>
      <c r="AI138" s="24">
        <f>IF(OR($C138="",$X138="Pago",$X138="Recebido",$X138="Cancelado"),"",$C138-TODAY())</f>
        <v/>
      </c>
      <c r="AJ138" s="24">
        <f>IF(OR($C138="",$X138="Pago",$X138="Recebido",$X138="Cancelado"),0,MAX(0,TODAY()-$C138))</f>
        <v/>
      </c>
      <c r="AK138" s="24">
        <f>IF($D138="","",$D138-$B138)</f>
        <v/>
      </c>
      <c r="AL138" s="18">
        <f>IF(OR($D138="",$B138=""),"",ROUND(N($R138)*($D138-$B138),2))</f>
        <v/>
      </c>
      <c r="AM138" s="17">
        <f>IF(AND($E138="Saída",$W138&gt;0,$C138&lt;&gt;""),$C138+ROW()/1000000,"")</f>
        <v/>
      </c>
      <c r="AN138" s="17">
        <f>IF(AND($E138="Entrada",$W138&gt;0,$C138&lt;&gt;""),$C138+ROW()/1000000,"")</f>
        <v/>
      </c>
      <c r="AO138" s="9">
        <f>IF(COUNTA($B138:$R138)=0,"",IF(AND($I138&lt;&gt;"",COUNTIF(CLIENTES_NOMES,$I138)+COUNTIF(CLIENTES_FANTASIA,$I138)+COUNTIF(FORNECEDORES_NOMES,$I138)+COUNTIF(FORNECEDORES_FANTASIA,$I138)=0),"⚠ Cliente/Fornecedor não cadastrado",IF(AND($G138&lt;&gt;"",COUNTIF(SUBCATEGORIAS_PLANO,$G138)=0),"⚠ Subcategoria fora do plano de contas",IF(OR($Q138="",N($Q138)=0),"⚠ Valor previsto não informado",IF(AND(OR($X138="Pago",$X138="Recebido"),$D138=""),"⚠ Status pago/recebido sem data",IF(AND($D138&lt;&gt;"",N($R138)=0),"⚠ Data de pagamento sem valor realizado",IF(AND(N($P138)&gt;1,N($O138)&gt;N($P138)),"⚠ Nº da parcela maior que o total",IF(AND($C138&lt;&gt;"",$B138&lt;&gt;"",$C138&lt;$B138),"⚠ Vencimento anterior à competência","OK"))))))))</f>
        <v/>
      </c>
    </row>
    <row r="139">
      <c r="A139" s="14" t="inlineStr">
        <is>
          <t>L0134</t>
        </is>
      </c>
      <c r="B139" s="36" t="n">
        <v>46109</v>
      </c>
      <c r="C139" s="36" t="n">
        <v>46114</v>
      </c>
      <c r="D139" s="36" t="n">
        <v>46114</v>
      </c>
      <c r="E139" s="14" t="inlineStr">
        <is>
          <t>Saída</t>
        </is>
      </c>
      <c r="F139" s="29" t="inlineStr">
        <is>
          <t>Custos Variáveis</t>
        </is>
      </c>
      <c r="G139" s="29" t="inlineStr">
        <is>
          <t>Taxas de Cartão e Maquininha</t>
        </is>
      </c>
      <c r="H139" s="29" t="inlineStr">
        <is>
          <t>Financeiro</t>
        </is>
      </c>
      <c r="I139" s="29" t="inlineStr">
        <is>
          <t>CIELO S.A. — INSTITUIÇÃO DE PAGAMENTO</t>
        </is>
      </c>
      <c r="J139" s="29" t="inlineStr">
        <is>
          <t>Taxas de cartão e antecipação de recebíveis</t>
        </is>
      </c>
      <c r="K139" s="14" t="inlineStr">
        <is>
          <t>DOC 7182</t>
        </is>
      </c>
      <c r="L139" s="29" t="inlineStr">
        <is>
          <t>Itaú Unibanco — C/C 45678-9</t>
        </is>
      </c>
      <c r="M139" s="14" t="inlineStr">
        <is>
          <t>Transferência</t>
        </is>
      </c>
      <c r="N139" s="29" t="n"/>
      <c r="O139" s="13" t="n">
        <v>1</v>
      </c>
      <c r="P139" s="13" t="n">
        <v>1</v>
      </c>
      <c r="Q139" s="35" t="n">
        <v>2525.08</v>
      </c>
      <c r="R139" s="35" t="n">
        <v>2525.08</v>
      </c>
      <c r="S139" s="35" t="n"/>
      <c r="T139" s="35" t="n"/>
      <c r="U139" s="35" t="n"/>
      <c r="V139" s="18">
        <f>IF(COUNTA($B139:$R139)=0,"",ROUND(N($R139)+N($S139)+N($T139)-N($U139),2))</f>
        <v/>
      </c>
      <c r="W139" s="18">
        <f>IF(COUNTA($B139:$R139)=0,"",IF(OR($X139="Pago",$X139="Recebido",$X139="Cancelado"),0,ROUND(N($Q139)+N($S139)+N($T139)-N($U139)-N($R139),2)))</f>
        <v/>
      </c>
      <c r="X139" s="14" t="inlineStr">
        <is>
          <t>Pago</t>
        </is>
      </c>
      <c r="Y139" s="17">
        <f>IF(COUNTA($B139:$R139)=0,"",IF($X139="Cancelado","Cancelado",IF(OR($X139="Pago",$X139="Recebido"),$X139,IF(OR($X139="Parcial",N($R139)&gt;0),"Parcial",IF($C139="","Sem vencimento",IF($C139&lt;TODAY(),"Vencido",IF($C139=TODAY(),"Vence hoje",IF($C139&lt;=TODAY()+7,"Vence em 7 dias",IF($C139&lt;=TODAY()+30,"Vence em 30 dias","Futuro")))))))))</f>
        <v/>
      </c>
      <c r="Z139" s="24">
        <f>IF($B139="","",MONTH($B139))</f>
        <v/>
      </c>
      <c r="AA139" s="24">
        <f>IF($B139="","",YEAR($B139))</f>
        <v/>
      </c>
      <c r="AB139" s="24">
        <f>IF($B139="","",ISOWEEKNUM($B139))</f>
        <v/>
      </c>
      <c r="AC139" s="17">
        <f>IF($B139="","",CHOOSE(WEEKDAY($B139,2),"Segunda","Terça","Quarta","Quinta","Sexta","Sábado","Domingo"))</f>
        <v/>
      </c>
      <c r="AD139" s="17">
        <f>IF($B139="","",TEXT($B139,"MM/AAAA"))</f>
        <v/>
      </c>
      <c r="AE139" s="18">
        <f>IF(COUNTA($B139:$R139)=0,"",IF($X139="Cancelado",0,ROUND(N($Q139)+N($S139)+N($T139)-N($U139),2)))</f>
        <v/>
      </c>
      <c r="AF139" s="9">
        <f>IF($G139="","",IFERROR(INDEX(LINHAS_DRE_PLANO,MATCH($G139,SUBCATEGORIAS_PLANO,0)),"Não classificado"))</f>
        <v/>
      </c>
      <c r="AG139" s="17">
        <f>IF($G139="","",IFERROR(INDEX(TIPOS_FLUXO_PLANO,MATCH($G139,SUBCATEGORIAS_PLANO,0)),"Não classificado"))</f>
        <v/>
      </c>
      <c r="AH139" s="9">
        <f>IF($G139="","",IFERROR(INDEX(GRUPOS_PLANO,MATCH($G139,SUBCATEGORIAS_PLANO,0)),"Não classificado"))</f>
        <v/>
      </c>
      <c r="AI139" s="24">
        <f>IF(OR($C139="",$X139="Pago",$X139="Recebido",$X139="Cancelado"),"",$C139-TODAY())</f>
        <v/>
      </c>
      <c r="AJ139" s="24">
        <f>IF(OR($C139="",$X139="Pago",$X139="Recebido",$X139="Cancelado"),0,MAX(0,TODAY()-$C139))</f>
        <v/>
      </c>
      <c r="AK139" s="24">
        <f>IF($D139="","",$D139-$B139)</f>
        <v/>
      </c>
      <c r="AL139" s="18">
        <f>IF(OR($D139="",$B139=""),"",ROUND(N($R139)*($D139-$B139),2))</f>
        <v/>
      </c>
      <c r="AM139" s="17">
        <f>IF(AND($E139="Saída",$W139&gt;0,$C139&lt;&gt;""),$C139+ROW()/1000000,"")</f>
        <v/>
      </c>
      <c r="AN139" s="17">
        <f>IF(AND($E139="Entrada",$W139&gt;0,$C139&lt;&gt;""),$C139+ROW()/1000000,"")</f>
        <v/>
      </c>
      <c r="AO139" s="9">
        <f>IF(COUNTA($B139:$R139)=0,"",IF(AND($I139&lt;&gt;"",COUNTIF(CLIENTES_NOMES,$I139)+COUNTIF(CLIENTES_FANTASIA,$I139)+COUNTIF(FORNECEDORES_NOMES,$I139)+COUNTIF(FORNECEDORES_FANTASIA,$I139)=0),"⚠ Cliente/Fornecedor não cadastrado",IF(AND($G139&lt;&gt;"",COUNTIF(SUBCATEGORIAS_PLANO,$G139)=0),"⚠ Subcategoria fora do plano de contas",IF(OR($Q139="",N($Q139)=0),"⚠ Valor previsto não informado",IF(AND(OR($X139="Pago",$X139="Recebido"),$D139=""),"⚠ Status pago/recebido sem data",IF(AND($D139&lt;&gt;"",N($R139)=0),"⚠ Data de pagamento sem valor realizado",IF(AND(N($P139)&gt;1,N($O139)&gt;N($P139)),"⚠ Nº da parcela maior que o total",IF(AND($C139&lt;&gt;"",$B139&lt;&gt;"",$C139&lt;$B139),"⚠ Vencimento anterior à competência","OK"))))))))</f>
        <v/>
      </c>
    </row>
    <row r="140">
      <c r="A140" s="14" t="inlineStr">
        <is>
          <t>L0135</t>
        </is>
      </c>
      <c r="B140" s="36" t="n">
        <v>46109</v>
      </c>
      <c r="C140" s="36" t="n">
        <v>46109</v>
      </c>
      <c r="D140" s="36" t="n">
        <v>46109</v>
      </c>
      <c r="E140" s="14" t="inlineStr">
        <is>
          <t>Saída</t>
        </is>
      </c>
      <c r="F140" s="29" t="inlineStr">
        <is>
          <t>Despesas Financeiras</t>
        </is>
      </c>
      <c r="G140" s="29" t="inlineStr">
        <is>
          <t>Tarifas Bancárias</t>
        </is>
      </c>
      <c r="H140" s="29" t="inlineStr">
        <is>
          <t>Financeiro</t>
        </is>
      </c>
      <c r="I140" s="29" t="inlineStr">
        <is>
          <t>CONTABILIDADE AURORA ASSESSORIA CONTÁBIL LTDA</t>
        </is>
      </c>
      <c r="J140" s="29" t="inlineStr">
        <is>
          <t>Tarifas e pacote de serviços bancários</t>
        </is>
      </c>
      <c r="K140" s="14" t="inlineStr">
        <is>
          <t>DOC 8312</t>
        </is>
      </c>
      <c r="L140" s="29" t="inlineStr">
        <is>
          <t>Itaú Unibanco — C/C 45678-9</t>
        </is>
      </c>
      <c r="M140" s="14" t="inlineStr">
        <is>
          <t>Transferência</t>
        </is>
      </c>
      <c r="N140" s="29" t="n"/>
      <c r="O140" s="13" t="n">
        <v>1</v>
      </c>
      <c r="P140" s="13" t="n">
        <v>1</v>
      </c>
      <c r="Q140" s="35" t="n">
        <v>190</v>
      </c>
      <c r="R140" s="35" t="n">
        <v>190</v>
      </c>
      <c r="S140" s="35" t="n"/>
      <c r="T140" s="35" t="n"/>
      <c r="U140" s="35" t="n"/>
      <c r="V140" s="18">
        <f>IF(COUNTA($B140:$R140)=0,"",ROUND(N($R140)+N($S140)+N($T140)-N($U140),2))</f>
        <v/>
      </c>
      <c r="W140" s="18">
        <f>IF(COUNTA($B140:$R140)=0,"",IF(OR($X140="Pago",$X140="Recebido",$X140="Cancelado"),0,ROUND(N($Q140)+N($S140)+N($T140)-N($U140)-N($R140),2)))</f>
        <v/>
      </c>
      <c r="X140" s="14" t="inlineStr">
        <is>
          <t>Pago</t>
        </is>
      </c>
      <c r="Y140" s="17">
        <f>IF(COUNTA($B140:$R140)=0,"",IF($X140="Cancelado","Cancelado",IF(OR($X140="Pago",$X140="Recebido"),$X140,IF(OR($X140="Parcial",N($R140)&gt;0),"Parcial",IF($C140="","Sem vencimento",IF($C140&lt;TODAY(),"Vencido",IF($C140=TODAY(),"Vence hoje",IF($C140&lt;=TODAY()+7,"Vence em 7 dias",IF($C140&lt;=TODAY()+30,"Vence em 30 dias","Futuro")))))))))</f>
        <v/>
      </c>
      <c r="Z140" s="24">
        <f>IF($B140="","",MONTH($B140))</f>
        <v/>
      </c>
      <c r="AA140" s="24">
        <f>IF($B140="","",YEAR($B140))</f>
        <v/>
      </c>
      <c r="AB140" s="24">
        <f>IF($B140="","",ISOWEEKNUM($B140))</f>
        <v/>
      </c>
      <c r="AC140" s="17">
        <f>IF($B140="","",CHOOSE(WEEKDAY($B140,2),"Segunda","Terça","Quarta","Quinta","Sexta","Sábado","Domingo"))</f>
        <v/>
      </c>
      <c r="AD140" s="17">
        <f>IF($B140="","",TEXT($B140,"MM/AAAA"))</f>
        <v/>
      </c>
      <c r="AE140" s="18">
        <f>IF(COUNTA($B140:$R140)=0,"",IF($X140="Cancelado",0,ROUND(N($Q140)+N($S140)+N($T140)-N($U140),2)))</f>
        <v/>
      </c>
      <c r="AF140" s="9">
        <f>IF($G140="","",IFERROR(INDEX(LINHAS_DRE_PLANO,MATCH($G140,SUBCATEGORIAS_PLANO,0)),"Não classificado"))</f>
        <v/>
      </c>
      <c r="AG140" s="17">
        <f>IF($G140="","",IFERROR(INDEX(TIPOS_FLUXO_PLANO,MATCH($G140,SUBCATEGORIAS_PLANO,0)),"Não classificado"))</f>
        <v/>
      </c>
      <c r="AH140" s="9">
        <f>IF($G140="","",IFERROR(INDEX(GRUPOS_PLANO,MATCH($G140,SUBCATEGORIAS_PLANO,0)),"Não classificado"))</f>
        <v/>
      </c>
      <c r="AI140" s="24">
        <f>IF(OR($C140="",$X140="Pago",$X140="Recebido",$X140="Cancelado"),"",$C140-TODAY())</f>
        <v/>
      </c>
      <c r="AJ140" s="24">
        <f>IF(OR($C140="",$X140="Pago",$X140="Recebido",$X140="Cancelado"),0,MAX(0,TODAY()-$C140))</f>
        <v/>
      </c>
      <c r="AK140" s="24">
        <f>IF($D140="","",$D140-$B140)</f>
        <v/>
      </c>
      <c r="AL140" s="18">
        <f>IF(OR($D140="",$B140=""),"",ROUND(N($R140)*($D140-$B140),2))</f>
        <v/>
      </c>
      <c r="AM140" s="17">
        <f>IF(AND($E140="Saída",$W140&gt;0,$C140&lt;&gt;""),$C140+ROW()/1000000,"")</f>
        <v/>
      </c>
      <c r="AN140" s="17">
        <f>IF(AND($E140="Entrada",$W140&gt;0,$C140&lt;&gt;""),$C140+ROW()/1000000,"")</f>
        <v/>
      </c>
      <c r="AO140" s="9">
        <f>IF(COUNTA($B140:$R140)=0,"",IF(AND($I140&lt;&gt;"",COUNTIF(CLIENTES_NOMES,$I140)+COUNTIF(CLIENTES_FANTASIA,$I140)+COUNTIF(FORNECEDORES_NOMES,$I140)+COUNTIF(FORNECEDORES_FANTASIA,$I140)=0),"⚠ Cliente/Fornecedor não cadastrado",IF(AND($G140&lt;&gt;"",COUNTIF(SUBCATEGORIAS_PLANO,$G140)=0),"⚠ Subcategoria fora do plano de contas",IF(OR($Q140="",N($Q140)=0),"⚠ Valor previsto não informado",IF(AND(OR($X140="Pago",$X140="Recebido"),$D140=""),"⚠ Status pago/recebido sem data",IF(AND($D140&lt;&gt;"",N($R140)=0),"⚠ Data de pagamento sem valor realizado",IF(AND(N($P140)&gt;1,N($O140)&gt;N($P140)),"⚠ Nº da parcela maior que o total",IF(AND($C140&lt;&gt;"",$B140&lt;&gt;"",$C140&lt;$B140),"⚠ Vencimento anterior à competência","OK"))))))))</f>
        <v/>
      </c>
    </row>
    <row r="141">
      <c r="A141" s="14" t="inlineStr">
        <is>
          <t>L0136</t>
        </is>
      </c>
      <c r="B141" s="36" t="n">
        <v>46109</v>
      </c>
      <c r="C141" s="36" t="n">
        <v>46109</v>
      </c>
      <c r="D141" s="36" t="n">
        <v>46109</v>
      </c>
      <c r="E141" s="14" t="inlineStr">
        <is>
          <t>Saída</t>
        </is>
      </c>
      <c r="F141" s="29" t="inlineStr">
        <is>
          <t>Patrimônio Líquido</t>
        </is>
      </c>
      <c r="G141" s="29" t="inlineStr">
        <is>
          <t>Distribuição de Lucros aos Sócios</t>
        </is>
      </c>
      <c r="H141" s="29" t="inlineStr">
        <is>
          <t>Diretoria</t>
        </is>
      </c>
      <c r="I141" s="29" t="inlineStr">
        <is>
          <t>SÓCIOS — PRÓ-LABORE E DISTRIBUIÇÕES</t>
        </is>
      </c>
      <c r="J141" s="29" t="inlineStr">
        <is>
          <t>Distribuição de lucros do trimestre — 03/2026</t>
        </is>
      </c>
      <c r="K141" s="14" t="inlineStr">
        <is>
          <t>DIST-03</t>
        </is>
      </c>
      <c r="L141" s="29" t="inlineStr">
        <is>
          <t>Banco do Brasil — C/C 12345-6</t>
        </is>
      </c>
      <c r="M141" s="14" t="inlineStr">
        <is>
          <t>Transferência</t>
        </is>
      </c>
      <c r="N141" s="29" t="n"/>
      <c r="O141" s="13" t="n">
        <v>1</v>
      </c>
      <c r="P141" s="13" t="n">
        <v>1</v>
      </c>
      <c r="Q141" s="35" t="n">
        <v>12000</v>
      </c>
      <c r="R141" s="35" t="n">
        <v>12000</v>
      </c>
      <c r="S141" s="35" t="n"/>
      <c r="T141" s="35" t="n"/>
      <c r="U141" s="35" t="n"/>
      <c r="V141" s="18">
        <f>IF(COUNTA($B141:$R141)=0,"",ROUND(N($R141)+N($S141)+N($T141)-N($U141),2))</f>
        <v/>
      </c>
      <c r="W141" s="18">
        <f>IF(COUNTA($B141:$R141)=0,"",IF(OR($X141="Pago",$X141="Recebido",$X141="Cancelado"),0,ROUND(N($Q141)+N($S141)+N($T141)-N($U141)-N($R141),2)))</f>
        <v/>
      </c>
      <c r="X141" s="14" t="inlineStr">
        <is>
          <t>Pago</t>
        </is>
      </c>
      <c r="Y141" s="17">
        <f>IF(COUNTA($B141:$R141)=0,"",IF($X141="Cancelado","Cancelado",IF(OR($X141="Pago",$X141="Recebido"),$X141,IF(OR($X141="Parcial",N($R141)&gt;0),"Parcial",IF($C141="","Sem vencimento",IF($C141&lt;TODAY(),"Vencido",IF($C141=TODAY(),"Vence hoje",IF($C141&lt;=TODAY()+7,"Vence em 7 dias",IF($C141&lt;=TODAY()+30,"Vence em 30 dias","Futuro")))))))))</f>
        <v/>
      </c>
      <c r="Z141" s="24">
        <f>IF($B141="","",MONTH($B141))</f>
        <v/>
      </c>
      <c r="AA141" s="24">
        <f>IF($B141="","",YEAR($B141))</f>
        <v/>
      </c>
      <c r="AB141" s="24">
        <f>IF($B141="","",ISOWEEKNUM($B141))</f>
        <v/>
      </c>
      <c r="AC141" s="17">
        <f>IF($B141="","",CHOOSE(WEEKDAY($B141,2),"Segunda","Terça","Quarta","Quinta","Sexta","Sábado","Domingo"))</f>
        <v/>
      </c>
      <c r="AD141" s="17">
        <f>IF($B141="","",TEXT($B141,"MM/AAAA"))</f>
        <v/>
      </c>
      <c r="AE141" s="18">
        <f>IF(COUNTA($B141:$R141)=0,"",IF($X141="Cancelado",0,ROUND(N($Q141)+N($S141)+N($T141)-N($U141),2)))</f>
        <v/>
      </c>
      <c r="AF141" s="9">
        <f>IF($G141="","",IFERROR(INDEX(LINHAS_DRE_PLANO,MATCH($G141,SUBCATEGORIAS_PLANO,0)),"Não classificado"))</f>
        <v/>
      </c>
      <c r="AG141" s="17">
        <f>IF($G141="","",IFERROR(INDEX(TIPOS_FLUXO_PLANO,MATCH($G141,SUBCATEGORIAS_PLANO,0)),"Não classificado"))</f>
        <v/>
      </c>
      <c r="AH141" s="9">
        <f>IF($G141="","",IFERROR(INDEX(GRUPOS_PLANO,MATCH($G141,SUBCATEGORIAS_PLANO,0)),"Não classificado"))</f>
        <v/>
      </c>
      <c r="AI141" s="24">
        <f>IF(OR($C141="",$X141="Pago",$X141="Recebido",$X141="Cancelado"),"",$C141-TODAY())</f>
        <v/>
      </c>
      <c r="AJ141" s="24">
        <f>IF(OR($C141="",$X141="Pago",$X141="Recebido",$X141="Cancelado"),0,MAX(0,TODAY()-$C141))</f>
        <v/>
      </c>
      <c r="AK141" s="24">
        <f>IF($D141="","",$D141-$B141)</f>
        <v/>
      </c>
      <c r="AL141" s="18">
        <f>IF(OR($D141="",$B141=""),"",ROUND(N($R141)*($D141-$B141),2))</f>
        <v/>
      </c>
      <c r="AM141" s="17">
        <f>IF(AND($E141="Saída",$W141&gt;0,$C141&lt;&gt;""),$C141+ROW()/1000000,"")</f>
        <v/>
      </c>
      <c r="AN141" s="17">
        <f>IF(AND($E141="Entrada",$W141&gt;0,$C141&lt;&gt;""),$C141+ROW()/1000000,"")</f>
        <v/>
      </c>
      <c r="AO141" s="9">
        <f>IF(COUNTA($B141:$R141)=0,"",IF(AND($I141&lt;&gt;"",COUNTIF(CLIENTES_NOMES,$I141)+COUNTIF(CLIENTES_FANTASIA,$I141)+COUNTIF(FORNECEDORES_NOMES,$I141)+COUNTIF(FORNECEDORES_FANTASIA,$I141)=0),"⚠ Cliente/Fornecedor não cadastrado",IF(AND($G141&lt;&gt;"",COUNTIF(SUBCATEGORIAS_PLANO,$G141)=0),"⚠ Subcategoria fora do plano de contas",IF(OR($Q141="",N($Q141)=0),"⚠ Valor previsto não informado",IF(AND(OR($X141="Pago",$X141="Recebido"),$D141=""),"⚠ Status pago/recebido sem data",IF(AND($D141&lt;&gt;"",N($R141)=0),"⚠ Data de pagamento sem valor realizado",IF(AND(N($P141)&gt;1,N($O141)&gt;N($P141)),"⚠ Nº da parcela maior que o total",IF(AND($C141&lt;&gt;"",$B141&lt;&gt;"",$C141&lt;$B141),"⚠ Vencimento anterior à competência","OK"))))))))</f>
        <v/>
      </c>
    </row>
    <row r="142">
      <c r="A142" s="14" t="inlineStr">
        <is>
          <t>L0137</t>
        </is>
      </c>
      <c r="B142" s="36" t="n">
        <v>46116</v>
      </c>
      <c r="C142" s="36" t="n">
        <v>46146</v>
      </c>
      <c r="D142" s="36" t="n">
        <v>46148</v>
      </c>
      <c r="E142" s="14" t="inlineStr">
        <is>
          <t>Saída</t>
        </is>
      </c>
      <c r="F142" s="29" t="inlineStr">
        <is>
          <t>Custos Variáveis</t>
        </is>
      </c>
      <c r="G142" s="29" t="inlineStr">
        <is>
          <t>Mercadorias para Revenda</t>
        </is>
      </c>
      <c r="H142" s="29" t="inlineStr">
        <is>
          <t>Logística</t>
        </is>
      </c>
      <c r="I142" s="29" t="inlineStr">
        <is>
          <t>DISTRIBUIDORA CENTRAL DE ALIMENTOS S/A</t>
        </is>
      </c>
      <c r="J142" s="29" t="inlineStr">
        <is>
          <t>Compra de mercadorias para revenda — NF 5040</t>
        </is>
      </c>
      <c r="K142" s="14" t="inlineStr">
        <is>
          <t>NF 5040</t>
        </is>
      </c>
      <c r="L142" s="29" t="inlineStr">
        <is>
          <t>Itaú Unibanco — C/C 45678-9</t>
        </is>
      </c>
      <c r="M142" s="14" t="inlineStr">
        <is>
          <t>Boleto</t>
        </is>
      </c>
      <c r="N142" s="29" t="n"/>
      <c r="O142" s="13" t="n">
        <v>1</v>
      </c>
      <c r="P142" s="13" t="n">
        <v>1</v>
      </c>
      <c r="Q142" s="35" t="n">
        <v>61992.39</v>
      </c>
      <c r="R142" s="35" t="n">
        <v>61992.39</v>
      </c>
      <c r="S142" s="35" t="n"/>
      <c r="T142" s="35" t="n"/>
      <c r="U142" s="35" t="n"/>
      <c r="V142" s="18">
        <f>IF(COUNTA($B142:$R142)=0,"",ROUND(N($R142)+N($S142)+N($T142)-N($U142),2))</f>
        <v/>
      </c>
      <c r="W142" s="18">
        <f>IF(COUNTA($B142:$R142)=0,"",IF(OR($X142="Pago",$X142="Recebido",$X142="Cancelado"),0,ROUND(N($Q142)+N($S142)+N($T142)-N($U142)-N($R142),2)))</f>
        <v/>
      </c>
      <c r="X142" s="14" t="inlineStr">
        <is>
          <t>Pago</t>
        </is>
      </c>
      <c r="Y142" s="17">
        <f>IF(COUNTA($B142:$R142)=0,"",IF($X142="Cancelado","Cancelado",IF(OR($X142="Pago",$X142="Recebido"),$X142,IF(OR($X142="Parcial",N($R142)&gt;0),"Parcial",IF($C142="","Sem vencimento",IF($C142&lt;TODAY(),"Vencido",IF($C142=TODAY(),"Vence hoje",IF($C142&lt;=TODAY()+7,"Vence em 7 dias",IF($C142&lt;=TODAY()+30,"Vence em 30 dias","Futuro")))))))))</f>
        <v/>
      </c>
      <c r="Z142" s="24">
        <f>IF($B142="","",MONTH($B142))</f>
        <v/>
      </c>
      <c r="AA142" s="24">
        <f>IF($B142="","",YEAR($B142))</f>
        <v/>
      </c>
      <c r="AB142" s="24">
        <f>IF($B142="","",ISOWEEKNUM($B142))</f>
        <v/>
      </c>
      <c r="AC142" s="17">
        <f>IF($B142="","",CHOOSE(WEEKDAY($B142,2),"Segunda","Terça","Quarta","Quinta","Sexta","Sábado","Domingo"))</f>
        <v/>
      </c>
      <c r="AD142" s="17">
        <f>IF($B142="","",TEXT($B142,"MM/AAAA"))</f>
        <v/>
      </c>
      <c r="AE142" s="18">
        <f>IF(COUNTA($B142:$R142)=0,"",IF($X142="Cancelado",0,ROUND(N($Q142)+N($S142)+N($T142)-N($U142),2)))</f>
        <v/>
      </c>
      <c r="AF142" s="9">
        <f>IF($G142="","",IFERROR(INDEX(LINHAS_DRE_PLANO,MATCH($G142,SUBCATEGORIAS_PLANO,0)),"Não classificado"))</f>
        <v/>
      </c>
      <c r="AG142" s="17">
        <f>IF($G142="","",IFERROR(INDEX(TIPOS_FLUXO_PLANO,MATCH($G142,SUBCATEGORIAS_PLANO,0)),"Não classificado"))</f>
        <v/>
      </c>
      <c r="AH142" s="9">
        <f>IF($G142="","",IFERROR(INDEX(GRUPOS_PLANO,MATCH($G142,SUBCATEGORIAS_PLANO,0)),"Não classificado"))</f>
        <v/>
      </c>
      <c r="AI142" s="24">
        <f>IF(OR($C142="",$X142="Pago",$X142="Recebido",$X142="Cancelado"),"",$C142-TODAY())</f>
        <v/>
      </c>
      <c r="AJ142" s="24">
        <f>IF(OR($C142="",$X142="Pago",$X142="Recebido",$X142="Cancelado"),0,MAX(0,TODAY()-$C142))</f>
        <v/>
      </c>
      <c r="AK142" s="24">
        <f>IF($D142="","",$D142-$B142)</f>
        <v/>
      </c>
      <c r="AL142" s="18">
        <f>IF(OR($D142="",$B142=""),"",ROUND(N($R142)*($D142-$B142),2))</f>
        <v/>
      </c>
      <c r="AM142" s="17">
        <f>IF(AND($E142="Saída",$W142&gt;0,$C142&lt;&gt;""),$C142+ROW()/1000000,"")</f>
        <v/>
      </c>
      <c r="AN142" s="17">
        <f>IF(AND($E142="Entrada",$W142&gt;0,$C142&lt;&gt;""),$C142+ROW()/1000000,"")</f>
        <v/>
      </c>
      <c r="AO142" s="9">
        <f>IF(COUNTA($B142:$R142)=0,"",IF(AND($I142&lt;&gt;"",COUNTIF(CLIENTES_NOMES,$I142)+COUNTIF(CLIENTES_FANTASIA,$I142)+COUNTIF(FORNECEDORES_NOMES,$I142)+COUNTIF(FORNECEDORES_FANTASIA,$I142)=0),"⚠ Cliente/Fornecedor não cadastrado",IF(AND($G142&lt;&gt;"",COUNTIF(SUBCATEGORIAS_PLANO,$G142)=0),"⚠ Subcategoria fora do plano de contas",IF(OR($Q142="",N($Q142)=0),"⚠ Valor previsto não informado",IF(AND(OR($X142="Pago",$X142="Recebido"),$D142=""),"⚠ Status pago/recebido sem data",IF(AND($D142&lt;&gt;"",N($R142)=0),"⚠ Data de pagamento sem valor realizado",IF(AND(N($P142)&gt;1,N($O142)&gt;N($P142)),"⚠ Nº da parcela maior que o total",IF(AND($C142&lt;&gt;"",$B142&lt;&gt;"",$C142&lt;$B142),"⚠ Vencimento anterior à competência","OK"))))))))</f>
        <v/>
      </c>
    </row>
    <row r="143">
      <c r="A143" s="14" t="inlineStr">
        <is>
          <t>L0138</t>
        </is>
      </c>
      <c r="B143" s="36" t="n">
        <v>46117</v>
      </c>
      <c r="C143" s="36" t="n">
        <v>46122</v>
      </c>
      <c r="D143" s="36" t="n">
        <v>46125</v>
      </c>
      <c r="E143" s="14" t="inlineStr">
        <is>
          <t>Saída</t>
        </is>
      </c>
      <c r="F143" s="29" t="inlineStr">
        <is>
          <t>Despesas Administrativas</t>
        </is>
      </c>
      <c r="G143" s="29" t="inlineStr">
        <is>
          <t>Aluguel</t>
        </is>
      </c>
      <c r="H143" s="29" t="inlineStr">
        <is>
          <t>Administrativo</t>
        </is>
      </c>
      <c r="I143" s="29" t="inlineStr">
        <is>
          <t>IMÓVEIS E LOCAÇÕES PINHEIROS LTDA</t>
        </is>
      </c>
      <c r="J143" s="29" t="inlineStr">
        <is>
          <t>Aluguel do galpão — competência 04/2026</t>
        </is>
      </c>
      <c r="K143" s="14" t="inlineStr">
        <is>
          <t>DOC 8313</t>
        </is>
      </c>
      <c r="L143" s="29" t="inlineStr">
        <is>
          <t>Banco do Brasil — C/C 12345-6</t>
        </is>
      </c>
      <c r="M143" s="14" t="inlineStr">
        <is>
          <t>Boleto</t>
        </is>
      </c>
      <c r="N143" s="29" t="n"/>
      <c r="O143" s="13" t="n">
        <v>1</v>
      </c>
      <c r="P143" s="13" t="n">
        <v>1</v>
      </c>
      <c r="Q143" s="35" t="n">
        <v>7500</v>
      </c>
      <c r="R143" s="35" t="n">
        <v>7500</v>
      </c>
      <c r="S143" s="35" t="n"/>
      <c r="T143" s="35" t="n"/>
      <c r="U143" s="35" t="n"/>
      <c r="V143" s="18">
        <f>IF(COUNTA($B143:$R143)=0,"",ROUND(N($R143)+N($S143)+N($T143)-N($U143),2))</f>
        <v/>
      </c>
      <c r="W143" s="18">
        <f>IF(COUNTA($B143:$R143)=0,"",IF(OR($X143="Pago",$X143="Recebido",$X143="Cancelado"),0,ROUND(N($Q143)+N($S143)+N($T143)-N($U143)-N($R143),2)))</f>
        <v/>
      </c>
      <c r="X143" s="14" t="inlineStr">
        <is>
          <t>Pago</t>
        </is>
      </c>
      <c r="Y143" s="17">
        <f>IF(COUNTA($B143:$R143)=0,"",IF($X143="Cancelado","Cancelado",IF(OR($X143="Pago",$X143="Recebido"),$X143,IF(OR($X143="Parcial",N($R143)&gt;0),"Parcial",IF($C143="","Sem vencimento",IF($C143&lt;TODAY(),"Vencido",IF($C143=TODAY(),"Vence hoje",IF($C143&lt;=TODAY()+7,"Vence em 7 dias",IF($C143&lt;=TODAY()+30,"Vence em 30 dias","Futuro")))))))))</f>
        <v/>
      </c>
      <c r="Z143" s="24">
        <f>IF($B143="","",MONTH($B143))</f>
        <v/>
      </c>
      <c r="AA143" s="24">
        <f>IF($B143="","",YEAR($B143))</f>
        <v/>
      </c>
      <c r="AB143" s="24">
        <f>IF($B143="","",ISOWEEKNUM($B143))</f>
        <v/>
      </c>
      <c r="AC143" s="17">
        <f>IF($B143="","",CHOOSE(WEEKDAY($B143,2),"Segunda","Terça","Quarta","Quinta","Sexta","Sábado","Domingo"))</f>
        <v/>
      </c>
      <c r="AD143" s="17">
        <f>IF($B143="","",TEXT($B143,"MM/AAAA"))</f>
        <v/>
      </c>
      <c r="AE143" s="18">
        <f>IF(COUNTA($B143:$R143)=0,"",IF($X143="Cancelado",0,ROUND(N($Q143)+N($S143)+N($T143)-N($U143),2)))</f>
        <v/>
      </c>
      <c r="AF143" s="9">
        <f>IF($G143="","",IFERROR(INDEX(LINHAS_DRE_PLANO,MATCH($G143,SUBCATEGORIAS_PLANO,0)),"Não classificado"))</f>
        <v/>
      </c>
      <c r="AG143" s="17">
        <f>IF($G143="","",IFERROR(INDEX(TIPOS_FLUXO_PLANO,MATCH($G143,SUBCATEGORIAS_PLANO,0)),"Não classificado"))</f>
        <v/>
      </c>
      <c r="AH143" s="9">
        <f>IF($G143="","",IFERROR(INDEX(GRUPOS_PLANO,MATCH($G143,SUBCATEGORIAS_PLANO,0)),"Não classificado"))</f>
        <v/>
      </c>
      <c r="AI143" s="24">
        <f>IF(OR($C143="",$X143="Pago",$X143="Recebido",$X143="Cancelado"),"",$C143-TODAY())</f>
        <v/>
      </c>
      <c r="AJ143" s="24">
        <f>IF(OR($C143="",$X143="Pago",$X143="Recebido",$X143="Cancelado"),0,MAX(0,TODAY()-$C143))</f>
        <v/>
      </c>
      <c r="AK143" s="24">
        <f>IF($D143="","",$D143-$B143)</f>
        <v/>
      </c>
      <c r="AL143" s="18">
        <f>IF(OR($D143="",$B143=""),"",ROUND(N($R143)*($D143-$B143),2))</f>
        <v/>
      </c>
      <c r="AM143" s="17">
        <f>IF(AND($E143="Saída",$W143&gt;0,$C143&lt;&gt;""),$C143+ROW()/1000000,"")</f>
        <v/>
      </c>
      <c r="AN143" s="17">
        <f>IF(AND($E143="Entrada",$W143&gt;0,$C143&lt;&gt;""),$C143+ROW()/1000000,"")</f>
        <v/>
      </c>
      <c r="AO143" s="9">
        <f>IF(COUNTA($B143:$R143)=0,"",IF(AND($I143&lt;&gt;"",COUNTIF(CLIENTES_NOMES,$I143)+COUNTIF(CLIENTES_FANTASIA,$I143)+COUNTIF(FORNECEDORES_NOMES,$I143)+COUNTIF(FORNECEDORES_FANTASIA,$I143)=0),"⚠ Cliente/Fornecedor não cadastrado",IF(AND($G143&lt;&gt;"",COUNTIF(SUBCATEGORIAS_PLANO,$G143)=0),"⚠ Subcategoria fora do plano de contas",IF(OR($Q143="",N($Q143)=0),"⚠ Valor previsto não informado",IF(AND(OR($X143="Pago",$X143="Recebido"),$D143=""),"⚠ Status pago/recebido sem data",IF(AND($D143&lt;&gt;"",N($R143)=0),"⚠ Data de pagamento sem valor realizado",IF(AND(N($P143)&gt;1,N($O143)&gt;N($P143)),"⚠ Nº da parcela maior que o total",IF(AND($C143&lt;&gt;"",$B143&lt;&gt;"",$C143&lt;$B143),"⚠ Vencimento anterior à competência","OK"))))))))</f>
        <v/>
      </c>
    </row>
    <row r="144">
      <c r="A144" s="14" t="inlineStr">
        <is>
          <t>L0139</t>
        </is>
      </c>
      <c r="B144" s="36" t="n">
        <v>46117</v>
      </c>
      <c r="C144" s="36" t="n">
        <v>46122</v>
      </c>
      <c r="D144" s="36" t="n">
        <v>46123</v>
      </c>
      <c r="E144" s="14" t="inlineStr">
        <is>
          <t>Saída</t>
        </is>
      </c>
      <c r="F144" s="29" t="inlineStr">
        <is>
          <t>Despesas com Pessoal</t>
        </is>
      </c>
      <c r="G144" s="29" t="inlineStr">
        <is>
          <t>Salários</t>
        </is>
      </c>
      <c r="H144" s="29" t="inlineStr">
        <is>
          <t>Administrativo</t>
        </is>
      </c>
      <c r="I144" s="29" t="inlineStr">
        <is>
          <t>COLABORADORES — FOLHA DE PAGAMENTO</t>
        </is>
      </c>
      <c r="J144" s="29" t="inlineStr">
        <is>
          <t>Folha de pagamento — 04/2026</t>
        </is>
      </c>
      <c r="K144" s="14" t="inlineStr">
        <is>
          <t>DOC 8319</t>
        </is>
      </c>
      <c r="L144" s="29" t="inlineStr">
        <is>
          <t>Banco do Brasil — C/C 12345-6</t>
        </is>
      </c>
      <c r="M144" s="14" t="inlineStr">
        <is>
          <t>Transferência</t>
        </is>
      </c>
      <c r="N144" s="29" t="n"/>
      <c r="O144" s="13" t="n">
        <v>1</v>
      </c>
      <c r="P144" s="13" t="n">
        <v>1</v>
      </c>
      <c r="Q144" s="35" t="n">
        <v>16000</v>
      </c>
      <c r="R144" s="35" t="n">
        <v>16000</v>
      </c>
      <c r="S144" s="35" t="n"/>
      <c r="T144" s="35" t="n"/>
      <c r="U144" s="35" t="n"/>
      <c r="V144" s="18">
        <f>IF(COUNTA($B144:$R144)=0,"",ROUND(N($R144)+N($S144)+N($T144)-N($U144),2))</f>
        <v/>
      </c>
      <c r="W144" s="18">
        <f>IF(COUNTA($B144:$R144)=0,"",IF(OR($X144="Pago",$X144="Recebido",$X144="Cancelado"),0,ROUND(N($Q144)+N($S144)+N($T144)-N($U144)-N($R144),2)))</f>
        <v/>
      </c>
      <c r="X144" s="14" t="inlineStr">
        <is>
          <t>Pago</t>
        </is>
      </c>
      <c r="Y144" s="17">
        <f>IF(COUNTA($B144:$R144)=0,"",IF($X144="Cancelado","Cancelado",IF(OR($X144="Pago",$X144="Recebido"),$X144,IF(OR($X144="Parcial",N($R144)&gt;0),"Parcial",IF($C144="","Sem vencimento",IF($C144&lt;TODAY(),"Vencido",IF($C144=TODAY(),"Vence hoje",IF($C144&lt;=TODAY()+7,"Vence em 7 dias",IF($C144&lt;=TODAY()+30,"Vence em 30 dias","Futuro")))))))))</f>
        <v/>
      </c>
      <c r="Z144" s="24">
        <f>IF($B144="","",MONTH($B144))</f>
        <v/>
      </c>
      <c r="AA144" s="24">
        <f>IF($B144="","",YEAR($B144))</f>
        <v/>
      </c>
      <c r="AB144" s="24">
        <f>IF($B144="","",ISOWEEKNUM($B144))</f>
        <v/>
      </c>
      <c r="AC144" s="17">
        <f>IF($B144="","",CHOOSE(WEEKDAY($B144,2),"Segunda","Terça","Quarta","Quinta","Sexta","Sábado","Domingo"))</f>
        <v/>
      </c>
      <c r="AD144" s="17">
        <f>IF($B144="","",TEXT($B144,"MM/AAAA"))</f>
        <v/>
      </c>
      <c r="AE144" s="18">
        <f>IF(COUNTA($B144:$R144)=0,"",IF($X144="Cancelado",0,ROUND(N($Q144)+N($S144)+N($T144)-N($U144),2)))</f>
        <v/>
      </c>
      <c r="AF144" s="9">
        <f>IF($G144="","",IFERROR(INDEX(LINHAS_DRE_PLANO,MATCH($G144,SUBCATEGORIAS_PLANO,0)),"Não classificado"))</f>
        <v/>
      </c>
      <c r="AG144" s="17">
        <f>IF($G144="","",IFERROR(INDEX(TIPOS_FLUXO_PLANO,MATCH($G144,SUBCATEGORIAS_PLANO,0)),"Não classificado"))</f>
        <v/>
      </c>
      <c r="AH144" s="9">
        <f>IF($G144="","",IFERROR(INDEX(GRUPOS_PLANO,MATCH($G144,SUBCATEGORIAS_PLANO,0)),"Não classificado"))</f>
        <v/>
      </c>
      <c r="AI144" s="24">
        <f>IF(OR($C144="",$X144="Pago",$X144="Recebido",$X144="Cancelado"),"",$C144-TODAY())</f>
        <v/>
      </c>
      <c r="AJ144" s="24">
        <f>IF(OR($C144="",$X144="Pago",$X144="Recebido",$X144="Cancelado"),0,MAX(0,TODAY()-$C144))</f>
        <v/>
      </c>
      <c r="AK144" s="24">
        <f>IF($D144="","",$D144-$B144)</f>
        <v/>
      </c>
      <c r="AL144" s="18">
        <f>IF(OR($D144="",$B144=""),"",ROUND(N($R144)*($D144-$B144),2))</f>
        <v/>
      </c>
      <c r="AM144" s="17">
        <f>IF(AND($E144="Saída",$W144&gt;0,$C144&lt;&gt;""),$C144+ROW()/1000000,"")</f>
        <v/>
      </c>
      <c r="AN144" s="17">
        <f>IF(AND($E144="Entrada",$W144&gt;0,$C144&lt;&gt;""),$C144+ROW()/1000000,"")</f>
        <v/>
      </c>
      <c r="AO144" s="9">
        <f>IF(COUNTA($B144:$R144)=0,"",IF(AND($I144&lt;&gt;"",COUNTIF(CLIENTES_NOMES,$I144)+COUNTIF(CLIENTES_FANTASIA,$I144)+COUNTIF(FORNECEDORES_NOMES,$I144)+COUNTIF(FORNECEDORES_FANTASIA,$I144)=0),"⚠ Cliente/Fornecedor não cadastrado",IF(AND($G144&lt;&gt;"",COUNTIF(SUBCATEGORIAS_PLANO,$G144)=0),"⚠ Subcategoria fora do plano de contas",IF(OR($Q144="",N($Q144)=0),"⚠ Valor previsto não informado",IF(AND(OR($X144="Pago",$X144="Recebido"),$D144=""),"⚠ Status pago/recebido sem data",IF(AND($D144&lt;&gt;"",N($R144)=0),"⚠ Data de pagamento sem valor realizado",IF(AND(N($P144)&gt;1,N($O144)&gt;N($P144)),"⚠ Nº da parcela maior que o total",IF(AND($C144&lt;&gt;"",$B144&lt;&gt;"",$C144&lt;$B144),"⚠ Vencimento anterior à competência","OK"))))))))</f>
        <v/>
      </c>
    </row>
    <row r="145">
      <c r="A145" s="14" t="inlineStr">
        <is>
          <t>L0140</t>
        </is>
      </c>
      <c r="B145" s="36" t="n">
        <v>46117</v>
      </c>
      <c r="C145" s="36" t="n">
        <v>46122</v>
      </c>
      <c r="D145" s="36" t="n">
        <v>46124</v>
      </c>
      <c r="E145" s="14" t="inlineStr">
        <is>
          <t>Saída</t>
        </is>
      </c>
      <c r="F145" s="29" t="inlineStr">
        <is>
          <t>Despesas com Pessoal</t>
        </is>
      </c>
      <c r="G145" s="29" t="inlineStr">
        <is>
          <t>Benefícios (VT/VA/Plano de Saúde)</t>
        </is>
      </c>
      <c r="H145" s="29" t="inlineStr">
        <is>
          <t>Administrativo</t>
        </is>
      </c>
      <c r="I145" s="29" t="inlineStr">
        <is>
          <t>BENEFÍCIOS BRASIL ADMINISTRADORA LTDA</t>
        </is>
      </c>
      <c r="J145" s="29" t="inlineStr">
        <is>
          <t>Vale-transporte, alimentação e saúde</t>
        </is>
      </c>
      <c r="K145" s="14" t="inlineStr">
        <is>
          <t>DOC 8321</t>
        </is>
      </c>
      <c r="L145" s="29" t="inlineStr">
        <is>
          <t>Banco do Brasil — C/C 12345-6</t>
        </is>
      </c>
      <c r="M145" s="14" t="inlineStr">
        <is>
          <t>Transferência</t>
        </is>
      </c>
      <c r="N145" s="29" t="n"/>
      <c r="O145" s="13" t="n">
        <v>1</v>
      </c>
      <c r="P145" s="13" t="n">
        <v>1</v>
      </c>
      <c r="Q145" s="35" t="n">
        <v>1900</v>
      </c>
      <c r="R145" s="35" t="n">
        <v>1900</v>
      </c>
      <c r="S145" s="35" t="n"/>
      <c r="T145" s="35" t="n"/>
      <c r="U145" s="35" t="n"/>
      <c r="V145" s="18">
        <f>IF(COUNTA($B145:$R145)=0,"",ROUND(N($R145)+N($S145)+N($T145)-N($U145),2))</f>
        <v/>
      </c>
      <c r="W145" s="18">
        <f>IF(COUNTA($B145:$R145)=0,"",IF(OR($X145="Pago",$X145="Recebido",$X145="Cancelado"),0,ROUND(N($Q145)+N($S145)+N($T145)-N($U145)-N($R145),2)))</f>
        <v/>
      </c>
      <c r="X145" s="14" t="inlineStr">
        <is>
          <t>Pago</t>
        </is>
      </c>
      <c r="Y145" s="17">
        <f>IF(COUNTA($B145:$R145)=0,"",IF($X145="Cancelado","Cancelado",IF(OR($X145="Pago",$X145="Recebido"),$X145,IF(OR($X145="Parcial",N($R145)&gt;0),"Parcial",IF($C145="","Sem vencimento",IF($C145&lt;TODAY(),"Vencido",IF($C145=TODAY(),"Vence hoje",IF($C145&lt;=TODAY()+7,"Vence em 7 dias",IF($C145&lt;=TODAY()+30,"Vence em 30 dias","Futuro")))))))))</f>
        <v/>
      </c>
      <c r="Z145" s="24">
        <f>IF($B145="","",MONTH($B145))</f>
        <v/>
      </c>
      <c r="AA145" s="24">
        <f>IF($B145="","",YEAR($B145))</f>
        <v/>
      </c>
      <c r="AB145" s="24">
        <f>IF($B145="","",ISOWEEKNUM($B145))</f>
        <v/>
      </c>
      <c r="AC145" s="17">
        <f>IF($B145="","",CHOOSE(WEEKDAY($B145,2),"Segunda","Terça","Quarta","Quinta","Sexta","Sábado","Domingo"))</f>
        <v/>
      </c>
      <c r="AD145" s="17">
        <f>IF($B145="","",TEXT($B145,"MM/AAAA"))</f>
        <v/>
      </c>
      <c r="AE145" s="18">
        <f>IF(COUNTA($B145:$R145)=0,"",IF($X145="Cancelado",0,ROUND(N($Q145)+N($S145)+N($T145)-N($U145),2)))</f>
        <v/>
      </c>
      <c r="AF145" s="9">
        <f>IF($G145="","",IFERROR(INDEX(LINHAS_DRE_PLANO,MATCH($G145,SUBCATEGORIAS_PLANO,0)),"Não classificado"))</f>
        <v/>
      </c>
      <c r="AG145" s="17">
        <f>IF($G145="","",IFERROR(INDEX(TIPOS_FLUXO_PLANO,MATCH($G145,SUBCATEGORIAS_PLANO,0)),"Não classificado"))</f>
        <v/>
      </c>
      <c r="AH145" s="9">
        <f>IF($G145="","",IFERROR(INDEX(GRUPOS_PLANO,MATCH($G145,SUBCATEGORIAS_PLANO,0)),"Não classificado"))</f>
        <v/>
      </c>
      <c r="AI145" s="24">
        <f>IF(OR($C145="",$X145="Pago",$X145="Recebido",$X145="Cancelado"),"",$C145-TODAY())</f>
        <v/>
      </c>
      <c r="AJ145" s="24">
        <f>IF(OR($C145="",$X145="Pago",$X145="Recebido",$X145="Cancelado"),0,MAX(0,TODAY()-$C145))</f>
        <v/>
      </c>
      <c r="AK145" s="24">
        <f>IF($D145="","",$D145-$B145)</f>
        <v/>
      </c>
      <c r="AL145" s="18">
        <f>IF(OR($D145="",$B145=""),"",ROUND(N($R145)*($D145-$B145),2))</f>
        <v/>
      </c>
      <c r="AM145" s="17">
        <f>IF(AND($E145="Saída",$W145&gt;0,$C145&lt;&gt;""),$C145+ROW()/1000000,"")</f>
        <v/>
      </c>
      <c r="AN145" s="17">
        <f>IF(AND($E145="Entrada",$W145&gt;0,$C145&lt;&gt;""),$C145+ROW()/1000000,"")</f>
        <v/>
      </c>
      <c r="AO145" s="9">
        <f>IF(COUNTA($B145:$R145)=0,"",IF(AND($I145&lt;&gt;"",COUNTIF(CLIENTES_NOMES,$I145)+COUNTIF(CLIENTES_FANTASIA,$I145)+COUNTIF(FORNECEDORES_NOMES,$I145)+COUNTIF(FORNECEDORES_FANTASIA,$I145)=0),"⚠ Cliente/Fornecedor não cadastrado",IF(AND($G145&lt;&gt;"",COUNTIF(SUBCATEGORIAS_PLANO,$G145)=0),"⚠ Subcategoria fora do plano de contas",IF(OR($Q145="",N($Q145)=0),"⚠ Valor previsto não informado",IF(AND(OR($X145="Pago",$X145="Recebido"),$D145=""),"⚠ Status pago/recebido sem data",IF(AND($D145&lt;&gt;"",N($R145)=0),"⚠ Data de pagamento sem valor realizado",IF(AND(N($P145)&gt;1,N($O145)&gt;N($P145)),"⚠ Nº da parcela maior que o total",IF(AND($C145&lt;&gt;"",$B145&lt;&gt;"",$C145&lt;$B145),"⚠ Vencimento anterior à competência","OK"))))))))</f>
        <v/>
      </c>
    </row>
    <row r="146">
      <c r="A146" s="14" t="inlineStr">
        <is>
          <t>L0141</t>
        </is>
      </c>
      <c r="B146" s="36" t="n">
        <v>46117</v>
      </c>
      <c r="C146" s="36" t="n">
        <v>46122</v>
      </c>
      <c r="D146" s="36" t="n">
        <v>46124</v>
      </c>
      <c r="E146" s="14" t="inlineStr">
        <is>
          <t>Saída</t>
        </is>
      </c>
      <c r="F146" s="29" t="inlineStr">
        <is>
          <t>Despesas com Pessoal</t>
        </is>
      </c>
      <c r="G146" s="29" t="inlineStr">
        <is>
          <t>Pró-labore</t>
        </is>
      </c>
      <c r="H146" s="29" t="inlineStr">
        <is>
          <t>Diretoria</t>
        </is>
      </c>
      <c r="I146" s="29" t="inlineStr">
        <is>
          <t>SÓCIOS — PRÓ-LABORE E DISTRIBUIÇÕES</t>
        </is>
      </c>
      <c r="J146" s="29" t="inlineStr">
        <is>
          <t>Pró-labore dos sócios — 04/2026</t>
        </is>
      </c>
      <c r="K146" s="14" t="inlineStr">
        <is>
          <t>DOC 8322</t>
        </is>
      </c>
      <c r="L146" s="29" t="inlineStr">
        <is>
          <t>Banco do Brasil — C/C 12345-6</t>
        </is>
      </c>
      <c r="M146" s="14" t="inlineStr">
        <is>
          <t>Transferência</t>
        </is>
      </c>
      <c r="N146" s="29" t="n"/>
      <c r="O146" s="13" t="n">
        <v>1</v>
      </c>
      <c r="P146" s="13" t="n">
        <v>1</v>
      </c>
      <c r="Q146" s="35" t="n">
        <v>9500</v>
      </c>
      <c r="R146" s="35" t="n">
        <v>9500</v>
      </c>
      <c r="S146" s="35" t="n"/>
      <c r="T146" s="35" t="n"/>
      <c r="U146" s="35" t="n"/>
      <c r="V146" s="18">
        <f>IF(COUNTA($B146:$R146)=0,"",ROUND(N($R146)+N($S146)+N($T146)-N($U146),2))</f>
        <v/>
      </c>
      <c r="W146" s="18">
        <f>IF(COUNTA($B146:$R146)=0,"",IF(OR($X146="Pago",$X146="Recebido",$X146="Cancelado"),0,ROUND(N($Q146)+N($S146)+N($T146)-N($U146)-N($R146),2)))</f>
        <v/>
      </c>
      <c r="X146" s="14" t="inlineStr">
        <is>
          <t>Pago</t>
        </is>
      </c>
      <c r="Y146" s="17">
        <f>IF(COUNTA($B146:$R146)=0,"",IF($X146="Cancelado","Cancelado",IF(OR($X146="Pago",$X146="Recebido"),$X146,IF(OR($X146="Parcial",N($R146)&gt;0),"Parcial",IF($C146="","Sem vencimento",IF($C146&lt;TODAY(),"Vencido",IF($C146=TODAY(),"Vence hoje",IF($C146&lt;=TODAY()+7,"Vence em 7 dias",IF($C146&lt;=TODAY()+30,"Vence em 30 dias","Futuro")))))))))</f>
        <v/>
      </c>
      <c r="Z146" s="24">
        <f>IF($B146="","",MONTH($B146))</f>
        <v/>
      </c>
      <c r="AA146" s="24">
        <f>IF($B146="","",YEAR($B146))</f>
        <v/>
      </c>
      <c r="AB146" s="24">
        <f>IF($B146="","",ISOWEEKNUM($B146))</f>
        <v/>
      </c>
      <c r="AC146" s="17">
        <f>IF($B146="","",CHOOSE(WEEKDAY($B146,2),"Segunda","Terça","Quarta","Quinta","Sexta","Sábado","Domingo"))</f>
        <v/>
      </c>
      <c r="AD146" s="17">
        <f>IF($B146="","",TEXT($B146,"MM/AAAA"))</f>
        <v/>
      </c>
      <c r="AE146" s="18">
        <f>IF(COUNTA($B146:$R146)=0,"",IF($X146="Cancelado",0,ROUND(N($Q146)+N($S146)+N($T146)-N($U146),2)))</f>
        <v/>
      </c>
      <c r="AF146" s="9">
        <f>IF($G146="","",IFERROR(INDEX(LINHAS_DRE_PLANO,MATCH($G146,SUBCATEGORIAS_PLANO,0)),"Não classificado"))</f>
        <v/>
      </c>
      <c r="AG146" s="17">
        <f>IF($G146="","",IFERROR(INDEX(TIPOS_FLUXO_PLANO,MATCH($G146,SUBCATEGORIAS_PLANO,0)),"Não classificado"))</f>
        <v/>
      </c>
      <c r="AH146" s="9">
        <f>IF($G146="","",IFERROR(INDEX(GRUPOS_PLANO,MATCH($G146,SUBCATEGORIAS_PLANO,0)),"Não classificado"))</f>
        <v/>
      </c>
      <c r="AI146" s="24">
        <f>IF(OR($C146="",$X146="Pago",$X146="Recebido",$X146="Cancelado"),"",$C146-TODAY())</f>
        <v/>
      </c>
      <c r="AJ146" s="24">
        <f>IF(OR($C146="",$X146="Pago",$X146="Recebido",$X146="Cancelado"),0,MAX(0,TODAY()-$C146))</f>
        <v/>
      </c>
      <c r="AK146" s="24">
        <f>IF($D146="","",$D146-$B146)</f>
        <v/>
      </c>
      <c r="AL146" s="18">
        <f>IF(OR($D146="",$B146=""),"",ROUND(N($R146)*($D146-$B146),2))</f>
        <v/>
      </c>
      <c r="AM146" s="17">
        <f>IF(AND($E146="Saída",$W146&gt;0,$C146&lt;&gt;""),$C146+ROW()/1000000,"")</f>
        <v/>
      </c>
      <c r="AN146" s="17">
        <f>IF(AND($E146="Entrada",$W146&gt;0,$C146&lt;&gt;""),$C146+ROW()/1000000,"")</f>
        <v/>
      </c>
      <c r="AO146" s="9">
        <f>IF(COUNTA($B146:$R146)=0,"",IF(AND($I146&lt;&gt;"",COUNTIF(CLIENTES_NOMES,$I146)+COUNTIF(CLIENTES_FANTASIA,$I146)+COUNTIF(FORNECEDORES_NOMES,$I146)+COUNTIF(FORNECEDORES_FANTASIA,$I146)=0),"⚠ Cliente/Fornecedor não cadastrado",IF(AND($G146&lt;&gt;"",COUNTIF(SUBCATEGORIAS_PLANO,$G146)=0),"⚠ Subcategoria fora do plano de contas",IF(OR($Q146="",N($Q146)=0),"⚠ Valor previsto não informado",IF(AND(OR($X146="Pago",$X146="Recebido"),$D146=""),"⚠ Status pago/recebido sem data",IF(AND($D146&lt;&gt;"",N($R146)=0),"⚠ Data de pagamento sem valor realizado",IF(AND(N($P146)&gt;1,N($O146)&gt;N($P146)),"⚠ Nº da parcela maior que o total",IF(AND($C146&lt;&gt;"",$B146&lt;&gt;"",$C146&lt;$B146),"⚠ Vencimento anterior à competência","OK"))))))))</f>
        <v/>
      </c>
    </row>
    <row r="147">
      <c r="A147" s="14" t="inlineStr">
        <is>
          <t>L0142</t>
        </is>
      </c>
      <c r="B147" s="36" t="n">
        <v>46119</v>
      </c>
      <c r="C147" s="36" t="n">
        <v>46126</v>
      </c>
      <c r="D147" s="36" t="n">
        <v>46128</v>
      </c>
      <c r="E147" s="14" t="inlineStr">
        <is>
          <t>Saída</t>
        </is>
      </c>
      <c r="F147" s="29" t="inlineStr">
        <is>
          <t>Despesas com Pessoal</t>
        </is>
      </c>
      <c r="G147" s="29" t="inlineStr">
        <is>
          <t>Encargos Sociais (FGTS/INSS)</t>
        </is>
      </c>
      <c r="H147" s="29" t="inlineStr">
        <is>
          <t>Administrativo</t>
        </is>
      </c>
      <c r="I147" s="29" t="inlineStr">
        <is>
          <t>RECEITA FEDERAL DO BRASIL</t>
        </is>
      </c>
      <c r="J147" s="29" t="inlineStr">
        <is>
          <t>FGTS e INSS — competência 04/2026</t>
        </is>
      </c>
      <c r="K147" s="14" t="inlineStr">
        <is>
          <t>DOC 8320</t>
        </is>
      </c>
      <c r="L147" s="29" t="inlineStr">
        <is>
          <t>Itaú Unibanco — C/C 45678-9</t>
        </is>
      </c>
      <c r="M147" s="14" t="inlineStr">
        <is>
          <t>Transferência</t>
        </is>
      </c>
      <c r="N147" s="29" t="n"/>
      <c r="O147" s="13" t="n">
        <v>1</v>
      </c>
      <c r="P147" s="13" t="n">
        <v>1</v>
      </c>
      <c r="Q147" s="35" t="n">
        <v>5600</v>
      </c>
      <c r="R147" s="35" t="n">
        <v>5600</v>
      </c>
      <c r="S147" s="35" t="n"/>
      <c r="T147" s="35" t="n"/>
      <c r="U147" s="35" t="n"/>
      <c r="V147" s="18">
        <f>IF(COUNTA($B147:$R147)=0,"",ROUND(N($R147)+N($S147)+N($T147)-N($U147),2))</f>
        <v/>
      </c>
      <c r="W147" s="18">
        <f>IF(COUNTA($B147:$R147)=0,"",IF(OR($X147="Pago",$X147="Recebido",$X147="Cancelado"),0,ROUND(N($Q147)+N($S147)+N($T147)-N($U147)-N($R147),2)))</f>
        <v/>
      </c>
      <c r="X147" s="14" t="inlineStr">
        <is>
          <t>Pago</t>
        </is>
      </c>
      <c r="Y147" s="17">
        <f>IF(COUNTA($B147:$R147)=0,"",IF($X147="Cancelado","Cancelado",IF(OR($X147="Pago",$X147="Recebido"),$X147,IF(OR($X147="Parcial",N($R147)&gt;0),"Parcial",IF($C147="","Sem vencimento",IF($C147&lt;TODAY(),"Vencido",IF($C147=TODAY(),"Vence hoje",IF($C147&lt;=TODAY()+7,"Vence em 7 dias",IF($C147&lt;=TODAY()+30,"Vence em 30 dias","Futuro")))))))))</f>
        <v/>
      </c>
      <c r="Z147" s="24">
        <f>IF($B147="","",MONTH($B147))</f>
        <v/>
      </c>
      <c r="AA147" s="24">
        <f>IF($B147="","",YEAR($B147))</f>
        <v/>
      </c>
      <c r="AB147" s="24">
        <f>IF($B147="","",ISOWEEKNUM($B147))</f>
        <v/>
      </c>
      <c r="AC147" s="17">
        <f>IF($B147="","",CHOOSE(WEEKDAY($B147,2),"Segunda","Terça","Quarta","Quinta","Sexta","Sábado","Domingo"))</f>
        <v/>
      </c>
      <c r="AD147" s="17">
        <f>IF($B147="","",TEXT($B147,"MM/AAAA"))</f>
        <v/>
      </c>
      <c r="AE147" s="18">
        <f>IF(COUNTA($B147:$R147)=0,"",IF($X147="Cancelado",0,ROUND(N($Q147)+N($S147)+N($T147)-N($U147),2)))</f>
        <v/>
      </c>
      <c r="AF147" s="9">
        <f>IF($G147="","",IFERROR(INDEX(LINHAS_DRE_PLANO,MATCH($G147,SUBCATEGORIAS_PLANO,0)),"Não classificado"))</f>
        <v/>
      </c>
      <c r="AG147" s="17">
        <f>IF($G147="","",IFERROR(INDEX(TIPOS_FLUXO_PLANO,MATCH($G147,SUBCATEGORIAS_PLANO,0)),"Não classificado"))</f>
        <v/>
      </c>
      <c r="AH147" s="9">
        <f>IF($G147="","",IFERROR(INDEX(GRUPOS_PLANO,MATCH($G147,SUBCATEGORIAS_PLANO,0)),"Não classificado"))</f>
        <v/>
      </c>
      <c r="AI147" s="24">
        <f>IF(OR($C147="",$X147="Pago",$X147="Recebido",$X147="Cancelado"),"",$C147-TODAY())</f>
        <v/>
      </c>
      <c r="AJ147" s="24">
        <f>IF(OR($C147="",$X147="Pago",$X147="Recebido",$X147="Cancelado"),0,MAX(0,TODAY()-$C147))</f>
        <v/>
      </c>
      <c r="AK147" s="24">
        <f>IF($D147="","",$D147-$B147)</f>
        <v/>
      </c>
      <c r="AL147" s="18">
        <f>IF(OR($D147="",$B147=""),"",ROUND(N($R147)*($D147-$B147),2))</f>
        <v/>
      </c>
      <c r="AM147" s="17">
        <f>IF(AND($E147="Saída",$W147&gt;0,$C147&lt;&gt;""),$C147+ROW()/1000000,"")</f>
        <v/>
      </c>
      <c r="AN147" s="17">
        <f>IF(AND($E147="Entrada",$W147&gt;0,$C147&lt;&gt;""),$C147+ROW()/1000000,"")</f>
        <v/>
      </c>
      <c r="AO147" s="9">
        <f>IF(COUNTA($B147:$R147)=0,"",IF(AND($I147&lt;&gt;"",COUNTIF(CLIENTES_NOMES,$I147)+COUNTIF(CLIENTES_FANTASIA,$I147)+COUNTIF(FORNECEDORES_NOMES,$I147)+COUNTIF(FORNECEDORES_FANTASIA,$I147)=0),"⚠ Cliente/Fornecedor não cadastrado",IF(AND($G147&lt;&gt;"",COUNTIF(SUBCATEGORIAS_PLANO,$G147)=0),"⚠ Subcategoria fora do plano de contas",IF(OR($Q147="",N($Q147)=0),"⚠ Valor previsto não informado",IF(AND(OR($X147="Pago",$X147="Recebido"),$D147=""),"⚠ Status pago/recebido sem data",IF(AND($D147&lt;&gt;"",N($R147)=0),"⚠ Data de pagamento sem valor realizado",IF(AND(N($P147)&gt;1,N($O147)&gt;N($P147)),"⚠ Nº da parcela maior que o total",IF(AND($C147&lt;&gt;"",$B147&lt;&gt;"",$C147&lt;$B147),"⚠ Vencimento anterior à competência","OK"))))))))</f>
        <v/>
      </c>
    </row>
    <row r="148">
      <c r="A148" s="14" t="inlineStr">
        <is>
          <t>L0143</t>
        </is>
      </c>
      <c r="B148" s="36" t="n">
        <v>46120</v>
      </c>
      <c r="C148" s="36" t="n">
        <v>46140</v>
      </c>
      <c r="D148" s="36" t="n">
        <v>46140</v>
      </c>
      <c r="E148" s="14" t="inlineStr">
        <is>
          <t>Saída</t>
        </is>
      </c>
      <c r="F148" s="29" t="inlineStr">
        <is>
          <t>Despesas Administrativas</t>
        </is>
      </c>
      <c r="G148" s="29" t="inlineStr">
        <is>
          <t>Sistemas e Softwares</t>
        </is>
      </c>
      <c r="H148" s="29" t="inlineStr">
        <is>
          <t>Administrativo</t>
        </is>
      </c>
      <c r="I148" s="29" t="inlineStr">
        <is>
          <t>TECNOLOGIA E SISTEMAS ABC LTDA</t>
        </is>
      </c>
      <c r="J148" s="29" t="inlineStr">
        <is>
          <t>Assinatura ERP, NF-e e BI</t>
        </is>
      </c>
      <c r="K148" s="14" t="inlineStr">
        <is>
          <t>DOC 8318</t>
        </is>
      </c>
      <c r="L148" s="29" t="inlineStr">
        <is>
          <t>Nubank PJ — C/C 9876543-2</t>
        </is>
      </c>
      <c r="M148" s="14" t="inlineStr">
        <is>
          <t>Cartão de crédito</t>
        </is>
      </c>
      <c r="N148" s="29" t="inlineStr">
        <is>
          <t>Cartão Mastercard Nubank PJ</t>
        </is>
      </c>
      <c r="O148" s="13" t="n">
        <v>1</v>
      </c>
      <c r="P148" s="13" t="n">
        <v>1</v>
      </c>
      <c r="Q148" s="35" t="n">
        <v>850</v>
      </c>
      <c r="R148" s="35" t="n">
        <v>850</v>
      </c>
      <c r="S148" s="35" t="n"/>
      <c r="T148" s="35" t="n"/>
      <c r="U148" s="35" t="n"/>
      <c r="V148" s="18">
        <f>IF(COUNTA($B148:$R148)=0,"",ROUND(N($R148)+N($S148)+N($T148)-N($U148),2))</f>
        <v/>
      </c>
      <c r="W148" s="18">
        <f>IF(COUNTA($B148:$R148)=0,"",IF(OR($X148="Pago",$X148="Recebido",$X148="Cancelado"),0,ROUND(N($Q148)+N($S148)+N($T148)-N($U148)-N($R148),2)))</f>
        <v/>
      </c>
      <c r="X148" s="14" t="inlineStr">
        <is>
          <t>Pago</t>
        </is>
      </c>
      <c r="Y148" s="17">
        <f>IF(COUNTA($B148:$R148)=0,"",IF($X148="Cancelado","Cancelado",IF(OR($X148="Pago",$X148="Recebido"),$X148,IF(OR($X148="Parcial",N($R148)&gt;0),"Parcial",IF($C148="","Sem vencimento",IF($C148&lt;TODAY(),"Vencido",IF($C148=TODAY(),"Vence hoje",IF($C148&lt;=TODAY()+7,"Vence em 7 dias",IF($C148&lt;=TODAY()+30,"Vence em 30 dias","Futuro")))))))))</f>
        <v/>
      </c>
      <c r="Z148" s="24">
        <f>IF($B148="","",MONTH($B148))</f>
        <v/>
      </c>
      <c r="AA148" s="24">
        <f>IF($B148="","",YEAR($B148))</f>
        <v/>
      </c>
      <c r="AB148" s="24">
        <f>IF($B148="","",ISOWEEKNUM($B148))</f>
        <v/>
      </c>
      <c r="AC148" s="17">
        <f>IF($B148="","",CHOOSE(WEEKDAY($B148,2),"Segunda","Terça","Quarta","Quinta","Sexta","Sábado","Domingo"))</f>
        <v/>
      </c>
      <c r="AD148" s="17">
        <f>IF($B148="","",TEXT($B148,"MM/AAAA"))</f>
        <v/>
      </c>
      <c r="AE148" s="18">
        <f>IF(COUNTA($B148:$R148)=0,"",IF($X148="Cancelado",0,ROUND(N($Q148)+N($S148)+N($T148)-N($U148),2)))</f>
        <v/>
      </c>
      <c r="AF148" s="9">
        <f>IF($G148="","",IFERROR(INDEX(LINHAS_DRE_PLANO,MATCH($G148,SUBCATEGORIAS_PLANO,0)),"Não classificado"))</f>
        <v/>
      </c>
      <c r="AG148" s="17">
        <f>IF($G148="","",IFERROR(INDEX(TIPOS_FLUXO_PLANO,MATCH($G148,SUBCATEGORIAS_PLANO,0)),"Não classificado"))</f>
        <v/>
      </c>
      <c r="AH148" s="9">
        <f>IF($G148="","",IFERROR(INDEX(GRUPOS_PLANO,MATCH($G148,SUBCATEGORIAS_PLANO,0)),"Não classificado"))</f>
        <v/>
      </c>
      <c r="AI148" s="24">
        <f>IF(OR($C148="",$X148="Pago",$X148="Recebido",$X148="Cancelado"),"",$C148-TODAY())</f>
        <v/>
      </c>
      <c r="AJ148" s="24">
        <f>IF(OR($C148="",$X148="Pago",$X148="Recebido",$X148="Cancelado"),0,MAX(0,TODAY()-$C148))</f>
        <v/>
      </c>
      <c r="AK148" s="24">
        <f>IF($D148="","",$D148-$B148)</f>
        <v/>
      </c>
      <c r="AL148" s="18">
        <f>IF(OR($D148="",$B148=""),"",ROUND(N($R148)*($D148-$B148),2))</f>
        <v/>
      </c>
      <c r="AM148" s="17">
        <f>IF(AND($E148="Saída",$W148&gt;0,$C148&lt;&gt;""),$C148+ROW()/1000000,"")</f>
        <v/>
      </c>
      <c r="AN148" s="17">
        <f>IF(AND($E148="Entrada",$W148&gt;0,$C148&lt;&gt;""),$C148+ROW()/1000000,"")</f>
        <v/>
      </c>
      <c r="AO148" s="9">
        <f>IF(COUNTA($B148:$R148)=0,"",IF(AND($I148&lt;&gt;"",COUNTIF(CLIENTES_NOMES,$I148)+COUNTIF(CLIENTES_FANTASIA,$I148)+COUNTIF(FORNECEDORES_NOMES,$I148)+COUNTIF(FORNECEDORES_FANTASIA,$I148)=0),"⚠ Cliente/Fornecedor não cadastrado",IF(AND($G148&lt;&gt;"",COUNTIF(SUBCATEGORIAS_PLANO,$G148)=0),"⚠ Subcategoria fora do plano de contas",IF(OR($Q148="",N($Q148)=0),"⚠ Valor previsto não informado",IF(AND(OR($X148="Pago",$X148="Recebido"),$D148=""),"⚠ Status pago/recebido sem data",IF(AND($D148&lt;&gt;"",N($R148)=0),"⚠ Data de pagamento sem valor realizado",IF(AND(N($P148)&gt;1,N($O148)&gt;N($P148)),"⚠ Nº da parcela maior que o total",IF(AND($C148&lt;&gt;"",$B148&lt;&gt;"",$C148&lt;$B148),"⚠ Vencimento anterior à competência","OK"))))))))</f>
        <v/>
      </c>
    </row>
    <row r="149">
      <c r="A149" s="14" t="inlineStr">
        <is>
          <t>L0144</t>
        </is>
      </c>
      <c r="B149" s="36" t="n">
        <v>46121</v>
      </c>
      <c r="C149" s="36" t="n">
        <v>46136</v>
      </c>
      <c r="D149" s="36" t="n">
        <v>46137</v>
      </c>
      <c r="E149" s="14" t="inlineStr">
        <is>
          <t>Saída</t>
        </is>
      </c>
      <c r="F149" s="29" t="inlineStr">
        <is>
          <t>Custos Variáveis</t>
        </is>
      </c>
      <c r="G149" s="29" t="inlineStr">
        <is>
          <t>Matéria-prima</t>
        </is>
      </c>
      <c r="H149" s="29" t="inlineStr">
        <is>
          <t>Produção</t>
        </is>
      </c>
      <c r="I149" s="29" t="inlineStr">
        <is>
          <t>DISTRIBUIDORA CENTRAL DE ALIMENTOS S/A</t>
        </is>
      </c>
      <c r="J149" s="29" t="inlineStr">
        <is>
          <t>Insumos e matéria-prima para beneficiamento</t>
        </is>
      </c>
      <c r="K149" s="14" t="inlineStr">
        <is>
          <t>NF 5904</t>
        </is>
      </c>
      <c r="L149" s="29" t="inlineStr">
        <is>
          <t>Banco do Brasil — C/C 12345-6</t>
        </is>
      </c>
      <c r="M149" s="14" t="inlineStr">
        <is>
          <t>Boleto</t>
        </is>
      </c>
      <c r="N149" s="29" t="n"/>
      <c r="O149" s="13" t="n">
        <v>1</v>
      </c>
      <c r="P149" s="13" t="n">
        <v>1</v>
      </c>
      <c r="Q149" s="35" t="n">
        <v>8659.450000000001</v>
      </c>
      <c r="R149" s="35" t="n">
        <v>8659.450000000001</v>
      </c>
      <c r="S149" s="35" t="n"/>
      <c r="T149" s="35" t="n"/>
      <c r="U149" s="35" t="n"/>
      <c r="V149" s="18">
        <f>IF(COUNTA($B149:$R149)=0,"",ROUND(N($R149)+N($S149)+N($T149)-N($U149),2))</f>
        <v/>
      </c>
      <c r="W149" s="18">
        <f>IF(COUNTA($B149:$R149)=0,"",IF(OR($X149="Pago",$X149="Recebido",$X149="Cancelado"),0,ROUND(N($Q149)+N($S149)+N($T149)-N($U149)-N($R149),2)))</f>
        <v/>
      </c>
      <c r="X149" s="14" t="inlineStr">
        <is>
          <t>Pago</t>
        </is>
      </c>
      <c r="Y149" s="17">
        <f>IF(COUNTA($B149:$R149)=0,"",IF($X149="Cancelado","Cancelado",IF(OR($X149="Pago",$X149="Recebido"),$X149,IF(OR($X149="Parcial",N($R149)&gt;0),"Parcial",IF($C149="","Sem vencimento",IF($C149&lt;TODAY(),"Vencido",IF($C149=TODAY(),"Vence hoje",IF($C149&lt;=TODAY()+7,"Vence em 7 dias",IF($C149&lt;=TODAY()+30,"Vence em 30 dias","Futuro")))))))))</f>
        <v/>
      </c>
      <c r="Z149" s="24">
        <f>IF($B149="","",MONTH($B149))</f>
        <v/>
      </c>
      <c r="AA149" s="24">
        <f>IF($B149="","",YEAR($B149))</f>
        <v/>
      </c>
      <c r="AB149" s="24">
        <f>IF($B149="","",ISOWEEKNUM($B149))</f>
        <v/>
      </c>
      <c r="AC149" s="17">
        <f>IF($B149="","",CHOOSE(WEEKDAY($B149,2),"Segunda","Terça","Quarta","Quinta","Sexta","Sábado","Domingo"))</f>
        <v/>
      </c>
      <c r="AD149" s="17">
        <f>IF($B149="","",TEXT($B149,"MM/AAAA"))</f>
        <v/>
      </c>
      <c r="AE149" s="18">
        <f>IF(COUNTA($B149:$R149)=0,"",IF($X149="Cancelado",0,ROUND(N($Q149)+N($S149)+N($T149)-N($U149),2)))</f>
        <v/>
      </c>
      <c r="AF149" s="9">
        <f>IF($G149="","",IFERROR(INDEX(LINHAS_DRE_PLANO,MATCH($G149,SUBCATEGORIAS_PLANO,0)),"Não classificado"))</f>
        <v/>
      </c>
      <c r="AG149" s="17">
        <f>IF($G149="","",IFERROR(INDEX(TIPOS_FLUXO_PLANO,MATCH($G149,SUBCATEGORIAS_PLANO,0)),"Não classificado"))</f>
        <v/>
      </c>
      <c r="AH149" s="9">
        <f>IF($G149="","",IFERROR(INDEX(GRUPOS_PLANO,MATCH($G149,SUBCATEGORIAS_PLANO,0)),"Não classificado"))</f>
        <v/>
      </c>
      <c r="AI149" s="24">
        <f>IF(OR($C149="",$X149="Pago",$X149="Recebido",$X149="Cancelado"),"",$C149-TODAY())</f>
        <v/>
      </c>
      <c r="AJ149" s="24">
        <f>IF(OR($C149="",$X149="Pago",$X149="Recebido",$X149="Cancelado"),0,MAX(0,TODAY()-$C149))</f>
        <v/>
      </c>
      <c r="AK149" s="24">
        <f>IF($D149="","",$D149-$B149)</f>
        <v/>
      </c>
      <c r="AL149" s="18">
        <f>IF(OR($D149="",$B149=""),"",ROUND(N($R149)*($D149-$B149),2))</f>
        <v/>
      </c>
      <c r="AM149" s="17">
        <f>IF(AND($E149="Saída",$W149&gt;0,$C149&lt;&gt;""),$C149+ROW()/1000000,"")</f>
        <v/>
      </c>
      <c r="AN149" s="17">
        <f>IF(AND($E149="Entrada",$W149&gt;0,$C149&lt;&gt;""),$C149+ROW()/1000000,"")</f>
        <v/>
      </c>
      <c r="AO149" s="9">
        <f>IF(COUNTA($B149:$R149)=0,"",IF(AND($I149&lt;&gt;"",COUNTIF(CLIENTES_NOMES,$I149)+COUNTIF(CLIENTES_FANTASIA,$I149)+COUNTIF(FORNECEDORES_NOMES,$I149)+COUNTIF(FORNECEDORES_FANTASIA,$I149)=0),"⚠ Cliente/Fornecedor não cadastrado",IF(AND($G149&lt;&gt;"",COUNTIF(SUBCATEGORIAS_PLANO,$G149)=0),"⚠ Subcategoria fora do plano de contas",IF(OR($Q149="",N($Q149)=0),"⚠ Valor previsto não informado",IF(AND(OR($X149="Pago",$X149="Recebido"),$D149=""),"⚠ Status pago/recebido sem data",IF(AND($D149&lt;&gt;"",N($R149)=0),"⚠ Data de pagamento sem valor realizado",IF(AND(N($P149)&gt;1,N($O149)&gt;N($P149)),"⚠ Nº da parcela maior que o total",IF(AND($C149&lt;&gt;"",$B149&lt;&gt;"",$C149&lt;$B149),"⚠ Vencimento anterior à competência","OK"))))))))</f>
        <v/>
      </c>
    </row>
    <row r="150">
      <c r="A150" s="14" t="inlineStr">
        <is>
          <t>L0145</t>
        </is>
      </c>
      <c r="B150" s="36" t="n">
        <v>46122</v>
      </c>
      <c r="C150" s="36" t="n">
        <v>46140</v>
      </c>
      <c r="D150" s="36" t="n">
        <v>46140</v>
      </c>
      <c r="E150" s="14" t="inlineStr">
        <is>
          <t>Saída</t>
        </is>
      </c>
      <c r="F150" s="29" t="inlineStr">
        <is>
          <t>Despesas Administrativas</t>
        </is>
      </c>
      <c r="G150" s="29" t="inlineStr">
        <is>
          <t>Internet e Telefonia</t>
        </is>
      </c>
      <c r="H150" s="29" t="inlineStr">
        <is>
          <t>Administrativo</t>
        </is>
      </c>
      <c r="I150" s="29" t="inlineStr">
        <is>
          <t>TELEFÔNICA BRASIL S.A. (VIVO EMPRESAS)</t>
        </is>
      </c>
      <c r="J150" s="29" t="inlineStr">
        <is>
          <t>Internet, telefonia e link dedicado</t>
        </is>
      </c>
      <c r="K150" s="14" t="inlineStr">
        <is>
          <t>DOC 8316</t>
        </is>
      </c>
      <c r="L150" s="29" t="inlineStr">
        <is>
          <t>Nubank PJ — C/C 9876543-2</t>
        </is>
      </c>
      <c r="M150" s="14" t="inlineStr">
        <is>
          <t>Cartão de crédito</t>
        </is>
      </c>
      <c r="N150" s="29" t="inlineStr">
        <is>
          <t>Cartão Mastercard Nubank PJ</t>
        </is>
      </c>
      <c r="O150" s="13" t="n">
        <v>1</v>
      </c>
      <c r="P150" s="13" t="n">
        <v>1</v>
      </c>
      <c r="Q150" s="35" t="n">
        <v>780</v>
      </c>
      <c r="R150" s="35" t="n">
        <v>780</v>
      </c>
      <c r="S150" s="35" t="n"/>
      <c r="T150" s="35" t="n"/>
      <c r="U150" s="35" t="n"/>
      <c r="V150" s="18">
        <f>IF(COUNTA($B150:$R150)=0,"",ROUND(N($R150)+N($S150)+N($T150)-N($U150),2))</f>
        <v/>
      </c>
      <c r="W150" s="18">
        <f>IF(COUNTA($B150:$R150)=0,"",IF(OR($X150="Pago",$X150="Recebido",$X150="Cancelado"),0,ROUND(N($Q150)+N($S150)+N($T150)-N($U150)-N($R150),2)))</f>
        <v/>
      </c>
      <c r="X150" s="14" t="inlineStr">
        <is>
          <t>Pago</t>
        </is>
      </c>
      <c r="Y150" s="17">
        <f>IF(COUNTA($B150:$R150)=0,"",IF($X150="Cancelado","Cancelado",IF(OR($X150="Pago",$X150="Recebido"),$X150,IF(OR($X150="Parcial",N($R150)&gt;0),"Parcial",IF($C150="","Sem vencimento",IF($C150&lt;TODAY(),"Vencido",IF($C150=TODAY(),"Vence hoje",IF($C150&lt;=TODAY()+7,"Vence em 7 dias",IF($C150&lt;=TODAY()+30,"Vence em 30 dias","Futuro")))))))))</f>
        <v/>
      </c>
      <c r="Z150" s="24">
        <f>IF($B150="","",MONTH($B150))</f>
        <v/>
      </c>
      <c r="AA150" s="24">
        <f>IF($B150="","",YEAR($B150))</f>
        <v/>
      </c>
      <c r="AB150" s="24">
        <f>IF($B150="","",ISOWEEKNUM($B150))</f>
        <v/>
      </c>
      <c r="AC150" s="17">
        <f>IF($B150="","",CHOOSE(WEEKDAY($B150,2),"Segunda","Terça","Quarta","Quinta","Sexta","Sábado","Domingo"))</f>
        <v/>
      </c>
      <c r="AD150" s="17">
        <f>IF($B150="","",TEXT($B150,"MM/AAAA"))</f>
        <v/>
      </c>
      <c r="AE150" s="18">
        <f>IF(COUNTA($B150:$R150)=0,"",IF($X150="Cancelado",0,ROUND(N($Q150)+N($S150)+N($T150)-N($U150),2)))</f>
        <v/>
      </c>
      <c r="AF150" s="9">
        <f>IF($G150="","",IFERROR(INDEX(LINHAS_DRE_PLANO,MATCH($G150,SUBCATEGORIAS_PLANO,0)),"Não classificado"))</f>
        <v/>
      </c>
      <c r="AG150" s="17">
        <f>IF($G150="","",IFERROR(INDEX(TIPOS_FLUXO_PLANO,MATCH($G150,SUBCATEGORIAS_PLANO,0)),"Não classificado"))</f>
        <v/>
      </c>
      <c r="AH150" s="9">
        <f>IF($G150="","",IFERROR(INDEX(GRUPOS_PLANO,MATCH($G150,SUBCATEGORIAS_PLANO,0)),"Não classificado"))</f>
        <v/>
      </c>
      <c r="AI150" s="24">
        <f>IF(OR($C150="",$X150="Pago",$X150="Recebido",$X150="Cancelado"),"",$C150-TODAY())</f>
        <v/>
      </c>
      <c r="AJ150" s="24">
        <f>IF(OR($C150="",$X150="Pago",$X150="Recebido",$X150="Cancelado"),0,MAX(0,TODAY()-$C150))</f>
        <v/>
      </c>
      <c r="AK150" s="24">
        <f>IF($D150="","",$D150-$B150)</f>
        <v/>
      </c>
      <c r="AL150" s="18">
        <f>IF(OR($D150="",$B150=""),"",ROUND(N($R150)*($D150-$B150),2))</f>
        <v/>
      </c>
      <c r="AM150" s="17">
        <f>IF(AND($E150="Saída",$W150&gt;0,$C150&lt;&gt;""),$C150+ROW()/1000000,"")</f>
        <v/>
      </c>
      <c r="AN150" s="17">
        <f>IF(AND($E150="Entrada",$W150&gt;0,$C150&lt;&gt;""),$C150+ROW()/1000000,"")</f>
        <v/>
      </c>
      <c r="AO150" s="9">
        <f>IF(COUNTA($B150:$R150)=0,"",IF(AND($I150&lt;&gt;"",COUNTIF(CLIENTES_NOMES,$I150)+COUNTIF(CLIENTES_FANTASIA,$I150)+COUNTIF(FORNECEDORES_NOMES,$I150)+COUNTIF(FORNECEDORES_FANTASIA,$I150)=0),"⚠ Cliente/Fornecedor não cadastrado",IF(AND($G150&lt;&gt;"",COUNTIF(SUBCATEGORIAS_PLANO,$G150)=0),"⚠ Subcategoria fora do plano de contas",IF(OR($Q150="",N($Q150)=0),"⚠ Valor previsto não informado",IF(AND(OR($X150="Pago",$X150="Recebido"),$D150=""),"⚠ Status pago/recebido sem data",IF(AND($D150&lt;&gt;"",N($R150)=0),"⚠ Data de pagamento sem valor realizado",IF(AND(N($P150)&gt;1,N($O150)&gt;N($P150)),"⚠ Nº da parcela maior que o total",IF(AND($C150&lt;&gt;"",$B150&lt;&gt;"",$C150&lt;$B150),"⚠ Vencimento anterior à competência","OK"))))))))</f>
        <v/>
      </c>
    </row>
    <row r="151">
      <c r="A151" s="14" t="inlineStr">
        <is>
          <t>L0146</t>
        </is>
      </c>
      <c r="B151" s="36" t="n">
        <v>46122</v>
      </c>
      <c r="C151" s="36" t="n">
        <v>46122</v>
      </c>
      <c r="D151" s="36" t="n">
        <v>46122</v>
      </c>
      <c r="E151" s="14" t="inlineStr">
        <is>
          <t>Saída</t>
        </is>
      </c>
      <c r="F151" s="29" t="inlineStr">
        <is>
          <t>Despesas Administrativas</t>
        </is>
      </c>
      <c r="G151" s="29" t="inlineStr">
        <is>
          <t>Contabilidade</t>
        </is>
      </c>
      <c r="H151" s="29" t="inlineStr">
        <is>
          <t>Financeiro</t>
        </is>
      </c>
      <c r="I151" s="29" t="inlineStr">
        <is>
          <t>CONTABILIDADE AURORA ASSESSORIA CONTÁBIL LTDA</t>
        </is>
      </c>
      <c r="J151" s="29" t="inlineStr">
        <is>
          <t>Honorários contábeis — competência 04/2026</t>
        </is>
      </c>
      <c r="K151" s="14" t="inlineStr">
        <is>
          <t>DOC 8317</t>
        </is>
      </c>
      <c r="L151" s="29" t="inlineStr">
        <is>
          <t>Itaú Unibanco — C/C 45678-9</t>
        </is>
      </c>
      <c r="M151" s="14" t="inlineStr">
        <is>
          <t>PIX</t>
        </is>
      </c>
      <c r="N151" s="29" t="n"/>
      <c r="O151" s="13" t="n">
        <v>1</v>
      </c>
      <c r="P151" s="13" t="n">
        <v>1</v>
      </c>
      <c r="Q151" s="35" t="n">
        <v>1250</v>
      </c>
      <c r="R151" s="35" t="n">
        <v>1250</v>
      </c>
      <c r="S151" s="35" t="n"/>
      <c r="T151" s="35" t="n"/>
      <c r="U151" s="35" t="n"/>
      <c r="V151" s="18">
        <f>IF(COUNTA($B151:$R151)=0,"",ROUND(N($R151)+N($S151)+N($T151)-N($U151),2))</f>
        <v/>
      </c>
      <c r="W151" s="18">
        <f>IF(COUNTA($B151:$R151)=0,"",IF(OR($X151="Pago",$X151="Recebido",$X151="Cancelado"),0,ROUND(N($Q151)+N($S151)+N($T151)-N($U151)-N($R151),2)))</f>
        <v/>
      </c>
      <c r="X151" s="14" t="inlineStr">
        <is>
          <t>Pago</t>
        </is>
      </c>
      <c r="Y151" s="17">
        <f>IF(COUNTA($B151:$R151)=0,"",IF($X151="Cancelado","Cancelado",IF(OR($X151="Pago",$X151="Recebido"),$X151,IF(OR($X151="Parcial",N($R151)&gt;0),"Parcial",IF($C151="","Sem vencimento",IF($C151&lt;TODAY(),"Vencido",IF($C151=TODAY(),"Vence hoje",IF($C151&lt;=TODAY()+7,"Vence em 7 dias",IF($C151&lt;=TODAY()+30,"Vence em 30 dias","Futuro")))))))))</f>
        <v/>
      </c>
      <c r="Z151" s="24">
        <f>IF($B151="","",MONTH($B151))</f>
        <v/>
      </c>
      <c r="AA151" s="24">
        <f>IF($B151="","",YEAR($B151))</f>
        <v/>
      </c>
      <c r="AB151" s="24">
        <f>IF($B151="","",ISOWEEKNUM($B151))</f>
        <v/>
      </c>
      <c r="AC151" s="17">
        <f>IF($B151="","",CHOOSE(WEEKDAY($B151,2),"Segunda","Terça","Quarta","Quinta","Sexta","Sábado","Domingo"))</f>
        <v/>
      </c>
      <c r="AD151" s="17">
        <f>IF($B151="","",TEXT($B151,"MM/AAAA"))</f>
        <v/>
      </c>
      <c r="AE151" s="18">
        <f>IF(COUNTA($B151:$R151)=0,"",IF($X151="Cancelado",0,ROUND(N($Q151)+N($S151)+N($T151)-N($U151),2)))</f>
        <v/>
      </c>
      <c r="AF151" s="9">
        <f>IF($G151="","",IFERROR(INDEX(LINHAS_DRE_PLANO,MATCH($G151,SUBCATEGORIAS_PLANO,0)),"Não classificado"))</f>
        <v/>
      </c>
      <c r="AG151" s="17">
        <f>IF($G151="","",IFERROR(INDEX(TIPOS_FLUXO_PLANO,MATCH($G151,SUBCATEGORIAS_PLANO,0)),"Não classificado"))</f>
        <v/>
      </c>
      <c r="AH151" s="9">
        <f>IF($G151="","",IFERROR(INDEX(GRUPOS_PLANO,MATCH($G151,SUBCATEGORIAS_PLANO,0)),"Não classificado"))</f>
        <v/>
      </c>
      <c r="AI151" s="24">
        <f>IF(OR($C151="",$X151="Pago",$X151="Recebido",$X151="Cancelado"),"",$C151-TODAY())</f>
        <v/>
      </c>
      <c r="AJ151" s="24">
        <f>IF(OR($C151="",$X151="Pago",$X151="Recebido",$X151="Cancelado"),0,MAX(0,TODAY()-$C151))</f>
        <v/>
      </c>
      <c r="AK151" s="24">
        <f>IF($D151="","",$D151-$B151)</f>
        <v/>
      </c>
      <c r="AL151" s="18">
        <f>IF(OR($D151="",$B151=""),"",ROUND(N($R151)*($D151-$B151),2))</f>
        <v/>
      </c>
      <c r="AM151" s="17">
        <f>IF(AND($E151="Saída",$W151&gt;0,$C151&lt;&gt;""),$C151+ROW()/1000000,"")</f>
        <v/>
      </c>
      <c r="AN151" s="17">
        <f>IF(AND($E151="Entrada",$W151&gt;0,$C151&lt;&gt;""),$C151+ROW()/1000000,"")</f>
        <v/>
      </c>
      <c r="AO151" s="9">
        <f>IF(COUNTA($B151:$R151)=0,"",IF(AND($I151&lt;&gt;"",COUNTIF(CLIENTES_NOMES,$I151)+COUNTIF(CLIENTES_FANTASIA,$I151)+COUNTIF(FORNECEDORES_NOMES,$I151)+COUNTIF(FORNECEDORES_FANTASIA,$I151)=0),"⚠ Cliente/Fornecedor não cadastrado",IF(AND($G151&lt;&gt;"",COUNTIF(SUBCATEGORIAS_PLANO,$G151)=0),"⚠ Subcategoria fora do plano de contas",IF(OR($Q151="",N($Q151)=0),"⚠ Valor previsto não informado",IF(AND(OR($X151="Pago",$X151="Recebido"),$D151=""),"⚠ Status pago/recebido sem data",IF(AND($D151&lt;&gt;"",N($R151)=0),"⚠ Data de pagamento sem valor realizado",IF(AND(N($P151)&gt;1,N($O151)&gt;N($P151)),"⚠ Nº da parcela maior que o total",IF(AND($C151&lt;&gt;"",$B151&lt;&gt;"",$C151&lt;$B151),"⚠ Vencimento anterior à competência","OK"))))))))</f>
        <v/>
      </c>
    </row>
    <row r="152">
      <c r="A152" s="14" t="inlineStr">
        <is>
          <t>L0147</t>
        </is>
      </c>
      <c r="B152" s="36" t="n">
        <v>46122</v>
      </c>
      <c r="C152" s="36" t="n">
        <v>46140</v>
      </c>
      <c r="D152" s="36" t="n">
        <v>46140</v>
      </c>
      <c r="E152" s="14" t="inlineStr">
        <is>
          <t>Saída</t>
        </is>
      </c>
      <c r="F152" s="29" t="inlineStr">
        <is>
          <t>Despesas Comerciais</t>
        </is>
      </c>
      <c r="G152" s="29" t="inlineStr">
        <is>
          <t>Marketing Digital</t>
        </is>
      </c>
      <c r="H152" s="29" t="inlineStr">
        <is>
          <t>Marketing</t>
        </is>
      </c>
      <c r="I152" s="29" t="inlineStr">
        <is>
          <t>AGÊNCIA PULSO DIGITAL LTDA</t>
        </is>
      </c>
      <c r="J152" s="29" t="inlineStr">
        <is>
          <t>Gestão de tráfego pago e produção de conteúdo</t>
        </is>
      </c>
      <c r="K152" s="14" t="inlineStr">
        <is>
          <t>DOC 8323</t>
        </is>
      </c>
      <c r="L152" s="29" t="inlineStr">
        <is>
          <t>Nubank PJ — C/C 9876543-2</t>
        </is>
      </c>
      <c r="M152" s="14" t="inlineStr">
        <is>
          <t>Cartão de crédito</t>
        </is>
      </c>
      <c r="N152" s="29" t="inlineStr">
        <is>
          <t>Cartão Mastercard Nubank PJ</t>
        </is>
      </c>
      <c r="O152" s="13" t="n">
        <v>1</v>
      </c>
      <c r="P152" s="13" t="n">
        <v>1</v>
      </c>
      <c r="Q152" s="35" t="n">
        <v>3512.29</v>
      </c>
      <c r="R152" s="35" t="n">
        <v>3512.29</v>
      </c>
      <c r="S152" s="35" t="n"/>
      <c r="T152" s="35" t="n"/>
      <c r="U152" s="35" t="n"/>
      <c r="V152" s="18">
        <f>IF(COUNTA($B152:$R152)=0,"",ROUND(N($R152)+N($S152)+N($T152)-N($U152),2))</f>
        <v/>
      </c>
      <c r="W152" s="18">
        <f>IF(COUNTA($B152:$R152)=0,"",IF(OR($X152="Pago",$X152="Recebido",$X152="Cancelado"),0,ROUND(N($Q152)+N($S152)+N($T152)-N($U152)-N($R152),2)))</f>
        <v/>
      </c>
      <c r="X152" s="14" t="inlineStr">
        <is>
          <t>Pago</t>
        </is>
      </c>
      <c r="Y152" s="17">
        <f>IF(COUNTA($B152:$R152)=0,"",IF($X152="Cancelado","Cancelado",IF(OR($X152="Pago",$X152="Recebido"),$X152,IF(OR($X152="Parcial",N($R152)&gt;0),"Parcial",IF($C152="","Sem vencimento",IF($C152&lt;TODAY(),"Vencido",IF($C152=TODAY(),"Vence hoje",IF($C152&lt;=TODAY()+7,"Vence em 7 dias",IF($C152&lt;=TODAY()+30,"Vence em 30 dias","Futuro")))))))))</f>
        <v/>
      </c>
      <c r="Z152" s="24">
        <f>IF($B152="","",MONTH($B152))</f>
        <v/>
      </c>
      <c r="AA152" s="24">
        <f>IF($B152="","",YEAR($B152))</f>
        <v/>
      </c>
      <c r="AB152" s="24">
        <f>IF($B152="","",ISOWEEKNUM($B152))</f>
        <v/>
      </c>
      <c r="AC152" s="17">
        <f>IF($B152="","",CHOOSE(WEEKDAY($B152,2),"Segunda","Terça","Quarta","Quinta","Sexta","Sábado","Domingo"))</f>
        <v/>
      </c>
      <c r="AD152" s="17">
        <f>IF($B152="","",TEXT($B152,"MM/AAAA"))</f>
        <v/>
      </c>
      <c r="AE152" s="18">
        <f>IF(COUNTA($B152:$R152)=0,"",IF($X152="Cancelado",0,ROUND(N($Q152)+N($S152)+N($T152)-N($U152),2)))</f>
        <v/>
      </c>
      <c r="AF152" s="9">
        <f>IF($G152="","",IFERROR(INDEX(LINHAS_DRE_PLANO,MATCH($G152,SUBCATEGORIAS_PLANO,0)),"Não classificado"))</f>
        <v/>
      </c>
      <c r="AG152" s="17">
        <f>IF($G152="","",IFERROR(INDEX(TIPOS_FLUXO_PLANO,MATCH($G152,SUBCATEGORIAS_PLANO,0)),"Não classificado"))</f>
        <v/>
      </c>
      <c r="AH152" s="9">
        <f>IF($G152="","",IFERROR(INDEX(GRUPOS_PLANO,MATCH($G152,SUBCATEGORIAS_PLANO,0)),"Não classificado"))</f>
        <v/>
      </c>
      <c r="AI152" s="24">
        <f>IF(OR($C152="",$X152="Pago",$X152="Recebido",$X152="Cancelado"),"",$C152-TODAY())</f>
        <v/>
      </c>
      <c r="AJ152" s="24">
        <f>IF(OR($C152="",$X152="Pago",$X152="Recebido",$X152="Cancelado"),0,MAX(0,TODAY()-$C152))</f>
        <v/>
      </c>
      <c r="AK152" s="24">
        <f>IF($D152="","",$D152-$B152)</f>
        <v/>
      </c>
      <c r="AL152" s="18">
        <f>IF(OR($D152="",$B152=""),"",ROUND(N($R152)*($D152-$B152),2))</f>
        <v/>
      </c>
      <c r="AM152" s="17">
        <f>IF(AND($E152="Saída",$W152&gt;0,$C152&lt;&gt;""),$C152+ROW()/1000000,"")</f>
        <v/>
      </c>
      <c r="AN152" s="17">
        <f>IF(AND($E152="Entrada",$W152&gt;0,$C152&lt;&gt;""),$C152+ROW()/1000000,"")</f>
        <v/>
      </c>
      <c r="AO152" s="9">
        <f>IF(COUNTA($B152:$R152)=0,"",IF(AND($I152&lt;&gt;"",COUNTIF(CLIENTES_NOMES,$I152)+COUNTIF(CLIENTES_FANTASIA,$I152)+COUNTIF(FORNECEDORES_NOMES,$I152)+COUNTIF(FORNECEDORES_FANTASIA,$I152)=0),"⚠ Cliente/Fornecedor não cadastrado",IF(AND($G152&lt;&gt;"",COUNTIF(SUBCATEGORIAS_PLANO,$G152)=0),"⚠ Subcategoria fora do plano de contas",IF(OR($Q152="",N($Q152)=0),"⚠ Valor previsto não informado",IF(AND(OR($X152="Pago",$X152="Recebido"),$D152=""),"⚠ Status pago/recebido sem data",IF(AND($D152&lt;&gt;"",N($R152)=0),"⚠ Data de pagamento sem valor realizado",IF(AND(N($P152)&gt;1,N($O152)&gt;N($P152)),"⚠ Nº da parcela maior que o total",IF(AND($C152&lt;&gt;"",$B152&lt;&gt;"",$C152&lt;$B152),"⚠ Vencimento anterior à competência","OK"))))))))</f>
        <v/>
      </c>
    </row>
    <row r="153">
      <c r="A153" s="14" t="inlineStr">
        <is>
          <t>L0148</t>
        </is>
      </c>
      <c r="B153" s="36" t="n">
        <v>46122</v>
      </c>
      <c r="C153" s="36" t="n">
        <v>46122</v>
      </c>
      <c r="D153" s="36" t="n">
        <v>46122</v>
      </c>
      <c r="E153" s="14" t="inlineStr">
        <is>
          <t>Saída</t>
        </is>
      </c>
      <c r="F153" s="29" t="inlineStr">
        <is>
          <t>Empréstimos e Financiamentos</t>
        </is>
      </c>
      <c r="G153" s="29" t="inlineStr">
        <is>
          <t>Pagamento de Principal de Empréstimos</t>
        </is>
      </c>
      <c r="H153" s="29" t="inlineStr">
        <is>
          <t>Financeiro</t>
        </is>
      </c>
      <c r="I153" s="29" t="inlineStr">
        <is>
          <t>Banco do Brasil</t>
        </is>
      </c>
      <c r="J153" s="29" t="inlineStr">
        <is>
          <t>Capital de Giro — parcela 3/24 (principal)</t>
        </is>
      </c>
      <c r="K153" s="14" t="inlineStr">
        <is>
          <t>CG-2026-0417-P03</t>
        </is>
      </c>
      <c r="L153" s="29" t="inlineStr">
        <is>
          <t>Banco do Brasil — C/C 12345-6</t>
        </is>
      </c>
      <c r="M153" s="14" t="inlineStr">
        <is>
          <t>Débito automático</t>
        </is>
      </c>
      <c r="N153" s="29" t="n"/>
      <c r="O153" s="13" t="n">
        <v>3</v>
      </c>
      <c r="P153" s="13" t="n">
        <v>24</v>
      </c>
      <c r="Q153" s="35" t="n">
        <v>2158.78</v>
      </c>
      <c r="R153" s="35" t="n">
        <v>2158.78</v>
      </c>
      <c r="S153" s="35" t="n"/>
      <c r="T153" s="35" t="n"/>
      <c r="U153" s="35" t="n"/>
      <c r="V153" s="18">
        <f>IF(COUNTA($B153:$R153)=0,"",ROUND(N($R153)+N($S153)+N($T153)-N($U153),2))</f>
        <v/>
      </c>
      <c r="W153" s="18">
        <f>IF(COUNTA($B153:$R153)=0,"",IF(OR($X153="Pago",$X153="Recebido",$X153="Cancelado"),0,ROUND(N($Q153)+N($S153)+N($T153)-N($U153)-N($R153),2)))</f>
        <v/>
      </c>
      <c r="X153" s="14" t="inlineStr">
        <is>
          <t>Pago</t>
        </is>
      </c>
      <c r="Y153" s="17">
        <f>IF(COUNTA($B153:$R153)=0,"",IF($X153="Cancelado","Cancelado",IF(OR($X153="Pago",$X153="Recebido"),$X153,IF(OR($X153="Parcial",N($R153)&gt;0),"Parcial",IF($C153="","Sem vencimento",IF($C153&lt;TODAY(),"Vencido",IF($C153=TODAY(),"Vence hoje",IF($C153&lt;=TODAY()+7,"Vence em 7 dias",IF($C153&lt;=TODAY()+30,"Vence em 30 dias","Futuro")))))))))</f>
        <v/>
      </c>
      <c r="Z153" s="24">
        <f>IF($B153="","",MONTH($B153))</f>
        <v/>
      </c>
      <c r="AA153" s="24">
        <f>IF($B153="","",YEAR($B153))</f>
        <v/>
      </c>
      <c r="AB153" s="24">
        <f>IF($B153="","",ISOWEEKNUM($B153))</f>
        <v/>
      </c>
      <c r="AC153" s="17">
        <f>IF($B153="","",CHOOSE(WEEKDAY($B153,2),"Segunda","Terça","Quarta","Quinta","Sexta","Sábado","Domingo"))</f>
        <v/>
      </c>
      <c r="AD153" s="17">
        <f>IF($B153="","",TEXT($B153,"MM/AAAA"))</f>
        <v/>
      </c>
      <c r="AE153" s="18">
        <f>IF(COUNTA($B153:$R153)=0,"",IF($X153="Cancelado",0,ROUND(N($Q153)+N($S153)+N($T153)-N($U153),2)))</f>
        <v/>
      </c>
      <c r="AF153" s="9">
        <f>IF($G153="","",IFERROR(INDEX(LINHAS_DRE_PLANO,MATCH($G153,SUBCATEGORIAS_PLANO,0)),"Não classificado"))</f>
        <v/>
      </c>
      <c r="AG153" s="17">
        <f>IF($G153="","",IFERROR(INDEX(TIPOS_FLUXO_PLANO,MATCH($G153,SUBCATEGORIAS_PLANO,0)),"Não classificado"))</f>
        <v/>
      </c>
      <c r="AH153" s="9">
        <f>IF($G153="","",IFERROR(INDEX(GRUPOS_PLANO,MATCH($G153,SUBCATEGORIAS_PLANO,0)),"Não classificado"))</f>
        <v/>
      </c>
      <c r="AI153" s="24">
        <f>IF(OR($C153="",$X153="Pago",$X153="Recebido",$X153="Cancelado"),"",$C153-TODAY())</f>
        <v/>
      </c>
      <c r="AJ153" s="24">
        <f>IF(OR($C153="",$X153="Pago",$X153="Recebido",$X153="Cancelado"),0,MAX(0,TODAY()-$C153))</f>
        <v/>
      </c>
      <c r="AK153" s="24">
        <f>IF($D153="","",$D153-$B153)</f>
        <v/>
      </c>
      <c r="AL153" s="18">
        <f>IF(OR($D153="",$B153=""),"",ROUND(N($R153)*($D153-$B153),2))</f>
        <v/>
      </c>
      <c r="AM153" s="17">
        <f>IF(AND($E153="Saída",$W153&gt;0,$C153&lt;&gt;""),$C153+ROW()/1000000,"")</f>
        <v/>
      </c>
      <c r="AN153" s="17">
        <f>IF(AND($E153="Entrada",$W153&gt;0,$C153&lt;&gt;""),$C153+ROW()/1000000,"")</f>
        <v/>
      </c>
      <c r="AO153" s="9">
        <f>IF(COUNTA($B153:$R153)=0,"",IF(AND($I153&lt;&gt;"",COUNTIF(CLIENTES_NOMES,$I153)+COUNTIF(CLIENTES_FANTASIA,$I153)+COUNTIF(FORNECEDORES_NOMES,$I153)+COUNTIF(FORNECEDORES_FANTASIA,$I153)=0),"⚠ Cliente/Fornecedor não cadastrado",IF(AND($G153&lt;&gt;"",COUNTIF(SUBCATEGORIAS_PLANO,$G153)=0),"⚠ Subcategoria fora do plano de contas",IF(OR($Q153="",N($Q153)=0),"⚠ Valor previsto não informado",IF(AND(OR($X153="Pago",$X153="Recebido"),$D153=""),"⚠ Status pago/recebido sem data",IF(AND($D153&lt;&gt;"",N($R153)=0),"⚠ Data de pagamento sem valor realizado",IF(AND(N($P153)&gt;1,N($O153)&gt;N($P153)),"⚠ Nº da parcela maior que o total",IF(AND($C153&lt;&gt;"",$B153&lt;&gt;"",$C153&lt;$B153),"⚠ Vencimento anterior à competência","OK"))))))))</f>
        <v/>
      </c>
    </row>
    <row r="154">
      <c r="A154" s="14" t="inlineStr">
        <is>
          <t>L0149</t>
        </is>
      </c>
      <c r="B154" s="36" t="n">
        <v>46122</v>
      </c>
      <c r="C154" s="36" t="n">
        <v>46122</v>
      </c>
      <c r="D154" s="36" t="n">
        <v>46122</v>
      </c>
      <c r="E154" s="14" t="inlineStr">
        <is>
          <t>Saída</t>
        </is>
      </c>
      <c r="F154" s="29" t="inlineStr">
        <is>
          <t>Despesas Financeiras</t>
        </is>
      </c>
      <c r="G154" s="29" t="inlineStr">
        <is>
          <t>Juros de Empréstimos e Financiamentos</t>
        </is>
      </c>
      <c r="H154" s="29" t="inlineStr">
        <is>
          <t>Financeiro</t>
        </is>
      </c>
      <c r="I154" s="29" t="inlineStr">
        <is>
          <t>Banco do Brasil</t>
        </is>
      </c>
      <c r="J154" s="29" t="inlineStr">
        <is>
          <t>Capital de Giro — parcela 3/24 (juros)</t>
        </is>
      </c>
      <c r="K154" s="14" t="inlineStr">
        <is>
          <t>CG-2026-0417-P03</t>
        </is>
      </c>
      <c r="L154" s="29" t="inlineStr">
        <is>
          <t>Banco do Brasil — C/C 12345-6</t>
        </is>
      </c>
      <c r="M154" s="14" t="inlineStr">
        <is>
          <t>Débito automático</t>
        </is>
      </c>
      <c r="N154" s="29" t="n"/>
      <c r="O154" s="13" t="n">
        <v>3</v>
      </c>
      <c r="P154" s="13" t="n">
        <v>24</v>
      </c>
      <c r="Q154" s="35" t="n">
        <v>836.67</v>
      </c>
      <c r="R154" s="35" t="n">
        <v>836.67</v>
      </c>
      <c r="S154" s="35" t="n"/>
      <c r="T154" s="35" t="n"/>
      <c r="U154" s="35" t="n"/>
      <c r="V154" s="18">
        <f>IF(COUNTA($B154:$R154)=0,"",ROUND(N($R154)+N($S154)+N($T154)-N($U154),2))</f>
        <v/>
      </c>
      <c r="W154" s="18">
        <f>IF(COUNTA($B154:$R154)=0,"",IF(OR($X154="Pago",$X154="Recebido",$X154="Cancelado"),0,ROUND(N($Q154)+N($S154)+N($T154)-N($U154)-N($R154),2)))</f>
        <v/>
      </c>
      <c r="X154" s="14" t="inlineStr">
        <is>
          <t>Pago</t>
        </is>
      </c>
      <c r="Y154" s="17">
        <f>IF(COUNTA($B154:$R154)=0,"",IF($X154="Cancelado","Cancelado",IF(OR($X154="Pago",$X154="Recebido"),$X154,IF(OR($X154="Parcial",N($R154)&gt;0),"Parcial",IF($C154="","Sem vencimento",IF($C154&lt;TODAY(),"Vencido",IF($C154=TODAY(),"Vence hoje",IF($C154&lt;=TODAY()+7,"Vence em 7 dias",IF($C154&lt;=TODAY()+30,"Vence em 30 dias","Futuro")))))))))</f>
        <v/>
      </c>
      <c r="Z154" s="24">
        <f>IF($B154="","",MONTH($B154))</f>
        <v/>
      </c>
      <c r="AA154" s="24">
        <f>IF($B154="","",YEAR($B154))</f>
        <v/>
      </c>
      <c r="AB154" s="24">
        <f>IF($B154="","",ISOWEEKNUM($B154))</f>
        <v/>
      </c>
      <c r="AC154" s="17">
        <f>IF($B154="","",CHOOSE(WEEKDAY($B154,2),"Segunda","Terça","Quarta","Quinta","Sexta","Sábado","Domingo"))</f>
        <v/>
      </c>
      <c r="AD154" s="17">
        <f>IF($B154="","",TEXT($B154,"MM/AAAA"))</f>
        <v/>
      </c>
      <c r="AE154" s="18">
        <f>IF(COUNTA($B154:$R154)=0,"",IF($X154="Cancelado",0,ROUND(N($Q154)+N($S154)+N($T154)-N($U154),2)))</f>
        <v/>
      </c>
      <c r="AF154" s="9">
        <f>IF($G154="","",IFERROR(INDEX(LINHAS_DRE_PLANO,MATCH($G154,SUBCATEGORIAS_PLANO,0)),"Não classificado"))</f>
        <v/>
      </c>
      <c r="AG154" s="17">
        <f>IF($G154="","",IFERROR(INDEX(TIPOS_FLUXO_PLANO,MATCH($G154,SUBCATEGORIAS_PLANO,0)),"Não classificado"))</f>
        <v/>
      </c>
      <c r="AH154" s="9">
        <f>IF($G154="","",IFERROR(INDEX(GRUPOS_PLANO,MATCH($G154,SUBCATEGORIAS_PLANO,0)),"Não classificado"))</f>
        <v/>
      </c>
      <c r="AI154" s="24">
        <f>IF(OR($C154="",$X154="Pago",$X154="Recebido",$X154="Cancelado"),"",$C154-TODAY())</f>
        <v/>
      </c>
      <c r="AJ154" s="24">
        <f>IF(OR($C154="",$X154="Pago",$X154="Recebido",$X154="Cancelado"),0,MAX(0,TODAY()-$C154))</f>
        <v/>
      </c>
      <c r="AK154" s="24">
        <f>IF($D154="","",$D154-$B154)</f>
        <v/>
      </c>
      <c r="AL154" s="18">
        <f>IF(OR($D154="",$B154=""),"",ROUND(N($R154)*($D154-$B154),2))</f>
        <v/>
      </c>
      <c r="AM154" s="17">
        <f>IF(AND($E154="Saída",$W154&gt;0,$C154&lt;&gt;""),$C154+ROW()/1000000,"")</f>
        <v/>
      </c>
      <c r="AN154" s="17">
        <f>IF(AND($E154="Entrada",$W154&gt;0,$C154&lt;&gt;""),$C154+ROW()/1000000,"")</f>
        <v/>
      </c>
      <c r="AO154" s="9">
        <f>IF(COUNTA($B154:$R154)=0,"",IF(AND($I154&lt;&gt;"",COUNTIF(CLIENTES_NOMES,$I154)+COUNTIF(CLIENTES_FANTASIA,$I154)+COUNTIF(FORNECEDORES_NOMES,$I154)+COUNTIF(FORNECEDORES_FANTASIA,$I154)=0),"⚠ Cliente/Fornecedor não cadastrado",IF(AND($G154&lt;&gt;"",COUNTIF(SUBCATEGORIAS_PLANO,$G154)=0),"⚠ Subcategoria fora do plano de contas",IF(OR($Q154="",N($Q154)=0),"⚠ Valor previsto não informado",IF(AND(OR($X154="Pago",$X154="Recebido"),$D154=""),"⚠ Status pago/recebido sem data",IF(AND($D154&lt;&gt;"",N($R154)=0),"⚠ Data de pagamento sem valor realizado",IF(AND(N($P154)&gt;1,N($O154)&gt;N($P154)),"⚠ Nº da parcela maior que o total",IF(AND($C154&lt;&gt;"",$B154&lt;&gt;"",$C154&lt;$B154),"⚠ Vencimento anterior à competência","OK"))))))))</f>
        <v/>
      </c>
    </row>
    <row r="155">
      <c r="A155" s="14" t="inlineStr">
        <is>
          <t>L0150</t>
        </is>
      </c>
      <c r="B155" s="36" t="n">
        <v>46122</v>
      </c>
      <c r="C155" s="36" t="n">
        <v>46150</v>
      </c>
      <c r="D155" s="36" t="n">
        <v>46150</v>
      </c>
      <c r="E155" s="14" t="inlineStr">
        <is>
          <t>Saída</t>
        </is>
      </c>
      <c r="F155" s="29" t="inlineStr">
        <is>
          <t>Investimentos</t>
        </is>
      </c>
      <c r="G155" s="29" t="inlineStr">
        <is>
          <t>Máquinas e Equipamentos</t>
        </is>
      </c>
      <c r="H155" s="29" t="inlineStr">
        <is>
          <t>Produção</t>
        </is>
      </c>
      <c r="I155" s="29" t="inlineStr">
        <is>
          <t>MÁQUINAS E EQUIPAMENTOS ALFA LTDA</t>
        </is>
      </c>
      <c r="J155" s="29" t="inlineStr">
        <is>
          <t>Seladora automática e esteira de separação</t>
        </is>
      </c>
      <c r="K155" s="14" t="inlineStr">
        <is>
          <t>INV-0410</t>
        </is>
      </c>
      <c r="L155" s="29" t="inlineStr">
        <is>
          <t>Banco do Brasil — C/C 12345-6</t>
        </is>
      </c>
      <c r="M155" s="14" t="inlineStr">
        <is>
          <t>Transferência</t>
        </is>
      </c>
      <c r="N155" s="29" t="n"/>
      <c r="O155" s="13" t="n">
        <v>1</v>
      </c>
      <c r="P155" s="13" t="n">
        <v>1</v>
      </c>
      <c r="Q155" s="35" t="n">
        <v>27800</v>
      </c>
      <c r="R155" s="35" t="n">
        <v>27800</v>
      </c>
      <c r="S155" s="35" t="n"/>
      <c r="T155" s="35" t="n"/>
      <c r="U155" s="35" t="n"/>
      <c r="V155" s="18">
        <f>IF(COUNTA($B155:$R155)=0,"",ROUND(N($R155)+N($S155)+N($T155)-N($U155),2))</f>
        <v/>
      </c>
      <c r="W155" s="18">
        <f>IF(COUNTA($B155:$R155)=0,"",IF(OR($X155="Pago",$X155="Recebido",$X155="Cancelado"),0,ROUND(N($Q155)+N($S155)+N($T155)-N($U155)-N($R155),2)))</f>
        <v/>
      </c>
      <c r="X155" s="14" t="inlineStr">
        <is>
          <t>Pago</t>
        </is>
      </c>
      <c r="Y155" s="17">
        <f>IF(COUNTA($B155:$R155)=0,"",IF($X155="Cancelado","Cancelado",IF(OR($X155="Pago",$X155="Recebido"),$X155,IF(OR($X155="Parcial",N($R155)&gt;0),"Parcial",IF($C155="","Sem vencimento",IF($C155&lt;TODAY(),"Vencido",IF($C155=TODAY(),"Vence hoje",IF($C155&lt;=TODAY()+7,"Vence em 7 dias",IF($C155&lt;=TODAY()+30,"Vence em 30 dias","Futuro")))))))))</f>
        <v/>
      </c>
      <c r="Z155" s="24">
        <f>IF($B155="","",MONTH($B155))</f>
        <v/>
      </c>
      <c r="AA155" s="24">
        <f>IF($B155="","",YEAR($B155))</f>
        <v/>
      </c>
      <c r="AB155" s="24">
        <f>IF($B155="","",ISOWEEKNUM($B155))</f>
        <v/>
      </c>
      <c r="AC155" s="17">
        <f>IF($B155="","",CHOOSE(WEEKDAY($B155,2),"Segunda","Terça","Quarta","Quinta","Sexta","Sábado","Domingo"))</f>
        <v/>
      </c>
      <c r="AD155" s="17">
        <f>IF($B155="","",TEXT($B155,"MM/AAAA"))</f>
        <v/>
      </c>
      <c r="AE155" s="18">
        <f>IF(COUNTA($B155:$R155)=0,"",IF($X155="Cancelado",0,ROUND(N($Q155)+N($S155)+N($T155)-N($U155),2)))</f>
        <v/>
      </c>
      <c r="AF155" s="9">
        <f>IF($G155="","",IFERROR(INDEX(LINHAS_DRE_PLANO,MATCH($G155,SUBCATEGORIAS_PLANO,0)),"Não classificado"))</f>
        <v/>
      </c>
      <c r="AG155" s="17">
        <f>IF($G155="","",IFERROR(INDEX(TIPOS_FLUXO_PLANO,MATCH($G155,SUBCATEGORIAS_PLANO,0)),"Não classificado"))</f>
        <v/>
      </c>
      <c r="AH155" s="9">
        <f>IF($G155="","",IFERROR(INDEX(GRUPOS_PLANO,MATCH($G155,SUBCATEGORIAS_PLANO,0)),"Não classificado"))</f>
        <v/>
      </c>
      <c r="AI155" s="24">
        <f>IF(OR($C155="",$X155="Pago",$X155="Recebido",$X155="Cancelado"),"",$C155-TODAY())</f>
        <v/>
      </c>
      <c r="AJ155" s="24">
        <f>IF(OR($C155="",$X155="Pago",$X155="Recebido",$X155="Cancelado"),0,MAX(0,TODAY()-$C155))</f>
        <v/>
      </c>
      <c r="AK155" s="24">
        <f>IF($D155="","",$D155-$B155)</f>
        <v/>
      </c>
      <c r="AL155" s="18">
        <f>IF(OR($D155="",$B155=""),"",ROUND(N($R155)*($D155-$B155),2))</f>
        <v/>
      </c>
      <c r="AM155" s="17">
        <f>IF(AND($E155="Saída",$W155&gt;0,$C155&lt;&gt;""),$C155+ROW()/1000000,"")</f>
        <v/>
      </c>
      <c r="AN155" s="17">
        <f>IF(AND($E155="Entrada",$W155&gt;0,$C155&lt;&gt;""),$C155+ROW()/1000000,"")</f>
        <v/>
      </c>
      <c r="AO155" s="9">
        <f>IF(COUNTA($B155:$R155)=0,"",IF(AND($I155&lt;&gt;"",COUNTIF(CLIENTES_NOMES,$I155)+COUNTIF(CLIENTES_FANTASIA,$I155)+COUNTIF(FORNECEDORES_NOMES,$I155)+COUNTIF(FORNECEDORES_FANTASIA,$I155)=0),"⚠ Cliente/Fornecedor não cadastrado",IF(AND($G155&lt;&gt;"",COUNTIF(SUBCATEGORIAS_PLANO,$G155)=0),"⚠ Subcategoria fora do plano de contas",IF(OR($Q155="",N($Q155)=0),"⚠ Valor previsto não informado",IF(AND(OR($X155="Pago",$X155="Recebido"),$D155=""),"⚠ Status pago/recebido sem data",IF(AND($D155&lt;&gt;"",N($R155)=0),"⚠ Data de pagamento sem valor realizado",IF(AND(N($P155)&gt;1,N($O155)&gt;N($P155)),"⚠ Nº da parcela maior que o total",IF(AND($C155&lt;&gt;"",$B155&lt;&gt;"",$C155&lt;$B155),"⚠ Vencimento anterior à competência","OK"))))))))</f>
        <v/>
      </c>
    </row>
    <row r="156">
      <c r="A156" s="14" t="inlineStr">
        <is>
          <t>L0151</t>
        </is>
      </c>
      <c r="B156" s="36" t="n">
        <v>46123</v>
      </c>
      <c r="C156" s="36" t="n">
        <v>46153</v>
      </c>
      <c r="D156" s="36" t="n">
        <v>46155</v>
      </c>
      <c r="E156" s="14" t="inlineStr">
        <is>
          <t>Entrada</t>
        </is>
      </c>
      <c r="F156" s="29" t="inlineStr">
        <is>
          <t>Vendas</t>
        </is>
      </c>
      <c r="G156" s="29" t="inlineStr">
        <is>
          <t>Vendas de Produtos</t>
        </is>
      </c>
      <c r="H156" s="29" t="inlineStr">
        <is>
          <t>Comercial</t>
        </is>
      </c>
      <c r="I156" s="29" t="inlineStr">
        <is>
          <t>MERCADO BOA COMPRA LTDA</t>
        </is>
      </c>
      <c r="J156" s="29" t="inlineStr">
        <is>
          <t>Venda de mercadorias para revenda</t>
        </is>
      </c>
      <c r="K156" s="14" t="inlineStr">
        <is>
          <t>NF-e 2036</t>
        </is>
      </c>
      <c r="L156" s="29" t="inlineStr">
        <is>
          <t>Banco do Brasil — C/C 12345-6</t>
        </is>
      </c>
      <c r="M156" s="14" t="inlineStr">
        <is>
          <t>Boleto</t>
        </is>
      </c>
      <c r="N156" s="29" t="n"/>
      <c r="O156" s="13" t="n">
        <v>1</v>
      </c>
      <c r="P156" s="13" t="n">
        <v>1</v>
      </c>
      <c r="Q156" s="35" t="n">
        <v>37771.8</v>
      </c>
      <c r="R156" s="35" t="n">
        <v>37771.8</v>
      </c>
      <c r="S156" s="35" t="n"/>
      <c r="T156" s="35" t="n"/>
      <c r="U156" s="35" t="n"/>
      <c r="V156" s="18">
        <f>IF(COUNTA($B156:$R156)=0,"",ROUND(N($R156)+N($S156)+N($T156)-N($U156),2))</f>
        <v/>
      </c>
      <c r="W156" s="18">
        <f>IF(COUNTA($B156:$R156)=0,"",IF(OR($X156="Pago",$X156="Recebido",$X156="Cancelado"),0,ROUND(N($Q156)+N($S156)+N($T156)-N($U156)-N($R156),2)))</f>
        <v/>
      </c>
      <c r="X156" s="14" t="inlineStr">
        <is>
          <t>Pago</t>
        </is>
      </c>
      <c r="Y156" s="17">
        <f>IF(COUNTA($B156:$R156)=0,"",IF($X156="Cancelado","Cancelado",IF(OR($X156="Pago",$X156="Recebido"),$X156,IF(OR($X156="Parcial",N($R156)&gt;0),"Parcial",IF($C156="","Sem vencimento",IF($C156&lt;TODAY(),"Vencido",IF($C156=TODAY(),"Vence hoje",IF($C156&lt;=TODAY()+7,"Vence em 7 dias",IF($C156&lt;=TODAY()+30,"Vence em 30 dias","Futuro")))))))))</f>
        <v/>
      </c>
      <c r="Z156" s="24">
        <f>IF($B156="","",MONTH($B156))</f>
        <v/>
      </c>
      <c r="AA156" s="24">
        <f>IF($B156="","",YEAR($B156))</f>
        <v/>
      </c>
      <c r="AB156" s="24">
        <f>IF($B156="","",ISOWEEKNUM($B156))</f>
        <v/>
      </c>
      <c r="AC156" s="17">
        <f>IF($B156="","",CHOOSE(WEEKDAY($B156,2),"Segunda","Terça","Quarta","Quinta","Sexta","Sábado","Domingo"))</f>
        <v/>
      </c>
      <c r="AD156" s="17">
        <f>IF($B156="","",TEXT($B156,"MM/AAAA"))</f>
        <v/>
      </c>
      <c r="AE156" s="18">
        <f>IF(COUNTA($B156:$R156)=0,"",IF($X156="Cancelado",0,ROUND(N($Q156)+N($S156)+N($T156)-N($U156),2)))</f>
        <v/>
      </c>
      <c r="AF156" s="9">
        <f>IF($G156="","",IFERROR(INDEX(LINHAS_DRE_PLANO,MATCH($G156,SUBCATEGORIAS_PLANO,0)),"Não classificado"))</f>
        <v/>
      </c>
      <c r="AG156" s="17">
        <f>IF($G156="","",IFERROR(INDEX(TIPOS_FLUXO_PLANO,MATCH($G156,SUBCATEGORIAS_PLANO,0)),"Não classificado"))</f>
        <v/>
      </c>
      <c r="AH156" s="9">
        <f>IF($G156="","",IFERROR(INDEX(GRUPOS_PLANO,MATCH($G156,SUBCATEGORIAS_PLANO,0)),"Não classificado"))</f>
        <v/>
      </c>
      <c r="AI156" s="24">
        <f>IF(OR($C156="",$X156="Pago",$X156="Recebido",$X156="Cancelado"),"",$C156-TODAY())</f>
        <v/>
      </c>
      <c r="AJ156" s="24">
        <f>IF(OR($C156="",$X156="Pago",$X156="Recebido",$X156="Cancelado"),0,MAX(0,TODAY()-$C156))</f>
        <v/>
      </c>
      <c r="AK156" s="24">
        <f>IF($D156="","",$D156-$B156)</f>
        <v/>
      </c>
      <c r="AL156" s="18">
        <f>IF(OR($D156="",$B156=""),"",ROUND(N($R156)*($D156-$B156),2))</f>
        <v/>
      </c>
      <c r="AM156" s="17">
        <f>IF(AND($E156="Saída",$W156&gt;0,$C156&lt;&gt;""),$C156+ROW()/1000000,"")</f>
        <v/>
      </c>
      <c r="AN156" s="17">
        <f>IF(AND($E156="Entrada",$W156&gt;0,$C156&lt;&gt;""),$C156+ROW()/1000000,"")</f>
        <v/>
      </c>
      <c r="AO156" s="9">
        <f>IF(COUNTA($B156:$R156)=0,"",IF(AND($I156&lt;&gt;"",COUNTIF(CLIENTES_NOMES,$I156)+COUNTIF(CLIENTES_FANTASIA,$I156)+COUNTIF(FORNECEDORES_NOMES,$I156)+COUNTIF(FORNECEDORES_FANTASIA,$I156)=0),"⚠ Cliente/Fornecedor não cadastrado",IF(AND($G156&lt;&gt;"",COUNTIF(SUBCATEGORIAS_PLANO,$G156)=0),"⚠ Subcategoria fora do plano de contas",IF(OR($Q156="",N($Q156)=0),"⚠ Valor previsto não informado",IF(AND(OR($X156="Pago",$X156="Recebido"),$D156=""),"⚠ Status pago/recebido sem data",IF(AND($D156&lt;&gt;"",N($R156)=0),"⚠ Data de pagamento sem valor realizado",IF(AND(N($P156)&gt;1,N($O156)&gt;N($P156)),"⚠ Nº da parcela maior que o total",IF(AND($C156&lt;&gt;"",$B156&lt;&gt;"",$C156&lt;$B156),"⚠ Vencimento anterior à competência","OK"))))))))</f>
        <v/>
      </c>
    </row>
    <row r="157">
      <c r="A157" s="14" t="inlineStr">
        <is>
          <t>L0152</t>
        </is>
      </c>
      <c r="B157" s="36" t="n">
        <v>46123</v>
      </c>
      <c r="C157" s="36" t="n">
        <v>46125</v>
      </c>
      <c r="D157" s="36" t="n">
        <v>46126</v>
      </c>
      <c r="E157" s="14" t="inlineStr">
        <is>
          <t>Entrada</t>
        </is>
      </c>
      <c r="F157" s="29" t="inlineStr">
        <is>
          <t>Vendas</t>
        </is>
      </c>
      <c r="G157" s="29" t="inlineStr">
        <is>
          <t>Vendas de Produtos</t>
        </is>
      </c>
      <c r="H157" s="29" t="inlineStr">
        <is>
          <t>Comercial</t>
        </is>
      </c>
      <c r="I157" s="29" t="inlineStr">
        <is>
          <t>PADARIA PÃO DOURADO ME</t>
        </is>
      </c>
      <c r="J157" s="29" t="inlineStr">
        <is>
          <t>Venda de mercadorias para revenda</t>
        </is>
      </c>
      <c r="K157" s="14" t="inlineStr">
        <is>
          <t>NF-e 2039</t>
        </is>
      </c>
      <c r="L157" s="29" t="inlineStr">
        <is>
          <t>Nubank PJ — C/C 9876543-2</t>
        </is>
      </c>
      <c r="M157" s="14" t="inlineStr">
        <is>
          <t>PIX</t>
        </is>
      </c>
      <c r="N157" s="29" t="n"/>
      <c r="O157" s="13" t="n">
        <v>1</v>
      </c>
      <c r="P157" s="13" t="n">
        <v>1</v>
      </c>
      <c r="Q157" s="35" t="n">
        <v>25062.42</v>
      </c>
      <c r="R157" s="35" t="n">
        <v>25062.42</v>
      </c>
      <c r="S157" s="35" t="n"/>
      <c r="T157" s="35" t="n"/>
      <c r="U157" s="35" t="n"/>
      <c r="V157" s="18">
        <f>IF(COUNTA($B157:$R157)=0,"",ROUND(N($R157)+N($S157)+N($T157)-N($U157),2))</f>
        <v/>
      </c>
      <c r="W157" s="18">
        <f>IF(COUNTA($B157:$R157)=0,"",IF(OR($X157="Pago",$X157="Recebido",$X157="Cancelado"),0,ROUND(N($Q157)+N($S157)+N($T157)-N($U157)-N($R157),2)))</f>
        <v/>
      </c>
      <c r="X157" s="14" t="inlineStr">
        <is>
          <t>Pago</t>
        </is>
      </c>
      <c r="Y157" s="17">
        <f>IF(COUNTA($B157:$R157)=0,"",IF($X157="Cancelado","Cancelado",IF(OR($X157="Pago",$X157="Recebido"),$X157,IF(OR($X157="Parcial",N($R157)&gt;0),"Parcial",IF($C157="","Sem vencimento",IF($C157&lt;TODAY(),"Vencido",IF($C157=TODAY(),"Vence hoje",IF($C157&lt;=TODAY()+7,"Vence em 7 dias",IF($C157&lt;=TODAY()+30,"Vence em 30 dias","Futuro")))))))))</f>
        <v/>
      </c>
      <c r="Z157" s="24">
        <f>IF($B157="","",MONTH($B157))</f>
        <v/>
      </c>
      <c r="AA157" s="24">
        <f>IF($B157="","",YEAR($B157))</f>
        <v/>
      </c>
      <c r="AB157" s="24">
        <f>IF($B157="","",ISOWEEKNUM($B157))</f>
        <v/>
      </c>
      <c r="AC157" s="17">
        <f>IF($B157="","",CHOOSE(WEEKDAY($B157,2),"Segunda","Terça","Quarta","Quinta","Sexta","Sábado","Domingo"))</f>
        <v/>
      </c>
      <c r="AD157" s="17">
        <f>IF($B157="","",TEXT($B157,"MM/AAAA"))</f>
        <v/>
      </c>
      <c r="AE157" s="18">
        <f>IF(COUNTA($B157:$R157)=0,"",IF($X157="Cancelado",0,ROUND(N($Q157)+N($S157)+N($T157)-N($U157),2)))</f>
        <v/>
      </c>
      <c r="AF157" s="9">
        <f>IF($G157="","",IFERROR(INDEX(LINHAS_DRE_PLANO,MATCH($G157,SUBCATEGORIAS_PLANO,0)),"Não classificado"))</f>
        <v/>
      </c>
      <c r="AG157" s="17">
        <f>IF($G157="","",IFERROR(INDEX(TIPOS_FLUXO_PLANO,MATCH($G157,SUBCATEGORIAS_PLANO,0)),"Não classificado"))</f>
        <v/>
      </c>
      <c r="AH157" s="9">
        <f>IF($G157="","",IFERROR(INDEX(GRUPOS_PLANO,MATCH($G157,SUBCATEGORIAS_PLANO,0)),"Não classificado"))</f>
        <v/>
      </c>
      <c r="AI157" s="24">
        <f>IF(OR($C157="",$X157="Pago",$X157="Recebido",$X157="Cancelado"),"",$C157-TODAY())</f>
        <v/>
      </c>
      <c r="AJ157" s="24">
        <f>IF(OR($C157="",$X157="Pago",$X157="Recebido",$X157="Cancelado"),0,MAX(0,TODAY()-$C157))</f>
        <v/>
      </c>
      <c r="AK157" s="24">
        <f>IF($D157="","",$D157-$B157)</f>
        <v/>
      </c>
      <c r="AL157" s="18">
        <f>IF(OR($D157="",$B157=""),"",ROUND(N($R157)*($D157-$B157),2))</f>
        <v/>
      </c>
      <c r="AM157" s="17">
        <f>IF(AND($E157="Saída",$W157&gt;0,$C157&lt;&gt;""),$C157+ROW()/1000000,"")</f>
        <v/>
      </c>
      <c r="AN157" s="17">
        <f>IF(AND($E157="Entrada",$W157&gt;0,$C157&lt;&gt;""),$C157+ROW()/1000000,"")</f>
        <v/>
      </c>
      <c r="AO157" s="9">
        <f>IF(COUNTA($B157:$R157)=0,"",IF(AND($I157&lt;&gt;"",COUNTIF(CLIENTES_NOMES,$I157)+COUNTIF(CLIENTES_FANTASIA,$I157)+COUNTIF(FORNECEDORES_NOMES,$I157)+COUNTIF(FORNECEDORES_FANTASIA,$I157)=0),"⚠ Cliente/Fornecedor não cadastrado",IF(AND($G157&lt;&gt;"",COUNTIF(SUBCATEGORIAS_PLANO,$G157)=0),"⚠ Subcategoria fora do plano de contas",IF(OR($Q157="",N($Q157)=0),"⚠ Valor previsto não informado",IF(AND(OR($X157="Pago",$X157="Recebido"),$D157=""),"⚠ Status pago/recebido sem data",IF(AND($D157&lt;&gt;"",N($R157)=0),"⚠ Data de pagamento sem valor realizado",IF(AND(N($P157)&gt;1,N($O157)&gt;N($P157)),"⚠ Nº da parcela maior que o total",IF(AND($C157&lt;&gt;"",$B157&lt;&gt;"",$C157&lt;$B157),"⚠ Vencimento anterior à competência","OK"))))))))</f>
        <v/>
      </c>
    </row>
    <row r="158">
      <c r="A158" s="14" t="inlineStr">
        <is>
          <t>L0153</t>
        </is>
      </c>
      <c r="B158" s="36" t="n">
        <v>46123</v>
      </c>
      <c r="C158" s="36" t="n">
        <v>46139</v>
      </c>
      <c r="D158" s="36" t="n">
        <v>46141</v>
      </c>
      <c r="E158" s="14" t="inlineStr">
        <is>
          <t>Entrada</t>
        </is>
      </c>
      <c r="F158" s="29" t="inlineStr">
        <is>
          <t>Vendas</t>
        </is>
      </c>
      <c r="G158" s="29" t="inlineStr">
        <is>
          <t>Vendas de Produtos</t>
        </is>
      </c>
      <c r="H158" s="29" t="inlineStr">
        <is>
          <t>Comercial</t>
        </is>
      </c>
      <c r="I158" s="29" t="inlineStr">
        <is>
          <t>RESTAURANTE SABOR CASEIRO LTDA</t>
        </is>
      </c>
      <c r="J158" s="29" t="inlineStr">
        <is>
          <t>Venda de mercadorias para revenda</t>
        </is>
      </c>
      <c r="K158" s="14" t="inlineStr">
        <is>
          <t>NF-e 2040</t>
        </is>
      </c>
      <c r="L158" s="29" t="inlineStr">
        <is>
          <t>Itaú Unibanco — C/C 45678-9</t>
        </is>
      </c>
      <c r="M158" s="14" t="inlineStr">
        <is>
          <t>Boleto</t>
        </is>
      </c>
      <c r="N158" s="29" t="n"/>
      <c r="O158" s="13" t="n">
        <v>1</v>
      </c>
      <c r="P158" s="13" t="n">
        <v>1</v>
      </c>
      <c r="Q158" s="35" t="n">
        <v>18356.89</v>
      </c>
      <c r="R158" s="35" t="n">
        <v>18356.89</v>
      </c>
      <c r="S158" s="35" t="n"/>
      <c r="T158" s="35" t="n"/>
      <c r="U158" s="35" t="n"/>
      <c r="V158" s="18">
        <f>IF(COUNTA($B158:$R158)=0,"",ROUND(N($R158)+N($S158)+N($T158)-N($U158),2))</f>
        <v/>
      </c>
      <c r="W158" s="18">
        <f>IF(COUNTA($B158:$R158)=0,"",IF(OR($X158="Pago",$X158="Recebido",$X158="Cancelado"),0,ROUND(N($Q158)+N($S158)+N($T158)-N($U158)-N($R158),2)))</f>
        <v/>
      </c>
      <c r="X158" s="14" t="inlineStr">
        <is>
          <t>Pago</t>
        </is>
      </c>
      <c r="Y158" s="17">
        <f>IF(COUNTA($B158:$R158)=0,"",IF($X158="Cancelado","Cancelado",IF(OR($X158="Pago",$X158="Recebido"),$X158,IF(OR($X158="Parcial",N($R158)&gt;0),"Parcial",IF($C158="","Sem vencimento",IF($C158&lt;TODAY(),"Vencido",IF($C158=TODAY(),"Vence hoje",IF($C158&lt;=TODAY()+7,"Vence em 7 dias",IF($C158&lt;=TODAY()+30,"Vence em 30 dias","Futuro")))))))))</f>
        <v/>
      </c>
      <c r="Z158" s="24">
        <f>IF($B158="","",MONTH($B158))</f>
        <v/>
      </c>
      <c r="AA158" s="24">
        <f>IF($B158="","",YEAR($B158))</f>
        <v/>
      </c>
      <c r="AB158" s="24">
        <f>IF($B158="","",ISOWEEKNUM($B158))</f>
        <v/>
      </c>
      <c r="AC158" s="17">
        <f>IF($B158="","",CHOOSE(WEEKDAY($B158,2),"Segunda","Terça","Quarta","Quinta","Sexta","Sábado","Domingo"))</f>
        <v/>
      </c>
      <c r="AD158" s="17">
        <f>IF($B158="","",TEXT($B158,"MM/AAAA"))</f>
        <v/>
      </c>
      <c r="AE158" s="18">
        <f>IF(COUNTA($B158:$R158)=0,"",IF($X158="Cancelado",0,ROUND(N($Q158)+N($S158)+N($T158)-N($U158),2)))</f>
        <v/>
      </c>
      <c r="AF158" s="9">
        <f>IF($G158="","",IFERROR(INDEX(LINHAS_DRE_PLANO,MATCH($G158,SUBCATEGORIAS_PLANO,0)),"Não classificado"))</f>
        <v/>
      </c>
      <c r="AG158" s="17">
        <f>IF($G158="","",IFERROR(INDEX(TIPOS_FLUXO_PLANO,MATCH($G158,SUBCATEGORIAS_PLANO,0)),"Não classificado"))</f>
        <v/>
      </c>
      <c r="AH158" s="9">
        <f>IF($G158="","",IFERROR(INDEX(GRUPOS_PLANO,MATCH($G158,SUBCATEGORIAS_PLANO,0)),"Não classificado"))</f>
        <v/>
      </c>
      <c r="AI158" s="24">
        <f>IF(OR($C158="",$X158="Pago",$X158="Recebido",$X158="Cancelado"),"",$C158-TODAY())</f>
        <v/>
      </c>
      <c r="AJ158" s="24">
        <f>IF(OR($C158="",$X158="Pago",$X158="Recebido",$X158="Cancelado"),0,MAX(0,TODAY()-$C158))</f>
        <v/>
      </c>
      <c r="AK158" s="24">
        <f>IF($D158="","",$D158-$B158)</f>
        <v/>
      </c>
      <c r="AL158" s="18">
        <f>IF(OR($D158="",$B158=""),"",ROUND(N($R158)*($D158-$B158),2))</f>
        <v/>
      </c>
      <c r="AM158" s="17">
        <f>IF(AND($E158="Saída",$W158&gt;0,$C158&lt;&gt;""),$C158+ROW()/1000000,"")</f>
        <v/>
      </c>
      <c r="AN158" s="17">
        <f>IF(AND($E158="Entrada",$W158&gt;0,$C158&lt;&gt;""),$C158+ROW()/1000000,"")</f>
        <v/>
      </c>
      <c r="AO158" s="9">
        <f>IF(COUNTA($B158:$R158)=0,"",IF(AND($I158&lt;&gt;"",COUNTIF(CLIENTES_NOMES,$I158)+COUNTIF(CLIENTES_FANTASIA,$I158)+COUNTIF(FORNECEDORES_NOMES,$I158)+COUNTIF(FORNECEDORES_FANTASIA,$I158)=0),"⚠ Cliente/Fornecedor não cadastrado",IF(AND($G158&lt;&gt;"",COUNTIF(SUBCATEGORIAS_PLANO,$G158)=0),"⚠ Subcategoria fora do plano de contas",IF(OR($Q158="",N($Q158)=0),"⚠ Valor previsto não informado",IF(AND(OR($X158="Pago",$X158="Recebido"),$D158=""),"⚠ Status pago/recebido sem data",IF(AND($D158&lt;&gt;"",N($R158)=0),"⚠ Data de pagamento sem valor realizado",IF(AND(N($P158)&gt;1,N($O158)&gt;N($P158)),"⚠ Nº da parcela maior que o total",IF(AND($C158&lt;&gt;"",$B158&lt;&gt;"",$C158&lt;$B158),"⚠ Vencimento anterior à competência","OK"))))))))</f>
        <v/>
      </c>
    </row>
    <row r="159">
      <c r="A159" s="14" t="inlineStr">
        <is>
          <t>L0154</t>
        </is>
      </c>
      <c r="B159" s="36" t="n">
        <v>46123</v>
      </c>
      <c r="C159" s="36" t="n">
        <v>46153</v>
      </c>
      <c r="D159" s="36" t="n">
        <v>46154</v>
      </c>
      <c r="E159" s="14" t="inlineStr">
        <is>
          <t>Entrada</t>
        </is>
      </c>
      <c r="F159" s="29" t="inlineStr">
        <is>
          <t>Vendas</t>
        </is>
      </c>
      <c r="G159" s="29" t="inlineStr">
        <is>
          <t>Vendas de Produtos</t>
        </is>
      </c>
      <c r="H159" s="29" t="inlineStr">
        <is>
          <t>Comercial</t>
        </is>
      </c>
      <c r="I159" s="29" t="inlineStr">
        <is>
          <t>HOTEL VISTA ALEGRE LTDA</t>
        </is>
      </c>
      <c r="J159" s="29" t="inlineStr">
        <is>
          <t>Venda de mercadorias para revenda</t>
        </is>
      </c>
      <c r="K159" s="14" t="inlineStr">
        <is>
          <t>NF-e 2043</t>
        </is>
      </c>
      <c r="L159" s="29" t="inlineStr">
        <is>
          <t>Itaú Unibanco — C/C 45678-9</t>
        </is>
      </c>
      <c r="M159" s="14" t="inlineStr">
        <is>
          <t>Boleto</t>
        </is>
      </c>
      <c r="N159" s="29" t="n"/>
      <c r="O159" s="13" t="n">
        <v>1</v>
      </c>
      <c r="P159" s="13" t="n">
        <v>1</v>
      </c>
      <c r="Q159" s="35" t="n">
        <v>35500.12</v>
      </c>
      <c r="R159" s="35" t="n">
        <v>35500.12</v>
      </c>
      <c r="S159" s="35" t="n"/>
      <c r="T159" s="35" t="n"/>
      <c r="U159" s="35" t="n"/>
      <c r="V159" s="18">
        <f>IF(COUNTA($B159:$R159)=0,"",ROUND(N($R159)+N($S159)+N($T159)-N($U159),2))</f>
        <v/>
      </c>
      <c r="W159" s="18">
        <f>IF(COUNTA($B159:$R159)=0,"",IF(OR($X159="Pago",$X159="Recebido",$X159="Cancelado"),0,ROUND(N($Q159)+N($S159)+N($T159)-N($U159)-N($R159),2)))</f>
        <v/>
      </c>
      <c r="X159" s="14" t="inlineStr">
        <is>
          <t>Pago</t>
        </is>
      </c>
      <c r="Y159" s="17">
        <f>IF(COUNTA($B159:$R159)=0,"",IF($X159="Cancelado","Cancelado",IF(OR($X159="Pago",$X159="Recebido"),$X159,IF(OR($X159="Parcial",N($R159)&gt;0),"Parcial",IF($C159="","Sem vencimento",IF($C159&lt;TODAY(),"Vencido",IF($C159=TODAY(),"Vence hoje",IF($C159&lt;=TODAY()+7,"Vence em 7 dias",IF($C159&lt;=TODAY()+30,"Vence em 30 dias","Futuro")))))))))</f>
        <v/>
      </c>
      <c r="Z159" s="24">
        <f>IF($B159="","",MONTH($B159))</f>
        <v/>
      </c>
      <c r="AA159" s="24">
        <f>IF($B159="","",YEAR($B159))</f>
        <v/>
      </c>
      <c r="AB159" s="24">
        <f>IF($B159="","",ISOWEEKNUM($B159))</f>
        <v/>
      </c>
      <c r="AC159" s="17">
        <f>IF($B159="","",CHOOSE(WEEKDAY($B159,2),"Segunda","Terça","Quarta","Quinta","Sexta","Sábado","Domingo"))</f>
        <v/>
      </c>
      <c r="AD159" s="17">
        <f>IF($B159="","",TEXT($B159,"MM/AAAA"))</f>
        <v/>
      </c>
      <c r="AE159" s="18">
        <f>IF(COUNTA($B159:$R159)=0,"",IF($X159="Cancelado",0,ROUND(N($Q159)+N($S159)+N($T159)-N($U159),2)))</f>
        <v/>
      </c>
      <c r="AF159" s="9">
        <f>IF($G159="","",IFERROR(INDEX(LINHAS_DRE_PLANO,MATCH($G159,SUBCATEGORIAS_PLANO,0)),"Não classificado"))</f>
        <v/>
      </c>
      <c r="AG159" s="17">
        <f>IF($G159="","",IFERROR(INDEX(TIPOS_FLUXO_PLANO,MATCH($G159,SUBCATEGORIAS_PLANO,0)),"Não classificado"))</f>
        <v/>
      </c>
      <c r="AH159" s="9">
        <f>IF($G159="","",IFERROR(INDEX(GRUPOS_PLANO,MATCH($G159,SUBCATEGORIAS_PLANO,0)),"Não classificado"))</f>
        <v/>
      </c>
      <c r="AI159" s="24">
        <f>IF(OR($C159="",$X159="Pago",$X159="Recebido",$X159="Cancelado"),"",$C159-TODAY())</f>
        <v/>
      </c>
      <c r="AJ159" s="24">
        <f>IF(OR($C159="",$X159="Pago",$X159="Recebido",$X159="Cancelado"),0,MAX(0,TODAY()-$C159))</f>
        <v/>
      </c>
      <c r="AK159" s="24">
        <f>IF($D159="","",$D159-$B159)</f>
        <v/>
      </c>
      <c r="AL159" s="18">
        <f>IF(OR($D159="",$B159=""),"",ROUND(N($R159)*($D159-$B159),2))</f>
        <v/>
      </c>
      <c r="AM159" s="17">
        <f>IF(AND($E159="Saída",$W159&gt;0,$C159&lt;&gt;""),$C159+ROW()/1000000,"")</f>
        <v/>
      </c>
      <c r="AN159" s="17">
        <f>IF(AND($E159="Entrada",$W159&gt;0,$C159&lt;&gt;""),$C159+ROW()/1000000,"")</f>
        <v/>
      </c>
      <c r="AO159" s="9">
        <f>IF(COUNTA($B159:$R159)=0,"",IF(AND($I159&lt;&gt;"",COUNTIF(CLIENTES_NOMES,$I159)+COUNTIF(CLIENTES_FANTASIA,$I159)+COUNTIF(FORNECEDORES_NOMES,$I159)+COUNTIF(FORNECEDORES_FANTASIA,$I159)=0),"⚠ Cliente/Fornecedor não cadastrado",IF(AND($G159&lt;&gt;"",COUNTIF(SUBCATEGORIAS_PLANO,$G159)=0),"⚠ Subcategoria fora do plano de contas",IF(OR($Q159="",N($Q159)=0),"⚠ Valor previsto não informado",IF(AND(OR($X159="Pago",$X159="Recebido"),$D159=""),"⚠ Status pago/recebido sem data",IF(AND($D159&lt;&gt;"",N($R159)=0),"⚠ Data de pagamento sem valor realizado",IF(AND(N($P159)&gt;1,N($O159)&gt;N($P159)),"⚠ Nº da parcela maior que o total",IF(AND($C159&lt;&gt;"",$B159&lt;&gt;"",$C159&lt;$B159),"⚠ Vencimento anterior à competência","OK"))))))))</f>
        <v/>
      </c>
    </row>
    <row r="160">
      <c r="A160" s="14" t="inlineStr">
        <is>
          <t>L0155</t>
        </is>
      </c>
      <c r="B160" s="36" t="n">
        <v>46123</v>
      </c>
      <c r="C160" s="36" t="n">
        <v>46146</v>
      </c>
      <c r="D160" s="36" t="n">
        <v>46146</v>
      </c>
      <c r="E160" s="14" t="inlineStr">
        <is>
          <t>Entrada</t>
        </is>
      </c>
      <c r="F160" s="29" t="inlineStr">
        <is>
          <t>Vendas</t>
        </is>
      </c>
      <c r="G160" s="29" t="inlineStr">
        <is>
          <t>Vendas de Produtos</t>
        </is>
      </c>
      <c r="H160" s="29" t="inlineStr">
        <is>
          <t>Comercial</t>
        </is>
      </c>
      <c r="I160" s="29" t="inlineStr">
        <is>
          <t>EMPÓRIO NATURAL COMÉRCIO LTDA</t>
        </is>
      </c>
      <c r="J160" s="29" t="inlineStr">
        <is>
          <t>Venda de mercadorias para revenda</t>
        </is>
      </c>
      <c r="K160" s="14" t="inlineStr">
        <is>
          <t>NF-e 2044</t>
        </is>
      </c>
      <c r="L160" s="29" t="inlineStr">
        <is>
          <t>Itaú Unibanco — C/C 45678-9</t>
        </is>
      </c>
      <c r="M160" s="14" t="inlineStr">
        <is>
          <t>Boleto</t>
        </is>
      </c>
      <c r="N160" s="29" t="n"/>
      <c r="O160" s="13" t="n">
        <v>1</v>
      </c>
      <c r="P160" s="13" t="n">
        <v>1</v>
      </c>
      <c r="Q160" s="35" t="n">
        <v>23686.35</v>
      </c>
      <c r="R160" s="35" t="n">
        <v>23686.35</v>
      </c>
      <c r="S160" s="35" t="n"/>
      <c r="T160" s="35" t="n"/>
      <c r="U160" s="35" t="n"/>
      <c r="V160" s="18">
        <f>IF(COUNTA($B160:$R160)=0,"",ROUND(N($R160)+N($S160)+N($T160)-N($U160),2))</f>
        <v/>
      </c>
      <c r="W160" s="18">
        <f>IF(COUNTA($B160:$R160)=0,"",IF(OR($X160="Pago",$X160="Recebido",$X160="Cancelado"),0,ROUND(N($Q160)+N($S160)+N($T160)-N($U160)-N($R160),2)))</f>
        <v/>
      </c>
      <c r="X160" s="14" t="inlineStr">
        <is>
          <t>Pago</t>
        </is>
      </c>
      <c r="Y160" s="17">
        <f>IF(COUNTA($B160:$R160)=0,"",IF($X160="Cancelado","Cancelado",IF(OR($X160="Pago",$X160="Recebido"),$X160,IF(OR($X160="Parcial",N($R160)&gt;0),"Parcial",IF($C160="","Sem vencimento",IF($C160&lt;TODAY(),"Vencido",IF($C160=TODAY(),"Vence hoje",IF($C160&lt;=TODAY()+7,"Vence em 7 dias",IF($C160&lt;=TODAY()+30,"Vence em 30 dias","Futuro")))))))))</f>
        <v/>
      </c>
      <c r="Z160" s="24">
        <f>IF($B160="","",MONTH($B160))</f>
        <v/>
      </c>
      <c r="AA160" s="24">
        <f>IF($B160="","",YEAR($B160))</f>
        <v/>
      </c>
      <c r="AB160" s="24">
        <f>IF($B160="","",ISOWEEKNUM($B160))</f>
        <v/>
      </c>
      <c r="AC160" s="17">
        <f>IF($B160="","",CHOOSE(WEEKDAY($B160,2),"Segunda","Terça","Quarta","Quinta","Sexta","Sábado","Domingo"))</f>
        <v/>
      </c>
      <c r="AD160" s="17">
        <f>IF($B160="","",TEXT($B160,"MM/AAAA"))</f>
        <v/>
      </c>
      <c r="AE160" s="18">
        <f>IF(COUNTA($B160:$R160)=0,"",IF($X160="Cancelado",0,ROUND(N($Q160)+N($S160)+N($T160)-N($U160),2)))</f>
        <v/>
      </c>
      <c r="AF160" s="9">
        <f>IF($G160="","",IFERROR(INDEX(LINHAS_DRE_PLANO,MATCH($G160,SUBCATEGORIAS_PLANO,0)),"Não classificado"))</f>
        <v/>
      </c>
      <c r="AG160" s="17">
        <f>IF($G160="","",IFERROR(INDEX(TIPOS_FLUXO_PLANO,MATCH($G160,SUBCATEGORIAS_PLANO,0)),"Não classificado"))</f>
        <v/>
      </c>
      <c r="AH160" s="9">
        <f>IF($G160="","",IFERROR(INDEX(GRUPOS_PLANO,MATCH($G160,SUBCATEGORIAS_PLANO,0)),"Não classificado"))</f>
        <v/>
      </c>
      <c r="AI160" s="24">
        <f>IF(OR($C160="",$X160="Pago",$X160="Recebido",$X160="Cancelado"),"",$C160-TODAY())</f>
        <v/>
      </c>
      <c r="AJ160" s="24">
        <f>IF(OR($C160="",$X160="Pago",$X160="Recebido",$X160="Cancelado"),0,MAX(0,TODAY()-$C160))</f>
        <v/>
      </c>
      <c r="AK160" s="24">
        <f>IF($D160="","",$D160-$B160)</f>
        <v/>
      </c>
      <c r="AL160" s="18">
        <f>IF(OR($D160="",$B160=""),"",ROUND(N($R160)*($D160-$B160),2))</f>
        <v/>
      </c>
      <c r="AM160" s="17">
        <f>IF(AND($E160="Saída",$W160&gt;0,$C160&lt;&gt;""),$C160+ROW()/1000000,"")</f>
        <v/>
      </c>
      <c r="AN160" s="17">
        <f>IF(AND($E160="Entrada",$W160&gt;0,$C160&lt;&gt;""),$C160+ROW()/1000000,"")</f>
        <v/>
      </c>
      <c r="AO160" s="9">
        <f>IF(COUNTA($B160:$R160)=0,"",IF(AND($I160&lt;&gt;"",COUNTIF(CLIENTES_NOMES,$I160)+COUNTIF(CLIENTES_FANTASIA,$I160)+COUNTIF(FORNECEDORES_NOMES,$I160)+COUNTIF(FORNECEDORES_FANTASIA,$I160)=0),"⚠ Cliente/Fornecedor não cadastrado",IF(AND($G160&lt;&gt;"",COUNTIF(SUBCATEGORIAS_PLANO,$G160)=0),"⚠ Subcategoria fora do plano de contas",IF(OR($Q160="",N($Q160)=0),"⚠ Valor previsto não informado",IF(AND(OR($X160="Pago",$X160="Recebido"),$D160=""),"⚠ Status pago/recebido sem data",IF(AND($D160&lt;&gt;"",N($R160)=0),"⚠ Data de pagamento sem valor realizado",IF(AND(N($P160)&gt;1,N($O160)&gt;N($P160)),"⚠ Nº da parcela maior que o total",IF(AND($C160&lt;&gt;"",$B160&lt;&gt;"",$C160&lt;$B160),"⚠ Vencimento anterior à competência","OK"))))))))</f>
        <v/>
      </c>
    </row>
    <row r="161">
      <c r="A161" s="14" t="inlineStr">
        <is>
          <t>L0156</t>
        </is>
      </c>
      <c r="B161" s="36" t="n">
        <v>46124</v>
      </c>
      <c r="C161" s="36" t="n">
        <v>46139</v>
      </c>
      <c r="D161" s="36" t="n">
        <v>46141</v>
      </c>
      <c r="E161" s="14" t="inlineStr">
        <is>
          <t>Saída</t>
        </is>
      </c>
      <c r="F161" s="29" t="inlineStr">
        <is>
          <t>Custos Variáveis</t>
        </is>
      </c>
      <c r="G161" s="29" t="inlineStr">
        <is>
          <t>Embalagens</t>
        </is>
      </c>
      <c r="H161" s="29" t="inlineStr">
        <is>
          <t>Logística</t>
        </is>
      </c>
      <c r="I161" s="29" t="inlineStr">
        <is>
          <t>EMBALAGENS PAULISTA LTDA</t>
        </is>
      </c>
      <c r="J161" s="29" t="inlineStr">
        <is>
          <t>Compra de embalagens e etiquetas</t>
        </is>
      </c>
      <c r="K161" s="14" t="inlineStr">
        <is>
          <t>DOC 7187</t>
        </is>
      </c>
      <c r="L161" s="29" t="inlineStr">
        <is>
          <t>Itaú Unibanco — C/C 45678-9</t>
        </is>
      </c>
      <c r="M161" s="14" t="inlineStr">
        <is>
          <t>Boleto</t>
        </is>
      </c>
      <c r="N161" s="29" t="n"/>
      <c r="O161" s="13" t="n">
        <v>1</v>
      </c>
      <c r="P161" s="13" t="n">
        <v>1</v>
      </c>
      <c r="Q161" s="35" t="n">
        <v>2595.06</v>
      </c>
      <c r="R161" s="35" t="n">
        <v>2595.06</v>
      </c>
      <c r="S161" s="35" t="n"/>
      <c r="T161" s="35" t="n"/>
      <c r="U161" s="35" t="n"/>
      <c r="V161" s="18">
        <f>IF(COUNTA($B161:$R161)=0,"",ROUND(N($R161)+N($S161)+N($T161)-N($U161),2))</f>
        <v/>
      </c>
      <c r="W161" s="18">
        <f>IF(COUNTA($B161:$R161)=0,"",IF(OR($X161="Pago",$X161="Recebido",$X161="Cancelado"),0,ROUND(N($Q161)+N($S161)+N($T161)-N($U161)-N($R161),2)))</f>
        <v/>
      </c>
      <c r="X161" s="14" t="inlineStr">
        <is>
          <t>Pago</t>
        </is>
      </c>
      <c r="Y161" s="17">
        <f>IF(COUNTA($B161:$R161)=0,"",IF($X161="Cancelado","Cancelado",IF(OR($X161="Pago",$X161="Recebido"),$X161,IF(OR($X161="Parcial",N($R161)&gt;0),"Parcial",IF($C161="","Sem vencimento",IF($C161&lt;TODAY(),"Vencido",IF($C161=TODAY(),"Vence hoje",IF($C161&lt;=TODAY()+7,"Vence em 7 dias",IF($C161&lt;=TODAY()+30,"Vence em 30 dias","Futuro")))))))))</f>
        <v/>
      </c>
      <c r="Z161" s="24">
        <f>IF($B161="","",MONTH($B161))</f>
        <v/>
      </c>
      <c r="AA161" s="24">
        <f>IF($B161="","",YEAR($B161))</f>
        <v/>
      </c>
      <c r="AB161" s="24">
        <f>IF($B161="","",ISOWEEKNUM($B161))</f>
        <v/>
      </c>
      <c r="AC161" s="17">
        <f>IF($B161="","",CHOOSE(WEEKDAY($B161,2),"Segunda","Terça","Quarta","Quinta","Sexta","Sábado","Domingo"))</f>
        <v/>
      </c>
      <c r="AD161" s="17">
        <f>IF($B161="","",TEXT($B161,"MM/AAAA"))</f>
        <v/>
      </c>
      <c r="AE161" s="18">
        <f>IF(COUNTA($B161:$R161)=0,"",IF($X161="Cancelado",0,ROUND(N($Q161)+N($S161)+N($T161)-N($U161),2)))</f>
        <v/>
      </c>
      <c r="AF161" s="9">
        <f>IF($G161="","",IFERROR(INDEX(LINHAS_DRE_PLANO,MATCH($G161,SUBCATEGORIAS_PLANO,0)),"Não classificado"))</f>
        <v/>
      </c>
      <c r="AG161" s="17">
        <f>IF($G161="","",IFERROR(INDEX(TIPOS_FLUXO_PLANO,MATCH($G161,SUBCATEGORIAS_PLANO,0)),"Não classificado"))</f>
        <v/>
      </c>
      <c r="AH161" s="9">
        <f>IF($G161="","",IFERROR(INDEX(GRUPOS_PLANO,MATCH($G161,SUBCATEGORIAS_PLANO,0)),"Não classificado"))</f>
        <v/>
      </c>
      <c r="AI161" s="24">
        <f>IF(OR($C161="",$X161="Pago",$X161="Recebido",$X161="Cancelado"),"",$C161-TODAY())</f>
        <v/>
      </c>
      <c r="AJ161" s="24">
        <f>IF(OR($C161="",$X161="Pago",$X161="Recebido",$X161="Cancelado"),0,MAX(0,TODAY()-$C161))</f>
        <v/>
      </c>
      <c r="AK161" s="24">
        <f>IF($D161="","",$D161-$B161)</f>
        <v/>
      </c>
      <c r="AL161" s="18">
        <f>IF(OR($D161="",$B161=""),"",ROUND(N($R161)*($D161-$B161),2))</f>
        <v/>
      </c>
      <c r="AM161" s="17">
        <f>IF(AND($E161="Saída",$W161&gt;0,$C161&lt;&gt;""),$C161+ROW()/1000000,"")</f>
        <v/>
      </c>
      <c r="AN161" s="17">
        <f>IF(AND($E161="Entrada",$W161&gt;0,$C161&lt;&gt;""),$C161+ROW()/1000000,"")</f>
        <v/>
      </c>
      <c r="AO161" s="9">
        <f>IF(COUNTA($B161:$R161)=0,"",IF(AND($I161&lt;&gt;"",COUNTIF(CLIENTES_NOMES,$I161)+COUNTIF(CLIENTES_FANTASIA,$I161)+COUNTIF(FORNECEDORES_NOMES,$I161)+COUNTIF(FORNECEDORES_FANTASIA,$I161)=0),"⚠ Cliente/Fornecedor não cadastrado",IF(AND($G161&lt;&gt;"",COUNTIF(SUBCATEGORIAS_PLANO,$G161)=0),"⚠ Subcategoria fora do plano de contas",IF(OR($Q161="",N($Q161)=0),"⚠ Valor previsto não informado",IF(AND(OR($X161="Pago",$X161="Recebido"),$D161=""),"⚠ Status pago/recebido sem data",IF(AND($D161&lt;&gt;"",N($R161)=0),"⚠ Data de pagamento sem valor realizado",IF(AND(N($P161)&gt;1,N($O161)&gt;N($P161)),"⚠ Nº da parcela maior que o total",IF(AND($C161&lt;&gt;"",$B161&lt;&gt;"",$C161&lt;$B161),"⚠ Vencimento anterior à competência","OK"))))))))</f>
        <v/>
      </c>
    </row>
    <row r="162">
      <c r="A162" s="14" t="inlineStr">
        <is>
          <t>L0157</t>
        </is>
      </c>
      <c r="B162" s="36" t="n">
        <v>46124</v>
      </c>
      <c r="C162" s="36" t="n">
        <v>46134</v>
      </c>
      <c r="D162" s="36" t="n">
        <v>46134</v>
      </c>
      <c r="E162" s="14" t="inlineStr">
        <is>
          <t>Saída</t>
        </is>
      </c>
      <c r="F162" s="29" t="inlineStr">
        <is>
          <t>Despesas Administrativas</t>
        </is>
      </c>
      <c r="G162" s="29" t="inlineStr">
        <is>
          <t>Energia Elétrica</t>
        </is>
      </c>
      <c r="H162" s="29" t="inlineStr">
        <is>
          <t>Administrativo</t>
        </is>
      </c>
      <c r="I162" s="29" t="inlineStr">
        <is>
          <t>ENEL DISTRIBUIÇÃO SÃO PAULO</t>
        </is>
      </c>
      <c r="J162" s="29" t="inlineStr">
        <is>
          <t>Energia elétrica — fatura 04/2026</t>
        </is>
      </c>
      <c r="K162" s="14" t="inlineStr">
        <is>
          <t>DOC 8314</t>
        </is>
      </c>
      <c r="L162" s="29" t="inlineStr">
        <is>
          <t>Itaú Unibanco — C/C 45678-9</t>
        </is>
      </c>
      <c r="M162" s="14" t="inlineStr">
        <is>
          <t>Débito automático</t>
        </is>
      </c>
      <c r="N162" s="29" t="n"/>
      <c r="O162" s="13" t="n">
        <v>1</v>
      </c>
      <c r="P162" s="13" t="n">
        <v>1</v>
      </c>
      <c r="Q162" s="35" t="n">
        <v>2182.2</v>
      </c>
      <c r="R162" s="35" t="n">
        <v>2182.2</v>
      </c>
      <c r="S162" s="35" t="n"/>
      <c r="T162" s="35" t="n"/>
      <c r="U162" s="35" t="n"/>
      <c r="V162" s="18">
        <f>IF(COUNTA($B162:$R162)=0,"",ROUND(N($R162)+N($S162)+N($T162)-N($U162),2))</f>
        <v/>
      </c>
      <c r="W162" s="18">
        <f>IF(COUNTA($B162:$R162)=0,"",IF(OR($X162="Pago",$X162="Recebido",$X162="Cancelado"),0,ROUND(N($Q162)+N($S162)+N($T162)-N($U162)-N($R162),2)))</f>
        <v/>
      </c>
      <c r="X162" s="14" t="inlineStr">
        <is>
          <t>Pago</t>
        </is>
      </c>
      <c r="Y162" s="17">
        <f>IF(COUNTA($B162:$R162)=0,"",IF($X162="Cancelado","Cancelado",IF(OR($X162="Pago",$X162="Recebido"),$X162,IF(OR($X162="Parcial",N($R162)&gt;0),"Parcial",IF($C162="","Sem vencimento",IF($C162&lt;TODAY(),"Vencido",IF($C162=TODAY(),"Vence hoje",IF($C162&lt;=TODAY()+7,"Vence em 7 dias",IF($C162&lt;=TODAY()+30,"Vence em 30 dias","Futuro")))))))))</f>
        <v/>
      </c>
      <c r="Z162" s="24">
        <f>IF($B162="","",MONTH($B162))</f>
        <v/>
      </c>
      <c r="AA162" s="24">
        <f>IF($B162="","",YEAR($B162))</f>
        <v/>
      </c>
      <c r="AB162" s="24">
        <f>IF($B162="","",ISOWEEKNUM($B162))</f>
        <v/>
      </c>
      <c r="AC162" s="17">
        <f>IF($B162="","",CHOOSE(WEEKDAY($B162,2),"Segunda","Terça","Quarta","Quinta","Sexta","Sábado","Domingo"))</f>
        <v/>
      </c>
      <c r="AD162" s="17">
        <f>IF($B162="","",TEXT($B162,"MM/AAAA"))</f>
        <v/>
      </c>
      <c r="AE162" s="18">
        <f>IF(COUNTA($B162:$R162)=0,"",IF($X162="Cancelado",0,ROUND(N($Q162)+N($S162)+N($T162)-N($U162),2)))</f>
        <v/>
      </c>
      <c r="AF162" s="9">
        <f>IF($G162="","",IFERROR(INDEX(LINHAS_DRE_PLANO,MATCH($G162,SUBCATEGORIAS_PLANO,0)),"Não classificado"))</f>
        <v/>
      </c>
      <c r="AG162" s="17">
        <f>IF($G162="","",IFERROR(INDEX(TIPOS_FLUXO_PLANO,MATCH($G162,SUBCATEGORIAS_PLANO,0)),"Não classificado"))</f>
        <v/>
      </c>
      <c r="AH162" s="9">
        <f>IF($G162="","",IFERROR(INDEX(GRUPOS_PLANO,MATCH($G162,SUBCATEGORIAS_PLANO,0)),"Não classificado"))</f>
        <v/>
      </c>
      <c r="AI162" s="24">
        <f>IF(OR($C162="",$X162="Pago",$X162="Recebido",$X162="Cancelado"),"",$C162-TODAY())</f>
        <v/>
      </c>
      <c r="AJ162" s="24">
        <f>IF(OR($C162="",$X162="Pago",$X162="Recebido",$X162="Cancelado"),0,MAX(0,TODAY()-$C162))</f>
        <v/>
      </c>
      <c r="AK162" s="24">
        <f>IF($D162="","",$D162-$B162)</f>
        <v/>
      </c>
      <c r="AL162" s="18">
        <f>IF(OR($D162="",$B162=""),"",ROUND(N($R162)*($D162-$B162),2))</f>
        <v/>
      </c>
      <c r="AM162" s="17">
        <f>IF(AND($E162="Saída",$W162&gt;0,$C162&lt;&gt;""),$C162+ROW()/1000000,"")</f>
        <v/>
      </c>
      <c r="AN162" s="17">
        <f>IF(AND($E162="Entrada",$W162&gt;0,$C162&lt;&gt;""),$C162+ROW()/1000000,"")</f>
        <v/>
      </c>
      <c r="AO162" s="9">
        <f>IF(COUNTA($B162:$R162)=0,"",IF(AND($I162&lt;&gt;"",COUNTIF(CLIENTES_NOMES,$I162)+COUNTIF(CLIENTES_FANTASIA,$I162)+COUNTIF(FORNECEDORES_NOMES,$I162)+COUNTIF(FORNECEDORES_FANTASIA,$I162)=0),"⚠ Cliente/Fornecedor não cadastrado",IF(AND($G162&lt;&gt;"",COUNTIF(SUBCATEGORIAS_PLANO,$G162)=0),"⚠ Subcategoria fora do plano de contas",IF(OR($Q162="",N($Q162)=0),"⚠ Valor previsto não informado",IF(AND(OR($X162="Pago",$X162="Recebido"),$D162=""),"⚠ Status pago/recebido sem data",IF(AND($D162&lt;&gt;"",N($R162)=0),"⚠ Data de pagamento sem valor realizado",IF(AND(N($P162)&gt;1,N($O162)&gt;N($P162)),"⚠ Nº da parcela maior que o total",IF(AND($C162&lt;&gt;"",$B162&lt;&gt;"",$C162&lt;$B162),"⚠ Vencimento anterior à competência","OK"))))))))</f>
        <v/>
      </c>
    </row>
    <row r="163">
      <c r="A163" s="14" t="inlineStr">
        <is>
          <t>L0158</t>
        </is>
      </c>
      <c r="B163" s="36" t="n">
        <v>46126</v>
      </c>
      <c r="C163" s="36" t="n">
        <v>46126</v>
      </c>
      <c r="D163" s="36" t="n">
        <v>46126</v>
      </c>
      <c r="E163" s="14" t="inlineStr">
        <is>
          <t>Saída</t>
        </is>
      </c>
      <c r="F163" s="29" t="inlineStr">
        <is>
          <t>Devoluções e Cancelamentos</t>
        </is>
      </c>
      <c r="G163" s="29" t="inlineStr">
        <is>
          <t>Devoluções e Cancelamentos de Vendas</t>
        </is>
      </c>
      <c r="H163" s="29" t="inlineStr">
        <is>
          <t>Comercial</t>
        </is>
      </c>
      <c r="I163" s="29" t="inlineStr">
        <is>
          <t>PADARIA PÃO DOURADO ME</t>
        </is>
      </c>
      <c r="J163" s="29" t="inlineStr">
        <is>
          <t>Devolução de mercadorias — avaria no transporte</t>
        </is>
      </c>
      <c r="K163" s="14" t="inlineStr">
        <is>
          <t>DEV-04</t>
        </is>
      </c>
      <c r="L163" s="29" t="inlineStr">
        <is>
          <t>Itaú Unibanco — C/C 45678-9</t>
        </is>
      </c>
      <c r="M163" s="14" t="inlineStr">
        <is>
          <t>PIX</t>
        </is>
      </c>
      <c r="N163" s="29" t="n"/>
      <c r="O163" s="13" t="n">
        <v>1</v>
      </c>
      <c r="P163" s="13" t="n">
        <v>1</v>
      </c>
      <c r="Q163" s="35" t="n">
        <v>1850</v>
      </c>
      <c r="R163" s="35" t="n">
        <v>1850</v>
      </c>
      <c r="S163" s="35" t="n"/>
      <c r="T163" s="35" t="n"/>
      <c r="U163" s="35" t="n"/>
      <c r="V163" s="18">
        <f>IF(COUNTA($B163:$R163)=0,"",ROUND(N($R163)+N($S163)+N($T163)-N($U163),2))</f>
        <v/>
      </c>
      <c r="W163" s="18">
        <f>IF(COUNTA($B163:$R163)=0,"",IF(OR($X163="Pago",$X163="Recebido",$X163="Cancelado"),0,ROUND(N($Q163)+N($S163)+N($T163)-N($U163)-N($R163),2)))</f>
        <v/>
      </c>
      <c r="X163" s="14" t="inlineStr">
        <is>
          <t>Pago</t>
        </is>
      </c>
      <c r="Y163" s="17">
        <f>IF(COUNTA($B163:$R163)=0,"",IF($X163="Cancelado","Cancelado",IF(OR($X163="Pago",$X163="Recebido"),$X163,IF(OR($X163="Parcial",N($R163)&gt;0),"Parcial",IF($C163="","Sem vencimento",IF($C163&lt;TODAY(),"Vencido",IF($C163=TODAY(),"Vence hoje",IF($C163&lt;=TODAY()+7,"Vence em 7 dias",IF($C163&lt;=TODAY()+30,"Vence em 30 dias","Futuro")))))))))</f>
        <v/>
      </c>
      <c r="Z163" s="24">
        <f>IF($B163="","",MONTH($B163))</f>
        <v/>
      </c>
      <c r="AA163" s="24">
        <f>IF($B163="","",YEAR($B163))</f>
        <v/>
      </c>
      <c r="AB163" s="24">
        <f>IF($B163="","",ISOWEEKNUM($B163))</f>
        <v/>
      </c>
      <c r="AC163" s="17">
        <f>IF($B163="","",CHOOSE(WEEKDAY($B163,2),"Segunda","Terça","Quarta","Quinta","Sexta","Sábado","Domingo"))</f>
        <v/>
      </c>
      <c r="AD163" s="17">
        <f>IF($B163="","",TEXT($B163,"MM/AAAA"))</f>
        <v/>
      </c>
      <c r="AE163" s="18">
        <f>IF(COUNTA($B163:$R163)=0,"",IF($X163="Cancelado",0,ROUND(N($Q163)+N($S163)+N($T163)-N($U163),2)))</f>
        <v/>
      </c>
      <c r="AF163" s="9">
        <f>IF($G163="","",IFERROR(INDEX(LINHAS_DRE_PLANO,MATCH($G163,SUBCATEGORIAS_PLANO,0)),"Não classificado"))</f>
        <v/>
      </c>
      <c r="AG163" s="17">
        <f>IF($G163="","",IFERROR(INDEX(TIPOS_FLUXO_PLANO,MATCH($G163,SUBCATEGORIAS_PLANO,0)),"Não classificado"))</f>
        <v/>
      </c>
      <c r="AH163" s="9">
        <f>IF($G163="","",IFERROR(INDEX(GRUPOS_PLANO,MATCH($G163,SUBCATEGORIAS_PLANO,0)),"Não classificado"))</f>
        <v/>
      </c>
      <c r="AI163" s="24">
        <f>IF(OR($C163="",$X163="Pago",$X163="Recebido",$X163="Cancelado"),"",$C163-TODAY())</f>
        <v/>
      </c>
      <c r="AJ163" s="24">
        <f>IF(OR($C163="",$X163="Pago",$X163="Recebido",$X163="Cancelado"),0,MAX(0,TODAY()-$C163))</f>
        <v/>
      </c>
      <c r="AK163" s="24">
        <f>IF($D163="","",$D163-$B163)</f>
        <v/>
      </c>
      <c r="AL163" s="18">
        <f>IF(OR($D163="",$B163=""),"",ROUND(N($R163)*($D163-$B163),2))</f>
        <v/>
      </c>
      <c r="AM163" s="17">
        <f>IF(AND($E163="Saída",$W163&gt;0,$C163&lt;&gt;""),$C163+ROW()/1000000,"")</f>
        <v/>
      </c>
      <c r="AN163" s="17">
        <f>IF(AND($E163="Entrada",$W163&gt;0,$C163&lt;&gt;""),$C163+ROW()/1000000,"")</f>
        <v/>
      </c>
      <c r="AO163" s="9">
        <f>IF(COUNTA($B163:$R163)=0,"",IF(AND($I163&lt;&gt;"",COUNTIF(CLIENTES_NOMES,$I163)+COUNTIF(CLIENTES_FANTASIA,$I163)+COUNTIF(FORNECEDORES_NOMES,$I163)+COUNTIF(FORNECEDORES_FANTASIA,$I163)=0),"⚠ Cliente/Fornecedor não cadastrado",IF(AND($G163&lt;&gt;"",COUNTIF(SUBCATEGORIAS_PLANO,$G163)=0),"⚠ Subcategoria fora do plano de contas",IF(OR($Q163="",N($Q163)=0),"⚠ Valor previsto não informado",IF(AND(OR($X163="Pago",$X163="Recebido"),$D163=""),"⚠ Status pago/recebido sem data",IF(AND($D163&lt;&gt;"",N($R163)=0),"⚠ Data de pagamento sem valor realizado",IF(AND(N($P163)&gt;1,N($O163)&gt;N($P163)),"⚠ Nº da parcela maior que o total",IF(AND($C163&lt;&gt;"",$B163&lt;&gt;"",$C163&lt;$B163),"⚠ Vencimento anterior à competência","OK"))))))))</f>
        <v/>
      </c>
    </row>
    <row r="164">
      <c r="A164" s="14" t="inlineStr">
        <is>
          <t>L0159</t>
        </is>
      </c>
      <c r="B164" s="36" t="n">
        <v>46127</v>
      </c>
      <c r="C164" s="36" t="n">
        <v>46139</v>
      </c>
      <c r="D164" s="36" t="n">
        <v>46139</v>
      </c>
      <c r="E164" s="14" t="inlineStr">
        <is>
          <t>Saída</t>
        </is>
      </c>
      <c r="F164" s="29" t="inlineStr">
        <is>
          <t>Despesas Administrativas</t>
        </is>
      </c>
      <c r="G164" s="29" t="inlineStr">
        <is>
          <t>Água e Saneamento</t>
        </is>
      </c>
      <c r="H164" s="29" t="inlineStr">
        <is>
          <t>Administrativo</t>
        </is>
      </c>
      <c r="I164" s="29" t="inlineStr">
        <is>
          <t>SABESP — SANEAMENTO BÁSICO DO ESTADO DE SÃO PAULO</t>
        </is>
      </c>
      <c r="J164" s="29" t="inlineStr">
        <is>
          <t>Água e saneamento — fatura 04/2026</t>
        </is>
      </c>
      <c r="K164" s="14" t="inlineStr">
        <is>
          <t>DOC 8315</t>
        </is>
      </c>
      <c r="L164" s="29" t="inlineStr">
        <is>
          <t>Itaú Unibanco — C/C 45678-9</t>
        </is>
      </c>
      <c r="M164" s="14" t="inlineStr">
        <is>
          <t>Débito automático</t>
        </is>
      </c>
      <c r="N164" s="29" t="n"/>
      <c r="O164" s="13" t="n">
        <v>1</v>
      </c>
      <c r="P164" s="13" t="n">
        <v>1</v>
      </c>
      <c r="Q164" s="35" t="n">
        <v>456.15</v>
      </c>
      <c r="R164" s="35" t="n">
        <v>456.15</v>
      </c>
      <c r="S164" s="35" t="n"/>
      <c r="T164" s="35" t="n"/>
      <c r="U164" s="35" t="n"/>
      <c r="V164" s="18">
        <f>IF(COUNTA($B164:$R164)=0,"",ROUND(N($R164)+N($S164)+N($T164)-N($U164),2))</f>
        <v/>
      </c>
      <c r="W164" s="18">
        <f>IF(COUNTA($B164:$R164)=0,"",IF(OR($X164="Pago",$X164="Recebido",$X164="Cancelado"),0,ROUND(N($Q164)+N($S164)+N($T164)-N($U164)-N($R164),2)))</f>
        <v/>
      </c>
      <c r="X164" s="14" t="inlineStr">
        <is>
          <t>Pago</t>
        </is>
      </c>
      <c r="Y164" s="17">
        <f>IF(COUNTA($B164:$R164)=0,"",IF($X164="Cancelado","Cancelado",IF(OR($X164="Pago",$X164="Recebido"),$X164,IF(OR($X164="Parcial",N($R164)&gt;0),"Parcial",IF($C164="","Sem vencimento",IF($C164&lt;TODAY(),"Vencido",IF($C164=TODAY(),"Vence hoje",IF($C164&lt;=TODAY()+7,"Vence em 7 dias",IF($C164&lt;=TODAY()+30,"Vence em 30 dias","Futuro")))))))))</f>
        <v/>
      </c>
      <c r="Z164" s="24">
        <f>IF($B164="","",MONTH($B164))</f>
        <v/>
      </c>
      <c r="AA164" s="24">
        <f>IF($B164="","",YEAR($B164))</f>
        <v/>
      </c>
      <c r="AB164" s="24">
        <f>IF($B164="","",ISOWEEKNUM($B164))</f>
        <v/>
      </c>
      <c r="AC164" s="17">
        <f>IF($B164="","",CHOOSE(WEEKDAY($B164,2),"Segunda","Terça","Quarta","Quinta","Sexta","Sábado","Domingo"))</f>
        <v/>
      </c>
      <c r="AD164" s="17">
        <f>IF($B164="","",TEXT($B164,"MM/AAAA"))</f>
        <v/>
      </c>
      <c r="AE164" s="18">
        <f>IF(COUNTA($B164:$R164)=0,"",IF($X164="Cancelado",0,ROUND(N($Q164)+N($S164)+N($T164)-N($U164),2)))</f>
        <v/>
      </c>
      <c r="AF164" s="9">
        <f>IF($G164="","",IFERROR(INDEX(LINHAS_DRE_PLANO,MATCH($G164,SUBCATEGORIAS_PLANO,0)),"Não classificado"))</f>
        <v/>
      </c>
      <c r="AG164" s="17">
        <f>IF($G164="","",IFERROR(INDEX(TIPOS_FLUXO_PLANO,MATCH($G164,SUBCATEGORIAS_PLANO,0)),"Não classificado"))</f>
        <v/>
      </c>
      <c r="AH164" s="9">
        <f>IF($G164="","",IFERROR(INDEX(GRUPOS_PLANO,MATCH($G164,SUBCATEGORIAS_PLANO,0)),"Não classificado"))</f>
        <v/>
      </c>
      <c r="AI164" s="24">
        <f>IF(OR($C164="",$X164="Pago",$X164="Recebido",$X164="Cancelado"),"",$C164-TODAY())</f>
        <v/>
      </c>
      <c r="AJ164" s="24">
        <f>IF(OR($C164="",$X164="Pago",$X164="Recebido",$X164="Cancelado"),0,MAX(0,TODAY()-$C164))</f>
        <v/>
      </c>
      <c r="AK164" s="24">
        <f>IF($D164="","",$D164-$B164)</f>
        <v/>
      </c>
      <c r="AL164" s="18">
        <f>IF(OR($D164="",$B164=""),"",ROUND(N($R164)*($D164-$B164),2))</f>
        <v/>
      </c>
      <c r="AM164" s="17">
        <f>IF(AND($E164="Saída",$W164&gt;0,$C164&lt;&gt;""),$C164+ROW()/1000000,"")</f>
        <v/>
      </c>
      <c r="AN164" s="17">
        <f>IF(AND($E164="Entrada",$W164&gt;0,$C164&lt;&gt;""),$C164+ROW()/1000000,"")</f>
        <v/>
      </c>
      <c r="AO164" s="9">
        <f>IF(COUNTA($B164:$R164)=0,"",IF(AND($I164&lt;&gt;"",COUNTIF(CLIENTES_NOMES,$I164)+COUNTIF(CLIENTES_FANTASIA,$I164)+COUNTIF(FORNECEDORES_NOMES,$I164)+COUNTIF(FORNECEDORES_FANTASIA,$I164)=0),"⚠ Cliente/Fornecedor não cadastrado",IF(AND($G164&lt;&gt;"",COUNTIF(SUBCATEGORIAS_PLANO,$G164)=0),"⚠ Subcategoria fora do plano de contas",IF(OR($Q164="",N($Q164)=0),"⚠ Valor previsto não informado",IF(AND(OR($X164="Pago",$X164="Recebido"),$D164=""),"⚠ Status pago/recebido sem data",IF(AND($D164&lt;&gt;"",N($R164)=0),"⚠ Data de pagamento sem valor realizado",IF(AND(N($P164)&gt;1,N($O164)&gt;N($P164)),"⚠ Nº da parcela maior que o total",IF(AND($C164&lt;&gt;"",$B164&lt;&gt;"",$C164&lt;$B164),"⚠ Vencimento anterior à competência","OK"))))))))</f>
        <v/>
      </c>
    </row>
    <row r="165">
      <c r="A165" s="14" t="inlineStr">
        <is>
          <t>L0160</t>
        </is>
      </c>
      <c r="B165" s="36" t="n">
        <v>46127</v>
      </c>
      <c r="C165" s="36" t="n">
        <v>46137</v>
      </c>
      <c r="D165" s="36" t="n">
        <v>46140</v>
      </c>
      <c r="E165" s="14" t="inlineStr">
        <is>
          <t>Saída</t>
        </is>
      </c>
      <c r="F165" s="29" t="inlineStr">
        <is>
          <t>Despesas com Pessoal</t>
        </is>
      </c>
      <c r="G165" s="29" t="inlineStr">
        <is>
          <t>Serviços Terceirizados (PJ)</t>
        </is>
      </c>
      <c r="H165" s="29" t="inlineStr">
        <is>
          <t>Produção</t>
        </is>
      </c>
      <c r="I165" s="29" t="inlineStr">
        <is>
          <t>APOIO OPERACIONAL SERVIÇOS LTDA</t>
        </is>
      </c>
      <c r="J165" s="29" t="inlineStr">
        <is>
          <t>Equipe terceirizada de separação e expedição</t>
        </is>
      </c>
      <c r="K165" s="14" t="inlineStr">
        <is>
          <t>DOC 8326</t>
        </is>
      </c>
      <c r="L165" s="29" t="inlineStr">
        <is>
          <t>Banco do Brasil — C/C 12345-6</t>
        </is>
      </c>
      <c r="M165" s="14" t="inlineStr">
        <is>
          <t>PIX</t>
        </is>
      </c>
      <c r="N165" s="29" t="n"/>
      <c r="O165" s="13" t="n">
        <v>1</v>
      </c>
      <c r="P165" s="13" t="n">
        <v>1</v>
      </c>
      <c r="Q165" s="35" t="n">
        <v>1800</v>
      </c>
      <c r="R165" s="35" t="n">
        <v>1800</v>
      </c>
      <c r="S165" s="35" t="n"/>
      <c r="T165" s="35" t="n"/>
      <c r="U165" s="35" t="n"/>
      <c r="V165" s="18">
        <f>IF(COUNTA($B165:$R165)=0,"",ROUND(N($R165)+N($S165)+N($T165)-N($U165),2))</f>
        <v/>
      </c>
      <c r="W165" s="18">
        <f>IF(COUNTA($B165:$R165)=0,"",IF(OR($X165="Pago",$X165="Recebido",$X165="Cancelado"),0,ROUND(N($Q165)+N($S165)+N($T165)-N($U165)-N($R165),2)))</f>
        <v/>
      </c>
      <c r="X165" s="14" t="inlineStr">
        <is>
          <t>Pago</t>
        </is>
      </c>
      <c r="Y165" s="17">
        <f>IF(COUNTA($B165:$R165)=0,"",IF($X165="Cancelado","Cancelado",IF(OR($X165="Pago",$X165="Recebido"),$X165,IF(OR($X165="Parcial",N($R165)&gt;0),"Parcial",IF($C165="","Sem vencimento",IF($C165&lt;TODAY(),"Vencido",IF($C165=TODAY(),"Vence hoje",IF($C165&lt;=TODAY()+7,"Vence em 7 dias",IF($C165&lt;=TODAY()+30,"Vence em 30 dias","Futuro")))))))))</f>
        <v/>
      </c>
      <c r="Z165" s="24">
        <f>IF($B165="","",MONTH($B165))</f>
        <v/>
      </c>
      <c r="AA165" s="24">
        <f>IF($B165="","",YEAR($B165))</f>
        <v/>
      </c>
      <c r="AB165" s="24">
        <f>IF($B165="","",ISOWEEKNUM($B165))</f>
        <v/>
      </c>
      <c r="AC165" s="17">
        <f>IF($B165="","",CHOOSE(WEEKDAY($B165,2),"Segunda","Terça","Quarta","Quinta","Sexta","Sábado","Domingo"))</f>
        <v/>
      </c>
      <c r="AD165" s="17">
        <f>IF($B165="","",TEXT($B165,"MM/AAAA"))</f>
        <v/>
      </c>
      <c r="AE165" s="18">
        <f>IF(COUNTA($B165:$R165)=0,"",IF($X165="Cancelado",0,ROUND(N($Q165)+N($S165)+N($T165)-N($U165),2)))</f>
        <v/>
      </c>
      <c r="AF165" s="9">
        <f>IF($G165="","",IFERROR(INDEX(LINHAS_DRE_PLANO,MATCH($G165,SUBCATEGORIAS_PLANO,0)),"Não classificado"))</f>
        <v/>
      </c>
      <c r="AG165" s="17">
        <f>IF($G165="","",IFERROR(INDEX(TIPOS_FLUXO_PLANO,MATCH($G165,SUBCATEGORIAS_PLANO,0)),"Não classificado"))</f>
        <v/>
      </c>
      <c r="AH165" s="9">
        <f>IF($G165="","",IFERROR(INDEX(GRUPOS_PLANO,MATCH($G165,SUBCATEGORIAS_PLANO,0)),"Não classificado"))</f>
        <v/>
      </c>
      <c r="AI165" s="24">
        <f>IF(OR($C165="",$X165="Pago",$X165="Recebido",$X165="Cancelado"),"",$C165-TODAY())</f>
        <v/>
      </c>
      <c r="AJ165" s="24">
        <f>IF(OR($C165="",$X165="Pago",$X165="Recebido",$X165="Cancelado"),0,MAX(0,TODAY()-$C165))</f>
        <v/>
      </c>
      <c r="AK165" s="24">
        <f>IF($D165="","",$D165-$B165)</f>
        <v/>
      </c>
      <c r="AL165" s="18">
        <f>IF(OR($D165="",$B165=""),"",ROUND(N($R165)*($D165-$B165),2))</f>
        <v/>
      </c>
      <c r="AM165" s="17">
        <f>IF(AND($E165="Saída",$W165&gt;0,$C165&lt;&gt;""),$C165+ROW()/1000000,"")</f>
        <v/>
      </c>
      <c r="AN165" s="17">
        <f>IF(AND($E165="Entrada",$W165&gt;0,$C165&lt;&gt;""),$C165+ROW()/1000000,"")</f>
        <v/>
      </c>
      <c r="AO165" s="9">
        <f>IF(COUNTA($B165:$R165)=0,"",IF(AND($I165&lt;&gt;"",COUNTIF(CLIENTES_NOMES,$I165)+COUNTIF(CLIENTES_FANTASIA,$I165)+COUNTIF(FORNECEDORES_NOMES,$I165)+COUNTIF(FORNECEDORES_FANTASIA,$I165)=0),"⚠ Cliente/Fornecedor não cadastrado",IF(AND($G165&lt;&gt;"",COUNTIF(SUBCATEGORIAS_PLANO,$G165)=0),"⚠ Subcategoria fora do plano de contas",IF(OR($Q165="",N($Q165)=0),"⚠ Valor previsto não informado",IF(AND(OR($X165="Pago",$X165="Recebido"),$D165=""),"⚠ Status pago/recebido sem data",IF(AND($D165&lt;&gt;"",N($R165)=0),"⚠ Data de pagamento sem valor realizado",IF(AND(N($P165)&gt;1,N($O165)&gt;N($P165)),"⚠ Nº da parcela maior que o total",IF(AND($C165&lt;&gt;"",$B165&lt;&gt;"",$C165&lt;$B165),"⚠ Vencimento anterior à competência","OK"))))))))</f>
        <v/>
      </c>
    </row>
    <row r="166">
      <c r="A166" s="14" t="inlineStr">
        <is>
          <t>L0161</t>
        </is>
      </c>
      <c r="B166" s="36" t="n">
        <v>46127</v>
      </c>
      <c r="C166" s="36" t="n">
        <v>46127</v>
      </c>
      <c r="D166" s="36" t="n">
        <v>46127</v>
      </c>
      <c r="E166" s="14" t="inlineStr">
        <is>
          <t>Saída</t>
        </is>
      </c>
      <c r="F166" s="29" t="inlineStr">
        <is>
          <t>Empréstimos e Financiamentos</t>
        </is>
      </c>
      <c r="G166" s="29" t="inlineStr">
        <is>
          <t>Pagamento de Principal de Empréstimos</t>
        </is>
      </c>
      <c r="H166" s="29" t="inlineStr">
        <is>
          <t>Financeiro</t>
        </is>
      </c>
      <c r="I166" s="29" t="inlineStr">
        <is>
          <t>BNDES / Banco do Brasil</t>
        </is>
      </c>
      <c r="J166" s="29" t="inlineStr">
        <is>
          <t>Financiamento de Máquinas — parcela 2/36 (principal)</t>
        </is>
      </c>
      <c r="K166" s="14" t="inlineStr">
        <is>
          <t>FIN-2026-1198-P02</t>
        </is>
      </c>
      <c r="L166" s="29" t="inlineStr">
        <is>
          <t>Banco do Brasil — C/C 12345-6</t>
        </is>
      </c>
      <c r="M166" s="14" t="inlineStr">
        <is>
          <t>Débito automático</t>
        </is>
      </c>
      <c r="N166" s="29" t="n"/>
      <c r="O166" s="13" t="n">
        <v>2</v>
      </c>
      <c r="P166" s="13" t="n">
        <v>36</v>
      </c>
      <c r="Q166" s="35" t="n">
        <v>3333.33</v>
      </c>
      <c r="R166" s="35" t="n">
        <v>3333.33</v>
      </c>
      <c r="S166" s="35" t="n"/>
      <c r="T166" s="35" t="n"/>
      <c r="U166" s="35" t="n"/>
      <c r="V166" s="18">
        <f>IF(COUNTA($B166:$R166)=0,"",ROUND(N($R166)+N($S166)+N($T166)-N($U166),2))</f>
        <v/>
      </c>
      <c r="W166" s="18">
        <f>IF(COUNTA($B166:$R166)=0,"",IF(OR($X166="Pago",$X166="Recebido",$X166="Cancelado"),0,ROUND(N($Q166)+N($S166)+N($T166)-N($U166)-N($R166),2)))</f>
        <v/>
      </c>
      <c r="X166" s="14" t="inlineStr">
        <is>
          <t>Pago</t>
        </is>
      </c>
      <c r="Y166" s="17">
        <f>IF(COUNTA($B166:$R166)=0,"",IF($X166="Cancelado","Cancelado",IF(OR($X166="Pago",$X166="Recebido"),$X166,IF(OR($X166="Parcial",N($R166)&gt;0),"Parcial",IF($C166="","Sem vencimento",IF($C166&lt;TODAY(),"Vencido",IF($C166=TODAY(),"Vence hoje",IF($C166&lt;=TODAY()+7,"Vence em 7 dias",IF($C166&lt;=TODAY()+30,"Vence em 30 dias","Futuro")))))))))</f>
        <v/>
      </c>
      <c r="Z166" s="24">
        <f>IF($B166="","",MONTH($B166))</f>
        <v/>
      </c>
      <c r="AA166" s="24">
        <f>IF($B166="","",YEAR($B166))</f>
        <v/>
      </c>
      <c r="AB166" s="24">
        <f>IF($B166="","",ISOWEEKNUM($B166))</f>
        <v/>
      </c>
      <c r="AC166" s="17">
        <f>IF($B166="","",CHOOSE(WEEKDAY($B166,2),"Segunda","Terça","Quarta","Quinta","Sexta","Sábado","Domingo"))</f>
        <v/>
      </c>
      <c r="AD166" s="17">
        <f>IF($B166="","",TEXT($B166,"MM/AAAA"))</f>
        <v/>
      </c>
      <c r="AE166" s="18">
        <f>IF(COUNTA($B166:$R166)=0,"",IF($X166="Cancelado",0,ROUND(N($Q166)+N($S166)+N($T166)-N($U166),2)))</f>
        <v/>
      </c>
      <c r="AF166" s="9">
        <f>IF($G166="","",IFERROR(INDEX(LINHAS_DRE_PLANO,MATCH($G166,SUBCATEGORIAS_PLANO,0)),"Não classificado"))</f>
        <v/>
      </c>
      <c r="AG166" s="17">
        <f>IF($G166="","",IFERROR(INDEX(TIPOS_FLUXO_PLANO,MATCH($G166,SUBCATEGORIAS_PLANO,0)),"Não classificado"))</f>
        <v/>
      </c>
      <c r="AH166" s="9">
        <f>IF($G166="","",IFERROR(INDEX(GRUPOS_PLANO,MATCH($G166,SUBCATEGORIAS_PLANO,0)),"Não classificado"))</f>
        <v/>
      </c>
      <c r="AI166" s="24">
        <f>IF(OR($C166="",$X166="Pago",$X166="Recebido",$X166="Cancelado"),"",$C166-TODAY())</f>
        <v/>
      </c>
      <c r="AJ166" s="24">
        <f>IF(OR($C166="",$X166="Pago",$X166="Recebido",$X166="Cancelado"),0,MAX(0,TODAY()-$C166))</f>
        <v/>
      </c>
      <c r="AK166" s="24">
        <f>IF($D166="","",$D166-$B166)</f>
        <v/>
      </c>
      <c r="AL166" s="18">
        <f>IF(OR($D166="",$B166=""),"",ROUND(N($R166)*($D166-$B166),2))</f>
        <v/>
      </c>
      <c r="AM166" s="17">
        <f>IF(AND($E166="Saída",$W166&gt;0,$C166&lt;&gt;""),$C166+ROW()/1000000,"")</f>
        <v/>
      </c>
      <c r="AN166" s="17">
        <f>IF(AND($E166="Entrada",$W166&gt;0,$C166&lt;&gt;""),$C166+ROW()/1000000,"")</f>
        <v/>
      </c>
      <c r="AO166" s="9">
        <f>IF(COUNTA($B166:$R166)=0,"",IF(AND($I166&lt;&gt;"",COUNTIF(CLIENTES_NOMES,$I166)+COUNTIF(CLIENTES_FANTASIA,$I166)+COUNTIF(FORNECEDORES_NOMES,$I166)+COUNTIF(FORNECEDORES_FANTASIA,$I166)=0),"⚠ Cliente/Fornecedor não cadastrado",IF(AND($G166&lt;&gt;"",COUNTIF(SUBCATEGORIAS_PLANO,$G166)=0),"⚠ Subcategoria fora do plano de contas",IF(OR($Q166="",N($Q166)=0),"⚠ Valor previsto não informado",IF(AND(OR($X166="Pago",$X166="Recebido"),$D166=""),"⚠ Status pago/recebido sem data",IF(AND($D166&lt;&gt;"",N($R166)=0),"⚠ Data de pagamento sem valor realizado",IF(AND(N($P166)&gt;1,N($O166)&gt;N($P166)),"⚠ Nº da parcela maior que o total",IF(AND($C166&lt;&gt;"",$B166&lt;&gt;"",$C166&lt;$B166),"⚠ Vencimento anterior à competência","OK"))))))))</f>
        <v/>
      </c>
    </row>
    <row r="167">
      <c r="A167" s="14" t="inlineStr">
        <is>
          <t>L0162</t>
        </is>
      </c>
      <c r="B167" s="36" t="n">
        <v>46127</v>
      </c>
      <c r="C167" s="36" t="n">
        <v>46127</v>
      </c>
      <c r="D167" s="36" t="n">
        <v>46127</v>
      </c>
      <c r="E167" s="14" t="inlineStr">
        <is>
          <t>Saída</t>
        </is>
      </c>
      <c r="F167" s="29" t="inlineStr">
        <is>
          <t>Despesas Financeiras</t>
        </is>
      </c>
      <c r="G167" s="29" t="inlineStr">
        <is>
          <t>Juros de Empréstimos e Financiamentos</t>
        </is>
      </c>
      <c r="H167" s="29" t="inlineStr">
        <is>
          <t>Financeiro</t>
        </is>
      </c>
      <c r="I167" s="29" t="inlineStr">
        <is>
          <t>BNDES / Banco do Brasil</t>
        </is>
      </c>
      <c r="J167" s="29" t="inlineStr">
        <is>
          <t>Financiamento de Máquinas — parcela 2/36 (juros)</t>
        </is>
      </c>
      <c r="K167" s="14" t="inlineStr">
        <is>
          <t>FIN-2026-1198-P02</t>
        </is>
      </c>
      <c r="L167" s="29" t="inlineStr">
        <is>
          <t>Banco do Brasil — C/C 12345-6</t>
        </is>
      </c>
      <c r="M167" s="14" t="inlineStr">
        <is>
          <t>Débito automático</t>
        </is>
      </c>
      <c r="N167" s="29" t="n"/>
      <c r="O167" s="13" t="n">
        <v>2</v>
      </c>
      <c r="P167" s="13" t="n">
        <v>36</v>
      </c>
      <c r="Q167" s="35" t="n">
        <v>1283.33</v>
      </c>
      <c r="R167" s="35" t="n">
        <v>1283.33</v>
      </c>
      <c r="S167" s="35" t="n"/>
      <c r="T167" s="35" t="n"/>
      <c r="U167" s="35" t="n"/>
      <c r="V167" s="18">
        <f>IF(COUNTA($B167:$R167)=0,"",ROUND(N($R167)+N($S167)+N($T167)-N($U167),2))</f>
        <v/>
      </c>
      <c r="W167" s="18">
        <f>IF(COUNTA($B167:$R167)=0,"",IF(OR($X167="Pago",$X167="Recebido",$X167="Cancelado"),0,ROUND(N($Q167)+N($S167)+N($T167)-N($U167)-N($R167),2)))</f>
        <v/>
      </c>
      <c r="X167" s="14" t="inlineStr">
        <is>
          <t>Pago</t>
        </is>
      </c>
      <c r="Y167" s="17">
        <f>IF(COUNTA($B167:$R167)=0,"",IF($X167="Cancelado","Cancelado",IF(OR($X167="Pago",$X167="Recebido"),$X167,IF(OR($X167="Parcial",N($R167)&gt;0),"Parcial",IF($C167="","Sem vencimento",IF($C167&lt;TODAY(),"Vencido",IF($C167=TODAY(),"Vence hoje",IF($C167&lt;=TODAY()+7,"Vence em 7 dias",IF($C167&lt;=TODAY()+30,"Vence em 30 dias","Futuro")))))))))</f>
        <v/>
      </c>
      <c r="Z167" s="24">
        <f>IF($B167="","",MONTH($B167))</f>
        <v/>
      </c>
      <c r="AA167" s="24">
        <f>IF($B167="","",YEAR($B167))</f>
        <v/>
      </c>
      <c r="AB167" s="24">
        <f>IF($B167="","",ISOWEEKNUM($B167))</f>
        <v/>
      </c>
      <c r="AC167" s="17">
        <f>IF($B167="","",CHOOSE(WEEKDAY($B167,2),"Segunda","Terça","Quarta","Quinta","Sexta","Sábado","Domingo"))</f>
        <v/>
      </c>
      <c r="AD167" s="17">
        <f>IF($B167="","",TEXT($B167,"MM/AAAA"))</f>
        <v/>
      </c>
      <c r="AE167" s="18">
        <f>IF(COUNTA($B167:$R167)=0,"",IF($X167="Cancelado",0,ROUND(N($Q167)+N($S167)+N($T167)-N($U167),2)))</f>
        <v/>
      </c>
      <c r="AF167" s="9">
        <f>IF($G167="","",IFERROR(INDEX(LINHAS_DRE_PLANO,MATCH($G167,SUBCATEGORIAS_PLANO,0)),"Não classificado"))</f>
        <v/>
      </c>
      <c r="AG167" s="17">
        <f>IF($G167="","",IFERROR(INDEX(TIPOS_FLUXO_PLANO,MATCH($G167,SUBCATEGORIAS_PLANO,0)),"Não classificado"))</f>
        <v/>
      </c>
      <c r="AH167" s="9">
        <f>IF($G167="","",IFERROR(INDEX(GRUPOS_PLANO,MATCH($G167,SUBCATEGORIAS_PLANO,0)),"Não classificado"))</f>
        <v/>
      </c>
      <c r="AI167" s="24">
        <f>IF(OR($C167="",$X167="Pago",$X167="Recebido",$X167="Cancelado"),"",$C167-TODAY())</f>
        <v/>
      </c>
      <c r="AJ167" s="24">
        <f>IF(OR($C167="",$X167="Pago",$X167="Recebido",$X167="Cancelado"),0,MAX(0,TODAY()-$C167))</f>
        <v/>
      </c>
      <c r="AK167" s="24">
        <f>IF($D167="","",$D167-$B167)</f>
        <v/>
      </c>
      <c r="AL167" s="18">
        <f>IF(OR($D167="",$B167=""),"",ROUND(N($R167)*($D167-$B167),2))</f>
        <v/>
      </c>
      <c r="AM167" s="17">
        <f>IF(AND($E167="Saída",$W167&gt;0,$C167&lt;&gt;""),$C167+ROW()/1000000,"")</f>
        <v/>
      </c>
      <c r="AN167" s="17">
        <f>IF(AND($E167="Entrada",$W167&gt;0,$C167&lt;&gt;""),$C167+ROW()/1000000,"")</f>
        <v/>
      </c>
      <c r="AO167" s="9">
        <f>IF(COUNTA($B167:$R167)=0,"",IF(AND($I167&lt;&gt;"",COUNTIF(CLIENTES_NOMES,$I167)+COUNTIF(CLIENTES_FANTASIA,$I167)+COUNTIF(FORNECEDORES_NOMES,$I167)+COUNTIF(FORNECEDORES_FANTASIA,$I167)=0),"⚠ Cliente/Fornecedor não cadastrado",IF(AND($G167&lt;&gt;"",COUNTIF(SUBCATEGORIAS_PLANO,$G167)=0),"⚠ Subcategoria fora do plano de contas",IF(OR($Q167="",N($Q167)=0),"⚠ Valor previsto não informado",IF(AND(OR($X167="Pago",$X167="Recebido"),$D167=""),"⚠ Status pago/recebido sem data",IF(AND($D167&lt;&gt;"",N($R167)=0),"⚠ Data de pagamento sem valor realizado",IF(AND(N($P167)&gt;1,N($O167)&gt;N($P167)),"⚠ Nº da parcela maior que o total",IF(AND($C167&lt;&gt;"",$B167&lt;&gt;"",$C167&lt;$B167),"⚠ Vencimento anterior à competência","OK"))))))))</f>
        <v/>
      </c>
    </row>
    <row r="168">
      <c r="A168" s="14" t="inlineStr">
        <is>
          <t>L0163</t>
        </is>
      </c>
      <c r="B168" s="36" t="n">
        <v>46128</v>
      </c>
      <c r="C168" s="36" t="n">
        <v>46158</v>
      </c>
      <c r="D168" s="36" t="n">
        <v>46160</v>
      </c>
      <c r="E168" s="14" t="inlineStr">
        <is>
          <t>Saída</t>
        </is>
      </c>
      <c r="F168" s="29" t="inlineStr">
        <is>
          <t>Custos Variáveis</t>
        </is>
      </c>
      <c r="G168" s="29" t="inlineStr">
        <is>
          <t>Mercadorias para Revenda</t>
        </is>
      </c>
      <c r="H168" s="29" t="inlineStr">
        <is>
          <t>Logística</t>
        </is>
      </c>
      <c r="I168" s="29" t="inlineStr">
        <is>
          <t>DISTRIBUIDORA CENTRAL DE ALIMENTOS S/A</t>
        </is>
      </c>
      <c r="J168" s="29" t="inlineStr">
        <is>
          <t>Compra de mercadorias para revenda — NF 5041</t>
        </is>
      </c>
      <c r="K168" s="14" t="inlineStr">
        <is>
          <t>NF 5041</t>
        </is>
      </c>
      <c r="L168" s="29" t="inlineStr">
        <is>
          <t>Itaú Unibanco — C/C 45678-9</t>
        </is>
      </c>
      <c r="M168" s="14" t="inlineStr">
        <is>
          <t>Boleto</t>
        </is>
      </c>
      <c r="N168" s="29" t="n"/>
      <c r="O168" s="13" t="n">
        <v>1</v>
      </c>
      <c r="P168" s="13" t="n">
        <v>1</v>
      </c>
      <c r="Q168" s="35" t="n">
        <v>53643.09</v>
      </c>
      <c r="R168" s="35" t="n">
        <v>53643.09</v>
      </c>
      <c r="S168" s="35" t="n"/>
      <c r="T168" s="35" t="n"/>
      <c r="U168" s="35" t="n"/>
      <c r="V168" s="18">
        <f>IF(COUNTA($B168:$R168)=0,"",ROUND(N($R168)+N($S168)+N($T168)-N($U168),2))</f>
        <v/>
      </c>
      <c r="W168" s="18">
        <f>IF(COUNTA($B168:$R168)=0,"",IF(OR($X168="Pago",$X168="Recebido",$X168="Cancelado"),0,ROUND(N($Q168)+N($S168)+N($T168)-N($U168)-N($R168),2)))</f>
        <v/>
      </c>
      <c r="X168" s="14" t="inlineStr">
        <is>
          <t>Pago</t>
        </is>
      </c>
      <c r="Y168" s="17">
        <f>IF(COUNTA($B168:$R168)=0,"",IF($X168="Cancelado","Cancelado",IF(OR($X168="Pago",$X168="Recebido"),$X168,IF(OR($X168="Parcial",N($R168)&gt;0),"Parcial",IF($C168="","Sem vencimento",IF($C168&lt;TODAY(),"Vencido",IF($C168=TODAY(),"Vence hoje",IF($C168&lt;=TODAY()+7,"Vence em 7 dias",IF($C168&lt;=TODAY()+30,"Vence em 30 dias","Futuro")))))))))</f>
        <v/>
      </c>
      <c r="Z168" s="24">
        <f>IF($B168="","",MONTH($B168))</f>
        <v/>
      </c>
      <c r="AA168" s="24">
        <f>IF($B168="","",YEAR($B168))</f>
        <v/>
      </c>
      <c r="AB168" s="24">
        <f>IF($B168="","",ISOWEEKNUM($B168))</f>
        <v/>
      </c>
      <c r="AC168" s="17">
        <f>IF($B168="","",CHOOSE(WEEKDAY($B168,2),"Segunda","Terça","Quarta","Quinta","Sexta","Sábado","Domingo"))</f>
        <v/>
      </c>
      <c r="AD168" s="17">
        <f>IF($B168="","",TEXT($B168,"MM/AAAA"))</f>
        <v/>
      </c>
      <c r="AE168" s="18">
        <f>IF(COUNTA($B168:$R168)=0,"",IF($X168="Cancelado",0,ROUND(N($Q168)+N($S168)+N($T168)-N($U168),2)))</f>
        <v/>
      </c>
      <c r="AF168" s="9">
        <f>IF($G168="","",IFERROR(INDEX(LINHAS_DRE_PLANO,MATCH($G168,SUBCATEGORIAS_PLANO,0)),"Não classificado"))</f>
        <v/>
      </c>
      <c r="AG168" s="17">
        <f>IF($G168="","",IFERROR(INDEX(TIPOS_FLUXO_PLANO,MATCH($G168,SUBCATEGORIAS_PLANO,0)),"Não classificado"))</f>
        <v/>
      </c>
      <c r="AH168" s="9">
        <f>IF($G168="","",IFERROR(INDEX(GRUPOS_PLANO,MATCH($G168,SUBCATEGORIAS_PLANO,0)),"Não classificado"))</f>
        <v/>
      </c>
      <c r="AI168" s="24">
        <f>IF(OR($C168="",$X168="Pago",$X168="Recebido",$X168="Cancelado"),"",$C168-TODAY())</f>
        <v/>
      </c>
      <c r="AJ168" s="24">
        <f>IF(OR($C168="",$X168="Pago",$X168="Recebido",$X168="Cancelado"),0,MAX(0,TODAY()-$C168))</f>
        <v/>
      </c>
      <c r="AK168" s="24">
        <f>IF($D168="","",$D168-$B168)</f>
        <v/>
      </c>
      <c r="AL168" s="18">
        <f>IF(OR($D168="",$B168=""),"",ROUND(N($R168)*($D168-$B168),2))</f>
        <v/>
      </c>
      <c r="AM168" s="17">
        <f>IF(AND($E168="Saída",$W168&gt;0,$C168&lt;&gt;""),$C168+ROW()/1000000,"")</f>
        <v/>
      </c>
      <c r="AN168" s="17">
        <f>IF(AND($E168="Entrada",$W168&gt;0,$C168&lt;&gt;""),$C168+ROW()/1000000,"")</f>
        <v/>
      </c>
      <c r="AO168" s="9">
        <f>IF(COUNTA($B168:$R168)=0,"",IF(AND($I168&lt;&gt;"",COUNTIF(CLIENTES_NOMES,$I168)+COUNTIF(CLIENTES_FANTASIA,$I168)+COUNTIF(FORNECEDORES_NOMES,$I168)+COUNTIF(FORNECEDORES_FANTASIA,$I168)=0),"⚠ Cliente/Fornecedor não cadastrado",IF(AND($G168&lt;&gt;"",COUNTIF(SUBCATEGORIAS_PLANO,$G168)=0),"⚠ Subcategoria fora do plano de contas",IF(OR($Q168="",N($Q168)=0),"⚠ Valor previsto não informado",IF(AND(OR($X168="Pago",$X168="Recebido"),$D168=""),"⚠ Status pago/recebido sem data",IF(AND($D168&lt;&gt;"",N($R168)=0),"⚠ Data de pagamento sem valor realizado",IF(AND(N($P168)&gt;1,N($O168)&gt;N($P168)),"⚠ Nº da parcela maior que o total",IF(AND($C168&lt;&gt;"",$B168&lt;&gt;"",$C168&lt;$B168),"⚠ Vencimento anterior à competência","OK"))))))))</f>
        <v/>
      </c>
    </row>
    <row r="169">
      <c r="A169" s="14" t="inlineStr">
        <is>
          <t>L0164</t>
        </is>
      </c>
      <c r="B169" s="36" t="n">
        <v>46130</v>
      </c>
      <c r="C169" s="36" t="n">
        <v>46130</v>
      </c>
      <c r="D169" s="36" t="n">
        <v>46130</v>
      </c>
      <c r="E169" s="14" t="inlineStr">
        <is>
          <t>Entrada</t>
        </is>
      </c>
      <c r="F169" s="29" t="inlineStr">
        <is>
          <t>Receitas Financeiras</t>
        </is>
      </c>
      <c r="G169" s="29" t="inlineStr">
        <is>
          <t>Juros Recebidos de Clientes</t>
        </is>
      </c>
      <c r="H169" s="29" t="inlineStr">
        <is>
          <t>Financeiro</t>
        </is>
      </c>
      <c r="I169" s="29" t="inlineStr">
        <is>
          <t>RESTAURANTE SABOR CASEIRO LTDA</t>
        </is>
      </c>
      <c r="J169" s="29" t="inlineStr">
        <is>
          <t>Juros e multa por atraso no pagamento do cliente</t>
        </is>
      </c>
      <c r="K169" s="14" t="inlineStr"/>
      <c r="L169" s="29" t="inlineStr">
        <is>
          <t>Itaú Unibanco — C/C 45678-9</t>
        </is>
      </c>
      <c r="M169" s="14" t="inlineStr">
        <is>
          <t>PIX</t>
        </is>
      </c>
      <c r="N169" s="29" t="n"/>
      <c r="O169" s="13" t="n">
        <v>1</v>
      </c>
      <c r="P169" s="13" t="n">
        <v>1</v>
      </c>
      <c r="Q169" s="35" t="n">
        <v>850</v>
      </c>
      <c r="R169" s="35" t="n">
        <v>850</v>
      </c>
      <c r="S169" s="35" t="n"/>
      <c r="T169" s="35" t="n"/>
      <c r="U169" s="35" t="n"/>
      <c r="V169" s="18">
        <f>IF(COUNTA($B169:$R169)=0,"",ROUND(N($R169)+N($S169)+N($T169)-N($U169),2))</f>
        <v/>
      </c>
      <c r="W169" s="18">
        <f>IF(COUNTA($B169:$R169)=0,"",IF(OR($X169="Pago",$X169="Recebido",$X169="Cancelado"),0,ROUND(N($Q169)+N($S169)+N($T169)-N($U169)-N($R169),2)))</f>
        <v/>
      </c>
      <c r="X169" s="14" t="inlineStr">
        <is>
          <t>Recebido</t>
        </is>
      </c>
      <c r="Y169" s="17">
        <f>IF(COUNTA($B169:$R169)=0,"",IF($X169="Cancelado","Cancelado",IF(OR($X169="Pago",$X169="Recebido"),$X169,IF(OR($X169="Parcial",N($R169)&gt;0),"Parcial",IF($C169="","Sem vencimento",IF($C169&lt;TODAY(),"Vencido",IF($C169=TODAY(),"Vence hoje",IF($C169&lt;=TODAY()+7,"Vence em 7 dias",IF($C169&lt;=TODAY()+30,"Vence em 30 dias","Futuro")))))))))</f>
        <v/>
      </c>
      <c r="Z169" s="24">
        <f>IF($B169="","",MONTH($B169))</f>
        <v/>
      </c>
      <c r="AA169" s="24">
        <f>IF($B169="","",YEAR($B169))</f>
        <v/>
      </c>
      <c r="AB169" s="24">
        <f>IF($B169="","",ISOWEEKNUM($B169))</f>
        <v/>
      </c>
      <c r="AC169" s="17">
        <f>IF($B169="","",CHOOSE(WEEKDAY($B169,2),"Segunda","Terça","Quarta","Quinta","Sexta","Sábado","Domingo"))</f>
        <v/>
      </c>
      <c r="AD169" s="17">
        <f>IF($B169="","",TEXT($B169,"MM/AAAA"))</f>
        <v/>
      </c>
      <c r="AE169" s="18">
        <f>IF(COUNTA($B169:$R169)=0,"",IF($X169="Cancelado",0,ROUND(N($Q169)+N($S169)+N($T169)-N($U169),2)))</f>
        <v/>
      </c>
      <c r="AF169" s="9">
        <f>IF($G169="","",IFERROR(INDEX(LINHAS_DRE_PLANO,MATCH($G169,SUBCATEGORIAS_PLANO,0)),"Não classificado"))</f>
        <v/>
      </c>
      <c r="AG169" s="17">
        <f>IF($G169="","",IFERROR(INDEX(TIPOS_FLUXO_PLANO,MATCH($G169,SUBCATEGORIAS_PLANO,0)),"Não classificado"))</f>
        <v/>
      </c>
      <c r="AH169" s="9">
        <f>IF($G169="","",IFERROR(INDEX(GRUPOS_PLANO,MATCH($G169,SUBCATEGORIAS_PLANO,0)),"Não classificado"))</f>
        <v/>
      </c>
      <c r="AI169" s="24">
        <f>IF(OR($C169="",$X169="Pago",$X169="Recebido",$X169="Cancelado"),"",$C169-TODAY())</f>
        <v/>
      </c>
      <c r="AJ169" s="24">
        <f>IF(OR($C169="",$X169="Pago",$X169="Recebido",$X169="Cancelado"),0,MAX(0,TODAY()-$C169))</f>
        <v/>
      </c>
      <c r="AK169" s="24">
        <f>IF($D169="","",$D169-$B169)</f>
        <v/>
      </c>
      <c r="AL169" s="18">
        <f>IF(OR($D169="",$B169=""),"",ROUND(N($R169)*($D169-$B169),2))</f>
        <v/>
      </c>
      <c r="AM169" s="17">
        <f>IF(AND($E169="Saída",$W169&gt;0,$C169&lt;&gt;""),$C169+ROW()/1000000,"")</f>
        <v/>
      </c>
      <c r="AN169" s="17">
        <f>IF(AND($E169="Entrada",$W169&gt;0,$C169&lt;&gt;""),$C169+ROW()/1000000,"")</f>
        <v/>
      </c>
      <c r="AO169" s="9">
        <f>IF(COUNTA($B169:$R169)=0,"",IF(AND($I169&lt;&gt;"",COUNTIF(CLIENTES_NOMES,$I169)+COUNTIF(CLIENTES_FANTASIA,$I169)+COUNTIF(FORNECEDORES_NOMES,$I169)+COUNTIF(FORNECEDORES_FANTASIA,$I169)=0),"⚠ Cliente/Fornecedor não cadastrado",IF(AND($G169&lt;&gt;"",COUNTIF(SUBCATEGORIAS_PLANO,$G169)=0),"⚠ Subcategoria fora do plano de contas",IF(OR($Q169="",N($Q169)=0),"⚠ Valor previsto não informado",IF(AND(OR($X169="Pago",$X169="Recebido"),$D169=""),"⚠ Status pago/recebido sem data",IF(AND($D169&lt;&gt;"",N($R169)=0),"⚠ Data de pagamento sem valor realizado",IF(AND(N($P169)&gt;1,N($O169)&gt;N($P169)),"⚠ Nº da parcela maior que o total",IF(AND($C169&lt;&gt;"",$B169&lt;&gt;"",$C169&lt;$B169),"⚠ Vencimento anterior à competência","OK"))))))))</f>
        <v/>
      </c>
    </row>
    <row r="170">
      <c r="A170" s="14" t="inlineStr">
        <is>
          <t>L0165</t>
        </is>
      </c>
      <c r="B170" s="36" t="n">
        <v>46130</v>
      </c>
      <c r="C170" s="36" t="n">
        <v>46140</v>
      </c>
      <c r="D170" s="36" t="n">
        <v>46141</v>
      </c>
      <c r="E170" s="14" t="inlineStr">
        <is>
          <t>Saída</t>
        </is>
      </c>
      <c r="F170" s="29" t="inlineStr">
        <is>
          <t>Despesas Comerciais</t>
        </is>
      </c>
      <c r="G170" s="29" t="inlineStr">
        <is>
          <t>Publicidade e Anúncios</t>
        </is>
      </c>
      <c r="H170" s="29" t="inlineStr">
        <is>
          <t>Marketing</t>
        </is>
      </c>
      <c r="I170" s="29" t="inlineStr">
        <is>
          <t>GOOGLE BRASIL INTERNET LTDA</t>
        </is>
      </c>
      <c r="J170" s="29" t="inlineStr">
        <is>
          <t>Anúncios e campanhas digitais</t>
        </is>
      </c>
      <c r="K170" s="14" t="inlineStr">
        <is>
          <t>DOC 8324</t>
        </is>
      </c>
      <c r="L170" s="29" t="inlineStr">
        <is>
          <t>Nubank PJ — C/C 9876543-2</t>
        </is>
      </c>
      <c r="M170" s="14" t="inlineStr">
        <is>
          <t>Cartão de crédito</t>
        </is>
      </c>
      <c r="N170" s="29" t="inlineStr">
        <is>
          <t>Cartão Mastercard Nubank PJ</t>
        </is>
      </c>
      <c r="O170" s="13" t="n">
        <v>1</v>
      </c>
      <c r="P170" s="13" t="n">
        <v>1</v>
      </c>
      <c r="Q170" s="35" t="n">
        <v>1321.47</v>
      </c>
      <c r="R170" s="35" t="n">
        <v>1321.47</v>
      </c>
      <c r="S170" s="35" t="n"/>
      <c r="T170" s="35" t="n"/>
      <c r="U170" s="35" t="n"/>
      <c r="V170" s="18">
        <f>IF(COUNTA($B170:$R170)=0,"",ROUND(N($R170)+N($S170)+N($T170)-N($U170),2))</f>
        <v/>
      </c>
      <c r="W170" s="18">
        <f>IF(COUNTA($B170:$R170)=0,"",IF(OR($X170="Pago",$X170="Recebido",$X170="Cancelado"),0,ROUND(N($Q170)+N($S170)+N($T170)-N($U170)-N($R170),2)))</f>
        <v/>
      </c>
      <c r="X170" s="14" t="inlineStr">
        <is>
          <t>Pago</t>
        </is>
      </c>
      <c r="Y170" s="17">
        <f>IF(COUNTA($B170:$R170)=0,"",IF($X170="Cancelado","Cancelado",IF(OR($X170="Pago",$X170="Recebido"),$X170,IF(OR($X170="Parcial",N($R170)&gt;0),"Parcial",IF($C170="","Sem vencimento",IF($C170&lt;TODAY(),"Vencido",IF($C170=TODAY(),"Vence hoje",IF($C170&lt;=TODAY()+7,"Vence em 7 dias",IF($C170&lt;=TODAY()+30,"Vence em 30 dias","Futuro")))))))))</f>
        <v/>
      </c>
      <c r="Z170" s="24">
        <f>IF($B170="","",MONTH($B170))</f>
        <v/>
      </c>
      <c r="AA170" s="24">
        <f>IF($B170="","",YEAR($B170))</f>
        <v/>
      </c>
      <c r="AB170" s="24">
        <f>IF($B170="","",ISOWEEKNUM($B170))</f>
        <v/>
      </c>
      <c r="AC170" s="17">
        <f>IF($B170="","",CHOOSE(WEEKDAY($B170,2),"Segunda","Terça","Quarta","Quinta","Sexta","Sábado","Domingo"))</f>
        <v/>
      </c>
      <c r="AD170" s="17">
        <f>IF($B170="","",TEXT($B170,"MM/AAAA"))</f>
        <v/>
      </c>
      <c r="AE170" s="18">
        <f>IF(COUNTA($B170:$R170)=0,"",IF($X170="Cancelado",0,ROUND(N($Q170)+N($S170)+N($T170)-N($U170),2)))</f>
        <v/>
      </c>
      <c r="AF170" s="9">
        <f>IF($G170="","",IFERROR(INDEX(LINHAS_DRE_PLANO,MATCH($G170,SUBCATEGORIAS_PLANO,0)),"Não classificado"))</f>
        <v/>
      </c>
      <c r="AG170" s="17">
        <f>IF($G170="","",IFERROR(INDEX(TIPOS_FLUXO_PLANO,MATCH($G170,SUBCATEGORIAS_PLANO,0)),"Não classificado"))</f>
        <v/>
      </c>
      <c r="AH170" s="9">
        <f>IF($G170="","",IFERROR(INDEX(GRUPOS_PLANO,MATCH($G170,SUBCATEGORIAS_PLANO,0)),"Não classificado"))</f>
        <v/>
      </c>
      <c r="AI170" s="24">
        <f>IF(OR($C170="",$X170="Pago",$X170="Recebido",$X170="Cancelado"),"",$C170-TODAY())</f>
        <v/>
      </c>
      <c r="AJ170" s="24">
        <f>IF(OR($C170="",$X170="Pago",$X170="Recebido",$X170="Cancelado"),0,MAX(0,TODAY()-$C170))</f>
        <v/>
      </c>
      <c r="AK170" s="24">
        <f>IF($D170="","",$D170-$B170)</f>
        <v/>
      </c>
      <c r="AL170" s="18">
        <f>IF(OR($D170="",$B170=""),"",ROUND(N($R170)*($D170-$B170),2))</f>
        <v/>
      </c>
      <c r="AM170" s="17">
        <f>IF(AND($E170="Saída",$W170&gt;0,$C170&lt;&gt;""),$C170+ROW()/1000000,"")</f>
        <v/>
      </c>
      <c r="AN170" s="17">
        <f>IF(AND($E170="Entrada",$W170&gt;0,$C170&lt;&gt;""),$C170+ROW()/1000000,"")</f>
        <v/>
      </c>
      <c r="AO170" s="9">
        <f>IF(COUNTA($B170:$R170)=0,"",IF(AND($I170&lt;&gt;"",COUNTIF(CLIENTES_NOMES,$I170)+COUNTIF(CLIENTES_FANTASIA,$I170)+COUNTIF(FORNECEDORES_NOMES,$I170)+COUNTIF(FORNECEDORES_FANTASIA,$I170)=0),"⚠ Cliente/Fornecedor não cadastrado",IF(AND($G170&lt;&gt;"",COUNTIF(SUBCATEGORIAS_PLANO,$G170)=0),"⚠ Subcategoria fora do plano de contas",IF(OR($Q170="",N($Q170)=0),"⚠ Valor previsto não informado",IF(AND(OR($X170="Pago",$X170="Recebido"),$D170=""),"⚠ Status pago/recebido sem data",IF(AND($D170&lt;&gt;"",N($R170)=0),"⚠ Data de pagamento sem valor realizado",IF(AND(N($P170)&gt;1,N($O170)&gt;N($P170)),"⚠ Nº da parcela maior que o total",IF(AND($C170&lt;&gt;"",$B170&lt;&gt;"",$C170&lt;$B170),"⚠ Vencimento anterior à competência","OK"))))))))</f>
        <v/>
      </c>
    </row>
    <row r="171">
      <c r="A171" s="14" t="inlineStr">
        <is>
          <t>L0166</t>
        </is>
      </c>
      <c r="B171" s="36" t="n">
        <v>46131</v>
      </c>
      <c r="C171" s="36" t="n">
        <v>46161</v>
      </c>
      <c r="D171" s="36" t="n">
        <v>46163</v>
      </c>
      <c r="E171" s="14" t="inlineStr">
        <is>
          <t>Entrada</t>
        </is>
      </c>
      <c r="F171" s="29" t="inlineStr">
        <is>
          <t>Vendas</t>
        </is>
      </c>
      <c r="G171" s="29" t="inlineStr">
        <is>
          <t>Vendas de Produtos</t>
        </is>
      </c>
      <c r="H171" s="29" t="inlineStr">
        <is>
          <t>Comercial</t>
        </is>
      </c>
      <c r="I171" s="29" t="inlineStr">
        <is>
          <t>MERCADO BOA COMPRA LTDA</t>
        </is>
      </c>
      <c r="J171" s="29" t="inlineStr">
        <is>
          <t>Venda de mercadorias para revenda</t>
        </is>
      </c>
      <c r="K171" s="14" t="inlineStr">
        <is>
          <t>NF-e 2037</t>
        </is>
      </c>
      <c r="L171" s="29" t="inlineStr">
        <is>
          <t>Banco do Brasil — C/C 12345-6</t>
        </is>
      </c>
      <c r="M171" s="14" t="inlineStr">
        <is>
          <t>Boleto</t>
        </is>
      </c>
      <c r="N171" s="29" t="n"/>
      <c r="O171" s="13" t="n">
        <v>1</v>
      </c>
      <c r="P171" s="13" t="n">
        <v>1</v>
      </c>
      <c r="Q171" s="35" t="n">
        <v>25481.17</v>
      </c>
      <c r="R171" s="35" t="n">
        <v>25481.17</v>
      </c>
      <c r="S171" s="35" t="n"/>
      <c r="T171" s="35" t="n"/>
      <c r="U171" s="35" t="n"/>
      <c r="V171" s="18">
        <f>IF(COUNTA($B171:$R171)=0,"",ROUND(N($R171)+N($S171)+N($T171)-N($U171),2))</f>
        <v/>
      </c>
      <c r="W171" s="18">
        <f>IF(COUNTA($B171:$R171)=0,"",IF(OR($X171="Pago",$X171="Recebido",$X171="Cancelado"),0,ROUND(N($Q171)+N($S171)+N($T171)-N($U171)-N($R171),2)))</f>
        <v/>
      </c>
      <c r="X171" s="14" t="inlineStr">
        <is>
          <t>Pago</t>
        </is>
      </c>
      <c r="Y171" s="17">
        <f>IF(COUNTA($B171:$R171)=0,"",IF($X171="Cancelado","Cancelado",IF(OR($X171="Pago",$X171="Recebido"),$X171,IF(OR($X171="Parcial",N($R171)&gt;0),"Parcial",IF($C171="","Sem vencimento",IF($C171&lt;TODAY(),"Vencido",IF($C171=TODAY(),"Vence hoje",IF($C171&lt;=TODAY()+7,"Vence em 7 dias",IF($C171&lt;=TODAY()+30,"Vence em 30 dias","Futuro")))))))))</f>
        <v/>
      </c>
      <c r="Z171" s="24">
        <f>IF($B171="","",MONTH($B171))</f>
        <v/>
      </c>
      <c r="AA171" s="24">
        <f>IF($B171="","",YEAR($B171))</f>
        <v/>
      </c>
      <c r="AB171" s="24">
        <f>IF($B171="","",ISOWEEKNUM($B171))</f>
        <v/>
      </c>
      <c r="AC171" s="17">
        <f>IF($B171="","",CHOOSE(WEEKDAY($B171,2),"Segunda","Terça","Quarta","Quinta","Sexta","Sábado","Domingo"))</f>
        <v/>
      </c>
      <c r="AD171" s="17">
        <f>IF($B171="","",TEXT($B171,"MM/AAAA"))</f>
        <v/>
      </c>
      <c r="AE171" s="18">
        <f>IF(COUNTA($B171:$R171)=0,"",IF($X171="Cancelado",0,ROUND(N($Q171)+N($S171)+N($T171)-N($U171),2)))</f>
        <v/>
      </c>
      <c r="AF171" s="9">
        <f>IF($G171="","",IFERROR(INDEX(LINHAS_DRE_PLANO,MATCH($G171,SUBCATEGORIAS_PLANO,0)),"Não classificado"))</f>
        <v/>
      </c>
      <c r="AG171" s="17">
        <f>IF($G171="","",IFERROR(INDEX(TIPOS_FLUXO_PLANO,MATCH($G171,SUBCATEGORIAS_PLANO,0)),"Não classificado"))</f>
        <v/>
      </c>
      <c r="AH171" s="9">
        <f>IF($G171="","",IFERROR(INDEX(GRUPOS_PLANO,MATCH($G171,SUBCATEGORIAS_PLANO,0)),"Não classificado"))</f>
        <v/>
      </c>
      <c r="AI171" s="24">
        <f>IF(OR($C171="",$X171="Pago",$X171="Recebido",$X171="Cancelado"),"",$C171-TODAY())</f>
        <v/>
      </c>
      <c r="AJ171" s="24">
        <f>IF(OR($C171="",$X171="Pago",$X171="Recebido",$X171="Cancelado"),0,MAX(0,TODAY()-$C171))</f>
        <v/>
      </c>
      <c r="AK171" s="24">
        <f>IF($D171="","",$D171-$B171)</f>
        <v/>
      </c>
      <c r="AL171" s="18">
        <f>IF(OR($D171="",$B171=""),"",ROUND(N($R171)*($D171-$B171),2))</f>
        <v/>
      </c>
      <c r="AM171" s="17">
        <f>IF(AND($E171="Saída",$W171&gt;0,$C171&lt;&gt;""),$C171+ROW()/1000000,"")</f>
        <v/>
      </c>
      <c r="AN171" s="17">
        <f>IF(AND($E171="Entrada",$W171&gt;0,$C171&lt;&gt;""),$C171+ROW()/1000000,"")</f>
        <v/>
      </c>
      <c r="AO171" s="9">
        <f>IF(COUNTA($B171:$R171)=0,"",IF(AND($I171&lt;&gt;"",COUNTIF(CLIENTES_NOMES,$I171)+COUNTIF(CLIENTES_FANTASIA,$I171)+COUNTIF(FORNECEDORES_NOMES,$I171)+COUNTIF(FORNECEDORES_FANTASIA,$I171)=0),"⚠ Cliente/Fornecedor não cadastrado",IF(AND($G171&lt;&gt;"",COUNTIF(SUBCATEGORIAS_PLANO,$G171)=0),"⚠ Subcategoria fora do plano de contas",IF(OR($Q171="",N($Q171)=0),"⚠ Valor previsto não informado",IF(AND(OR($X171="Pago",$X171="Recebido"),$D171=""),"⚠ Status pago/recebido sem data",IF(AND($D171&lt;&gt;"",N($R171)=0),"⚠ Data de pagamento sem valor realizado",IF(AND(N($P171)&gt;1,N($O171)&gt;N($P171)),"⚠ Nº da parcela maior que o total",IF(AND($C171&lt;&gt;"",$B171&lt;&gt;"",$C171&lt;$B171),"⚠ Vencimento anterior à competência","OK"))))))))</f>
        <v/>
      </c>
    </row>
    <row r="172">
      <c r="A172" s="14" t="inlineStr">
        <is>
          <t>L0167</t>
        </is>
      </c>
      <c r="B172" s="36" t="n">
        <v>46131</v>
      </c>
      <c r="C172" s="36" t="n">
        <v>46146</v>
      </c>
      <c r="D172" s="36" t="n">
        <v>46149</v>
      </c>
      <c r="E172" s="14" t="inlineStr">
        <is>
          <t>Entrada</t>
        </is>
      </c>
      <c r="F172" s="29" t="inlineStr">
        <is>
          <t>Vendas</t>
        </is>
      </c>
      <c r="G172" s="29" t="inlineStr">
        <is>
          <t>Vendas de Produtos</t>
        </is>
      </c>
      <c r="H172" s="29" t="inlineStr">
        <is>
          <t>Comercial</t>
        </is>
      </c>
      <c r="I172" s="29" t="inlineStr">
        <is>
          <t>RESTAURANTE SABOR CASEIRO LTDA</t>
        </is>
      </c>
      <c r="J172" s="29" t="inlineStr">
        <is>
          <t>Venda de mercadorias para revenda</t>
        </is>
      </c>
      <c r="K172" s="14" t="inlineStr">
        <is>
          <t>NF-e 2041</t>
        </is>
      </c>
      <c r="L172" s="29" t="inlineStr">
        <is>
          <t>Itaú Unibanco — C/C 45678-9</t>
        </is>
      </c>
      <c r="M172" s="14" t="inlineStr">
        <is>
          <t>Boleto</t>
        </is>
      </c>
      <c r="N172" s="29" t="n"/>
      <c r="O172" s="13" t="n">
        <v>1</v>
      </c>
      <c r="P172" s="13" t="n">
        <v>1</v>
      </c>
      <c r="Q172" s="35" t="n">
        <v>12340.48</v>
      </c>
      <c r="R172" s="35" t="n">
        <v>12340.48</v>
      </c>
      <c r="S172" s="35" t="n"/>
      <c r="T172" s="35" t="n"/>
      <c r="U172" s="35" t="n"/>
      <c r="V172" s="18">
        <f>IF(COUNTA($B172:$R172)=0,"",ROUND(N($R172)+N($S172)+N($T172)-N($U172),2))</f>
        <v/>
      </c>
      <c r="W172" s="18">
        <f>IF(COUNTA($B172:$R172)=0,"",IF(OR($X172="Pago",$X172="Recebido",$X172="Cancelado"),0,ROUND(N($Q172)+N($S172)+N($T172)-N($U172)-N($R172),2)))</f>
        <v/>
      </c>
      <c r="X172" s="14" t="inlineStr">
        <is>
          <t>Pago</t>
        </is>
      </c>
      <c r="Y172" s="17">
        <f>IF(COUNTA($B172:$R172)=0,"",IF($X172="Cancelado","Cancelado",IF(OR($X172="Pago",$X172="Recebido"),$X172,IF(OR($X172="Parcial",N($R172)&gt;0),"Parcial",IF($C172="","Sem vencimento",IF($C172&lt;TODAY(),"Vencido",IF($C172=TODAY(),"Vence hoje",IF($C172&lt;=TODAY()+7,"Vence em 7 dias",IF($C172&lt;=TODAY()+30,"Vence em 30 dias","Futuro")))))))))</f>
        <v/>
      </c>
      <c r="Z172" s="24">
        <f>IF($B172="","",MONTH($B172))</f>
        <v/>
      </c>
      <c r="AA172" s="24">
        <f>IF($B172="","",YEAR($B172))</f>
        <v/>
      </c>
      <c r="AB172" s="24">
        <f>IF($B172="","",ISOWEEKNUM($B172))</f>
        <v/>
      </c>
      <c r="AC172" s="17">
        <f>IF($B172="","",CHOOSE(WEEKDAY($B172,2),"Segunda","Terça","Quarta","Quinta","Sexta","Sábado","Domingo"))</f>
        <v/>
      </c>
      <c r="AD172" s="17">
        <f>IF($B172="","",TEXT($B172,"MM/AAAA"))</f>
        <v/>
      </c>
      <c r="AE172" s="18">
        <f>IF(COUNTA($B172:$R172)=0,"",IF($X172="Cancelado",0,ROUND(N($Q172)+N($S172)+N($T172)-N($U172),2)))</f>
        <v/>
      </c>
      <c r="AF172" s="9">
        <f>IF($G172="","",IFERROR(INDEX(LINHAS_DRE_PLANO,MATCH($G172,SUBCATEGORIAS_PLANO,0)),"Não classificado"))</f>
        <v/>
      </c>
      <c r="AG172" s="17">
        <f>IF($G172="","",IFERROR(INDEX(TIPOS_FLUXO_PLANO,MATCH($G172,SUBCATEGORIAS_PLANO,0)),"Não classificado"))</f>
        <v/>
      </c>
      <c r="AH172" s="9">
        <f>IF($G172="","",IFERROR(INDEX(GRUPOS_PLANO,MATCH($G172,SUBCATEGORIAS_PLANO,0)),"Não classificado"))</f>
        <v/>
      </c>
      <c r="AI172" s="24">
        <f>IF(OR($C172="",$X172="Pago",$X172="Recebido",$X172="Cancelado"),"",$C172-TODAY())</f>
        <v/>
      </c>
      <c r="AJ172" s="24">
        <f>IF(OR($C172="",$X172="Pago",$X172="Recebido",$X172="Cancelado"),0,MAX(0,TODAY()-$C172))</f>
        <v/>
      </c>
      <c r="AK172" s="24">
        <f>IF($D172="","",$D172-$B172)</f>
        <v/>
      </c>
      <c r="AL172" s="18">
        <f>IF(OR($D172="",$B172=""),"",ROUND(N($R172)*($D172-$B172),2))</f>
        <v/>
      </c>
      <c r="AM172" s="17">
        <f>IF(AND($E172="Saída",$W172&gt;0,$C172&lt;&gt;""),$C172+ROW()/1000000,"")</f>
        <v/>
      </c>
      <c r="AN172" s="17">
        <f>IF(AND($E172="Entrada",$W172&gt;0,$C172&lt;&gt;""),$C172+ROW()/1000000,"")</f>
        <v/>
      </c>
      <c r="AO172" s="9">
        <f>IF(COUNTA($B172:$R172)=0,"",IF(AND($I172&lt;&gt;"",COUNTIF(CLIENTES_NOMES,$I172)+COUNTIF(CLIENTES_FANTASIA,$I172)+COUNTIF(FORNECEDORES_NOMES,$I172)+COUNTIF(FORNECEDORES_FANTASIA,$I172)=0),"⚠ Cliente/Fornecedor não cadastrado",IF(AND($G172&lt;&gt;"",COUNTIF(SUBCATEGORIAS_PLANO,$G172)=0),"⚠ Subcategoria fora do plano de contas",IF(OR($Q172="",N($Q172)=0),"⚠ Valor previsto não informado",IF(AND(OR($X172="Pago",$X172="Recebido"),$D172=""),"⚠ Status pago/recebido sem data",IF(AND($D172&lt;&gt;"",N($R172)=0),"⚠ Data de pagamento sem valor realizado",IF(AND(N($P172)&gt;1,N($O172)&gt;N($P172)),"⚠ Nº da parcela maior que o total",IF(AND($C172&lt;&gt;"",$B172&lt;&gt;"",$C172&lt;$B172),"⚠ Vencimento anterior à competência","OK"))))))))</f>
        <v/>
      </c>
    </row>
    <row r="173">
      <c r="A173" s="14" t="inlineStr">
        <is>
          <t>L0168</t>
        </is>
      </c>
      <c r="B173" s="36" t="n">
        <v>46131</v>
      </c>
      <c r="C173" s="36" t="n">
        <v>46153</v>
      </c>
      <c r="D173" s="36" t="n">
        <v>46154</v>
      </c>
      <c r="E173" s="14" t="inlineStr">
        <is>
          <t>Entrada</t>
        </is>
      </c>
      <c r="F173" s="29" t="inlineStr">
        <is>
          <t>Vendas</t>
        </is>
      </c>
      <c r="G173" s="29" t="inlineStr">
        <is>
          <t>Vendas de Produtos</t>
        </is>
      </c>
      <c r="H173" s="29" t="inlineStr">
        <is>
          <t>Comercial</t>
        </is>
      </c>
      <c r="I173" s="29" t="inlineStr">
        <is>
          <t>EMPÓRIO NATURAL COMÉRCIO LTDA</t>
        </is>
      </c>
      <c r="J173" s="29" t="inlineStr">
        <is>
          <t>Venda de mercadorias para revenda</t>
        </is>
      </c>
      <c r="K173" s="14" t="inlineStr">
        <is>
          <t>NF-e 2045</t>
        </is>
      </c>
      <c r="L173" s="29" t="inlineStr">
        <is>
          <t>Itaú Unibanco — C/C 45678-9</t>
        </is>
      </c>
      <c r="M173" s="14" t="inlineStr">
        <is>
          <t>Boleto</t>
        </is>
      </c>
      <c r="N173" s="29" t="n"/>
      <c r="O173" s="13" t="n">
        <v>1</v>
      </c>
      <c r="P173" s="13" t="n">
        <v>1</v>
      </c>
      <c r="Q173" s="35" t="n">
        <v>17156.41</v>
      </c>
      <c r="R173" s="35" t="n">
        <v>17156.41</v>
      </c>
      <c r="S173" s="35" t="n"/>
      <c r="T173" s="35" t="n"/>
      <c r="U173" s="35" t="n"/>
      <c r="V173" s="18">
        <f>IF(COUNTA($B173:$R173)=0,"",ROUND(N($R173)+N($S173)+N($T173)-N($U173),2))</f>
        <v/>
      </c>
      <c r="W173" s="18">
        <f>IF(COUNTA($B173:$R173)=0,"",IF(OR($X173="Pago",$X173="Recebido",$X173="Cancelado"),0,ROUND(N($Q173)+N($S173)+N($T173)-N($U173)-N($R173),2)))</f>
        <v/>
      </c>
      <c r="X173" s="14" t="inlineStr">
        <is>
          <t>Pago</t>
        </is>
      </c>
      <c r="Y173" s="17">
        <f>IF(COUNTA($B173:$R173)=0,"",IF($X173="Cancelado","Cancelado",IF(OR($X173="Pago",$X173="Recebido"),$X173,IF(OR($X173="Parcial",N($R173)&gt;0),"Parcial",IF($C173="","Sem vencimento",IF($C173&lt;TODAY(),"Vencido",IF($C173=TODAY(),"Vence hoje",IF($C173&lt;=TODAY()+7,"Vence em 7 dias",IF($C173&lt;=TODAY()+30,"Vence em 30 dias","Futuro")))))))))</f>
        <v/>
      </c>
      <c r="Z173" s="24">
        <f>IF($B173="","",MONTH($B173))</f>
        <v/>
      </c>
      <c r="AA173" s="24">
        <f>IF($B173="","",YEAR($B173))</f>
        <v/>
      </c>
      <c r="AB173" s="24">
        <f>IF($B173="","",ISOWEEKNUM($B173))</f>
        <v/>
      </c>
      <c r="AC173" s="17">
        <f>IF($B173="","",CHOOSE(WEEKDAY($B173,2),"Segunda","Terça","Quarta","Quinta","Sexta","Sábado","Domingo"))</f>
        <v/>
      </c>
      <c r="AD173" s="17">
        <f>IF($B173="","",TEXT($B173,"MM/AAAA"))</f>
        <v/>
      </c>
      <c r="AE173" s="18">
        <f>IF(COUNTA($B173:$R173)=0,"",IF($X173="Cancelado",0,ROUND(N($Q173)+N($S173)+N($T173)-N($U173),2)))</f>
        <v/>
      </c>
      <c r="AF173" s="9">
        <f>IF($G173="","",IFERROR(INDEX(LINHAS_DRE_PLANO,MATCH($G173,SUBCATEGORIAS_PLANO,0)),"Não classificado"))</f>
        <v/>
      </c>
      <c r="AG173" s="17">
        <f>IF($G173="","",IFERROR(INDEX(TIPOS_FLUXO_PLANO,MATCH($G173,SUBCATEGORIAS_PLANO,0)),"Não classificado"))</f>
        <v/>
      </c>
      <c r="AH173" s="9">
        <f>IF($G173="","",IFERROR(INDEX(GRUPOS_PLANO,MATCH($G173,SUBCATEGORIAS_PLANO,0)),"Não classificado"))</f>
        <v/>
      </c>
      <c r="AI173" s="24">
        <f>IF(OR($C173="",$X173="Pago",$X173="Recebido",$X173="Cancelado"),"",$C173-TODAY())</f>
        <v/>
      </c>
      <c r="AJ173" s="24">
        <f>IF(OR($C173="",$X173="Pago",$X173="Recebido",$X173="Cancelado"),0,MAX(0,TODAY()-$C173))</f>
        <v/>
      </c>
      <c r="AK173" s="24">
        <f>IF($D173="","",$D173-$B173)</f>
        <v/>
      </c>
      <c r="AL173" s="18">
        <f>IF(OR($D173="",$B173=""),"",ROUND(N($R173)*($D173-$B173),2))</f>
        <v/>
      </c>
      <c r="AM173" s="17">
        <f>IF(AND($E173="Saída",$W173&gt;0,$C173&lt;&gt;""),$C173+ROW()/1000000,"")</f>
        <v/>
      </c>
      <c r="AN173" s="17">
        <f>IF(AND($E173="Entrada",$W173&gt;0,$C173&lt;&gt;""),$C173+ROW()/1000000,"")</f>
        <v/>
      </c>
      <c r="AO173" s="9">
        <f>IF(COUNTA($B173:$R173)=0,"",IF(AND($I173&lt;&gt;"",COUNTIF(CLIENTES_NOMES,$I173)+COUNTIF(CLIENTES_FANTASIA,$I173)+COUNTIF(FORNECEDORES_NOMES,$I173)+COUNTIF(FORNECEDORES_FANTASIA,$I173)=0),"⚠ Cliente/Fornecedor não cadastrado",IF(AND($G173&lt;&gt;"",COUNTIF(SUBCATEGORIAS_PLANO,$G173)=0),"⚠ Subcategoria fora do plano de contas",IF(OR($Q173="",N($Q173)=0),"⚠ Valor previsto não informado",IF(AND(OR($X173="Pago",$X173="Recebido"),$D173=""),"⚠ Status pago/recebido sem data",IF(AND($D173&lt;&gt;"",N($R173)=0),"⚠ Data de pagamento sem valor realizado",IF(AND(N($P173)&gt;1,N($O173)&gt;N($P173)),"⚠ Nº da parcela maior que o total",IF(AND($C173&lt;&gt;"",$B173&lt;&gt;"",$C173&lt;$B173),"⚠ Vencimento anterior à competência","OK"))))))))</f>
        <v/>
      </c>
    </row>
    <row r="174">
      <c r="A174" s="14" t="inlineStr">
        <is>
          <t>L0169</t>
        </is>
      </c>
      <c r="B174" s="36" t="n">
        <v>46132</v>
      </c>
      <c r="C174" s="36" t="n">
        <v>46142</v>
      </c>
      <c r="D174" s="36" t="n">
        <v>46142</v>
      </c>
      <c r="E174" s="14" t="inlineStr">
        <is>
          <t>Saída</t>
        </is>
      </c>
      <c r="F174" s="29" t="inlineStr">
        <is>
          <t>Custos Variáveis</t>
        </is>
      </c>
      <c r="G174" s="29" t="inlineStr">
        <is>
          <t>Outros Custos Diretos</t>
        </is>
      </c>
      <c r="H174" s="29" t="inlineStr">
        <is>
          <t>Produção</t>
        </is>
      </c>
      <c r="I174" s="29" t="inlineStr">
        <is>
          <t>APOIO OPERACIONAL SERVIÇOS LTDA</t>
        </is>
      </c>
      <c r="J174" s="29" t="inlineStr">
        <is>
          <t>Serviços de apoio à operação e expedição</t>
        </is>
      </c>
      <c r="K174" s="14" t="inlineStr">
        <is>
          <t>DOC 7192</t>
        </is>
      </c>
      <c r="L174" s="29" t="inlineStr">
        <is>
          <t>Itaú Unibanco — C/C 45678-9</t>
        </is>
      </c>
      <c r="M174" s="14" t="inlineStr">
        <is>
          <t>PIX</t>
        </is>
      </c>
      <c r="N174" s="29" t="n"/>
      <c r="O174" s="13" t="n">
        <v>1</v>
      </c>
      <c r="P174" s="13" t="n">
        <v>1</v>
      </c>
      <c r="Q174" s="35" t="n">
        <v>937.8099999999999</v>
      </c>
      <c r="R174" s="35" t="n">
        <v>937.8099999999999</v>
      </c>
      <c r="S174" s="35" t="n"/>
      <c r="T174" s="35" t="n"/>
      <c r="U174" s="35" t="n"/>
      <c r="V174" s="18">
        <f>IF(COUNTA($B174:$R174)=0,"",ROUND(N($R174)+N($S174)+N($T174)-N($U174),2))</f>
        <v/>
      </c>
      <c r="W174" s="18">
        <f>IF(COUNTA($B174:$R174)=0,"",IF(OR($X174="Pago",$X174="Recebido",$X174="Cancelado"),0,ROUND(N($Q174)+N($S174)+N($T174)-N($U174)-N($R174),2)))</f>
        <v/>
      </c>
      <c r="X174" s="14" t="inlineStr">
        <is>
          <t>Pago</t>
        </is>
      </c>
      <c r="Y174" s="17">
        <f>IF(COUNTA($B174:$R174)=0,"",IF($X174="Cancelado","Cancelado",IF(OR($X174="Pago",$X174="Recebido"),$X174,IF(OR($X174="Parcial",N($R174)&gt;0),"Parcial",IF($C174="","Sem vencimento",IF($C174&lt;TODAY(),"Vencido",IF($C174=TODAY(),"Vence hoje",IF($C174&lt;=TODAY()+7,"Vence em 7 dias",IF($C174&lt;=TODAY()+30,"Vence em 30 dias","Futuro")))))))))</f>
        <v/>
      </c>
      <c r="Z174" s="24">
        <f>IF($B174="","",MONTH($B174))</f>
        <v/>
      </c>
      <c r="AA174" s="24">
        <f>IF($B174="","",YEAR($B174))</f>
        <v/>
      </c>
      <c r="AB174" s="24">
        <f>IF($B174="","",ISOWEEKNUM($B174))</f>
        <v/>
      </c>
      <c r="AC174" s="17">
        <f>IF($B174="","",CHOOSE(WEEKDAY($B174,2),"Segunda","Terça","Quarta","Quinta","Sexta","Sábado","Domingo"))</f>
        <v/>
      </c>
      <c r="AD174" s="17">
        <f>IF($B174="","",TEXT($B174,"MM/AAAA"))</f>
        <v/>
      </c>
      <c r="AE174" s="18">
        <f>IF(COUNTA($B174:$R174)=0,"",IF($X174="Cancelado",0,ROUND(N($Q174)+N($S174)+N($T174)-N($U174),2)))</f>
        <v/>
      </c>
      <c r="AF174" s="9">
        <f>IF($G174="","",IFERROR(INDEX(LINHAS_DRE_PLANO,MATCH($G174,SUBCATEGORIAS_PLANO,0)),"Não classificado"))</f>
        <v/>
      </c>
      <c r="AG174" s="17">
        <f>IF($G174="","",IFERROR(INDEX(TIPOS_FLUXO_PLANO,MATCH($G174,SUBCATEGORIAS_PLANO,0)),"Não classificado"))</f>
        <v/>
      </c>
      <c r="AH174" s="9">
        <f>IF($G174="","",IFERROR(INDEX(GRUPOS_PLANO,MATCH($G174,SUBCATEGORIAS_PLANO,0)),"Não classificado"))</f>
        <v/>
      </c>
      <c r="AI174" s="24">
        <f>IF(OR($C174="",$X174="Pago",$X174="Recebido",$X174="Cancelado"),"",$C174-TODAY())</f>
        <v/>
      </c>
      <c r="AJ174" s="24">
        <f>IF(OR($C174="",$X174="Pago",$X174="Recebido",$X174="Cancelado"),0,MAX(0,TODAY()-$C174))</f>
        <v/>
      </c>
      <c r="AK174" s="24">
        <f>IF($D174="","",$D174-$B174)</f>
        <v/>
      </c>
      <c r="AL174" s="18">
        <f>IF(OR($D174="",$B174=""),"",ROUND(N($R174)*($D174-$B174),2))</f>
        <v/>
      </c>
      <c r="AM174" s="17">
        <f>IF(AND($E174="Saída",$W174&gt;0,$C174&lt;&gt;""),$C174+ROW()/1000000,"")</f>
        <v/>
      </c>
      <c r="AN174" s="17">
        <f>IF(AND($E174="Entrada",$W174&gt;0,$C174&lt;&gt;""),$C174+ROW()/1000000,"")</f>
        <v/>
      </c>
      <c r="AO174" s="9">
        <f>IF(COUNTA($B174:$R174)=0,"",IF(AND($I174&lt;&gt;"",COUNTIF(CLIENTES_NOMES,$I174)+COUNTIF(CLIENTES_FANTASIA,$I174)+COUNTIF(FORNECEDORES_NOMES,$I174)+COUNTIF(FORNECEDORES_FANTASIA,$I174)=0),"⚠ Cliente/Fornecedor não cadastrado",IF(AND($G174&lt;&gt;"",COUNTIF(SUBCATEGORIAS_PLANO,$G174)=0),"⚠ Subcategoria fora do plano de contas",IF(OR($Q174="",N($Q174)=0),"⚠ Valor previsto não informado",IF(AND(OR($X174="Pago",$X174="Recebido"),$D174=""),"⚠ Status pago/recebido sem data",IF(AND($D174&lt;&gt;"",N($R174)=0),"⚠ Data de pagamento sem valor realizado",IF(AND(N($P174)&gt;1,N($O174)&gt;N($P174)),"⚠ Nº da parcela maior que o total",IF(AND($C174&lt;&gt;"",$B174&lt;&gt;"",$C174&lt;$B174),"⚠ Vencimento anterior à competência","OK"))))))))</f>
        <v/>
      </c>
    </row>
    <row r="175">
      <c r="A175" s="14" t="inlineStr">
        <is>
          <t>L0170</t>
        </is>
      </c>
      <c r="B175" s="36" t="n">
        <v>46132</v>
      </c>
      <c r="C175" s="36" t="n">
        <v>46162</v>
      </c>
      <c r="D175" s="36" t="n">
        <v>46162</v>
      </c>
      <c r="E175" s="14" t="inlineStr">
        <is>
          <t>Saída</t>
        </is>
      </c>
      <c r="F175" s="29" t="inlineStr">
        <is>
          <t>Tributos</t>
        </is>
      </c>
      <c r="G175" s="29" t="inlineStr">
        <is>
          <t>Simples Nacional</t>
        </is>
      </c>
      <c r="H175" s="29" t="inlineStr">
        <is>
          <t>Financeiro</t>
        </is>
      </c>
      <c r="I175" s="29" t="inlineStr">
        <is>
          <t>RECEITA FEDERAL DO BRASIL</t>
        </is>
      </c>
      <c r="J175" s="29" t="inlineStr">
        <is>
          <t>Simples Nacional — competência 04/2026</t>
        </is>
      </c>
      <c r="K175" s="14" t="inlineStr">
        <is>
          <t>DAS 04/2026</t>
        </is>
      </c>
      <c r="L175" s="29" t="inlineStr">
        <is>
          <t>Nubank PJ — C/C 9876543-2</t>
        </is>
      </c>
      <c r="M175" s="14" t="inlineStr">
        <is>
          <t>Transferência</t>
        </is>
      </c>
      <c r="N175" s="29" t="n"/>
      <c r="O175" s="13" t="n">
        <v>1</v>
      </c>
      <c r="P175" s="13" t="n">
        <v>1</v>
      </c>
      <c r="Q175" s="35" t="n">
        <v>19373.28</v>
      </c>
      <c r="R175" s="35" t="n">
        <v>19373.28</v>
      </c>
      <c r="S175" s="35" t="n"/>
      <c r="T175" s="35" t="n"/>
      <c r="U175" s="35" t="n"/>
      <c r="V175" s="18">
        <f>IF(COUNTA($B175:$R175)=0,"",ROUND(N($R175)+N($S175)+N($T175)-N($U175),2))</f>
        <v/>
      </c>
      <c r="W175" s="18">
        <f>IF(COUNTA($B175:$R175)=0,"",IF(OR($X175="Pago",$X175="Recebido",$X175="Cancelado"),0,ROUND(N($Q175)+N($S175)+N($T175)-N($U175)-N($R175),2)))</f>
        <v/>
      </c>
      <c r="X175" s="14" t="inlineStr">
        <is>
          <t>Pago</t>
        </is>
      </c>
      <c r="Y175" s="17">
        <f>IF(COUNTA($B175:$R175)=0,"",IF($X175="Cancelado","Cancelado",IF(OR($X175="Pago",$X175="Recebido"),$X175,IF(OR($X175="Parcial",N($R175)&gt;0),"Parcial",IF($C175="","Sem vencimento",IF($C175&lt;TODAY(),"Vencido",IF($C175=TODAY(),"Vence hoje",IF($C175&lt;=TODAY()+7,"Vence em 7 dias",IF($C175&lt;=TODAY()+30,"Vence em 30 dias","Futuro")))))))))</f>
        <v/>
      </c>
      <c r="Z175" s="24">
        <f>IF($B175="","",MONTH($B175))</f>
        <v/>
      </c>
      <c r="AA175" s="24">
        <f>IF($B175="","",YEAR($B175))</f>
        <v/>
      </c>
      <c r="AB175" s="24">
        <f>IF($B175="","",ISOWEEKNUM($B175))</f>
        <v/>
      </c>
      <c r="AC175" s="17">
        <f>IF($B175="","",CHOOSE(WEEKDAY($B175,2),"Segunda","Terça","Quarta","Quinta","Sexta","Sábado","Domingo"))</f>
        <v/>
      </c>
      <c r="AD175" s="17">
        <f>IF($B175="","",TEXT($B175,"MM/AAAA"))</f>
        <v/>
      </c>
      <c r="AE175" s="18">
        <f>IF(COUNTA($B175:$R175)=0,"",IF($X175="Cancelado",0,ROUND(N($Q175)+N($S175)+N($T175)-N($U175),2)))</f>
        <v/>
      </c>
      <c r="AF175" s="9">
        <f>IF($G175="","",IFERROR(INDEX(LINHAS_DRE_PLANO,MATCH($G175,SUBCATEGORIAS_PLANO,0)),"Não classificado"))</f>
        <v/>
      </c>
      <c r="AG175" s="17">
        <f>IF($G175="","",IFERROR(INDEX(TIPOS_FLUXO_PLANO,MATCH($G175,SUBCATEGORIAS_PLANO,0)),"Não classificado"))</f>
        <v/>
      </c>
      <c r="AH175" s="9">
        <f>IF($G175="","",IFERROR(INDEX(GRUPOS_PLANO,MATCH($G175,SUBCATEGORIAS_PLANO,0)),"Não classificado"))</f>
        <v/>
      </c>
      <c r="AI175" s="24">
        <f>IF(OR($C175="",$X175="Pago",$X175="Recebido",$X175="Cancelado"),"",$C175-TODAY())</f>
        <v/>
      </c>
      <c r="AJ175" s="24">
        <f>IF(OR($C175="",$X175="Pago",$X175="Recebido",$X175="Cancelado"),0,MAX(0,TODAY()-$C175))</f>
        <v/>
      </c>
      <c r="AK175" s="24">
        <f>IF($D175="","",$D175-$B175)</f>
        <v/>
      </c>
      <c r="AL175" s="18">
        <f>IF(OR($D175="",$B175=""),"",ROUND(N($R175)*($D175-$B175),2))</f>
        <v/>
      </c>
      <c r="AM175" s="17">
        <f>IF(AND($E175="Saída",$W175&gt;0,$C175&lt;&gt;""),$C175+ROW()/1000000,"")</f>
        <v/>
      </c>
      <c r="AN175" s="17">
        <f>IF(AND($E175="Entrada",$W175&gt;0,$C175&lt;&gt;""),$C175+ROW()/1000000,"")</f>
        <v/>
      </c>
      <c r="AO175" s="9">
        <f>IF(COUNTA($B175:$R175)=0,"",IF(AND($I175&lt;&gt;"",COUNTIF(CLIENTES_NOMES,$I175)+COUNTIF(CLIENTES_FANTASIA,$I175)+COUNTIF(FORNECEDORES_NOMES,$I175)+COUNTIF(FORNECEDORES_FANTASIA,$I175)=0),"⚠ Cliente/Fornecedor não cadastrado",IF(AND($G175&lt;&gt;"",COUNTIF(SUBCATEGORIAS_PLANO,$G175)=0),"⚠ Subcategoria fora do plano de contas",IF(OR($Q175="",N($Q175)=0),"⚠ Valor previsto não informado",IF(AND(OR($X175="Pago",$X175="Recebido"),$D175=""),"⚠ Status pago/recebido sem data",IF(AND($D175&lt;&gt;"",N($R175)=0),"⚠ Data de pagamento sem valor realizado",IF(AND(N($P175)&gt;1,N($O175)&gt;N($P175)),"⚠ Nº da parcela maior que o total",IF(AND($C175&lt;&gt;"",$B175&lt;&gt;"",$C175&lt;$B175),"⚠ Vencimento anterior à competência","OK"))))))))</f>
        <v/>
      </c>
    </row>
    <row r="176">
      <c r="A176" s="14" t="inlineStr">
        <is>
          <t>L0171</t>
        </is>
      </c>
      <c r="B176" s="36" t="n">
        <v>46132</v>
      </c>
      <c r="C176" s="36" t="n">
        <v>46132</v>
      </c>
      <c r="D176" s="36" t="n">
        <v>46132</v>
      </c>
      <c r="E176" s="14" t="inlineStr">
        <is>
          <t>Saída</t>
        </is>
      </c>
      <c r="F176" s="29" t="inlineStr">
        <is>
          <t>Empréstimos e Financiamentos</t>
        </is>
      </c>
      <c r="G176" s="29" t="inlineStr">
        <is>
          <t>Pagamento de Principal de Empréstimos</t>
        </is>
      </c>
      <c r="H176" s="29" t="inlineStr">
        <is>
          <t>Diretoria</t>
        </is>
      </c>
      <c r="I176" s="29" t="inlineStr">
        <is>
          <t>Banco Santander</t>
        </is>
      </c>
      <c r="J176" s="29" t="inlineStr">
        <is>
          <t>Financiamento de Veículo — parcela 3/48 (principal)</t>
        </is>
      </c>
      <c r="K176" s="14" t="inlineStr">
        <is>
          <t>VEI-2026-0088-P03</t>
        </is>
      </c>
      <c r="L176" s="29" t="inlineStr">
        <is>
          <t>Itaú Unibanco — C/C 45678-9</t>
        </is>
      </c>
      <c r="M176" s="14" t="inlineStr">
        <is>
          <t>Débito automático</t>
        </is>
      </c>
      <c r="N176" s="29" t="n"/>
      <c r="O176" s="13" t="n">
        <v>3</v>
      </c>
      <c r="P176" s="13" t="n">
        <v>48</v>
      </c>
      <c r="Q176" s="35" t="n">
        <v>1257.31</v>
      </c>
      <c r="R176" s="35" t="n">
        <v>1257.31</v>
      </c>
      <c r="S176" s="35" t="n"/>
      <c r="T176" s="35" t="n"/>
      <c r="U176" s="35" t="n"/>
      <c r="V176" s="18">
        <f>IF(COUNTA($B176:$R176)=0,"",ROUND(N($R176)+N($S176)+N($T176)-N($U176),2))</f>
        <v/>
      </c>
      <c r="W176" s="18">
        <f>IF(COUNTA($B176:$R176)=0,"",IF(OR($X176="Pago",$X176="Recebido",$X176="Cancelado"),0,ROUND(N($Q176)+N($S176)+N($T176)-N($U176)-N($R176),2)))</f>
        <v/>
      </c>
      <c r="X176" s="14" t="inlineStr">
        <is>
          <t>Pago</t>
        </is>
      </c>
      <c r="Y176" s="17">
        <f>IF(COUNTA($B176:$R176)=0,"",IF($X176="Cancelado","Cancelado",IF(OR($X176="Pago",$X176="Recebido"),$X176,IF(OR($X176="Parcial",N($R176)&gt;0),"Parcial",IF($C176="","Sem vencimento",IF($C176&lt;TODAY(),"Vencido",IF($C176=TODAY(),"Vence hoje",IF($C176&lt;=TODAY()+7,"Vence em 7 dias",IF($C176&lt;=TODAY()+30,"Vence em 30 dias","Futuro")))))))))</f>
        <v/>
      </c>
      <c r="Z176" s="24">
        <f>IF($B176="","",MONTH($B176))</f>
        <v/>
      </c>
      <c r="AA176" s="24">
        <f>IF($B176="","",YEAR($B176))</f>
        <v/>
      </c>
      <c r="AB176" s="24">
        <f>IF($B176="","",ISOWEEKNUM($B176))</f>
        <v/>
      </c>
      <c r="AC176" s="17">
        <f>IF($B176="","",CHOOSE(WEEKDAY($B176,2),"Segunda","Terça","Quarta","Quinta","Sexta","Sábado","Domingo"))</f>
        <v/>
      </c>
      <c r="AD176" s="17">
        <f>IF($B176="","",TEXT($B176,"MM/AAAA"))</f>
        <v/>
      </c>
      <c r="AE176" s="18">
        <f>IF(COUNTA($B176:$R176)=0,"",IF($X176="Cancelado",0,ROUND(N($Q176)+N($S176)+N($T176)-N($U176),2)))</f>
        <v/>
      </c>
      <c r="AF176" s="9">
        <f>IF($G176="","",IFERROR(INDEX(LINHAS_DRE_PLANO,MATCH($G176,SUBCATEGORIAS_PLANO,0)),"Não classificado"))</f>
        <v/>
      </c>
      <c r="AG176" s="17">
        <f>IF($G176="","",IFERROR(INDEX(TIPOS_FLUXO_PLANO,MATCH($G176,SUBCATEGORIAS_PLANO,0)),"Não classificado"))</f>
        <v/>
      </c>
      <c r="AH176" s="9">
        <f>IF($G176="","",IFERROR(INDEX(GRUPOS_PLANO,MATCH($G176,SUBCATEGORIAS_PLANO,0)),"Não classificado"))</f>
        <v/>
      </c>
      <c r="AI176" s="24">
        <f>IF(OR($C176="",$X176="Pago",$X176="Recebido",$X176="Cancelado"),"",$C176-TODAY())</f>
        <v/>
      </c>
      <c r="AJ176" s="24">
        <f>IF(OR($C176="",$X176="Pago",$X176="Recebido",$X176="Cancelado"),0,MAX(0,TODAY()-$C176))</f>
        <v/>
      </c>
      <c r="AK176" s="24">
        <f>IF($D176="","",$D176-$B176)</f>
        <v/>
      </c>
      <c r="AL176" s="18">
        <f>IF(OR($D176="",$B176=""),"",ROUND(N($R176)*($D176-$B176),2))</f>
        <v/>
      </c>
      <c r="AM176" s="17">
        <f>IF(AND($E176="Saída",$W176&gt;0,$C176&lt;&gt;""),$C176+ROW()/1000000,"")</f>
        <v/>
      </c>
      <c r="AN176" s="17">
        <f>IF(AND($E176="Entrada",$W176&gt;0,$C176&lt;&gt;""),$C176+ROW()/1000000,"")</f>
        <v/>
      </c>
      <c r="AO176" s="9">
        <f>IF(COUNTA($B176:$R176)=0,"",IF(AND($I176&lt;&gt;"",COUNTIF(CLIENTES_NOMES,$I176)+COUNTIF(CLIENTES_FANTASIA,$I176)+COUNTIF(FORNECEDORES_NOMES,$I176)+COUNTIF(FORNECEDORES_FANTASIA,$I176)=0),"⚠ Cliente/Fornecedor não cadastrado",IF(AND($G176&lt;&gt;"",COUNTIF(SUBCATEGORIAS_PLANO,$G176)=0),"⚠ Subcategoria fora do plano de contas",IF(OR($Q176="",N($Q176)=0),"⚠ Valor previsto não informado",IF(AND(OR($X176="Pago",$X176="Recebido"),$D176=""),"⚠ Status pago/recebido sem data",IF(AND($D176&lt;&gt;"",N($R176)=0),"⚠ Data de pagamento sem valor realizado",IF(AND(N($P176)&gt;1,N($O176)&gt;N($P176)),"⚠ Nº da parcela maior que o total",IF(AND($C176&lt;&gt;"",$B176&lt;&gt;"",$C176&lt;$B176),"⚠ Vencimento anterior à competência","OK"))))))))</f>
        <v/>
      </c>
    </row>
    <row r="177">
      <c r="A177" s="14" t="inlineStr">
        <is>
          <t>L0172</t>
        </is>
      </c>
      <c r="B177" s="36" t="n">
        <v>46132</v>
      </c>
      <c r="C177" s="36" t="n">
        <v>46132</v>
      </c>
      <c r="D177" s="36" t="n">
        <v>46132</v>
      </c>
      <c r="E177" s="14" t="inlineStr">
        <is>
          <t>Saída</t>
        </is>
      </c>
      <c r="F177" s="29" t="inlineStr">
        <is>
          <t>Despesas Financeiras</t>
        </is>
      </c>
      <c r="G177" s="29" t="inlineStr">
        <is>
          <t>Juros de Empréstimos e Financiamentos</t>
        </is>
      </c>
      <c r="H177" s="29" t="inlineStr">
        <is>
          <t>Diretoria</t>
        </is>
      </c>
      <c r="I177" s="29" t="inlineStr">
        <is>
          <t>Banco Santander</t>
        </is>
      </c>
      <c r="J177" s="29" t="inlineStr">
        <is>
          <t>Financiamento de Veículo — parcela 3/48 (juros)</t>
        </is>
      </c>
      <c r="K177" s="14" t="inlineStr">
        <is>
          <t>VEI-2026-0088-P03</t>
        </is>
      </c>
      <c r="L177" s="29" t="inlineStr">
        <is>
          <t>Itaú Unibanco — C/C 45678-9</t>
        </is>
      </c>
      <c r="M177" s="14" t="inlineStr">
        <is>
          <t>Débito automático</t>
        </is>
      </c>
      <c r="N177" s="29" t="n"/>
      <c r="O177" s="13" t="n">
        <v>3</v>
      </c>
      <c r="P177" s="13" t="n">
        <v>48</v>
      </c>
      <c r="Q177" s="35" t="n">
        <v>969.15</v>
      </c>
      <c r="R177" s="35" t="n">
        <v>969.15</v>
      </c>
      <c r="S177" s="35" t="n"/>
      <c r="T177" s="35" t="n"/>
      <c r="U177" s="35" t="n"/>
      <c r="V177" s="18">
        <f>IF(COUNTA($B177:$R177)=0,"",ROUND(N($R177)+N($S177)+N($T177)-N($U177),2))</f>
        <v/>
      </c>
      <c r="W177" s="18">
        <f>IF(COUNTA($B177:$R177)=0,"",IF(OR($X177="Pago",$X177="Recebido",$X177="Cancelado"),0,ROUND(N($Q177)+N($S177)+N($T177)-N($U177)-N($R177),2)))</f>
        <v/>
      </c>
      <c r="X177" s="14" t="inlineStr">
        <is>
          <t>Pago</t>
        </is>
      </c>
      <c r="Y177" s="17">
        <f>IF(COUNTA($B177:$R177)=0,"",IF($X177="Cancelado","Cancelado",IF(OR($X177="Pago",$X177="Recebido"),$X177,IF(OR($X177="Parcial",N($R177)&gt;0),"Parcial",IF($C177="","Sem vencimento",IF($C177&lt;TODAY(),"Vencido",IF($C177=TODAY(),"Vence hoje",IF($C177&lt;=TODAY()+7,"Vence em 7 dias",IF($C177&lt;=TODAY()+30,"Vence em 30 dias","Futuro")))))))))</f>
        <v/>
      </c>
      <c r="Z177" s="24">
        <f>IF($B177="","",MONTH($B177))</f>
        <v/>
      </c>
      <c r="AA177" s="24">
        <f>IF($B177="","",YEAR($B177))</f>
        <v/>
      </c>
      <c r="AB177" s="24">
        <f>IF($B177="","",ISOWEEKNUM($B177))</f>
        <v/>
      </c>
      <c r="AC177" s="17">
        <f>IF($B177="","",CHOOSE(WEEKDAY($B177,2),"Segunda","Terça","Quarta","Quinta","Sexta","Sábado","Domingo"))</f>
        <v/>
      </c>
      <c r="AD177" s="17">
        <f>IF($B177="","",TEXT($B177,"MM/AAAA"))</f>
        <v/>
      </c>
      <c r="AE177" s="18">
        <f>IF(COUNTA($B177:$R177)=0,"",IF($X177="Cancelado",0,ROUND(N($Q177)+N($S177)+N($T177)-N($U177),2)))</f>
        <v/>
      </c>
      <c r="AF177" s="9">
        <f>IF($G177="","",IFERROR(INDEX(LINHAS_DRE_PLANO,MATCH($G177,SUBCATEGORIAS_PLANO,0)),"Não classificado"))</f>
        <v/>
      </c>
      <c r="AG177" s="17">
        <f>IF($G177="","",IFERROR(INDEX(TIPOS_FLUXO_PLANO,MATCH($G177,SUBCATEGORIAS_PLANO,0)),"Não classificado"))</f>
        <v/>
      </c>
      <c r="AH177" s="9">
        <f>IF($G177="","",IFERROR(INDEX(GRUPOS_PLANO,MATCH($G177,SUBCATEGORIAS_PLANO,0)),"Não classificado"))</f>
        <v/>
      </c>
      <c r="AI177" s="24">
        <f>IF(OR($C177="",$X177="Pago",$X177="Recebido",$X177="Cancelado"),"",$C177-TODAY())</f>
        <v/>
      </c>
      <c r="AJ177" s="24">
        <f>IF(OR($C177="",$X177="Pago",$X177="Recebido",$X177="Cancelado"),0,MAX(0,TODAY()-$C177))</f>
        <v/>
      </c>
      <c r="AK177" s="24">
        <f>IF($D177="","",$D177-$B177)</f>
        <v/>
      </c>
      <c r="AL177" s="18">
        <f>IF(OR($D177="",$B177=""),"",ROUND(N($R177)*($D177-$B177),2))</f>
        <v/>
      </c>
      <c r="AM177" s="17">
        <f>IF(AND($E177="Saída",$W177&gt;0,$C177&lt;&gt;""),$C177+ROW()/1000000,"")</f>
        <v/>
      </c>
      <c r="AN177" s="17">
        <f>IF(AND($E177="Entrada",$W177&gt;0,$C177&lt;&gt;""),$C177+ROW()/1000000,"")</f>
        <v/>
      </c>
      <c r="AO177" s="9">
        <f>IF(COUNTA($B177:$R177)=0,"",IF(AND($I177&lt;&gt;"",COUNTIF(CLIENTES_NOMES,$I177)+COUNTIF(CLIENTES_FANTASIA,$I177)+COUNTIF(FORNECEDORES_NOMES,$I177)+COUNTIF(FORNECEDORES_FANTASIA,$I177)=0),"⚠ Cliente/Fornecedor não cadastrado",IF(AND($G177&lt;&gt;"",COUNTIF(SUBCATEGORIAS_PLANO,$G177)=0),"⚠ Subcategoria fora do plano de contas",IF(OR($Q177="",N($Q177)=0),"⚠ Valor previsto não informado",IF(AND(OR($X177="Pago",$X177="Recebido"),$D177=""),"⚠ Status pago/recebido sem data",IF(AND($D177&lt;&gt;"",N($R177)=0),"⚠ Data de pagamento sem valor realizado",IF(AND(N($P177)&gt;1,N($O177)&gt;N($P177)),"⚠ Nº da parcela maior que o total",IF(AND($C177&lt;&gt;"",$B177&lt;&gt;"",$C177&lt;$B177),"⚠ Vencimento anterior à competência","OK"))))))))</f>
        <v/>
      </c>
    </row>
    <row r="178">
      <c r="A178" s="14" t="inlineStr">
        <is>
          <t>L0173</t>
        </is>
      </c>
      <c r="B178" s="36" t="n">
        <v>46134</v>
      </c>
      <c r="C178" s="36" t="n">
        <v>46164</v>
      </c>
      <c r="D178" s="36" t="n">
        <v>46164</v>
      </c>
      <c r="E178" s="14" t="inlineStr">
        <is>
          <t>Entrada</t>
        </is>
      </c>
      <c r="F178" s="29" t="inlineStr">
        <is>
          <t>Vendas</t>
        </is>
      </c>
      <c r="G178" s="29" t="inlineStr">
        <is>
          <t>Vendas de Serviços</t>
        </is>
      </c>
      <c r="H178" s="29" t="inlineStr">
        <is>
          <t>Comercial</t>
        </is>
      </c>
      <c r="I178" s="29" t="inlineStr">
        <is>
          <t>MERCADO BOA COMPRA LTDA</t>
        </is>
      </c>
      <c r="J178" s="29" t="inlineStr">
        <is>
          <t>Serviços de logística, montagem e reposição</t>
        </is>
      </c>
      <c r="K178" s="14" t="inlineStr">
        <is>
          <t>RPS 3038</t>
        </is>
      </c>
      <c r="L178" s="29" t="inlineStr">
        <is>
          <t>Banco do Brasil — C/C 12345-6</t>
        </is>
      </c>
      <c r="M178" s="14" t="inlineStr">
        <is>
          <t>Boleto</t>
        </is>
      </c>
      <c r="N178" s="29" t="n"/>
      <c r="O178" s="13" t="n">
        <v>1</v>
      </c>
      <c r="P178" s="13" t="n">
        <v>1</v>
      </c>
      <c r="Q178" s="35" t="n">
        <v>11686.23</v>
      </c>
      <c r="R178" s="35" t="n">
        <v>11686.23</v>
      </c>
      <c r="S178" s="35" t="n"/>
      <c r="T178" s="35" t="n"/>
      <c r="U178" s="35" t="n"/>
      <c r="V178" s="18">
        <f>IF(COUNTA($B178:$R178)=0,"",ROUND(N($R178)+N($S178)+N($T178)-N($U178),2))</f>
        <v/>
      </c>
      <c r="W178" s="18">
        <f>IF(COUNTA($B178:$R178)=0,"",IF(OR($X178="Pago",$X178="Recebido",$X178="Cancelado"),0,ROUND(N($Q178)+N($S178)+N($T178)-N($U178)-N($R178),2)))</f>
        <v/>
      </c>
      <c r="X178" s="14" t="inlineStr">
        <is>
          <t>Pago</t>
        </is>
      </c>
      <c r="Y178" s="17">
        <f>IF(COUNTA($B178:$R178)=0,"",IF($X178="Cancelado","Cancelado",IF(OR($X178="Pago",$X178="Recebido"),$X178,IF(OR($X178="Parcial",N($R178)&gt;0),"Parcial",IF($C178="","Sem vencimento",IF($C178&lt;TODAY(),"Vencido",IF($C178=TODAY(),"Vence hoje",IF($C178&lt;=TODAY()+7,"Vence em 7 dias",IF($C178&lt;=TODAY()+30,"Vence em 30 dias","Futuro")))))))))</f>
        <v/>
      </c>
      <c r="Z178" s="24">
        <f>IF($B178="","",MONTH($B178))</f>
        <v/>
      </c>
      <c r="AA178" s="24">
        <f>IF($B178="","",YEAR($B178))</f>
        <v/>
      </c>
      <c r="AB178" s="24">
        <f>IF($B178="","",ISOWEEKNUM($B178))</f>
        <v/>
      </c>
      <c r="AC178" s="17">
        <f>IF($B178="","",CHOOSE(WEEKDAY($B178,2),"Segunda","Terça","Quarta","Quinta","Sexta","Sábado","Domingo"))</f>
        <v/>
      </c>
      <c r="AD178" s="17">
        <f>IF($B178="","",TEXT($B178,"MM/AAAA"))</f>
        <v/>
      </c>
      <c r="AE178" s="18">
        <f>IF(COUNTA($B178:$R178)=0,"",IF($X178="Cancelado",0,ROUND(N($Q178)+N($S178)+N($T178)-N($U178),2)))</f>
        <v/>
      </c>
      <c r="AF178" s="9">
        <f>IF($G178="","",IFERROR(INDEX(LINHAS_DRE_PLANO,MATCH($G178,SUBCATEGORIAS_PLANO,0)),"Não classificado"))</f>
        <v/>
      </c>
      <c r="AG178" s="17">
        <f>IF($G178="","",IFERROR(INDEX(TIPOS_FLUXO_PLANO,MATCH($G178,SUBCATEGORIAS_PLANO,0)),"Não classificado"))</f>
        <v/>
      </c>
      <c r="AH178" s="9">
        <f>IF($G178="","",IFERROR(INDEX(GRUPOS_PLANO,MATCH($G178,SUBCATEGORIAS_PLANO,0)),"Não classificado"))</f>
        <v/>
      </c>
      <c r="AI178" s="24">
        <f>IF(OR($C178="",$X178="Pago",$X178="Recebido",$X178="Cancelado"),"",$C178-TODAY())</f>
        <v/>
      </c>
      <c r="AJ178" s="24">
        <f>IF(OR($C178="",$X178="Pago",$X178="Recebido",$X178="Cancelado"),0,MAX(0,TODAY()-$C178))</f>
        <v/>
      </c>
      <c r="AK178" s="24">
        <f>IF($D178="","",$D178-$B178)</f>
        <v/>
      </c>
      <c r="AL178" s="18">
        <f>IF(OR($D178="",$B178=""),"",ROUND(N($R178)*($D178-$B178),2))</f>
        <v/>
      </c>
      <c r="AM178" s="17">
        <f>IF(AND($E178="Saída",$W178&gt;0,$C178&lt;&gt;""),$C178+ROW()/1000000,"")</f>
        <v/>
      </c>
      <c r="AN178" s="17">
        <f>IF(AND($E178="Entrada",$W178&gt;0,$C178&lt;&gt;""),$C178+ROW()/1000000,"")</f>
        <v/>
      </c>
      <c r="AO178" s="9">
        <f>IF(COUNTA($B178:$R178)=0,"",IF(AND($I178&lt;&gt;"",COUNTIF(CLIENTES_NOMES,$I178)+COUNTIF(CLIENTES_FANTASIA,$I178)+COUNTIF(FORNECEDORES_NOMES,$I178)+COUNTIF(FORNECEDORES_FANTASIA,$I178)=0),"⚠ Cliente/Fornecedor não cadastrado",IF(AND($G178&lt;&gt;"",COUNTIF(SUBCATEGORIAS_PLANO,$G178)=0),"⚠ Subcategoria fora do plano de contas",IF(OR($Q178="",N($Q178)=0),"⚠ Valor previsto não informado",IF(AND(OR($X178="Pago",$X178="Recebido"),$D178=""),"⚠ Status pago/recebido sem data",IF(AND($D178&lt;&gt;"",N($R178)=0),"⚠ Data de pagamento sem valor realizado",IF(AND(N($P178)&gt;1,N($O178)&gt;N($P178)),"⚠ Nº da parcela maior que o total",IF(AND($C178&lt;&gt;"",$B178&lt;&gt;"",$C178&lt;$B178),"⚠ Vencimento anterior à competência","OK"))))))))</f>
        <v/>
      </c>
    </row>
    <row r="179">
      <c r="A179" s="14" t="inlineStr">
        <is>
          <t>L0174</t>
        </is>
      </c>
      <c r="B179" s="36" t="n">
        <v>46134</v>
      </c>
      <c r="C179" s="36" t="n">
        <v>46149</v>
      </c>
      <c r="D179" s="36" t="n">
        <v>46152</v>
      </c>
      <c r="E179" s="14" t="inlineStr">
        <is>
          <t>Entrada</t>
        </is>
      </c>
      <c r="F179" s="29" t="inlineStr">
        <is>
          <t>Vendas</t>
        </is>
      </c>
      <c r="G179" s="29" t="inlineStr">
        <is>
          <t>Vendas de Serviços</t>
        </is>
      </c>
      <c r="H179" s="29" t="inlineStr">
        <is>
          <t>Comercial</t>
        </is>
      </c>
      <c r="I179" s="29" t="inlineStr">
        <is>
          <t>RESTAURANTE SABOR CASEIRO LTDA</t>
        </is>
      </c>
      <c r="J179" s="29" t="inlineStr">
        <is>
          <t>Serviços de logística, montagem e reposição</t>
        </is>
      </c>
      <c r="K179" s="14" t="inlineStr">
        <is>
          <t>RPS 3042</t>
        </is>
      </c>
      <c r="L179" s="29" t="inlineStr">
        <is>
          <t>Itaú Unibanco — C/C 45678-9</t>
        </is>
      </c>
      <c r="M179" s="14" t="inlineStr">
        <is>
          <t>Boleto</t>
        </is>
      </c>
      <c r="N179" s="29" t="n"/>
      <c r="O179" s="13" t="n">
        <v>1</v>
      </c>
      <c r="P179" s="13" t="n">
        <v>1</v>
      </c>
      <c r="Q179" s="35" t="n">
        <v>7128.17</v>
      </c>
      <c r="R179" s="35" t="n">
        <v>7128.17</v>
      </c>
      <c r="S179" s="35" t="n"/>
      <c r="T179" s="35" t="n"/>
      <c r="U179" s="35" t="n"/>
      <c r="V179" s="18">
        <f>IF(COUNTA($B179:$R179)=0,"",ROUND(N($R179)+N($S179)+N($T179)-N($U179),2))</f>
        <v/>
      </c>
      <c r="W179" s="18">
        <f>IF(COUNTA($B179:$R179)=0,"",IF(OR($X179="Pago",$X179="Recebido",$X179="Cancelado"),0,ROUND(N($Q179)+N($S179)+N($T179)-N($U179)-N($R179),2)))</f>
        <v/>
      </c>
      <c r="X179" s="14" t="inlineStr">
        <is>
          <t>Pago</t>
        </is>
      </c>
      <c r="Y179" s="17">
        <f>IF(COUNTA($B179:$R179)=0,"",IF($X179="Cancelado","Cancelado",IF(OR($X179="Pago",$X179="Recebido"),$X179,IF(OR($X179="Parcial",N($R179)&gt;0),"Parcial",IF($C179="","Sem vencimento",IF($C179&lt;TODAY(),"Vencido",IF($C179=TODAY(),"Vence hoje",IF($C179&lt;=TODAY()+7,"Vence em 7 dias",IF($C179&lt;=TODAY()+30,"Vence em 30 dias","Futuro")))))))))</f>
        <v/>
      </c>
      <c r="Z179" s="24">
        <f>IF($B179="","",MONTH($B179))</f>
        <v/>
      </c>
      <c r="AA179" s="24">
        <f>IF($B179="","",YEAR($B179))</f>
        <v/>
      </c>
      <c r="AB179" s="24">
        <f>IF($B179="","",ISOWEEKNUM($B179))</f>
        <v/>
      </c>
      <c r="AC179" s="17">
        <f>IF($B179="","",CHOOSE(WEEKDAY($B179,2),"Segunda","Terça","Quarta","Quinta","Sexta","Sábado","Domingo"))</f>
        <v/>
      </c>
      <c r="AD179" s="17">
        <f>IF($B179="","",TEXT($B179,"MM/AAAA"))</f>
        <v/>
      </c>
      <c r="AE179" s="18">
        <f>IF(COUNTA($B179:$R179)=0,"",IF($X179="Cancelado",0,ROUND(N($Q179)+N($S179)+N($T179)-N($U179),2)))</f>
        <v/>
      </c>
      <c r="AF179" s="9">
        <f>IF($G179="","",IFERROR(INDEX(LINHAS_DRE_PLANO,MATCH($G179,SUBCATEGORIAS_PLANO,0)),"Não classificado"))</f>
        <v/>
      </c>
      <c r="AG179" s="17">
        <f>IF($G179="","",IFERROR(INDEX(TIPOS_FLUXO_PLANO,MATCH($G179,SUBCATEGORIAS_PLANO,0)),"Não classificado"))</f>
        <v/>
      </c>
      <c r="AH179" s="9">
        <f>IF($G179="","",IFERROR(INDEX(GRUPOS_PLANO,MATCH($G179,SUBCATEGORIAS_PLANO,0)),"Não classificado"))</f>
        <v/>
      </c>
      <c r="AI179" s="24">
        <f>IF(OR($C179="",$X179="Pago",$X179="Recebido",$X179="Cancelado"),"",$C179-TODAY())</f>
        <v/>
      </c>
      <c r="AJ179" s="24">
        <f>IF(OR($C179="",$X179="Pago",$X179="Recebido",$X179="Cancelado"),0,MAX(0,TODAY()-$C179))</f>
        <v/>
      </c>
      <c r="AK179" s="24">
        <f>IF($D179="","",$D179-$B179)</f>
        <v/>
      </c>
      <c r="AL179" s="18">
        <f>IF(OR($D179="",$B179=""),"",ROUND(N($R179)*($D179-$B179),2))</f>
        <v/>
      </c>
      <c r="AM179" s="17">
        <f>IF(AND($E179="Saída",$W179&gt;0,$C179&lt;&gt;""),$C179+ROW()/1000000,"")</f>
        <v/>
      </c>
      <c r="AN179" s="17">
        <f>IF(AND($E179="Entrada",$W179&gt;0,$C179&lt;&gt;""),$C179+ROW()/1000000,"")</f>
        <v/>
      </c>
      <c r="AO179" s="9">
        <f>IF(COUNTA($B179:$R179)=0,"",IF(AND($I179&lt;&gt;"",COUNTIF(CLIENTES_NOMES,$I179)+COUNTIF(CLIENTES_FANTASIA,$I179)+COUNTIF(FORNECEDORES_NOMES,$I179)+COUNTIF(FORNECEDORES_FANTASIA,$I179)=0),"⚠ Cliente/Fornecedor não cadastrado",IF(AND($G179&lt;&gt;"",COUNTIF(SUBCATEGORIAS_PLANO,$G179)=0),"⚠ Subcategoria fora do plano de contas",IF(OR($Q179="",N($Q179)=0),"⚠ Valor previsto não informado",IF(AND(OR($X179="Pago",$X179="Recebido"),$D179=""),"⚠ Status pago/recebido sem data",IF(AND($D179&lt;&gt;"",N($R179)=0),"⚠ Data de pagamento sem valor realizado",IF(AND(N($P179)&gt;1,N($O179)&gt;N($P179)),"⚠ Nº da parcela maior que o total",IF(AND($C179&lt;&gt;"",$B179&lt;&gt;"",$C179&lt;$B179),"⚠ Vencimento anterior à competência","OK"))))))))</f>
        <v/>
      </c>
    </row>
    <row r="180">
      <c r="A180" s="14" t="inlineStr">
        <is>
          <t>L0175</t>
        </is>
      </c>
      <c r="B180" s="36" t="n">
        <v>46134</v>
      </c>
      <c r="C180" s="36" t="n">
        <v>46155</v>
      </c>
      <c r="D180" s="36" t="n">
        <v>46157</v>
      </c>
      <c r="E180" s="14" t="inlineStr">
        <is>
          <t>Entrada</t>
        </is>
      </c>
      <c r="F180" s="29" t="inlineStr">
        <is>
          <t>Vendas</t>
        </is>
      </c>
      <c r="G180" s="29" t="inlineStr">
        <is>
          <t>Vendas de Serviços</t>
        </is>
      </c>
      <c r="H180" s="29" t="inlineStr">
        <is>
          <t>Comercial</t>
        </is>
      </c>
      <c r="I180" s="29" t="inlineStr">
        <is>
          <t>EMPÓRIO NATURAL COMÉRCIO LTDA</t>
        </is>
      </c>
      <c r="J180" s="29" t="inlineStr">
        <is>
          <t>Serviços de logística, montagem e reposição</t>
        </is>
      </c>
      <c r="K180" s="14" t="inlineStr">
        <is>
          <t>RPS 3046</t>
        </is>
      </c>
      <c r="L180" s="29" t="inlineStr">
        <is>
          <t>Itaú Unibanco — C/C 45678-9</t>
        </is>
      </c>
      <c r="M180" s="14" t="inlineStr">
        <is>
          <t>Boleto</t>
        </is>
      </c>
      <c r="N180" s="29" t="n"/>
      <c r="O180" s="13" t="n">
        <v>1</v>
      </c>
      <c r="P180" s="13" t="n">
        <v>1</v>
      </c>
      <c r="Q180" s="35" t="n">
        <v>13750.91</v>
      </c>
      <c r="R180" s="35" t="n">
        <v>13750.91</v>
      </c>
      <c r="S180" s="35" t="n"/>
      <c r="T180" s="35" t="n"/>
      <c r="U180" s="35" t="n"/>
      <c r="V180" s="18">
        <f>IF(COUNTA($B180:$R180)=0,"",ROUND(N($R180)+N($S180)+N($T180)-N($U180),2))</f>
        <v/>
      </c>
      <c r="W180" s="18">
        <f>IF(COUNTA($B180:$R180)=0,"",IF(OR($X180="Pago",$X180="Recebido",$X180="Cancelado"),0,ROUND(N($Q180)+N($S180)+N($T180)-N($U180)-N($R180),2)))</f>
        <v/>
      </c>
      <c r="X180" s="14" t="inlineStr">
        <is>
          <t>Pago</t>
        </is>
      </c>
      <c r="Y180" s="17">
        <f>IF(COUNTA($B180:$R180)=0,"",IF($X180="Cancelado","Cancelado",IF(OR($X180="Pago",$X180="Recebido"),$X180,IF(OR($X180="Parcial",N($R180)&gt;0),"Parcial",IF($C180="","Sem vencimento",IF($C180&lt;TODAY(),"Vencido",IF($C180=TODAY(),"Vence hoje",IF($C180&lt;=TODAY()+7,"Vence em 7 dias",IF($C180&lt;=TODAY()+30,"Vence em 30 dias","Futuro")))))))))</f>
        <v/>
      </c>
      <c r="Z180" s="24">
        <f>IF($B180="","",MONTH($B180))</f>
        <v/>
      </c>
      <c r="AA180" s="24">
        <f>IF($B180="","",YEAR($B180))</f>
        <v/>
      </c>
      <c r="AB180" s="24">
        <f>IF($B180="","",ISOWEEKNUM($B180))</f>
        <v/>
      </c>
      <c r="AC180" s="17">
        <f>IF($B180="","",CHOOSE(WEEKDAY($B180,2),"Segunda","Terça","Quarta","Quinta","Sexta","Sábado","Domingo"))</f>
        <v/>
      </c>
      <c r="AD180" s="17">
        <f>IF($B180="","",TEXT($B180,"MM/AAAA"))</f>
        <v/>
      </c>
      <c r="AE180" s="18">
        <f>IF(COUNTA($B180:$R180)=0,"",IF($X180="Cancelado",0,ROUND(N($Q180)+N($S180)+N($T180)-N($U180),2)))</f>
        <v/>
      </c>
      <c r="AF180" s="9">
        <f>IF($G180="","",IFERROR(INDEX(LINHAS_DRE_PLANO,MATCH($G180,SUBCATEGORIAS_PLANO,0)),"Não classificado"))</f>
        <v/>
      </c>
      <c r="AG180" s="17">
        <f>IF($G180="","",IFERROR(INDEX(TIPOS_FLUXO_PLANO,MATCH($G180,SUBCATEGORIAS_PLANO,0)),"Não classificado"))</f>
        <v/>
      </c>
      <c r="AH180" s="9">
        <f>IF($G180="","",IFERROR(INDEX(GRUPOS_PLANO,MATCH($G180,SUBCATEGORIAS_PLANO,0)),"Não classificado"))</f>
        <v/>
      </c>
      <c r="AI180" s="24">
        <f>IF(OR($C180="",$X180="Pago",$X180="Recebido",$X180="Cancelado"),"",$C180-TODAY())</f>
        <v/>
      </c>
      <c r="AJ180" s="24">
        <f>IF(OR($C180="",$X180="Pago",$X180="Recebido",$X180="Cancelado"),0,MAX(0,TODAY()-$C180))</f>
        <v/>
      </c>
      <c r="AK180" s="24">
        <f>IF($D180="","",$D180-$B180)</f>
        <v/>
      </c>
      <c r="AL180" s="18">
        <f>IF(OR($D180="",$B180=""),"",ROUND(N($R180)*($D180-$B180),2))</f>
        <v/>
      </c>
      <c r="AM180" s="17">
        <f>IF(AND($E180="Saída",$W180&gt;0,$C180&lt;&gt;""),$C180+ROW()/1000000,"")</f>
        <v/>
      </c>
      <c r="AN180" s="17">
        <f>IF(AND($E180="Entrada",$W180&gt;0,$C180&lt;&gt;""),$C180+ROW()/1000000,"")</f>
        <v/>
      </c>
      <c r="AO180" s="9">
        <f>IF(COUNTA($B180:$R180)=0,"",IF(AND($I180&lt;&gt;"",COUNTIF(CLIENTES_NOMES,$I180)+COUNTIF(CLIENTES_FANTASIA,$I180)+COUNTIF(FORNECEDORES_NOMES,$I180)+COUNTIF(FORNECEDORES_FANTASIA,$I180)=0),"⚠ Cliente/Fornecedor não cadastrado",IF(AND($G180&lt;&gt;"",COUNTIF(SUBCATEGORIAS_PLANO,$G180)=0),"⚠ Subcategoria fora do plano de contas",IF(OR($Q180="",N($Q180)=0),"⚠ Valor previsto não informado",IF(AND(OR($X180="Pago",$X180="Recebido"),$D180=""),"⚠ Status pago/recebido sem data",IF(AND($D180&lt;&gt;"",N($R180)=0),"⚠ Data de pagamento sem valor realizado",IF(AND(N($P180)&gt;1,N($O180)&gt;N($P180)),"⚠ Nº da parcela maior que o total",IF(AND($C180&lt;&gt;"",$B180&lt;&gt;"",$C180&lt;$B180),"⚠ Vencimento anterior à competência","OK"))))))))</f>
        <v/>
      </c>
    </row>
    <row r="181">
      <c r="A181" s="14" t="inlineStr">
        <is>
          <t>L0176</t>
        </is>
      </c>
      <c r="B181" s="36" t="n">
        <v>46134</v>
      </c>
      <c r="C181" s="36" t="n">
        <v>46144</v>
      </c>
      <c r="D181" s="36" t="n">
        <v>46144</v>
      </c>
      <c r="E181" s="14" t="inlineStr">
        <is>
          <t>Saída</t>
        </is>
      </c>
      <c r="F181" s="29" t="inlineStr">
        <is>
          <t>Despesas Administrativas</t>
        </is>
      </c>
      <c r="G181" s="29" t="inlineStr">
        <is>
          <t>Manutenção e Conservação</t>
        </is>
      </c>
      <c r="H181" s="29" t="inlineStr">
        <is>
          <t>Administrativo</t>
        </is>
      </c>
      <c r="I181" s="29" t="inlineStr">
        <is>
          <t>MANUTENÇÃO PREDIAL EXPRESSA LTDA</t>
        </is>
      </c>
      <c r="J181" s="29" t="inlineStr">
        <is>
          <t>Manutenção predial, empilhadeira e frota</t>
        </is>
      </c>
      <c r="K181" s="14" t="inlineStr">
        <is>
          <t>DOC 8325</t>
        </is>
      </c>
      <c r="L181" s="29" t="inlineStr">
        <is>
          <t>Banco do Brasil — C/C 12345-6</t>
        </is>
      </c>
      <c r="M181" s="14" t="inlineStr">
        <is>
          <t>PIX</t>
        </is>
      </c>
      <c r="N181" s="29" t="n"/>
      <c r="O181" s="13" t="n">
        <v>1</v>
      </c>
      <c r="P181" s="13" t="n">
        <v>1</v>
      </c>
      <c r="Q181" s="35" t="n">
        <v>770.5</v>
      </c>
      <c r="R181" s="35" t="n">
        <v>770.5</v>
      </c>
      <c r="S181" s="35" t="n"/>
      <c r="T181" s="35" t="n"/>
      <c r="U181" s="35" t="n"/>
      <c r="V181" s="18">
        <f>IF(COUNTA($B181:$R181)=0,"",ROUND(N($R181)+N($S181)+N($T181)-N($U181),2))</f>
        <v/>
      </c>
      <c r="W181" s="18">
        <f>IF(COUNTA($B181:$R181)=0,"",IF(OR($X181="Pago",$X181="Recebido",$X181="Cancelado"),0,ROUND(N($Q181)+N($S181)+N($T181)-N($U181)-N($R181),2)))</f>
        <v/>
      </c>
      <c r="X181" s="14" t="inlineStr">
        <is>
          <t>Pago</t>
        </is>
      </c>
      <c r="Y181" s="17">
        <f>IF(COUNTA($B181:$R181)=0,"",IF($X181="Cancelado","Cancelado",IF(OR($X181="Pago",$X181="Recebido"),$X181,IF(OR($X181="Parcial",N($R181)&gt;0),"Parcial",IF($C181="","Sem vencimento",IF($C181&lt;TODAY(),"Vencido",IF($C181=TODAY(),"Vence hoje",IF($C181&lt;=TODAY()+7,"Vence em 7 dias",IF($C181&lt;=TODAY()+30,"Vence em 30 dias","Futuro")))))))))</f>
        <v/>
      </c>
      <c r="Z181" s="24">
        <f>IF($B181="","",MONTH($B181))</f>
        <v/>
      </c>
      <c r="AA181" s="24">
        <f>IF($B181="","",YEAR($B181))</f>
        <v/>
      </c>
      <c r="AB181" s="24">
        <f>IF($B181="","",ISOWEEKNUM($B181))</f>
        <v/>
      </c>
      <c r="AC181" s="17">
        <f>IF($B181="","",CHOOSE(WEEKDAY($B181,2),"Segunda","Terça","Quarta","Quinta","Sexta","Sábado","Domingo"))</f>
        <v/>
      </c>
      <c r="AD181" s="17">
        <f>IF($B181="","",TEXT($B181,"MM/AAAA"))</f>
        <v/>
      </c>
      <c r="AE181" s="18">
        <f>IF(COUNTA($B181:$R181)=0,"",IF($X181="Cancelado",0,ROUND(N($Q181)+N($S181)+N($T181)-N($U181),2)))</f>
        <v/>
      </c>
      <c r="AF181" s="9">
        <f>IF($G181="","",IFERROR(INDEX(LINHAS_DRE_PLANO,MATCH($G181,SUBCATEGORIAS_PLANO,0)),"Não classificado"))</f>
        <v/>
      </c>
      <c r="AG181" s="17">
        <f>IF($G181="","",IFERROR(INDEX(TIPOS_FLUXO_PLANO,MATCH($G181,SUBCATEGORIAS_PLANO,0)),"Não classificado"))</f>
        <v/>
      </c>
      <c r="AH181" s="9">
        <f>IF($G181="","",IFERROR(INDEX(GRUPOS_PLANO,MATCH($G181,SUBCATEGORIAS_PLANO,0)),"Não classificado"))</f>
        <v/>
      </c>
      <c r="AI181" s="24">
        <f>IF(OR($C181="",$X181="Pago",$X181="Recebido",$X181="Cancelado"),"",$C181-TODAY())</f>
        <v/>
      </c>
      <c r="AJ181" s="24">
        <f>IF(OR($C181="",$X181="Pago",$X181="Recebido",$X181="Cancelado"),0,MAX(0,TODAY()-$C181))</f>
        <v/>
      </c>
      <c r="AK181" s="24">
        <f>IF($D181="","",$D181-$B181)</f>
        <v/>
      </c>
      <c r="AL181" s="18">
        <f>IF(OR($D181="",$B181=""),"",ROUND(N($R181)*($D181-$B181),2))</f>
        <v/>
      </c>
      <c r="AM181" s="17">
        <f>IF(AND($E181="Saída",$W181&gt;0,$C181&lt;&gt;""),$C181+ROW()/1000000,"")</f>
        <v/>
      </c>
      <c r="AN181" s="17">
        <f>IF(AND($E181="Entrada",$W181&gt;0,$C181&lt;&gt;""),$C181+ROW()/1000000,"")</f>
        <v/>
      </c>
      <c r="AO181" s="9">
        <f>IF(COUNTA($B181:$R181)=0,"",IF(AND($I181&lt;&gt;"",COUNTIF(CLIENTES_NOMES,$I181)+COUNTIF(CLIENTES_FANTASIA,$I181)+COUNTIF(FORNECEDORES_NOMES,$I181)+COUNTIF(FORNECEDORES_FANTASIA,$I181)=0),"⚠ Cliente/Fornecedor não cadastrado",IF(AND($G181&lt;&gt;"",COUNTIF(SUBCATEGORIAS_PLANO,$G181)=0),"⚠ Subcategoria fora do plano de contas",IF(OR($Q181="",N($Q181)=0),"⚠ Valor previsto não informado",IF(AND(OR($X181="Pago",$X181="Recebido"),$D181=""),"⚠ Status pago/recebido sem data",IF(AND($D181&lt;&gt;"",N($R181)=0),"⚠ Data de pagamento sem valor realizado",IF(AND(N($P181)&gt;1,N($O181)&gt;N($P181)),"⚠ Nº da parcela maior que o total",IF(AND($C181&lt;&gt;"",$B181&lt;&gt;"",$C181&lt;$B181),"⚠ Vencimento anterior à competência","OK"))))))))</f>
        <v/>
      </c>
    </row>
    <row r="182">
      <c r="A182" s="14" t="inlineStr">
        <is>
          <t>L0177</t>
        </is>
      </c>
      <c r="B182" s="36" t="n">
        <v>46136</v>
      </c>
      <c r="C182" s="36" t="n">
        <v>46147</v>
      </c>
      <c r="D182" s="36" t="n">
        <v>46149</v>
      </c>
      <c r="E182" s="14" t="inlineStr">
        <is>
          <t>Saída</t>
        </is>
      </c>
      <c r="F182" s="29" t="inlineStr">
        <is>
          <t>Despesas Comerciais</t>
        </is>
      </c>
      <c r="G182" s="29" t="inlineStr">
        <is>
          <t>Viagens Comerciais</t>
        </is>
      </c>
      <c r="H182" s="29" t="inlineStr">
        <is>
          <t>Comercial</t>
        </is>
      </c>
      <c r="I182" s="29" t="inlineStr">
        <is>
          <t>AGÊNCIA PULSO DIGITAL LTDA</t>
        </is>
      </c>
      <c r="J182" s="29" t="inlineStr">
        <is>
          <t>Viagens comerciais e visitas a clientes</t>
        </is>
      </c>
      <c r="K182" s="14" t="inlineStr">
        <is>
          <t>DOC 8327</t>
        </is>
      </c>
      <c r="L182" s="29" t="inlineStr">
        <is>
          <t>Itaú Unibanco — C/C 45678-9</t>
        </is>
      </c>
      <c r="M182" s="14" t="inlineStr">
        <is>
          <t>Cartão de crédito</t>
        </is>
      </c>
      <c r="N182" s="29" t="inlineStr">
        <is>
          <t>Cartão Visa Itaú Business</t>
        </is>
      </c>
      <c r="O182" s="13" t="n">
        <v>1</v>
      </c>
      <c r="P182" s="13" t="n">
        <v>1</v>
      </c>
      <c r="Q182" s="35" t="n">
        <v>1319.18</v>
      </c>
      <c r="R182" s="35" t="n">
        <v>1319.18</v>
      </c>
      <c r="S182" s="35" t="n"/>
      <c r="T182" s="35" t="n"/>
      <c r="U182" s="35" t="n"/>
      <c r="V182" s="18">
        <f>IF(COUNTA($B182:$R182)=0,"",ROUND(N($R182)+N($S182)+N($T182)-N($U182),2))</f>
        <v/>
      </c>
      <c r="W182" s="18">
        <f>IF(COUNTA($B182:$R182)=0,"",IF(OR($X182="Pago",$X182="Recebido",$X182="Cancelado"),0,ROUND(N($Q182)+N($S182)+N($T182)-N($U182)-N($R182),2)))</f>
        <v/>
      </c>
      <c r="X182" s="14" t="inlineStr">
        <is>
          <t>Pago</t>
        </is>
      </c>
      <c r="Y182" s="17">
        <f>IF(COUNTA($B182:$R182)=0,"",IF($X182="Cancelado","Cancelado",IF(OR($X182="Pago",$X182="Recebido"),$X182,IF(OR($X182="Parcial",N($R182)&gt;0),"Parcial",IF($C182="","Sem vencimento",IF($C182&lt;TODAY(),"Vencido",IF($C182=TODAY(),"Vence hoje",IF($C182&lt;=TODAY()+7,"Vence em 7 dias",IF($C182&lt;=TODAY()+30,"Vence em 30 dias","Futuro")))))))))</f>
        <v/>
      </c>
      <c r="Z182" s="24">
        <f>IF($B182="","",MONTH($B182))</f>
        <v/>
      </c>
      <c r="AA182" s="24">
        <f>IF($B182="","",YEAR($B182))</f>
        <v/>
      </c>
      <c r="AB182" s="24">
        <f>IF($B182="","",ISOWEEKNUM($B182))</f>
        <v/>
      </c>
      <c r="AC182" s="17">
        <f>IF($B182="","",CHOOSE(WEEKDAY($B182,2),"Segunda","Terça","Quarta","Quinta","Sexta","Sábado","Domingo"))</f>
        <v/>
      </c>
      <c r="AD182" s="17">
        <f>IF($B182="","",TEXT($B182,"MM/AAAA"))</f>
        <v/>
      </c>
      <c r="AE182" s="18">
        <f>IF(COUNTA($B182:$R182)=0,"",IF($X182="Cancelado",0,ROUND(N($Q182)+N($S182)+N($T182)-N($U182),2)))</f>
        <v/>
      </c>
      <c r="AF182" s="9">
        <f>IF($G182="","",IFERROR(INDEX(LINHAS_DRE_PLANO,MATCH($G182,SUBCATEGORIAS_PLANO,0)),"Não classificado"))</f>
        <v/>
      </c>
      <c r="AG182" s="17">
        <f>IF($G182="","",IFERROR(INDEX(TIPOS_FLUXO_PLANO,MATCH($G182,SUBCATEGORIAS_PLANO,0)),"Não classificado"))</f>
        <v/>
      </c>
      <c r="AH182" s="9">
        <f>IF($G182="","",IFERROR(INDEX(GRUPOS_PLANO,MATCH($G182,SUBCATEGORIAS_PLANO,0)),"Não classificado"))</f>
        <v/>
      </c>
      <c r="AI182" s="24">
        <f>IF(OR($C182="",$X182="Pago",$X182="Recebido",$X182="Cancelado"),"",$C182-TODAY())</f>
        <v/>
      </c>
      <c r="AJ182" s="24">
        <f>IF(OR($C182="",$X182="Pago",$X182="Recebido",$X182="Cancelado"),0,MAX(0,TODAY()-$C182))</f>
        <v/>
      </c>
      <c r="AK182" s="24">
        <f>IF($D182="","",$D182-$B182)</f>
        <v/>
      </c>
      <c r="AL182" s="18">
        <f>IF(OR($D182="",$B182=""),"",ROUND(N($R182)*($D182-$B182),2))</f>
        <v/>
      </c>
      <c r="AM182" s="17">
        <f>IF(AND($E182="Saída",$W182&gt;0,$C182&lt;&gt;""),$C182+ROW()/1000000,"")</f>
        <v/>
      </c>
      <c r="AN182" s="17">
        <f>IF(AND($E182="Entrada",$W182&gt;0,$C182&lt;&gt;""),$C182+ROW()/1000000,"")</f>
        <v/>
      </c>
      <c r="AO182" s="9">
        <f>IF(COUNTA($B182:$R182)=0,"",IF(AND($I182&lt;&gt;"",COUNTIF(CLIENTES_NOMES,$I182)+COUNTIF(CLIENTES_FANTASIA,$I182)+COUNTIF(FORNECEDORES_NOMES,$I182)+COUNTIF(FORNECEDORES_FANTASIA,$I182)=0),"⚠ Cliente/Fornecedor não cadastrado",IF(AND($G182&lt;&gt;"",COUNTIF(SUBCATEGORIAS_PLANO,$G182)=0),"⚠ Subcategoria fora do plano de contas",IF(OR($Q182="",N($Q182)=0),"⚠ Valor previsto não informado",IF(AND(OR($X182="Pago",$X182="Recebido"),$D182=""),"⚠ Status pago/recebido sem data",IF(AND($D182&lt;&gt;"",N($R182)=0),"⚠ Data de pagamento sem valor realizado",IF(AND(N($P182)&gt;1,N($O182)&gt;N($P182)),"⚠ Nº da parcela maior que o total",IF(AND($C182&lt;&gt;"",$B182&lt;&gt;"",$C182&lt;$B182),"⚠ Vencimento anterior à competência","OK"))))))))</f>
        <v/>
      </c>
    </row>
    <row r="183">
      <c r="A183" s="14" t="inlineStr">
        <is>
          <t>L0178</t>
        </is>
      </c>
      <c r="B183" s="36" t="n">
        <v>46137</v>
      </c>
      <c r="C183" s="36" t="n">
        <v>46152</v>
      </c>
      <c r="D183" s="36" t="n">
        <v>46155</v>
      </c>
      <c r="E183" s="14" t="inlineStr">
        <is>
          <t>Saída</t>
        </is>
      </c>
      <c r="F183" s="29" t="inlineStr">
        <is>
          <t>Custos Variáveis</t>
        </is>
      </c>
      <c r="G183" s="29" t="inlineStr">
        <is>
          <t>Fretes e Entregas sobre Vendas</t>
        </is>
      </c>
      <c r="H183" s="29" t="inlineStr">
        <is>
          <t>Logística</t>
        </is>
      </c>
      <c r="I183" s="29" t="inlineStr">
        <is>
          <t>TRANSPORTADORA RÁPIDA LOG LTDA</t>
        </is>
      </c>
      <c r="J183" s="29" t="inlineStr">
        <is>
          <t>Fretes de entrega — notas do período</t>
        </is>
      </c>
      <c r="K183" s="14" t="inlineStr">
        <is>
          <t>DOC 7188</t>
        </is>
      </c>
      <c r="L183" s="29" t="inlineStr">
        <is>
          <t>Itaú Unibanco — C/C 45678-9</t>
        </is>
      </c>
      <c r="M183" s="14" t="inlineStr">
        <is>
          <t>Boleto</t>
        </is>
      </c>
      <c r="N183" s="29" t="n"/>
      <c r="O183" s="13" t="n">
        <v>1</v>
      </c>
      <c r="P183" s="13" t="n">
        <v>1</v>
      </c>
      <c r="Q183" s="35" t="n">
        <v>4162.78</v>
      </c>
      <c r="R183" s="35" t="n">
        <v>4162.78</v>
      </c>
      <c r="S183" s="35" t="n"/>
      <c r="T183" s="35" t="n"/>
      <c r="U183" s="35" t="n"/>
      <c r="V183" s="18">
        <f>IF(COUNTA($B183:$R183)=0,"",ROUND(N($R183)+N($S183)+N($T183)-N($U183),2))</f>
        <v/>
      </c>
      <c r="W183" s="18">
        <f>IF(COUNTA($B183:$R183)=0,"",IF(OR($X183="Pago",$X183="Recebido",$X183="Cancelado"),0,ROUND(N($Q183)+N($S183)+N($T183)-N($U183)-N($R183),2)))</f>
        <v/>
      </c>
      <c r="X183" s="14" t="inlineStr">
        <is>
          <t>Pago</t>
        </is>
      </c>
      <c r="Y183" s="17">
        <f>IF(COUNTA($B183:$R183)=0,"",IF($X183="Cancelado","Cancelado",IF(OR($X183="Pago",$X183="Recebido"),$X183,IF(OR($X183="Parcial",N($R183)&gt;0),"Parcial",IF($C183="","Sem vencimento",IF($C183&lt;TODAY(),"Vencido",IF($C183=TODAY(),"Vence hoje",IF($C183&lt;=TODAY()+7,"Vence em 7 dias",IF($C183&lt;=TODAY()+30,"Vence em 30 dias","Futuro")))))))))</f>
        <v/>
      </c>
      <c r="Z183" s="24">
        <f>IF($B183="","",MONTH($B183))</f>
        <v/>
      </c>
      <c r="AA183" s="24">
        <f>IF($B183="","",YEAR($B183))</f>
        <v/>
      </c>
      <c r="AB183" s="24">
        <f>IF($B183="","",ISOWEEKNUM($B183))</f>
        <v/>
      </c>
      <c r="AC183" s="17">
        <f>IF($B183="","",CHOOSE(WEEKDAY($B183,2),"Segunda","Terça","Quarta","Quinta","Sexta","Sábado","Domingo"))</f>
        <v/>
      </c>
      <c r="AD183" s="17">
        <f>IF($B183="","",TEXT($B183,"MM/AAAA"))</f>
        <v/>
      </c>
      <c r="AE183" s="18">
        <f>IF(COUNTA($B183:$R183)=0,"",IF($X183="Cancelado",0,ROUND(N($Q183)+N($S183)+N($T183)-N($U183),2)))</f>
        <v/>
      </c>
      <c r="AF183" s="9">
        <f>IF($G183="","",IFERROR(INDEX(LINHAS_DRE_PLANO,MATCH($G183,SUBCATEGORIAS_PLANO,0)),"Não classificado"))</f>
        <v/>
      </c>
      <c r="AG183" s="17">
        <f>IF($G183="","",IFERROR(INDEX(TIPOS_FLUXO_PLANO,MATCH($G183,SUBCATEGORIAS_PLANO,0)),"Não classificado"))</f>
        <v/>
      </c>
      <c r="AH183" s="9">
        <f>IF($G183="","",IFERROR(INDEX(GRUPOS_PLANO,MATCH($G183,SUBCATEGORIAS_PLANO,0)),"Não classificado"))</f>
        <v/>
      </c>
      <c r="AI183" s="24">
        <f>IF(OR($C183="",$X183="Pago",$X183="Recebido",$X183="Cancelado"),"",$C183-TODAY())</f>
        <v/>
      </c>
      <c r="AJ183" s="24">
        <f>IF(OR($C183="",$X183="Pago",$X183="Recebido",$X183="Cancelado"),0,MAX(0,TODAY()-$C183))</f>
        <v/>
      </c>
      <c r="AK183" s="24">
        <f>IF($D183="","",$D183-$B183)</f>
        <v/>
      </c>
      <c r="AL183" s="18">
        <f>IF(OR($D183="",$B183=""),"",ROUND(N($R183)*($D183-$B183),2))</f>
        <v/>
      </c>
      <c r="AM183" s="17">
        <f>IF(AND($E183="Saída",$W183&gt;0,$C183&lt;&gt;""),$C183+ROW()/1000000,"")</f>
        <v/>
      </c>
      <c r="AN183" s="17">
        <f>IF(AND($E183="Entrada",$W183&gt;0,$C183&lt;&gt;""),$C183+ROW()/1000000,"")</f>
        <v/>
      </c>
      <c r="AO183" s="9">
        <f>IF(COUNTA($B183:$R183)=0,"",IF(AND($I183&lt;&gt;"",COUNTIF(CLIENTES_NOMES,$I183)+COUNTIF(CLIENTES_FANTASIA,$I183)+COUNTIF(FORNECEDORES_NOMES,$I183)+COUNTIF(FORNECEDORES_FANTASIA,$I183)=0),"⚠ Cliente/Fornecedor não cadastrado",IF(AND($G183&lt;&gt;"",COUNTIF(SUBCATEGORIAS_PLANO,$G183)=0),"⚠ Subcategoria fora do plano de contas",IF(OR($Q183="",N($Q183)=0),"⚠ Valor previsto não informado",IF(AND(OR($X183="Pago",$X183="Recebido"),$D183=""),"⚠ Status pago/recebido sem data",IF(AND($D183&lt;&gt;"",N($R183)=0),"⚠ Data de pagamento sem valor realizado",IF(AND(N($P183)&gt;1,N($O183)&gt;N($P183)),"⚠ Nº da parcela maior que o total",IF(AND($C183&lt;&gt;"",$B183&lt;&gt;"",$C183&lt;$B183),"⚠ Vencimento anterior à competência","OK"))))))))</f>
        <v/>
      </c>
    </row>
    <row r="184">
      <c r="A184" s="14" t="inlineStr">
        <is>
          <t>L0179</t>
        </is>
      </c>
      <c r="B184" s="36" t="n">
        <v>46138</v>
      </c>
      <c r="C184" s="36" t="n">
        <v>46138</v>
      </c>
      <c r="D184" s="36" t="n">
        <v>46140</v>
      </c>
      <c r="E184" s="14" t="inlineStr">
        <is>
          <t>Saída</t>
        </is>
      </c>
      <c r="F184" s="29" t="inlineStr">
        <is>
          <t>Despesas Administrativas</t>
        </is>
      </c>
      <c r="G184" s="29" t="inlineStr">
        <is>
          <t>Outras Despesas Administrativas</t>
        </is>
      </c>
      <c r="H184" s="29" t="inlineStr">
        <is>
          <t>Administrativo</t>
        </is>
      </c>
      <c r="I184" s="29" t="inlineStr">
        <is>
          <t>MANUTENÇÃO PREDIAL EXPRESSA LTDA</t>
        </is>
      </c>
      <c r="J184" s="29" t="inlineStr">
        <is>
          <t>Despesas administrativas diversas</t>
        </is>
      </c>
      <c r="K184" s="14" t="inlineStr">
        <is>
          <t>DOC 8328</t>
        </is>
      </c>
      <c r="L184" s="29" t="inlineStr">
        <is>
          <t>Banco do Brasil — C/C 12345-6</t>
        </is>
      </c>
      <c r="M184" s="14" t="inlineStr">
        <is>
          <t>PIX</t>
        </is>
      </c>
      <c r="N184" s="29" t="n"/>
      <c r="O184" s="13" t="n">
        <v>1</v>
      </c>
      <c r="P184" s="13" t="n">
        <v>1</v>
      </c>
      <c r="Q184" s="35" t="n">
        <v>550.86</v>
      </c>
      <c r="R184" s="35" t="n">
        <v>550.86</v>
      </c>
      <c r="S184" s="35" t="n"/>
      <c r="T184" s="35" t="n"/>
      <c r="U184" s="35" t="n"/>
      <c r="V184" s="18">
        <f>IF(COUNTA($B184:$R184)=0,"",ROUND(N($R184)+N($S184)+N($T184)-N($U184),2))</f>
        <v/>
      </c>
      <c r="W184" s="18">
        <f>IF(COUNTA($B184:$R184)=0,"",IF(OR($X184="Pago",$X184="Recebido",$X184="Cancelado"),0,ROUND(N($Q184)+N($S184)+N($T184)-N($U184)-N($R184),2)))</f>
        <v/>
      </c>
      <c r="X184" s="14" t="inlineStr">
        <is>
          <t>Pago</t>
        </is>
      </c>
      <c r="Y184" s="17">
        <f>IF(COUNTA($B184:$R184)=0,"",IF($X184="Cancelado","Cancelado",IF(OR($X184="Pago",$X184="Recebido"),$X184,IF(OR($X184="Parcial",N($R184)&gt;0),"Parcial",IF($C184="","Sem vencimento",IF($C184&lt;TODAY(),"Vencido",IF($C184=TODAY(),"Vence hoje",IF($C184&lt;=TODAY()+7,"Vence em 7 dias",IF($C184&lt;=TODAY()+30,"Vence em 30 dias","Futuro")))))))))</f>
        <v/>
      </c>
      <c r="Z184" s="24">
        <f>IF($B184="","",MONTH($B184))</f>
        <v/>
      </c>
      <c r="AA184" s="24">
        <f>IF($B184="","",YEAR($B184))</f>
        <v/>
      </c>
      <c r="AB184" s="24">
        <f>IF($B184="","",ISOWEEKNUM($B184))</f>
        <v/>
      </c>
      <c r="AC184" s="17">
        <f>IF($B184="","",CHOOSE(WEEKDAY($B184,2),"Segunda","Terça","Quarta","Quinta","Sexta","Sábado","Domingo"))</f>
        <v/>
      </c>
      <c r="AD184" s="17">
        <f>IF($B184="","",TEXT($B184,"MM/AAAA"))</f>
        <v/>
      </c>
      <c r="AE184" s="18">
        <f>IF(COUNTA($B184:$R184)=0,"",IF($X184="Cancelado",0,ROUND(N($Q184)+N($S184)+N($T184)-N($U184),2)))</f>
        <v/>
      </c>
      <c r="AF184" s="9">
        <f>IF($G184="","",IFERROR(INDEX(LINHAS_DRE_PLANO,MATCH($G184,SUBCATEGORIAS_PLANO,0)),"Não classificado"))</f>
        <v/>
      </c>
      <c r="AG184" s="17">
        <f>IF($G184="","",IFERROR(INDEX(TIPOS_FLUXO_PLANO,MATCH($G184,SUBCATEGORIAS_PLANO,0)),"Não classificado"))</f>
        <v/>
      </c>
      <c r="AH184" s="9">
        <f>IF($G184="","",IFERROR(INDEX(GRUPOS_PLANO,MATCH($G184,SUBCATEGORIAS_PLANO,0)),"Não classificado"))</f>
        <v/>
      </c>
      <c r="AI184" s="24">
        <f>IF(OR($C184="",$X184="Pago",$X184="Recebido",$X184="Cancelado"),"",$C184-TODAY())</f>
        <v/>
      </c>
      <c r="AJ184" s="24">
        <f>IF(OR($C184="",$X184="Pago",$X184="Recebido",$X184="Cancelado"),0,MAX(0,TODAY()-$C184))</f>
        <v/>
      </c>
      <c r="AK184" s="24">
        <f>IF($D184="","",$D184-$B184)</f>
        <v/>
      </c>
      <c r="AL184" s="18">
        <f>IF(OR($D184="",$B184=""),"",ROUND(N($R184)*($D184-$B184),2))</f>
        <v/>
      </c>
      <c r="AM184" s="17">
        <f>IF(AND($E184="Saída",$W184&gt;0,$C184&lt;&gt;""),$C184+ROW()/1000000,"")</f>
        <v/>
      </c>
      <c r="AN184" s="17">
        <f>IF(AND($E184="Entrada",$W184&gt;0,$C184&lt;&gt;""),$C184+ROW()/1000000,"")</f>
        <v/>
      </c>
      <c r="AO184" s="9">
        <f>IF(COUNTA($B184:$R184)=0,"",IF(AND($I184&lt;&gt;"",COUNTIF(CLIENTES_NOMES,$I184)+COUNTIF(CLIENTES_FANTASIA,$I184)+COUNTIF(FORNECEDORES_NOMES,$I184)+COUNTIF(FORNECEDORES_FANTASIA,$I184)=0),"⚠ Cliente/Fornecedor não cadastrado",IF(AND($G184&lt;&gt;"",COUNTIF(SUBCATEGORIAS_PLANO,$G184)=0),"⚠ Subcategoria fora do plano de contas",IF(OR($Q184="",N($Q184)=0),"⚠ Valor previsto não informado",IF(AND(OR($X184="Pago",$X184="Recebido"),$D184=""),"⚠ Status pago/recebido sem data",IF(AND($D184&lt;&gt;"",N($R184)=0),"⚠ Data de pagamento sem valor realizado",IF(AND(N($P184)&gt;1,N($O184)&gt;N($P184)),"⚠ Nº da parcela maior que o total",IF(AND($C184&lt;&gt;"",$B184&lt;&gt;"",$C184&lt;$B184),"⚠ Vencimento anterior à competência","OK"))))))))</f>
        <v/>
      </c>
    </row>
    <row r="185">
      <c r="A185" s="14" t="inlineStr">
        <is>
          <t>L0180</t>
        </is>
      </c>
      <c r="B185" s="36" t="n">
        <v>46140</v>
      </c>
      <c r="C185" s="36" t="n">
        <v>46140</v>
      </c>
      <c r="D185" s="36" t="n">
        <v>46140</v>
      </c>
      <c r="E185" s="14" t="inlineStr">
        <is>
          <t>Entrada</t>
        </is>
      </c>
      <c r="F185" s="29" t="inlineStr">
        <is>
          <t>Receitas Financeiras</t>
        </is>
      </c>
      <c r="G185" s="29" t="inlineStr">
        <is>
          <t>Rendimentos de Aplicações Financeiras</t>
        </is>
      </c>
      <c r="H185" s="29" t="inlineStr">
        <is>
          <t>Financeiro</t>
        </is>
      </c>
      <c r="I185" s="29" t="inlineStr">
        <is>
          <t>Itaú Unibanco</t>
        </is>
      </c>
      <c r="J185" s="29" t="inlineStr">
        <is>
          <t>Rendimento de aplicação financeira — 04/2026</t>
        </is>
      </c>
      <c r="K185" s="14" t="inlineStr">
        <is>
          <t>REND-APL</t>
        </is>
      </c>
      <c r="L185" s="29" t="inlineStr">
        <is>
          <t>Itaú Unibanco — C/C 45678-9</t>
        </is>
      </c>
      <c r="M185" s="14" t="inlineStr">
        <is>
          <t>Transferência</t>
        </is>
      </c>
      <c r="N185" s="29" t="n"/>
      <c r="O185" s="13" t="n">
        <v>1</v>
      </c>
      <c r="P185" s="13" t="n">
        <v>1</v>
      </c>
      <c r="Q185" s="35" t="n">
        <v>745.83</v>
      </c>
      <c r="R185" s="35" t="n">
        <v>745.83</v>
      </c>
      <c r="S185" s="35" t="n"/>
      <c r="T185" s="35" t="n"/>
      <c r="U185" s="35" t="n"/>
      <c r="V185" s="18">
        <f>IF(COUNTA($B185:$R185)=0,"",ROUND(N($R185)+N($S185)+N($T185)-N($U185),2))</f>
        <v/>
      </c>
      <c r="W185" s="18">
        <f>IF(COUNTA($B185:$R185)=0,"",IF(OR($X185="Pago",$X185="Recebido",$X185="Cancelado"),0,ROUND(N($Q185)+N($S185)+N($T185)-N($U185)-N($R185),2)))</f>
        <v/>
      </c>
      <c r="X185" s="14" t="inlineStr">
        <is>
          <t>Recebido</t>
        </is>
      </c>
      <c r="Y185" s="17">
        <f>IF(COUNTA($B185:$R185)=0,"",IF($X185="Cancelado","Cancelado",IF(OR($X185="Pago",$X185="Recebido"),$X185,IF(OR($X185="Parcial",N($R185)&gt;0),"Parcial",IF($C185="","Sem vencimento",IF($C185&lt;TODAY(),"Vencido",IF($C185=TODAY(),"Vence hoje",IF($C185&lt;=TODAY()+7,"Vence em 7 dias",IF($C185&lt;=TODAY()+30,"Vence em 30 dias","Futuro")))))))))</f>
        <v/>
      </c>
      <c r="Z185" s="24">
        <f>IF($B185="","",MONTH($B185))</f>
        <v/>
      </c>
      <c r="AA185" s="24">
        <f>IF($B185="","",YEAR($B185))</f>
        <v/>
      </c>
      <c r="AB185" s="24">
        <f>IF($B185="","",ISOWEEKNUM($B185))</f>
        <v/>
      </c>
      <c r="AC185" s="17">
        <f>IF($B185="","",CHOOSE(WEEKDAY($B185,2),"Segunda","Terça","Quarta","Quinta","Sexta","Sábado","Domingo"))</f>
        <v/>
      </c>
      <c r="AD185" s="17">
        <f>IF($B185="","",TEXT($B185,"MM/AAAA"))</f>
        <v/>
      </c>
      <c r="AE185" s="18">
        <f>IF(COUNTA($B185:$R185)=0,"",IF($X185="Cancelado",0,ROUND(N($Q185)+N($S185)+N($T185)-N($U185),2)))</f>
        <v/>
      </c>
      <c r="AF185" s="9">
        <f>IF($G185="","",IFERROR(INDEX(LINHAS_DRE_PLANO,MATCH($G185,SUBCATEGORIAS_PLANO,0)),"Não classificado"))</f>
        <v/>
      </c>
      <c r="AG185" s="17">
        <f>IF($G185="","",IFERROR(INDEX(TIPOS_FLUXO_PLANO,MATCH($G185,SUBCATEGORIAS_PLANO,0)),"Não classificado"))</f>
        <v/>
      </c>
      <c r="AH185" s="9">
        <f>IF($G185="","",IFERROR(INDEX(GRUPOS_PLANO,MATCH($G185,SUBCATEGORIAS_PLANO,0)),"Não classificado"))</f>
        <v/>
      </c>
      <c r="AI185" s="24">
        <f>IF(OR($C185="",$X185="Pago",$X185="Recebido",$X185="Cancelado"),"",$C185-TODAY())</f>
        <v/>
      </c>
      <c r="AJ185" s="24">
        <f>IF(OR($C185="",$X185="Pago",$X185="Recebido",$X185="Cancelado"),0,MAX(0,TODAY()-$C185))</f>
        <v/>
      </c>
      <c r="AK185" s="24">
        <f>IF($D185="","",$D185-$B185)</f>
        <v/>
      </c>
      <c r="AL185" s="18">
        <f>IF(OR($D185="",$B185=""),"",ROUND(N($R185)*($D185-$B185),2))</f>
        <v/>
      </c>
      <c r="AM185" s="17">
        <f>IF(AND($E185="Saída",$W185&gt;0,$C185&lt;&gt;""),$C185+ROW()/1000000,"")</f>
        <v/>
      </c>
      <c r="AN185" s="17">
        <f>IF(AND($E185="Entrada",$W185&gt;0,$C185&lt;&gt;""),$C185+ROW()/1000000,"")</f>
        <v/>
      </c>
      <c r="AO185" s="9">
        <f>IF(COUNTA($B185:$R185)=0,"",IF(AND($I185&lt;&gt;"",COUNTIF(CLIENTES_NOMES,$I185)+COUNTIF(CLIENTES_FANTASIA,$I185)+COUNTIF(FORNECEDORES_NOMES,$I185)+COUNTIF(FORNECEDORES_FANTASIA,$I185)=0),"⚠ Cliente/Fornecedor não cadastrado",IF(AND($G185&lt;&gt;"",COUNTIF(SUBCATEGORIAS_PLANO,$G185)=0),"⚠ Subcategoria fora do plano de contas",IF(OR($Q185="",N($Q185)=0),"⚠ Valor previsto não informado",IF(AND(OR($X185="Pago",$X185="Recebido"),$D185=""),"⚠ Status pago/recebido sem data",IF(AND($D185&lt;&gt;"",N($R185)=0),"⚠ Data de pagamento sem valor realizado",IF(AND(N($P185)&gt;1,N($O185)&gt;N($P185)),"⚠ Nº da parcela maior que o total",IF(AND($C185&lt;&gt;"",$B185&lt;&gt;"",$C185&lt;$B185),"⚠ Vencimento anterior à competência","OK"))))))))</f>
        <v/>
      </c>
    </row>
    <row r="186">
      <c r="A186" s="14" t="inlineStr">
        <is>
          <t>L0181</t>
        </is>
      </c>
      <c r="B186" s="36" t="n">
        <v>46140</v>
      </c>
      <c r="C186" s="36" t="n">
        <v>46145</v>
      </c>
      <c r="D186" s="36" t="n">
        <v>46147</v>
      </c>
      <c r="E186" s="14" t="inlineStr">
        <is>
          <t>Saída</t>
        </is>
      </c>
      <c r="F186" s="29" t="inlineStr">
        <is>
          <t>Custos Variáveis</t>
        </is>
      </c>
      <c r="G186" s="29" t="inlineStr">
        <is>
          <t>Comissões sobre Vendas</t>
        </is>
      </c>
      <c r="H186" s="29" t="inlineStr">
        <is>
          <t>Comercial</t>
        </is>
      </c>
      <c r="I186" s="29" t="inlineStr">
        <is>
          <t>EQUIPE COMERCIAL — COMISSÕES</t>
        </is>
      </c>
      <c r="J186" s="29" t="inlineStr">
        <is>
          <t>Comissões sobre vendas do período</t>
        </is>
      </c>
      <c r="K186" s="14" t="inlineStr">
        <is>
          <t>DOC 7189</t>
        </is>
      </c>
      <c r="L186" s="29" t="inlineStr">
        <is>
          <t>Itaú Unibanco — C/C 45678-9</t>
        </is>
      </c>
      <c r="M186" s="14" t="inlineStr">
        <is>
          <t>Transferência</t>
        </is>
      </c>
      <c r="N186" s="29" t="n"/>
      <c r="O186" s="13" t="n">
        <v>1</v>
      </c>
      <c r="P186" s="13" t="n">
        <v>1</v>
      </c>
      <c r="Q186" s="35" t="n">
        <v>3195.42</v>
      </c>
      <c r="R186" s="35" t="n">
        <v>3195.42</v>
      </c>
      <c r="S186" s="35" t="n"/>
      <c r="T186" s="35" t="n"/>
      <c r="U186" s="35" t="n"/>
      <c r="V186" s="18">
        <f>IF(COUNTA($B186:$R186)=0,"",ROUND(N($R186)+N($S186)+N($T186)-N($U186),2))</f>
        <v/>
      </c>
      <c r="W186" s="18">
        <f>IF(COUNTA($B186:$R186)=0,"",IF(OR($X186="Pago",$X186="Recebido",$X186="Cancelado"),0,ROUND(N($Q186)+N($S186)+N($T186)-N($U186)-N($R186),2)))</f>
        <v/>
      </c>
      <c r="X186" s="14" t="inlineStr">
        <is>
          <t>Pago</t>
        </is>
      </c>
      <c r="Y186" s="17">
        <f>IF(COUNTA($B186:$R186)=0,"",IF($X186="Cancelado","Cancelado",IF(OR($X186="Pago",$X186="Recebido"),$X186,IF(OR($X186="Parcial",N($R186)&gt;0),"Parcial",IF($C186="","Sem vencimento",IF($C186&lt;TODAY(),"Vencido",IF($C186=TODAY(),"Vence hoje",IF($C186&lt;=TODAY()+7,"Vence em 7 dias",IF($C186&lt;=TODAY()+30,"Vence em 30 dias","Futuro")))))))))</f>
        <v/>
      </c>
      <c r="Z186" s="24">
        <f>IF($B186="","",MONTH($B186))</f>
        <v/>
      </c>
      <c r="AA186" s="24">
        <f>IF($B186="","",YEAR($B186))</f>
        <v/>
      </c>
      <c r="AB186" s="24">
        <f>IF($B186="","",ISOWEEKNUM($B186))</f>
        <v/>
      </c>
      <c r="AC186" s="17">
        <f>IF($B186="","",CHOOSE(WEEKDAY($B186,2),"Segunda","Terça","Quarta","Quinta","Sexta","Sábado","Domingo"))</f>
        <v/>
      </c>
      <c r="AD186" s="17">
        <f>IF($B186="","",TEXT($B186,"MM/AAAA"))</f>
        <v/>
      </c>
      <c r="AE186" s="18">
        <f>IF(COUNTA($B186:$R186)=0,"",IF($X186="Cancelado",0,ROUND(N($Q186)+N($S186)+N($T186)-N($U186),2)))</f>
        <v/>
      </c>
      <c r="AF186" s="9">
        <f>IF($G186="","",IFERROR(INDEX(LINHAS_DRE_PLANO,MATCH($G186,SUBCATEGORIAS_PLANO,0)),"Não classificado"))</f>
        <v/>
      </c>
      <c r="AG186" s="17">
        <f>IF($G186="","",IFERROR(INDEX(TIPOS_FLUXO_PLANO,MATCH($G186,SUBCATEGORIAS_PLANO,0)),"Não classificado"))</f>
        <v/>
      </c>
      <c r="AH186" s="9">
        <f>IF($G186="","",IFERROR(INDEX(GRUPOS_PLANO,MATCH($G186,SUBCATEGORIAS_PLANO,0)),"Não classificado"))</f>
        <v/>
      </c>
      <c r="AI186" s="24">
        <f>IF(OR($C186="",$X186="Pago",$X186="Recebido",$X186="Cancelado"),"",$C186-TODAY())</f>
        <v/>
      </c>
      <c r="AJ186" s="24">
        <f>IF(OR($C186="",$X186="Pago",$X186="Recebido",$X186="Cancelado"),0,MAX(0,TODAY()-$C186))</f>
        <v/>
      </c>
      <c r="AK186" s="24">
        <f>IF($D186="","",$D186-$B186)</f>
        <v/>
      </c>
      <c r="AL186" s="18">
        <f>IF(OR($D186="",$B186=""),"",ROUND(N($R186)*($D186-$B186),2))</f>
        <v/>
      </c>
      <c r="AM186" s="17">
        <f>IF(AND($E186="Saída",$W186&gt;0,$C186&lt;&gt;""),$C186+ROW()/1000000,"")</f>
        <v/>
      </c>
      <c r="AN186" s="17">
        <f>IF(AND($E186="Entrada",$W186&gt;0,$C186&lt;&gt;""),$C186+ROW()/1000000,"")</f>
        <v/>
      </c>
      <c r="AO186" s="9">
        <f>IF(COUNTA($B186:$R186)=0,"",IF(AND($I186&lt;&gt;"",COUNTIF(CLIENTES_NOMES,$I186)+COUNTIF(CLIENTES_FANTASIA,$I186)+COUNTIF(FORNECEDORES_NOMES,$I186)+COUNTIF(FORNECEDORES_FANTASIA,$I186)=0),"⚠ Cliente/Fornecedor não cadastrado",IF(AND($G186&lt;&gt;"",COUNTIF(SUBCATEGORIAS_PLANO,$G186)=0),"⚠ Subcategoria fora do plano de contas",IF(OR($Q186="",N($Q186)=0),"⚠ Valor previsto não informado",IF(AND(OR($X186="Pago",$X186="Recebido"),$D186=""),"⚠ Status pago/recebido sem data",IF(AND($D186&lt;&gt;"",N($R186)=0),"⚠ Data de pagamento sem valor realizado",IF(AND(N($P186)&gt;1,N($O186)&gt;N($P186)),"⚠ Nº da parcela maior que o total",IF(AND($C186&lt;&gt;"",$B186&lt;&gt;"",$C186&lt;$B186),"⚠ Vencimento anterior à competência","OK"))))))))</f>
        <v/>
      </c>
    </row>
    <row r="187">
      <c r="A187" s="14" t="inlineStr">
        <is>
          <t>L0182</t>
        </is>
      </c>
      <c r="B187" s="36" t="n">
        <v>46140</v>
      </c>
      <c r="C187" s="36" t="n">
        <v>46150</v>
      </c>
      <c r="D187" s="36" t="n">
        <v>46152</v>
      </c>
      <c r="E187" s="14" t="inlineStr">
        <is>
          <t>Saída</t>
        </is>
      </c>
      <c r="F187" s="29" t="inlineStr">
        <is>
          <t>Custos Variáveis</t>
        </is>
      </c>
      <c r="G187" s="29" t="inlineStr">
        <is>
          <t>Taxas de Marketplace</t>
        </is>
      </c>
      <c r="H187" s="29" t="inlineStr">
        <is>
          <t>Comercial</t>
        </is>
      </c>
      <c r="I187" s="29" t="inlineStr">
        <is>
          <t>MARKETPLACE FOODB2B LTDA</t>
        </is>
      </c>
      <c r="J187" s="29" t="inlineStr">
        <is>
          <t>Taxas de intermediação do marketplace</t>
        </is>
      </c>
      <c r="K187" s="14" t="inlineStr">
        <is>
          <t>DOC 7190</t>
        </is>
      </c>
      <c r="L187" s="29" t="inlineStr">
        <is>
          <t>Itaú Unibanco — C/C 45678-9</t>
        </is>
      </c>
      <c r="M187" s="14" t="inlineStr">
        <is>
          <t>PIX</t>
        </is>
      </c>
      <c r="N187" s="29" t="n"/>
      <c r="O187" s="13" t="n">
        <v>1</v>
      </c>
      <c r="P187" s="13" t="n">
        <v>1</v>
      </c>
      <c r="Q187" s="35" t="n">
        <v>1715.1</v>
      </c>
      <c r="R187" s="35" t="n">
        <v>1715.1</v>
      </c>
      <c r="S187" s="35" t="n"/>
      <c r="T187" s="35" t="n"/>
      <c r="U187" s="35" t="n"/>
      <c r="V187" s="18">
        <f>IF(COUNTA($B187:$R187)=0,"",ROUND(N($R187)+N($S187)+N($T187)-N($U187),2))</f>
        <v/>
      </c>
      <c r="W187" s="18">
        <f>IF(COUNTA($B187:$R187)=0,"",IF(OR($X187="Pago",$X187="Recebido",$X187="Cancelado"),0,ROUND(N($Q187)+N($S187)+N($T187)-N($U187)-N($R187),2)))</f>
        <v/>
      </c>
      <c r="X187" s="14" t="inlineStr">
        <is>
          <t>Pago</t>
        </is>
      </c>
      <c r="Y187" s="17">
        <f>IF(COUNTA($B187:$R187)=0,"",IF($X187="Cancelado","Cancelado",IF(OR($X187="Pago",$X187="Recebido"),$X187,IF(OR($X187="Parcial",N($R187)&gt;0),"Parcial",IF($C187="","Sem vencimento",IF($C187&lt;TODAY(),"Vencido",IF($C187=TODAY(),"Vence hoje",IF($C187&lt;=TODAY()+7,"Vence em 7 dias",IF($C187&lt;=TODAY()+30,"Vence em 30 dias","Futuro")))))))))</f>
        <v/>
      </c>
      <c r="Z187" s="24">
        <f>IF($B187="","",MONTH($B187))</f>
        <v/>
      </c>
      <c r="AA187" s="24">
        <f>IF($B187="","",YEAR($B187))</f>
        <v/>
      </c>
      <c r="AB187" s="24">
        <f>IF($B187="","",ISOWEEKNUM($B187))</f>
        <v/>
      </c>
      <c r="AC187" s="17">
        <f>IF($B187="","",CHOOSE(WEEKDAY($B187,2),"Segunda","Terça","Quarta","Quinta","Sexta","Sábado","Domingo"))</f>
        <v/>
      </c>
      <c r="AD187" s="17">
        <f>IF($B187="","",TEXT($B187,"MM/AAAA"))</f>
        <v/>
      </c>
      <c r="AE187" s="18">
        <f>IF(COUNTA($B187:$R187)=0,"",IF($X187="Cancelado",0,ROUND(N($Q187)+N($S187)+N($T187)-N($U187),2)))</f>
        <v/>
      </c>
      <c r="AF187" s="9">
        <f>IF($G187="","",IFERROR(INDEX(LINHAS_DRE_PLANO,MATCH($G187,SUBCATEGORIAS_PLANO,0)),"Não classificado"))</f>
        <v/>
      </c>
      <c r="AG187" s="17">
        <f>IF($G187="","",IFERROR(INDEX(TIPOS_FLUXO_PLANO,MATCH($G187,SUBCATEGORIAS_PLANO,0)),"Não classificado"))</f>
        <v/>
      </c>
      <c r="AH187" s="9">
        <f>IF($G187="","",IFERROR(INDEX(GRUPOS_PLANO,MATCH($G187,SUBCATEGORIAS_PLANO,0)),"Não classificado"))</f>
        <v/>
      </c>
      <c r="AI187" s="24">
        <f>IF(OR($C187="",$X187="Pago",$X187="Recebido",$X187="Cancelado"),"",$C187-TODAY())</f>
        <v/>
      </c>
      <c r="AJ187" s="24">
        <f>IF(OR($C187="",$X187="Pago",$X187="Recebido",$X187="Cancelado"),0,MAX(0,TODAY()-$C187))</f>
        <v/>
      </c>
      <c r="AK187" s="24">
        <f>IF($D187="","",$D187-$B187)</f>
        <v/>
      </c>
      <c r="AL187" s="18">
        <f>IF(OR($D187="",$B187=""),"",ROUND(N($R187)*($D187-$B187),2))</f>
        <v/>
      </c>
      <c r="AM187" s="17">
        <f>IF(AND($E187="Saída",$W187&gt;0,$C187&lt;&gt;""),$C187+ROW()/1000000,"")</f>
        <v/>
      </c>
      <c r="AN187" s="17">
        <f>IF(AND($E187="Entrada",$W187&gt;0,$C187&lt;&gt;""),$C187+ROW()/1000000,"")</f>
        <v/>
      </c>
      <c r="AO187" s="9">
        <f>IF(COUNTA($B187:$R187)=0,"",IF(AND($I187&lt;&gt;"",COUNTIF(CLIENTES_NOMES,$I187)+COUNTIF(CLIENTES_FANTASIA,$I187)+COUNTIF(FORNECEDORES_NOMES,$I187)+COUNTIF(FORNECEDORES_FANTASIA,$I187)=0),"⚠ Cliente/Fornecedor não cadastrado",IF(AND($G187&lt;&gt;"",COUNTIF(SUBCATEGORIAS_PLANO,$G187)=0),"⚠ Subcategoria fora do plano de contas",IF(OR($Q187="",N($Q187)=0),"⚠ Valor previsto não informado",IF(AND(OR($X187="Pago",$X187="Recebido"),$D187=""),"⚠ Status pago/recebido sem data",IF(AND($D187&lt;&gt;"",N($R187)=0),"⚠ Data de pagamento sem valor realizado",IF(AND(N($P187)&gt;1,N($O187)&gt;N($P187)),"⚠ Nº da parcela maior que o total",IF(AND($C187&lt;&gt;"",$B187&lt;&gt;"",$C187&lt;$B187),"⚠ Vencimento anterior à competência","OK"))))))))</f>
        <v/>
      </c>
    </row>
    <row r="188">
      <c r="A188" s="14" t="inlineStr">
        <is>
          <t>L0183</t>
        </is>
      </c>
      <c r="B188" s="36" t="n">
        <v>46140</v>
      </c>
      <c r="C188" s="36" t="n">
        <v>46145</v>
      </c>
      <c r="D188" s="36" t="n">
        <v>46147</v>
      </c>
      <c r="E188" s="14" t="inlineStr">
        <is>
          <t>Saída</t>
        </is>
      </c>
      <c r="F188" s="29" t="inlineStr">
        <is>
          <t>Custos Variáveis</t>
        </is>
      </c>
      <c r="G188" s="29" t="inlineStr">
        <is>
          <t>Taxas de Cartão e Maquininha</t>
        </is>
      </c>
      <c r="H188" s="29" t="inlineStr">
        <is>
          <t>Financeiro</t>
        </is>
      </c>
      <c r="I188" s="29" t="inlineStr">
        <is>
          <t>CIELO S.A. — INSTITUIÇÃO DE PAGAMENTO</t>
        </is>
      </c>
      <c r="J188" s="29" t="inlineStr">
        <is>
          <t>Taxas de cartão e antecipação de recebíveis</t>
        </is>
      </c>
      <c r="K188" s="14" t="inlineStr">
        <is>
          <t>DOC 7191</t>
        </is>
      </c>
      <c r="L188" s="29" t="inlineStr">
        <is>
          <t>Itaú Unibanco — C/C 45678-9</t>
        </is>
      </c>
      <c r="M188" s="14" t="inlineStr">
        <is>
          <t>Transferência</t>
        </is>
      </c>
      <c r="N188" s="29" t="n"/>
      <c r="O188" s="13" t="n">
        <v>1</v>
      </c>
      <c r="P188" s="13" t="n">
        <v>1</v>
      </c>
      <c r="Q188" s="35" t="n">
        <v>2350.2</v>
      </c>
      <c r="R188" s="35" t="n">
        <v>2350.2</v>
      </c>
      <c r="S188" s="35" t="n"/>
      <c r="T188" s="35" t="n"/>
      <c r="U188" s="35" t="n"/>
      <c r="V188" s="18">
        <f>IF(COUNTA($B188:$R188)=0,"",ROUND(N($R188)+N($S188)+N($T188)-N($U188),2))</f>
        <v/>
      </c>
      <c r="W188" s="18">
        <f>IF(COUNTA($B188:$R188)=0,"",IF(OR($X188="Pago",$X188="Recebido",$X188="Cancelado"),0,ROUND(N($Q188)+N($S188)+N($T188)-N($U188)-N($R188),2)))</f>
        <v/>
      </c>
      <c r="X188" s="14" t="inlineStr">
        <is>
          <t>Pago</t>
        </is>
      </c>
      <c r="Y188" s="17">
        <f>IF(COUNTA($B188:$R188)=0,"",IF($X188="Cancelado","Cancelado",IF(OR($X188="Pago",$X188="Recebido"),$X188,IF(OR($X188="Parcial",N($R188)&gt;0),"Parcial",IF($C188="","Sem vencimento",IF($C188&lt;TODAY(),"Vencido",IF($C188=TODAY(),"Vence hoje",IF($C188&lt;=TODAY()+7,"Vence em 7 dias",IF($C188&lt;=TODAY()+30,"Vence em 30 dias","Futuro")))))))))</f>
        <v/>
      </c>
      <c r="Z188" s="24">
        <f>IF($B188="","",MONTH($B188))</f>
        <v/>
      </c>
      <c r="AA188" s="24">
        <f>IF($B188="","",YEAR($B188))</f>
        <v/>
      </c>
      <c r="AB188" s="24">
        <f>IF($B188="","",ISOWEEKNUM($B188))</f>
        <v/>
      </c>
      <c r="AC188" s="17">
        <f>IF($B188="","",CHOOSE(WEEKDAY($B188,2),"Segunda","Terça","Quarta","Quinta","Sexta","Sábado","Domingo"))</f>
        <v/>
      </c>
      <c r="AD188" s="17">
        <f>IF($B188="","",TEXT($B188,"MM/AAAA"))</f>
        <v/>
      </c>
      <c r="AE188" s="18">
        <f>IF(COUNTA($B188:$R188)=0,"",IF($X188="Cancelado",0,ROUND(N($Q188)+N($S188)+N($T188)-N($U188),2)))</f>
        <v/>
      </c>
      <c r="AF188" s="9">
        <f>IF($G188="","",IFERROR(INDEX(LINHAS_DRE_PLANO,MATCH($G188,SUBCATEGORIAS_PLANO,0)),"Não classificado"))</f>
        <v/>
      </c>
      <c r="AG188" s="17">
        <f>IF($G188="","",IFERROR(INDEX(TIPOS_FLUXO_PLANO,MATCH($G188,SUBCATEGORIAS_PLANO,0)),"Não classificado"))</f>
        <v/>
      </c>
      <c r="AH188" s="9">
        <f>IF($G188="","",IFERROR(INDEX(GRUPOS_PLANO,MATCH($G188,SUBCATEGORIAS_PLANO,0)),"Não classificado"))</f>
        <v/>
      </c>
      <c r="AI188" s="24">
        <f>IF(OR($C188="",$X188="Pago",$X188="Recebido",$X188="Cancelado"),"",$C188-TODAY())</f>
        <v/>
      </c>
      <c r="AJ188" s="24">
        <f>IF(OR($C188="",$X188="Pago",$X188="Recebido",$X188="Cancelado"),0,MAX(0,TODAY()-$C188))</f>
        <v/>
      </c>
      <c r="AK188" s="24">
        <f>IF($D188="","",$D188-$B188)</f>
        <v/>
      </c>
      <c r="AL188" s="18">
        <f>IF(OR($D188="",$B188=""),"",ROUND(N($R188)*($D188-$B188),2))</f>
        <v/>
      </c>
      <c r="AM188" s="17">
        <f>IF(AND($E188="Saída",$W188&gt;0,$C188&lt;&gt;""),$C188+ROW()/1000000,"")</f>
        <v/>
      </c>
      <c r="AN188" s="17">
        <f>IF(AND($E188="Entrada",$W188&gt;0,$C188&lt;&gt;""),$C188+ROW()/1000000,"")</f>
        <v/>
      </c>
      <c r="AO188" s="9">
        <f>IF(COUNTA($B188:$R188)=0,"",IF(AND($I188&lt;&gt;"",COUNTIF(CLIENTES_NOMES,$I188)+COUNTIF(CLIENTES_FANTASIA,$I188)+COUNTIF(FORNECEDORES_NOMES,$I188)+COUNTIF(FORNECEDORES_FANTASIA,$I188)=0),"⚠ Cliente/Fornecedor não cadastrado",IF(AND($G188&lt;&gt;"",COUNTIF(SUBCATEGORIAS_PLANO,$G188)=0),"⚠ Subcategoria fora do plano de contas",IF(OR($Q188="",N($Q188)=0),"⚠ Valor previsto não informado",IF(AND(OR($X188="Pago",$X188="Recebido"),$D188=""),"⚠ Status pago/recebido sem data",IF(AND($D188&lt;&gt;"",N($R188)=0),"⚠ Data de pagamento sem valor realizado",IF(AND(N($P188)&gt;1,N($O188)&gt;N($P188)),"⚠ Nº da parcela maior que o total",IF(AND($C188&lt;&gt;"",$B188&lt;&gt;"",$C188&lt;$B188),"⚠ Vencimento anterior à competência","OK"))))))))</f>
        <v/>
      </c>
    </row>
    <row r="189">
      <c r="A189" s="14" t="inlineStr">
        <is>
          <t>L0184</t>
        </is>
      </c>
      <c r="B189" s="36" t="n">
        <v>46140</v>
      </c>
      <c r="C189" s="36" t="n">
        <v>46140</v>
      </c>
      <c r="D189" s="36" t="n">
        <v>46141</v>
      </c>
      <c r="E189" s="14" t="inlineStr">
        <is>
          <t>Saída</t>
        </is>
      </c>
      <c r="F189" s="29" t="inlineStr">
        <is>
          <t>Despesas Financeiras</t>
        </is>
      </c>
      <c r="G189" s="29" t="inlineStr">
        <is>
          <t>Tarifas Bancárias</t>
        </is>
      </c>
      <c r="H189" s="29" t="inlineStr">
        <is>
          <t>Financeiro</t>
        </is>
      </c>
      <c r="I189" s="29" t="inlineStr">
        <is>
          <t>CONTABILIDADE AURORA ASSESSORIA CONTÁBIL LTDA</t>
        </is>
      </c>
      <c r="J189" s="29" t="inlineStr">
        <is>
          <t>Tarifas e pacote de serviços bancários</t>
        </is>
      </c>
      <c r="K189" s="14" t="inlineStr">
        <is>
          <t>DOC 8329</t>
        </is>
      </c>
      <c r="L189" s="29" t="inlineStr">
        <is>
          <t>Itaú Unibanco — C/C 45678-9</t>
        </is>
      </c>
      <c r="M189" s="14" t="inlineStr">
        <is>
          <t>Transferência</t>
        </is>
      </c>
      <c r="N189" s="29" t="n"/>
      <c r="O189" s="13" t="n">
        <v>1</v>
      </c>
      <c r="P189" s="13" t="n">
        <v>1</v>
      </c>
      <c r="Q189" s="35" t="n">
        <v>190</v>
      </c>
      <c r="R189" s="35" t="n">
        <v>190</v>
      </c>
      <c r="S189" s="35" t="n"/>
      <c r="T189" s="35" t="n"/>
      <c r="U189" s="35" t="n"/>
      <c r="V189" s="18">
        <f>IF(COUNTA($B189:$R189)=0,"",ROUND(N($R189)+N($S189)+N($T189)-N($U189),2))</f>
        <v/>
      </c>
      <c r="W189" s="18">
        <f>IF(COUNTA($B189:$R189)=0,"",IF(OR($X189="Pago",$X189="Recebido",$X189="Cancelado"),0,ROUND(N($Q189)+N($S189)+N($T189)-N($U189)-N($R189),2)))</f>
        <v/>
      </c>
      <c r="X189" s="14" t="inlineStr">
        <is>
          <t>Pago</t>
        </is>
      </c>
      <c r="Y189" s="17">
        <f>IF(COUNTA($B189:$R189)=0,"",IF($X189="Cancelado","Cancelado",IF(OR($X189="Pago",$X189="Recebido"),$X189,IF(OR($X189="Parcial",N($R189)&gt;0),"Parcial",IF($C189="","Sem vencimento",IF($C189&lt;TODAY(),"Vencido",IF($C189=TODAY(),"Vence hoje",IF($C189&lt;=TODAY()+7,"Vence em 7 dias",IF($C189&lt;=TODAY()+30,"Vence em 30 dias","Futuro")))))))))</f>
        <v/>
      </c>
      <c r="Z189" s="24">
        <f>IF($B189="","",MONTH($B189))</f>
        <v/>
      </c>
      <c r="AA189" s="24">
        <f>IF($B189="","",YEAR($B189))</f>
        <v/>
      </c>
      <c r="AB189" s="24">
        <f>IF($B189="","",ISOWEEKNUM($B189))</f>
        <v/>
      </c>
      <c r="AC189" s="17">
        <f>IF($B189="","",CHOOSE(WEEKDAY($B189,2),"Segunda","Terça","Quarta","Quinta","Sexta","Sábado","Domingo"))</f>
        <v/>
      </c>
      <c r="AD189" s="17">
        <f>IF($B189="","",TEXT($B189,"MM/AAAA"))</f>
        <v/>
      </c>
      <c r="AE189" s="18">
        <f>IF(COUNTA($B189:$R189)=0,"",IF($X189="Cancelado",0,ROUND(N($Q189)+N($S189)+N($T189)-N($U189),2)))</f>
        <v/>
      </c>
      <c r="AF189" s="9">
        <f>IF($G189="","",IFERROR(INDEX(LINHAS_DRE_PLANO,MATCH($G189,SUBCATEGORIAS_PLANO,0)),"Não classificado"))</f>
        <v/>
      </c>
      <c r="AG189" s="17">
        <f>IF($G189="","",IFERROR(INDEX(TIPOS_FLUXO_PLANO,MATCH($G189,SUBCATEGORIAS_PLANO,0)),"Não classificado"))</f>
        <v/>
      </c>
      <c r="AH189" s="9">
        <f>IF($G189="","",IFERROR(INDEX(GRUPOS_PLANO,MATCH($G189,SUBCATEGORIAS_PLANO,0)),"Não classificado"))</f>
        <v/>
      </c>
      <c r="AI189" s="24">
        <f>IF(OR($C189="",$X189="Pago",$X189="Recebido",$X189="Cancelado"),"",$C189-TODAY())</f>
        <v/>
      </c>
      <c r="AJ189" s="24">
        <f>IF(OR($C189="",$X189="Pago",$X189="Recebido",$X189="Cancelado"),0,MAX(0,TODAY()-$C189))</f>
        <v/>
      </c>
      <c r="AK189" s="24">
        <f>IF($D189="","",$D189-$B189)</f>
        <v/>
      </c>
      <c r="AL189" s="18">
        <f>IF(OR($D189="",$B189=""),"",ROUND(N($R189)*($D189-$B189),2))</f>
        <v/>
      </c>
      <c r="AM189" s="17">
        <f>IF(AND($E189="Saída",$W189&gt;0,$C189&lt;&gt;""),$C189+ROW()/1000000,"")</f>
        <v/>
      </c>
      <c r="AN189" s="17">
        <f>IF(AND($E189="Entrada",$W189&gt;0,$C189&lt;&gt;""),$C189+ROW()/1000000,"")</f>
        <v/>
      </c>
      <c r="AO189" s="9">
        <f>IF(COUNTA($B189:$R189)=0,"",IF(AND($I189&lt;&gt;"",COUNTIF(CLIENTES_NOMES,$I189)+COUNTIF(CLIENTES_FANTASIA,$I189)+COUNTIF(FORNECEDORES_NOMES,$I189)+COUNTIF(FORNECEDORES_FANTASIA,$I189)=0),"⚠ Cliente/Fornecedor não cadastrado",IF(AND($G189&lt;&gt;"",COUNTIF(SUBCATEGORIAS_PLANO,$G189)=0),"⚠ Subcategoria fora do plano de contas",IF(OR($Q189="",N($Q189)=0),"⚠ Valor previsto não informado",IF(AND(OR($X189="Pago",$X189="Recebido"),$D189=""),"⚠ Status pago/recebido sem data",IF(AND($D189&lt;&gt;"",N($R189)=0),"⚠ Data de pagamento sem valor realizado",IF(AND(N($P189)&gt;1,N($O189)&gt;N($P189)),"⚠ Nº da parcela maior que o total",IF(AND($C189&lt;&gt;"",$B189&lt;&gt;"",$C189&lt;$B189),"⚠ Vencimento anterior à competência","OK"))))))))</f>
        <v/>
      </c>
    </row>
    <row r="190">
      <c r="A190" s="14" t="inlineStr">
        <is>
          <t>L0185</t>
        </is>
      </c>
      <c r="B190" s="36" t="n">
        <v>46146</v>
      </c>
      <c r="C190" s="36" t="n">
        <v>46176</v>
      </c>
      <c r="D190" s="36" t="n">
        <v>46178</v>
      </c>
      <c r="E190" s="14" t="inlineStr">
        <is>
          <t>Saída</t>
        </is>
      </c>
      <c r="F190" s="29" t="inlineStr">
        <is>
          <t>Custos Variáveis</t>
        </is>
      </c>
      <c r="G190" s="29" t="inlineStr">
        <is>
          <t>Mercadorias para Revenda</t>
        </is>
      </c>
      <c r="H190" s="29" t="inlineStr">
        <is>
          <t>Logística</t>
        </is>
      </c>
      <c r="I190" s="29" t="inlineStr">
        <is>
          <t>DISTRIBUIDORA CENTRAL DE ALIMENTOS S/A</t>
        </is>
      </c>
      <c r="J190" s="29" t="inlineStr">
        <is>
          <t>Compra de mercadorias para revenda — NF 5050</t>
        </is>
      </c>
      <c r="K190" s="14" t="inlineStr">
        <is>
          <t>NF 5050</t>
        </is>
      </c>
      <c r="L190" s="29" t="inlineStr">
        <is>
          <t>Itaú Unibanco — C/C 45678-9</t>
        </is>
      </c>
      <c r="M190" s="14" t="inlineStr">
        <is>
          <t>Boleto</t>
        </is>
      </c>
      <c r="N190" s="29" t="n"/>
      <c r="O190" s="13" t="n">
        <v>1</v>
      </c>
      <c r="P190" s="13" t="n">
        <v>1</v>
      </c>
      <c r="Q190" s="35" t="n">
        <v>62342.55</v>
      </c>
      <c r="R190" s="35" t="n">
        <v>62342.55</v>
      </c>
      <c r="S190" s="35" t="n"/>
      <c r="T190" s="35" t="n"/>
      <c r="U190" s="35" t="n"/>
      <c r="V190" s="18">
        <f>IF(COUNTA($B190:$R190)=0,"",ROUND(N($R190)+N($S190)+N($T190)-N($U190),2))</f>
        <v/>
      </c>
      <c r="W190" s="18">
        <f>IF(COUNTA($B190:$R190)=0,"",IF(OR($X190="Pago",$X190="Recebido",$X190="Cancelado"),0,ROUND(N($Q190)+N($S190)+N($T190)-N($U190)-N($R190),2)))</f>
        <v/>
      </c>
      <c r="X190" s="14" t="inlineStr">
        <is>
          <t>Pago</t>
        </is>
      </c>
      <c r="Y190" s="17">
        <f>IF(COUNTA($B190:$R190)=0,"",IF($X190="Cancelado","Cancelado",IF(OR($X190="Pago",$X190="Recebido"),$X190,IF(OR($X190="Parcial",N($R190)&gt;0),"Parcial",IF($C190="","Sem vencimento",IF($C190&lt;TODAY(),"Vencido",IF($C190=TODAY(),"Vence hoje",IF($C190&lt;=TODAY()+7,"Vence em 7 dias",IF($C190&lt;=TODAY()+30,"Vence em 30 dias","Futuro")))))))))</f>
        <v/>
      </c>
      <c r="Z190" s="24">
        <f>IF($B190="","",MONTH($B190))</f>
        <v/>
      </c>
      <c r="AA190" s="24">
        <f>IF($B190="","",YEAR($B190))</f>
        <v/>
      </c>
      <c r="AB190" s="24">
        <f>IF($B190="","",ISOWEEKNUM($B190))</f>
        <v/>
      </c>
      <c r="AC190" s="17">
        <f>IF($B190="","",CHOOSE(WEEKDAY($B190,2),"Segunda","Terça","Quarta","Quinta","Sexta","Sábado","Domingo"))</f>
        <v/>
      </c>
      <c r="AD190" s="17">
        <f>IF($B190="","",TEXT($B190,"MM/AAAA"))</f>
        <v/>
      </c>
      <c r="AE190" s="18">
        <f>IF(COUNTA($B190:$R190)=0,"",IF($X190="Cancelado",0,ROUND(N($Q190)+N($S190)+N($T190)-N($U190),2)))</f>
        <v/>
      </c>
      <c r="AF190" s="9">
        <f>IF($G190="","",IFERROR(INDEX(LINHAS_DRE_PLANO,MATCH($G190,SUBCATEGORIAS_PLANO,0)),"Não classificado"))</f>
        <v/>
      </c>
      <c r="AG190" s="17">
        <f>IF($G190="","",IFERROR(INDEX(TIPOS_FLUXO_PLANO,MATCH($G190,SUBCATEGORIAS_PLANO,0)),"Não classificado"))</f>
        <v/>
      </c>
      <c r="AH190" s="9">
        <f>IF($G190="","",IFERROR(INDEX(GRUPOS_PLANO,MATCH($G190,SUBCATEGORIAS_PLANO,0)),"Não classificado"))</f>
        <v/>
      </c>
      <c r="AI190" s="24">
        <f>IF(OR($C190="",$X190="Pago",$X190="Recebido",$X190="Cancelado"),"",$C190-TODAY())</f>
        <v/>
      </c>
      <c r="AJ190" s="24">
        <f>IF(OR($C190="",$X190="Pago",$X190="Recebido",$X190="Cancelado"),0,MAX(0,TODAY()-$C190))</f>
        <v/>
      </c>
      <c r="AK190" s="24">
        <f>IF($D190="","",$D190-$B190)</f>
        <v/>
      </c>
      <c r="AL190" s="18">
        <f>IF(OR($D190="",$B190=""),"",ROUND(N($R190)*($D190-$B190),2))</f>
        <v/>
      </c>
      <c r="AM190" s="17">
        <f>IF(AND($E190="Saída",$W190&gt;0,$C190&lt;&gt;""),$C190+ROW()/1000000,"")</f>
        <v/>
      </c>
      <c r="AN190" s="17">
        <f>IF(AND($E190="Entrada",$W190&gt;0,$C190&lt;&gt;""),$C190+ROW()/1000000,"")</f>
        <v/>
      </c>
      <c r="AO190" s="9">
        <f>IF(COUNTA($B190:$R190)=0,"",IF(AND($I190&lt;&gt;"",COUNTIF(CLIENTES_NOMES,$I190)+COUNTIF(CLIENTES_FANTASIA,$I190)+COUNTIF(FORNECEDORES_NOMES,$I190)+COUNTIF(FORNECEDORES_FANTASIA,$I190)=0),"⚠ Cliente/Fornecedor não cadastrado",IF(AND($G190&lt;&gt;"",COUNTIF(SUBCATEGORIAS_PLANO,$G190)=0),"⚠ Subcategoria fora do plano de contas",IF(OR($Q190="",N($Q190)=0),"⚠ Valor previsto não informado",IF(AND(OR($X190="Pago",$X190="Recebido"),$D190=""),"⚠ Status pago/recebido sem data",IF(AND($D190&lt;&gt;"",N($R190)=0),"⚠ Data de pagamento sem valor realizado",IF(AND(N($P190)&gt;1,N($O190)&gt;N($P190)),"⚠ Nº da parcela maior que o total",IF(AND($C190&lt;&gt;"",$B190&lt;&gt;"",$C190&lt;$B190),"⚠ Vencimento anterior à competência","OK"))))))))</f>
        <v/>
      </c>
    </row>
    <row r="191">
      <c r="A191" s="14" t="inlineStr">
        <is>
          <t>L0186</t>
        </is>
      </c>
      <c r="B191" s="36" t="n">
        <v>46147</v>
      </c>
      <c r="C191" s="36" t="n">
        <v>46152</v>
      </c>
      <c r="D191" s="36" t="n">
        <v>46154</v>
      </c>
      <c r="E191" s="14" t="inlineStr">
        <is>
          <t>Saída</t>
        </is>
      </c>
      <c r="F191" s="29" t="inlineStr">
        <is>
          <t>Despesas Administrativas</t>
        </is>
      </c>
      <c r="G191" s="29" t="inlineStr">
        <is>
          <t>Aluguel</t>
        </is>
      </c>
      <c r="H191" s="29" t="inlineStr">
        <is>
          <t>Administrativo</t>
        </is>
      </c>
      <c r="I191" s="29" t="inlineStr">
        <is>
          <t>IMÓVEIS E LOCAÇÕES PINHEIROS LTDA</t>
        </is>
      </c>
      <c r="J191" s="29" t="inlineStr">
        <is>
          <t>Aluguel do galpão — competência 05/2026</t>
        </is>
      </c>
      <c r="K191" s="14" t="inlineStr">
        <is>
          <t>DOC 8330</t>
        </is>
      </c>
      <c r="L191" s="29" t="inlineStr">
        <is>
          <t>Banco do Brasil — C/C 12345-6</t>
        </is>
      </c>
      <c r="M191" s="14" t="inlineStr">
        <is>
          <t>Boleto</t>
        </is>
      </c>
      <c r="N191" s="29" t="n"/>
      <c r="O191" s="13" t="n">
        <v>1</v>
      </c>
      <c r="P191" s="13" t="n">
        <v>1</v>
      </c>
      <c r="Q191" s="35" t="n">
        <v>7500</v>
      </c>
      <c r="R191" s="35" t="n">
        <v>7500</v>
      </c>
      <c r="S191" s="35" t="n"/>
      <c r="T191" s="35" t="n"/>
      <c r="U191" s="35" t="n"/>
      <c r="V191" s="18">
        <f>IF(COUNTA($B191:$R191)=0,"",ROUND(N($R191)+N($S191)+N($T191)-N($U191),2))</f>
        <v/>
      </c>
      <c r="W191" s="18">
        <f>IF(COUNTA($B191:$R191)=0,"",IF(OR($X191="Pago",$X191="Recebido",$X191="Cancelado"),0,ROUND(N($Q191)+N($S191)+N($T191)-N($U191)-N($R191),2)))</f>
        <v/>
      </c>
      <c r="X191" s="14" t="inlineStr">
        <is>
          <t>Pago</t>
        </is>
      </c>
      <c r="Y191" s="17">
        <f>IF(COUNTA($B191:$R191)=0,"",IF($X191="Cancelado","Cancelado",IF(OR($X191="Pago",$X191="Recebido"),$X191,IF(OR($X191="Parcial",N($R191)&gt;0),"Parcial",IF($C191="","Sem vencimento",IF($C191&lt;TODAY(),"Vencido",IF($C191=TODAY(),"Vence hoje",IF($C191&lt;=TODAY()+7,"Vence em 7 dias",IF($C191&lt;=TODAY()+30,"Vence em 30 dias","Futuro")))))))))</f>
        <v/>
      </c>
      <c r="Z191" s="24">
        <f>IF($B191="","",MONTH($B191))</f>
        <v/>
      </c>
      <c r="AA191" s="24">
        <f>IF($B191="","",YEAR($B191))</f>
        <v/>
      </c>
      <c r="AB191" s="24">
        <f>IF($B191="","",ISOWEEKNUM($B191))</f>
        <v/>
      </c>
      <c r="AC191" s="17">
        <f>IF($B191="","",CHOOSE(WEEKDAY($B191,2),"Segunda","Terça","Quarta","Quinta","Sexta","Sábado","Domingo"))</f>
        <v/>
      </c>
      <c r="AD191" s="17">
        <f>IF($B191="","",TEXT($B191,"MM/AAAA"))</f>
        <v/>
      </c>
      <c r="AE191" s="18">
        <f>IF(COUNTA($B191:$R191)=0,"",IF($X191="Cancelado",0,ROUND(N($Q191)+N($S191)+N($T191)-N($U191),2)))</f>
        <v/>
      </c>
      <c r="AF191" s="9">
        <f>IF($G191="","",IFERROR(INDEX(LINHAS_DRE_PLANO,MATCH($G191,SUBCATEGORIAS_PLANO,0)),"Não classificado"))</f>
        <v/>
      </c>
      <c r="AG191" s="17">
        <f>IF($G191="","",IFERROR(INDEX(TIPOS_FLUXO_PLANO,MATCH($G191,SUBCATEGORIAS_PLANO,0)),"Não classificado"))</f>
        <v/>
      </c>
      <c r="AH191" s="9">
        <f>IF($G191="","",IFERROR(INDEX(GRUPOS_PLANO,MATCH($G191,SUBCATEGORIAS_PLANO,0)),"Não classificado"))</f>
        <v/>
      </c>
      <c r="AI191" s="24">
        <f>IF(OR($C191="",$X191="Pago",$X191="Recebido",$X191="Cancelado"),"",$C191-TODAY())</f>
        <v/>
      </c>
      <c r="AJ191" s="24">
        <f>IF(OR($C191="",$X191="Pago",$X191="Recebido",$X191="Cancelado"),0,MAX(0,TODAY()-$C191))</f>
        <v/>
      </c>
      <c r="AK191" s="24">
        <f>IF($D191="","",$D191-$B191)</f>
        <v/>
      </c>
      <c r="AL191" s="18">
        <f>IF(OR($D191="",$B191=""),"",ROUND(N($R191)*($D191-$B191),2))</f>
        <v/>
      </c>
      <c r="AM191" s="17">
        <f>IF(AND($E191="Saída",$W191&gt;0,$C191&lt;&gt;""),$C191+ROW()/1000000,"")</f>
        <v/>
      </c>
      <c r="AN191" s="17">
        <f>IF(AND($E191="Entrada",$W191&gt;0,$C191&lt;&gt;""),$C191+ROW()/1000000,"")</f>
        <v/>
      </c>
      <c r="AO191" s="9">
        <f>IF(COUNTA($B191:$R191)=0,"",IF(AND($I191&lt;&gt;"",COUNTIF(CLIENTES_NOMES,$I191)+COUNTIF(CLIENTES_FANTASIA,$I191)+COUNTIF(FORNECEDORES_NOMES,$I191)+COUNTIF(FORNECEDORES_FANTASIA,$I191)=0),"⚠ Cliente/Fornecedor não cadastrado",IF(AND($G191&lt;&gt;"",COUNTIF(SUBCATEGORIAS_PLANO,$G191)=0),"⚠ Subcategoria fora do plano de contas",IF(OR($Q191="",N($Q191)=0),"⚠ Valor previsto não informado",IF(AND(OR($X191="Pago",$X191="Recebido"),$D191=""),"⚠ Status pago/recebido sem data",IF(AND($D191&lt;&gt;"",N($R191)=0),"⚠ Data de pagamento sem valor realizado",IF(AND(N($P191)&gt;1,N($O191)&gt;N($P191)),"⚠ Nº da parcela maior que o total",IF(AND($C191&lt;&gt;"",$B191&lt;&gt;"",$C191&lt;$B191),"⚠ Vencimento anterior à competência","OK"))))))))</f>
        <v/>
      </c>
    </row>
    <row r="192">
      <c r="A192" s="14" t="inlineStr">
        <is>
          <t>L0187</t>
        </is>
      </c>
      <c r="B192" s="36" t="n">
        <v>46147</v>
      </c>
      <c r="C192" s="36" t="n">
        <v>46152</v>
      </c>
      <c r="D192" s="36" t="n">
        <v>46154</v>
      </c>
      <c r="E192" s="14" t="inlineStr">
        <is>
          <t>Saída</t>
        </is>
      </c>
      <c r="F192" s="29" t="inlineStr">
        <is>
          <t>Despesas com Pessoal</t>
        </is>
      </c>
      <c r="G192" s="29" t="inlineStr">
        <is>
          <t>Salários</t>
        </is>
      </c>
      <c r="H192" s="29" t="inlineStr">
        <is>
          <t>Administrativo</t>
        </is>
      </c>
      <c r="I192" s="29" t="inlineStr">
        <is>
          <t>COLABORADORES — FOLHA DE PAGAMENTO</t>
        </is>
      </c>
      <c r="J192" s="29" t="inlineStr">
        <is>
          <t>Folha de pagamento — 05/2026</t>
        </is>
      </c>
      <c r="K192" s="14" t="inlineStr">
        <is>
          <t>DOC 8336</t>
        </is>
      </c>
      <c r="L192" s="29" t="inlineStr">
        <is>
          <t>Banco do Brasil — C/C 12345-6</t>
        </is>
      </c>
      <c r="M192" s="14" t="inlineStr">
        <is>
          <t>Transferência</t>
        </is>
      </c>
      <c r="N192" s="29" t="n"/>
      <c r="O192" s="13" t="n">
        <v>1</v>
      </c>
      <c r="P192" s="13" t="n">
        <v>1</v>
      </c>
      <c r="Q192" s="35" t="n">
        <v>16000</v>
      </c>
      <c r="R192" s="35" t="n">
        <v>16000</v>
      </c>
      <c r="S192" s="35" t="n"/>
      <c r="T192" s="35" t="n"/>
      <c r="U192" s="35" t="n"/>
      <c r="V192" s="18">
        <f>IF(COUNTA($B192:$R192)=0,"",ROUND(N($R192)+N($S192)+N($T192)-N($U192),2))</f>
        <v/>
      </c>
      <c r="W192" s="18">
        <f>IF(COUNTA($B192:$R192)=0,"",IF(OR($X192="Pago",$X192="Recebido",$X192="Cancelado"),0,ROUND(N($Q192)+N($S192)+N($T192)-N($U192)-N($R192),2)))</f>
        <v/>
      </c>
      <c r="X192" s="14" t="inlineStr">
        <is>
          <t>Pago</t>
        </is>
      </c>
      <c r="Y192" s="17">
        <f>IF(COUNTA($B192:$R192)=0,"",IF($X192="Cancelado","Cancelado",IF(OR($X192="Pago",$X192="Recebido"),$X192,IF(OR($X192="Parcial",N($R192)&gt;0),"Parcial",IF($C192="","Sem vencimento",IF($C192&lt;TODAY(),"Vencido",IF($C192=TODAY(),"Vence hoje",IF($C192&lt;=TODAY()+7,"Vence em 7 dias",IF($C192&lt;=TODAY()+30,"Vence em 30 dias","Futuro")))))))))</f>
        <v/>
      </c>
      <c r="Z192" s="24">
        <f>IF($B192="","",MONTH($B192))</f>
        <v/>
      </c>
      <c r="AA192" s="24">
        <f>IF($B192="","",YEAR($B192))</f>
        <v/>
      </c>
      <c r="AB192" s="24">
        <f>IF($B192="","",ISOWEEKNUM($B192))</f>
        <v/>
      </c>
      <c r="AC192" s="17">
        <f>IF($B192="","",CHOOSE(WEEKDAY($B192,2),"Segunda","Terça","Quarta","Quinta","Sexta","Sábado","Domingo"))</f>
        <v/>
      </c>
      <c r="AD192" s="17">
        <f>IF($B192="","",TEXT($B192,"MM/AAAA"))</f>
        <v/>
      </c>
      <c r="AE192" s="18">
        <f>IF(COUNTA($B192:$R192)=0,"",IF($X192="Cancelado",0,ROUND(N($Q192)+N($S192)+N($T192)-N($U192),2)))</f>
        <v/>
      </c>
      <c r="AF192" s="9">
        <f>IF($G192="","",IFERROR(INDEX(LINHAS_DRE_PLANO,MATCH($G192,SUBCATEGORIAS_PLANO,0)),"Não classificado"))</f>
        <v/>
      </c>
      <c r="AG192" s="17">
        <f>IF($G192="","",IFERROR(INDEX(TIPOS_FLUXO_PLANO,MATCH($G192,SUBCATEGORIAS_PLANO,0)),"Não classificado"))</f>
        <v/>
      </c>
      <c r="AH192" s="9">
        <f>IF($G192="","",IFERROR(INDEX(GRUPOS_PLANO,MATCH($G192,SUBCATEGORIAS_PLANO,0)),"Não classificado"))</f>
        <v/>
      </c>
      <c r="AI192" s="24">
        <f>IF(OR($C192="",$X192="Pago",$X192="Recebido",$X192="Cancelado"),"",$C192-TODAY())</f>
        <v/>
      </c>
      <c r="AJ192" s="24">
        <f>IF(OR($C192="",$X192="Pago",$X192="Recebido",$X192="Cancelado"),0,MAX(0,TODAY()-$C192))</f>
        <v/>
      </c>
      <c r="AK192" s="24">
        <f>IF($D192="","",$D192-$B192)</f>
        <v/>
      </c>
      <c r="AL192" s="18">
        <f>IF(OR($D192="",$B192=""),"",ROUND(N($R192)*($D192-$B192),2))</f>
        <v/>
      </c>
      <c r="AM192" s="17">
        <f>IF(AND($E192="Saída",$W192&gt;0,$C192&lt;&gt;""),$C192+ROW()/1000000,"")</f>
        <v/>
      </c>
      <c r="AN192" s="17">
        <f>IF(AND($E192="Entrada",$W192&gt;0,$C192&lt;&gt;""),$C192+ROW()/1000000,"")</f>
        <v/>
      </c>
      <c r="AO192" s="9">
        <f>IF(COUNTA($B192:$R192)=0,"",IF(AND($I192&lt;&gt;"",COUNTIF(CLIENTES_NOMES,$I192)+COUNTIF(CLIENTES_FANTASIA,$I192)+COUNTIF(FORNECEDORES_NOMES,$I192)+COUNTIF(FORNECEDORES_FANTASIA,$I192)=0),"⚠ Cliente/Fornecedor não cadastrado",IF(AND($G192&lt;&gt;"",COUNTIF(SUBCATEGORIAS_PLANO,$G192)=0),"⚠ Subcategoria fora do plano de contas",IF(OR($Q192="",N($Q192)=0),"⚠ Valor previsto não informado",IF(AND(OR($X192="Pago",$X192="Recebido"),$D192=""),"⚠ Status pago/recebido sem data",IF(AND($D192&lt;&gt;"",N($R192)=0),"⚠ Data de pagamento sem valor realizado",IF(AND(N($P192)&gt;1,N($O192)&gt;N($P192)),"⚠ Nº da parcela maior que o total",IF(AND($C192&lt;&gt;"",$B192&lt;&gt;"",$C192&lt;$B192),"⚠ Vencimento anterior à competência","OK"))))))))</f>
        <v/>
      </c>
    </row>
    <row r="193">
      <c r="A193" s="14" t="inlineStr">
        <is>
          <t>L0188</t>
        </is>
      </c>
      <c r="B193" s="36" t="n">
        <v>46147</v>
      </c>
      <c r="C193" s="36" t="n">
        <v>46152</v>
      </c>
      <c r="D193" s="36" t="n">
        <v>46154</v>
      </c>
      <c r="E193" s="14" t="inlineStr">
        <is>
          <t>Saída</t>
        </is>
      </c>
      <c r="F193" s="29" t="inlineStr">
        <is>
          <t>Despesas com Pessoal</t>
        </is>
      </c>
      <c r="G193" s="29" t="inlineStr">
        <is>
          <t>Benefícios (VT/VA/Plano de Saúde)</t>
        </is>
      </c>
      <c r="H193" s="29" t="inlineStr">
        <is>
          <t>Administrativo</t>
        </is>
      </c>
      <c r="I193" s="29" t="inlineStr">
        <is>
          <t>BENEFÍCIOS BRASIL ADMINISTRADORA LTDA</t>
        </is>
      </c>
      <c r="J193" s="29" t="inlineStr">
        <is>
          <t>Vale-transporte, alimentação e saúde</t>
        </is>
      </c>
      <c r="K193" s="14" t="inlineStr">
        <is>
          <t>DOC 8338</t>
        </is>
      </c>
      <c r="L193" s="29" t="inlineStr">
        <is>
          <t>Banco do Brasil — C/C 12345-6</t>
        </is>
      </c>
      <c r="M193" s="14" t="inlineStr">
        <is>
          <t>Transferência</t>
        </is>
      </c>
      <c r="N193" s="29" t="n"/>
      <c r="O193" s="13" t="n">
        <v>1</v>
      </c>
      <c r="P193" s="13" t="n">
        <v>1</v>
      </c>
      <c r="Q193" s="35" t="n">
        <v>1900</v>
      </c>
      <c r="R193" s="35" t="n">
        <v>1900</v>
      </c>
      <c r="S193" s="35" t="n"/>
      <c r="T193" s="35" t="n"/>
      <c r="U193" s="35" t="n"/>
      <c r="V193" s="18">
        <f>IF(COUNTA($B193:$R193)=0,"",ROUND(N($R193)+N($S193)+N($T193)-N($U193),2))</f>
        <v/>
      </c>
      <c r="W193" s="18">
        <f>IF(COUNTA($B193:$R193)=0,"",IF(OR($X193="Pago",$X193="Recebido",$X193="Cancelado"),0,ROUND(N($Q193)+N($S193)+N($T193)-N($U193)-N($R193),2)))</f>
        <v/>
      </c>
      <c r="X193" s="14" t="inlineStr">
        <is>
          <t>Pago</t>
        </is>
      </c>
      <c r="Y193" s="17">
        <f>IF(COUNTA($B193:$R193)=0,"",IF($X193="Cancelado","Cancelado",IF(OR($X193="Pago",$X193="Recebido"),$X193,IF(OR($X193="Parcial",N($R193)&gt;0),"Parcial",IF($C193="","Sem vencimento",IF($C193&lt;TODAY(),"Vencido",IF($C193=TODAY(),"Vence hoje",IF($C193&lt;=TODAY()+7,"Vence em 7 dias",IF($C193&lt;=TODAY()+30,"Vence em 30 dias","Futuro")))))))))</f>
        <v/>
      </c>
      <c r="Z193" s="24">
        <f>IF($B193="","",MONTH($B193))</f>
        <v/>
      </c>
      <c r="AA193" s="24">
        <f>IF($B193="","",YEAR($B193))</f>
        <v/>
      </c>
      <c r="AB193" s="24">
        <f>IF($B193="","",ISOWEEKNUM($B193))</f>
        <v/>
      </c>
      <c r="AC193" s="17">
        <f>IF($B193="","",CHOOSE(WEEKDAY($B193,2),"Segunda","Terça","Quarta","Quinta","Sexta","Sábado","Domingo"))</f>
        <v/>
      </c>
      <c r="AD193" s="17">
        <f>IF($B193="","",TEXT($B193,"MM/AAAA"))</f>
        <v/>
      </c>
      <c r="AE193" s="18">
        <f>IF(COUNTA($B193:$R193)=0,"",IF($X193="Cancelado",0,ROUND(N($Q193)+N($S193)+N($T193)-N($U193),2)))</f>
        <v/>
      </c>
      <c r="AF193" s="9">
        <f>IF($G193="","",IFERROR(INDEX(LINHAS_DRE_PLANO,MATCH($G193,SUBCATEGORIAS_PLANO,0)),"Não classificado"))</f>
        <v/>
      </c>
      <c r="AG193" s="17">
        <f>IF($G193="","",IFERROR(INDEX(TIPOS_FLUXO_PLANO,MATCH($G193,SUBCATEGORIAS_PLANO,0)),"Não classificado"))</f>
        <v/>
      </c>
      <c r="AH193" s="9">
        <f>IF($G193="","",IFERROR(INDEX(GRUPOS_PLANO,MATCH($G193,SUBCATEGORIAS_PLANO,0)),"Não classificado"))</f>
        <v/>
      </c>
      <c r="AI193" s="24">
        <f>IF(OR($C193="",$X193="Pago",$X193="Recebido",$X193="Cancelado"),"",$C193-TODAY())</f>
        <v/>
      </c>
      <c r="AJ193" s="24">
        <f>IF(OR($C193="",$X193="Pago",$X193="Recebido",$X193="Cancelado"),0,MAX(0,TODAY()-$C193))</f>
        <v/>
      </c>
      <c r="AK193" s="24">
        <f>IF($D193="","",$D193-$B193)</f>
        <v/>
      </c>
      <c r="AL193" s="18">
        <f>IF(OR($D193="",$B193=""),"",ROUND(N($R193)*($D193-$B193),2))</f>
        <v/>
      </c>
      <c r="AM193" s="17">
        <f>IF(AND($E193="Saída",$W193&gt;0,$C193&lt;&gt;""),$C193+ROW()/1000000,"")</f>
        <v/>
      </c>
      <c r="AN193" s="17">
        <f>IF(AND($E193="Entrada",$W193&gt;0,$C193&lt;&gt;""),$C193+ROW()/1000000,"")</f>
        <v/>
      </c>
      <c r="AO193" s="9">
        <f>IF(COUNTA($B193:$R193)=0,"",IF(AND($I193&lt;&gt;"",COUNTIF(CLIENTES_NOMES,$I193)+COUNTIF(CLIENTES_FANTASIA,$I193)+COUNTIF(FORNECEDORES_NOMES,$I193)+COUNTIF(FORNECEDORES_FANTASIA,$I193)=0),"⚠ Cliente/Fornecedor não cadastrado",IF(AND($G193&lt;&gt;"",COUNTIF(SUBCATEGORIAS_PLANO,$G193)=0),"⚠ Subcategoria fora do plano de contas",IF(OR($Q193="",N($Q193)=0),"⚠ Valor previsto não informado",IF(AND(OR($X193="Pago",$X193="Recebido"),$D193=""),"⚠ Status pago/recebido sem data",IF(AND($D193&lt;&gt;"",N($R193)=0),"⚠ Data de pagamento sem valor realizado",IF(AND(N($P193)&gt;1,N($O193)&gt;N($P193)),"⚠ Nº da parcela maior que o total",IF(AND($C193&lt;&gt;"",$B193&lt;&gt;"",$C193&lt;$B193),"⚠ Vencimento anterior à competência","OK"))))))))</f>
        <v/>
      </c>
    </row>
    <row r="194">
      <c r="A194" s="14" t="inlineStr">
        <is>
          <t>L0189</t>
        </is>
      </c>
      <c r="B194" s="36" t="n">
        <v>46147</v>
      </c>
      <c r="C194" s="36" t="n">
        <v>46152</v>
      </c>
      <c r="D194" s="36" t="n">
        <v>46155</v>
      </c>
      <c r="E194" s="14" t="inlineStr">
        <is>
          <t>Saída</t>
        </is>
      </c>
      <c r="F194" s="29" t="inlineStr">
        <is>
          <t>Despesas com Pessoal</t>
        </is>
      </c>
      <c r="G194" s="29" t="inlineStr">
        <is>
          <t>Pró-labore</t>
        </is>
      </c>
      <c r="H194" s="29" t="inlineStr">
        <is>
          <t>Diretoria</t>
        </is>
      </c>
      <c r="I194" s="29" t="inlineStr">
        <is>
          <t>SÓCIOS — PRÓ-LABORE E DISTRIBUIÇÕES</t>
        </is>
      </c>
      <c r="J194" s="29" t="inlineStr">
        <is>
          <t>Pró-labore dos sócios — 05/2026</t>
        </is>
      </c>
      <c r="K194" s="14" t="inlineStr">
        <is>
          <t>DOC 8339</t>
        </is>
      </c>
      <c r="L194" s="29" t="inlineStr">
        <is>
          <t>Banco do Brasil — C/C 12345-6</t>
        </is>
      </c>
      <c r="M194" s="14" t="inlineStr">
        <is>
          <t>Transferência</t>
        </is>
      </c>
      <c r="N194" s="29" t="n"/>
      <c r="O194" s="13" t="n">
        <v>1</v>
      </c>
      <c r="P194" s="13" t="n">
        <v>1</v>
      </c>
      <c r="Q194" s="35" t="n">
        <v>9500</v>
      </c>
      <c r="R194" s="35" t="n">
        <v>9500</v>
      </c>
      <c r="S194" s="35" t="n"/>
      <c r="T194" s="35" t="n"/>
      <c r="U194" s="35" t="n"/>
      <c r="V194" s="18">
        <f>IF(COUNTA($B194:$R194)=0,"",ROUND(N($R194)+N($S194)+N($T194)-N($U194),2))</f>
        <v/>
      </c>
      <c r="W194" s="18">
        <f>IF(COUNTA($B194:$R194)=0,"",IF(OR($X194="Pago",$X194="Recebido",$X194="Cancelado"),0,ROUND(N($Q194)+N($S194)+N($T194)-N($U194)-N($R194),2)))</f>
        <v/>
      </c>
      <c r="X194" s="14" t="inlineStr">
        <is>
          <t>Pago</t>
        </is>
      </c>
      <c r="Y194" s="17">
        <f>IF(COUNTA($B194:$R194)=0,"",IF($X194="Cancelado","Cancelado",IF(OR($X194="Pago",$X194="Recebido"),$X194,IF(OR($X194="Parcial",N($R194)&gt;0),"Parcial",IF($C194="","Sem vencimento",IF($C194&lt;TODAY(),"Vencido",IF($C194=TODAY(),"Vence hoje",IF($C194&lt;=TODAY()+7,"Vence em 7 dias",IF($C194&lt;=TODAY()+30,"Vence em 30 dias","Futuro")))))))))</f>
        <v/>
      </c>
      <c r="Z194" s="24">
        <f>IF($B194="","",MONTH($B194))</f>
        <v/>
      </c>
      <c r="AA194" s="24">
        <f>IF($B194="","",YEAR($B194))</f>
        <v/>
      </c>
      <c r="AB194" s="24">
        <f>IF($B194="","",ISOWEEKNUM($B194))</f>
        <v/>
      </c>
      <c r="AC194" s="17">
        <f>IF($B194="","",CHOOSE(WEEKDAY($B194,2),"Segunda","Terça","Quarta","Quinta","Sexta","Sábado","Domingo"))</f>
        <v/>
      </c>
      <c r="AD194" s="17">
        <f>IF($B194="","",TEXT($B194,"MM/AAAA"))</f>
        <v/>
      </c>
      <c r="AE194" s="18">
        <f>IF(COUNTA($B194:$R194)=0,"",IF($X194="Cancelado",0,ROUND(N($Q194)+N($S194)+N($T194)-N($U194),2)))</f>
        <v/>
      </c>
      <c r="AF194" s="9">
        <f>IF($G194="","",IFERROR(INDEX(LINHAS_DRE_PLANO,MATCH($G194,SUBCATEGORIAS_PLANO,0)),"Não classificado"))</f>
        <v/>
      </c>
      <c r="AG194" s="17">
        <f>IF($G194="","",IFERROR(INDEX(TIPOS_FLUXO_PLANO,MATCH($G194,SUBCATEGORIAS_PLANO,0)),"Não classificado"))</f>
        <v/>
      </c>
      <c r="AH194" s="9">
        <f>IF($G194="","",IFERROR(INDEX(GRUPOS_PLANO,MATCH($G194,SUBCATEGORIAS_PLANO,0)),"Não classificado"))</f>
        <v/>
      </c>
      <c r="AI194" s="24">
        <f>IF(OR($C194="",$X194="Pago",$X194="Recebido",$X194="Cancelado"),"",$C194-TODAY())</f>
        <v/>
      </c>
      <c r="AJ194" s="24">
        <f>IF(OR($C194="",$X194="Pago",$X194="Recebido",$X194="Cancelado"),0,MAX(0,TODAY()-$C194))</f>
        <v/>
      </c>
      <c r="AK194" s="24">
        <f>IF($D194="","",$D194-$B194)</f>
        <v/>
      </c>
      <c r="AL194" s="18">
        <f>IF(OR($D194="",$B194=""),"",ROUND(N($R194)*($D194-$B194),2))</f>
        <v/>
      </c>
      <c r="AM194" s="17">
        <f>IF(AND($E194="Saída",$W194&gt;0,$C194&lt;&gt;""),$C194+ROW()/1000000,"")</f>
        <v/>
      </c>
      <c r="AN194" s="17">
        <f>IF(AND($E194="Entrada",$W194&gt;0,$C194&lt;&gt;""),$C194+ROW()/1000000,"")</f>
        <v/>
      </c>
      <c r="AO194" s="9">
        <f>IF(COUNTA($B194:$R194)=0,"",IF(AND($I194&lt;&gt;"",COUNTIF(CLIENTES_NOMES,$I194)+COUNTIF(CLIENTES_FANTASIA,$I194)+COUNTIF(FORNECEDORES_NOMES,$I194)+COUNTIF(FORNECEDORES_FANTASIA,$I194)=0),"⚠ Cliente/Fornecedor não cadastrado",IF(AND($G194&lt;&gt;"",COUNTIF(SUBCATEGORIAS_PLANO,$G194)=0),"⚠ Subcategoria fora do plano de contas",IF(OR($Q194="",N($Q194)=0),"⚠ Valor previsto não informado",IF(AND(OR($X194="Pago",$X194="Recebido"),$D194=""),"⚠ Status pago/recebido sem data",IF(AND($D194&lt;&gt;"",N($R194)=0),"⚠ Data de pagamento sem valor realizado",IF(AND(N($P194)&gt;1,N($O194)&gt;N($P194)),"⚠ Nº da parcela maior que o total",IF(AND($C194&lt;&gt;"",$B194&lt;&gt;"",$C194&lt;$B194),"⚠ Vencimento anterior à competência","OK"))))))))</f>
        <v/>
      </c>
    </row>
    <row r="195">
      <c r="A195" s="14" t="inlineStr">
        <is>
          <t>L0190</t>
        </is>
      </c>
      <c r="B195" s="36" t="n">
        <v>46149</v>
      </c>
      <c r="C195" s="36" t="n">
        <v>46156</v>
      </c>
      <c r="D195" s="36" t="n">
        <v>46156</v>
      </c>
      <c r="E195" s="14" t="inlineStr">
        <is>
          <t>Saída</t>
        </is>
      </c>
      <c r="F195" s="29" t="inlineStr">
        <is>
          <t>Despesas com Pessoal</t>
        </is>
      </c>
      <c r="G195" s="29" t="inlineStr">
        <is>
          <t>Encargos Sociais (FGTS/INSS)</t>
        </is>
      </c>
      <c r="H195" s="29" t="inlineStr">
        <is>
          <t>Administrativo</t>
        </is>
      </c>
      <c r="I195" s="29" t="inlineStr">
        <is>
          <t>RECEITA FEDERAL DO BRASIL</t>
        </is>
      </c>
      <c r="J195" s="29" t="inlineStr">
        <is>
          <t>FGTS e INSS — competência 05/2026</t>
        </is>
      </c>
      <c r="K195" s="14" t="inlineStr">
        <is>
          <t>DOC 8337</t>
        </is>
      </c>
      <c r="L195" s="29" t="inlineStr">
        <is>
          <t>Itaú Unibanco — C/C 45678-9</t>
        </is>
      </c>
      <c r="M195" s="14" t="inlineStr">
        <is>
          <t>Transferência</t>
        </is>
      </c>
      <c r="N195" s="29" t="n"/>
      <c r="O195" s="13" t="n">
        <v>1</v>
      </c>
      <c r="P195" s="13" t="n">
        <v>1</v>
      </c>
      <c r="Q195" s="35" t="n">
        <v>5600</v>
      </c>
      <c r="R195" s="35" t="n">
        <v>5600</v>
      </c>
      <c r="S195" s="35" t="n"/>
      <c r="T195" s="35" t="n"/>
      <c r="U195" s="35" t="n"/>
      <c r="V195" s="18">
        <f>IF(COUNTA($B195:$R195)=0,"",ROUND(N($R195)+N($S195)+N($T195)-N($U195),2))</f>
        <v/>
      </c>
      <c r="W195" s="18">
        <f>IF(COUNTA($B195:$R195)=0,"",IF(OR($X195="Pago",$X195="Recebido",$X195="Cancelado"),0,ROUND(N($Q195)+N($S195)+N($T195)-N($U195)-N($R195),2)))</f>
        <v/>
      </c>
      <c r="X195" s="14" t="inlineStr">
        <is>
          <t>Pago</t>
        </is>
      </c>
      <c r="Y195" s="17">
        <f>IF(COUNTA($B195:$R195)=0,"",IF($X195="Cancelado","Cancelado",IF(OR($X195="Pago",$X195="Recebido"),$X195,IF(OR($X195="Parcial",N($R195)&gt;0),"Parcial",IF($C195="","Sem vencimento",IF($C195&lt;TODAY(),"Vencido",IF($C195=TODAY(),"Vence hoje",IF($C195&lt;=TODAY()+7,"Vence em 7 dias",IF($C195&lt;=TODAY()+30,"Vence em 30 dias","Futuro")))))))))</f>
        <v/>
      </c>
      <c r="Z195" s="24">
        <f>IF($B195="","",MONTH($B195))</f>
        <v/>
      </c>
      <c r="AA195" s="24">
        <f>IF($B195="","",YEAR($B195))</f>
        <v/>
      </c>
      <c r="AB195" s="24">
        <f>IF($B195="","",ISOWEEKNUM($B195))</f>
        <v/>
      </c>
      <c r="AC195" s="17">
        <f>IF($B195="","",CHOOSE(WEEKDAY($B195,2),"Segunda","Terça","Quarta","Quinta","Sexta","Sábado","Domingo"))</f>
        <v/>
      </c>
      <c r="AD195" s="17">
        <f>IF($B195="","",TEXT($B195,"MM/AAAA"))</f>
        <v/>
      </c>
      <c r="AE195" s="18">
        <f>IF(COUNTA($B195:$R195)=0,"",IF($X195="Cancelado",0,ROUND(N($Q195)+N($S195)+N($T195)-N($U195),2)))</f>
        <v/>
      </c>
      <c r="AF195" s="9">
        <f>IF($G195="","",IFERROR(INDEX(LINHAS_DRE_PLANO,MATCH($G195,SUBCATEGORIAS_PLANO,0)),"Não classificado"))</f>
        <v/>
      </c>
      <c r="AG195" s="17">
        <f>IF($G195="","",IFERROR(INDEX(TIPOS_FLUXO_PLANO,MATCH($G195,SUBCATEGORIAS_PLANO,0)),"Não classificado"))</f>
        <v/>
      </c>
      <c r="AH195" s="9">
        <f>IF($G195="","",IFERROR(INDEX(GRUPOS_PLANO,MATCH($G195,SUBCATEGORIAS_PLANO,0)),"Não classificado"))</f>
        <v/>
      </c>
      <c r="AI195" s="24">
        <f>IF(OR($C195="",$X195="Pago",$X195="Recebido",$X195="Cancelado"),"",$C195-TODAY())</f>
        <v/>
      </c>
      <c r="AJ195" s="24">
        <f>IF(OR($C195="",$X195="Pago",$X195="Recebido",$X195="Cancelado"),0,MAX(0,TODAY()-$C195))</f>
        <v/>
      </c>
      <c r="AK195" s="24">
        <f>IF($D195="","",$D195-$B195)</f>
        <v/>
      </c>
      <c r="AL195" s="18">
        <f>IF(OR($D195="",$B195=""),"",ROUND(N($R195)*($D195-$B195),2))</f>
        <v/>
      </c>
      <c r="AM195" s="17">
        <f>IF(AND($E195="Saída",$W195&gt;0,$C195&lt;&gt;""),$C195+ROW()/1000000,"")</f>
        <v/>
      </c>
      <c r="AN195" s="17">
        <f>IF(AND($E195="Entrada",$W195&gt;0,$C195&lt;&gt;""),$C195+ROW()/1000000,"")</f>
        <v/>
      </c>
      <c r="AO195" s="9">
        <f>IF(COUNTA($B195:$R195)=0,"",IF(AND($I195&lt;&gt;"",COUNTIF(CLIENTES_NOMES,$I195)+COUNTIF(CLIENTES_FANTASIA,$I195)+COUNTIF(FORNECEDORES_NOMES,$I195)+COUNTIF(FORNECEDORES_FANTASIA,$I195)=0),"⚠ Cliente/Fornecedor não cadastrado",IF(AND($G195&lt;&gt;"",COUNTIF(SUBCATEGORIAS_PLANO,$G195)=0),"⚠ Subcategoria fora do plano de contas",IF(OR($Q195="",N($Q195)=0),"⚠ Valor previsto não informado",IF(AND(OR($X195="Pago",$X195="Recebido"),$D195=""),"⚠ Status pago/recebido sem data",IF(AND($D195&lt;&gt;"",N($R195)=0),"⚠ Data de pagamento sem valor realizado",IF(AND(N($P195)&gt;1,N($O195)&gt;N($P195)),"⚠ Nº da parcela maior que o total",IF(AND($C195&lt;&gt;"",$B195&lt;&gt;"",$C195&lt;$B195),"⚠ Vencimento anterior à competência","OK"))))))))</f>
        <v/>
      </c>
    </row>
    <row r="196">
      <c r="A196" s="14" t="inlineStr">
        <is>
          <t>L0191</t>
        </is>
      </c>
      <c r="B196" s="36" t="n">
        <v>46150</v>
      </c>
      <c r="C196" s="36" t="n">
        <v>46170</v>
      </c>
      <c r="D196" s="36" t="n">
        <v>46172</v>
      </c>
      <c r="E196" s="14" t="inlineStr">
        <is>
          <t>Saída</t>
        </is>
      </c>
      <c r="F196" s="29" t="inlineStr">
        <is>
          <t>Despesas Administrativas</t>
        </is>
      </c>
      <c r="G196" s="29" t="inlineStr">
        <is>
          <t>Sistemas e Softwares</t>
        </is>
      </c>
      <c r="H196" s="29" t="inlineStr">
        <is>
          <t>Administrativo</t>
        </is>
      </c>
      <c r="I196" s="29" t="inlineStr">
        <is>
          <t>TECNOLOGIA E SISTEMAS ABC LTDA</t>
        </is>
      </c>
      <c r="J196" s="29" t="inlineStr">
        <is>
          <t>Assinatura ERP, NF-e e BI</t>
        </is>
      </c>
      <c r="K196" s="14" t="inlineStr">
        <is>
          <t>DOC 8335</t>
        </is>
      </c>
      <c r="L196" s="29" t="inlineStr">
        <is>
          <t>Nubank PJ — C/C 9876543-2</t>
        </is>
      </c>
      <c r="M196" s="14" t="inlineStr">
        <is>
          <t>Cartão de crédito</t>
        </is>
      </c>
      <c r="N196" s="29" t="inlineStr">
        <is>
          <t>Cartão Mastercard Nubank PJ</t>
        </is>
      </c>
      <c r="O196" s="13" t="n">
        <v>1</v>
      </c>
      <c r="P196" s="13" t="n">
        <v>1</v>
      </c>
      <c r="Q196" s="35" t="n">
        <v>850</v>
      </c>
      <c r="R196" s="35" t="n">
        <v>850</v>
      </c>
      <c r="S196" s="35" t="n"/>
      <c r="T196" s="35" t="n"/>
      <c r="U196" s="35" t="n"/>
      <c r="V196" s="18">
        <f>IF(COUNTA($B196:$R196)=0,"",ROUND(N($R196)+N($S196)+N($T196)-N($U196),2))</f>
        <v/>
      </c>
      <c r="W196" s="18">
        <f>IF(COUNTA($B196:$R196)=0,"",IF(OR($X196="Pago",$X196="Recebido",$X196="Cancelado"),0,ROUND(N($Q196)+N($S196)+N($T196)-N($U196)-N($R196),2)))</f>
        <v/>
      </c>
      <c r="X196" s="14" t="inlineStr">
        <is>
          <t>Pago</t>
        </is>
      </c>
      <c r="Y196" s="17">
        <f>IF(COUNTA($B196:$R196)=0,"",IF($X196="Cancelado","Cancelado",IF(OR($X196="Pago",$X196="Recebido"),$X196,IF(OR($X196="Parcial",N($R196)&gt;0),"Parcial",IF($C196="","Sem vencimento",IF($C196&lt;TODAY(),"Vencido",IF($C196=TODAY(),"Vence hoje",IF($C196&lt;=TODAY()+7,"Vence em 7 dias",IF($C196&lt;=TODAY()+30,"Vence em 30 dias","Futuro")))))))))</f>
        <v/>
      </c>
      <c r="Z196" s="24">
        <f>IF($B196="","",MONTH($B196))</f>
        <v/>
      </c>
      <c r="AA196" s="24">
        <f>IF($B196="","",YEAR($B196))</f>
        <v/>
      </c>
      <c r="AB196" s="24">
        <f>IF($B196="","",ISOWEEKNUM($B196))</f>
        <v/>
      </c>
      <c r="AC196" s="17">
        <f>IF($B196="","",CHOOSE(WEEKDAY($B196,2),"Segunda","Terça","Quarta","Quinta","Sexta","Sábado","Domingo"))</f>
        <v/>
      </c>
      <c r="AD196" s="17">
        <f>IF($B196="","",TEXT($B196,"MM/AAAA"))</f>
        <v/>
      </c>
      <c r="AE196" s="18">
        <f>IF(COUNTA($B196:$R196)=0,"",IF($X196="Cancelado",0,ROUND(N($Q196)+N($S196)+N($T196)-N($U196),2)))</f>
        <v/>
      </c>
      <c r="AF196" s="9">
        <f>IF($G196="","",IFERROR(INDEX(LINHAS_DRE_PLANO,MATCH($G196,SUBCATEGORIAS_PLANO,0)),"Não classificado"))</f>
        <v/>
      </c>
      <c r="AG196" s="17">
        <f>IF($G196="","",IFERROR(INDEX(TIPOS_FLUXO_PLANO,MATCH($G196,SUBCATEGORIAS_PLANO,0)),"Não classificado"))</f>
        <v/>
      </c>
      <c r="AH196" s="9">
        <f>IF($G196="","",IFERROR(INDEX(GRUPOS_PLANO,MATCH($G196,SUBCATEGORIAS_PLANO,0)),"Não classificado"))</f>
        <v/>
      </c>
      <c r="AI196" s="24">
        <f>IF(OR($C196="",$X196="Pago",$X196="Recebido",$X196="Cancelado"),"",$C196-TODAY())</f>
        <v/>
      </c>
      <c r="AJ196" s="24">
        <f>IF(OR($C196="",$X196="Pago",$X196="Recebido",$X196="Cancelado"),0,MAX(0,TODAY()-$C196))</f>
        <v/>
      </c>
      <c r="AK196" s="24">
        <f>IF($D196="","",$D196-$B196)</f>
        <v/>
      </c>
      <c r="AL196" s="18">
        <f>IF(OR($D196="",$B196=""),"",ROUND(N($R196)*($D196-$B196),2))</f>
        <v/>
      </c>
      <c r="AM196" s="17">
        <f>IF(AND($E196="Saída",$W196&gt;0,$C196&lt;&gt;""),$C196+ROW()/1000000,"")</f>
        <v/>
      </c>
      <c r="AN196" s="17">
        <f>IF(AND($E196="Entrada",$W196&gt;0,$C196&lt;&gt;""),$C196+ROW()/1000000,"")</f>
        <v/>
      </c>
      <c r="AO196" s="9">
        <f>IF(COUNTA($B196:$R196)=0,"",IF(AND($I196&lt;&gt;"",COUNTIF(CLIENTES_NOMES,$I196)+COUNTIF(CLIENTES_FANTASIA,$I196)+COUNTIF(FORNECEDORES_NOMES,$I196)+COUNTIF(FORNECEDORES_FANTASIA,$I196)=0),"⚠ Cliente/Fornecedor não cadastrado",IF(AND($G196&lt;&gt;"",COUNTIF(SUBCATEGORIAS_PLANO,$G196)=0),"⚠ Subcategoria fora do plano de contas",IF(OR($Q196="",N($Q196)=0),"⚠ Valor previsto não informado",IF(AND(OR($X196="Pago",$X196="Recebido"),$D196=""),"⚠ Status pago/recebido sem data",IF(AND($D196&lt;&gt;"",N($R196)=0),"⚠ Data de pagamento sem valor realizado",IF(AND(N($P196)&gt;1,N($O196)&gt;N($P196)),"⚠ Nº da parcela maior que o total",IF(AND($C196&lt;&gt;"",$B196&lt;&gt;"",$C196&lt;$B196),"⚠ Vencimento anterior à competência","OK"))))))))</f>
        <v/>
      </c>
    </row>
    <row r="197">
      <c r="A197" s="14" t="inlineStr">
        <is>
          <t>L0192</t>
        </is>
      </c>
      <c r="B197" s="36" t="n">
        <v>46151</v>
      </c>
      <c r="C197" s="36" t="n">
        <v>46166</v>
      </c>
      <c r="D197" s="36" t="n">
        <v>46169</v>
      </c>
      <c r="E197" s="14" t="inlineStr">
        <is>
          <t>Saída</t>
        </is>
      </c>
      <c r="F197" s="29" t="inlineStr">
        <is>
          <t>Custos Variáveis</t>
        </is>
      </c>
      <c r="G197" s="29" t="inlineStr">
        <is>
          <t>Matéria-prima</t>
        </is>
      </c>
      <c r="H197" s="29" t="inlineStr">
        <is>
          <t>Produção</t>
        </is>
      </c>
      <c r="I197" s="29" t="inlineStr">
        <is>
          <t>DISTRIBUIDORA CENTRAL DE ALIMENTOS S/A</t>
        </is>
      </c>
      <c r="J197" s="29" t="inlineStr">
        <is>
          <t>Insumos e matéria-prima para beneficiamento</t>
        </is>
      </c>
      <c r="K197" s="14" t="inlineStr">
        <is>
          <t>NF 5905</t>
        </is>
      </c>
      <c r="L197" s="29" t="inlineStr">
        <is>
          <t>Banco do Brasil — C/C 12345-6</t>
        </is>
      </c>
      <c r="M197" s="14" t="inlineStr">
        <is>
          <t>Boleto</t>
        </is>
      </c>
      <c r="N197" s="29" t="n"/>
      <c r="O197" s="13" t="n">
        <v>1</v>
      </c>
      <c r="P197" s="13" t="n">
        <v>1</v>
      </c>
      <c r="Q197" s="35" t="n">
        <v>9277.09</v>
      </c>
      <c r="R197" s="35" t="n">
        <v>9277.09</v>
      </c>
      <c r="S197" s="35" t="n"/>
      <c r="T197" s="35" t="n"/>
      <c r="U197" s="35" t="n"/>
      <c r="V197" s="18">
        <f>IF(COUNTA($B197:$R197)=0,"",ROUND(N($R197)+N($S197)+N($T197)-N($U197),2))</f>
        <v/>
      </c>
      <c r="W197" s="18">
        <f>IF(COUNTA($B197:$R197)=0,"",IF(OR($X197="Pago",$X197="Recebido",$X197="Cancelado"),0,ROUND(N($Q197)+N($S197)+N($T197)-N($U197)-N($R197),2)))</f>
        <v/>
      </c>
      <c r="X197" s="14" t="inlineStr">
        <is>
          <t>Pago</t>
        </is>
      </c>
      <c r="Y197" s="17">
        <f>IF(COUNTA($B197:$R197)=0,"",IF($X197="Cancelado","Cancelado",IF(OR($X197="Pago",$X197="Recebido"),$X197,IF(OR($X197="Parcial",N($R197)&gt;0),"Parcial",IF($C197="","Sem vencimento",IF($C197&lt;TODAY(),"Vencido",IF($C197=TODAY(),"Vence hoje",IF($C197&lt;=TODAY()+7,"Vence em 7 dias",IF($C197&lt;=TODAY()+30,"Vence em 30 dias","Futuro")))))))))</f>
        <v/>
      </c>
      <c r="Z197" s="24">
        <f>IF($B197="","",MONTH($B197))</f>
        <v/>
      </c>
      <c r="AA197" s="24">
        <f>IF($B197="","",YEAR($B197))</f>
        <v/>
      </c>
      <c r="AB197" s="24">
        <f>IF($B197="","",ISOWEEKNUM($B197))</f>
        <v/>
      </c>
      <c r="AC197" s="17">
        <f>IF($B197="","",CHOOSE(WEEKDAY($B197,2),"Segunda","Terça","Quarta","Quinta","Sexta","Sábado","Domingo"))</f>
        <v/>
      </c>
      <c r="AD197" s="17">
        <f>IF($B197="","",TEXT($B197,"MM/AAAA"))</f>
        <v/>
      </c>
      <c r="AE197" s="18">
        <f>IF(COUNTA($B197:$R197)=0,"",IF($X197="Cancelado",0,ROUND(N($Q197)+N($S197)+N($T197)-N($U197),2)))</f>
        <v/>
      </c>
      <c r="AF197" s="9">
        <f>IF($G197="","",IFERROR(INDEX(LINHAS_DRE_PLANO,MATCH($G197,SUBCATEGORIAS_PLANO,0)),"Não classificado"))</f>
        <v/>
      </c>
      <c r="AG197" s="17">
        <f>IF($G197="","",IFERROR(INDEX(TIPOS_FLUXO_PLANO,MATCH($G197,SUBCATEGORIAS_PLANO,0)),"Não classificado"))</f>
        <v/>
      </c>
      <c r="AH197" s="9">
        <f>IF($G197="","",IFERROR(INDEX(GRUPOS_PLANO,MATCH($G197,SUBCATEGORIAS_PLANO,0)),"Não classificado"))</f>
        <v/>
      </c>
      <c r="AI197" s="24">
        <f>IF(OR($C197="",$X197="Pago",$X197="Recebido",$X197="Cancelado"),"",$C197-TODAY())</f>
        <v/>
      </c>
      <c r="AJ197" s="24">
        <f>IF(OR($C197="",$X197="Pago",$X197="Recebido",$X197="Cancelado"),0,MAX(0,TODAY()-$C197))</f>
        <v/>
      </c>
      <c r="AK197" s="24">
        <f>IF($D197="","",$D197-$B197)</f>
        <v/>
      </c>
      <c r="AL197" s="18">
        <f>IF(OR($D197="",$B197=""),"",ROUND(N($R197)*($D197-$B197),2))</f>
        <v/>
      </c>
      <c r="AM197" s="17">
        <f>IF(AND($E197="Saída",$W197&gt;0,$C197&lt;&gt;""),$C197+ROW()/1000000,"")</f>
        <v/>
      </c>
      <c r="AN197" s="17">
        <f>IF(AND($E197="Entrada",$W197&gt;0,$C197&lt;&gt;""),$C197+ROW()/1000000,"")</f>
        <v/>
      </c>
      <c r="AO197" s="9">
        <f>IF(COUNTA($B197:$R197)=0,"",IF(AND($I197&lt;&gt;"",COUNTIF(CLIENTES_NOMES,$I197)+COUNTIF(CLIENTES_FANTASIA,$I197)+COUNTIF(FORNECEDORES_NOMES,$I197)+COUNTIF(FORNECEDORES_FANTASIA,$I197)=0),"⚠ Cliente/Fornecedor não cadastrado",IF(AND($G197&lt;&gt;"",COUNTIF(SUBCATEGORIAS_PLANO,$G197)=0),"⚠ Subcategoria fora do plano de contas",IF(OR($Q197="",N($Q197)=0),"⚠ Valor previsto não informado",IF(AND(OR($X197="Pago",$X197="Recebido"),$D197=""),"⚠ Status pago/recebido sem data",IF(AND($D197&lt;&gt;"",N($R197)=0),"⚠ Data de pagamento sem valor realizado",IF(AND(N($P197)&gt;1,N($O197)&gt;N($P197)),"⚠ Nº da parcela maior que o total",IF(AND($C197&lt;&gt;"",$B197&lt;&gt;"",$C197&lt;$B197),"⚠ Vencimento anterior à competência","OK"))))))))</f>
        <v/>
      </c>
    </row>
    <row r="198">
      <c r="A198" s="14" t="inlineStr">
        <is>
          <t>L0193</t>
        </is>
      </c>
      <c r="B198" s="36" t="n">
        <v>46152</v>
      </c>
      <c r="C198" s="36" t="n">
        <v>46170</v>
      </c>
      <c r="D198" s="36" t="n">
        <v>46170</v>
      </c>
      <c r="E198" s="14" t="inlineStr">
        <is>
          <t>Saída</t>
        </is>
      </c>
      <c r="F198" s="29" t="inlineStr">
        <is>
          <t>Despesas Administrativas</t>
        </is>
      </c>
      <c r="G198" s="29" t="inlineStr">
        <is>
          <t>Internet e Telefonia</t>
        </is>
      </c>
      <c r="H198" s="29" t="inlineStr">
        <is>
          <t>Administrativo</t>
        </is>
      </c>
      <c r="I198" s="29" t="inlineStr">
        <is>
          <t>TELEFÔNICA BRASIL S.A. (VIVO EMPRESAS)</t>
        </is>
      </c>
      <c r="J198" s="29" t="inlineStr">
        <is>
          <t>Internet, telefonia e link dedicado</t>
        </is>
      </c>
      <c r="K198" s="14" t="inlineStr">
        <is>
          <t>DOC 8333</t>
        </is>
      </c>
      <c r="L198" s="29" t="inlineStr">
        <is>
          <t>Nubank PJ — C/C 9876543-2</t>
        </is>
      </c>
      <c r="M198" s="14" t="inlineStr">
        <is>
          <t>Cartão de crédito</t>
        </is>
      </c>
      <c r="N198" s="29" t="inlineStr">
        <is>
          <t>Cartão Mastercard Nubank PJ</t>
        </is>
      </c>
      <c r="O198" s="13" t="n">
        <v>1</v>
      </c>
      <c r="P198" s="13" t="n">
        <v>1</v>
      </c>
      <c r="Q198" s="35" t="n">
        <v>780</v>
      </c>
      <c r="R198" s="35" t="n">
        <v>780</v>
      </c>
      <c r="S198" s="35" t="n"/>
      <c r="T198" s="35" t="n"/>
      <c r="U198" s="35" t="n"/>
      <c r="V198" s="18">
        <f>IF(COUNTA($B198:$R198)=0,"",ROUND(N($R198)+N($S198)+N($T198)-N($U198),2))</f>
        <v/>
      </c>
      <c r="W198" s="18">
        <f>IF(COUNTA($B198:$R198)=0,"",IF(OR($X198="Pago",$X198="Recebido",$X198="Cancelado"),0,ROUND(N($Q198)+N($S198)+N($T198)-N($U198)-N($R198),2)))</f>
        <v/>
      </c>
      <c r="X198" s="14" t="inlineStr">
        <is>
          <t>Pago</t>
        </is>
      </c>
      <c r="Y198" s="17">
        <f>IF(COUNTA($B198:$R198)=0,"",IF($X198="Cancelado","Cancelado",IF(OR($X198="Pago",$X198="Recebido"),$X198,IF(OR($X198="Parcial",N($R198)&gt;0),"Parcial",IF($C198="","Sem vencimento",IF($C198&lt;TODAY(),"Vencido",IF($C198=TODAY(),"Vence hoje",IF($C198&lt;=TODAY()+7,"Vence em 7 dias",IF($C198&lt;=TODAY()+30,"Vence em 30 dias","Futuro")))))))))</f>
        <v/>
      </c>
      <c r="Z198" s="24">
        <f>IF($B198="","",MONTH($B198))</f>
        <v/>
      </c>
      <c r="AA198" s="24">
        <f>IF($B198="","",YEAR($B198))</f>
        <v/>
      </c>
      <c r="AB198" s="24">
        <f>IF($B198="","",ISOWEEKNUM($B198))</f>
        <v/>
      </c>
      <c r="AC198" s="17">
        <f>IF($B198="","",CHOOSE(WEEKDAY($B198,2),"Segunda","Terça","Quarta","Quinta","Sexta","Sábado","Domingo"))</f>
        <v/>
      </c>
      <c r="AD198" s="17">
        <f>IF($B198="","",TEXT($B198,"MM/AAAA"))</f>
        <v/>
      </c>
      <c r="AE198" s="18">
        <f>IF(COUNTA($B198:$R198)=0,"",IF($X198="Cancelado",0,ROUND(N($Q198)+N($S198)+N($T198)-N($U198),2)))</f>
        <v/>
      </c>
      <c r="AF198" s="9">
        <f>IF($G198="","",IFERROR(INDEX(LINHAS_DRE_PLANO,MATCH($G198,SUBCATEGORIAS_PLANO,0)),"Não classificado"))</f>
        <v/>
      </c>
      <c r="AG198" s="17">
        <f>IF($G198="","",IFERROR(INDEX(TIPOS_FLUXO_PLANO,MATCH($G198,SUBCATEGORIAS_PLANO,0)),"Não classificado"))</f>
        <v/>
      </c>
      <c r="AH198" s="9">
        <f>IF($G198="","",IFERROR(INDEX(GRUPOS_PLANO,MATCH($G198,SUBCATEGORIAS_PLANO,0)),"Não classificado"))</f>
        <v/>
      </c>
      <c r="AI198" s="24">
        <f>IF(OR($C198="",$X198="Pago",$X198="Recebido",$X198="Cancelado"),"",$C198-TODAY())</f>
        <v/>
      </c>
      <c r="AJ198" s="24">
        <f>IF(OR($C198="",$X198="Pago",$X198="Recebido",$X198="Cancelado"),0,MAX(0,TODAY()-$C198))</f>
        <v/>
      </c>
      <c r="AK198" s="24">
        <f>IF($D198="","",$D198-$B198)</f>
        <v/>
      </c>
      <c r="AL198" s="18">
        <f>IF(OR($D198="",$B198=""),"",ROUND(N($R198)*($D198-$B198),2))</f>
        <v/>
      </c>
      <c r="AM198" s="17">
        <f>IF(AND($E198="Saída",$W198&gt;0,$C198&lt;&gt;""),$C198+ROW()/1000000,"")</f>
        <v/>
      </c>
      <c r="AN198" s="17">
        <f>IF(AND($E198="Entrada",$W198&gt;0,$C198&lt;&gt;""),$C198+ROW()/1000000,"")</f>
        <v/>
      </c>
      <c r="AO198" s="9">
        <f>IF(COUNTA($B198:$R198)=0,"",IF(AND($I198&lt;&gt;"",COUNTIF(CLIENTES_NOMES,$I198)+COUNTIF(CLIENTES_FANTASIA,$I198)+COUNTIF(FORNECEDORES_NOMES,$I198)+COUNTIF(FORNECEDORES_FANTASIA,$I198)=0),"⚠ Cliente/Fornecedor não cadastrado",IF(AND($G198&lt;&gt;"",COUNTIF(SUBCATEGORIAS_PLANO,$G198)=0),"⚠ Subcategoria fora do plano de contas",IF(OR($Q198="",N($Q198)=0),"⚠ Valor previsto não informado",IF(AND(OR($X198="Pago",$X198="Recebido"),$D198=""),"⚠ Status pago/recebido sem data",IF(AND($D198&lt;&gt;"",N($R198)=0),"⚠ Data de pagamento sem valor realizado",IF(AND(N($P198)&gt;1,N($O198)&gt;N($P198)),"⚠ Nº da parcela maior que o total",IF(AND($C198&lt;&gt;"",$B198&lt;&gt;"",$C198&lt;$B198),"⚠ Vencimento anterior à competência","OK"))))))))</f>
        <v/>
      </c>
    </row>
    <row r="199">
      <c r="A199" s="14" t="inlineStr">
        <is>
          <t>L0194</t>
        </is>
      </c>
      <c r="B199" s="36" t="n">
        <v>46152</v>
      </c>
      <c r="C199" s="36" t="n">
        <v>46152</v>
      </c>
      <c r="D199" s="36" t="n">
        <v>46152</v>
      </c>
      <c r="E199" s="14" t="inlineStr">
        <is>
          <t>Saída</t>
        </is>
      </c>
      <c r="F199" s="29" t="inlineStr">
        <is>
          <t>Despesas Administrativas</t>
        </is>
      </c>
      <c r="G199" s="29" t="inlineStr">
        <is>
          <t>Contabilidade</t>
        </is>
      </c>
      <c r="H199" s="29" t="inlineStr">
        <is>
          <t>Financeiro</t>
        </is>
      </c>
      <c r="I199" s="29" t="inlineStr">
        <is>
          <t>CONTABILIDADE AURORA ASSESSORIA CONTÁBIL LTDA</t>
        </is>
      </c>
      <c r="J199" s="29" t="inlineStr">
        <is>
          <t>Honorários contábeis — competência 05/2026</t>
        </is>
      </c>
      <c r="K199" s="14" t="inlineStr">
        <is>
          <t>DOC 8334</t>
        </is>
      </c>
      <c r="L199" s="29" t="inlineStr">
        <is>
          <t>Itaú Unibanco — C/C 45678-9</t>
        </is>
      </c>
      <c r="M199" s="14" t="inlineStr">
        <is>
          <t>PIX</t>
        </is>
      </c>
      <c r="N199" s="29" t="n"/>
      <c r="O199" s="13" t="n">
        <v>1</v>
      </c>
      <c r="P199" s="13" t="n">
        <v>1</v>
      </c>
      <c r="Q199" s="35" t="n">
        <v>1250</v>
      </c>
      <c r="R199" s="35" t="n">
        <v>1250</v>
      </c>
      <c r="S199" s="35" t="n"/>
      <c r="T199" s="35" t="n"/>
      <c r="U199" s="35" t="n"/>
      <c r="V199" s="18">
        <f>IF(COUNTA($B199:$R199)=0,"",ROUND(N($R199)+N($S199)+N($T199)-N($U199),2))</f>
        <v/>
      </c>
      <c r="W199" s="18">
        <f>IF(COUNTA($B199:$R199)=0,"",IF(OR($X199="Pago",$X199="Recebido",$X199="Cancelado"),0,ROUND(N($Q199)+N($S199)+N($T199)-N($U199)-N($R199),2)))</f>
        <v/>
      </c>
      <c r="X199" s="14" t="inlineStr">
        <is>
          <t>Pago</t>
        </is>
      </c>
      <c r="Y199" s="17">
        <f>IF(COUNTA($B199:$R199)=0,"",IF($X199="Cancelado","Cancelado",IF(OR($X199="Pago",$X199="Recebido"),$X199,IF(OR($X199="Parcial",N($R199)&gt;0),"Parcial",IF($C199="","Sem vencimento",IF($C199&lt;TODAY(),"Vencido",IF($C199=TODAY(),"Vence hoje",IF($C199&lt;=TODAY()+7,"Vence em 7 dias",IF($C199&lt;=TODAY()+30,"Vence em 30 dias","Futuro")))))))))</f>
        <v/>
      </c>
      <c r="Z199" s="24">
        <f>IF($B199="","",MONTH($B199))</f>
        <v/>
      </c>
      <c r="AA199" s="24">
        <f>IF($B199="","",YEAR($B199))</f>
        <v/>
      </c>
      <c r="AB199" s="24">
        <f>IF($B199="","",ISOWEEKNUM($B199))</f>
        <v/>
      </c>
      <c r="AC199" s="17">
        <f>IF($B199="","",CHOOSE(WEEKDAY($B199,2),"Segunda","Terça","Quarta","Quinta","Sexta","Sábado","Domingo"))</f>
        <v/>
      </c>
      <c r="AD199" s="17">
        <f>IF($B199="","",TEXT($B199,"MM/AAAA"))</f>
        <v/>
      </c>
      <c r="AE199" s="18">
        <f>IF(COUNTA($B199:$R199)=0,"",IF($X199="Cancelado",0,ROUND(N($Q199)+N($S199)+N($T199)-N($U199),2)))</f>
        <v/>
      </c>
      <c r="AF199" s="9">
        <f>IF($G199="","",IFERROR(INDEX(LINHAS_DRE_PLANO,MATCH($G199,SUBCATEGORIAS_PLANO,0)),"Não classificado"))</f>
        <v/>
      </c>
      <c r="AG199" s="17">
        <f>IF($G199="","",IFERROR(INDEX(TIPOS_FLUXO_PLANO,MATCH($G199,SUBCATEGORIAS_PLANO,0)),"Não classificado"))</f>
        <v/>
      </c>
      <c r="AH199" s="9">
        <f>IF($G199="","",IFERROR(INDEX(GRUPOS_PLANO,MATCH($G199,SUBCATEGORIAS_PLANO,0)),"Não classificado"))</f>
        <v/>
      </c>
      <c r="AI199" s="24">
        <f>IF(OR($C199="",$X199="Pago",$X199="Recebido",$X199="Cancelado"),"",$C199-TODAY())</f>
        <v/>
      </c>
      <c r="AJ199" s="24">
        <f>IF(OR($C199="",$X199="Pago",$X199="Recebido",$X199="Cancelado"),0,MAX(0,TODAY()-$C199))</f>
        <v/>
      </c>
      <c r="AK199" s="24">
        <f>IF($D199="","",$D199-$B199)</f>
        <v/>
      </c>
      <c r="AL199" s="18">
        <f>IF(OR($D199="",$B199=""),"",ROUND(N($R199)*($D199-$B199),2))</f>
        <v/>
      </c>
      <c r="AM199" s="17">
        <f>IF(AND($E199="Saída",$W199&gt;0,$C199&lt;&gt;""),$C199+ROW()/1000000,"")</f>
        <v/>
      </c>
      <c r="AN199" s="17">
        <f>IF(AND($E199="Entrada",$W199&gt;0,$C199&lt;&gt;""),$C199+ROW()/1000000,"")</f>
        <v/>
      </c>
      <c r="AO199" s="9">
        <f>IF(COUNTA($B199:$R199)=0,"",IF(AND($I199&lt;&gt;"",COUNTIF(CLIENTES_NOMES,$I199)+COUNTIF(CLIENTES_FANTASIA,$I199)+COUNTIF(FORNECEDORES_NOMES,$I199)+COUNTIF(FORNECEDORES_FANTASIA,$I199)=0),"⚠ Cliente/Fornecedor não cadastrado",IF(AND($G199&lt;&gt;"",COUNTIF(SUBCATEGORIAS_PLANO,$G199)=0),"⚠ Subcategoria fora do plano de contas",IF(OR($Q199="",N($Q199)=0),"⚠ Valor previsto não informado",IF(AND(OR($X199="Pago",$X199="Recebido"),$D199=""),"⚠ Status pago/recebido sem data",IF(AND($D199&lt;&gt;"",N($R199)=0),"⚠ Data de pagamento sem valor realizado",IF(AND(N($P199)&gt;1,N($O199)&gt;N($P199)),"⚠ Nº da parcela maior que o total",IF(AND($C199&lt;&gt;"",$B199&lt;&gt;"",$C199&lt;$B199),"⚠ Vencimento anterior à competência","OK"))))))))</f>
        <v/>
      </c>
    </row>
    <row r="200">
      <c r="A200" s="14" t="inlineStr">
        <is>
          <t>L0195</t>
        </is>
      </c>
      <c r="B200" s="36" t="n">
        <v>46152</v>
      </c>
      <c r="C200" s="36" t="n">
        <v>46170</v>
      </c>
      <c r="D200" s="36" t="n">
        <v>46170</v>
      </c>
      <c r="E200" s="14" t="inlineStr">
        <is>
          <t>Saída</t>
        </is>
      </c>
      <c r="F200" s="29" t="inlineStr">
        <is>
          <t>Despesas Comerciais</t>
        </is>
      </c>
      <c r="G200" s="29" t="inlineStr">
        <is>
          <t>Marketing Digital</t>
        </is>
      </c>
      <c r="H200" s="29" t="inlineStr">
        <is>
          <t>Marketing</t>
        </is>
      </c>
      <c r="I200" s="29" t="inlineStr">
        <is>
          <t>AGÊNCIA PULSO DIGITAL LTDA</t>
        </is>
      </c>
      <c r="J200" s="29" t="inlineStr">
        <is>
          <t>Gestão de tráfego pago e produção de conteúdo</t>
        </is>
      </c>
      <c r="K200" s="14" t="inlineStr">
        <is>
          <t>DOC 8340</t>
        </is>
      </c>
      <c r="L200" s="29" t="inlineStr">
        <is>
          <t>Nubank PJ — C/C 9876543-2</t>
        </is>
      </c>
      <c r="M200" s="14" t="inlineStr">
        <is>
          <t>Cartão de crédito</t>
        </is>
      </c>
      <c r="N200" s="29" t="inlineStr">
        <is>
          <t>Cartão Mastercard Nubank PJ</t>
        </is>
      </c>
      <c r="O200" s="13" t="n">
        <v>1</v>
      </c>
      <c r="P200" s="13" t="n">
        <v>1</v>
      </c>
      <c r="Q200" s="35" t="n">
        <v>3967.29</v>
      </c>
      <c r="R200" s="35" t="n">
        <v>3967.29</v>
      </c>
      <c r="S200" s="35" t="n"/>
      <c r="T200" s="35" t="n"/>
      <c r="U200" s="35" t="n"/>
      <c r="V200" s="18">
        <f>IF(COUNTA($B200:$R200)=0,"",ROUND(N($R200)+N($S200)+N($T200)-N($U200),2))</f>
        <v/>
      </c>
      <c r="W200" s="18">
        <f>IF(COUNTA($B200:$R200)=0,"",IF(OR($X200="Pago",$X200="Recebido",$X200="Cancelado"),0,ROUND(N($Q200)+N($S200)+N($T200)-N($U200)-N($R200),2)))</f>
        <v/>
      </c>
      <c r="X200" s="14" t="inlineStr">
        <is>
          <t>Pago</t>
        </is>
      </c>
      <c r="Y200" s="17">
        <f>IF(COUNTA($B200:$R200)=0,"",IF($X200="Cancelado","Cancelado",IF(OR($X200="Pago",$X200="Recebido"),$X200,IF(OR($X200="Parcial",N($R200)&gt;0),"Parcial",IF($C200="","Sem vencimento",IF($C200&lt;TODAY(),"Vencido",IF($C200=TODAY(),"Vence hoje",IF($C200&lt;=TODAY()+7,"Vence em 7 dias",IF($C200&lt;=TODAY()+30,"Vence em 30 dias","Futuro")))))))))</f>
        <v/>
      </c>
      <c r="Z200" s="24">
        <f>IF($B200="","",MONTH($B200))</f>
        <v/>
      </c>
      <c r="AA200" s="24">
        <f>IF($B200="","",YEAR($B200))</f>
        <v/>
      </c>
      <c r="AB200" s="24">
        <f>IF($B200="","",ISOWEEKNUM($B200))</f>
        <v/>
      </c>
      <c r="AC200" s="17">
        <f>IF($B200="","",CHOOSE(WEEKDAY($B200,2),"Segunda","Terça","Quarta","Quinta","Sexta","Sábado","Domingo"))</f>
        <v/>
      </c>
      <c r="AD200" s="17">
        <f>IF($B200="","",TEXT($B200,"MM/AAAA"))</f>
        <v/>
      </c>
      <c r="AE200" s="18">
        <f>IF(COUNTA($B200:$R200)=0,"",IF($X200="Cancelado",0,ROUND(N($Q200)+N($S200)+N($T200)-N($U200),2)))</f>
        <v/>
      </c>
      <c r="AF200" s="9">
        <f>IF($G200="","",IFERROR(INDEX(LINHAS_DRE_PLANO,MATCH($G200,SUBCATEGORIAS_PLANO,0)),"Não classificado"))</f>
        <v/>
      </c>
      <c r="AG200" s="17">
        <f>IF($G200="","",IFERROR(INDEX(TIPOS_FLUXO_PLANO,MATCH($G200,SUBCATEGORIAS_PLANO,0)),"Não classificado"))</f>
        <v/>
      </c>
      <c r="AH200" s="9">
        <f>IF($G200="","",IFERROR(INDEX(GRUPOS_PLANO,MATCH($G200,SUBCATEGORIAS_PLANO,0)),"Não classificado"))</f>
        <v/>
      </c>
      <c r="AI200" s="24">
        <f>IF(OR($C200="",$X200="Pago",$X200="Recebido",$X200="Cancelado"),"",$C200-TODAY())</f>
        <v/>
      </c>
      <c r="AJ200" s="24">
        <f>IF(OR($C200="",$X200="Pago",$X200="Recebido",$X200="Cancelado"),0,MAX(0,TODAY()-$C200))</f>
        <v/>
      </c>
      <c r="AK200" s="24">
        <f>IF($D200="","",$D200-$B200)</f>
        <v/>
      </c>
      <c r="AL200" s="18">
        <f>IF(OR($D200="",$B200=""),"",ROUND(N($R200)*($D200-$B200),2))</f>
        <v/>
      </c>
      <c r="AM200" s="17">
        <f>IF(AND($E200="Saída",$W200&gt;0,$C200&lt;&gt;""),$C200+ROW()/1000000,"")</f>
        <v/>
      </c>
      <c r="AN200" s="17">
        <f>IF(AND($E200="Entrada",$W200&gt;0,$C200&lt;&gt;""),$C200+ROW()/1000000,"")</f>
        <v/>
      </c>
      <c r="AO200" s="9">
        <f>IF(COUNTA($B200:$R200)=0,"",IF(AND($I200&lt;&gt;"",COUNTIF(CLIENTES_NOMES,$I200)+COUNTIF(CLIENTES_FANTASIA,$I200)+COUNTIF(FORNECEDORES_NOMES,$I200)+COUNTIF(FORNECEDORES_FANTASIA,$I200)=0),"⚠ Cliente/Fornecedor não cadastrado",IF(AND($G200&lt;&gt;"",COUNTIF(SUBCATEGORIAS_PLANO,$G200)=0),"⚠ Subcategoria fora do plano de contas",IF(OR($Q200="",N($Q200)=0),"⚠ Valor previsto não informado",IF(AND(OR($X200="Pago",$X200="Recebido"),$D200=""),"⚠ Status pago/recebido sem data",IF(AND($D200&lt;&gt;"",N($R200)=0),"⚠ Data de pagamento sem valor realizado",IF(AND(N($P200)&gt;1,N($O200)&gt;N($P200)),"⚠ Nº da parcela maior que o total",IF(AND($C200&lt;&gt;"",$B200&lt;&gt;"",$C200&lt;$B200),"⚠ Vencimento anterior à competência","OK"))))))))</f>
        <v/>
      </c>
    </row>
    <row r="201">
      <c r="A201" s="14" t="inlineStr">
        <is>
          <t>L0196</t>
        </is>
      </c>
      <c r="B201" s="36" t="n">
        <v>46152</v>
      </c>
      <c r="C201" s="36" t="n">
        <v>46152</v>
      </c>
      <c r="D201" s="36" t="n">
        <v>46152</v>
      </c>
      <c r="E201" s="14" t="inlineStr">
        <is>
          <t>Saída</t>
        </is>
      </c>
      <c r="F201" s="29" t="inlineStr">
        <is>
          <t>Empréstimos e Financiamentos</t>
        </is>
      </c>
      <c r="G201" s="29" t="inlineStr">
        <is>
          <t>Pagamento de Principal de Empréstimos</t>
        </is>
      </c>
      <c r="H201" s="29" t="inlineStr">
        <is>
          <t>Financeiro</t>
        </is>
      </c>
      <c r="I201" s="29" t="inlineStr">
        <is>
          <t>Banco do Brasil</t>
        </is>
      </c>
      <c r="J201" s="29" t="inlineStr">
        <is>
          <t>Capital de Giro — parcela 4/24 (principal)</t>
        </is>
      </c>
      <c r="K201" s="14" t="inlineStr">
        <is>
          <t>CG-2026-0417-P04</t>
        </is>
      </c>
      <c r="L201" s="29" t="inlineStr">
        <is>
          <t>Banco do Brasil — C/C 12345-6</t>
        </is>
      </c>
      <c r="M201" s="14" t="inlineStr">
        <is>
          <t>Débito automático</t>
        </is>
      </c>
      <c r="N201" s="29" t="n"/>
      <c r="O201" s="13" t="n">
        <v>4</v>
      </c>
      <c r="P201" s="13" t="n">
        <v>24</v>
      </c>
      <c r="Q201" s="35" t="n">
        <v>2191.17</v>
      </c>
      <c r="R201" s="35" t="n">
        <v>2191.17</v>
      </c>
      <c r="S201" s="35" t="n"/>
      <c r="T201" s="35" t="n"/>
      <c r="U201" s="35" t="n"/>
      <c r="V201" s="18">
        <f>IF(COUNTA($B201:$R201)=0,"",ROUND(N($R201)+N($S201)+N($T201)-N($U201),2))</f>
        <v/>
      </c>
      <c r="W201" s="18">
        <f>IF(COUNTA($B201:$R201)=0,"",IF(OR($X201="Pago",$X201="Recebido",$X201="Cancelado"),0,ROUND(N($Q201)+N($S201)+N($T201)-N($U201)-N($R201),2)))</f>
        <v/>
      </c>
      <c r="X201" s="14" t="inlineStr">
        <is>
          <t>Pago</t>
        </is>
      </c>
      <c r="Y201" s="17">
        <f>IF(COUNTA($B201:$R201)=0,"",IF($X201="Cancelado","Cancelado",IF(OR($X201="Pago",$X201="Recebido"),$X201,IF(OR($X201="Parcial",N($R201)&gt;0),"Parcial",IF($C201="","Sem vencimento",IF($C201&lt;TODAY(),"Vencido",IF($C201=TODAY(),"Vence hoje",IF($C201&lt;=TODAY()+7,"Vence em 7 dias",IF($C201&lt;=TODAY()+30,"Vence em 30 dias","Futuro")))))))))</f>
        <v/>
      </c>
      <c r="Z201" s="24">
        <f>IF($B201="","",MONTH($B201))</f>
        <v/>
      </c>
      <c r="AA201" s="24">
        <f>IF($B201="","",YEAR($B201))</f>
        <v/>
      </c>
      <c r="AB201" s="24">
        <f>IF($B201="","",ISOWEEKNUM($B201))</f>
        <v/>
      </c>
      <c r="AC201" s="17">
        <f>IF($B201="","",CHOOSE(WEEKDAY($B201,2),"Segunda","Terça","Quarta","Quinta","Sexta","Sábado","Domingo"))</f>
        <v/>
      </c>
      <c r="AD201" s="17">
        <f>IF($B201="","",TEXT($B201,"MM/AAAA"))</f>
        <v/>
      </c>
      <c r="AE201" s="18">
        <f>IF(COUNTA($B201:$R201)=0,"",IF($X201="Cancelado",0,ROUND(N($Q201)+N($S201)+N($T201)-N($U201),2)))</f>
        <v/>
      </c>
      <c r="AF201" s="9">
        <f>IF($G201="","",IFERROR(INDEX(LINHAS_DRE_PLANO,MATCH($G201,SUBCATEGORIAS_PLANO,0)),"Não classificado"))</f>
        <v/>
      </c>
      <c r="AG201" s="17">
        <f>IF($G201="","",IFERROR(INDEX(TIPOS_FLUXO_PLANO,MATCH($G201,SUBCATEGORIAS_PLANO,0)),"Não classificado"))</f>
        <v/>
      </c>
      <c r="AH201" s="9">
        <f>IF($G201="","",IFERROR(INDEX(GRUPOS_PLANO,MATCH($G201,SUBCATEGORIAS_PLANO,0)),"Não classificado"))</f>
        <v/>
      </c>
      <c r="AI201" s="24">
        <f>IF(OR($C201="",$X201="Pago",$X201="Recebido",$X201="Cancelado"),"",$C201-TODAY())</f>
        <v/>
      </c>
      <c r="AJ201" s="24">
        <f>IF(OR($C201="",$X201="Pago",$X201="Recebido",$X201="Cancelado"),0,MAX(0,TODAY()-$C201))</f>
        <v/>
      </c>
      <c r="AK201" s="24">
        <f>IF($D201="","",$D201-$B201)</f>
        <v/>
      </c>
      <c r="AL201" s="18">
        <f>IF(OR($D201="",$B201=""),"",ROUND(N($R201)*($D201-$B201),2))</f>
        <v/>
      </c>
      <c r="AM201" s="17">
        <f>IF(AND($E201="Saída",$W201&gt;0,$C201&lt;&gt;""),$C201+ROW()/1000000,"")</f>
        <v/>
      </c>
      <c r="AN201" s="17">
        <f>IF(AND($E201="Entrada",$W201&gt;0,$C201&lt;&gt;""),$C201+ROW()/1000000,"")</f>
        <v/>
      </c>
      <c r="AO201" s="9">
        <f>IF(COUNTA($B201:$R201)=0,"",IF(AND($I201&lt;&gt;"",COUNTIF(CLIENTES_NOMES,$I201)+COUNTIF(CLIENTES_FANTASIA,$I201)+COUNTIF(FORNECEDORES_NOMES,$I201)+COUNTIF(FORNECEDORES_FANTASIA,$I201)=0),"⚠ Cliente/Fornecedor não cadastrado",IF(AND($G201&lt;&gt;"",COUNTIF(SUBCATEGORIAS_PLANO,$G201)=0),"⚠ Subcategoria fora do plano de contas",IF(OR($Q201="",N($Q201)=0),"⚠ Valor previsto não informado",IF(AND(OR($X201="Pago",$X201="Recebido"),$D201=""),"⚠ Status pago/recebido sem data",IF(AND($D201&lt;&gt;"",N($R201)=0),"⚠ Data de pagamento sem valor realizado",IF(AND(N($P201)&gt;1,N($O201)&gt;N($P201)),"⚠ Nº da parcela maior que o total",IF(AND($C201&lt;&gt;"",$B201&lt;&gt;"",$C201&lt;$B201),"⚠ Vencimento anterior à competência","OK"))))))))</f>
        <v/>
      </c>
    </row>
    <row r="202">
      <c r="A202" s="14" t="inlineStr">
        <is>
          <t>L0197</t>
        </is>
      </c>
      <c r="B202" s="36" t="n">
        <v>46152</v>
      </c>
      <c r="C202" s="36" t="n">
        <v>46152</v>
      </c>
      <c r="D202" s="36" t="n">
        <v>46152</v>
      </c>
      <c r="E202" s="14" t="inlineStr">
        <is>
          <t>Saída</t>
        </is>
      </c>
      <c r="F202" s="29" t="inlineStr">
        <is>
          <t>Despesas Financeiras</t>
        </is>
      </c>
      <c r="G202" s="29" t="inlineStr">
        <is>
          <t>Juros de Empréstimos e Financiamentos</t>
        </is>
      </c>
      <c r="H202" s="29" t="inlineStr">
        <is>
          <t>Financeiro</t>
        </is>
      </c>
      <c r="I202" s="29" t="inlineStr">
        <is>
          <t>Banco do Brasil</t>
        </is>
      </c>
      <c r="J202" s="29" t="inlineStr">
        <is>
          <t>Capital de Giro — parcela 4/24 (juros)</t>
        </is>
      </c>
      <c r="K202" s="14" t="inlineStr">
        <is>
          <t>CG-2026-0417-P04</t>
        </is>
      </c>
      <c r="L202" s="29" t="inlineStr">
        <is>
          <t>Banco do Brasil — C/C 12345-6</t>
        </is>
      </c>
      <c r="M202" s="14" t="inlineStr">
        <is>
          <t>Débito automático</t>
        </is>
      </c>
      <c r="N202" s="29" t="n"/>
      <c r="O202" s="13" t="n">
        <v>4</v>
      </c>
      <c r="P202" s="13" t="n">
        <v>24</v>
      </c>
      <c r="Q202" s="35" t="n">
        <v>804.28</v>
      </c>
      <c r="R202" s="35" t="n">
        <v>804.28</v>
      </c>
      <c r="S202" s="35" t="n"/>
      <c r="T202" s="35" t="n"/>
      <c r="U202" s="35" t="n"/>
      <c r="V202" s="18">
        <f>IF(COUNTA($B202:$R202)=0,"",ROUND(N($R202)+N($S202)+N($T202)-N($U202),2))</f>
        <v/>
      </c>
      <c r="W202" s="18">
        <f>IF(COUNTA($B202:$R202)=0,"",IF(OR($X202="Pago",$X202="Recebido",$X202="Cancelado"),0,ROUND(N($Q202)+N($S202)+N($T202)-N($U202)-N($R202),2)))</f>
        <v/>
      </c>
      <c r="X202" s="14" t="inlineStr">
        <is>
          <t>Pago</t>
        </is>
      </c>
      <c r="Y202" s="17">
        <f>IF(COUNTA($B202:$R202)=0,"",IF($X202="Cancelado","Cancelado",IF(OR($X202="Pago",$X202="Recebido"),$X202,IF(OR($X202="Parcial",N($R202)&gt;0),"Parcial",IF($C202="","Sem vencimento",IF($C202&lt;TODAY(),"Vencido",IF($C202=TODAY(),"Vence hoje",IF($C202&lt;=TODAY()+7,"Vence em 7 dias",IF($C202&lt;=TODAY()+30,"Vence em 30 dias","Futuro")))))))))</f>
        <v/>
      </c>
      <c r="Z202" s="24">
        <f>IF($B202="","",MONTH($B202))</f>
        <v/>
      </c>
      <c r="AA202" s="24">
        <f>IF($B202="","",YEAR($B202))</f>
        <v/>
      </c>
      <c r="AB202" s="24">
        <f>IF($B202="","",ISOWEEKNUM($B202))</f>
        <v/>
      </c>
      <c r="AC202" s="17">
        <f>IF($B202="","",CHOOSE(WEEKDAY($B202,2),"Segunda","Terça","Quarta","Quinta","Sexta","Sábado","Domingo"))</f>
        <v/>
      </c>
      <c r="AD202" s="17">
        <f>IF($B202="","",TEXT($B202,"MM/AAAA"))</f>
        <v/>
      </c>
      <c r="AE202" s="18">
        <f>IF(COUNTA($B202:$R202)=0,"",IF($X202="Cancelado",0,ROUND(N($Q202)+N($S202)+N($T202)-N($U202),2)))</f>
        <v/>
      </c>
      <c r="AF202" s="9">
        <f>IF($G202="","",IFERROR(INDEX(LINHAS_DRE_PLANO,MATCH($G202,SUBCATEGORIAS_PLANO,0)),"Não classificado"))</f>
        <v/>
      </c>
      <c r="AG202" s="17">
        <f>IF($G202="","",IFERROR(INDEX(TIPOS_FLUXO_PLANO,MATCH($G202,SUBCATEGORIAS_PLANO,0)),"Não classificado"))</f>
        <v/>
      </c>
      <c r="AH202" s="9">
        <f>IF($G202="","",IFERROR(INDEX(GRUPOS_PLANO,MATCH($G202,SUBCATEGORIAS_PLANO,0)),"Não classificado"))</f>
        <v/>
      </c>
      <c r="AI202" s="24">
        <f>IF(OR($C202="",$X202="Pago",$X202="Recebido",$X202="Cancelado"),"",$C202-TODAY())</f>
        <v/>
      </c>
      <c r="AJ202" s="24">
        <f>IF(OR($C202="",$X202="Pago",$X202="Recebido",$X202="Cancelado"),0,MAX(0,TODAY()-$C202))</f>
        <v/>
      </c>
      <c r="AK202" s="24">
        <f>IF($D202="","",$D202-$B202)</f>
        <v/>
      </c>
      <c r="AL202" s="18">
        <f>IF(OR($D202="",$B202=""),"",ROUND(N($R202)*($D202-$B202),2))</f>
        <v/>
      </c>
      <c r="AM202" s="17">
        <f>IF(AND($E202="Saída",$W202&gt;0,$C202&lt;&gt;""),$C202+ROW()/1000000,"")</f>
        <v/>
      </c>
      <c r="AN202" s="17">
        <f>IF(AND($E202="Entrada",$W202&gt;0,$C202&lt;&gt;""),$C202+ROW()/1000000,"")</f>
        <v/>
      </c>
      <c r="AO202" s="9">
        <f>IF(COUNTA($B202:$R202)=0,"",IF(AND($I202&lt;&gt;"",COUNTIF(CLIENTES_NOMES,$I202)+COUNTIF(CLIENTES_FANTASIA,$I202)+COUNTIF(FORNECEDORES_NOMES,$I202)+COUNTIF(FORNECEDORES_FANTASIA,$I202)=0),"⚠ Cliente/Fornecedor não cadastrado",IF(AND($G202&lt;&gt;"",COUNTIF(SUBCATEGORIAS_PLANO,$G202)=0),"⚠ Subcategoria fora do plano de contas",IF(OR($Q202="",N($Q202)=0),"⚠ Valor previsto não informado",IF(AND(OR($X202="Pago",$X202="Recebido"),$D202=""),"⚠ Status pago/recebido sem data",IF(AND($D202&lt;&gt;"",N($R202)=0),"⚠ Data de pagamento sem valor realizado",IF(AND(N($P202)&gt;1,N($O202)&gt;N($P202)),"⚠ Nº da parcela maior que o total",IF(AND($C202&lt;&gt;"",$B202&lt;&gt;"",$C202&lt;$B202),"⚠ Vencimento anterior à competência","OK"))))))))</f>
        <v/>
      </c>
    </row>
    <row r="203">
      <c r="A203" s="14" t="inlineStr">
        <is>
          <t>L0198</t>
        </is>
      </c>
      <c r="B203" s="36" t="n">
        <v>46153</v>
      </c>
      <c r="C203" s="36" t="n">
        <v>46183</v>
      </c>
      <c r="D203" s="36" t="n">
        <v>46185</v>
      </c>
      <c r="E203" s="14" t="inlineStr">
        <is>
          <t>Entrada</t>
        </is>
      </c>
      <c r="F203" s="29" t="inlineStr">
        <is>
          <t>Vendas</t>
        </is>
      </c>
      <c r="G203" s="29" t="inlineStr">
        <is>
          <t>Vendas de Produtos</t>
        </is>
      </c>
      <c r="H203" s="29" t="inlineStr">
        <is>
          <t>Comercial</t>
        </is>
      </c>
      <c r="I203" s="29" t="inlineStr">
        <is>
          <t>MERCADO BOA COMPRA LTDA</t>
        </is>
      </c>
      <c r="J203" s="29" t="inlineStr">
        <is>
          <t>Venda de mercadorias para revenda</t>
        </is>
      </c>
      <c r="K203" s="14" t="inlineStr">
        <is>
          <t>NF-e 2047</t>
        </is>
      </c>
      <c r="L203" s="29" t="inlineStr">
        <is>
          <t>Banco do Brasil — C/C 12345-6</t>
        </is>
      </c>
      <c r="M203" s="14" t="inlineStr">
        <is>
          <t>Boleto</t>
        </is>
      </c>
      <c r="N203" s="29" t="n"/>
      <c r="O203" s="13" t="n">
        <v>1</v>
      </c>
      <c r="P203" s="13" t="n">
        <v>1</v>
      </c>
      <c r="Q203" s="35" t="n">
        <v>39875.04</v>
      </c>
      <c r="R203" s="35" t="n">
        <v>39875.04</v>
      </c>
      <c r="S203" s="35" t="n"/>
      <c r="T203" s="35" t="n"/>
      <c r="U203" s="35" t="n"/>
      <c r="V203" s="18">
        <f>IF(COUNTA($B203:$R203)=0,"",ROUND(N($R203)+N($S203)+N($T203)-N($U203),2))</f>
        <v/>
      </c>
      <c r="W203" s="18">
        <f>IF(COUNTA($B203:$R203)=0,"",IF(OR($X203="Pago",$X203="Recebido",$X203="Cancelado"),0,ROUND(N($Q203)+N($S203)+N($T203)-N($U203)-N($R203),2)))</f>
        <v/>
      </c>
      <c r="X203" s="14" t="inlineStr">
        <is>
          <t>Pago</t>
        </is>
      </c>
      <c r="Y203" s="17">
        <f>IF(COUNTA($B203:$R203)=0,"",IF($X203="Cancelado","Cancelado",IF(OR($X203="Pago",$X203="Recebido"),$X203,IF(OR($X203="Parcial",N($R203)&gt;0),"Parcial",IF($C203="","Sem vencimento",IF($C203&lt;TODAY(),"Vencido",IF($C203=TODAY(),"Vence hoje",IF($C203&lt;=TODAY()+7,"Vence em 7 dias",IF($C203&lt;=TODAY()+30,"Vence em 30 dias","Futuro")))))))))</f>
        <v/>
      </c>
      <c r="Z203" s="24">
        <f>IF($B203="","",MONTH($B203))</f>
        <v/>
      </c>
      <c r="AA203" s="24">
        <f>IF($B203="","",YEAR($B203))</f>
        <v/>
      </c>
      <c r="AB203" s="24">
        <f>IF($B203="","",ISOWEEKNUM($B203))</f>
        <v/>
      </c>
      <c r="AC203" s="17">
        <f>IF($B203="","",CHOOSE(WEEKDAY($B203,2),"Segunda","Terça","Quarta","Quinta","Sexta","Sábado","Domingo"))</f>
        <v/>
      </c>
      <c r="AD203" s="17">
        <f>IF($B203="","",TEXT($B203,"MM/AAAA"))</f>
        <v/>
      </c>
      <c r="AE203" s="18">
        <f>IF(COUNTA($B203:$R203)=0,"",IF($X203="Cancelado",0,ROUND(N($Q203)+N($S203)+N($T203)-N($U203),2)))</f>
        <v/>
      </c>
      <c r="AF203" s="9">
        <f>IF($G203="","",IFERROR(INDEX(LINHAS_DRE_PLANO,MATCH($G203,SUBCATEGORIAS_PLANO,0)),"Não classificado"))</f>
        <v/>
      </c>
      <c r="AG203" s="17">
        <f>IF($G203="","",IFERROR(INDEX(TIPOS_FLUXO_PLANO,MATCH($G203,SUBCATEGORIAS_PLANO,0)),"Não classificado"))</f>
        <v/>
      </c>
      <c r="AH203" s="9">
        <f>IF($G203="","",IFERROR(INDEX(GRUPOS_PLANO,MATCH($G203,SUBCATEGORIAS_PLANO,0)),"Não classificado"))</f>
        <v/>
      </c>
      <c r="AI203" s="24">
        <f>IF(OR($C203="",$X203="Pago",$X203="Recebido",$X203="Cancelado"),"",$C203-TODAY())</f>
        <v/>
      </c>
      <c r="AJ203" s="24">
        <f>IF(OR($C203="",$X203="Pago",$X203="Recebido",$X203="Cancelado"),0,MAX(0,TODAY()-$C203))</f>
        <v/>
      </c>
      <c r="AK203" s="24">
        <f>IF($D203="","",$D203-$B203)</f>
        <v/>
      </c>
      <c r="AL203" s="18">
        <f>IF(OR($D203="",$B203=""),"",ROUND(N($R203)*($D203-$B203),2))</f>
        <v/>
      </c>
      <c r="AM203" s="17">
        <f>IF(AND($E203="Saída",$W203&gt;0,$C203&lt;&gt;""),$C203+ROW()/1000000,"")</f>
        <v/>
      </c>
      <c r="AN203" s="17">
        <f>IF(AND($E203="Entrada",$W203&gt;0,$C203&lt;&gt;""),$C203+ROW()/1000000,"")</f>
        <v/>
      </c>
      <c r="AO203" s="9">
        <f>IF(COUNTA($B203:$R203)=0,"",IF(AND($I203&lt;&gt;"",COUNTIF(CLIENTES_NOMES,$I203)+COUNTIF(CLIENTES_FANTASIA,$I203)+COUNTIF(FORNECEDORES_NOMES,$I203)+COUNTIF(FORNECEDORES_FANTASIA,$I203)=0),"⚠ Cliente/Fornecedor não cadastrado",IF(AND($G203&lt;&gt;"",COUNTIF(SUBCATEGORIAS_PLANO,$G203)=0),"⚠ Subcategoria fora do plano de contas",IF(OR($Q203="",N($Q203)=0),"⚠ Valor previsto não informado",IF(AND(OR($X203="Pago",$X203="Recebido"),$D203=""),"⚠ Status pago/recebido sem data",IF(AND($D203&lt;&gt;"",N($R203)=0),"⚠ Data de pagamento sem valor realizado",IF(AND(N($P203)&gt;1,N($O203)&gt;N($P203)),"⚠ Nº da parcela maior que o total",IF(AND($C203&lt;&gt;"",$B203&lt;&gt;"",$C203&lt;$B203),"⚠ Vencimento anterior à competência","OK"))))))))</f>
        <v/>
      </c>
    </row>
    <row r="204">
      <c r="A204" s="14" t="inlineStr">
        <is>
          <t>L0199</t>
        </is>
      </c>
      <c r="B204" s="36" t="n">
        <v>46153</v>
      </c>
      <c r="C204" s="36" t="n">
        <v>46153</v>
      </c>
      <c r="D204" s="36" t="n">
        <v>46156</v>
      </c>
      <c r="E204" s="14" t="inlineStr">
        <is>
          <t>Entrada</t>
        </is>
      </c>
      <c r="F204" s="29" t="inlineStr">
        <is>
          <t>Vendas</t>
        </is>
      </c>
      <c r="G204" s="29" t="inlineStr">
        <is>
          <t>Vendas de Produtos</t>
        </is>
      </c>
      <c r="H204" s="29" t="inlineStr">
        <is>
          <t>Comercial</t>
        </is>
      </c>
      <c r="I204" s="29" t="inlineStr">
        <is>
          <t>PADARIA PÃO DOURADO ME</t>
        </is>
      </c>
      <c r="J204" s="29" t="inlineStr">
        <is>
          <t>Venda de mercadorias para revenda</t>
        </is>
      </c>
      <c r="K204" s="14" t="inlineStr">
        <is>
          <t>NF-e 2050</t>
        </is>
      </c>
      <c r="L204" s="29" t="inlineStr">
        <is>
          <t>Nubank PJ — C/C 9876543-2</t>
        </is>
      </c>
      <c r="M204" s="14" t="inlineStr">
        <is>
          <t>PIX</t>
        </is>
      </c>
      <c r="N204" s="29" t="n"/>
      <c r="O204" s="13" t="n">
        <v>1</v>
      </c>
      <c r="P204" s="13" t="n">
        <v>1</v>
      </c>
      <c r="Q204" s="35" t="n">
        <v>26020.16</v>
      </c>
      <c r="R204" s="35" t="n">
        <v>26020.16</v>
      </c>
      <c r="S204" s="35" t="n"/>
      <c r="T204" s="35" t="n"/>
      <c r="U204" s="35" t="n"/>
      <c r="V204" s="18">
        <f>IF(COUNTA($B204:$R204)=0,"",ROUND(N($R204)+N($S204)+N($T204)-N($U204),2))</f>
        <v/>
      </c>
      <c r="W204" s="18">
        <f>IF(COUNTA($B204:$R204)=0,"",IF(OR($X204="Pago",$X204="Recebido",$X204="Cancelado"),0,ROUND(N($Q204)+N($S204)+N($T204)-N($U204)-N($R204),2)))</f>
        <v/>
      </c>
      <c r="X204" s="14" t="inlineStr">
        <is>
          <t>Pago</t>
        </is>
      </c>
      <c r="Y204" s="17">
        <f>IF(COUNTA($B204:$R204)=0,"",IF($X204="Cancelado","Cancelado",IF(OR($X204="Pago",$X204="Recebido"),$X204,IF(OR($X204="Parcial",N($R204)&gt;0),"Parcial",IF($C204="","Sem vencimento",IF($C204&lt;TODAY(),"Vencido",IF($C204=TODAY(),"Vence hoje",IF($C204&lt;=TODAY()+7,"Vence em 7 dias",IF($C204&lt;=TODAY()+30,"Vence em 30 dias","Futuro")))))))))</f>
        <v/>
      </c>
      <c r="Z204" s="24">
        <f>IF($B204="","",MONTH($B204))</f>
        <v/>
      </c>
      <c r="AA204" s="24">
        <f>IF($B204="","",YEAR($B204))</f>
        <v/>
      </c>
      <c r="AB204" s="24">
        <f>IF($B204="","",ISOWEEKNUM($B204))</f>
        <v/>
      </c>
      <c r="AC204" s="17">
        <f>IF($B204="","",CHOOSE(WEEKDAY($B204,2),"Segunda","Terça","Quarta","Quinta","Sexta","Sábado","Domingo"))</f>
        <v/>
      </c>
      <c r="AD204" s="17">
        <f>IF($B204="","",TEXT($B204,"MM/AAAA"))</f>
        <v/>
      </c>
      <c r="AE204" s="18">
        <f>IF(COUNTA($B204:$R204)=0,"",IF($X204="Cancelado",0,ROUND(N($Q204)+N($S204)+N($T204)-N($U204),2)))</f>
        <v/>
      </c>
      <c r="AF204" s="9">
        <f>IF($G204="","",IFERROR(INDEX(LINHAS_DRE_PLANO,MATCH($G204,SUBCATEGORIAS_PLANO,0)),"Não classificado"))</f>
        <v/>
      </c>
      <c r="AG204" s="17">
        <f>IF($G204="","",IFERROR(INDEX(TIPOS_FLUXO_PLANO,MATCH($G204,SUBCATEGORIAS_PLANO,0)),"Não classificado"))</f>
        <v/>
      </c>
      <c r="AH204" s="9">
        <f>IF($G204="","",IFERROR(INDEX(GRUPOS_PLANO,MATCH($G204,SUBCATEGORIAS_PLANO,0)),"Não classificado"))</f>
        <v/>
      </c>
      <c r="AI204" s="24">
        <f>IF(OR($C204="",$X204="Pago",$X204="Recebido",$X204="Cancelado"),"",$C204-TODAY())</f>
        <v/>
      </c>
      <c r="AJ204" s="24">
        <f>IF(OR($C204="",$X204="Pago",$X204="Recebido",$X204="Cancelado"),0,MAX(0,TODAY()-$C204))</f>
        <v/>
      </c>
      <c r="AK204" s="24">
        <f>IF($D204="","",$D204-$B204)</f>
        <v/>
      </c>
      <c r="AL204" s="18">
        <f>IF(OR($D204="",$B204=""),"",ROUND(N($R204)*($D204-$B204),2))</f>
        <v/>
      </c>
      <c r="AM204" s="17">
        <f>IF(AND($E204="Saída",$W204&gt;0,$C204&lt;&gt;""),$C204+ROW()/1000000,"")</f>
        <v/>
      </c>
      <c r="AN204" s="17">
        <f>IF(AND($E204="Entrada",$W204&gt;0,$C204&lt;&gt;""),$C204+ROW()/1000000,"")</f>
        <v/>
      </c>
      <c r="AO204" s="9">
        <f>IF(COUNTA($B204:$R204)=0,"",IF(AND($I204&lt;&gt;"",COUNTIF(CLIENTES_NOMES,$I204)+COUNTIF(CLIENTES_FANTASIA,$I204)+COUNTIF(FORNECEDORES_NOMES,$I204)+COUNTIF(FORNECEDORES_FANTASIA,$I204)=0),"⚠ Cliente/Fornecedor não cadastrado",IF(AND($G204&lt;&gt;"",COUNTIF(SUBCATEGORIAS_PLANO,$G204)=0),"⚠ Subcategoria fora do plano de contas",IF(OR($Q204="",N($Q204)=0),"⚠ Valor previsto não informado",IF(AND(OR($X204="Pago",$X204="Recebido"),$D204=""),"⚠ Status pago/recebido sem data",IF(AND($D204&lt;&gt;"",N($R204)=0),"⚠ Data de pagamento sem valor realizado",IF(AND(N($P204)&gt;1,N($O204)&gt;N($P204)),"⚠ Nº da parcela maior que o total",IF(AND($C204&lt;&gt;"",$B204&lt;&gt;"",$C204&lt;$B204),"⚠ Vencimento anterior à competência","OK"))))))))</f>
        <v/>
      </c>
    </row>
    <row r="205">
      <c r="A205" s="14" t="inlineStr">
        <is>
          <t>L0200</t>
        </is>
      </c>
      <c r="B205" s="36" t="n">
        <v>46153</v>
      </c>
      <c r="C205" s="36" t="n">
        <v>46168</v>
      </c>
      <c r="D205" s="36" t="n">
        <v>46168</v>
      </c>
      <c r="E205" s="14" t="inlineStr">
        <is>
          <t>Entrada</t>
        </is>
      </c>
      <c r="F205" s="29" t="inlineStr">
        <is>
          <t>Vendas</t>
        </is>
      </c>
      <c r="G205" s="29" t="inlineStr">
        <is>
          <t>Vendas de Produtos</t>
        </is>
      </c>
      <c r="H205" s="29" t="inlineStr">
        <is>
          <t>Comercial</t>
        </is>
      </c>
      <c r="I205" s="29" t="inlineStr">
        <is>
          <t>RESTAURANTE SABOR CASEIRO LTDA</t>
        </is>
      </c>
      <c r="J205" s="29" t="inlineStr">
        <is>
          <t>Venda de mercadorias para revenda</t>
        </is>
      </c>
      <c r="K205" s="14" t="inlineStr">
        <is>
          <t>NF-e 2051</t>
        </is>
      </c>
      <c r="L205" s="29" t="inlineStr">
        <is>
          <t>Itaú Unibanco — C/C 45678-9</t>
        </is>
      </c>
      <c r="M205" s="14" t="inlineStr">
        <is>
          <t>Boleto</t>
        </is>
      </c>
      <c r="N205" s="29" t="n"/>
      <c r="O205" s="13" t="n">
        <v>1</v>
      </c>
      <c r="P205" s="13" t="n">
        <v>1</v>
      </c>
      <c r="Q205" s="35" t="n">
        <v>18822.49</v>
      </c>
      <c r="R205" s="35" t="n">
        <v>18822.49</v>
      </c>
      <c r="S205" s="35" t="n"/>
      <c r="T205" s="35" t="n"/>
      <c r="U205" s="35" t="n"/>
      <c r="V205" s="18">
        <f>IF(COUNTA($B205:$R205)=0,"",ROUND(N($R205)+N($S205)+N($T205)-N($U205),2))</f>
        <v/>
      </c>
      <c r="W205" s="18">
        <f>IF(COUNTA($B205:$R205)=0,"",IF(OR($X205="Pago",$X205="Recebido",$X205="Cancelado"),0,ROUND(N($Q205)+N($S205)+N($T205)-N($U205)-N($R205),2)))</f>
        <v/>
      </c>
      <c r="X205" s="14" t="inlineStr">
        <is>
          <t>Pago</t>
        </is>
      </c>
      <c r="Y205" s="17">
        <f>IF(COUNTA($B205:$R205)=0,"",IF($X205="Cancelado","Cancelado",IF(OR($X205="Pago",$X205="Recebido"),$X205,IF(OR($X205="Parcial",N($R205)&gt;0),"Parcial",IF($C205="","Sem vencimento",IF($C205&lt;TODAY(),"Vencido",IF($C205=TODAY(),"Vence hoje",IF($C205&lt;=TODAY()+7,"Vence em 7 dias",IF($C205&lt;=TODAY()+30,"Vence em 30 dias","Futuro")))))))))</f>
        <v/>
      </c>
      <c r="Z205" s="24">
        <f>IF($B205="","",MONTH($B205))</f>
        <v/>
      </c>
      <c r="AA205" s="24">
        <f>IF($B205="","",YEAR($B205))</f>
        <v/>
      </c>
      <c r="AB205" s="24">
        <f>IF($B205="","",ISOWEEKNUM($B205))</f>
        <v/>
      </c>
      <c r="AC205" s="17">
        <f>IF($B205="","",CHOOSE(WEEKDAY($B205,2),"Segunda","Terça","Quarta","Quinta","Sexta","Sábado","Domingo"))</f>
        <v/>
      </c>
      <c r="AD205" s="17">
        <f>IF($B205="","",TEXT($B205,"MM/AAAA"))</f>
        <v/>
      </c>
      <c r="AE205" s="18">
        <f>IF(COUNTA($B205:$R205)=0,"",IF($X205="Cancelado",0,ROUND(N($Q205)+N($S205)+N($T205)-N($U205),2)))</f>
        <v/>
      </c>
      <c r="AF205" s="9">
        <f>IF($G205="","",IFERROR(INDEX(LINHAS_DRE_PLANO,MATCH($G205,SUBCATEGORIAS_PLANO,0)),"Não classificado"))</f>
        <v/>
      </c>
      <c r="AG205" s="17">
        <f>IF($G205="","",IFERROR(INDEX(TIPOS_FLUXO_PLANO,MATCH($G205,SUBCATEGORIAS_PLANO,0)),"Não classificado"))</f>
        <v/>
      </c>
      <c r="AH205" s="9">
        <f>IF($G205="","",IFERROR(INDEX(GRUPOS_PLANO,MATCH($G205,SUBCATEGORIAS_PLANO,0)),"Não classificado"))</f>
        <v/>
      </c>
      <c r="AI205" s="24">
        <f>IF(OR($C205="",$X205="Pago",$X205="Recebido",$X205="Cancelado"),"",$C205-TODAY())</f>
        <v/>
      </c>
      <c r="AJ205" s="24">
        <f>IF(OR($C205="",$X205="Pago",$X205="Recebido",$X205="Cancelado"),0,MAX(0,TODAY()-$C205))</f>
        <v/>
      </c>
      <c r="AK205" s="24">
        <f>IF($D205="","",$D205-$B205)</f>
        <v/>
      </c>
      <c r="AL205" s="18">
        <f>IF(OR($D205="",$B205=""),"",ROUND(N($R205)*($D205-$B205),2))</f>
        <v/>
      </c>
      <c r="AM205" s="17">
        <f>IF(AND($E205="Saída",$W205&gt;0,$C205&lt;&gt;""),$C205+ROW()/1000000,"")</f>
        <v/>
      </c>
      <c r="AN205" s="17">
        <f>IF(AND($E205="Entrada",$W205&gt;0,$C205&lt;&gt;""),$C205+ROW()/1000000,"")</f>
        <v/>
      </c>
      <c r="AO205" s="9">
        <f>IF(COUNTA($B205:$R205)=0,"",IF(AND($I205&lt;&gt;"",COUNTIF(CLIENTES_NOMES,$I205)+COUNTIF(CLIENTES_FANTASIA,$I205)+COUNTIF(FORNECEDORES_NOMES,$I205)+COUNTIF(FORNECEDORES_FANTASIA,$I205)=0),"⚠ Cliente/Fornecedor não cadastrado",IF(AND($G205&lt;&gt;"",COUNTIF(SUBCATEGORIAS_PLANO,$G205)=0),"⚠ Subcategoria fora do plano de contas",IF(OR($Q205="",N($Q205)=0),"⚠ Valor previsto não informado",IF(AND(OR($X205="Pago",$X205="Recebido"),$D205=""),"⚠ Status pago/recebido sem data",IF(AND($D205&lt;&gt;"",N($R205)=0),"⚠ Data de pagamento sem valor realizado",IF(AND(N($P205)&gt;1,N($O205)&gt;N($P205)),"⚠ Nº da parcela maior que o total",IF(AND($C205&lt;&gt;"",$B205&lt;&gt;"",$C205&lt;$B205),"⚠ Vencimento anterior à competência","OK"))))))))</f>
        <v/>
      </c>
    </row>
    <row r="206">
      <c r="A206" s="14" t="inlineStr">
        <is>
          <t>L0201</t>
        </is>
      </c>
      <c r="B206" s="36" t="n">
        <v>46153</v>
      </c>
      <c r="C206" s="36" t="n">
        <v>46183</v>
      </c>
      <c r="D206" s="36" t="n">
        <v>46184</v>
      </c>
      <c r="E206" s="14" t="inlineStr">
        <is>
          <t>Entrada</t>
        </is>
      </c>
      <c r="F206" s="29" t="inlineStr">
        <is>
          <t>Vendas</t>
        </is>
      </c>
      <c r="G206" s="29" t="inlineStr">
        <is>
          <t>Vendas de Produtos</t>
        </is>
      </c>
      <c r="H206" s="29" t="inlineStr">
        <is>
          <t>Comercial</t>
        </is>
      </c>
      <c r="I206" s="29" t="inlineStr">
        <is>
          <t>HOTEL VISTA ALEGRE LTDA</t>
        </is>
      </c>
      <c r="J206" s="29" t="inlineStr">
        <is>
          <t>Venda de mercadorias para revenda</t>
        </is>
      </c>
      <c r="K206" s="14" t="inlineStr">
        <is>
          <t>NF-e 2054</t>
        </is>
      </c>
      <c r="L206" s="29" t="inlineStr">
        <is>
          <t>Itaú Unibanco — C/C 45678-9</t>
        </is>
      </c>
      <c r="M206" s="14" t="inlineStr">
        <is>
          <t>Boleto</t>
        </is>
      </c>
      <c r="N206" s="29" t="n"/>
      <c r="O206" s="13" t="n">
        <v>1</v>
      </c>
      <c r="P206" s="13" t="n">
        <v>1</v>
      </c>
      <c r="Q206" s="35" t="n">
        <v>35979.9</v>
      </c>
      <c r="R206" s="35" t="n">
        <v>35979.9</v>
      </c>
      <c r="S206" s="35" t="n"/>
      <c r="T206" s="35" t="n"/>
      <c r="U206" s="35" t="n"/>
      <c r="V206" s="18">
        <f>IF(COUNTA($B206:$R206)=0,"",ROUND(N($R206)+N($S206)+N($T206)-N($U206),2))</f>
        <v/>
      </c>
      <c r="W206" s="18">
        <f>IF(COUNTA($B206:$R206)=0,"",IF(OR($X206="Pago",$X206="Recebido",$X206="Cancelado"),0,ROUND(N($Q206)+N($S206)+N($T206)-N($U206)-N($R206),2)))</f>
        <v/>
      </c>
      <c r="X206" s="14" t="inlineStr">
        <is>
          <t>Pago</t>
        </is>
      </c>
      <c r="Y206" s="17">
        <f>IF(COUNTA($B206:$R206)=0,"",IF($X206="Cancelado","Cancelado",IF(OR($X206="Pago",$X206="Recebido"),$X206,IF(OR($X206="Parcial",N($R206)&gt;0),"Parcial",IF($C206="","Sem vencimento",IF($C206&lt;TODAY(),"Vencido",IF($C206=TODAY(),"Vence hoje",IF($C206&lt;=TODAY()+7,"Vence em 7 dias",IF($C206&lt;=TODAY()+30,"Vence em 30 dias","Futuro")))))))))</f>
        <v/>
      </c>
      <c r="Z206" s="24">
        <f>IF($B206="","",MONTH($B206))</f>
        <v/>
      </c>
      <c r="AA206" s="24">
        <f>IF($B206="","",YEAR($B206))</f>
        <v/>
      </c>
      <c r="AB206" s="24">
        <f>IF($B206="","",ISOWEEKNUM($B206))</f>
        <v/>
      </c>
      <c r="AC206" s="17">
        <f>IF($B206="","",CHOOSE(WEEKDAY($B206,2),"Segunda","Terça","Quarta","Quinta","Sexta","Sábado","Domingo"))</f>
        <v/>
      </c>
      <c r="AD206" s="17">
        <f>IF($B206="","",TEXT($B206,"MM/AAAA"))</f>
        <v/>
      </c>
      <c r="AE206" s="18">
        <f>IF(COUNTA($B206:$R206)=0,"",IF($X206="Cancelado",0,ROUND(N($Q206)+N($S206)+N($T206)-N($U206),2)))</f>
        <v/>
      </c>
      <c r="AF206" s="9">
        <f>IF($G206="","",IFERROR(INDEX(LINHAS_DRE_PLANO,MATCH($G206,SUBCATEGORIAS_PLANO,0)),"Não classificado"))</f>
        <v/>
      </c>
      <c r="AG206" s="17">
        <f>IF($G206="","",IFERROR(INDEX(TIPOS_FLUXO_PLANO,MATCH($G206,SUBCATEGORIAS_PLANO,0)),"Não classificado"))</f>
        <v/>
      </c>
      <c r="AH206" s="9">
        <f>IF($G206="","",IFERROR(INDEX(GRUPOS_PLANO,MATCH($G206,SUBCATEGORIAS_PLANO,0)),"Não classificado"))</f>
        <v/>
      </c>
      <c r="AI206" s="24">
        <f>IF(OR($C206="",$X206="Pago",$X206="Recebido",$X206="Cancelado"),"",$C206-TODAY())</f>
        <v/>
      </c>
      <c r="AJ206" s="24">
        <f>IF(OR($C206="",$X206="Pago",$X206="Recebido",$X206="Cancelado"),0,MAX(0,TODAY()-$C206))</f>
        <v/>
      </c>
      <c r="AK206" s="24">
        <f>IF($D206="","",$D206-$B206)</f>
        <v/>
      </c>
      <c r="AL206" s="18">
        <f>IF(OR($D206="",$B206=""),"",ROUND(N($R206)*($D206-$B206),2))</f>
        <v/>
      </c>
      <c r="AM206" s="17">
        <f>IF(AND($E206="Saída",$W206&gt;0,$C206&lt;&gt;""),$C206+ROW()/1000000,"")</f>
        <v/>
      </c>
      <c r="AN206" s="17">
        <f>IF(AND($E206="Entrada",$W206&gt;0,$C206&lt;&gt;""),$C206+ROW()/1000000,"")</f>
        <v/>
      </c>
      <c r="AO206" s="9">
        <f>IF(COUNTA($B206:$R206)=0,"",IF(AND($I206&lt;&gt;"",COUNTIF(CLIENTES_NOMES,$I206)+COUNTIF(CLIENTES_FANTASIA,$I206)+COUNTIF(FORNECEDORES_NOMES,$I206)+COUNTIF(FORNECEDORES_FANTASIA,$I206)=0),"⚠ Cliente/Fornecedor não cadastrado",IF(AND($G206&lt;&gt;"",COUNTIF(SUBCATEGORIAS_PLANO,$G206)=0),"⚠ Subcategoria fora do plano de contas",IF(OR($Q206="",N($Q206)=0),"⚠ Valor previsto não informado",IF(AND(OR($X206="Pago",$X206="Recebido"),$D206=""),"⚠ Status pago/recebido sem data",IF(AND($D206&lt;&gt;"",N($R206)=0),"⚠ Data de pagamento sem valor realizado",IF(AND(N($P206)&gt;1,N($O206)&gt;N($P206)),"⚠ Nº da parcela maior que o total",IF(AND($C206&lt;&gt;"",$B206&lt;&gt;"",$C206&lt;$B206),"⚠ Vencimento anterior à competência","OK"))))))))</f>
        <v/>
      </c>
    </row>
    <row r="207">
      <c r="A207" s="14" t="inlineStr">
        <is>
          <t>L0202</t>
        </is>
      </c>
      <c r="B207" s="36" t="n">
        <v>46153</v>
      </c>
      <c r="C207" s="36" t="n">
        <v>46174</v>
      </c>
      <c r="D207" s="36" t="n">
        <v>46174</v>
      </c>
      <c r="E207" s="14" t="inlineStr">
        <is>
          <t>Entrada</t>
        </is>
      </c>
      <c r="F207" s="29" t="inlineStr">
        <is>
          <t>Vendas</t>
        </is>
      </c>
      <c r="G207" s="29" t="inlineStr">
        <is>
          <t>Vendas de Produtos</t>
        </is>
      </c>
      <c r="H207" s="29" t="inlineStr">
        <is>
          <t>Comercial</t>
        </is>
      </c>
      <c r="I207" s="29" t="inlineStr">
        <is>
          <t>EMPÓRIO NATURAL COMÉRCIO LTDA</t>
        </is>
      </c>
      <c r="J207" s="29" t="inlineStr">
        <is>
          <t>Venda de mercadorias (parcela 1/3)</t>
        </is>
      </c>
      <c r="K207" s="14" t="inlineStr">
        <is>
          <t>NF-e 2055</t>
        </is>
      </c>
      <c r="L207" s="29" t="inlineStr">
        <is>
          <t>Itaú Unibanco — C/C 45678-9</t>
        </is>
      </c>
      <c r="M207" s="14" t="inlineStr">
        <is>
          <t>Crédito parcelado</t>
        </is>
      </c>
      <c r="N207" s="29" t="n"/>
      <c r="O207" s="13" t="n">
        <v>1</v>
      </c>
      <c r="P207" s="13" t="n">
        <v>3</v>
      </c>
      <c r="Q207" s="35" t="n">
        <v>8668.549999999999</v>
      </c>
      <c r="R207" s="35" t="n">
        <v>8668.549999999999</v>
      </c>
      <c r="S207" s="35" t="n"/>
      <c r="T207" s="35" t="n"/>
      <c r="U207" s="35" t="n"/>
      <c r="V207" s="18">
        <f>IF(COUNTA($B207:$R207)=0,"",ROUND(N($R207)+N($S207)+N($T207)-N($U207),2))</f>
        <v/>
      </c>
      <c r="W207" s="18">
        <f>IF(COUNTA($B207:$R207)=0,"",IF(OR($X207="Pago",$X207="Recebido",$X207="Cancelado"),0,ROUND(N($Q207)+N($S207)+N($T207)-N($U207)-N($R207),2)))</f>
        <v/>
      </c>
      <c r="X207" s="14" t="inlineStr">
        <is>
          <t>Pago</t>
        </is>
      </c>
      <c r="Y207" s="17">
        <f>IF(COUNTA($B207:$R207)=0,"",IF($X207="Cancelado","Cancelado",IF(OR($X207="Pago",$X207="Recebido"),$X207,IF(OR($X207="Parcial",N($R207)&gt;0),"Parcial",IF($C207="","Sem vencimento",IF($C207&lt;TODAY(),"Vencido",IF($C207=TODAY(),"Vence hoje",IF($C207&lt;=TODAY()+7,"Vence em 7 dias",IF($C207&lt;=TODAY()+30,"Vence em 30 dias","Futuro")))))))))</f>
        <v/>
      </c>
      <c r="Z207" s="24">
        <f>IF($B207="","",MONTH($B207))</f>
        <v/>
      </c>
      <c r="AA207" s="24">
        <f>IF($B207="","",YEAR($B207))</f>
        <v/>
      </c>
      <c r="AB207" s="24">
        <f>IF($B207="","",ISOWEEKNUM($B207))</f>
        <v/>
      </c>
      <c r="AC207" s="17">
        <f>IF($B207="","",CHOOSE(WEEKDAY($B207,2),"Segunda","Terça","Quarta","Quinta","Sexta","Sábado","Domingo"))</f>
        <v/>
      </c>
      <c r="AD207" s="17">
        <f>IF($B207="","",TEXT($B207,"MM/AAAA"))</f>
        <v/>
      </c>
      <c r="AE207" s="18">
        <f>IF(COUNTA($B207:$R207)=0,"",IF($X207="Cancelado",0,ROUND(N($Q207)+N($S207)+N($T207)-N($U207),2)))</f>
        <v/>
      </c>
      <c r="AF207" s="9">
        <f>IF($G207="","",IFERROR(INDEX(LINHAS_DRE_PLANO,MATCH($G207,SUBCATEGORIAS_PLANO,0)),"Não classificado"))</f>
        <v/>
      </c>
      <c r="AG207" s="17">
        <f>IF($G207="","",IFERROR(INDEX(TIPOS_FLUXO_PLANO,MATCH($G207,SUBCATEGORIAS_PLANO,0)),"Não classificado"))</f>
        <v/>
      </c>
      <c r="AH207" s="9">
        <f>IF($G207="","",IFERROR(INDEX(GRUPOS_PLANO,MATCH($G207,SUBCATEGORIAS_PLANO,0)),"Não classificado"))</f>
        <v/>
      </c>
      <c r="AI207" s="24">
        <f>IF(OR($C207="",$X207="Pago",$X207="Recebido",$X207="Cancelado"),"",$C207-TODAY())</f>
        <v/>
      </c>
      <c r="AJ207" s="24">
        <f>IF(OR($C207="",$X207="Pago",$X207="Recebido",$X207="Cancelado"),0,MAX(0,TODAY()-$C207))</f>
        <v/>
      </c>
      <c r="AK207" s="24">
        <f>IF($D207="","",$D207-$B207)</f>
        <v/>
      </c>
      <c r="AL207" s="18">
        <f>IF(OR($D207="",$B207=""),"",ROUND(N($R207)*($D207-$B207),2))</f>
        <v/>
      </c>
      <c r="AM207" s="17">
        <f>IF(AND($E207="Saída",$W207&gt;0,$C207&lt;&gt;""),$C207+ROW()/1000000,"")</f>
        <v/>
      </c>
      <c r="AN207" s="17">
        <f>IF(AND($E207="Entrada",$W207&gt;0,$C207&lt;&gt;""),$C207+ROW()/1000000,"")</f>
        <v/>
      </c>
      <c r="AO207" s="9">
        <f>IF(COUNTA($B207:$R207)=0,"",IF(AND($I207&lt;&gt;"",COUNTIF(CLIENTES_NOMES,$I207)+COUNTIF(CLIENTES_FANTASIA,$I207)+COUNTIF(FORNECEDORES_NOMES,$I207)+COUNTIF(FORNECEDORES_FANTASIA,$I207)=0),"⚠ Cliente/Fornecedor não cadastrado",IF(AND($G207&lt;&gt;"",COUNTIF(SUBCATEGORIAS_PLANO,$G207)=0),"⚠ Subcategoria fora do plano de contas",IF(OR($Q207="",N($Q207)=0),"⚠ Valor previsto não informado",IF(AND(OR($X207="Pago",$X207="Recebido"),$D207=""),"⚠ Status pago/recebido sem data",IF(AND($D207&lt;&gt;"",N($R207)=0),"⚠ Data de pagamento sem valor realizado",IF(AND(N($P207)&gt;1,N($O207)&gt;N($P207)),"⚠ Nº da parcela maior que o total",IF(AND($C207&lt;&gt;"",$B207&lt;&gt;"",$C207&lt;$B207),"⚠ Vencimento anterior à competência","OK"))))))))</f>
        <v/>
      </c>
    </row>
    <row r="208">
      <c r="A208" s="14" t="inlineStr">
        <is>
          <t>L0203</t>
        </is>
      </c>
      <c r="B208" s="36" t="n">
        <v>46153</v>
      </c>
      <c r="C208" s="36" t="n">
        <v>46204</v>
      </c>
      <c r="D208" s="36" t="n">
        <v>46207</v>
      </c>
      <c r="E208" s="14" t="inlineStr">
        <is>
          <t>Entrada</t>
        </is>
      </c>
      <c r="F208" s="29" t="inlineStr">
        <is>
          <t>Vendas</t>
        </is>
      </c>
      <c r="G208" s="29" t="inlineStr">
        <is>
          <t>Vendas de Produtos</t>
        </is>
      </c>
      <c r="H208" s="29" t="inlineStr">
        <is>
          <t>Comercial</t>
        </is>
      </c>
      <c r="I208" s="29" t="inlineStr">
        <is>
          <t>EMPÓRIO NATURAL COMÉRCIO LTDA</t>
        </is>
      </c>
      <c r="J208" s="29" t="inlineStr">
        <is>
          <t>Venda de mercadorias (parcela 2/3)</t>
        </is>
      </c>
      <c r="K208" s="14" t="inlineStr">
        <is>
          <t>NF-e 2056</t>
        </is>
      </c>
      <c r="L208" s="29" t="inlineStr">
        <is>
          <t>Itaú Unibanco — C/C 45678-9</t>
        </is>
      </c>
      <c r="M208" s="14" t="inlineStr">
        <is>
          <t>Crédito parcelado</t>
        </is>
      </c>
      <c r="N208" s="29" t="n"/>
      <c r="O208" s="13" t="n">
        <v>2</v>
      </c>
      <c r="P208" s="13" t="n">
        <v>3</v>
      </c>
      <c r="Q208" s="35" t="n">
        <v>8668.549999999999</v>
      </c>
      <c r="R208" s="35" t="n">
        <v>8668.549999999999</v>
      </c>
      <c r="S208" s="35" t="n"/>
      <c r="T208" s="35" t="n"/>
      <c r="U208" s="35" t="n"/>
      <c r="V208" s="18">
        <f>IF(COUNTA($B208:$R208)=0,"",ROUND(N($R208)+N($S208)+N($T208)-N($U208),2))</f>
        <v/>
      </c>
      <c r="W208" s="18">
        <f>IF(COUNTA($B208:$R208)=0,"",IF(OR($X208="Pago",$X208="Recebido",$X208="Cancelado"),0,ROUND(N($Q208)+N($S208)+N($T208)-N($U208)-N($R208),2)))</f>
        <v/>
      </c>
      <c r="X208" s="14" t="inlineStr">
        <is>
          <t>Pago</t>
        </is>
      </c>
      <c r="Y208" s="17">
        <f>IF(COUNTA($B208:$R208)=0,"",IF($X208="Cancelado","Cancelado",IF(OR($X208="Pago",$X208="Recebido"),$X208,IF(OR($X208="Parcial",N($R208)&gt;0),"Parcial",IF($C208="","Sem vencimento",IF($C208&lt;TODAY(),"Vencido",IF($C208=TODAY(),"Vence hoje",IF($C208&lt;=TODAY()+7,"Vence em 7 dias",IF($C208&lt;=TODAY()+30,"Vence em 30 dias","Futuro")))))))))</f>
        <v/>
      </c>
      <c r="Z208" s="24">
        <f>IF($B208="","",MONTH($B208))</f>
        <v/>
      </c>
      <c r="AA208" s="24">
        <f>IF($B208="","",YEAR($B208))</f>
        <v/>
      </c>
      <c r="AB208" s="24">
        <f>IF($B208="","",ISOWEEKNUM($B208))</f>
        <v/>
      </c>
      <c r="AC208" s="17">
        <f>IF($B208="","",CHOOSE(WEEKDAY($B208,2),"Segunda","Terça","Quarta","Quinta","Sexta","Sábado","Domingo"))</f>
        <v/>
      </c>
      <c r="AD208" s="17">
        <f>IF($B208="","",TEXT($B208,"MM/AAAA"))</f>
        <v/>
      </c>
      <c r="AE208" s="18">
        <f>IF(COUNTA($B208:$R208)=0,"",IF($X208="Cancelado",0,ROUND(N($Q208)+N($S208)+N($T208)-N($U208),2)))</f>
        <v/>
      </c>
      <c r="AF208" s="9">
        <f>IF($G208="","",IFERROR(INDEX(LINHAS_DRE_PLANO,MATCH($G208,SUBCATEGORIAS_PLANO,0)),"Não classificado"))</f>
        <v/>
      </c>
      <c r="AG208" s="17">
        <f>IF($G208="","",IFERROR(INDEX(TIPOS_FLUXO_PLANO,MATCH($G208,SUBCATEGORIAS_PLANO,0)),"Não classificado"))</f>
        <v/>
      </c>
      <c r="AH208" s="9">
        <f>IF($G208="","",IFERROR(INDEX(GRUPOS_PLANO,MATCH($G208,SUBCATEGORIAS_PLANO,0)),"Não classificado"))</f>
        <v/>
      </c>
      <c r="AI208" s="24">
        <f>IF(OR($C208="",$X208="Pago",$X208="Recebido",$X208="Cancelado"),"",$C208-TODAY())</f>
        <v/>
      </c>
      <c r="AJ208" s="24">
        <f>IF(OR($C208="",$X208="Pago",$X208="Recebido",$X208="Cancelado"),0,MAX(0,TODAY()-$C208))</f>
        <v/>
      </c>
      <c r="AK208" s="24">
        <f>IF($D208="","",$D208-$B208)</f>
        <v/>
      </c>
      <c r="AL208" s="18">
        <f>IF(OR($D208="",$B208=""),"",ROUND(N($R208)*($D208-$B208),2))</f>
        <v/>
      </c>
      <c r="AM208" s="17">
        <f>IF(AND($E208="Saída",$W208&gt;0,$C208&lt;&gt;""),$C208+ROW()/1000000,"")</f>
        <v/>
      </c>
      <c r="AN208" s="17">
        <f>IF(AND($E208="Entrada",$W208&gt;0,$C208&lt;&gt;""),$C208+ROW()/1000000,"")</f>
        <v/>
      </c>
      <c r="AO208" s="9">
        <f>IF(COUNTA($B208:$R208)=0,"",IF(AND($I208&lt;&gt;"",COUNTIF(CLIENTES_NOMES,$I208)+COUNTIF(CLIENTES_FANTASIA,$I208)+COUNTIF(FORNECEDORES_NOMES,$I208)+COUNTIF(FORNECEDORES_FANTASIA,$I208)=0),"⚠ Cliente/Fornecedor não cadastrado",IF(AND($G208&lt;&gt;"",COUNTIF(SUBCATEGORIAS_PLANO,$G208)=0),"⚠ Subcategoria fora do plano de contas",IF(OR($Q208="",N($Q208)=0),"⚠ Valor previsto não informado",IF(AND(OR($X208="Pago",$X208="Recebido"),$D208=""),"⚠ Status pago/recebido sem data",IF(AND($D208&lt;&gt;"",N($R208)=0),"⚠ Data de pagamento sem valor realizado",IF(AND(N($P208)&gt;1,N($O208)&gt;N($P208)),"⚠ Nº da parcela maior que o total",IF(AND($C208&lt;&gt;"",$B208&lt;&gt;"",$C208&lt;$B208),"⚠ Vencimento anterior à competência","OK"))))))))</f>
        <v/>
      </c>
    </row>
    <row r="209">
      <c r="A209" s="14" t="inlineStr">
        <is>
          <t>L0204</t>
        </is>
      </c>
      <c r="B209" s="36" t="n">
        <v>46153</v>
      </c>
      <c r="C209" s="36" t="n">
        <v>46234</v>
      </c>
      <c r="D209" s="36" t="n">
        <v>46237</v>
      </c>
      <c r="E209" s="14" t="inlineStr">
        <is>
          <t>Entrada</t>
        </is>
      </c>
      <c r="F209" s="29" t="inlineStr">
        <is>
          <t>Vendas</t>
        </is>
      </c>
      <c r="G209" s="29" t="inlineStr">
        <is>
          <t>Vendas de Produtos</t>
        </is>
      </c>
      <c r="H209" s="29" t="inlineStr">
        <is>
          <t>Comercial</t>
        </is>
      </c>
      <c r="I209" s="29" t="inlineStr">
        <is>
          <t>EMPÓRIO NATURAL COMÉRCIO LTDA</t>
        </is>
      </c>
      <c r="J209" s="29" t="inlineStr">
        <is>
          <t>Venda de mercadorias (parcela 3/3)</t>
        </is>
      </c>
      <c r="K209" s="14" t="inlineStr">
        <is>
          <t>NF-e 2057</t>
        </is>
      </c>
      <c r="L209" s="29" t="inlineStr">
        <is>
          <t>Itaú Unibanco — C/C 45678-9</t>
        </is>
      </c>
      <c r="M209" s="14" t="inlineStr">
        <is>
          <t>Crédito parcelado</t>
        </is>
      </c>
      <c r="N209" s="29" t="n"/>
      <c r="O209" s="13" t="n">
        <v>3</v>
      </c>
      <c r="P209" s="13" t="n">
        <v>3</v>
      </c>
      <c r="Q209" s="35" t="n">
        <v>8668.549999999999</v>
      </c>
      <c r="R209" s="35" t="n">
        <v>8668.549999999999</v>
      </c>
      <c r="S209" s="35" t="n"/>
      <c r="T209" s="35" t="n"/>
      <c r="U209" s="35" t="n"/>
      <c r="V209" s="18">
        <f>IF(COUNTA($B209:$R209)=0,"",ROUND(N($R209)+N($S209)+N($T209)-N($U209),2))</f>
        <v/>
      </c>
      <c r="W209" s="18">
        <f>IF(COUNTA($B209:$R209)=0,"",IF(OR($X209="Pago",$X209="Recebido",$X209="Cancelado"),0,ROUND(N($Q209)+N($S209)+N($T209)-N($U209)-N($R209),2)))</f>
        <v/>
      </c>
      <c r="X209" s="14" t="inlineStr">
        <is>
          <t>Pago</t>
        </is>
      </c>
      <c r="Y209" s="17">
        <f>IF(COUNTA($B209:$R209)=0,"",IF($X209="Cancelado","Cancelado",IF(OR($X209="Pago",$X209="Recebido"),$X209,IF(OR($X209="Parcial",N($R209)&gt;0),"Parcial",IF($C209="","Sem vencimento",IF($C209&lt;TODAY(),"Vencido",IF($C209=TODAY(),"Vence hoje",IF($C209&lt;=TODAY()+7,"Vence em 7 dias",IF($C209&lt;=TODAY()+30,"Vence em 30 dias","Futuro")))))))))</f>
        <v/>
      </c>
      <c r="Z209" s="24">
        <f>IF($B209="","",MONTH($B209))</f>
        <v/>
      </c>
      <c r="AA209" s="24">
        <f>IF($B209="","",YEAR($B209))</f>
        <v/>
      </c>
      <c r="AB209" s="24">
        <f>IF($B209="","",ISOWEEKNUM($B209))</f>
        <v/>
      </c>
      <c r="AC209" s="17">
        <f>IF($B209="","",CHOOSE(WEEKDAY($B209,2),"Segunda","Terça","Quarta","Quinta","Sexta","Sábado","Domingo"))</f>
        <v/>
      </c>
      <c r="AD209" s="17">
        <f>IF($B209="","",TEXT($B209,"MM/AAAA"))</f>
        <v/>
      </c>
      <c r="AE209" s="18">
        <f>IF(COUNTA($B209:$R209)=0,"",IF($X209="Cancelado",0,ROUND(N($Q209)+N($S209)+N($T209)-N($U209),2)))</f>
        <v/>
      </c>
      <c r="AF209" s="9">
        <f>IF($G209="","",IFERROR(INDEX(LINHAS_DRE_PLANO,MATCH($G209,SUBCATEGORIAS_PLANO,0)),"Não classificado"))</f>
        <v/>
      </c>
      <c r="AG209" s="17">
        <f>IF($G209="","",IFERROR(INDEX(TIPOS_FLUXO_PLANO,MATCH($G209,SUBCATEGORIAS_PLANO,0)),"Não classificado"))</f>
        <v/>
      </c>
      <c r="AH209" s="9">
        <f>IF($G209="","",IFERROR(INDEX(GRUPOS_PLANO,MATCH($G209,SUBCATEGORIAS_PLANO,0)),"Não classificado"))</f>
        <v/>
      </c>
      <c r="AI209" s="24">
        <f>IF(OR($C209="",$X209="Pago",$X209="Recebido",$X209="Cancelado"),"",$C209-TODAY())</f>
        <v/>
      </c>
      <c r="AJ209" s="24">
        <f>IF(OR($C209="",$X209="Pago",$X209="Recebido",$X209="Cancelado"),0,MAX(0,TODAY()-$C209))</f>
        <v/>
      </c>
      <c r="AK209" s="24">
        <f>IF($D209="","",$D209-$B209)</f>
        <v/>
      </c>
      <c r="AL209" s="18">
        <f>IF(OR($D209="",$B209=""),"",ROUND(N($R209)*($D209-$B209),2))</f>
        <v/>
      </c>
      <c r="AM209" s="17">
        <f>IF(AND($E209="Saída",$W209&gt;0,$C209&lt;&gt;""),$C209+ROW()/1000000,"")</f>
        <v/>
      </c>
      <c r="AN209" s="17">
        <f>IF(AND($E209="Entrada",$W209&gt;0,$C209&lt;&gt;""),$C209+ROW()/1000000,"")</f>
        <v/>
      </c>
      <c r="AO209" s="9">
        <f>IF(COUNTA($B209:$R209)=0,"",IF(AND($I209&lt;&gt;"",COUNTIF(CLIENTES_NOMES,$I209)+COUNTIF(CLIENTES_FANTASIA,$I209)+COUNTIF(FORNECEDORES_NOMES,$I209)+COUNTIF(FORNECEDORES_FANTASIA,$I209)=0),"⚠ Cliente/Fornecedor não cadastrado",IF(AND($G209&lt;&gt;"",COUNTIF(SUBCATEGORIAS_PLANO,$G209)=0),"⚠ Subcategoria fora do plano de contas",IF(OR($Q209="",N($Q209)=0),"⚠ Valor previsto não informado",IF(AND(OR($X209="Pago",$X209="Recebido"),$D209=""),"⚠ Status pago/recebido sem data",IF(AND($D209&lt;&gt;"",N($R209)=0),"⚠ Data de pagamento sem valor realizado",IF(AND(N($P209)&gt;1,N($O209)&gt;N($P209)),"⚠ Nº da parcela maior que o total",IF(AND($C209&lt;&gt;"",$B209&lt;&gt;"",$C209&lt;$B209),"⚠ Vencimento anterior à competência","OK"))))))))</f>
        <v/>
      </c>
    </row>
    <row r="210">
      <c r="A210" s="14" t="inlineStr">
        <is>
          <t>L0205</t>
        </is>
      </c>
      <c r="B210" s="36" t="n">
        <v>46154</v>
      </c>
      <c r="C210" s="36" t="n">
        <v>46169</v>
      </c>
      <c r="D210" s="36" t="n">
        <v>46169</v>
      </c>
      <c r="E210" s="14" t="inlineStr">
        <is>
          <t>Saída</t>
        </is>
      </c>
      <c r="F210" s="29" t="inlineStr">
        <is>
          <t>Custos Variáveis</t>
        </is>
      </c>
      <c r="G210" s="29" t="inlineStr">
        <is>
          <t>Embalagens</t>
        </is>
      </c>
      <c r="H210" s="29" t="inlineStr">
        <is>
          <t>Logística</t>
        </is>
      </c>
      <c r="I210" s="29" t="inlineStr">
        <is>
          <t>EMBALAGENS PAULISTA LTDA</t>
        </is>
      </c>
      <c r="J210" s="29" t="inlineStr">
        <is>
          <t>Compra de embalagens e etiquetas</t>
        </is>
      </c>
      <c r="K210" s="14" t="inlineStr">
        <is>
          <t>DOC 7196</t>
        </is>
      </c>
      <c r="L210" s="29" t="inlineStr">
        <is>
          <t>Banco do Brasil — C/C 12345-6</t>
        </is>
      </c>
      <c r="M210" s="14" t="inlineStr">
        <is>
          <t>Boleto</t>
        </is>
      </c>
      <c r="N210" s="29" t="n"/>
      <c r="O210" s="13" t="n">
        <v>1</v>
      </c>
      <c r="P210" s="13" t="n">
        <v>1</v>
      </c>
      <c r="Q210" s="35" t="n">
        <v>2661.26</v>
      </c>
      <c r="R210" s="35" t="n">
        <v>2661.26</v>
      </c>
      <c r="S210" s="35" t="n"/>
      <c r="T210" s="35" t="n"/>
      <c r="U210" s="35" t="n"/>
      <c r="V210" s="18">
        <f>IF(COUNTA($B210:$R210)=0,"",ROUND(N($R210)+N($S210)+N($T210)-N($U210),2))</f>
        <v/>
      </c>
      <c r="W210" s="18">
        <f>IF(COUNTA($B210:$R210)=0,"",IF(OR($X210="Pago",$X210="Recebido",$X210="Cancelado"),0,ROUND(N($Q210)+N($S210)+N($T210)-N($U210)-N($R210),2)))</f>
        <v/>
      </c>
      <c r="X210" s="14" t="inlineStr">
        <is>
          <t>Pago</t>
        </is>
      </c>
      <c r="Y210" s="17">
        <f>IF(COUNTA($B210:$R210)=0,"",IF($X210="Cancelado","Cancelado",IF(OR($X210="Pago",$X210="Recebido"),$X210,IF(OR($X210="Parcial",N($R210)&gt;0),"Parcial",IF($C210="","Sem vencimento",IF($C210&lt;TODAY(),"Vencido",IF($C210=TODAY(),"Vence hoje",IF($C210&lt;=TODAY()+7,"Vence em 7 dias",IF($C210&lt;=TODAY()+30,"Vence em 30 dias","Futuro")))))))))</f>
        <v/>
      </c>
      <c r="Z210" s="24">
        <f>IF($B210="","",MONTH($B210))</f>
        <v/>
      </c>
      <c r="AA210" s="24">
        <f>IF($B210="","",YEAR($B210))</f>
        <v/>
      </c>
      <c r="AB210" s="24">
        <f>IF($B210="","",ISOWEEKNUM($B210))</f>
        <v/>
      </c>
      <c r="AC210" s="17">
        <f>IF($B210="","",CHOOSE(WEEKDAY($B210,2),"Segunda","Terça","Quarta","Quinta","Sexta","Sábado","Domingo"))</f>
        <v/>
      </c>
      <c r="AD210" s="17">
        <f>IF($B210="","",TEXT($B210,"MM/AAAA"))</f>
        <v/>
      </c>
      <c r="AE210" s="18">
        <f>IF(COUNTA($B210:$R210)=0,"",IF($X210="Cancelado",0,ROUND(N($Q210)+N($S210)+N($T210)-N($U210),2)))</f>
        <v/>
      </c>
      <c r="AF210" s="9">
        <f>IF($G210="","",IFERROR(INDEX(LINHAS_DRE_PLANO,MATCH($G210,SUBCATEGORIAS_PLANO,0)),"Não classificado"))</f>
        <v/>
      </c>
      <c r="AG210" s="17">
        <f>IF($G210="","",IFERROR(INDEX(TIPOS_FLUXO_PLANO,MATCH($G210,SUBCATEGORIAS_PLANO,0)),"Não classificado"))</f>
        <v/>
      </c>
      <c r="AH210" s="9">
        <f>IF($G210="","",IFERROR(INDEX(GRUPOS_PLANO,MATCH($G210,SUBCATEGORIAS_PLANO,0)),"Não classificado"))</f>
        <v/>
      </c>
      <c r="AI210" s="24">
        <f>IF(OR($C210="",$X210="Pago",$X210="Recebido",$X210="Cancelado"),"",$C210-TODAY())</f>
        <v/>
      </c>
      <c r="AJ210" s="24">
        <f>IF(OR($C210="",$X210="Pago",$X210="Recebido",$X210="Cancelado"),0,MAX(0,TODAY()-$C210))</f>
        <v/>
      </c>
      <c r="AK210" s="24">
        <f>IF($D210="","",$D210-$B210)</f>
        <v/>
      </c>
      <c r="AL210" s="18">
        <f>IF(OR($D210="",$B210=""),"",ROUND(N($R210)*($D210-$B210),2))</f>
        <v/>
      </c>
      <c r="AM210" s="17">
        <f>IF(AND($E210="Saída",$W210&gt;0,$C210&lt;&gt;""),$C210+ROW()/1000000,"")</f>
        <v/>
      </c>
      <c r="AN210" s="17">
        <f>IF(AND($E210="Entrada",$W210&gt;0,$C210&lt;&gt;""),$C210+ROW()/1000000,"")</f>
        <v/>
      </c>
      <c r="AO210" s="9">
        <f>IF(COUNTA($B210:$R210)=0,"",IF(AND($I210&lt;&gt;"",COUNTIF(CLIENTES_NOMES,$I210)+COUNTIF(CLIENTES_FANTASIA,$I210)+COUNTIF(FORNECEDORES_NOMES,$I210)+COUNTIF(FORNECEDORES_FANTASIA,$I210)=0),"⚠ Cliente/Fornecedor não cadastrado",IF(AND($G210&lt;&gt;"",COUNTIF(SUBCATEGORIAS_PLANO,$G210)=0),"⚠ Subcategoria fora do plano de contas",IF(OR($Q210="",N($Q210)=0),"⚠ Valor previsto não informado",IF(AND(OR($X210="Pago",$X210="Recebido"),$D210=""),"⚠ Status pago/recebido sem data",IF(AND($D210&lt;&gt;"",N($R210)=0),"⚠ Data de pagamento sem valor realizado",IF(AND(N($P210)&gt;1,N($O210)&gt;N($P210)),"⚠ Nº da parcela maior que o total",IF(AND($C210&lt;&gt;"",$B210&lt;&gt;"",$C210&lt;$B210),"⚠ Vencimento anterior à competência","OK"))))))))</f>
        <v/>
      </c>
    </row>
    <row r="211">
      <c r="A211" s="14" t="inlineStr">
        <is>
          <t>L0206</t>
        </is>
      </c>
      <c r="B211" s="36" t="n">
        <v>46154</v>
      </c>
      <c r="C211" s="36" t="n">
        <v>46164</v>
      </c>
      <c r="D211" s="36" t="n">
        <v>46167</v>
      </c>
      <c r="E211" s="14" t="inlineStr">
        <is>
          <t>Saída</t>
        </is>
      </c>
      <c r="F211" s="29" t="inlineStr">
        <is>
          <t>Despesas Administrativas</t>
        </is>
      </c>
      <c r="G211" s="29" t="inlineStr">
        <is>
          <t>Energia Elétrica</t>
        </is>
      </c>
      <c r="H211" s="29" t="inlineStr">
        <is>
          <t>Administrativo</t>
        </is>
      </c>
      <c r="I211" s="29" t="inlineStr">
        <is>
          <t>ENEL DISTRIBUIÇÃO SÃO PAULO</t>
        </is>
      </c>
      <c r="J211" s="29" t="inlineStr">
        <is>
          <t>Energia elétrica — fatura 05/2026</t>
        </is>
      </c>
      <c r="K211" s="14" t="inlineStr">
        <is>
          <t>DOC 8331</t>
        </is>
      </c>
      <c r="L211" s="29" t="inlineStr">
        <is>
          <t>Itaú Unibanco — C/C 45678-9</t>
        </is>
      </c>
      <c r="M211" s="14" t="inlineStr">
        <is>
          <t>Débito automático</t>
        </is>
      </c>
      <c r="N211" s="29" t="n"/>
      <c r="O211" s="13" t="n">
        <v>1</v>
      </c>
      <c r="P211" s="13" t="n">
        <v>1</v>
      </c>
      <c r="Q211" s="35" t="n">
        <v>2535.07</v>
      </c>
      <c r="R211" s="35" t="n">
        <v>2535.07</v>
      </c>
      <c r="S211" s="35" t="n"/>
      <c r="T211" s="35" t="n"/>
      <c r="U211" s="35" t="n"/>
      <c r="V211" s="18">
        <f>IF(COUNTA($B211:$R211)=0,"",ROUND(N($R211)+N($S211)+N($T211)-N($U211),2))</f>
        <v/>
      </c>
      <c r="W211" s="18">
        <f>IF(COUNTA($B211:$R211)=0,"",IF(OR($X211="Pago",$X211="Recebido",$X211="Cancelado"),0,ROUND(N($Q211)+N($S211)+N($T211)-N($U211)-N($R211),2)))</f>
        <v/>
      </c>
      <c r="X211" s="14" t="inlineStr">
        <is>
          <t>Pago</t>
        </is>
      </c>
      <c r="Y211" s="17">
        <f>IF(COUNTA($B211:$R211)=0,"",IF($X211="Cancelado","Cancelado",IF(OR($X211="Pago",$X211="Recebido"),$X211,IF(OR($X211="Parcial",N($R211)&gt;0),"Parcial",IF($C211="","Sem vencimento",IF($C211&lt;TODAY(),"Vencido",IF($C211=TODAY(),"Vence hoje",IF($C211&lt;=TODAY()+7,"Vence em 7 dias",IF($C211&lt;=TODAY()+30,"Vence em 30 dias","Futuro")))))))))</f>
        <v/>
      </c>
      <c r="Z211" s="24">
        <f>IF($B211="","",MONTH($B211))</f>
        <v/>
      </c>
      <c r="AA211" s="24">
        <f>IF($B211="","",YEAR($B211))</f>
        <v/>
      </c>
      <c r="AB211" s="24">
        <f>IF($B211="","",ISOWEEKNUM($B211))</f>
        <v/>
      </c>
      <c r="AC211" s="17">
        <f>IF($B211="","",CHOOSE(WEEKDAY($B211,2),"Segunda","Terça","Quarta","Quinta","Sexta","Sábado","Domingo"))</f>
        <v/>
      </c>
      <c r="AD211" s="17">
        <f>IF($B211="","",TEXT($B211,"MM/AAAA"))</f>
        <v/>
      </c>
      <c r="AE211" s="18">
        <f>IF(COUNTA($B211:$R211)=0,"",IF($X211="Cancelado",0,ROUND(N($Q211)+N($S211)+N($T211)-N($U211),2)))</f>
        <v/>
      </c>
      <c r="AF211" s="9">
        <f>IF($G211="","",IFERROR(INDEX(LINHAS_DRE_PLANO,MATCH($G211,SUBCATEGORIAS_PLANO,0)),"Não classificado"))</f>
        <v/>
      </c>
      <c r="AG211" s="17">
        <f>IF($G211="","",IFERROR(INDEX(TIPOS_FLUXO_PLANO,MATCH($G211,SUBCATEGORIAS_PLANO,0)),"Não classificado"))</f>
        <v/>
      </c>
      <c r="AH211" s="9">
        <f>IF($G211="","",IFERROR(INDEX(GRUPOS_PLANO,MATCH($G211,SUBCATEGORIAS_PLANO,0)),"Não classificado"))</f>
        <v/>
      </c>
      <c r="AI211" s="24">
        <f>IF(OR($C211="",$X211="Pago",$X211="Recebido",$X211="Cancelado"),"",$C211-TODAY())</f>
        <v/>
      </c>
      <c r="AJ211" s="24">
        <f>IF(OR($C211="",$X211="Pago",$X211="Recebido",$X211="Cancelado"),0,MAX(0,TODAY()-$C211))</f>
        <v/>
      </c>
      <c r="AK211" s="24">
        <f>IF($D211="","",$D211-$B211)</f>
        <v/>
      </c>
      <c r="AL211" s="18">
        <f>IF(OR($D211="",$B211=""),"",ROUND(N($R211)*($D211-$B211),2))</f>
        <v/>
      </c>
      <c r="AM211" s="17">
        <f>IF(AND($E211="Saída",$W211&gt;0,$C211&lt;&gt;""),$C211+ROW()/1000000,"")</f>
        <v/>
      </c>
      <c r="AN211" s="17">
        <f>IF(AND($E211="Entrada",$W211&gt;0,$C211&lt;&gt;""),$C211+ROW()/1000000,"")</f>
        <v/>
      </c>
      <c r="AO211" s="9">
        <f>IF(COUNTA($B211:$R211)=0,"",IF(AND($I211&lt;&gt;"",COUNTIF(CLIENTES_NOMES,$I211)+COUNTIF(CLIENTES_FANTASIA,$I211)+COUNTIF(FORNECEDORES_NOMES,$I211)+COUNTIF(FORNECEDORES_FANTASIA,$I211)=0),"⚠ Cliente/Fornecedor não cadastrado",IF(AND($G211&lt;&gt;"",COUNTIF(SUBCATEGORIAS_PLANO,$G211)=0),"⚠ Subcategoria fora do plano de contas",IF(OR($Q211="",N($Q211)=0),"⚠ Valor previsto não informado",IF(AND(OR($X211="Pago",$X211="Recebido"),$D211=""),"⚠ Status pago/recebido sem data",IF(AND($D211&lt;&gt;"",N($R211)=0),"⚠ Data de pagamento sem valor realizado",IF(AND(N($P211)&gt;1,N($O211)&gt;N($P211)),"⚠ Nº da parcela maior que o total",IF(AND($C211&lt;&gt;"",$B211&lt;&gt;"",$C211&lt;$B211),"⚠ Vencimento anterior à competência","OK"))))))))</f>
        <v/>
      </c>
    </row>
    <row r="212">
      <c r="A212" s="14" t="inlineStr">
        <is>
          <t>L0207</t>
        </is>
      </c>
      <c r="B212" s="36" t="n">
        <v>46154</v>
      </c>
      <c r="C212" s="36" t="n">
        <v>46154</v>
      </c>
      <c r="D212" s="36" t="n">
        <v>46154</v>
      </c>
      <c r="E212" s="14" t="inlineStr">
        <is>
          <t>Saída</t>
        </is>
      </c>
      <c r="F212" s="29" t="inlineStr">
        <is>
          <t>Empréstimos e Financiamentos</t>
        </is>
      </c>
      <c r="G212" s="29" t="inlineStr">
        <is>
          <t>Parcelamento de Dívidas e Tributos</t>
        </is>
      </c>
      <c r="H212" s="29" t="inlineStr">
        <is>
          <t>Financeiro</t>
        </is>
      </c>
      <c r="I212" s="29" t="inlineStr">
        <is>
          <t>RECEITA FEDERAL DO BRASIL</t>
        </is>
      </c>
      <c r="J212" s="29" t="inlineStr">
        <is>
          <t>Parcelamento de tributos — parcela 1/6</t>
        </is>
      </c>
      <c r="K212" s="14" t="inlineStr">
        <is>
          <t>PAR-01</t>
        </is>
      </c>
      <c r="L212" s="29" t="inlineStr">
        <is>
          <t>Itaú Unibanco — C/C 45678-9</t>
        </is>
      </c>
      <c r="M212" s="14" t="inlineStr">
        <is>
          <t>Transferência</t>
        </is>
      </c>
      <c r="N212" s="29" t="n"/>
      <c r="O212" s="13" t="n">
        <v>1</v>
      </c>
      <c r="P212" s="13" t="n">
        <v>6</v>
      </c>
      <c r="Q212" s="35" t="n">
        <v>1480</v>
      </c>
      <c r="R212" s="35" t="n">
        <v>1480</v>
      </c>
      <c r="S212" s="35" t="n"/>
      <c r="T212" s="35" t="n"/>
      <c r="U212" s="35" t="n"/>
      <c r="V212" s="18">
        <f>IF(COUNTA($B212:$R212)=0,"",ROUND(N($R212)+N($S212)+N($T212)-N($U212),2))</f>
        <v/>
      </c>
      <c r="W212" s="18">
        <f>IF(COUNTA($B212:$R212)=0,"",IF(OR($X212="Pago",$X212="Recebido",$X212="Cancelado"),0,ROUND(N($Q212)+N($S212)+N($T212)-N($U212)-N($R212),2)))</f>
        <v/>
      </c>
      <c r="X212" s="14" t="inlineStr">
        <is>
          <t>Pago</t>
        </is>
      </c>
      <c r="Y212" s="17">
        <f>IF(COUNTA($B212:$R212)=0,"",IF($X212="Cancelado","Cancelado",IF(OR($X212="Pago",$X212="Recebido"),$X212,IF(OR($X212="Parcial",N($R212)&gt;0),"Parcial",IF($C212="","Sem vencimento",IF($C212&lt;TODAY(),"Vencido",IF($C212=TODAY(),"Vence hoje",IF($C212&lt;=TODAY()+7,"Vence em 7 dias",IF($C212&lt;=TODAY()+30,"Vence em 30 dias","Futuro")))))))))</f>
        <v/>
      </c>
      <c r="Z212" s="24">
        <f>IF($B212="","",MONTH($B212))</f>
        <v/>
      </c>
      <c r="AA212" s="24">
        <f>IF($B212="","",YEAR($B212))</f>
        <v/>
      </c>
      <c r="AB212" s="24">
        <f>IF($B212="","",ISOWEEKNUM($B212))</f>
        <v/>
      </c>
      <c r="AC212" s="17">
        <f>IF($B212="","",CHOOSE(WEEKDAY($B212,2),"Segunda","Terça","Quarta","Quinta","Sexta","Sábado","Domingo"))</f>
        <v/>
      </c>
      <c r="AD212" s="17">
        <f>IF($B212="","",TEXT($B212,"MM/AAAA"))</f>
        <v/>
      </c>
      <c r="AE212" s="18">
        <f>IF(COUNTA($B212:$R212)=0,"",IF($X212="Cancelado",0,ROUND(N($Q212)+N($S212)+N($T212)-N($U212),2)))</f>
        <v/>
      </c>
      <c r="AF212" s="9">
        <f>IF($G212="","",IFERROR(INDEX(LINHAS_DRE_PLANO,MATCH($G212,SUBCATEGORIAS_PLANO,0)),"Não classificado"))</f>
        <v/>
      </c>
      <c r="AG212" s="17">
        <f>IF($G212="","",IFERROR(INDEX(TIPOS_FLUXO_PLANO,MATCH($G212,SUBCATEGORIAS_PLANO,0)),"Não classificado"))</f>
        <v/>
      </c>
      <c r="AH212" s="9">
        <f>IF($G212="","",IFERROR(INDEX(GRUPOS_PLANO,MATCH($G212,SUBCATEGORIAS_PLANO,0)),"Não classificado"))</f>
        <v/>
      </c>
      <c r="AI212" s="24">
        <f>IF(OR($C212="",$X212="Pago",$X212="Recebido",$X212="Cancelado"),"",$C212-TODAY())</f>
        <v/>
      </c>
      <c r="AJ212" s="24">
        <f>IF(OR($C212="",$X212="Pago",$X212="Recebido",$X212="Cancelado"),0,MAX(0,TODAY()-$C212))</f>
        <v/>
      </c>
      <c r="AK212" s="24">
        <f>IF($D212="","",$D212-$B212)</f>
        <v/>
      </c>
      <c r="AL212" s="18">
        <f>IF(OR($D212="",$B212=""),"",ROUND(N($R212)*($D212-$B212),2))</f>
        <v/>
      </c>
      <c r="AM212" s="17">
        <f>IF(AND($E212="Saída",$W212&gt;0,$C212&lt;&gt;""),$C212+ROW()/1000000,"")</f>
        <v/>
      </c>
      <c r="AN212" s="17">
        <f>IF(AND($E212="Entrada",$W212&gt;0,$C212&lt;&gt;""),$C212+ROW()/1000000,"")</f>
        <v/>
      </c>
      <c r="AO212" s="9">
        <f>IF(COUNTA($B212:$R212)=0,"",IF(AND($I212&lt;&gt;"",COUNTIF(CLIENTES_NOMES,$I212)+COUNTIF(CLIENTES_FANTASIA,$I212)+COUNTIF(FORNECEDORES_NOMES,$I212)+COUNTIF(FORNECEDORES_FANTASIA,$I212)=0),"⚠ Cliente/Fornecedor não cadastrado",IF(AND($G212&lt;&gt;"",COUNTIF(SUBCATEGORIAS_PLANO,$G212)=0),"⚠ Subcategoria fora do plano de contas",IF(OR($Q212="",N($Q212)=0),"⚠ Valor previsto não informado",IF(AND(OR($X212="Pago",$X212="Recebido"),$D212=""),"⚠ Status pago/recebido sem data",IF(AND($D212&lt;&gt;"",N($R212)=0),"⚠ Data de pagamento sem valor realizado",IF(AND(N($P212)&gt;1,N($O212)&gt;N($P212)),"⚠ Nº da parcela maior que o total",IF(AND($C212&lt;&gt;"",$B212&lt;&gt;"",$C212&lt;$B212),"⚠ Vencimento anterior à competência","OK"))))))))</f>
        <v/>
      </c>
    </row>
    <row r="213">
      <c r="A213" s="14" t="inlineStr">
        <is>
          <t>L0208</t>
        </is>
      </c>
      <c r="B213" s="36" t="n">
        <v>46154</v>
      </c>
      <c r="C213" s="36" t="n">
        <v>46185</v>
      </c>
      <c r="D213" s="36" t="n">
        <v>46185</v>
      </c>
      <c r="E213" s="14" t="inlineStr">
        <is>
          <t>Saída</t>
        </is>
      </c>
      <c r="F213" s="29" t="inlineStr">
        <is>
          <t>Empréstimos e Financiamentos</t>
        </is>
      </c>
      <c r="G213" s="29" t="inlineStr">
        <is>
          <t>Parcelamento de Dívidas e Tributos</t>
        </is>
      </c>
      <c r="H213" s="29" t="inlineStr">
        <is>
          <t>Financeiro</t>
        </is>
      </c>
      <c r="I213" s="29" t="inlineStr">
        <is>
          <t>RECEITA FEDERAL DO BRASIL</t>
        </is>
      </c>
      <c r="J213" s="29" t="inlineStr">
        <is>
          <t>Parcelamento de tributos — parcela 2/6</t>
        </is>
      </c>
      <c r="K213" s="14" t="inlineStr">
        <is>
          <t>PAR-02</t>
        </is>
      </c>
      <c r="L213" s="29" t="inlineStr">
        <is>
          <t>Itaú Unibanco — C/C 45678-9</t>
        </is>
      </c>
      <c r="M213" s="14" t="inlineStr">
        <is>
          <t>Transferência</t>
        </is>
      </c>
      <c r="N213" s="29" t="n"/>
      <c r="O213" s="13" t="n">
        <v>2</v>
      </c>
      <c r="P213" s="13" t="n">
        <v>6</v>
      </c>
      <c r="Q213" s="35" t="n">
        <v>1480</v>
      </c>
      <c r="R213" s="35" t="n">
        <v>1480</v>
      </c>
      <c r="S213" s="35" t="n"/>
      <c r="T213" s="35" t="n"/>
      <c r="U213" s="35" t="n"/>
      <c r="V213" s="18">
        <f>IF(COUNTA($B213:$R213)=0,"",ROUND(N($R213)+N($S213)+N($T213)-N($U213),2))</f>
        <v/>
      </c>
      <c r="W213" s="18">
        <f>IF(COUNTA($B213:$R213)=0,"",IF(OR($X213="Pago",$X213="Recebido",$X213="Cancelado"),0,ROUND(N($Q213)+N($S213)+N($T213)-N($U213)-N($R213),2)))</f>
        <v/>
      </c>
      <c r="X213" s="14" t="inlineStr">
        <is>
          <t>Pago</t>
        </is>
      </c>
      <c r="Y213" s="17">
        <f>IF(COUNTA($B213:$R213)=0,"",IF($X213="Cancelado","Cancelado",IF(OR($X213="Pago",$X213="Recebido"),$X213,IF(OR($X213="Parcial",N($R213)&gt;0),"Parcial",IF($C213="","Sem vencimento",IF($C213&lt;TODAY(),"Vencido",IF($C213=TODAY(),"Vence hoje",IF($C213&lt;=TODAY()+7,"Vence em 7 dias",IF($C213&lt;=TODAY()+30,"Vence em 30 dias","Futuro")))))))))</f>
        <v/>
      </c>
      <c r="Z213" s="24">
        <f>IF($B213="","",MONTH($B213))</f>
        <v/>
      </c>
      <c r="AA213" s="24">
        <f>IF($B213="","",YEAR($B213))</f>
        <v/>
      </c>
      <c r="AB213" s="24">
        <f>IF($B213="","",ISOWEEKNUM($B213))</f>
        <v/>
      </c>
      <c r="AC213" s="17">
        <f>IF($B213="","",CHOOSE(WEEKDAY($B213,2),"Segunda","Terça","Quarta","Quinta","Sexta","Sábado","Domingo"))</f>
        <v/>
      </c>
      <c r="AD213" s="17">
        <f>IF($B213="","",TEXT($B213,"MM/AAAA"))</f>
        <v/>
      </c>
      <c r="AE213" s="18">
        <f>IF(COUNTA($B213:$R213)=0,"",IF($X213="Cancelado",0,ROUND(N($Q213)+N($S213)+N($T213)-N($U213),2)))</f>
        <v/>
      </c>
      <c r="AF213" s="9">
        <f>IF($G213="","",IFERROR(INDEX(LINHAS_DRE_PLANO,MATCH($G213,SUBCATEGORIAS_PLANO,0)),"Não classificado"))</f>
        <v/>
      </c>
      <c r="AG213" s="17">
        <f>IF($G213="","",IFERROR(INDEX(TIPOS_FLUXO_PLANO,MATCH($G213,SUBCATEGORIAS_PLANO,0)),"Não classificado"))</f>
        <v/>
      </c>
      <c r="AH213" s="9">
        <f>IF($G213="","",IFERROR(INDEX(GRUPOS_PLANO,MATCH($G213,SUBCATEGORIAS_PLANO,0)),"Não classificado"))</f>
        <v/>
      </c>
      <c r="AI213" s="24">
        <f>IF(OR($C213="",$X213="Pago",$X213="Recebido",$X213="Cancelado"),"",$C213-TODAY())</f>
        <v/>
      </c>
      <c r="AJ213" s="24">
        <f>IF(OR($C213="",$X213="Pago",$X213="Recebido",$X213="Cancelado"),0,MAX(0,TODAY()-$C213))</f>
        <v/>
      </c>
      <c r="AK213" s="24">
        <f>IF($D213="","",$D213-$B213)</f>
        <v/>
      </c>
      <c r="AL213" s="18">
        <f>IF(OR($D213="",$B213=""),"",ROUND(N($R213)*($D213-$B213),2))</f>
        <v/>
      </c>
      <c r="AM213" s="17">
        <f>IF(AND($E213="Saída",$W213&gt;0,$C213&lt;&gt;""),$C213+ROW()/1000000,"")</f>
        <v/>
      </c>
      <c r="AN213" s="17">
        <f>IF(AND($E213="Entrada",$W213&gt;0,$C213&lt;&gt;""),$C213+ROW()/1000000,"")</f>
        <v/>
      </c>
      <c r="AO213" s="9">
        <f>IF(COUNTA($B213:$R213)=0,"",IF(AND($I213&lt;&gt;"",COUNTIF(CLIENTES_NOMES,$I213)+COUNTIF(CLIENTES_FANTASIA,$I213)+COUNTIF(FORNECEDORES_NOMES,$I213)+COUNTIF(FORNECEDORES_FANTASIA,$I213)=0),"⚠ Cliente/Fornecedor não cadastrado",IF(AND($G213&lt;&gt;"",COUNTIF(SUBCATEGORIAS_PLANO,$G213)=0),"⚠ Subcategoria fora do plano de contas",IF(OR($Q213="",N($Q213)=0),"⚠ Valor previsto não informado",IF(AND(OR($X213="Pago",$X213="Recebido"),$D213=""),"⚠ Status pago/recebido sem data",IF(AND($D213&lt;&gt;"",N($R213)=0),"⚠ Data de pagamento sem valor realizado",IF(AND(N($P213)&gt;1,N($O213)&gt;N($P213)),"⚠ Nº da parcela maior que o total",IF(AND($C213&lt;&gt;"",$B213&lt;&gt;"",$C213&lt;$B213),"⚠ Vencimento anterior à competência","OK"))))))))</f>
        <v/>
      </c>
    </row>
    <row r="214">
      <c r="A214" s="14" t="inlineStr">
        <is>
          <t>L0209</t>
        </is>
      </c>
      <c r="B214" s="36" t="n">
        <v>46154</v>
      </c>
      <c r="C214" s="36" t="n">
        <v>46215</v>
      </c>
      <c r="D214" s="36" t="n">
        <v>46215</v>
      </c>
      <c r="E214" s="14" t="inlineStr">
        <is>
          <t>Saída</t>
        </is>
      </c>
      <c r="F214" s="29" t="inlineStr">
        <is>
          <t>Empréstimos e Financiamentos</t>
        </is>
      </c>
      <c r="G214" s="29" t="inlineStr">
        <is>
          <t>Parcelamento de Dívidas e Tributos</t>
        </is>
      </c>
      <c r="H214" s="29" t="inlineStr">
        <is>
          <t>Financeiro</t>
        </is>
      </c>
      <c r="I214" s="29" t="inlineStr">
        <is>
          <t>RECEITA FEDERAL DO BRASIL</t>
        </is>
      </c>
      <c r="J214" s="29" t="inlineStr">
        <is>
          <t>Parcelamento de tributos — parcela 3/6</t>
        </is>
      </c>
      <c r="K214" s="14" t="inlineStr">
        <is>
          <t>PAR-03</t>
        </is>
      </c>
      <c r="L214" s="29" t="inlineStr">
        <is>
          <t>Nubank PJ — C/C 9876543-2</t>
        </is>
      </c>
      <c r="M214" s="14" t="inlineStr">
        <is>
          <t>Transferência</t>
        </is>
      </c>
      <c r="N214" s="29" t="n"/>
      <c r="O214" s="13" t="n">
        <v>3</v>
      </c>
      <c r="P214" s="13" t="n">
        <v>6</v>
      </c>
      <c r="Q214" s="35" t="n">
        <v>1480</v>
      </c>
      <c r="R214" s="35" t="n">
        <v>1480</v>
      </c>
      <c r="S214" s="35" t="n"/>
      <c r="T214" s="35" t="n"/>
      <c r="U214" s="35" t="n"/>
      <c r="V214" s="18">
        <f>IF(COUNTA($B214:$R214)=0,"",ROUND(N($R214)+N($S214)+N($T214)-N($U214),2))</f>
        <v/>
      </c>
      <c r="W214" s="18">
        <f>IF(COUNTA($B214:$R214)=0,"",IF(OR($X214="Pago",$X214="Recebido",$X214="Cancelado"),0,ROUND(N($Q214)+N($S214)+N($T214)-N($U214)-N($R214),2)))</f>
        <v/>
      </c>
      <c r="X214" s="14" t="inlineStr">
        <is>
          <t>Pago</t>
        </is>
      </c>
      <c r="Y214" s="17">
        <f>IF(COUNTA($B214:$R214)=0,"",IF($X214="Cancelado","Cancelado",IF(OR($X214="Pago",$X214="Recebido"),$X214,IF(OR($X214="Parcial",N($R214)&gt;0),"Parcial",IF($C214="","Sem vencimento",IF($C214&lt;TODAY(),"Vencido",IF($C214=TODAY(),"Vence hoje",IF($C214&lt;=TODAY()+7,"Vence em 7 dias",IF($C214&lt;=TODAY()+30,"Vence em 30 dias","Futuro")))))))))</f>
        <v/>
      </c>
      <c r="Z214" s="24">
        <f>IF($B214="","",MONTH($B214))</f>
        <v/>
      </c>
      <c r="AA214" s="24">
        <f>IF($B214="","",YEAR($B214))</f>
        <v/>
      </c>
      <c r="AB214" s="24">
        <f>IF($B214="","",ISOWEEKNUM($B214))</f>
        <v/>
      </c>
      <c r="AC214" s="17">
        <f>IF($B214="","",CHOOSE(WEEKDAY($B214,2),"Segunda","Terça","Quarta","Quinta","Sexta","Sábado","Domingo"))</f>
        <v/>
      </c>
      <c r="AD214" s="17">
        <f>IF($B214="","",TEXT($B214,"MM/AAAA"))</f>
        <v/>
      </c>
      <c r="AE214" s="18">
        <f>IF(COUNTA($B214:$R214)=0,"",IF($X214="Cancelado",0,ROUND(N($Q214)+N($S214)+N($T214)-N($U214),2)))</f>
        <v/>
      </c>
      <c r="AF214" s="9">
        <f>IF($G214="","",IFERROR(INDEX(LINHAS_DRE_PLANO,MATCH($G214,SUBCATEGORIAS_PLANO,0)),"Não classificado"))</f>
        <v/>
      </c>
      <c r="AG214" s="17">
        <f>IF($G214="","",IFERROR(INDEX(TIPOS_FLUXO_PLANO,MATCH($G214,SUBCATEGORIAS_PLANO,0)),"Não classificado"))</f>
        <v/>
      </c>
      <c r="AH214" s="9">
        <f>IF($G214="","",IFERROR(INDEX(GRUPOS_PLANO,MATCH($G214,SUBCATEGORIAS_PLANO,0)),"Não classificado"))</f>
        <v/>
      </c>
      <c r="AI214" s="24">
        <f>IF(OR($C214="",$X214="Pago",$X214="Recebido",$X214="Cancelado"),"",$C214-TODAY())</f>
        <v/>
      </c>
      <c r="AJ214" s="24">
        <f>IF(OR($C214="",$X214="Pago",$X214="Recebido",$X214="Cancelado"),0,MAX(0,TODAY()-$C214))</f>
        <v/>
      </c>
      <c r="AK214" s="24">
        <f>IF($D214="","",$D214-$B214)</f>
        <v/>
      </c>
      <c r="AL214" s="18">
        <f>IF(OR($D214="",$B214=""),"",ROUND(N($R214)*($D214-$B214),2))</f>
        <v/>
      </c>
      <c r="AM214" s="17">
        <f>IF(AND($E214="Saída",$W214&gt;0,$C214&lt;&gt;""),$C214+ROW()/1000000,"")</f>
        <v/>
      </c>
      <c r="AN214" s="17">
        <f>IF(AND($E214="Entrada",$W214&gt;0,$C214&lt;&gt;""),$C214+ROW()/1000000,"")</f>
        <v/>
      </c>
      <c r="AO214" s="9">
        <f>IF(COUNTA($B214:$R214)=0,"",IF(AND($I214&lt;&gt;"",COUNTIF(CLIENTES_NOMES,$I214)+COUNTIF(CLIENTES_FANTASIA,$I214)+COUNTIF(FORNECEDORES_NOMES,$I214)+COUNTIF(FORNECEDORES_FANTASIA,$I214)=0),"⚠ Cliente/Fornecedor não cadastrado",IF(AND($G214&lt;&gt;"",COUNTIF(SUBCATEGORIAS_PLANO,$G214)=0),"⚠ Subcategoria fora do plano de contas",IF(OR($Q214="",N($Q214)=0),"⚠ Valor previsto não informado",IF(AND(OR($X214="Pago",$X214="Recebido"),$D214=""),"⚠ Status pago/recebido sem data",IF(AND($D214&lt;&gt;"",N($R214)=0),"⚠ Data de pagamento sem valor realizado",IF(AND(N($P214)&gt;1,N($O214)&gt;N($P214)),"⚠ Nº da parcela maior que o total",IF(AND($C214&lt;&gt;"",$B214&lt;&gt;"",$C214&lt;$B214),"⚠ Vencimento anterior à competência","OK"))))))))</f>
        <v/>
      </c>
    </row>
    <row r="215">
      <c r="A215" s="14" t="inlineStr">
        <is>
          <t>L0210</t>
        </is>
      </c>
      <c r="B215" s="36" t="n">
        <v>46154</v>
      </c>
      <c r="C215" s="36" t="n">
        <v>46246</v>
      </c>
      <c r="D215" s="36" t="n">
        <v>46246</v>
      </c>
      <c r="E215" s="14" t="inlineStr">
        <is>
          <t>Saída</t>
        </is>
      </c>
      <c r="F215" s="29" t="inlineStr">
        <is>
          <t>Empréstimos e Financiamentos</t>
        </is>
      </c>
      <c r="G215" s="29" t="inlineStr">
        <is>
          <t>Parcelamento de Dívidas e Tributos</t>
        </is>
      </c>
      <c r="H215" s="29" t="inlineStr">
        <is>
          <t>Financeiro</t>
        </is>
      </c>
      <c r="I215" s="29" t="inlineStr">
        <is>
          <t>RECEITA FEDERAL DO BRASIL</t>
        </is>
      </c>
      <c r="J215" s="29" t="inlineStr">
        <is>
          <t>Parcelamento de tributos — parcela 4/6</t>
        </is>
      </c>
      <c r="K215" s="14" t="inlineStr">
        <is>
          <t>PAR-04</t>
        </is>
      </c>
      <c r="L215" s="29" t="inlineStr">
        <is>
          <t>Itaú Unibanco — C/C 45678-9</t>
        </is>
      </c>
      <c r="M215" s="14" t="inlineStr">
        <is>
          <t>Transferência</t>
        </is>
      </c>
      <c r="N215" s="29" t="n"/>
      <c r="O215" s="13" t="n">
        <v>4</v>
      </c>
      <c r="P215" s="13" t="n">
        <v>6</v>
      </c>
      <c r="Q215" s="35" t="n">
        <v>1480</v>
      </c>
      <c r="R215" s="35" t="n">
        <v>1480</v>
      </c>
      <c r="S215" s="35" t="n"/>
      <c r="T215" s="35" t="n"/>
      <c r="U215" s="35" t="n"/>
      <c r="V215" s="18">
        <f>IF(COUNTA($B215:$R215)=0,"",ROUND(N($R215)+N($S215)+N($T215)-N($U215),2))</f>
        <v/>
      </c>
      <c r="W215" s="18">
        <f>IF(COUNTA($B215:$R215)=0,"",IF(OR($X215="Pago",$X215="Recebido",$X215="Cancelado"),0,ROUND(N($Q215)+N($S215)+N($T215)-N($U215)-N($R215),2)))</f>
        <v/>
      </c>
      <c r="X215" s="14" t="inlineStr">
        <is>
          <t>Pago</t>
        </is>
      </c>
      <c r="Y215" s="17">
        <f>IF(COUNTA($B215:$R215)=0,"",IF($X215="Cancelado","Cancelado",IF(OR($X215="Pago",$X215="Recebido"),$X215,IF(OR($X215="Parcial",N($R215)&gt;0),"Parcial",IF($C215="","Sem vencimento",IF($C215&lt;TODAY(),"Vencido",IF($C215=TODAY(),"Vence hoje",IF($C215&lt;=TODAY()+7,"Vence em 7 dias",IF($C215&lt;=TODAY()+30,"Vence em 30 dias","Futuro")))))))))</f>
        <v/>
      </c>
      <c r="Z215" s="24">
        <f>IF($B215="","",MONTH($B215))</f>
        <v/>
      </c>
      <c r="AA215" s="24">
        <f>IF($B215="","",YEAR($B215))</f>
        <v/>
      </c>
      <c r="AB215" s="24">
        <f>IF($B215="","",ISOWEEKNUM($B215))</f>
        <v/>
      </c>
      <c r="AC215" s="17">
        <f>IF($B215="","",CHOOSE(WEEKDAY($B215,2),"Segunda","Terça","Quarta","Quinta","Sexta","Sábado","Domingo"))</f>
        <v/>
      </c>
      <c r="AD215" s="17">
        <f>IF($B215="","",TEXT($B215,"MM/AAAA"))</f>
        <v/>
      </c>
      <c r="AE215" s="18">
        <f>IF(COUNTA($B215:$R215)=0,"",IF($X215="Cancelado",0,ROUND(N($Q215)+N($S215)+N($T215)-N($U215),2)))</f>
        <v/>
      </c>
      <c r="AF215" s="9">
        <f>IF($G215="","",IFERROR(INDEX(LINHAS_DRE_PLANO,MATCH($G215,SUBCATEGORIAS_PLANO,0)),"Não classificado"))</f>
        <v/>
      </c>
      <c r="AG215" s="17">
        <f>IF($G215="","",IFERROR(INDEX(TIPOS_FLUXO_PLANO,MATCH($G215,SUBCATEGORIAS_PLANO,0)),"Não classificado"))</f>
        <v/>
      </c>
      <c r="AH215" s="9">
        <f>IF($G215="","",IFERROR(INDEX(GRUPOS_PLANO,MATCH($G215,SUBCATEGORIAS_PLANO,0)),"Não classificado"))</f>
        <v/>
      </c>
      <c r="AI215" s="24">
        <f>IF(OR($C215="",$X215="Pago",$X215="Recebido",$X215="Cancelado"),"",$C215-TODAY())</f>
        <v/>
      </c>
      <c r="AJ215" s="24">
        <f>IF(OR($C215="",$X215="Pago",$X215="Recebido",$X215="Cancelado"),0,MAX(0,TODAY()-$C215))</f>
        <v/>
      </c>
      <c r="AK215" s="24">
        <f>IF($D215="","",$D215-$B215)</f>
        <v/>
      </c>
      <c r="AL215" s="18">
        <f>IF(OR($D215="",$B215=""),"",ROUND(N($R215)*($D215-$B215),2))</f>
        <v/>
      </c>
      <c r="AM215" s="17">
        <f>IF(AND($E215="Saída",$W215&gt;0,$C215&lt;&gt;""),$C215+ROW()/1000000,"")</f>
        <v/>
      </c>
      <c r="AN215" s="17">
        <f>IF(AND($E215="Entrada",$W215&gt;0,$C215&lt;&gt;""),$C215+ROW()/1000000,"")</f>
        <v/>
      </c>
      <c r="AO215" s="9">
        <f>IF(COUNTA($B215:$R215)=0,"",IF(AND($I215&lt;&gt;"",COUNTIF(CLIENTES_NOMES,$I215)+COUNTIF(CLIENTES_FANTASIA,$I215)+COUNTIF(FORNECEDORES_NOMES,$I215)+COUNTIF(FORNECEDORES_FANTASIA,$I215)=0),"⚠ Cliente/Fornecedor não cadastrado",IF(AND($G215&lt;&gt;"",COUNTIF(SUBCATEGORIAS_PLANO,$G215)=0),"⚠ Subcategoria fora do plano de contas",IF(OR($Q215="",N($Q215)=0),"⚠ Valor previsto não informado",IF(AND(OR($X215="Pago",$X215="Recebido"),$D215=""),"⚠ Status pago/recebido sem data",IF(AND($D215&lt;&gt;"",N($R215)=0),"⚠ Data de pagamento sem valor realizado",IF(AND(N($P215)&gt;1,N($O215)&gt;N($P215)),"⚠ Nº da parcela maior que o total",IF(AND($C215&lt;&gt;"",$B215&lt;&gt;"",$C215&lt;$B215),"⚠ Vencimento anterior à competência","OK"))))))))</f>
        <v/>
      </c>
    </row>
    <row r="216">
      <c r="A216" s="14" t="inlineStr">
        <is>
          <t>L0211</t>
        </is>
      </c>
      <c r="B216" s="36" t="n">
        <v>46154</v>
      </c>
      <c r="C216" s="36" t="n">
        <v>46277</v>
      </c>
      <c r="D216" s="36" t="n">
        <v>46277</v>
      </c>
      <c r="E216" s="14" t="inlineStr">
        <is>
          <t>Saída</t>
        </is>
      </c>
      <c r="F216" s="29" t="inlineStr">
        <is>
          <t>Empréstimos e Financiamentos</t>
        </is>
      </c>
      <c r="G216" s="29" t="inlineStr">
        <is>
          <t>Parcelamento de Dívidas e Tributos</t>
        </is>
      </c>
      <c r="H216" s="29" t="inlineStr">
        <is>
          <t>Financeiro</t>
        </is>
      </c>
      <c r="I216" s="29" t="inlineStr">
        <is>
          <t>RECEITA FEDERAL DO BRASIL</t>
        </is>
      </c>
      <c r="J216" s="29" t="inlineStr">
        <is>
          <t>Parcelamento de tributos — parcela 5/6</t>
        </is>
      </c>
      <c r="K216" s="14" t="inlineStr">
        <is>
          <t>PAR-05</t>
        </is>
      </c>
      <c r="L216" s="29" t="inlineStr">
        <is>
          <t>Banco do Brasil — C/C 12345-6</t>
        </is>
      </c>
      <c r="M216" s="14" t="inlineStr">
        <is>
          <t>Transferência</t>
        </is>
      </c>
      <c r="N216" s="29" t="n"/>
      <c r="O216" s="13" t="n">
        <v>5</v>
      </c>
      <c r="P216" s="13" t="n">
        <v>6</v>
      </c>
      <c r="Q216" s="35" t="n">
        <v>1480</v>
      </c>
      <c r="R216" s="35" t="n">
        <v>1480</v>
      </c>
      <c r="S216" s="35" t="n"/>
      <c r="T216" s="35" t="n"/>
      <c r="U216" s="35" t="n"/>
      <c r="V216" s="18">
        <f>IF(COUNTA($B216:$R216)=0,"",ROUND(N($R216)+N($S216)+N($T216)-N($U216),2))</f>
        <v/>
      </c>
      <c r="W216" s="18">
        <f>IF(COUNTA($B216:$R216)=0,"",IF(OR($X216="Pago",$X216="Recebido",$X216="Cancelado"),0,ROUND(N($Q216)+N($S216)+N($T216)-N($U216)-N($R216),2)))</f>
        <v/>
      </c>
      <c r="X216" s="14" t="inlineStr">
        <is>
          <t>Pago</t>
        </is>
      </c>
      <c r="Y216" s="17">
        <f>IF(COUNTA($B216:$R216)=0,"",IF($X216="Cancelado","Cancelado",IF(OR($X216="Pago",$X216="Recebido"),$X216,IF(OR($X216="Parcial",N($R216)&gt;0),"Parcial",IF($C216="","Sem vencimento",IF($C216&lt;TODAY(),"Vencido",IF($C216=TODAY(),"Vence hoje",IF($C216&lt;=TODAY()+7,"Vence em 7 dias",IF($C216&lt;=TODAY()+30,"Vence em 30 dias","Futuro")))))))))</f>
        <v/>
      </c>
      <c r="Z216" s="24">
        <f>IF($B216="","",MONTH($B216))</f>
        <v/>
      </c>
      <c r="AA216" s="24">
        <f>IF($B216="","",YEAR($B216))</f>
        <v/>
      </c>
      <c r="AB216" s="24">
        <f>IF($B216="","",ISOWEEKNUM($B216))</f>
        <v/>
      </c>
      <c r="AC216" s="17">
        <f>IF($B216="","",CHOOSE(WEEKDAY($B216,2),"Segunda","Terça","Quarta","Quinta","Sexta","Sábado","Domingo"))</f>
        <v/>
      </c>
      <c r="AD216" s="17">
        <f>IF($B216="","",TEXT($B216,"MM/AAAA"))</f>
        <v/>
      </c>
      <c r="AE216" s="18">
        <f>IF(COUNTA($B216:$R216)=0,"",IF($X216="Cancelado",0,ROUND(N($Q216)+N($S216)+N($T216)-N($U216),2)))</f>
        <v/>
      </c>
      <c r="AF216" s="9">
        <f>IF($G216="","",IFERROR(INDEX(LINHAS_DRE_PLANO,MATCH($G216,SUBCATEGORIAS_PLANO,0)),"Não classificado"))</f>
        <v/>
      </c>
      <c r="AG216" s="17">
        <f>IF($G216="","",IFERROR(INDEX(TIPOS_FLUXO_PLANO,MATCH($G216,SUBCATEGORIAS_PLANO,0)),"Não classificado"))</f>
        <v/>
      </c>
      <c r="AH216" s="9">
        <f>IF($G216="","",IFERROR(INDEX(GRUPOS_PLANO,MATCH($G216,SUBCATEGORIAS_PLANO,0)),"Não classificado"))</f>
        <v/>
      </c>
      <c r="AI216" s="24">
        <f>IF(OR($C216="",$X216="Pago",$X216="Recebido",$X216="Cancelado"),"",$C216-TODAY())</f>
        <v/>
      </c>
      <c r="AJ216" s="24">
        <f>IF(OR($C216="",$X216="Pago",$X216="Recebido",$X216="Cancelado"),0,MAX(0,TODAY()-$C216))</f>
        <v/>
      </c>
      <c r="AK216" s="24">
        <f>IF($D216="","",$D216-$B216)</f>
        <v/>
      </c>
      <c r="AL216" s="18">
        <f>IF(OR($D216="",$B216=""),"",ROUND(N($R216)*($D216-$B216),2))</f>
        <v/>
      </c>
      <c r="AM216" s="17">
        <f>IF(AND($E216="Saída",$W216&gt;0,$C216&lt;&gt;""),$C216+ROW()/1000000,"")</f>
        <v/>
      </c>
      <c r="AN216" s="17">
        <f>IF(AND($E216="Entrada",$W216&gt;0,$C216&lt;&gt;""),$C216+ROW()/1000000,"")</f>
        <v/>
      </c>
      <c r="AO216" s="9">
        <f>IF(COUNTA($B216:$R216)=0,"",IF(AND($I216&lt;&gt;"",COUNTIF(CLIENTES_NOMES,$I216)+COUNTIF(CLIENTES_FANTASIA,$I216)+COUNTIF(FORNECEDORES_NOMES,$I216)+COUNTIF(FORNECEDORES_FANTASIA,$I216)=0),"⚠ Cliente/Fornecedor não cadastrado",IF(AND($G216&lt;&gt;"",COUNTIF(SUBCATEGORIAS_PLANO,$G216)=0),"⚠ Subcategoria fora do plano de contas",IF(OR($Q216="",N($Q216)=0),"⚠ Valor previsto não informado",IF(AND(OR($X216="Pago",$X216="Recebido"),$D216=""),"⚠ Status pago/recebido sem data",IF(AND($D216&lt;&gt;"",N($R216)=0),"⚠ Data de pagamento sem valor realizado",IF(AND(N($P216)&gt;1,N($O216)&gt;N($P216)),"⚠ Nº da parcela maior que o total",IF(AND($C216&lt;&gt;"",$B216&lt;&gt;"",$C216&lt;$B216),"⚠ Vencimento anterior à competência","OK"))))))))</f>
        <v/>
      </c>
    </row>
    <row r="217">
      <c r="A217" s="14" t="inlineStr">
        <is>
          <t>L0212</t>
        </is>
      </c>
      <c r="B217" s="36" t="n">
        <v>46154</v>
      </c>
      <c r="C217" s="36" t="n">
        <v>46307</v>
      </c>
      <c r="D217" s="36" t="n"/>
      <c r="E217" s="14" t="inlineStr">
        <is>
          <t>Saída</t>
        </is>
      </c>
      <c r="F217" s="29" t="inlineStr">
        <is>
          <t>Empréstimos e Financiamentos</t>
        </is>
      </c>
      <c r="G217" s="29" t="inlineStr">
        <is>
          <t>Parcelamento de Dívidas e Tributos</t>
        </is>
      </c>
      <c r="H217" s="29" t="inlineStr">
        <is>
          <t>Financeiro</t>
        </is>
      </c>
      <c r="I217" s="29" t="inlineStr">
        <is>
          <t>RECEITA FEDERAL DO BRASIL</t>
        </is>
      </c>
      <c r="J217" s="29" t="inlineStr">
        <is>
          <t>Parcelamento de tributos — parcela 6/6</t>
        </is>
      </c>
      <c r="K217" s="14" t="inlineStr">
        <is>
          <t>PAR-06</t>
        </is>
      </c>
      <c r="L217" s="29" t="inlineStr">
        <is>
          <t>Banco do Brasil — C/C 12345-6</t>
        </is>
      </c>
      <c r="M217" s="14" t="inlineStr">
        <is>
          <t>Transferência</t>
        </is>
      </c>
      <c r="N217" s="29" t="n"/>
      <c r="O217" s="13" t="n">
        <v>6</v>
      </c>
      <c r="P217" s="13" t="n">
        <v>6</v>
      </c>
      <c r="Q217" s="35" t="n">
        <v>1480</v>
      </c>
      <c r="R217" s="35" t="n"/>
      <c r="S217" s="35" t="n"/>
      <c r="T217" s="35" t="n"/>
      <c r="U217" s="35" t="n"/>
      <c r="V217" s="18">
        <f>IF(COUNTA($B217:$R217)=0,"",ROUND(N($R217)+N($S217)+N($T217)-N($U217),2))</f>
        <v/>
      </c>
      <c r="W217" s="18">
        <f>IF(COUNTA($B217:$R217)=0,"",IF(OR($X217="Pago",$X217="Recebido",$X217="Cancelado"),0,ROUND(N($Q217)+N($S217)+N($T217)-N($U217)-N($R217),2)))</f>
        <v/>
      </c>
      <c r="X217" s="14" t="inlineStr">
        <is>
          <t>Previsto</t>
        </is>
      </c>
      <c r="Y217" s="17">
        <f>IF(COUNTA($B217:$R217)=0,"",IF($X217="Cancelado","Cancelado",IF(OR($X217="Pago",$X217="Recebido"),$X217,IF(OR($X217="Parcial",N($R217)&gt;0),"Parcial",IF($C217="","Sem vencimento",IF($C217&lt;TODAY(),"Vencido",IF($C217=TODAY(),"Vence hoje",IF($C217&lt;=TODAY()+7,"Vence em 7 dias",IF($C217&lt;=TODAY()+30,"Vence em 30 dias","Futuro")))))))))</f>
        <v/>
      </c>
      <c r="Z217" s="24">
        <f>IF($B217="","",MONTH($B217))</f>
        <v/>
      </c>
      <c r="AA217" s="24">
        <f>IF($B217="","",YEAR($B217))</f>
        <v/>
      </c>
      <c r="AB217" s="24">
        <f>IF($B217="","",ISOWEEKNUM($B217))</f>
        <v/>
      </c>
      <c r="AC217" s="17">
        <f>IF($B217="","",CHOOSE(WEEKDAY($B217,2),"Segunda","Terça","Quarta","Quinta","Sexta","Sábado","Domingo"))</f>
        <v/>
      </c>
      <c r="AD217" s="17">
        <f>IF($B217="","",TEXT($B217,"MM/AAAA"))</f>
        <v/>
      </c>
      <c r="AE217" s="18">
        <f>IF(COUNTA($B217:$R217)=0,"",IF($X217="Cancelado",0,ROUND(N($Q217)+N($S217)+N($T217)-N($U217),2)))</f>
        <v/>
      </c>
      <c r="AF217" s="9">
        <f>IF($G217="","",IFERROR(INDEX(LINHAS_DRE_PLANO,MATCH($G217,SUBCATEGORIAS_PLANO,0)),"Não classificado"))</f>
        <v/>
      </c>
      <c r="AG217" s="17">
        <f>IF($G217="","",IFERROR(INDEX(TIPOS_FLUXO_PLANO,MATCH($G217,SUBCATEGORIAS_PLANO,0)),"Não classificado"))</f>
        <v/>
      </c>
      <c r="AH217" s="9">
        <f>IF($G217="","",IFERROR(INDEX(GRUPOS_PLANO,MATCH($G217,SUBCATEGORIAS_PLANO,0)),"Não classificado"))</f>
        <v/>
      </c>
      <c r="AI217" s="24">
        <f>IF(OR($C217="",$X217="Pago",$X217="Recebido",$X217="Cancelado"),"",$C217-TODAY())</f>
        <v/>
      </c>
      <c r="AJ217" s="24">
        <f>IF(OR($C217="",$X217="Pago",$X217="Recebido",$X217="Cancelado"),0,MAX(0,TODAY()-$C217))</f>
        <v/>
      </c>
      <c r="AK217" s="24">
        <f>IF($D217="","",$D217-$B217)</f>
        <v/>
      </c>
      <c r="AL217" s="18">
        <f>IF(OR($D217="",$B217=""),"",ROUND(N($R217)*($D217-$B217),2))</f>
        <v/>
      </c>
      <c r="AM217" s="17">
        <f>IF(AND($E217="Saída",$W217&gt;0,$C217&lt;&gt;""),$C217+ROW()/1000000,"")</f>
        <v/>
      </c>
      <c r="AN217" s="17">
        <f>IF(AND($E217="Entrada",$W217&gt;0,$C217&lt;&gt;""),$C217+ROW()/1000000,"")</f>
        <v/>
      </c>
      <c r="AO217" s="9">
        <f>IF(COUNTA($B217:$R217)=0,"",IF(AND($I217&lt;&gt;"",COUNTIF(CLIENTES_NOMES,$I217)+COUNTIF(CLIENTES_FANTASIA,$I217)+COUNTIF(FORNECEDORES_NOMES,$I217)+COUNTIF(FORNECEDORES_FANTASIA,$I217)=0),"⚠ Cliente/Fornecedor não cadastrado",IF(AND($G217&lt;&gt;"",COUNTIF(SUBCATEGORIAS_PLANO,$G217)=0),"⚠ Subcategoria fora do plano de contas",IF(OR($Q217="",N($Q217)=0),"⚠ Valor previsto não informado",IF(AND(OR($X217="Pago",$X217="Recebido"),$D217=""),"⚠ Status pago/recebido sem data",IF(AND($D217&lt;&gt;"",N($R217)=0),"⚠ Data de pagamento sem valor realizado",IF(AND(N($P217)&gt;1,N($O217)&gt;N($P217)),"⚠ Nº da parcela maior que o total",IF(AND($C217&lt;&gt;"",$B217&lt;&gt;"",$C217&lt;$B217),"⚠ Vencimento anterior à competência","OK"))))))))</f>
        <v/>
      </c>
    </row>
    <row r="218">
      <c r="A218" s="14" t="inlineStr">
        <is>
          <t>L0213</t>
        </is>
      </c>
      <c r="B218" s="36" t="n">
        <v>46157</v>
      </c>
      <c r="C218" s="36" t="n">
        <v>46169</v>
      </c>
      <c r="D218" s="36" t="n">
        <v>46172</v>
      </c>
      <c r="E218" s="14" t="inlineStr">
        <is>
          <t>Saída</t>
        </is>
      </c>
      <c r="F218" s="29" t="inlineStr">
        <is>
          <t>Despesas Administrativas</t>
        </is>
      </c>
      <c r="G218" s="29" t="inlineStr">
        <is>
          <t>Água e Saneamento</t>
        </is>
      </c>
      <c r="H218" s="29" t="inlineStr">
        <is>
          <t>Administrativo</t>
        </is>
      </c>
      <c r="I218" s="29" t="inlineStr">
        <is>
          <t>SABESP — SANEAMENTO BÁSICO DO ESTADO DE SÃO PAULO</t>
        </is>
      </c>
      <c r="J218" s="29" t="inlineStr">
        <is>
          <t>Água e saneamento — fatura 05/2026</t>
        </is>
      </c>
      <c r="K218" s="14" t="inlineStr">
        <is>
          <t>DOC 8332</t>
        </is>
      </c>
      <c r="L218" s="29" t="inlineStr">
        <is>
          <t>Itaú Unibanco — C/C 45678-9</t>
        </is>
      </c>
      <c r="M218" s="14" t="inlineStr">
        <is>
          <t>Débito automático</t>
        </is>
      </c>
      <c r="N218" s="29" t="n"/>
      <c r="O218" s="13" t="n">
        <v>1</v>
      </c>
      <c r="P218" s="13" t="n">
        <v>1</v>
      </c>
      <c r="Q218" s="35" t="n">
        <v>473.81</v>
      </c>
      <c r="R218" s="35" t="n">
        <v>473.81</v>
      </c>
      <c r="S218" s="35" t="n"/>
      <c r="T218" s="35" t="n"/>
      <c r="U218" s="35" t="n"/>
      <c r="V218" s="18">
        <f>IF(COUNTA($B218:$R218)=0,"",ROUND(N($R218)+N($S218)+N($T218)-N($U218),2))</f>
        <v/>
      </c>
      <c r="W218" s="18">
        <f>IF(COUNTA($B218:$R218)=0,"",IF(OR($X218="Pago",$X218="Recebido",$X218="Cancelado"),0,ROUND(N($Q218)+N($S218)+N($T218)-N($U218)-N($R218),2)))</f>
        <v/>
      </c>
      <c r="X218" s="14" t="inlineStr">
        <is>
          <t>Pago</t>
        </is>
      </c>
      <c r="Y218" s="17">
        <f>IF(COUNTA($B218:$R218)=0,"",IF($X218="Cancelado","Cancelado",IF(OR($X218="Pago",$X218="Recebido"),$X218,IF(OR($X218="Parcial",N($R218)&gt;0),"Parcial",IF($C218="","Sem vencimento",IF($C218&lt;TODAY(),"Vencido",IF($C218=TODAY(),"Vence hoje",IF($C218&lt;=TODAY()+7,"Vence em 7 dias",IF($C218&lt;=TODAY()+30,"Vence em 30 dias","Futuro")))))))))</f>
        <v/>
      </c>
      <c r="Z218" s="24">
        <f>IF($B218="","",MONTH($B218))</f>
        <v/>
      </c>
      <c r="AA218" s="24">
        <f>IF($B218="","",YEAR($B218))</f>
        <v/>
      </c>
      <c r="AB218" s="24">
        <f>IF($B218="","",ISOWEEKNUM($B218))</f>
        <v/>
      </c>
      <c r="AC218" s="17">
        <f>IF($B218="","",CHOOSE(WEEKDAY($B218,2),"Segunda","Terça","Quarta","Quinta","Sexta","Sábado","Domingo"))</f>
        <v/>
      </c>
      <c r="AD218" s="17">
        <f>IF($B218="","",TEXT($B218,"MM/AAAA"))</f>
        <v/>
      </c>
      <c r="AE218" s="18">
        <f>IF(COUNTA($B218:$R218)=0,"",IF($X218="Cancelado",0,ROUND(N($Q218)+N($S218)+N($T218)-N($U218),2)))</f>
        <v/>
      </c>
      <c r="AF218" s="9">
        <f>IF($G218="","",IFERROR(INDEX(LINHAS_DRE_PLANO,MATCH($G218,SUBCATEGORIAS_PLANO,0)),"Não classificado"))</f>
        <v/>
      </c>
      <c r="AG218" s="17">
        <f>IF($G218="","",IFERROR(INDEX(TIPOS_FLUXO_PLANO,MATCH($G218,SUBCATEGORIAS_PLANO,0)),"Não classificado"))</f>
        <v/>
      </c>
      <c r="AH218" s="9">
        <f>IF($G218="","",IFERROR(INDEX(GRUPOS_PLANO,MATCH($G218,SUBCATEGORIAS_PLANO,0)),"Não classificado"))</f>
        <v/>
      </c>
      <c r="AI218" s="24">
        <f>IF(OR($C218="",$X218="Pago",$X218="Recebido",$X218="Cancelado"),"",$C218-TODAY())</f>
        <v/>
      </c>
      <c r="AJ218" s="24">
        <f>IF(OR($C218="",$X218="Pago",$X218="Recebido",$X218="Cancelado"),0,MAX(0,TODAY()-$C218))</f>
        <v/>
      </c>
      <c r="AK218" s="24">
        <f>IF($D218="","",$D218-$B218)</f>
        <v/>
      </c>
      <c r="AL218" s="18">
        <f>IF(OR($D218="",$B218=""),"",ROUND(N($R218)*($D218-$B218),2))</f>
        <v/>
      </c>
      <c r="AM218" s="17">
        <f>IF(AND($E218="Saída",$W218&gt;0,$C218&lt;&gt;""),$C218+ROW()/1000000,"")</f>
        <v/>
      </c>
      <c r="AN218" s="17">
        <f>IF(AND($E218="Entrada",$W218&gt;0,$C218&lt;&gt;""),$C218+ROW()/1000000,"")</f>
        <v/>
      </c>
      <c r="AO218" s="9">
        <f>IF(COUNTA($B218:$R218)=0,"",IF(AND($I218&lt;&gt;"",COUNTIF(CLIENTES_NOMES,$I218)+COUNTIF(CLIENTES_FANTASIA,$I218)+COUNTIF(FORNECEDORES_NOMES,$I218)+COUNTIF(FORNECEDORES_FANTASIA,$I218)=0),"⚠ Cliente/Fornecedor não cadastrado",IF(AND($G218&lt;&gt;"",COUNTIF(SUBCATEGORIAS_PLANO,$G218)=0),"⚠ Subcategoria fora do plano de contas",IF(OR($Q218="",N($Q218)=0),"⚠ Valor previsto não informado",IF(AND(OR($X218="Pago",$X218="Recebido"),$D218=""),"⚠ Status pago/recebido sem data",IF(AND($D218&lt;&gt;"",N($R218)=0),"⚠ Data de pagamento sem valor realizado",IF(AND(N($P218)&gt;1,N($O218)&gt;N($P218)),"⚠ Nº da parcela maior que o total",IF(AND($C218&lt;&gt;"",$B218&lt;&gt;"",$C218&lt;$B218),"⚠ Vencimento anterior à competência","OK"))))))))</f>
        <v/>
      </c>
    </row>
    <row r="219">
      <c r="A219" s="14" t="inlineStr">
        <is>
          <t>L0214</t>
        </is>
      </c>
      <c r="B219" s="36" t="n">
        <v>46157</v>
      </c>
      <c r="C219" s="36" t="n">
        <v>46167</v>
      </c>
      <c r="D219" s="36" t="n">
        <v>46167</v>
      </c>
      <c r="E219" s="14" t="inlineStr">
        <is>
          <t>Saída</t>
        </is>
      </c>
      <c r="F219" s="29" t="inlineStr">
        <is>
          <t>Despesas com Pessoal</t>
        </is>
      </c>
      <c r="G219" s="29" t="inlineStr">
        <is>
          <t>Serviços Terceirizados (PJ)</t>
        </is>
      </c>
      <c r="H219" s="29" t="inlineStr">
        <is>
          <t>Produção</t>
        </is>
      </c>
      <c r="I219" s="29" t="inlineStr">
        <is>
          <t>APOIO OPERACIONAL SERVIÇOS LTDA</t>
        </is>
      </c>
      <c r="J219" s="29" t="inlineStr">
        <is>
          <t>Equipe terceirizada de separação e expedição</t>
        </is>
      </c>
      <c r="K219" s="14" t="inlineStr">
        <is>
          <t>DOC 8342</t>
        </is>
      </c>
      <c r="L219" s="29" t="inlineStr">
        <is>
          <t>Banco do Brasil — C/C 12345-6</t>
        </is>
      </c>
      <c r="M219" s="14" t="inlineStr">
        <is>
          <t>PIX</t>
        </is>
      </c>
      <c r="N219" s="29" t="n"/>
      <c r="O219" s="13" t="n">
        <v>1</v>
      </c>
      <c r="P219" s="13" t="n">
        <v>1</v>
      </c>
      <c r="Q219" s="35" t="n">
        <v>1800</v>
      </c>
      <c r="R219" s="35" t="n">
        <v>1800</v>
      </c>
      <c r="S219" s="35" t="n"/>
      <c r="T219" s="35" t="n"/>
      <c r="U219" s="35" t="n"/>
      <c r="V219" s="18">
        <f>IF(COUNTA($B219:$R219)=0,"",ROUND(N($R219)+N($S219)+N($T219)-N($U219),2))</f>
        <v/>
      </c>
      <c r="W219" s="18">
        <f>IF(COUNTA($B219:$R219)=0,"",IF(OR($X219="Pago",$X219="Recebido",$X219="Cancelado"),0,ROUND(N($Q219)+N($S219)+N($T219)-N($U219)-N($R219),2)))</f>
        <v/>
      </c>
      <c r="X219" s="14" t="inlineStr">
        <is>
          <t>Pago</t>
        </is>
      </c>
      <c r="Y219" s="17">
        <f>IF(COUNTA($B219:$R219)=0,"",IF($X219="Cancelado","Cancelado",IF(OR($X219="Pago",$X219="Recebido"),$X219,IF(OR($X219="Parcial",N($R219)&gt;0),"Parcial",IF($C219="","Sem vencimento",IF($C219&lt;TODAY(),"Vencido",IF($C219=TODAY(),"Vence hoje",IF($C219&lt;=TODAY()+7,"Vence em 7 dias",IF($C219&lt;=TODAY()+30,"Vence em 30 dias","Futuro")))))))))</f>
        <v/>
      </c>
      <c r="Z219" s="24">
        <f>IF($B219="","",MONTH($B219))</f>
        <v/>
      </c>
      <c r="AA219" s="24">
        <f>IF($B219="","",YEAR($B219))</f>
        <v/>
      </c>
      <c r="AB219" s="24">
        <f>IF($B219="","",ISOWEEKNUM($B219))</f>
        <v/>
      </c>
      <c r="AC219" s="17">
        <f>IF($B219="","",CHOOSE(WEEKDAY($B219,2),"Segunda","Terça","Quarta","Quinta","Sexta","Sábado","Domingo"))</f>
        <v/>
      </c>
      <c r="AD219" s="17">
        <f>IF($B219="","",TEXT($B219,"MM/AAAA"))</f>
        <v/>
      </c>
      <c r="AE219" s="18">
        <f>IF(COUNTA($B219:$R219)=0,"",IF($X219="Cancelado",0,ROUND(N($Q219)+N($S219)+N($T219)-N($U219),2)))</f>
        <v/>
      </c>
      <c r="AF219" s="9">
        <f>IF($G219="","",IFERROR(INDEX(LINHAS_DRE_PLANO,MATCH($G219,SUBCATEGORIAS_PLANO,0)),"Não classificado"))</f>
        <v/>
      </c>
      <c r="AG219" s="17">
        <f>IF($G219="","",IFERROR(INDEX(TIPOS_FLUXO_PLANO,MATCH($G219,SUBCATEGORIAS_PLANO,0)),"Não classificado"))</f>
        <v/>
      </c>
      <c r="AH219" s="9">
        <f>IF($G219="","",IFERROR(INDEX(GRUPOS_PLANO,MATCH($G219,SUBCATEGORIAS_PLANO,0)),"Não classificado"))</f>
        <v/>
      </c>
      <c r="AI219" s="24">
        <f>IF(OR($C219="",$X219="Pago",$X219="Recebido",$X219="Cancelado"),"",$C219-TODAY())</f>
        <v/>
      </c>
      <c r="AJ219" s="24">
        <f>IF(OR($C219="",$X219="Pago",$X219="Recebido",$X219="Cancelado"),0,MAX(0,TODAY()-$C219))</f>
        <v/>
      </c>
      <c r="AK219" s="24">
        <f>IF($D219="","",$D219-$B219)</f>
        <v/>
      </c>
      <c r="AL219" s="18">
        <f>IF(OR($D219="",$B219=""),"",ROUND(N($R219)*($D219-$B219),2))</f>
        <v/>
      </c>
      <c r="AM219" s="17">
        <f>IF(AND($E219="Saída",$W219&gt;0,$C219&lt;&gt;""),$C219+ROW()/1000000,"")</f>
        <v/>
      </c>
      <c r="AN219" s="17">
        <f>IF(AND($E219="Entrada",$W219&gt;0,$C219&lt;&gt;""),$C219+ROW()/1000000,"")</f>
        <v/>
      </c>
      <c r="AO219" s="9">
        <f>IF(COUNTA($B219:$R219)=0,"",IF(AND($I219&lt;&gt;"",COUNTIF(CLIENTES_NOMES,$I219)+COUNTIF(CLIENTES_FANTASIA,$I219)+COUNTIF(FORNECEDORES_NOMES,$I219)+COUNTIF(FORNECEDORES_FANTASIA,$I219)=0),"⚠ Cliente/Fornecedor não cadastrado",IF(AND($G219&lt;&gt;"",COUNTIF(SUBCATEGORIAS_PLANO,$G219)=0),"⚠ Subcategoria fora do plano de contas",IF(OR($Q219="",N($Q219)=0),"⚠ Valor previsto não informado",IF(AND(OR($X219="Pago",$X219="Recebido"),$D219=""),"⚠ Status pago/recebido sem data",IF(AND($D219&lt;&gt;"",N($R219)=0),"⚠ Data de pagamento sem valor realizado",IF(AND(N($P219)&gt;1,N($O219)&gt;N($P219)),"⚠ Nº da parcela maior que o total",IF(AND($C219&lt;&gt;"",$B219&lt;&gt;"",$C219&lt;$B219),"⚠ Vencimento anterior à competência","OK"))))))))</f>
        <v/>
      </c>
    </row>
    <row r="220">
      <c r="A220" s="14" t="inlineStr">
        <is>
          <t>L0215</t>
        </is>
      </c>
      <c r="B220" s="36" t="n">
        <v>46157</v>
      </c>
      <c r="C220" s="36" t="n">
        <v>46157</v>
      </c>
      <c r="D220" s="36" t="n">
        <v>46157</v>
      </c>
      <c r="E220" s="14" t="inlineStr">
        <is>
          <t>Saída</t>
        </is>
      </c>
      <c r="F220" s="29" t="inlineStr">
        <is>
          <t>Empréstimos e Financiamentos</t>
        </is>
      </c>
      <c r="G220" s="29" t="inlineStr">
        <is>
          <t>Pagamento de Principal de Empréstimos</t>
        </is>
      </c>
      <c r="H220" s="29" t="inlineStr">
        <is>
          <t>Financeiro</t>
        </is>
      </c>
      <c r="I220" s="29" t="inlineStr">
        <is>
          <t>BNDES / Banco do Brasil</t>
        </is>
      </c>
      <c r="J220" s="29" t="inlineStr">
        <is>
          <t>Financiamento de Máquinas — parcela 3/36 (principal)</t>
        </is>
      </c>
      <c r="K220" s="14" t="inlineStr">
        <is>
          <t>FIN-2026-1198-P03</t>
        </is>
      </c>
      <c r="L220" s="29" t="inlineStr">
        <is>
          <t>Banco do Brasil — C/C 12345-6</t>
        </is>
      </c>
      <c r="M220" s="14" t="inlineStr">
        <is>
          <t>Débito automático</t>
        </is>
      </c>
      <c r="N220" s="29" t="n"/>
      <c r="O220" s="13" t="n">
        <v>3</v>
      </c>
      <c r="P220" s="13" t="n">
        <v>36</v>
      </c>
      <c r="Q220" s="35" t="n">
        <v>3333.33</v>
      </c>
      <c r="R220" s="35" t="n">
        <v>3333.33</v>
      </c>
      <c r="S220" s="35" t="n"/>
      <c r="T220" s="35" t="n"/>
      <c r="U220" s="35" t="n"/>
      <c r="V220" s="18">
        <f>IF(COUNTA($B220:$R220)=0,"",ROUND(N($R220)+N($S220)+N($T220)-N($U220),2))</f>
        <v/>
      </c>
      <c r="W220" s="18">
        <f>IF(COUNTA($B220:$R220)=0,"",IF(OR($X220="Pago",$X220="Recebido",$X220="Cancelado"),0,ROUND(N($Q220)+N($S220)+N($T220)-N($U220)-N($R220),2)))</f>
        <v/>
      </c>
      <c r="X220" s="14" t="inlineStr">
        <is>
          <t>Pago</t>
        </is>
      </c>
      <c r="Y220" s="17">
        <f>IF(COUNTA($B220:$R220)=0,"",IF($X220="Cancelado","Cancelado",IF(OR($X220="Pago",$X220="Recebido"),$X220,IF(OR($X220="Parcial",N($R220)&gt;0),"Parcial",IF($C220="","Sem vencimento",IF($C220&lt;TODAY(),"Vencido",IF($C220=TODAY(),"Vence hoje",IF($C220&lt;=TODAY()+7,"Vence em 7 dias",IF($C220&lt;=TODAY()+30,"Vence em 30 dias","Futuro")))))))))</f>
        <v/>
      </c>
      <c r="Z220" s="24">
        <f>IF($B220="","",MONTH($B220))</f>
        <v/>
      </c>
      <c r="AA220" s="24">
        <f>IF($B220="","",YEAR($B220))</f>
        <v/>
      </c>
      <c r="AB220" s="24">
        <f>IF($B220="","",ISOWEEKNUM($B220))</f>
        <v/>
      </c>
      <c r="AC220" s="17">
        <f>IF($B220="","",CHOOSE(WEEKDAY($B220,2),"Segunda","Terça","Quarta","Quinta","Sexta","Sábado","Domingo"))</f>
        <v/>
      </c>
      <c r="AD220" s="17">
        <f>IF($B220="","",TEXT($B220,"MM/AAAA"))</f>
        <v/>
      </c>
      <c r="AE220" s="18">
        <f>IF(COUNTA($B220:$R220)=0,"",IF($X220="Cancelado",0,ROUND(N($Q220)+N($S220)+N($T220)-N($U220),2)))</f>
        <v/>
      </c>
      <c r="AF220" s="9">
        <f>IF($G220="","",IFERROR(INDEX(LINHAS_DRE_PLANO,MATCH($G220,SUBCATEGORIAS_PLANO,0)),"Não classificado"))</f>
        <v/>
      </c>
      <c r="AG220" s="17">
        <f>IF($G220="","",IFERROR(INDEX(TIPOS_FLUXO_PLANO,MATCH($G220,SUBCATEGORIAS_PLANO,0)),"Não classificado"))</f>
        <v/>
      </c>
      <c r="AH220" s="9">
        <f>IF($G220="","",IFERROR(INDEX(GRUPOS_PLANO,MATCH($G220,SUBCATEGORIAS_PLANO,0)),"Não classificado"))</f>
        <v/>
      </c>
      <c r="AI220" s="24">
        <f>IF(OR($C220="",$X220="Pago",$X220="Recebido",$X220="Cancelado"),"",$C220-TODAY())</f>
        <v/>
      </c>
      <c r="AJ220" s="24">
        <f>IF(OR($C220="",$X220="Pago",$X220="Recebido",$X220="Cancelado"),0,MAX(0,TODAY()-$C220))</f>
        <v/>
      </c>
      <c r="AK220" s="24">
        <f>IF($D220="","",$D220-$B220)</f>
        <v/>
      </c>
      <c r="AL220" s="18">
        <f>IF(OR($D220="",$B220=""),"",ROUND(N($R220)*($D220-$B220),2))</f>
        <v/>
      </c>
      <c r="AM220" s="17">
        <f>IF(AND($E220="Saída",$W220&gt;0,$C220&lt;&gt;""),$C220+ROW()/1000000,"")</f>
        <v/>
      </c>
      <c r="AN220" s="17">
        <f>IF(AND($E220="Entrada",$W220&gt;0,$C220&lt;&gt;""),$C220+ROW()/1000000,"")</f>
        <v/>
      </c>
      <c r="AO220" s="9">
        <f>IF(COUNTA($B220:$R220)=0,"",IF(AND($I220&lt;&gt;"",COUNTIF(CLIENTES_NOMES,$I220)+COUNTIF(CLIENTES_FANTASIA,$I220)+COUNTIF(FORNECEDORES_NOMES,$I220)+COUNTIF(FORNECEDORES_FANTASIA,$I220)=0),"⚠ Cliente/Fornecedor não cadastrado",IF(AND($G220&lt;&gt;"",COUNTIF(SUBCATEGORIAS_PLANO,$G220)=0),"⚠ Subcategoria fora do plano de contas",IF(OR($Q220="",N($Q220)=0),"⚠ Valor previsto não informado",IF(AND(OR($X220="Pago",$X220="Recebido"),$D220=""),"⚠ Status pago/recebido sem data",IF(AND($D220&lt;&gt;"",N($R220)=0),"⚠ Data de pagamento sem valor realizado",IF(AND(N($P220)&gt;1,N($O220)&gt;N($P220)),"⚠ Nº da parcela maior que o total",IF(AND($C220&lt;&gt;"",$B220&lt;&gt;"",$C220&lt;$B220),"⚠ Vencimento anterior à competência","OK"))))))))</f>
        <v/>
      </c>
    </row>
    <row r="221">
      <c r="A221" s="14" t="inlineStr">
        <is>
          <t>L0216</t>
        </is>
      </c>
      <c r="B221" s="36" t="n">
        <v>46157</v>
      </c>
      <c r="C221" s="36" t="n">
        <v>46157</v>
      </c>
      <c r="D221" s="36" t="n">
        <v>46157</v>
      </c>
      <c r="E221" s="14" t="inlineStr">
        <is>
          <t>Saída</t>
        </is>
      </c>
      <c r="F221" s="29" t="inlineStr">
        <is>
          <t>Despesas Financeiras</t>
        </is>
      </c>
      <c r="G221" s="29" t="inlineStr">
        <is>
          <t>Juros de Empréstimos e Financiamentos</t>
        </is>
      </c>
      <c r="H221" s="29" t="inlineStr">
        <is>
          <t>Financeiro</t>
        </is>
      </c>
      <c r="I221" s="29" t="inlineStr">
        <is>
          <t>BNDES / Banco do Brasil</t>
        </is>
      </c>
      <c r="J221" s="29" t="inlineStr">
        <is>
          <t>Financiamento de Máquinas — parcela 3/36 (juros)</t>
        </is>
      </c>
      <c r="K221" s="14" t="inlineStr">
        <is>
          <t>FIN-2026-1198-P03</t>
        </is>
      </c>
      <c r="L221" s="29" t="inlineStr">
        <is>
          <t>Banco do Brasil — C/C 12345-6</t>
        </is>
      </c>
      <c r="M221" s="14" t="inlineStr">
        <is>
          <t>Débito automático</t>
        </is>
      </c>
      <c r="N221" s="29" t="n"/>
      <c r="O221" s="13" t="n">
        <v>3</v>
      </c>
      <c r="P221" s="13" t="n">
        <v>36</v>
      </c>
      <c r="Q221" s="35" t="n">
        <v>1246.67</v>
      </c>
      <c r="R221" s="35" t="n">
        <v>1246.67</v>
      </c>
      <c r="S221" s="35" t="n"/>
      <c r="T221" s="35" t="n"/>
      <c r="U221" s="35" t="n"/>
      <c r="V221" s="18">
        <f>IF(COUNTA($B221:$R221)=0,"",ROUND(N($R221)+N($S221)+N($T221)-N($U221),2))</f>
        <v/>
      </c>
      <c r="W221" s="18">
        <f>IF(COUNTA($B221:$R221)=0,"",IF(OR($X221="Pago",$X221="Recebido",$X221="Cancelado"),0,ROUND(N($Q221)+N($S221)+N($T221)-N($U221)-N($R221),2)))</f>
        <v/>
      </c>
      <c r="X221" s="14" t="inlineStr">
        <is>
          <t>Pago</t>
        </is>
      </c>
      <c r="Y221" s="17">
        <f>IF(COUNTA($B221:$R221)=0,"",IF($X221="Cancelado","Cancelado",IF(OR($X221="Pago",$X221="Recebido"),$X221,IF(OR($X221="Parcial",N($R221)&gt;0),"Parcial",IF($C221="","Sem vencimento",IF($C221&lt;TODAY(),"Vencido",IF($C221=TODAY(),"Vence hoje",IF($C221&lt;=TODAY()+7,"Vence em 7 dias",IF($C221&lt;=TODAY()+30,"Vence em 30 dias","Futuro")))))))))</f>
        <v/>
      </c>
      <c r="Z221" s="24">
        <f>IF($B221="","",MONTH($B221))</f>
        <v/>
      </c>
      <c r="AA221" s="24">
        <f>IF($B221="","",YEAR($B221))</f>
        <v/>
      </c>
      <c r="AB221" s="24">
        <f>IF($B221="","",ISOWEEKNUM($B221))</f>
        <v/>
      </c>
      <c r="AC221" s="17">
        <f>IF($B221="","",CHOOSE(WEEKDAY($B221,2),"Segunda","Terça","Quarta","Quinta","Sexta","Sábado","Domingo"))</f>
        <v/>
      </c>
      <c r="AD221" s="17">
        <f>IF($B221="","",TEXT($B221,"MM/AAAA"))</f>
        <v/>
      </c>
      <c r="AE221" s="18">
        <f>IF(COUNTA($B221:$R221)=0,"",IF($X221="Cancelado",0,ROUND(N($Q221)+N($S221)+N($T221)-N($U221),2)))</f>
        <v/>
      </c>
      <c r="AF221" s="9">
        <f>IF($G221="","",IFERROR(INDEX(LINHAS_DRE_PLANO,MATCH($G221,SUBCATEGORIAS_PLANO,0)),"Não classificado"))</f>
        <v/>
      </c>
      <c r="AG221" s="17">
        <f>IF($G221="","",IFERROR(INDEX(TIPOS_FLUXO_PLANO,MATCH($G221,SUBCATEGORIAS_PLANO,0)),"Não classificado"))</f>
        <v/>
      </c>
      <c r="AH221" s="9">
        <f>IF($G221="","",IFERROR(INDEX(GRUPOS_PLANO,MATCH($G221,SUBCATEGORIAS_PLANO,0)),"Não classificado"))</f>
        <v/>
      </c>
      <c r="AI221" s="24">
        <f>IF(OR($C221="",$X221="Pago",$X221="Recebido",$X221="Cancelado"),"",$C221-TODAY())</f>
        <v/>
      </c>
      <c r="AJ221" s="24">
        <f>IF(OR($C221="",$X221="Pago",$X221="Recebido",$X221="Cancelado"),0,MAX(0,TODAY()-$C221))</f>
        <v/>
      </c>
      <c r="AK221" s="24">
        <f>IF($D221="","",$D221-$B221)</f>
        <v/>
      </c>
      <c r="AL221" s="18">
        <f>IF(OR($D221="",$B221=""),"",ROUND(N($R221)*($D221-$B221),2))</f>
        <v/>
      </c>
      <c r="AM221" s="17">
        <f>IF(AND($E221="Saída",$W221&gt;0,$C221&lt;&gt;""),$C221+ROW()/1000000,"")</f>
        <v/>
      </c>
      <c r="AN221" s="17">
        <f>IF(AND($E221="Entrada",$W221&gt;0,$C221&lt;&gt;""),$C221+ROW()/1000000,"")</f>
        <v/>
      </c>
      <c r="AO221" s="9">
        <f>IF(COUNTA($B221:$R221)=0,"",IF(AND($I221&lt;&gt;"",COUNTIF(CLIENTES_NOMES,$I221)+COUNTIF(CLIENTES_FANTASIA,$I221)+COUNTIF(FORNECEDORES_NOMES,$I221)+COUNTIF(FORNECEDORES_FANTASIA,$I221)=0),"⚠ Cliente/Fornecedor não cadastrado",IF(AND($G221&lt;&gt;"",COUNTIF(SUBCATEGORIAS_PLANO,$G221)=0),"⚠ Subcategoria fora do plano de contas",IF(OR($Q221="",N($Q221)=0),"⚠ Valor previsto não informado",IF(AND(OR($X221="Pago",$X221="Recebido"),$D221=""),"⚠ Status pago/recebido sem data",IF(AND($D221&lt;&gt;"",N($R221)=0),"⚠ Data de pagamento sem valor realizado",IF(AND(N($P221)&gt;1,N($O221)&gt;N($P221)),"⚠ Nº da parcela maior que o total",IF(AND($C221&lt;&gt;"",$B221&lt;&gt;"",$C221&lt;$B221),"⚠ Vencimento anterior à competência","OK"))))))))</f>
        <v/>
      </c>
    </row>
    <row r="222">
      <c r="A222" s="14" t="inlineStr">
        <is>
          <t>L0217</t>
        </is>
      </c>
      <c r="B222" s="36" t="n">
        <v>46158</v>
      </c>
      <c r="C222" s="36" t="n">
        <v>46188</v>
      </c>
      <c r="D222" s="36" t="n">
        <v>46190</v>
      </c>
      <c r="E222" s="14" t="inlineStr">
        <is>
          <t>Saída</t>
        </is>
      </c>
      <c r="F222" s="29" t="inlineStr">
        <is>
          <t>Custos Variáveis</t>
        </is>
      </c>
      <c r="G222" s="29" t="inlineStr">
        <is>
          <t>Mercadorias para Revenda</t>
        </is>
      </c>
      <c r="H222" s="29" t="inlineStr">
        <is>
          <t>Logística</t>
        </is>
      </c>
      <c r="I222" s="29" t="inlineStr">
        <is>
          <t>DISTRIBUIDORA CENTRAL DE ALIMENTOS S/A</t>
        </is>
      </c>
      <c r="J222" s="29" t="inlineStr">
        <is>
          <t>Compra de mercadorias para revenda — NF 5051</t>
        </is>
      </c>
      <c r="K222" s="14" t="inlineStr">
        <is>
          <t>NF 5051</t>
        </is>
      </c>
      <c r="L222" s="29" t="inlineStr">
        <is>
          <t>Itaú Unibanco — C/C 45678-9</t>
        </is>
      </c>
      <c r="M222" s="14" t="inlineStr">
        <is>
          <t>Boleto</t>
        </is>
      </c>
      <c r="N222" s="29" t="n"/>
      <c r="O222" s="13" t="n">
        <v>1</v>
      </c>
      <c r="P222" s="13" t="n">
        <v>1</v>
      </c>
      <c r="Q222" s="35" t="n">
        <v>58134.17</v>
      </c>
      <c r="R222" s="35" t="n">
        <v>58134.17</v>
      </c>
      <c r="S222" s="35" t="n"/>
      <c r="T222" s="35" t="n"/>
      <c r="U222" s="35" t="n"/>
      <c r="V222" s="18">
        <f>IF(COUNTA($B222:$R222)=0,"",ROUND(N($R222)+N($S222)+N($T222)-N($U222),2))</f>
        <v/>
      </c>
      <c r="W222" s="18">
        <f>IF(COUNTA($B222:$R222)=0,"",IF(OR($X222="Pago",$X222="Recebido",$X222="Cancelado"),0,ROUND(N($Q222)+N($S222)+N($T222)-N($U222)-N($R222),2)))</f>
        <v/>
      </c>
      <c r="X222" s="14" t="inlineStr">
        <is>
          <t>Pago</t>
        </is>
      </c>
      <c r="Y222" s="17">
        <f>IF(COUNTA($B222:$R222)=0,"",IF($X222="Cancelado","Cancelado",IF(OR($X222="Pago",$X222="Recebido"),$X222,IF(OR($X222="Parcial",N($R222)&gt;0),"Parcial",IF($C222="","Sem vencimento",IF($C222&lt;TODAY(),"Vencido",IF($C222=TODAY(),"Vence hoje",IF($C222&lt;=TODAY()+7,"Vence em 7 dias",IF($C222&lt;=TODAY()+30,"Vence em 30 dias","Futuro")))))))))</f>
        <v/>
      </c>
      <c r="Z222" s="24">
        <f>IF($B222="","",MONTH($B222))</f>
        <v/>
      </c>
      <c r="AA222" s="24">
        <f>IF($B222="","",YEAR($B222))</f>
        <v/>
      </c>
      <c r="AB222" s="24">
        <f>IF($B222="","",ISOWEEKNUM($B222))</f>
        <v/>
      </c>
      <c r="AC222" s="17">
        <f>IF($B222="","",CHOOSE(WEEKDAY($B222,2),"Segunda","Terça","Quarta","Quinta","Sexta","Sábado","Domingo"))</f>
        <v/>
      </c>
      <c r="AD222" s="17">
        <f>IF($B222="","",TEXT($B222,"MM/AAAA"))</f>
        <v/>
      </c>
      <c r="AE222" s="18">
        <f>IF(COUNTA($B222:$R222)=0,"",IF($X222="Cancelado",0,ROUND(N($Q222)+N($S222)+N($T222)-N($U222),2)))</f>
        <v/>
      </c>
      <c r="AF222" s="9">
        <f>IF($G222="","",IFERROR(INDEX(LINHAS_DRE_PLANO,MATCH($G222,SUBCATEGORIAS_PLANO,0)),"Não classificado"))</f>
        <v/>
      </c>
      <c r="AG222" s="17">
        <f>IF($G222="","",IFERROR(INDEX(TIPOS_FLUXO_PLANO,MATCH($G222,SUBCATEGORIAS_PLANO,0)),"Não classificado"))</f>
        <v/>
      </c>
      <c r="AH222" s="9">
        <f>IF($G222="","",IFERROR(INDEX(GRUPOS_PLANO,MATCH($G222,SUBCATEGORIAS_PLANO,0)),"Não classificado"))</f>
        <v/>
      </c>
      <c r="AI222" s="24">
        <f>IF(OR($C222="",$X222="Pago",$X222="Recebido",$X222="Cancelado"),"",$C222-TODAY())</f>
        <v/>
      </c>
      <c r="AJ222" s="24">
        <f>IF(OR($C222="",$X222="Pago",$X222="Recebido",$X222="Cancelado"),0,MAX(0,TODAY()-$C222))</f>
        <v/>
      </c>
      <c r="AK222" s="24">
        <f>IF($D222="","",$D222-$B222)</f>
        <v/>
      </c>
      <c r="AL222" s="18">
        <f>IF(OR($D222="",$B222=""),"",ROUND(N($R222)*($D222-$B222),2))</f>
        <v/>
      </c>
      <c r="AM222" s="17">
        <f>IF(AND($E222="Saída",$W222&gt;0,$C222&lt;&gt;""),$C222+ROW()/1000000,"")</f>
        <v/>
      </c>
      <c r="AN222" s="17">
        <f>IF(AND($E222="Entrada",$W222&gt;0,$C222&lt;&gt;""),$C222+ROW()/1000000,"")</f>
        <v/>
      </c>
      <c r="AO222" s="9">
        <f>IF(COUNTA($B222:$R222)=0,"",IF(AND($I222&lt;&gt;"",COUNTIF(CLIENTES_NOMES,$I222)+COUNTIF(CLIENTES_FANTASIA,$I222)+COUNTIF(FORNECEDORES_NOMES,$I222)+COUNTIF(FORNECEDORES_FANTASIA,$I222)=0),"⚠ Cliente/Fornecedor não cadastrado",IF(AND($G222&lt;&gt;"",COUNTIF(SUBCATEGORIAS_PLANO,$G222)=0),"⚠ Subcategoria fora do plano de contas",IF(OR($Q222="",N($Q222)=0),"⚠ Valor previsto não informado",IF(AND(OR($X222="Pago",$X222="Recebido"),$D222=""),"⚠ Status pago/recebido sem data",IF(AND($D222&lt;&gt;"",N($R222)=0),"⚠ Data de pagamento sem valor realizado",IF(AND(N($P222)&gt;1,N($O222)&gt;N($P222)),"⚠ Nº da parcela maior que o total",IF(AND($C222&lt;&gt;"",$B222&lt;&gt;"",$C222&lt;$B222),"⚠ Vencimento anterior à competência","OK"))))))))</f>
        <v/>
      </c>
    </row>
    <row r="223">
      <c r="A223" s="14" t="inlineStr">
        <is>
          <t>L0218</t>
        </is>
      </c>
      <c r="B223" s="36" t="n">
        <v>46160</v>
      </c>
      <c r="C223" s="36" t="n">
        <v>46170</v>
      </c>
      <c r="D223" s="36" t="n">
        <v>46170</v>
      </c>
      <c r="E223" s="14" t="inlineStr">
        <is>
          <t>Saída</t>
        </is>
      </c>
      <c r="F223" s="29" t="inlineStr">
        <is>
          <t>Despesas Comerciais</t>
        </is>
      </c>
      <c r="G223" s="29" t="inlineStr">
        <is>
          <t>Publicidade e Anúncios</t>
        </is>
      </c>
      <c r="H223" s="29" t="inlineStr">
        <is>
          <t>Marketing</t>
        </is>
      </c>
      <c r="I223" s="29" t="inlineStr">
        <is>
          <t>GOOGLE BRASIL INTERNET LTDA</t>
        </is>
      </c>
      <c r="J223" s="29" t="inlineStr">
        <is>
          <t>Anúncios e campanhas digitais</t>
        </is>
      </c>
      <c r="K223" s="14" t="inlineStr">
        <is>
          <t>DOC 8341</t>
        </is>
      </c>
      <c r="L223" s="29" t="inlineStr">
        <is>
          <t>Nubank PJ — C/C 9876543-2</t>
        </is>
      </c>
      <c r="M223" s="14" t="inlineStr">
        <is>
          <t>Cartão de crédito</t>
        </is>
      </c>
      <c r="N223" s="29" t="inlineStr">
        <is>
          <t>Cartão Mastercard Nubank PJ</t>
        </is>
      </c>
      <c r="O223" s="13" t="n">
        <v>1</v>
      </c>
      <c r="P223" s="13" t="n">
        <v>1</v>
      </c>
      <c r="Q223" s="35" t="n">
        <v>1293.12</v>
      </c>
      <c r="R223" s="35" t="n">
        <v>1293.12</v>
      </c>
      <c r="S223" s="35" t="n"/>
      <c r="T223" s="35" t="n"/>
      <c r="U223" s="35" t="n"/>
      <c r="V223" s="18">
        <f>IF(COUNTA($B223:$R223)=0,"",ROUND(N($R223)+N($S223)+N($T223)-N($U223),2))</f>
        <v/>
      </c>
      <c r="W223" s="18">
        <f>IF(COUNTA($B223:$R223)=0,"",IF(OR($X223="Pago",$X223="Recebido",$X223="Cancelado"),0,ROUND(N($Q223)+N($S223)+N($T223)-N($U223)-N($R223),2)))</f>
        <v/>
      </c>
      <c r="X223" s="14" t="inlineStr">
        <is>
          <t>Pago</t>
        </is>
      </c>
      <c r="Y223" s="17">
        <f>IF(COUNTA($B223:$R223)=0,"",IF($X223="Cancelado","Cancelado",IF(OR($X223="Pago",$X223="Recebido"),$X223,IF(OR($X223="Parcial",N($R223)&gt;0),"Parcial",IF($C223="","Sem vencimento",IF($C223&lt;TODAY(),"Vencido",IF($C223=TODAY(),"Vence hoje",IF($C223&lt;=TODAY()+7,"Vence em 7 dias",IF($C223&lt;=TODAY()+30,"Vence em 30 dias","Futuro")))))))))</f>
        <v/>
      </c>
      <c r="Z223" s="24">
        <f>IF($B223="","",MONTH($B223))</f>
        <v/>
      </c>
      <c r="AA223" s="24">
        <f>IF($B223="","",YEAR($B223))</f>
        <v/>
      </c>
      <c r="AB223" s="24">
        <f>IF($B223="","",ISOWEEKNUM($B223))</f>
        <v/>
      </c>
      <c r="AC223" s="17">
        <f>IF($B223="","",CHOOSE(WEEKDAY($B223,2),"Segunda","Terça","Quarta","Quinta","Sexta","Sábado","Domingo"))</f>
        <v/>
      </c>
      <c r="AD223" s="17">
        <f>IF($B223="","",TEXT($B223,"MM/AAAA"))</f>
        <v/>
      </c>
      <c r="AE223" s="18">
        <f>IF(COUNTA($B223:$R223)=0,"",IF($X223="Cancelado",0,ROUND(N($Q223)+N($S223)+N($T223)-N($U223),2)))</f>
        <v/>
      </c>
      <c r="AF223" s="9">
        <f>IF($G223="","",IFERROR(INDEX(LINHAS_DRE_PLANO,MATCH($G223,SUBCATEGORIAS_PLANO,0)),"Não classificado"))</f>
        <v/>
      </c>
      <c r="AG223" s="17">
        <f>IF($G223="","",IFERROR(INDEX(TIPOS_FLUXO_PLANO,MATCH($G223,SUBCATEGORIAS_PLANO,0)),"Não classificado"))</f>
        <v/>
      </c>
      <c r="AH223" s="9">
        <f>IF($G223="","",IFERROR(INDEX(GRUPOS_PLANO,MATCH($G223,SUBCATEGORIAS_PLANO,0)),"Não classificado"))</f>
        <v/>
      </c>
      <c r="AI223" s="24">
        <f>IF(OR($C223="",$X223="Pago",$X223="Recebido",$X223="Cancelado"),"",$C223-TODAY())</f>
        <v/>
      </c>
      <c r="AJ223" s="24">
        <f>IF(OR($C223="",$X223="Pago",$X223="Recebido",$X223="Cancelado"),0,MAX(0,TODAY()-$C223))</f>
        <v/>
      </c>
      <c r="AK223" s="24">
        <f>IF($D223="","",$D223-$B223)</f>
        <v/>
      </c>
      <c r="AL223" s="18">
        <f>IF(OR($D223="",$B223=""),"",ROUND(N($R223)*($D223-$B223),2))</f>
        <v/>
      </c>
      <c r="AM223" s="17">
        <f>IF(AND($E223="Saída",$W223&gt;0,$C223&lt;&gt;""),$C223+ROW()/1000000,"")</f>
        <v/>
      </c>
      <c r="AN223" s="17">
        <f>IF(AND($E223="Entrada",$W223&gt;0,$C223&lt;&gt;""),$C223+ROW()/1000000,"")</f>
        <v/>
      </c>
      <c r="AO223" s="9">
        <f>IF(COUNTA($B223:$R223)=0,"",IF(AND($I223&lt;&gt;"",COUNTIF(CLIENTES_NOMES,$I223)+COUNTIF(CLIENTES_FANTASIA,$I223)+COUNTIF(FORNECEDORES_NOMES,$I223)+COUNTIF(FORNECEDORES_FANTASIA,$I223)=0),"⚠ Cliente/Fornecedor não cadastrado",IF(AND($G223&lt;&gt;"",COUNTIF(SUBCATEGORIAS_PLANO,$G223)=0),"⚠ Subcategoria fora do plano de contas",IF(OR($Q223="",N($Q223)=0),"⚠ Valor previsto não informado",IF(AND(OR($X223="Pago",$X223="Recebido"),$D223=""),"⚠ Status pago/recebido sem data",IF(AND($D223&lt;&gt;"",N($R223)=0),"⚠ Data de pagamento sem valor realizado",IF(AND(N($P223)&gt;1,N($O223)&gt;N($P223)),"⚠ Nº da parcela maior que o total",IF(AND($C223&lt;&gt;"",$B223&lt;&gt;"",$C223&lt;$B223),"⚠ Vencimento anterior à competência","OK"))))))))</f>
        <v/>
      </c>
    </row>
    <row r="224">
      <c r="A224" s="14" t="inlineStr">
        <is>
          <t>L0219</t>
        </is>
      </c>
      <c r="B224" s="36" t="n">
        <v>46160</v>
      </c>
      <c r="C224" s="36" t="n">
        <v>46198</v>
      </c>
      <c r="D224" s="36" t="n">
        <v>46199</v>
      </c>
      <c r="E224" s="14" t="inlineStr">
        <is>
          <t>Saída</t>
        </is>
      </c>
      <c r="F224" s="29" t="inlineStr">
        <is>
          <t>Despesas Administrativas</t>
        </is>
      </c>
      <c r="G224" s="29" t="inlineStr">
        <is>
          <t>Manutenção e Conservação</t>
        </is>
      </c>
      <c r="H224" s="29" t="inlineStr">
        <is>
          <t>Logística</t>
        </is>
      </c>
      <c r="I224" s="29" t="inlineStr">
        <is>
          <t>Posto e oficina credenciados</t>
        </is>
      </c>
      <c r="J224" s="29" t="inlineStr">
        <is>
          <t>Combustível e manutenção da frota</t>
        </is>
      </c>
      <c r="K224" s="14" t="inlineStr">
        <is>
          <t>FROTA 05</t>
        </is>
      </c>
      <c r="L224" s="29" t="inlineStr">
        <is>
          <t>Banco do Brasil — C/C 12345-6</t>
        </is>
      </c>
      <c r="M224" s="14" t="inlineStr">
        <is>
          <t>Cartão de crédito</t>
        </is>
      </c>
      <c r="N224" s="29" t="inlineStr">
        <is>
          <t>Cartão Elo Banco do Brasil PJ</t>
        </is>
      </c>
      <c r="O224" s="13" t="n">
        <v>1</v>
      </c>
      <c r="P224" s="13" t="n">
        <v>1</v>
      </c>
      <c r="Q224" s="35" t="n">
        <v>935.67</v>
      </c>
      <c r="R224" s="35" t="n">
        <v>935.67</v>
      </c>
      <c r="S224" s="35" t="n"/>
      <c r="T224" s="35" t="n"/>
      <c r="U224" s="35" t="n"/>
      <c r="V224" s="18">
        <f>IF(COUNTA($B224:$R224)=0,"",ROUND(N($R224)+N($S224)+N($T224)-N($U224),2))</f>
        <v/>
      </c>
      <c r="W224" s="18">
        <f>IF(COUNTA($B224:$R224)=0,"",IF(OR($X224="Pago",$X224="Recebido",$X224="Cancelado"),0,ROUND(N($Q224)+N($S224)+N($T224)-N($U224)-N($R224),2)))</f>
        <v/>
      </c>
      <c r="X224" s="14" t="inlineStr">
        <is>
          <t>Pago</t>
        </is>
      </c>
      <c r="Y224" s="17">
        <f>IF(COUNTA($B224:$R224)=0,"",IF($X224="Cancelado","Cancelado",IF(OR($X224="Pago",$X224="Recebido"),$X224,IF(OR($X224="Parcial",N($R224)&gt;0),"Parcial",IF($C224="","Sem vencimento",IF($C224&lt;TODAY(),"Vencido",IF($C224=TODAY(),"Vence hoje",IF($C224&lt;=TODAY()+7,"Vence em 7 dias",IF($C224&lt;=TODAY()+30,"Vence em 30 dias","Futuro")))))))))</f>
        <v/>
      </c>
      <c r="Z224" s="24">
        <f>IF($B224="","",MONTH($B224))</f>
        <v/>
      </c>
      <c r="AA224" s="24">
        <f>IF($B224="","",YEAR($B224))</f>
        <v/>
      </c>
      <c r="AB224" s="24">
        <f>IF($B224="","",ISOWEEKNUM($B224))</f>
        <v/>
      </c>
      <c r="AC224" s="17">
        <f>IF($B224="","",CHOOSE(WEEKDAY($B224,2),"Segunda","Terça","Quarta","Quinta","Sexta","Sábado","Domingo"))</f>
        <v/>
      </c>
      <c r="AD224" s="17">
        <f>IF($B224="","",TEXT($B224,"MM/AAAA"))</f>
        <v/>
      </c>
      <c r="AE224" s="18">
        <f>IF(COUNTA($B224:$R224)=0,"",IF($X224="Cancelado",0,ROUND(N($Q224)+N($S224)+N($T224)-N($U224),2)))</f>
        <v/>
      </c>
      <c r="AF224" s="9">
        <f>IF($G224="","",IFERROR(INDEX(LINHAS_DRE_PLANO,MATCH($G224,SUBCATEGORIAS_PLANO,0)),"Não classificado"))</f>
        <v/>
      </c>
      <c r="AG224" s="17">
        <f>IF($G224="","",IFERROR(INDEX(TIPOS_FLUXO_PLANO,MATCH($G224,SUBCATEGORIAS_PLANO,0)),"Não classificado"))</f>
        <v/>
      </c>
      <c r="AH224" s="9">
        <f>IF($G224="","",IFERROR(INDEX(GRUPOS_PLANO,MATCH($G224,SUBCATEGORIAS_PLANO,0)),"Não classificado"))</f>
        <v/>
      </c>
      <c r="AI224" s="24">
        <f>IF(OR($C224="",$X224="Pago",$X224="Recebido",$X224="Cancelado"),"",$C224-TODAY())</f>
        <v/>
      </c>
      <c r="AJ224" s="24">
        <f>IF(OR($C224="",$X224="Pago",$X224="Recebido",$X224="Cancelado"),0,MAX(0,TODAY()-$C224))</f>
        <v/>
      </c>
      <c r="AK224" s="24">
        <f>IF($D224="","",$D224-$B224)</f>
        <v/>
      </c>
      <c r="AL224" s="18">
        <f>IF(OR($D224="",$B224=""),"",ROUND(N($R224)*($D224-$B224),2))</f>
        <v/>
      </c>
      <c r="AM224" s="17">
        <f>IF(AND($E224="Saída",$W224&gt;0,$C224&lt;&gt;""),$C224+ROW()/1000000,"")</f>
        <v/>
      </c>
      <c r="AN224" s="17">
        <f>IF(AND($E224="Entrada",$W224&gt;0,$C224&lt;&gt;""),$C224+ROW()/1000000,"")</f>
        <v/>
      </c>
      <c r="AO224" s="9">
        <f>IF(COUNTA($B224:$R224)=0,"",IF(AND($I224&lt;&gt;"",COUNTIF(CLIENTES_NOMES,$I224)+COUNTIF(CLIENTES_FANTASIA,$I224)+COUNTIF(FORNECEDORES_NOMES,$I224)+COUNTIF(FORNECEDORES_FANTASIA,$I224)=0),"⚠ Cliente/Fornecedor não cadastrado",IF(AND($G224&lt;&gt;"",COUNTIF(SUBCATEGORIAS_PLANO,$G224)=0),"⚠ Subcategoria fora do plano de contas",IF(OR($Q224="",N($Q224)=0),"⚠ Valor previsto não informado",IF(AND(OR($X224="Pago",$X224="Recebido"),$D224=""),"⚠ Status pago/recebido sem data",IF(AND($D224&lt;&gt;"",N($R224)=0),"⚠ Data de pagamento sem valor realizado",IF(AND(N($P224)&gt;1,N($O224)&gt;N($P224)),"⚠ Nº da parcela maior que o total",IF(AND($C224&lt;&gt;"",$B224&lt;&gt;"",$C224&lt;$B224),"⚠ Vencimento anterior à competência","OK"))))))))</f>
        <v/>
      </c>
    </row>
    <row r="225">
      <c r="A225" s="14" t="inlineStr">
        <is>
          <t>L0220</t>
        </is>
      </c>
      <c r="B225" s="36" t="n">
        <v>46161</v>
      </c>
      <c r="C225" s="36" t="n">
        <v>46191</v>
      </c>
      <c r="D225" s="36" t="n">
        <v>46194</v>
      </c>
      <c r="E225" s="14" t="inlineStr">
        <is>
          <t>Entrada</t>
        </is>
      </c>
      <c r="F225" s="29" t="inlineStr">
        <is>
          <t>Vendas</t>
        </is>
      </c>
      <c r="G225" s="29" t="inlineStr">
        <is>
          <t>Vendas de Produtos</t>
        </is>
      </c>
      <c r="H225" s="29" t="inlineStr">
        <is>
          <t>Comercial</t>
        </is>
      </c>
      <c r="I225" s="29" t="inlineStr">
        <is>
          <t>MERCADO BOA COMPRA LTDA</t>
        </is>
      </c>
      <c r="J225" s="29" t="inlineStr">
        <is>
          <t>Venda de mercadorias para revenda</t>
        </is>
      </c>
      <c r="K225" s="14" t="inlineStr">
        <is>
          <t>NF-e 2048</t>
        </is>
      </c>
      <c r="L225" s="29" t="inlineStr">
        <is>
          <t>Banco do Brasil — C/C 12345-6</t>
        </is>
      </c>
      <c r="M225" s="14" t="inlineStr">
        <is>
          <t>Boleto</t>
        </is>
      </c>
      <c r="N225" s="29" t="n"/>
      <c r="O225" s="13" t="n">
        <v>1</v>
      </c>
      <c r="P225" s="13" t="n">
        <v>1</v>
      </c>
      <c r="Q225" s="35" t="n">
        <v>28931.11</v>
      </c>
      <c r="R225" s="35" t="n">
        <v>28931.11</v>
      </c>
      <c r="S225" s="35" t="n"/>
      <c r="T225" s="35" t="n"/>
      <c r="U225" s="35" t="n"/>
      <c r="V225" s="18">
        <f>IF(COUNTA($B225:$R225)=0,"",ROUND(N($R225)+N($S225)+N($T225)-N($U225),2))</f>
        <v/>
      </c>
      <c r="W225" s="18">
        <f>IF(COUNTA($B225:$R225)=0,"",IF(OR($X225="Pago",$X225="Recebido",$X225="Cancelado"),0,ROUND(N($Q225)+N($S225)+N($T225)-N($U225)-N($R225),2)))</f>
        <v/>
      </c>
      <c r="X225" s="14" t="inlineStr">
        <is>
          <t>Pago</t>
        </is>
      </c>
      <c r="Y225" s="17">
        <f>IF(COUNTA($B225:$R225)=0,"",IF($X225="Cancelado","Cancelado",IF(OR($X225="Pago",$X225="Recebido"),$X225,IF(OR($X225="Parcial",N($R225)&gt;0),"Parcial",IF($C225="","Sem vencimento",IF($C225&lt;TODAY(),"Vencido",IF($C225=TODAY(),"Vence hoje",IF($C225&lt;=TODAY()+7,"Vence em 7 dias",IF($C225&lt;=TODAY()+30,"Vence em 30 dias","Futuro")))))))))</f>
        <v/>
      </c>
      <c r="Z225" s="24">
        <f>IF($B225="","",MONTH($B225))</f>
        <v/>
      </c>
      <c r="AA225" s="24">
        <f>IF($B225="","",YEAR($B225))</f>
        <v/>
      </c>
      <c r="AB225" s="24">
        <f>IF($B225="","",ISOWEEKNUM($B225))</f>
        <v/>
      </c>
      <c r="AC225" s="17">
        <f>IF($B225="","",CHOOSE(WEEKDAY($B225,2),"Segunda","Terça","Quarta","Quinta","Sexta","Sábado","Domingo"))</f>
        <v/>
      </c>
      <c r="AD225" s="17">
        <f>IF($B225="","",TEXT($B225,"MM/AAAA"))</f>
        <v/>
      </c>
      <c r="AE225" s="18">
        <f>IF(COUNTA($B225:$R225)=0,"",IF($X225="Cancelado",0,ROUND(N($Q225)+N($S225)+N($T225)-N($U225),2)))</f>
        <v/>
      </c>
      <c r="AF225" s="9">
        <f>IF($G225="","",IFERROR(INDEX(LINHAS_DRE_PLANO,MATCH($G225,SUBCATEGORIAS_PLANO,0)),"Não classificado"))</f>
        <v/>
      </c>
      <c r="AG225" s="17">
        <f>IF($G225="","",IFERROR(INDEX(TIPOS_FLUXO_PLANO,MATCH($G225,SUBCATEGORIAS_PLANO,0)),"Não classificado"))</f>
        <v/>
      </c>
      <c r="AH225" s="9">
        <f>IF($G225="","",IFERROR(INDEX(GRUPOS_PLANO,MATCH($G225,SUBCATEGORIAS_PLANO,0)),"Não classificado"))</f>
        <v/>
      </c>
      <c r="AI225" s="24">
        <f>IF(OR($C225="",$X225="Pago",$X225="Recebido",$X225="Cancelado"),"",$C225-TODAY())</f>
        <v/>
      </c>
      <c r="AJ225" s="24">
        <f>IF(OR($C225="",$X225="Pago",$X225="Recebido",$X225="Cancelado"),0,MAX(0,TODAY()-$C225))</f>
        <v/>
      </c>
      <c r="AK225" s="24">
        <f>IF($D225="","",$D225-$B225)</f>
        <v/>
      </c>
      <c r="AL225" s="18">
        <f>IF(OR($D225="",$B225=""),"",ROUND(N($R225)*($D225-$B225),2))</f>
        <v/>
      </c>
      <c r="AM225" s="17">
        <f>IF(AND($E225="Saída",$W225&gt;0,$C225&lt;&gt;""),$C225+ROW()/1000000,"")</f>
        <v/>
      </c>
      <c r="AN225" s="17">
        <f>IF(AND($E225="Entrada",$W225&gt;0,$C225&lt;&gt;""),$C225+ROW()/1000000,"")</f>
        <v/>
      </c>
      <c r="AO225" s="9">
        <f>IF(COUNTA($B225:$R225)=0,"",IF(AND($I225&lt;&gt;"",COUNTIF(CLIENTES_NOMES,$I225)+COUNTIF(CLIENTES_FANTASIA,$I225)+COUNTIF(FORNECEDORES_NOMES,$I225)+COUNTIF(FORNECEDORES_FANTASIA,$I225)=0),"⚠ Cliente/Fornecedor não cadastrado",IF(AND($G225&lt;&gt;"",COUNTIF(SUBCATEGORIAS_PLANO,$G225)=0),"⚠ Subcategoria fora do plano de contas",IF(OR($Q225="",N($Q225)=0),"⚠ Valor previsto não informado",IF(AND(OR($X225="Pago",$X225="Recebido"),$D225=""),"⚠ Status pago/recebido sem data",IF(AND($D225&lt;&gt;"",N($R225)=0),"⚠ Data de pagamento sem valor realizado",IF(AND(N($P225)&gt;1,N($O225)&gt;N($P225)),"⚠ Nº da parcela maior que o total",IF(AND($C225&lt;&gt;"",$B225&lt;&gt;"",$C225&lt;$B225),"⚠ Vencimento anterior à competência","OK"))))))))</f>
        <v/>
      </c>
    </row>
    <row r="226">
      <c r="A226" s="14" t="inlineStr">
        <is>
          <t>L0221</t>
        </is>
      </c>
      <c r="B226" s="36" t="n">
        <v>46161</v>
      </c>
      <c r="C226" s="36" t="n">
        <v>46176</v>
      </c>
      <c r="D226" s="36" t="n">
        <v>46178</v>
      </c>
      <c r="E226" s="14" t="inlineStr">
        <is>
          <t>Entrada</t>
        </is>
      </c>
      <c r="F226" s="29" t="inlineStr">
        <is>
          <t>Vendas</t>
        </is>
      </c>
      <c r="G226" s="29" t="inlineStr">
        <is>
          <t>Vendas de Produtos</t>
        </is>
      </c>
      <c r="H226" s="29" t="inlineStr">
        <is>
          <t>Comercial</t>
        </is>
      </c>
      <c r="I226" s="29" t="inlineStr">
        <is>
          <t>RESTAURANTE SABOR CASEIRO LTDA</t>
        </is>
      </c>
      <c r="J226" s="29" t="inlineStr">
        <is>
          <t>Venda de mercadorias para revenda</t>
        </is>
      </c>
      <c r="K226" s="14" t="inlineStr">
        <is>
          <t>NF-e 2052</t>
        </is>
      </c>
      <c r="L226" s="29" t="inlineStr">
        <is>
          <t>Itaú Unibanco — C/C 45678-9</t>
        </is>
      </c>
      <c r="M226" s="14" t="inlineStr">
        <is>
          <t>Boleto</t>
        </is>
      </c>
      <c r="N226" s="29" t="n"/>
      <c r="O226" s="13" t="n">
        <v>1</v>
      </c>
      <c r="P226" s="13" t="n">
        <v>1</v>
      </c>
      <c r="Q226" s="35" t="n">
        <v>13257.89</v>
      </c>
      <c r="R226" s="35" t="n">
        <v>13257.89</v>
      </c>
      <c r="S226" s="35" t="n"/>
      <c r="T226" s="35" t="n"/>
      <c r="U226" s="35" t="n"/>
      <c r="V226" s="18">
        <f>IF(COUNTA($B226:$R226)=0,"",ROUND(N($R226)+N($S226)+N($T226)-N($U226),2))</f>
        <v/>
      </c>
      <c r="W226" s="18">
        <f>IF(COUNTA($B226:$R226)=0,"",IF(OR($X226="Pago",$X226="Recebido",$X226="Cancelado"),0,ROUND(N($Q226)+N($S226)+N($T226)-N($U226)-N($R226),2)))</f>
        <v/>
      </c>
      <c r="X226" s="14" t="inlineStr">
        <is>
          <t>Pago</t>
        </is>
      </c>
      <c r="Y226" s="17">
        <f>IF(COUNTA($B226:$R226)=0,"",IF($X226="Cancelado","Cancelado",IF(OR($X226="Pago",$X226="Recebido"),$X226,IF(OR($X226="Parcial",N($R226)&gt;0),"Parcial",IF($C226="","Sem vencimento",IF($C226&lt;TODAY(),"Vencido",IF($C226=TODAY(),"Vence hoje",IF($C226&lt;=TODAY()+7,"Vence em 7 dias",IF($C226&lt;=TODAY()+30,"Vence em 30 dias","Futuro")))))))))</f>
        <v/>
      </c>
      <c r="Z226" s="24">
        <f>IF($B226="","",MONTH($B226))</f>
        <v/>
      </c>
      <c r="AA226" s="24">
        <f>IF($B226="","",YEAR($B226))</f>
        <v/>
      </c>
      <c r="AB226" s="24">
        <f>IF($B226="","",ISOWEEKNUM($B226))</f>
        <v/>
      </c>
      <c r="AC226" s="17">
        <f>IF($B226="","",CHOOSE(WEEKDAY($B226,2),"Segunda","Terça","Quarta","Quinta","Sexta","Sábado","Domingo"))</f>
        <v/>
      </c>
      <c r="AD226" s="17">
        <f>IF($B226="","",TEXT($B226,"MM/AAAA"))</f>
        <v/>
      </c>
      <c r="AE226" s="18">
        <f>IF(COUNTA($B226:$R226)=0,"",IF($X226="Cancelado",0,ROUND(N($Q226)+N($S226)+N($T226)-N($U226),2)))</f>
        <v/>
      </c>
      <c r="AF226" s="9">
        <f>IF($G226="","",IFERROR(INDEX(LINHAS_DRE_PLANO,MATCH($G226,SUBCATEGORIAS_PLANO,0)),"Não classificado"))</f>
        <v/>
      </c>
      <c r="AG226" s="17">
        <f>IF($G226="","",IFERROR(INDEX(TIPOS_FLUXO_PLANO,MATCH($G226,SUBCATEGORIAS_PLANO,0)),"Não classificado"))</f>
        <v/>
      </c>
      <c r="AH226" s="9">
        <f>IF($G226="","",IFERROR(INDEX(GRUPOS_PLANO,MATCH($G226,SUBCATEGORIAS_PLANO,0)),"Não classificado"))</f>
        <v/>
      </c>
      <c r="AI226" s="24">
        <f>IF(OR($C226="",$X226="Pago",$X226="Recebido",$X226="Cancelado"),"",$C226-TODAY())</f>
        <v/>
      </c>
      <c r="AJ226" s="24">
        <f>IF(OR($C226="",$X226="Pago",$X226="Recebido",$X226="Cancelado"),0,MAX(0,TODAY()-$C226))</f>
        <v/>
      </c>
      <c r="AK226" s="24">
        <f>IF($D226="","",$D226-$B226)</f>
        <v/>
      </c>
      <c r="AL226" s="18">
        <f>IF(OR($D226="",$B226=""),"",ROUND(N($R226)*($D226-$B226),2))</f>
        <v/>
      </c>
      <c r="AM226" s="17">
        <f>IF(AND($E226="Saída",$W226&gt;0,$C226&lt;&gt;""),$C226+ROW()/1000000,"")</f>
        <v/>
      </c>
      <c r="AN226" s="17">
        <f>IF(AND($E226="Entrada",$W226&gt;0,$C226&lt;&gt;""),$C226+ROW()/1000000,"")</f>
        <v/>
      </c>
      <c r="AO226" s="9">
        <f>IF(COUNTA($B226:$R226)=0,"",IF(AND($I226&lt;&gt;"",COUNTIF(CLIENTES_NOMES,$I226)+COUNTIF(CLIENTES_FANTASIA,$I226)+COUNTIF(FORNECEDORES_NOMES,$I226)+COUNTIF(FORNECEDORES_FANTASIA,$I226)=0),"⚠ Cliente/Fornecedor não cadastrado",IF(AND($G226&lt;&gt;"",COUNTIF(SUBCATEGORIAS_PLANO,$G226)=0),"⚠ Subcategoria fora do plano de contas",IF(OR($Q226="",N($Q226)=0),"⚠ Valor previsto não informado",IF(AND(OR($X226="Pago",$X226="Recebido"),$D226=""),"⚠ Status pago/recebido sem data",IF(AND($D226&lt;&gt;"",N($R226)=0),"⚠ Data de pagamento sem valor realizado",IF(AND(N($P226)&gt;1,N($O226)&gt;N($P226)),"⚠ Nº da parcela maior que o total",IF(AND($C226&lt;&gt;"",$B226&lt;&gt;"",$C226&lt;$B226),"⚠ Vencimento anterior à competência","OK"))))))))</f>
        <v/>
      </c>
    </row>
    <row r="227">
      <c r="A227" s="14" t="inlineStr">
        <is>
          <t>L0222</t>
        </is>
      </c>
      <c r="B227" s="36" t="n">
        <v>46161</v>
      </c>
      <c r="C227" s="36" t="n">
        <v>46182</v>
      </c>
      <c r="D227" s="36" t="n">
        <v>46182</v>
      </c>
      <c r="E227" s="14" t="inlineStr">
        <is>
          <t>Entrada</t>
        </is>
      </c>
      <c r="F227" s="29" t="inlineStr">
        <is>
          <t>Vendas</t>
        </is>
      </c>
      <c r="G227" s="29" t="inlineStr">
        <is>
          <t>Vendas de Produtos</t>
        </is>
      </c>
      <c r="H227" s="29" t="inlineStr">
        <is>
          <t>Comercial</t>
        </is>
      </c>
      <c r="I227" s="29" t="inlineStr">
        <is>
          <t>EMPÓRIO NATURAL COMÉRCIO LTDA</t>
        </is>
      </c>
      <c r="J227" s="29" t="inlineStr">
        <is>
          <t>Venda de mercadorias para revenda</t>
        </is>
      </c>
      <c r="K227" s="14" t="inlineStr">
        <is>
          <t>NF-e 2058</t>
        </is>
      </c>
      <c r="L227" s="29" t="inlineStr">
        <is>
          <t>Itaú Unibanco — C/C 45678-9</t>
        </is>
      </c>
      <c r="M227" s="14" t="inlineStr">
        <is>
          <t>Boleto</t>
        </is>
      </c>
      <c r="N227" s="29" t="n"/>
      <c r="O227" s="13" t="n">
        <v>1</v>
      </c>
      <c r="P227" s="13" t="n">
        <v>1</v>
      </c>
      <c r="Q227" s="35" t="n">
        <v>18696.97</v>
      </c>
      <c r="R227" s="35" t="n">
        <v>18696.97</v>
      </c>
      <c r="S227" s="35" t="n"/>
      <c r="T227" s="35" t="n"/>
      <c r="U227" s="35" t="n"/>
      <c r="V227" s="18">
        <f>IF(COUNTA($B227:$R227)=0,"",ROUND(N($R227)+N($S227)+N($T227)-N($U227),2))</f>
        <v/>
      </c>
      <c r="W227" s="18">
        <f>IF(COUNTA($B227:$R227)=0,"",IF(OR($X227="Pago",$X227="Recebido",$X227="Cancelado"),0,ROUND(N($Q227)+N($S227)+N($T227)-N($U227)-N($R227),2)))</f>
        <v/>
      </c>
      <c r="X227" s="14" t="inlineStr">
        <is>
          <t>Pago</t>
        </is>
      </c>
      <c r="Y227" s="17">
        <f>IF(COUNTA($B227:$R227)=0,"",IF($X227="Cancelado","Cancelado",IF(OR($X227="Pago",$X227="Recebido"),$X227,IF(OR($X227="Parcial",N($R227)&gt;0),"Parcial",IF($C227="","Sem vencimento",IF($C227&lt;TODAY(),"Vencido",IF($C227=TODAY(),"Vence hoje",IF($C227&lt;=TODAY()+7,"Vence em 7 dias",IF($C227&lt;=TODAY()+30,"Vence em 30 dias","Futuro")))))))))</f>
        <v/>
      </c>
      <c r="Z227" s="24">
        <f>IF($B227="","",MONTH($B227))</f>
        <v/>
      </c>
      <c r="AA227" s="24">
        <f>IF($B227="","",YEAR($B227))</f>
        <v/>
      </c>
      <c r="AB227" s="24">
        <f>IF($B227="","",ISOWEEKNUM($B227))</f>
        <v/>
      </c>
      <c r="AC227" s="17">
        <f>IF($B227="","",CHOOSE(WEEKDAY($B227,2),"Segunda","Terça","Quarta","Quinta","Sexta","Sábado","Domingo"))</f>
        <v/>
      </c>
      <c r="AD227" s="17">
        <f>IF($B227="","",TEXT($B227,"MM/AAAA"))</f>
        <v/>
      </c>
      <c r="AE227" s="18">
        <f>IF(COUNTA($B227:$R227)=0,"",IF($X227="Cancelado",0,ROUND(N($Q227)+N($S227)+N($T227)-N($U227),2)))</f>
        <v/>
      </c>
      <c r="AF227" s="9">
        <f>IF($G227="","",IFERROR(INDEX(LINHAS_DRE_PLANO,MATCH($G227,SUBCATEGORIAS_PLANO,0)),"Não classificado"))</f>
        <v/>
      </c>
      <c r="AG227" s="17">
        <f>IF($G227="","",IFERROR(INDEX(TIPOS_FLUXO_PLANO,MATCH($G227,SUBCATEGORIAS_PLANO,0)),"Não classificado"))</f>
        <v/>
      </c>
      <c r="AH227" s="9">
        <f>IF($G227="","",IFERROR(INDEX(GRUPOS_PLANO,MATCH($G227,SUBCATEGORIAS_PLANO,0)),"Não classificado"))</f>
        <v/>
      </c>
      <c r="AI227" s="24">
        <f>IF(OR($C227="",$X227="Pago",$X227="Recebido",$X227="Cancelado"),"",$C227-TODAY())</f>
        <v/>
      </c>
      <c r="AJ227" s="24">
        <f>IF(OR($C227="",$X227="Pago",$X227="Recebido",$X227="Cancelado"),0,MAX(0,TODAY()-$C227))</f>
        <v/>
      </c>
      <c r="AK227" s="24">
        <f>IF($D227="","",$D227-$B227)</f>
        <v/>
      </c>
      <c r="AL227" s="18">
        <f>IF(OR($D227="",$B227=""),"",ROUND(N($R227)*($D227-$B227),2))</f>
        <v/>
      </c>
      <c r="AM227" s="17">
        <f>IF(AND($E227="Saída",$W227&gt;0,$C227&lt;&gt;""),$C227+ROW()/1000000,"")</f>
        <v/>
      </c>
      <c r="AN227" s="17">
        <f>IF(AND($E227="Entrada",$W227&gt;0,$C227&lt;&gt;""),$C227+ROW()/1000000,"")</f>
        <v/>
      </c>
      <c r="AO227" s="9">
        <f>IF(COUNTA($B227:$R227)=0,"",IF(AND($I227&lt;&gt;"",COUNTIF(CLIENTES_NOMES,$I227)+COUNTIF(CLIENTES_FANTASIA,$I227)+COUNTIF(FORNECEDORES_NOMES,$I227)+COUNTIF(FORNECEDORES_FANTASIA,$I227)=0),"⚠ Cliente/Fornecedor não cadastrado",IF(AND($G227&lt;&gt;"",COUNTIF(SUBCATEGORIAS_PLANO,$G227)=0),"⚠ Subcategoria fora do plano de contas",IF(OR($Q227="",N($Q227)=0),"⚠ Valor previsto não informado",IF(AND(OR($X227="Pago",$X227="Recebido"),$D227=""),"⚠ Status pago/recebido sem data",IF(AND($D227&lt;&gt;"",N($R227)=0),"⚠ Data de pagamento sem valor realizado",IF(AND(N($P227)&gt;1,N($O227)&gt;N($P227)),"⚠ Nº da parcela maior que o total",IF(AND($C227&lt;&gt;"",$B227&lt;&gt;"",$C227&lt;$B227),"⚠ Vencimento anterior à competência","OK"))))))))</f>
        <v/>
      </c>
    </row>
    <row r="228">
      <c r="A228" s="14" t="inlineStr">
        <is>
          <t>L0223</t>
        </is>
      </c>
      <c r="B228" s="36" t="n">
        <v>46162</v>
      </c>
      <c r="C228" s="36" t="n">
        <v>46172</v>
      </c>
      <c r="D228" s="36" t="n">
        <v>46175</v>
      </c>
      <c r="E228" s="14" t="inlineStr">
        <is>
          <t>Saída</t>
        </is>
      </c>
      <c r="F228" s="29" t="inlineStr">
        <is>
          <t>Custos Variáveis</t>
        </is>
      </c>
      <c r="G228" s="29" t="inlineStr">
        <is>
          <t>Outros Custos Diretos</t>
        </is>
      </c>
      <c r="H228" s="29" t="inlineStr">
        <is>
          <t>Produção</t>
        </is>
      </c>
      <c r="I228" s="29" t="inlineStr">
        <is>
          <t>APOIO OPERACIONAL SERVIÇOS LTDA</t>
        </is>
      </c>
      <c r="J228" s="29" t="inlineStr">
        <is>
          <t>Serviços de apoio à operação e expedição</t>
        </is>
      </c>
      <c r="K228" s="14" t="inlineStr">
        <is>
          <t>DOC 7201</t>
        </is>
      </c>
      <c r="L228" s="29" t="inlineStr">
        <is>
          <t>Banco do Brasil — C/C 12345-6</t>
        </is>
      </c>
      <c r="M228" s="14" t="inlineStr">
        <is>
          <t>PIX</t>
        </is>
      </c>
      <c r="N228" s="29" t="n"/>
      <c r="O228" s="13" t="n">
        <v>1</v>
      </c>
      <c r="P228" s="13" t="n">
        <v>1</v>
      </c>
      <c r="Q228" s="35" t="n">
        <v>1007.54</v>
      </c>
      <c r="R228" s="35" t="n">
        <v>1007.54</v>
      </c>
      <c r="S228" s="35" t="n"/>
      <c r="T228" s="35" t="n"/>
      <c r="U228" s="35" t="n"/>
      <c r="V228" s="18">
        <f>IF(COUNTA($B228:$R228)=0,"",ROUND(N($R228)+N($S228)+N($T228)-N($U228),2))</f>
        <v/>
      </c>
      <c r="W228" s="18">
        <f>IF(COUNTA($B228:$R228)=0,"",IF(OR($X228="Pago",$X228="Recebido",$X228="Cancelado"),0,ROUND(N($Q228)+N($S228)+N($T228)-N($U228)-N($R228),2)))</f>
        <v/>
      </c>
      <c r="X228" s="14" t="inlineStr">
        <is>
          <t>Pago</t>
        </is>
      </c>
      <c r="Y228" s="17">
        <f>IF(COUNTA($B228:$R228)=0,"",IF($X228="Cancelado","Cancelado",IF(OR($X228="Pago",$X228="Recebido"),$X228,IF(OR($X228="Parcial",N($R228)&gt;0),"Parcial",IF($C228="","Sem vencimento",IF($C228&lt;TODAY(),"Vencido",IF($C228=TODAY(),"Vence hoje",IF($C228&lt;=TODAY()+7,"Vence em 7 dias",IF($C228&lt;=TODAY()+30,"Vence em 30 dias","Futuro")))))))))</f>
        <v/>
      </c>
      <c r="Z228" s="24">
        <f>IF($B228="","",MONTH($B228))</f>
        <v/>
      </c>
      <c r="AA228" s="24">
        <f>IF($B228="","",YEAR($B228))</f>
        <v/>
      </c>
      <c r="AB228" s="24">
        <f>IF($B228="","",ISOWEEKNUM($B228))</f>
        <v/>
      </c>
      <c r="AC228" s="17">
        <f>IF($B228="","",CHOOSE(WEEKDAY($B228,2),"Segunda","Terça","Quarta","Quinta","Sexta","Sábado","Domingo"))</f>
        <v/>
      </c>
      <c r="AD228" s="17">
        <f>IF($B228="","",TEXT($B228,"MM/AAAA"))</f>
        <v/>
      </c>
      <c r="AE228" s="18">
        <f>IF(COUNTA($B228:$R228)=0,"",IF($X228="Cancelado",0,ROUND(N($Q228)+N($S228)+N($T228)-N($U228),2)))</f>
        <v/>
      </c>
      <c r="AF228" s="9">
        <f>IF($G228="","",IFERROR(INDEX(LINHAS_DRE_PLANO,MATCH($G228,SUBCATEGORIAS_PLANO,0)),"Não classificado"))</f>
        <v/>
      </c>
      <c r="AG228" s="17">
        <f>IF($G228="","",IFERROR(INDEX(TIPOS_FLUXO_PLANO,MATCH($G228,SUBCATEGORIAS_PLANO,0)),"Não classificado"))</f>
        <v/>
      </c>
      <c r="AH228" s="9">
        <f>IF($G228="","",IFERROR(INDEX(GRUPOS_PLANO,MATCH($G228,SUBCATEGORIAS_PLANO,0)),"Não classificado"))</f>
        <v/>
      </c>
      <c r="AI228" s="24">
        <f>IF(OR($C228="",$X228="Pago",$X228="Recebido",$X228="Cancelado"),"",$C228-TODAY())</f>
        <v/>
      </c>
      <c r="AJ228" s="24">
        <f>IF(OR($C228="",$X228="Pago",$X228="Recebido",$X228="Cancelado"),0,MAX(0,TODAY()-$C228))</f>
        <v/>
      </c>
      <c r="AK228" s="24">
        <f>IF($D228="","",$D228-$B228)</f>
        <v/>
      </c>
      <c r="AL228" s="18">
        <f>IF(OR($D228="",$B228=""),"",ROUND(N($R228)*($D228-$B228),2))</f>
        <v/>
      </c>
      <c r="AM228" s="17">
        <f>IF(AND($E228="Saída",$W228&gt;0,$C228&lt;&gt;""),$C228+ROW()/1000000,"")</f>
        <v/>
      </c>
      <c r="AN228" s="17">
        <f>IF(AND($E228="Entrada",$W228&gt;0,$C228&lt;&gt;""),$C228+ROW()/1000000,"")</f>
        <v/>
      </c>
      <c r="AO228" s="9">
        <f>IF(COUNTA($B228:$R228)=0,"",IF(AND($I228&lt;&gt;"",COUNTIF(CLIENTES_NOMES,$I228)+COUNTIF(CLIENTES_FANTASIA,$I228)+COUNTIF(FORNECEDORES_NOMES,$I228)+COUNTIF(FORNECEDORES_FANTASIA,$I228)=0),"⚠ Cliente/Fornecedor não cadastrado",IF(AND($G228&lt;&gt;"",COUNTIF(SUBCATEGORIAS_PLANO,$G228)=0),"⚠ Subcategoria fora do plano de contas",IF(OR($Q228="",N($Q228)=0),"⚠ Valor previsto não informado",IF(AND(OR($X228="Pago",$X228="Recebido"),$D228=""),"⚠ Status pago/recebido sem data",IF(AND($D228&lt;&gt;"",N($R228)=0),"⚠ Data de pagamento sem valor realizado",IF(AND(N($P228)&gt;1,N($O228)&gt;N($P228)),"⚠ Nº da parcela maior que o total",IF(AND($C228&lt;&gt;"",$B228&lt;&gt;"",$C228&lt;$B228),"⚠ Vencimento anterior à competência","OK"))))))))</f>
        <v/>
      </c>
    </row>
    <row r="229">
      <c r="A229" s="14" t="inlineStr">
        <is>
          <t>L0224</t>
        </is>
      </c>
      <c r="B229" s="36" t="n">
        <v>46162</v>
      </c>
      <c r="C229" s="36" t="n">
        <v>46193</v>
      </c>
      <c r="D229" s="36" t="n">
        <v>46194</v>
      </c>
      <c r="E229" s="14" t="inlineStr">
        <is>
          <t>Saída</t>
        </is>
      </c>
      <c r="F229" s="29" t="inlineStr">
        <is>
          <t>Tributos</t>
        </is>
      </c>
      <c r="G229" s="29" t="inlineStr">
        <is>
          <t>Simples Nacional</t>
        </is>
      </c>
      <c r="H229" s="29" t="inlineStr">
        <is>
          <t>Financeiro</t>
        </is>
      </c>
      <c r="I229" s="29" t="inlineStr">
        <is>
          <t>RECEITA FEDERAL DO BRASIL</t>
        </is>
      </c>
      <c r="J229" s="29" t="inlineStr">
        <is>
          <t>Simples Nacional — competência 05/2026</t>
        </is>
      </c>
      <c r="K229" s="14" t="inlineStr">
        <is>
          <t>DAS 05/2026</t>
        </is>
      </c>
      <c r="L229" s="29" t="inlineStr">
        <is>
          <t>Banco do Brasil — C/C 12345-6</t>
        </is>
      </c>
      <c r="M229" s="14" t="inlineStr">
        <is>
          <t>Transferência</t>
        </is>
      </c>
      <c r="N229" s="29" t="n"/>
      <c r="O229" s="13" t="n">
        <v>1</v>
      </c>
      <c r="P229" s="13" t="n">
        <v>1</v>
      </c>
      <c r="Q229" s="35" t="n">
        <v>20604.68</v>
      </c>
      <c r="R229" s="35" t="n">
        <v>20604.68</v>
      </c>
      <c r="S229" s="35" t="n"/>
      <c r="T229" s="35" t="n"/>
      <c r="U229" s="35" t="n"/>
      <c r="V229" s="18">
        <f>IF(COUNTA($B229:$R229)=0,"",ROUND(N($R229)+N($S229)+N($T229)-N($U229),2))</f>
        <v/>
      </c>
      <c r="W229" s="18">
        <f>IF(COUNTA($B229:$R229)=0,"",IF(OR($X229="Pago",$X229="Recebido",$X229="Cancelado"),0,ROUND(N($Q229)+N($S229)+N($T229)-N($U229)-N($R229),2)))</f>
        <v/>
      </c>
      <c r="X229" s="14" t="inlineStr">
        <is>
          <t>Pago</t>
        </is>
      </c>
      <c r="Y229" s="17">
        <f>IF(COUNTA($B229:$R229)=0,"",IF($X229="Cancelado","Cancelado",IF(OR($X229="Pago",$X229="Recebido"),$X229,IF(OR($X229="Parcial",N($R229)&gt;0),"Parcial",IF($C229="","Sem vencimento",IF($C229&lt;TODAY(),"Vencido",IF($C229=TODAY(),"Vence hoje",IF($C229&lt;=TODAY()+7,"Vence em 7 dias",IF($C229&lt;=TODAY()+30,"Vence em 30 dias","Futuro")))))))))</f>
        <v/>
      </c>
      <c r="Z229" s="24">
        <f>IF($B229="","",MONTH($B229))</f>
        <v/>
      </c>
      <c r="AA229" s="24">
        <f>IF($B229="","",YEAR($B229))</f>
        <v/>
      </c>
      <c r="AB229" s="24">
        <f>IF($B229="","",ISOWEEKNUM($B229))</f>
        <v/>
      </c>
      <c r="AC229" s="17">
        <f>IF($B229="","",CHOOSE(WEEKDAY($B229,2),"Segunda","Terça","Quarta","Quinta","Sexta","Sábado","Domingo"))</f>
        <v/>
      </c>
      <c r="AD229" s="17">
        <f>IF($B229="","",TEXT($B229,"MM/AAAA"))</f>
        <v/>
      </c>
      <c r="AE229" s="18">
        <f>IF(COUNTA($B229:$R229)=0,"",IF($X229="Cancelado",0,ROUND(N($Q229)+N($S229)+N($T229)-N($U229),2)))</f>
        <v/>
      </c>
      <c r="AF229" s="9">
        <f>IF($G229="","",IFERROR(INDEX(LINHAS_DRE_PLANO,MATCH($G229,SUBCATEGORIAS_PLANO,0)),"Não classificado"))</f>
        <v/>
      </c>
      <c r="AG229" s="17">
        <f>IF($G229="","",IFERROR(INDEX(TIPOS_FLUXO_PLANO,MATCH($G229,SUBCATEGORIAS_PLANO,0)),"Não classificado"))</f>
        <v/>
      </c>
      <c r="AH229" s="9">
        <f>IF($G229="","",IFERROR(INDEX(GRUPOS_PLANO,MATCH($G229,SUBCATEGORIAS_PLANO,0)),"Não classificado"))</f>
        <v/>
      </c>
      <c r="AI229" s="24">
        <f>IF(OR($C229="",$X229="Pago",$X229="Recebido",$X229="Cancelado"),"",$C229-TODAY())</f>
        <v/>
      </c>
      <c r="AJ229" s="24">
        <f>IF(OR($C229="",$X229="Pago",$X229="Recebido",$X229="Cancelado"),0,MAX(0,TODAY()-$C229))</f>
        <v/>
      </c>
      <c r="AK229" s="24">
        <f>IF($D229="","",$D229-$B229)</f>
        <v/>
      </c>
      <c r="AL229" s="18">
        <f>IF(OR($D229="",$B229=""),"",ROUND(N($R229)*($D229-$B229),2))</f>
        <v/>
      </c>
      <c r="AM229" s="17">
        <f>IF(AND($E229="Saída",$W229&gt;0,$C229&lt;&gt;""),$C229+ROW()/1000000,"")</f>
        <v/>
      </c>
      <c r="AN229" s="17">
        <f>IF(AND($E229="Entrada",$W229&gt;0,$C229&lt;&gt;""),$C229+ROW()/1000000,"")</f>
        <v/>
      </c>
      <c r="AO229" s="9">
        <f>IF(COUNTA($B229:$R229)=0,"",IF(AND($I229&lt;&gt;"",COUNTIF(CLIENTES_NOMES,$I229)+COUNTIF(CLIENTES_FANTASIA,$I229)+COUNTIF(FORNECEDORES_NOMES,$I229)+COUNTIF(FORNECEDORES_FANTASIA,$I229)=0),"⚠ Cliente/Fornecedor não cadastrado",IF(AND($G229&lt;&gt;"",COUNTIF(SUBCATEGORIAS_PLANO,$G229)=0),"⚠ Subcategoria fora do plano de contas",IF(OR($Q229="",N($Q229)=0),"⚠ Valor previsto não informado",IF(AND(OR($X229="Pago",$X229="Recebido"),$D229=""),"⚠ Status pago/recebido sem data",IF(AND($D229&lt;&gt;"",N($R229)=0),"⚠ Data de pagamento sem valor realizado",IF(AND(N($P229)&gt;1,N($O229)&gt;N($P229)),"⚠ Nº da parcela maior que o total",IF(AND($C229&lt;&gt;"",$B229&lt;&gt;"",$C229&lt;$B229),"⚠ Vencimento anterior à competência","OK"))))))))</f>
        <v/>
      </c>
    </row>
    <row r="230">
      <c r="A230" s="14" t="inlineStr">
        <is>
          <t>L0225</t>
        </is>
      </c>
      <c r="B230" s="36" t="n">
        <v>46162</v>
      </c>
      <c r="C230" s="36" t="n">
        <v>46162</v>
      </c>
      <c r="D230" s="36" t="n">
        <v>46162</v>
      </c>
      <c r="E230" s="14" t="inlineStr">
        <is>
          <t>Saída</t>
        </is>
      </c>
      <c r="F230" s="29" t="inlineStr">
        <is>
          <t>Empréstimos e Financiamentos</t>
        </is>
      </c>
      <c r="G230" s="29" t="inlineStr">
        <is>
          <t>Pagamento de Principal de Empréstimos</t>
        </is>
      </c>
      <c r="H230" s="29" t="inlineStr">
        <is>
          <t>Diretoria</t>
        </is>
      </c>
      <c r="I230" s="29" t="inlineStr">
        <is>
          <t>Banco Santander</t>
        </is>
      </c>
      <c r="J230" s="29" t="inlineStr">
        <is>
          <t>Financiamento de Veículo — parcela 4/48 (principal)</t>
        </is>
      </c>
      <c r="K230" s="14" t="inlineStr">
        <is>
          <t>VEI-2026-0088-P04</t>
        </is>
      </c>
      <c r="L230" s="29" t="inlineStr">
        <is>
          <t>Itaú Unibanco — C/C 45678-9</t>
        </is>
      </c>
      <c r="M230" s="14" t="inlineStr">
        <is>
          <t>Débito automático</t>
        </is>
      </c>
      <c r="N230" s="29" t="n"/>
      <c r="O230" s="13" t="n">
        <v>4</v>
      </c>
      <c r="P230" s="13" t="n">
        <v>48</v>
      </c>
      <c r="Q230" s="35" t="n">
        <v>1273.03</v>
      </c>
      <c r="R230" s="35" t="n">
        <v>1273.03</v>
      </c>
      <c r="S230" s="35" t="n"/>
      <c r="T230" s="35" t="n"/>
      <c r="U230" s="35" t="n"/>
      <c r="V230" s="18">
        <f>IF(COUNTA($B230:$R230)=0,"",ROUND(N($R230)+N($S230)+N($T230)-N($U230),2))</f>
        <v/>
      </c>
      <c r="W230" s="18">
        <f>IF(COUNTA($B230:$R230)=0,"",IF(OR($X230="Pago",$X230="Recebido",$X230="Cancelado"),0,ROUND(N($Q230)+N($S230)+N($T230)-N($U230)-N($R230),2)))</f>
        <v/>
      </c>
      <c r="X230" s="14" t="inlineStr">
        <is>
          <t>Pago</t>
        </is>
      </c>
      <c r="Y230" s="17">
        <f>IF(COUNTA($B230:$R230)=0,"",IF($X230="Cancelado","Cancelado",IF(OR($X230="Pago",$X230="Recebido"),$X230,IF(OR($X230="Parcial",N($R230)&gt;0),"Parcial",IF($C230="","Sem vencimento",IF($C230&lt;TODAY(),"Vencido",IF($C230=TODAY(),"Vence hoje",IF($C230&lt;=TODAY()+7,"Vence em 7 dias",IF($C230&lt;=TODAY()+30,"Vence em 30 dias","Futuro")))))))))</f>
        <v/>
      </c>
      <c r="Z230" s="24">
        <f>IF($B230="","",MONTH($B230))</f>
        <v/>
      </c>
      <c r="AA230" s="24">
        <f>IF($B230="","",YEAR($B230))</f>
        <v/>
      </c>
      <c r="AB230" s="24">
        <f>IF($B230="","",ISOWEEKNUM($B230))</f>
        <v/>
      </c>
      <c r="AC230" s="17">
        <f>IF($B230="","",CHOOSE(WEEKDAY($B230,2),"Segunda","Terça","Quarta","Quinta","Sexta","Sábado","Domingo"))</f>
        <v/>
      </c>
      <c r="AD230" s="17">
        <f>IF($B230="","",TEXT($B230,"MM/AAAA"))</f>
        <v/>
      </c>
      <c r="AE230" s="18">
        <f>IF(COUNTA($B230:$R230)=0,"",IF($X230="Cancelado",0,ROUND(N($Q230)+N($S230)+N($T230)-N($U230),2)))</f>
        <v/>
      </c>
      <c r="AF230" s="9">
        <f>IF($G230="","",IFERROR(INDEX(LINHAS_DRE_PLANO,MATCH($G230,SUBCATEGORIAS_PLANO,0)),"Não classificado"))</f>
        <v/>
      </c>
      <c r="AG230" s="17">
        <f>IF($G230="","",IFERROR(INDEX(TIPOS_FLUXO_PLANO,MATCH($G230,SUBCATEGORIAS_PLANO,0)),"Não classificado"))</f>
        <v/>
      </c>
      <c r="AH230" s="9">
        <f>IF($G230="","",IFERROR(INDEX(GRUPOS_PLANO,MATCH($G230,SUBCATEGORIAS_PLANO,0)),"Não classificado"))</f>
        <v/>
      </c>
      <c r="AI230" s="24">
        <f>IF(OR($C230="",$X230="Pago",$X230="Recebido",$X230="Cancelado"),"",$C230-TODAY())</f>
        <v/>
      </c>
      <c r="AJ230" s="24">
        <f>IF(OR($C230="",$X230="Pago",$X230="Recebido",$X230="Cancelado"),0,MAX(0,TODAY()-$C230))</f>
        <v/>
      </c>
      <c r="AK230" s="24">
        <f>IF($D230="","",$D230-$B230)</f>
        <v/>
      </c>
      <c r="AL230" s="18">
        <f>IF(OR($D230="",$B230=""),"",ROUND(N($R230)*($D230-$B230),2))</f>
        <v/>
      </c>
      <c r="AM230" s="17">
        <f>IF(AND($E230="Saída",$W230&gt;0,$C230&lt;&gt;""),$C230+ROW()/1000000,"")</f>
        <v/>
      </c>
      <c r="AN230" s="17">
        <f>IF(AND($E230="Entrada",$W230&gt;0,$C230&lt;&gt;""),$C230+ROW()/1000000,"")</f>
        <v/>
      </c>
      <c r="AO230" s="9">
        <f>IF(COUNTA($B230:$R230)=0,"",IF(AND($I230&lt;&gt;"",COUNTIF(CLIENTES_NOMES,$I230)+COUNTIF(CLIENTES_FANTASIA,$I230)+COUNTIF(FORNECEDORES_NOMES,$I230)+COUNTIF(FORNECEDORES_FANTASIA,$I230)=0),"⚠ Cliente/Fornecedor não cadastrado",IF(AND($G230&lt;&gt;"",COUNTIF(SUBCATEGORIAS_PLANO,$G230)=0),"⚠ Subcategoria fora do plano de contas",IF(OR($Q230="",N($Q230)=0),"⚠ Valor previsto não informado",IF(AND(OR($X230="Pago",$X230="Recebido"),$D230=""),"⚠ Status pago/recebido sem data",IF(AND($D230&lt;&gt;"",N($R230)=0),"⚠ Data de pagamento sem valor realizado",IF(AND(N($P230)&gt;1,N($O230)&gt;N($P230)),"⚠ Nº da parcela maior que o total",IF(AND($C230&lt;&gt;"",$B230&lt;&gt;"",$C230&lt;$B230),"⚠ Vencimento anterior à competência","OK"))))))))</f>
        <v/>
      </c>
    </row>
    <row r="231">
      <c r="A231" s="14" t="inlineStr">
        <is>
          <t>L0226</t>
        </is>
      </c>
      <c r="B231" s="36" t="n">
        <v>46162</v>
      </c>
      <c r="C231" s="36" t="n">
        <v>46162</v>
      </c>
      <c r="D231" s="36" t="n">
        <v>46162</v>
      </c>
      <c r="E231" s="14" t="inlineStr">
        <is>
          <t>Saída</t>
        </is>
      </c>
      <c r="F231" s="29" t="inlineStr">
        <is>
          <t>Despesas Financeiras</t>
        </is>
      </c>
      <c r="G231" s="29" t="inlineStr">
        <is>
          <t>Juros de Empréstimos e Financiamentos</t>
        </is>
      </c>
      <c r="H231" s="29" t="inlineStr">
        <is>
          <t>Diretoria</t>
        </is>
      </c>
      <c r="I231" s="29" t="inlineStr">
        <is>
          <t>Banco Santander</t>
        </is>
      </c>
      <c r="J231" s="29" t="inlineStr">
        <is>
          <t>Financiamento de Veículo — parcela 4/48 (juros)</t>
        </is>
      </c>
      <c r="K231" s="14" t="inlineStr">
        <is>
          <t>VEI-2026-0088-P04</t>
        </is>
      </c>
      <c r="L231" s="29" t="inlineStr">
        <is>
          <t>Itaú Unibanco — C/C 45678-9</t>
        </is>
      </c>
      <c r="M231" s="14" t="inlineStr">
        <is>
          <t>Débito automático</t>
        </is>
      </c>
      <c r="N231" s="29" t="n"/>
      <c r="O231" s="13" t="n">
        <v>4</v>
      </c>
      <c r="P231" s="13" t="n">
        <v>48</v>
      </c>
      <c r="Q231" s="35" t="n">
        <v>953.4299999999999</v>
      </c>
      <c r="R231" s="35" t="n">
        <v>953.4299999999999</v>
      </c>
      <c r="S231" s="35" t="n"/>
      <c r="T231" s="35" t="n"/>
      <c r="U231" s="35" t="n"/>
      <c r="V231" s="18">
        <f>IF(COUNTA($B231:$R231)=0,"",ROUND(N($R231)+N($S231)+N($T231)-N($U231),2))</f>
        <v/>
      </c>
      <c r="W231" s="18">
        <f>IF(COUNTA($B231:$R231)=0,"",IF(OR($X231="Pago",$X231="Recebido",$X231="Cancelado"),0,ROUND(N($Q231)+N($S231)+N($T231)-N($U231)-N($R231),2)))</f>
        <v/>
      </c>
      <c r="X231" s="14" t="inlineStr">
        <is>
          <t>Pago</t>
        </is>
      </c>
      <c r="Y231" s="17">
        <f>IF(COUNTA($B231:$R231)=0,"",IF($X231="Cancelado","Cancelado",IF(OR($X231="Pago",$X231="Recebido"),$X231,IF(OR($X231="Parcial",N($R231)&gt;0),"Parcial",IF($C231="","Sem vencimento",IF($C231&lt;TODAY(),"Vencido",IF($C231=TODAY(),"Vence hoje",IF($C231&lt;=TODAY()+7,"Vence em 7 dias",IF($C231&lt;=TODAY()+30,"Vence em 30 dias","Futuro")))))))))</f>
        <v/>
      </c>
      <c r="Z231" s="24">
        <f>IF($B231="","",MONTH($B231))</f>
        <v/>
      </c>
      <c r="AA231" s="24">
        <f>IF($B231="","",YEAR($B231))</f>
        <v/>
      </c>
      <c r="AB231" s="24">
        <f>IF($B231="","",ISOWEEKNUM($B231))</f>
        <v/>
      </c>
      <c r="AC231" s="17">
        <f>IF($B231="","",CHOOSE(WEEKDAY($B231,2),"Segunda","Terça","Quarta","Quinta","Sexta","Sábado","Domingo"))</f>
        <v/>
      </c>
      <c r="AD231" s="17">
        <f>IF($B231="","",TEXT($B231,"MM/AAAA"))</f>
        <v/>
      </c>
      <c r="AE231" s="18">
        <f>IF(COUNTA($B231:$R231)=0,"",IF($X231="Cancelado",0,ROUND(N($Q231)+N($S231)+N($T231)-N($U231),2)))</f>
        <v/>
      </c>
      <c r="AF231" s="9">
        <f>IF($G231="","",IFERROR(INDEX(LINHAS_DRE_PLANO,MATCH($G231,SUBCATEGORIAS_PLANO,0)),"Não classificado"))</f>
        <v/>
      </c>
      <c r="AG231" s="17">
        <f>IF($G231="","",IFERROR(INDEX(TIPOS_FLUXO_PLANO,MATCH($G231,SUBCATEGORIAS_PLANO,0)),"Não classificado"))</f>
        <v/>
      </c>
      <c r="AH231" s="9">
        <f>IF($G231="","",IFERROR(INDEX(GRUPOS_PLANO,MATCH($G231,SUBCATEGORIAS_PLANO,0)),"Não classificado"))</f>
        <v/>
      </c>
      <c r="AI231" s="24">
        <f>IF(OR($C231="",$X231="Pago",$X231="Recebido",$X231="Cancelado"),"",$C231-TODAY())</f>
        <v/>
      </c>
      <c r="AJ231" s="24">
        <f>IF(OR($C231="",$X231="Pago",$X231="Recebido",$X231="Cancelado"),0,MAX(0,TODAY()-$C231))</f>
        <v/>
      </c>
      <c r="AK231" s="24">
        <f>IF($D231="","",$D231-$B231)</f>
        <v/>
      </c>
      <c r="AL231" s="18">
        <f>IF(OR($D231="",$B231=""),"",ROUND(N($R231)*($D231-$B231),2))</f>
        <v/>
      </c>
      <c r="AM231" s="17">
        <f>IF(AND($E231="Saída",$W231&gt;0,$C231&lt;&gt;""),$C231+ROW()/1000000,"")</f>
        <v/>
      </c>
      <c r="AN231" s="17">
        <f>IF(AND($E231="Entrada",$W231&gt;0,$C231&lt;&gt;""),$C231+ROW()/1000000,"")</f>
        <v/>
      </c>
      <c r="AO231" s="9">
        <f>IF(COUNTA($B231:$R231)=0,"",IF(AND($I231&lt;&gt;"",COUNTIF(CLIENTES_NOMES,$I231)+COUNTIF(CLIENTES_FANTASIA,$I231)+COUNTIF(FORNECEDORES_NOMES,$I231)+COUNTIF(FORNECEDORES_FANTASIA,$I231)=0),"⚠ Cliente/Fornecedor não cadastrado",IF(AND($G231&lt;&gt;"",COUNTIF(SUBCATEGORIAS_PLANO,$G231)=0),"⚠ Subcategoria fora do plano de contas",IF(OR($Q231="",N($Q231)=0),"⚠ Valor previsto não informado",IF(AND(OR($X231="Pago",$X231="Recebido"),$D231=""),"⚠ Status pago/recebido sem data",IF(AND($D231&lt;&gt;"",N($R231)=0),"⚠ Data de pagamento sem valor realizado",IF(AND(N($P231)&gt;1,N($O231)&gt;N($P231)),"⚠ Nº da parcela maior que o total",IF(AND($C231&lt;&gt;"",$B231&lt;&gt;"",$C231&lt;$B231),"⚠ Vencimento anterior à competência","OK"))))))))</f>
        <v/>
      </c>
    </row>
    <row r="232">
      <c r="A232" s="14" t="inlineStr">
        <is>
          <t>L0227</t>
        </is>
      </c>
      <c r="B232" s="36" t="n">
        <v>46164</v>
      </c>
      <c r="C232" s="36" t="n">
        <v>46195</v>
      </c>
      <c r="D232" s="36" t="n">
        <v>46197</v>
      </c>
      <c r="E232" s="14" t="inlineStr">
        <is>
          <t>Entrada</t>
        </is>
      </c>
      <c r="F232" s="29" t="inlineStr">
        <is>
          <t>Vendas</t>
        </is>
      </c>
      <c r="G232" s="29" t="inlineStr">
        <is>
          <t>Vendas de Serviços</t>
        </is>
      </c>
      <c r="H232" s="29" t="inlineStr">
        <is>
          <t>Comercial</t>
        </is>
      </c>
      <c r="I232" s="29" t="inlineStr">
        <is>
          <t>MERCADO BOA COMPRA LTDA</t>
        </is>
      </c>
      <c r="J232" s="29" t="inlineStr">
        <is>
          <t>Serviços de logística, montagem e reposição</t>
        </is>
      </c>
      <c r="K232" s="14" t="inlineStr">
        <is>
          <t>RPS 3049</t>
        </is>
      </c>
      <c r="L232" s="29" t="inlineStr">
        <is>
          <t>Banco do Brasil — C/C 12345-6</t>
        </is>
      </c>
      <c r="M232" s="14" t="inlineStr">
        <is>
          <t>Boleto</t>
        </is>
      </c>
      <c r="N232" s="29" t="n"/>
      <c r="O232" s="13" t="n">
        <v>1</v>
      </c>
      <c r="P232" s="13" t="n">
        <v>1</v>
      </c>
      <c r="Q232" s="35" t="n">
        <v>12320.45</v>
      </c>
      <c r="R232" s="35" t="n">
        <v>12320.45</v>
      </c>
      <c r="S232" s="35" t="n"/>
      <c r="T232" s="35" t="n"/>
      <c r="U232" s="35" t="n"/>
      <c r="V232" s="18">
        <f>IF(COUNTA($B232:$R232)=0,"",ROUND(N($R232)+N($S232)+N($T232)-N($U232),2))</f>
        <v/>
      </c>
      <c r="W232" s="18">
        <f>IF(COUNTA($B232:$R232)=0,"",IF(OR($X232="Pago",$X232="Recebido",$X232="Cancelado"),0,ROUND(N($Q232)+N($S232)+N($T232)-N($U232)-N($R232),2)))</f>
        <v/>
      </c>
      <c r="X232" s="14" t="inlineStr">
        <is>
          <t>Pago</t>
        </is>
      </c>
      <c r="Y232" s="17">
        <f>IF(COUNTA($B232:$R232)=0,"",IF($X232="Cancelado","Cancelado",IF(OR($X232="Pago",$X232="Recebido"),$X232,IF(OR($X232="Parcial",N($R232)&gt;0),"Parcial",IF($C232="","Sem vencimento",IF($C232&lt;TODAY(),"Vencido",IF($C232=TODAY(),"Vence hoje",IF($C232&lt;=TODAY()+7,"Vence em 7 dias",IF($C232&lt;=TODAY()+30,"Vence em 30 dias","Futuro")))))))))</f>
        <v/>
      </c>
      <c r="Z232" s="24">
        <f>IF($B232="","",MONTH($B232))</f>
        <v/>
      </c>
      <c r="AA232" s="24">
        <f>IF($B232="","",YEAR($B232))</f>
        <v/>
      </c>
      <c r="AB232" s="24">
        <f>IF($B232="","",ISOWEEKNUM($B232))</f>
        <v/>
      </c>
      <c r="AC232" s="17">
        <f>IF($B232="","",CHOOSE(WEEKDAY($B232,2),"Segunda","Terça","Quarta","Quinta","Sexta","Sábado","Domingo"))</f>
        <v/>
      </c>
      <c r="AD232" s="17">
        <f>IF($B232="","",TEXT($B232,"MM/AAAA"))</f>
        <v/>
      </c>
      <c r="AE232" s="18">
        <f>IF(COUNTA($B232:$R232)=0,"",IF($X232="Cancelado",0,ROUND(N($Q232)+N($S232)+N($T232)-N($U232),2)))</f>
        <v/>
      </c>
      <c r="AF232" s="9">
        <f>IF($G232="","",IFERROR(INDEX(LINHAS_DRE_PLANO,MATCH($G232,SUBCATEGORIAS_PLANO,0)),"Não classificado"))</f>
        <v/>
      </c>
      <c r="AG232" s="17">
        <f>IF($G232="","",IFERROR(INDEX(TIPOS_FLUXO_PLANO,MATCH($G232,SUBCATEGORIAS_PLANO,0)),"Não classificado"))</f>
        <v/>
      </c>
      <c r="AH232" s="9">
        <f>IF($G232="","",IFERROR(INDEX(GRUPOS_PLANO,MATCH($G232,SUBCATEGORIAS_PLANO,0)),"Não classificado"))</f>
        <v/>
      </c>
      <c r="AI232" s="24">
        <f>IF(OR($C232="",$X232="Pago",$X232="Recebido",$X232="Cancelado"),"",$C232-TODAY())</f>
        <v/>
      </c>
      <c r="AJ232" s="24">
        <f>IF(OR($C232="",$X232="Pago",$X232="Recebido",$X232="Cancelado"),0,MAX(0,TODAY()-$C232))</f>
        <v/>
      </c>
      <c r="AK232" s="24">
        <f>IF($D232="","",$D232-$B232)</f>
        <v/>
      </c>
      <c r="AL232" s="18">
        <f>IF(OR($D232="",$B232=""),"",ROUND(N($R232)*($D232-$B232),2))</f>
        <v/>
      </c>
      <c r="AM232" s="17">
        <f>IF(AND($E232="Saída",$W232&gt;0,$C232&lt;&gt;""),$C232+ROW()/1000000,"")</f>
        <v/>
      </c>
      <c r="AN232" s="17">
        <f>IF(AND($E232="Entrada",$W232&gt;0,$C232&lt;&gt;""),$C232+ROW()/1000000,"")</f>
        <v/>
      </c>
      <c r="AO232" s="9">
        <f>IF(COUNTA($B232:$R232)=0,"",IF(AND($I232&lt;&gt;"",COUNTIF(CLIENTES_NOMES,$I232)+COUNTIF(CLIENTES_FANTASIA,$I232)+COUNTIF(FORNECEDORES_NOMES,$I232)+COUNTIF(FORNECEDORES_FANTASIA,$I232)=0),"⚠ Cliente/Fornecedor não cadastrado",IF(AND($G232&lt;&gt;"",COUNTIF(SUBCATEGORIAS_PLANO,$G232)=0),"⚠ Subcategoria fora do plano de contas",IF(OR($Q232="",N($Q232)=0),"⚠ Valor previsto não informado",IF(AND(OR($X232="Pago",$X232="Recebido"),$D232=""),"⚠ Status pago/recebido sem data",IF(AND($D232&lt;&gt;"",N($R232)=0),"⚠ Data de pagamento sem valor realizado",IF(AND(N($P232)&gt;1,N($O232)&gt;N($P232)),"⚠ Nº da parcela maior que o total",IF(AND($C232&lt;&gt;"",$B232&lt;&gt;"",$C232&lt;$B232),"⚠ Vencimento anterior à competência","OK"))))))))</f>
        <v/>
      </c>
    </row>
    <row r="233">
      <c r="A233" s="14" t="inlineStr">
        <is>
          <t>L0228</t>
        </is>
      </c>
      <c r="B233" s="36" t="n">
        <v>46164</v>
      </c>
      <c r="C233" s="36" t="n">
        <v>46181</v>
      </c>
      <c r="D233" s="36" t="n">
        <v>46184</v>
      </c>
      <c r="E233" s="14" t="inlineStr">
        <is>
          <t>Entrada</t>
        </is>
      </c>
      <c r="F233" s="29" t="inlineStr">
        <is>
          <t>Vendas</t>
        </is>
      </c>
      <c r="G233" s="29" t="inlineStr">
        <is>
          <t>Vendas de Serviços</t>
        </is>
      </c>
      <c r="H233" s="29" t="inlineStr">
        <is>
          <t>Comercial</t>
        </is>
      </c>
      <c r="I233" s="29" t="inlineStr">
        <is>
          <t>RESTAURANTE SABOR CASEIRO LTDA</t>
        </is>
      </c>
      <c r="J233" s="29" t="inlineStr">
        <is>
          <t>Serviços de logística, montagem e reposição</t>
        </is>
      </c>
      <c r="K233" s="14" t="inlineStr">
        <is>
          <t>RPS 3053</t>
        </is>
      </c>
      <c r="L233" s="29" t="inlineStr">
        <is>
          <t>Itaú Unibanco — C/C 45678-9</t>
        </is>
      </c>
      <c r="M233" s="14" t="inlineStr">
        <is>
          <t>Boleto</t>
        </is>
      </c>
      <c r="N233" s="29" t="n"/>
      <c r="O233" s="13" t="n">
        <v>1</v>
      </c>
      <c r="P233" s="13" t="n">
        <v>1</v>
      </c>
      <c r="Q233" s="35" t="n">
        <v>7624.08</v>
      </c>
      <c r="R233" s="35" t="n">
        <v>7624.08</v>
      </c>
      <c r="S233" s="35" t="n"/>
      <c r="T233" s="35" t="n"/>
      <c r="U233" s="35" t="n"/>
      <c r="V233" s="18">
        <f>IF(COUNTA($B233:$R233)=0,"",ROUND(N($R233)+N($S233)+N($T233)-N($U233),2))</f>
        <v/>
      </c>
      <c r="W233" s="18">
        <f>IF(COUNTA($B233:$R233)=0,"",IF(OR($X233="Pago",$X233="Recebido",$X233="Cancelado"),0,ROUND(N($Q233)+N($S233)+N($T233)-N($U233)-N($R233),2)))</f>
        <v/>
      </c>
      <c r="X233" s="14" t="inlineStr">
        <is>
          <t>Pago</t>
        </is>
      </c>
      <c r="Y233" s="17">
        <f>IF(COUNTA($B233:$R233)=0,"",IF($X233="Cancelado","Cancelado",IF(OR($X233="Pago",$X233="Recebido"),$X233,IF(OR($X233="Parcial",N($R233)&gt;0),"Parcial",IF($C233="","Sem vencimento",IF($C233&lt;TODAY(),"Vencido",IF($C233=TODAY(),"Vence hoje",IF($C233&lt;=TODAY()+7,"Vence em 7 dias",IF($C233&lt;=TODAY()+30,"Vence em 30 dias","Futuro")))))))))</f>
        <v/>
      </c>
      <c r="Z233" s="24">
        <f>IF($B233="","",MONTH($B233))</f>
        <v/>
      </c>
      <c r="AA233" s="24">
        <f>IF($B233="","",YEAR($B233))</f>
        <v/>
      </c>
      <c r="AB233" s="24">
        <f>IF($B233="","",ISOWEEKNUM($B233))</f>
        <v/>
      </c>
      <c r="AC233" s="17">
        <f>IF($B233="","",CHOOSE(WEEKDAY($B233,2),"Segunda","Terça","Quarta","Quinta","Sexta","Sábado","Domingo"))</f>
        <v/>
      </c>
      <c r="AD233" s="17">
        <f>IF($B233="","",TEXT($B233,"MM/AAAA"))</f>
        <v/>
      </c>
      <c r="AE233" s="18">
        <f>IF(COUNTA($B233:$R233)=0,"",IF($X233="Cancelado",0,ROUND(N($Q233)+N($S233)+N($T233)-N($U233),2)))</f>
        <v/>
      </c>
      <c r="AF233" s="9">
        <f>IF($G233="","",IFERROR(INDEX(LINHAS_DRE_PLANO,MATCH($G233,SUBCATEGORIAS_PLANO,0)),"Não classificado"))</f>
        <v/>
      </c>
      <c r="AG233" s="17">
        <f>IF($G233="","",IFERROR(INDEX(TIPOS_FLUXO_PLANO,MATCH($G233,SUBCATEGORIAS_PLANO,0)),"Não classificado"))</f>
        <v/>
      </c>
      <c r="AH233" s="9">
        <f>IF($G233="","",IFERROR(INDEX(GRUPOS_PLANO,MATCH($G233,SUBCATEGORIAS_PLANO,0)),"Não classificado"))</f>
        <v/>
      </c>
      <c r="AI233" s="24">
        <f>IF(OR($C233="",$X233="Pago",$X233="Recebido",$X233="Cancelado"),"",$C233-TODAY())</f>
        <v/>
      </c>
      <c r="AJ233" s="24">
        <f>IF(OR($C233="",$X233="Pago",$X233="Recebido",$X233="Cancelado"),0,MAX(0,TODAY()-$C233))</f>
        <v/>
      </c>
      <c r="AK233" s="24">
        <f>IF($D233="","",$D233-$B233)</f>
        <v/>
      </c>
      <c r="AL233" s="18">
        <f>IF(OR($D233="",$B233=""),"",ROUND(N($R233)*($D233-$B233),2))</f>
        <v/>
      </c>
      <c r="AM233" s="17">
        <f>IF(AND($E233="Saída",$W233&gt;0,$C233&lt;&gt;""),$C233+ROW()/1000000,"")</f>
        <v/>
      </c>
      <c r="AN233" s="17">
        <f>IF(AND($E233="Entrada",$W233&gt;0,$C233&lt;&gt;""),$C233+ROW()/1000000,"")</f>
        <v/>
      </c>
      <c r="AO233" s="9">
        <f>IF(COUNTA($B233:$R233)=0,"",IF(AND($I233&lt;&gt;"",COUNTIF(CLIENTES_NOMES,$I233)+COUNTIF(CLIENTES_FANTASIA,$I233)+COUNTIF(FORNECEDORES_NOMES,$I233)+COUNTIF(FORNECEDORES_FANTASIA,$I233)=0),"⚠ Cliente/Fornecedor não cadastrado",IF(AND($G233&lt;&gt;"",COUNTIF(SUBCATEGORIAS_PLANO,$G233)=0),"⚠ Subcategoria fora do plano de contas",IF(OR($Q233="",N($Q233)=0),"⚠ Valor previsto não informado",IF(AND(OR($X233="Pago",$X233="Recebido"),$D233=""),"⚠ Status pago/recebido sem data",IF(AND($D233&lt;&gt;"",N($R233)=0),"⚠ Data de pagamento sem valor realizado",IF(AND(N($P233)&gt;1,N($O233)&gt;N($P233)),"⚠ Nº da parcela maior que o total",IF(AND($C233&lt;&gt;"",$B233&lt;&gt;"",$C233&lt;$B233),"⚠ Vencimento anterior à competência","OK"))))))))</f>
        <v/>
      </c>
    </row>
    <row r="234">
      <c r="A234" s="14" t="inlineStr">
        <is>
          <t>L0229</t>
        </is>
      </c>
      <c r="B234" s="36" t="n">
        <v>46164</v>
      </c>
      <c r="C234" s="36" t="n">
        <v>46185</v>
      </c>
      <c r="D234" s="36" t="n">
        <v>46186</v>
      </c>
      <c r="E234" s="14" t="inlineStr">
        <is>
          <t>Entrada</t>
        </is>
      </c>
      <c r="F234" s="29" t="inlineStr">
        <is>
          <t>Vendas</t>
        </is>
      </c>
      <c r="G234" s="29" t="inlineStr">
        <is>
          <t>Vendas de Serviços</t>
        </is>
      </c>
      <c r="H234" s="29" t="inlineStr">
        <is>
          <t>Comercial</t>
        </is>
      </c>
      <c r="I234" s="29" t="inlineStr">
        <is>
          <t>EMPÓRIO NATURAL COMÉRCIO LTDA</t>
        </is>
      </c>
      <c r="J234" s="29" t="inlineStr">
        <is>
          <t>Serviços de logística, montagem e reposição</t>
        </is>
      </c>
      <c r="K234" s="14" t="inlineStr">
        <is>
          <t>RPS 3059</t>
        </is>
      </c>
      <c r="L234" s="29" t="inlineStr">
        <is>
          <t>Itaú Unibanco — C/C 45678-9</t>
        </is>
      </c>
      <c r="M234" s="14" t="inlineStr">
        <is>
          <t>Boleto</t>
        </is>
      </c>
      <c r="N234" s="29" t="n"/>
      <c r="O234" s="13" t="n">
        <v>1</v>
      </c>
      <c r="P234" s="13" t="n">
        <v>1</v>
      </c>
      <c r="Q234" s="35" t="n">
        <v>14874.22</v>
      </c>
      <c r="R234" s="35" t="n">
        <v>14874.22</v>
      </c>
      <c r="S234" s="35" t="n"/>
      <c r="T234" s="35" t="n"/>
      <c r="U234" s="35" t="n"/>
      <c r="V234" s="18">
        <f>IF(COUNTA($B234:$R234)=0,"",ROUND(N($R234)+N($S234)+N($T234)-N($U234),2))</f>
        <v/>
      </c>
      <c r="W234" s="18">
        <f>IF(COUNTA($B234:$R234)=0,"",IF(OR($X234="Pago",$X234="Recebido",$X234="Cancelado"),0,ROUND(N($Q234)+N($S234)+N($T234)-N($U234)-N($R234),2)))</f>
        <v/>
      </c>
      <c r="X234" s="14" t="inlineStr">
        <is>
          <t>Pago</t>
        </is>
      </c>
      <c r="Y234" s="17">
        <f>IF(COUNTA($B234:$R234)=0,"",IF($X234="Cancelado","Cancelado",IF(OR($X234="Pago",$X234="Recebido"),$X234,IF(OR($X234="Parcial",N($R234)&gt;0),"Parcial",IF($C234="","Sem vencimento",IF($C234&lt;TODAY(),"Vencido",IF($C234=TODAY(),"Vence hoje",IF($C234&lt;=TODAY()+7,"Vence em 7 dias",IF($C234&lt;=TODAY()+30,"Vence em 30 dias","Futuro")))))))))</f>
        <v/>
      </c>
      <c r="Z234" s="24">
        <f>IF($B234="","",MONTH($B234))</f>
        <v/>
      </c>
      <c r="AA234" s="24">
        <f>IF($B234="","",YEAR($B234))</f>
        <v/>
      </c>
      <c r="AB234" s="24">
        <f>IF($B234="","",ISOWEEKNUM($B234))</f>
        <v/>
      </c>
      <c r="AC234" s="17">
        <f>IF($B234="","",CHOOSE(WEEKDAY($B234,2),"Segunda","Terça","Quarta","Quinta","Sexta","Sábado","Domingo"))</f>
        <v/>
      </c>
      <c r="AD234" s="17">
        <f>IF($B234="","",TEXT($B234,"MM/AAAA"))</f>
        <v/>
      </c>
      <c r="AE234" s="18">
        <f>IF(COUNTA($B234:$R234)=0,"",IF($X234="Cancelado",0,ROUND(N($Q234)+N($S234)+N($T234)-N($U234),2)))</f>
        <v/>
      </c>
      <c r="AF234" s="9">
        <f>IF($G234="","",IFERROR(INDEX(LINHAS_DRE_PLANO,MATCH($G234,SUBCATEGORIAS_PLANO,0)),"Não classificado"))</f>
        <v/>
      </c>
      <c r="AG234" s="17">
        <f>IF($G234="","",IFERROR(INDEX(TIPOS_FLUXO_PLANO,MATCH($G234,SUBCATEGORIAS_PLANO,0)),"Não classificado"))</f>
        <v/>
      </c>
      <c r="AH234" s="9">
        <f>IF($G234="","",IFERROR(INDEX(GRUPOS_PLANO,MATCH($G234,SUBCATEGORIAS_PLANO,0)),"Não classificado"))</f>
        <v/>
      </c>
      <c r="AI234" s="24">
        <f>IF(OR($C234="",$X234="Pago",$X234="Recebido",$X234="Cancelado"),"",$C234-TODAY())</f>
        <v/>
      </c>
      <c r="AJ234" s="24">
        <f>IF(OR($C234="",$X234="Pago",$X234="Recebido",$X234="Cancelado"),0,MAX(0,TODAY()-$C234))</f>
        <v/>
      </c>
      <c r="AK234" s="24">
        <f>IF($D234="","",$D234-$B234)</f>
        <v/>
      </c>
      <c r="AL234" s="18">
        <f>IF(OR($D234="",$B234=""),"",ROUND(N($R234)*($D234-$B234),2))</f>
        <v/>
      </c>
      <c r="AM234" s="17">
        <f>IF(AND($E234="Saída",$W234&gt;0,$C234&lt;&gt;""),$C234+ROW()/1000000,"")</f>
        <v/>
      </c>
      <c r="AN234" s="17">
        <f>IF(AND($E234="Entrada",$W234&gt;0,$C234&lt;&gt;""),$C234+ROW()/1000000,"")</f>
        <v/>
      </c>
      <c r="AO234" s="9">
        <f>IF(COUNTA($B234:$R234)=0,"",IF(AND($I234&lt;&gt;"",COUNTIF(CLIENTES_NOMES,$I234)+COUNTIF(CLIENTES_FANTASIA,$I234)+COUNTIF(FORNECEDORES_NOMES,$I234)+COUNTIF(FORNECEDORES_FANTASIA,$I234)=0),"⚠ Cliente/Fornecedor não cadastrado",IF(AND($G234&lt;&gt;"",COUNTIF(SUBCATEGORIAS_PLANO,$G234)=0),"⚠ Subcategoria fora do plano de contas",IF(OR($Q234="",N($Q234)=0),"⚠ Valor previsto não informado",IF(AND(OR($X234="Pago",$X234="Recebido"),$D234=""),"⚠ Status pago/recebido sem data",IF(AND($D234&lt;&gt;"",N($R234)=0),"⚠ Data de pagamento sem valor realizado",IF(AND(N($P234)&gt;1,N($O234)&gt;N($P234)),"⚠ Nº da parcela maior que o total",IF(AND($C234&lt;&gt;"",$B234&lt;&gt;"",$C234&lt;$B234),"⚠ Vencimento anterior à competência","OK"))))))))</f>
        <v/>
      </c>
    </row>
    <row r="235">
      <c r="A235" s="14" t="inlineStr">
        <is>
          <t>L0230</t>
        </is>
      </c>
      <c r="B235" s="36" t="n">
        <v>46166</v>
      </c>
      <c r="C235" s="36" t="n">
        <v>46178</v>
      </c>
      <c r="D235" s="36" t="n">
        <v>46179</v>
      </c>
      <c r="E235" s="14" t="inlineStr">
        <is>
          <t>Saída</t>
        </is>
      </c>
      <c r="F235" s="29" t="inlineStr">
        <is>
          <t>Despesas Comerciais</t>
        </is>
      </c>
      <c r="G235" s="29" t="inlineStr">
        <is>
          <t>Viagens Comerciais</t>
        </is>
      </c>
      <c r="H235" s="29" t="inlineStr">
        <is>
          <t>Comercial</t>
        </is>
      </c>
      <c r="I235" s="29" t="inlineStr">
        <is>
          <t>AGÊNCIA PULSO DIGITAL LTDA</t>
        </is>
      </c>
      <c r="J235" s="29" t="inlineStr">
        <is>
          <t>Viagens comerciais e visitas a clientes</t>
        </is>
      </c>
      <c r="K235" s="14" t="inlineStr">
        <is>
          <t>DOC 8343</t>
        </is>
      </c>
      <c r="L235" s="29" t="inlineStr">
        <is>
          <t>Itaú Unibanco — C/C 45678-9</t>
        </is>
      </c>
      <c r="M235" s="14" t="inlineStr">
        <is>
          <t>Cartão de crédito</t>
        </is>
      </c>
      <c r="N235" s="29" t="inlineStr">
        <is>
          <t>Cartão Visa Itaú Business</t>
        </is>
      </c>
      <c r="O235" s="13" t="n">
        <v>1</v>
      </c>
      <c r="P235" s="13" t="n">
        <v>1</v>
      </c>
      <c r="Q235" s="35" t="n">
        <v>1414.06</v>
      </c>
      <c r="R235" s="35" t="n">
        <v>1414.06</v>
      </c>
      <c r="S235" s="35" t="n"/>
      <c r="T235" s="35" t="n"/>
      <c r="U235" s="35" t="n"/>
      <c r="V235" s="18">
        <f>IF(COUNTA($B235:$R235)=0,"",ROUND(N($R235)+N($S235)+N($T235)-N($U235),2))</f>
        <v/>
      </c>
      <c r="W235" s="18">
        <f>IF(COUNTA($B235:$R235)=0,"",IF(OR($X235="Pago",$X235="Recebido",$X235="Cancelado"),0,ROUND(N($Q235)+N($S235)+N($T235)-N($U235)-N($R235),2)))</f>
        <v/>
      </c>
      <c r="X235" s="14" t="inlineStr">
        <is>
          <t>Pago</t>
        </is>
      </c>
      <c r="Y235" s="17">
        <f>IF(COUNTA($B235:$R235)=0,"",IF($X235="Cancelado","Cancelado",IF(OR($X235="Pago",$X235="Recebido"),$X235,IF(OR($X235="Parcial",N($R235)&gt;0),"Parcial",IF($C235="","Sem vencimento",IF($C235&lt;TODAY(),"Vencido",IF($C235=TODAY(),"Vence hoje",IF($C235&lt;=TODAY()+7,"Vence em 7 dias",IF($C235&lt;=TODAY()+30,"Vence em 30 dias","Futuro")))))))))</f>
        <v/>
      </c>
      <c r="Z235" s="24">
        <f>IF($B235="","",MONTH($B235))</f>
        <v/>
      </c>
      <c r="AA235" s="24">
        <f>IF($B235="","",YEAR($B235))</f>
        <v/>
      </c>
      <c r="AB235" s="24">
        <f>IF($B235="","",ISOWEEKNUM($B235))</f>
        <v/>
      </c>
      <c r="AC235" s="17">
        <f>IF($B235="","",CHOOSE(WEEKDAY($B235,2),"Segunda","Terça","Quarta","Quinta","Sexta","Sábado","Domingo"))</f>
        <v/>
      </c>
      <c r="AD235" s="17">
        <f>IF($B235="","",TEXT($B235,"MM/AAAA"))</f>
        <v/>
      </c>
      <c r="AE235" s="18">
        <f>IF(COUNTA($B235:$R235)=0,"",IF($X235="Cancelado",0,ROUND(N($Q235)+N($S235)+N($T235)-N($U235),2)))</f>
        <v/>
      </c>
      <c r="AF235" s="9">
        <f>IF($G235="","",IFERROR(INDEX(LINHAS_DRE_PLANO,MATCH($G235,SUBCATEGORIAS_PLANO,0)),"Não classificado"))</f>
        <v/>
      </c>
      <c r="AG235" s="17">
        <f>IF($G235="","",IFERROR(INDEX(TIPOS_FLUXO_PLANO,MATCH($G235,SUBCATEGORIAS_PLANO,0)),"Não classificado"))</f>
        <v/>
      </c>
      <c r="AH235" s="9">
        <f>IF($G235="","",IFERROR(INDEX(GRUPOS_PLANO,MATCH($G235,SUBCATEGORIAS_PLANO,0)),"Não classificado"))</f>
        <v/>
      </c>
      <c r="AI235" s="24">
        <f>IF(OR($C235="",$X235="Pago",$X235="Recebido",$X235="Cancelado"),"",$C235-TODAY())</f>
        <v/>
      </c>
      <c r="AJ235" s="24">
        <f>IF(OR($C235="",$X235="Pago",$X235="Recebido",$X235="Cancelado"),0,MAX(0,TODAY()-$C235))</f>
        <v/>
      </c>
      <c r="AK235" s="24">
        <f>IF($D235="","",$D235-$B235)</f>
        <v/>
      </c>
      <c r="AL235" s="18">
        <f>IF(OR($D235="",$B235=""),"",ROUND(N($R235)*($D235-$B235),2))</f>
        <v/>
      </c>
      <c r="AM235" s="17">
        <f>IF(AND($E235="Saída",$W235&gt;0,$C235&lt;&gt;""),$C235+ROW()/1000000,"")</f>
        <v/>
      </c>
      <c r="AN235" s="17">
        <f>IF(AND($E235="Entrada",$W235&gt;0,$C235&lt;&gt;""),$C235+ROW()/1000000,"")</f>
        <v/>
      </c>
      <c r="AO235" s="9">
        <f>IF(COUNTA($B235:$R235)=0,"",IF(AND($I235&lt;&gt;"",COUNTIF(CLIENTES_NOMES,$I235)+COUNTIF(CLIENTES_FANTASIA,$I235)+COUNTIF(FORNECEDORES_NOMES,$I235)+COUNTIF(FORNECEDORES_FANTASIA,$I235)=0),"⚠ Cliente/Fornecedor não cadastrado",IF(AND($G235&lt;&gt;"",COUNTIF(SUBCATEGORIAS_PLANO,$G235)=0),"⚠ Subcategoria fora do plano de contas",IF(OR($Q235="",N($Q235)=0),"⚠ Valor previsto não informado",IF(AND(OR($X235="Pago",$X235="Recebido"),$D235=""),"⚠ Status pago/recebido sem data",IF(AND($D235&lt;&gt;"",N($R235)=0),"⚠ Data de pagamento sem valor realizado",IF(AND(N($P235)&gt;1,N($O235)&gt;N($P235)),"⚠ Nº da parcela maior que o total",IF(AND($C235&lt;&gt;"",$B235&lt;&gt;"",$C235&lt;$B235),"⚠ Vencimento anterior à competência","OK"))))))))</f>
        <v/>
      </c>
    </row>
    <row r="236">
      <c r="A236" s="14" t="inlineStr">
        <is>
          <t>L0231</t>
        </is>
      </c>
      <c r="B236" s="36" t="n">
        <v>46167</v>
      </c>
      <c r="C236" s="36" t="n">
        <v>46182</v>
      </c>
      <c r="D236" s="36" t="n">
        <v>46185</v>
      </c>
      <c r="E236" s="14" t="inlineStr">
        <is>
          <t>Saída</t>
        </is>
      </c>
      <c r="F236" s="29" t="inlineStr">
        <is>
          <t>Custos Variáveis</t>
        </is>
      </c>
      <c r="G236" s="29" t="inlineStr">
        <is>
          <t>Fretes e Entregas sobre Vendas</t>
        </is>
      </c>
      <c r="H236" s="29" t="inlineStr">
        <is>
          <t>Logística</t>
        </is>
      </c>
      <c r="I236" s="29" t="inlineStr">
        <is>
          <t>TRANSPORTADORA RÁPIDA LOG LTDA</t>
        </is>
      </c>
      <c r="J236" s="29" t="inlineStr">
        <is>
          <t>Fretes de entrega — notas do período</t>
        </is>
      </c>
      <c r="K236" s="14" t="inlineStr">
        <is>
          <t>DOC 7197</t>
        </is>
      </c>
      <c r="L236" s="29" t="inlineStr">
        <is>
          <t>Banco do Brasil — C/C 12345-6</t>
        </is>
      </c>
      <c r="M236" s="14" t="inlineStr">
        <is>
          <t>Boleto</t>
        </is>
      </c>
      <c r="N236" s="29" t="n"/>
      <c r="O236" s="13" t="n">
        <v>1</v>
      </c>
      <c r="P236" s="13" t="n">
        <v>1</v>
      </c>
      <c r="Q236" s="35" t="n">
        <v>4621.51</v>
      </c>
      <c r="R236" s="35" t="n">
        <v>4621.51</v>
      </c>
      <c r="S236" s="35" t="n"/>
      <c r="T236" s="35" t="n"/>
      <c r="U236" s="35" t="n"/>
      <c r="V236" s="18">
        <f>IF(COUNTA($B236:$R236)=0,"",ROUND(N($R236)+N($S236)+N($T236)-N($U236),2))</f>
        <v/>
      </c>
      <c r="W236" s="18">
        <f>IF(COUNTA($B236:$R236)=0,"",IF(OR($X236="Pago",$X236="Recebido",$X236="Cancelado"),0,ROUND(N($Q236)+N($S236)+N($T236)-N($U236)-N($R236),2)))</f>
        <v/>
      </c>
      <c r="X236" s="14" t="inlineStr">
        <is>
          <t>Pago</t>
        </is>
      </c>
      <c r="Y236" s="17">
        <f>IF(COUNTA($B236:$R236)=0,"",IF($X236="Cancelado","Cancelado",IF(OR($X236="Pago",$X236="Recebido"),$X236,IF(OR($X236="Parcial",N($R236)&gt;0),"Parcial",IF($C236="","Sem vencimento",IF($C236&lt;TODAY(),"Vencido",IF($C236=TODAY(),"Vence hoje",IF($C236&lt;=TODAY()+7,"Vence em 7 dias",IF($C236&lt;=TODAY()+30,"Vence em 30 dias","Futuro")))))))))</f>
        <v/>
      </c>
      <c r="Z236" s="24">
        <f>IF($B236="","",MONTH($B236))</f>
        <v/>
      </c>
      <c r="AA236" s="24">
        <f>IF($B236="","",YEAR($B236))</f>
        <v/>
      </c>
      <c r="AB236" s="24">
        <f>IF($B236="","",ISOWEEKNUM($B236))</f>
        <v/>
      </c>
      <c r="AC236" s="17">
        <f>IF($B236="","",CHOOSE(WEEKDAY($B236,2),"Segunda","Terça","Quarta","Quinta","Sexta","Sábado","Domingo"))</f>
        <v/>
      </c>
      <c r="AD236" s="17">
        <f>IF($B236="","",TEXT($B236,"MM/AAAA"))</f>
        <v/>
      </c>
      <c r="AE236" s="18">
        <f>IF(COUNTA($B236:$R236)=0,"",IF($X236="Cancelado",0,ROUND(N($Q236)+N($S236)+N($T236)-N($U236),2)))</f>
        <v/>
      </c>
      <c r="AF236" s="9">
        <f>IF($G236="","",IFERROR(INDEX(LINHAS_DRE_PLANO,MATCH($G236,SUBCATEGORIAS_PLANO,0)),"Não classificado"))</f>
        <v/>
      </c>
      <c r="AG236" s="17">
        <f>IF($G236="","",IFERROR(INDEX(TIPOS_FLUXO_PLANO,MATCH($G236,SUBCATEGORIAS_PLANO,0)),"Não classificado"))</f>
        <v/>
      </c>
      <c r="AH236" s="9">
        <f>IF($G236="","",IFERROR(INDEX(GRUPOS_PLANO,MATCH($G236,SUBCATEGORIAS_PLANO,0)),"Não classificado"))</f>
        <v/>
      </c>
      <c r="AI236" s="24">
        <f>IF(OR($C236="",$X236="Pago",$X236="Recebido",$X236="Cancelado"),"",$C236-TODAY())</f>
        <v/>
      </c>
      <c r="AJ236" s="24">
        <f>IF(OR($C236="",$X236="Pago",$X236="Recebido",$X236="Cancelado"),0,MAX(0,TODAY()-$C236))</f>
        <v/>
      </c>
      <c r="AK236" s="24">
        <f>IF($D236="","",$D236-$B236)</f>
        <v/>
      </c>
      <c r="AL236" s="18">
        <f>IF(OR($D236="",$B236=""),"",ROUND(N($R236)*($D236-$B236),2))</f>
        <v/>
      </c>
      <c r="AM236" s="17">
        <f>IF(AND($E236="Saída",$W236&gt;0,$C236&lt;&gt;""),$C236+ROW()/1000000,"")</f>
        <v/>
      </c>
      <c r="AN236" s="17">
        <f>IF(AND($E236="Entrada",$W236&gt;0,$C236&lt;&gt;""),$C236+ROW()/1000000,"")</f>
        <v/>
      </c>
      <c r="AO236" s="9">
        <f>IF(COUNTA($B236:$R236)=0,"",IF(AND($I236&lt;&gt;"",COUNTIF(CLIENTES_NOMES,$I236)+COUNTIF(CLIENTES_FANTASIA,$I236)+COUNTIF(FORNECEDORES_NOMES,$I236)+COUNTIF(FORNECEDORES_FANTASIA,$I236)=0),"⚠ Cliente/Fornecedor não cadastrado",IF(AND($G236&lt;&gt;"",COUNTIF(SUBCATEGORIAS_PLANO,$G236)=0),"⚠ Subcategoria fora do plano de contas",IF(OR($Q236="",N($Q236)=0),"⚠ Valor previsto não informado",IF(AND(OR($X236="Pago",$X236="Recebido"),$D236=""),"⚠ Status pago/recebido sem data",IF(AND($D236&lt;&gt;"",N($R236)=0),"⚠ Data de pagamento sem valor realizado",IF(AND(N($P236)&gt;1,N($O236)&gt;N($P236)),"⚠ Nº da parcela maior que o total",IF(AND($C236&lt;&gt;"",$B236&lt;&gt;"",$C236&lt;$B236),"⚠ Vencimento anterior à competência","OK"))))))))</f>
        <v/>
      </c>
    </row>
    <row r="237">
      <c r="A237" s="14" t="inlineStr">
        <is>
          <t>L0232</t>
        </is>
      </c>
      <c r="B237" s="36" t="n">
        <v>46168</v>
      </c>
      <c r="C237" s="36" t="n">
        <v>46168</v>
      </c>
      <c r="D237" s="36" t="n">
        <v>46168</v>
      </c>
      <c r="E237" s="14" t="inlineStr">
        <is>
          <t>Saída</t>
        </is>
      </c>
      <c r="F237" s="29" t="inlineStr">
        <is>
          <t>Despesas Administrativas</t>
        </is>
      </c>
      <c r="G237" s="29" t="inlineStr">
        <is>
          <t>Outras Despesas Administrativas</t>
        </is>
      </c>
      <c r="H237" s="29" t="inlineStr">
        <is>
          <t>Administrativo</t>
        </is>
      </c>
      <c r="I237" s="29" t="inlineStr">
        <is>
          <t>MANUTENÇÃO PREDIAL EXPRESSA LTDA</t>
        </is>
      </c>
      <c r="J237" s="29" t="inlineStr">
        <is>
          <t>Despesas administrativas diversas</t>
        </is>
      </c>
      <c r="K237" s="14" t="inlineStr">
        <is>
          <t>DOC 8344</t>
        </is>
      </c>
      <c r="L237" s="29" t="inlineStr">
        <is>
          <t>Banco do Brasil — C/C 12345-6</t>
        </is>
      </c>
      <c r="M237" s="14" t="inlineStr">
        <is>
          <t>PIX</t>
        </is>
      </c>
      <c r="N237" s="29" t="n"/>
      <c r="O237" s="13" t="n">
        <v>1</v>
      </c>
      <c r="P237" s="13" t="n">
        <v>1</v>
      </c>
      <c r="Q237" s="35" t="n">
        <v>637.1799999999999</v>
      </c>
      <c r="R237" s="35" t="n">
        <v>637.1799999999999</v>
      </c>
      <c r="S237" s="35" t="n"/>
      <c r="T237" s="35" t="n"/>
      <c r="U237" s="35" t="n"/>
      <c r="V237" s="18">
        <f>IF(COUNTA($B237:$R237)=0,"",ROUND(N($R237)+N($S237)+N($T237)-N($U237),2))</f>
        <v/>
      </c>
      <c r="W237" s="18">
        <f>IF(COUNTA($B237:$R237)=0,"",IF(OR($X237="Pago",$X237="Recebido",$X237="Cancelado"),0,ROUND(N($Q237)+N($S237)+N($T237)-N($U237)-N($R237),2)))</f>
        <v/>
      </c>
      <c r="X237" s="14" t="inlineStr">
        <is>
          <t>Pago</t>
        </is>
      </c>
      <c r="Y237" s="17">
        <f>IF(COUNTA($B237:$R237)=0,"",IF($X237="Cancelado","Cancelado",IF(OR($X237="Pago",$X237="Recebido"),$X237,IF(OR($X237="Parcial",N($R237)&gt;0),"Parcial",IF($C237="","Sem vencimento",IF($C237&lt;TODAY(),"Vencido",IF($C237=TODAY(),"Vence hoje",IF($C237&lt;=TODAY()+7,"Vence em 7 dias",IF($C237&lt;=TODAY()+30,"Vence em 30 dias","Futuro")))))))))</f>
        <v/>
      </c>
      <c r="Z237" s="24">
        <f>IF($B237="","",MONTH($B237))</f>
        <v/>
      </c>
      <c r="AA237" s="24">
        <f>IF($B237="","",YEAR($B237))</f>
        <v/>
      </c>
      <c r="AB237" s="24">
        <f>IF($B237="","",ISOWEEKNUM($B237))</f>
        <v/>
      </c>
      <c r="AC237" s="17">
        <f>IF($B237="","",CHOOSE(WEEKDAY($B237,2),"Segunda","Terça","Quarta","Quinta","Sexta","Sábado","Domingo"))</f>
        <v/>
      </c>
      <c r="AD237" s="17">
        <f>IF($B237="","",TEXT($B237,"MM/AAAA"))</f>
        <v/>
      </c>
      <c r="AE237" s="18">
        <f>IF(COUNTA($B237:$R237)=0,"",IF($X237="Cancelado",0,ROUND(N($Q237)+N($S237)+N($T237)-N($U237),2)))</f>
        <v/>
      </c>
      <c r="AF237" s="9">
        <f>IF($G237="","",IFERROR(INDEX(LINHAS_DRE_PLANO,MATCH($G237,SUBCATEGORIAS_PLANO,0)),"Não classificado"))</f>
        <v/>
      </c>
      <c r="AG237" s="17">
        <f>IF($G237="","",IFERROR(INDEX(TIPOS_FLUXO_PLANO,MATCH($G237,SUBCATEGORIAS_PLANO,0)),"Não classificado"))</f>
        <v/>
      </c>
      <c r="AH237" s="9">
        <f>IF($G237="","",IFERROR(INDEX(GRUPOS_PLANO,MATCH($G237,SUBCATEGORIAS_PLANO,0)),"Não classificado"))</f>
        <v/>
      </c>
      <c r="AI237" s="24">
        <f>IF(OR($C237="",$X237="Pago",$X237="Recebido",$X237="Cancelado"),"",$C237-TODAY())</f>
        <v/>
      </c>
      <c r="AJ237" s="24">
        <f>IF(OR($C237="",$X237="Pago",$X237="Recebido",$X237="Cancelado"),0,MAX(0,TODAY()-$C237))</f>
        <v/>
      </c>
      <c r="AK237" s="24">
        <f>IF($D237="","",$D237-$B237)</f>
        <v/>
      </c>
      <c r="AL237" s="18">
        <f>IF(OR($D237="",$B237=""),"",ROUND(N($R237)*($D237-$B237),2))</f>
        <v/>
      </c>
      <c r="AM237" s="17">
        <f>IF(AND($E237="Saída",$W237&gt;0,$C237&lt;&gt;""),$C237+ROW()/1000000,"")</f>
        <v/>
      </c>
      <c r="AN237" s="17">
        <f>IF(AND($E237="Entrada",$W237&gt;0,$C237&lt;&gt;""),$C237+ROW()/1000000,"")</f>
        <v/>
      </c>
      <c r="AO237" s="9">
        <f>IF(COUNTA($B237:$R237)=0,"",IF(AND($I237&lt;&gt;"",COUNTIF(CLIENTES_NOMES,$I237)+COUNTIF(CLIENTES_FANTASIA,$I237)+COUNTIF(FORNECEDORES_NOMES,$I237)+COUNTIF(FORNECEDORES_FANTASIA,$I237)=0),"⚠ Cliente/Fornecedor não cadastrado",IF(AND($G237&lt;&gt;"",COUNTIF(SUBCATEGORIAS_PLANO,$G237)=0),"⚠ Subcategoria fora do plano de contas",IF(OR($Q237="",N($Q237)=0),"⚠ Valor previsto não informado",IF(AND(OR($X237="Pago",$X237="Recebido"),$D237=""),"⚠ Status pago/recebido sem data",IF(AND($D237&lt;&gt;"",N($R237)=0),"⚠ Data de pagamento sem valor realizado",IF(AND(N($P237)&gt;1,N($O237)&gt;N($P237)),"⚠ Nº da parcela maior que o total",IF(AND($C237&lt;&gt;"",$B237&lt;&gt;"",$C237&lt;$B237),"⚠ Vencimento anterior à competência","OK"))))))))</f>
        <v/>
      </c>
    </row>
    <row r="238">
      <c r="A238" s="14" t="inlineStr">
        <is>
          <t>L0233</t>
        </is>
      </c>
      <c r="B238" s="36" t="n">
        <v>46170</v>
      </c>
      <c r="C238" s="36" t="n">
        <v>46170</v>
      </c>
      <c r="D238" s="36" t="n">
        <v>46170</v>
      </c>
      <c r="E238" s="14" t="inlineStr">
        <is>
          <t>Entrada</t>
        </is>
      </c>
      <c r="F238" s="29" t="inlineStr">
        <is>
          <t>Receitas Financeiras</t>
        </is>
      </c>
      <c r="G238" s="29" t="inlineStr">
        <is>
          <t>Rendimentos de Aplicações Financeiras</t>
        </is>
      </c>
      <c r="H238" s="29" t="inlineStr">
        <is>
          <t>Financeiro</t>
        </is>
      </c>
      <c r="I238" s="29" t="inlineStr">
        <is>
          <t>Itaú Unibanco</t>
        </is>
      </c>
      <c r="J238" s="29" t="inlineStr">
        <is>
          <t>Rendimento de aplicação financeira — 05/2026</t>
        </is>
      </c>
      <c r="K238" s="14" t="inlineStr">
        <is>
          <t>REND-APL</t>
        </is>
      </c>
      <c r="L238" s="29" t="inlineStr">
        <is>
          <t>Itaú Unibanco — C/C 45678-9</t>
        </is>
      </c>
      <c r="M238" s="14" t="inlineStr">
        <is>
          <t>Transferência</t>
        </is>
      </c>
      <c r="N238" s="29" t="n"/>
      <c r="O238" s="13" t="n">
        <v>1</v>
      </c>
      <c r="P238" s="13" t="n">
        <v>1</v>
      </c>
      <c r="Q238" s="35" t="n">
        <v>828.03</v>
      </c>
      <c r="R238" s="35" t="n">
        <v>828.03</v>
      </c>
      <c r="S238" s="35" t="n"/>
      <c r="T238" s="35" t="n"/>
      <c r="U238" s="35" t="n"/>
      <c r="V238" s="18">
        <f>IF(COUNTA($B238:$R238)=0,"",ROUND(N($R238)+N($S238)+N($T238)-N($U238),2))</f>
        <v/>
      </c>
      <c r="W238" s="18">
        <f>IF(COUNTA($B238:$R238)=0,"",IF(OR($X238="Pago",$X238="Recebido",$X238="Cancelado"),0,ROUND(N($Q238)+N($S238)+N($T238)-N($U238)-N($R238),2)))</f>
        <v/>
      </c>
      <c r="X238" s="14" t="inlineStr">
        <is>
          <t>Recebido</t>
        </is>
      </c>
      <c r="Y238" s="17">
        <f>IF(COUNTA($B238:$R238)=0,"",IF($X238="Cancelado","Cancelado",IF(OR($X238="Pago",$X238="Recebido"),$X238,IF(OR($X238="Parcial",N($R238)&gt;0),"Parcial",IF($C238="","Sem vencimento",IF($C238&lt;TODAY(),"Vencido",IF($C238=TODAY(),"Vence hoje",IF($C238&lt;=TODAY()+7,"Vence em 7 dias",IF($C238&lt;=TODAY()+30,"Vence em 30 dias","Futuro")))))))))</f>
        <v/>
      </c>
      <c r="Z238" s="24">
        <f>IF($B238="","",MONTH($B238))</f>
        <v/>
      </c>
      <c r="AA238" s="24">
        <f>IF($B238="","",YEAR($B238))</f>
        <v/>
      </c>
      <c r="AB238" s="24">
        <f>IF($B238="","",ISOWEEKNUM($B238))</f>
        <v/>
      </c>
      <c r="AC238" s="17">
        <f>IF($B238="","",CHOOSE(WEEKDAY($B238,2),"Segunda","Terça","Quarta","Quinta","Sexta","Sábado","Domingo"))</f>
        <v/>
      </c>
      <c r="AD238" s="17">
        <f>IF($B238="","",TEXT($B238,"MM/AAAA"))</f>
        <v/>
      </c>
      <c r="AE238" s="18">
        <f>IF(COUNTA($B238:$R238)=0,"",IF($X238="Cancelado",0,ROUND(N($Q238)+N($S238)+N($T238)-N($U238),2)))</f>
        <v/>
      </c>
      <c r="AF238" s="9">
        <f>IF($G238="","",IFERROR(INDEX(LINHAS_DRE_PLANO,MATCH($G238,SUBCATEGORIAS_PLANO,0)),"Não classificado"))</f>
        <v/>
      </c>
      <c r="AG238" s="17">
        <f>IF($G238="","",IFERROR(INDEX(TIPOS_FLUXO_PLANO,MATCH($G238,SUBCATEGORIAS_PLANO,0)),"Não classificado"))</f>
        <v/>
      </c>
      <c r="AH238" s="9">
        <f>IF($G238="","",IFERROR(INDEX(GRUPOS_PLANO,MATCH($G238,SUBCATEGORIAS_PLANO,0)),"Não classificado"))</f>
        <v/>
      </c>
      <c r="AI238" s="24">
        <f>IF(OR($C238="",$X238="Pago",$X238="Recebido",$X238="Cancelado"),"",$C238-TODAY())</f>
        <v/>
      </c>
      <c r="AJ238" s="24">
        <f>IF(OR($C238="",$X238="Pago",$X238="Recebido",$X238="Cancelado"),0,MAX(0,TODAY()-$C238))</f>
        <v/>
      </c>
      <c r="AK238" s="24">
        <f>IF($D238="","",$D238-$B238)</f>
        <v/>
      </c>
      <c r="AL238" s="18">
        <f>IF(OR($D238="",$B238=""),"",ROUND(N($R238)*($D238-$B238),2))</f>
        <v/>
      </c>
      <c r="AM238" s="17">
        <f>IF(AND($E238="Saída",$W238&gt;0,$C238&lt;&gt;""),$C238+ROW()/1000000,"")</f>
        <v/>
      </c>
      <c r="AN238" s="17">
        <f>IF(AND($E238="Entrada",$W238&gt;0,$C238&lt;&gt;""),$C238+ROW()/1000000,"")</f>
        <v/>
      </c>
      <c r="AO238" s="9">
        <f>IF(COUNTA($B238:$R238)=0,"",IF(AND($I238&lt;&gt;"",COUNTIF(CLIENTES_NOMES,$I238)+COUNTIF(CLIENTES_FANTASIA,$I238)+COUNTIF(FORNECEDORES_NOMES,$I238)+COUNTIF(FORNECEDORES_FANTASIA,$I238)=0),"⚠ Cliente/Fornecedor não cadastrado",IF(AND($G238&lt;&gt;"",COUNTIF(SUBCATEGORIAS_PLANO,$G238)=0),"⚠ Subcategoria fora do plano de contas",IF(OR($Q238="",N($Q238)=0),"⚠ Valor previsto não informado",IF(AND(OR($X238="Pago",$X238="Recebido"),$D238=""),"⚠ Status pago/recebido sem data",IF(AND($D238&lt;&gt;"",N($R238)=0),"⚠ Data de pagamento sem valor realizado",IF(AND(N($P238)&gt;1,N($O238)&gt;N($P238)),"⚠ Nº da parcela maior que o total",IF(AND($C238&lt;&gt;"",$B238&lt;&gt;"",$C238&lt;$B238),"⚠ Vencimento anterior à competência","OK"))))))))</f>
        <v/>
      </c>
    </row>
    <row r="239">
      <c r="A239" s="14" t="inlineStr">
        <is>
          <t>L0234</t>
        </is>
      </c>
      <c r="B239" s="36" t="n">
        <v>46170</v>
      </c>
      <c r="C239" s="36" t="n">
        <v>46175</v>
      </c>
      <c r="D239" s="36" t="n">
        <v>46177</v>
      </c>
      <c r="E239" s="14" t="inlineStr">
        <is>
          <t>Saída</t>
        </is>
      </c>
      <c r="F239" s="29" t="inlineStr">
        <is>
          <t>Custos Variáveis</t>
        </is>
      </c>
      <c r="G239" s="29" t="inlineStr">
        <is>
          <t>Comissões sobre Vendas</t>
        </is>
      </c>
      <c r="H239" s="29" t="inlineStr">
        <is>
          <t>Comercial</t>
        </is>
      </c>
      <c r="I239" s="29" t="inlineStr">
        <is>
          <t>EQUIPE COMERCIAL — COMISSÕES</t>
        </is>
      </c>
      <c r="J239" s="29" t="inlineStr">
        <is>
          <t>Comissões sobre vendas do período</t>
        </is>
      </c>
      <c r="K239" s="14" t="inlineStr">
        <is>
          <t>DOC 7198</t>
        </is>
      </c>
      <c r="L239" s="29" t="inlineStr">
        <is>
          <t>Banco do Brasil — C/C 12345-6</t>
        </is>
      </c>
      <c r="M239" s="14" t="inlineStr">
        <is>
          <t>Transferência</t>
        </is>
      </c>
      <c r="N239" s="29" t="n"/>
      <c r="O239" s="13" t="n">
        <v>1</v>
      </c>
      <c r="P239" s="13" t="n">
        <v>1</v>
      </c>
      <c r="Q239" s="35" t="n">
        <v>3450.22</v>
      </c>
      <c r="R239" s="35" t="n">
        <v>3450.22</v>
      </c>
      <c r="S239" s="35" t="n"/>
      <c r="T239" s="35" t="n"/>
      <c r="U239" s="35" t="n"/>
      <c r="V239" s="18">
        <f>IF(COUNTA($B239:$R239)=0,"",ROUND(N($R239)+N($S239)+N($T239)-N($U239),2))</f>
        <v/>
      </c>
      <c r="W239" s="18">
        <f>IF(COUNTA($B239:$R239)=0,"",IF(OR($X239="Pago",$X239="Recebido",$X239="Cancelado"),0,ROUND(N($Q239)+N($S239)+N($T239)-N($U239)-N($R239),2)))</f>
        <v/>
      </c>
      <c r="X239" s="14" t="inlineStr">
        <is>
          <t>Pago</t>
        </is>
      </c>
      <c r="Y239" s="17">
        <f>IF(COUNTA($B239:$R239)=0,"",IF($X239="Cancelado","Cancelado",IF(OR($X239="Pago",$X239="Recebido"),$X239,IF(OR($X239="Parcial",N($R239)&gt;0),"Parcial",IF($C239="","Sem vencimento",IF($C239&lt;TODAY(),"Vencido",IF($C239=TODAY(),"Vence hoje",IF($C239&lt;=TODAY()+7,"Vence em 7 dias",IF($C239&lt;=TODAY()+30,"Vence em 30 dias","Futuro")))))))))</f>
        <v/>
      </c>
      <c r="Z239" s="24">
        <f>IF($B239="","",MONTH($B239))</f>
        <v/>
      </c>
      <c r="AA239" s="24">
        <f>IF($B239="","",YEAR($B239))</f>
        <v/>
      </c>
      <c r="AB239" s="24">
        <f>IF($B239="","",ISOWEEKNUM($B239))</f>
        <v/>
      </c>
      <c r="AC239" s="17">
        <f>IF($B239="","",CHOOSE(WEEKDAY($B239,2),"Segunda","Terça","Quarta","Quinta","Sexta","Sábado","Domingo"))</f>
        <v/>
      </c>
      <c r="AD239" s="17">
        <f>IF($B239="","",TEXT($B239,"MM/AAAA"))</f>
        <v/>
      </c>
      <c r="AE239" s="18">
        <f>IF(COUNTA($B239:$R239)=0,"",IF($X239="Cancelado",0,ROUND(N($Q239)+N($S239)+N($T239)-N($U239),2)))</f>
        <v/>
      </c>
      <c r="AF239" s="9">
        <f>IF($G239="","",IFERROR(INDEX(LINHAS_DRE_PLANO,MATCH($G239,SUBCATEGORIAS_PLANO,0)),"Não classificado"))</f>
        <v/>
      </c>
      <c r="AG239" s="17">
        <f>IF($G239="","",IFERROR(INDEX(TIPOS_FLUXO_PLANO,MATCH($G239,SUBCATEGORIAS_PLANO,0)),"Não classificado"))</f>
        <v/>
      </c>
      <c r="AH239" s="9">
        <f>IF($G239="","",IFERROR(INDEX(GRUPOS_PLANO,MATCH($G239,SUBCATEGORIAS_PLANO,0)),"Não classificado"))</f>
        <v/>
      </c>
      <c r="AI239" s="24">
        <f>IF(OR($C239="",$X239="Pago",$X239="Recebido",$X239="Cancelado"),"",$C239-TODAY())</f>
        <v/>
      </c>
      <c r="AJ239" s="24">
        <f>IF(OR($C239="",$X239="Pago",$X239="Recebido",$X239="Cancelado"),0,MAX(0,TODAY()-$C239))</f>
        <v/>
      </c>
      <c r="AK239" s="24">
        <f>IF($D239="","",$D239-$B239)</f>
        <v/>
      </c>
      <c r="AL239" s="18">
        <f>IF(OR($D239="",$B239=""),"",ROUND(N($R239)*($D239-$B239),2))</f>
        <v/>
      </c>
      <c r="AM239" s="17">
        <f>IF(AND($E239="Saída",$W239&gt;0,$C239&lt;&gt;""),$C239+ROW()/1000000,"")</f>
        <v/>
      </c>
      <c r="AN239" s="17">
        <f>IF(AND($E239="Entrada",$W239&gt;0,$C239&lt;&gt;""),$C239+ROW()/1000000,"")</f>
        <v/>
      </c>
      <c r="AO239" s="9">
        <f>IF(COUNTA($B239:$R239)=0,"",IF(AND($I239&lt;&gt;"",COUNTIF(CLIENTES_NOMES,$I239)+COUNTIF(CLIENTES_FANTASIA,$I239)+COUNTIF(FORNECEDORES_NOMES,$I239)+COUNTIF(FORNECEDORES_FANTASIA,$I239)=0),"⚠ Cliente/Fornecedor não cadastrado",IF(AND($G239&lt;&gt;"",COUNTIF(SUBCATEGORIAS_PLANO,$G239)=0),"⚠ Subcategoria fora do plano de contas",IF(OR($Q239="",N($Q239)=0),"⚠ Valor previsto não informado",IF(AND(OR($X239="Pago",$X239="Recebido"),$D239=""),"⚠ Status pago/recebido sem data",IF(AND($D239&lt;&gt;"",N($R239)=0),"⚠ Data de pagamento sem valor realizado",IF(AND(N($P239)&gt;1,N($O239)&gt;N($P239)),"⚠ Nº da parcela maior que o total",IF(AND($C239&lt;&gt;"",$B239&lt;&gt;"",$C239&lt;$B239),"⚠ Vencimento anterior à competência","OK"))))))))</f>
        <v/>
      </c>
    </row>
    <row r="240">
      <c r="A240" s="14" t="inlineStr">
        <is>
          <t>L0235</t>
        </is>
      </c>
      <c r="B240" s="36" t="n">
        <v>46170</v>
      </c>
      <c r="C240" s="36" t="n">
        <v>46180</v>
      </c>
      <c r="D240" s="36" t="n">
        <v>46183</v>
      </c>
      <c r="E240" s="14" t="inlineStr">
        <is>
          <t>Saída</t>
        </is>
      </c>
      <c r="F240" s="29" t="inlineStr">
        <is>
          <t>Custos Variáveis</t>
        </is>
      </c>
      <c r="G240" s="29" t="inlineStr">
        <is>
          <t>Taxas de Marketplace</t>
        </is>
      </c>
      <c r="H240" s="29" t="inlineStr">
        <is>
          <t>Comercial</t>
        </is>
      </c>
      <c r="I240" s="29" t="inlineStr">
        <is>
          <t>MARKETPLACE FOODB2B LTDA</t>
        </is>
      </c>
      <c r="J240" s="29" t="inlineStr">
        <is>
          <t>Taxas de intermediação do marketplace</t>
        </is>
      </c>
      <c r="K240" s="14" t="inlineStr">
        <is>
          <t>DOC 7199</t>
        </is>
      </c>
      <c r="L240" s="29" t="inlineStr">
        <is>
          <t>Banco do Brasil — C/C 12345-6</t>
        </is>
      </c>
      <c r="M240" s="14" t="inlineStr">
        <is>
          <t>PIX</t>
        </is>
      </c>
      <c r="N240" s="29" t="n"/>
      <c r="O240" s="13" t="n">
        <v>1</v>
      </c>
      <c r="P240" s="13" t="n">
        <v>1</v>
      </c>
      <c r="Q240" s="35" t="n">
        <v>1854.33</v>
      </c>
      <c r="R240" s="35" t="n">
        <v>1854.33</v>
      </c>
      <c r="S240" s="35" t="n"/>
      <c r="T240" s="35" t="n"/>
      <c r="U240" s="35" t="n"/>
      <c r="V240" s="18">
        <f>IF(COUNTA($B240:$R240)=0,"",ROUND(N($R240)+N($S240)+N($T240)-N($U240),2))</f>
        <v/>
      </c>
      <c r="W240" s="18">
        <f>IF(COUNTA($B240:$R240)=0,"",IF(OR($X240="Pago",$X240="Recebido",$X240="Cancelado"),0,ROUND(N($Q240)+N($S240)+N($T240)-N($U240)-N($R240),2)))</f>
        <v/>
      </c>
      <c r="X240" s="14" t="inlineStr">
        <is>
          <t>Pago</t>
        </is>
      </c>
      <c r="Y240" s="17">
        <f>IF(COUNTA($B240:$R240)=0,"",IF($X240="Cancelado","Cancelado",IF(OR($X240="Pago",$X240="Recebido"),$X240,IF(OR($X240="Parcial",N($R240)&gt;0),"Parcial",IF($C240="","Sem vencimento",IF($C240&lt;TODAY(),"Vencido",IF($C240=TODAY(),"Vence hoje",IF($C240&lt;=TODAY()+7,"Vence em 7 dias",IF($C240&lt;=TODAY()+30,"Vence em 30 dias","Futuro")))))))))</f>
        <v/>
      </c>
      <c r="Z240" s="24">
        <f>IF($B240="","",MONTH($B240))</f>
        <v/>
      </c>
      <c r="AA240" s="24">
        <f>IF($B240="","",YEAR($B240))</f>
        <v/>
      </c>
      <c r="AB240" s="24">
        <f>IF($B240="","",ISOWEEKNUM($B240))</f>
        <v/>
      </c>
      <c r="AC240" s="17">
        <f>IF($B240="","",CHOOSE(WEEKDAY($B240,2),"Segunda","Terça","Quarta","Quinta","Sexta","Sábado","Domingo"))</f>
        <v/>
      </c>
      <c r="AD240" s="17">
        <f>IF($B240="","",TEXT($B240,"MM/AAAA"))</f>
        <v/>
      </c>
      <c r="AE240" s="18">
        <f>IF(COUNTA($B240:$R240)=0,"",IF($X240="Cancelado",0,ROUND(N($Q240)+N($S240)+N($T240)-N($U240),2)))</f>
        <v/>
      </c>
      <c r="AF240" s="9">
        <f>IF($G240="","",IFERROR(INDEX(LINHAS_DRE_PLANO,MATCH($G240,SUBCATEGORIAS_PLANO,0)),"Não classificado"))</f>
        <v/>
      </c>
      <c r="AG240" s="17">
        <f>IF($G240="","",IFERROR(INDEX(TIPOS_FLUXO_PLANO,MATCH($G240,SUBCATEGORIAS_PLANO,0)),"Não classificado"))</f>
        <v/>
      </c>
      <c r="AH240" s="9">
        <f>IF($G240="","",IFERROR(INDEX(GRUPOS_PLANO,MATCH($G240,SUBCATEGORIAS_PLANO,0)),"Não classificado"))</f>
        <v/>
      </c>
      <c r="AI240" s="24">
        <f>IF(OR($C240="",$X240="Pago",$X240="Recebido",$X240="Cancelado"),"",$C240-TODAY())</f>
        <v/>
      </c>
      <c r="AJ240" s="24">
        <f>IF(OR($C240="",$X240="Pago",$X240="Recebido",$X240="Cancelado"),0,MAX(0,TODAY()-$C240))</f>
        <v/>
      </c>
      <c r="AK240" s="24">
        <f>IF($D240="","",$D240-$B240)</f>
        <v/>
      </c>
      <c r="AL240" s="18">
        <f>IF(OR($D240="",$B240=""),"",ROUND(N($R240)*($D240-$B240),2))</f>
        <v/>
      </c>
      <c r="AM240" s="17">
        <f>IF(AND($E240="Saída",$W240&gt;0,$C240&lt;&gt;""),$C240+ROW()/1000000,"")</f>
        <v/>
      </c>
      <c r="AN240" s="17">
        <f>IF(AND($E240="Entrada",$W240&gt;0,$C240&lt;&gt;""),$C240+ROW()/1000000,"")</f>
        <v/>
      </c>
      <c r="AO240" s="9">
        <f>IF(COUNTA($B240:$R240)=0,"",IF(AND($I240&lt;&gt;"",COUNTIF(CLIENTES_NOMES,$I240)+COUNTIF(CLIENTES_FANTASIA,$I240)+COUNTIF(FORNECEDORES_NOMES,$I240)+COUNTIF(FORNECEDORES_FANTASIA,$I240)=0),"⚠ Cliente/Fornecedor não cadastrado",IF(AND($G240&lt;&gt;"",COUNTIF(SUBCATEGORIAS_PLANO,$G240)=0),"⚠ Subcategoria fora do plano de contas",IF(OR($Q240="",N($Q240)=0),"⚠ Valor previsto não informado",IF(AND(OR($X240="Pago",$X240="Recebido"),$D240=""),"⚠ Status pago/recebido sem data",IF(AND($D240&lt;&gt;"",N($R240)=0),"⚠ Data de pagamento sem valor realizado",IF(AND(N($P240)&gt;1,N($O240)&gt;N($P240)),"⚠ Nº da parcela maior que o total",IF(AND($C240&lt;&gt;"",$B240&lt;&gt;"",$C240&lt;$B240),"⚠ Vencimento anterior à competência","OK"))))))))</f>
        <v/>
      </c>
    </row>
    <row r="241">
      <c r="A241" s="14" t="inlineStr">
        <is>
          <t>L0236</t>
        </is>
      </c>
      <c r="B241" s="36" t="n">
        <v>46170</v>
      </c>
      <c r="C241" s="36" t="n">
        <v>46175</v>
      </c>
      <c r="D241" s="36" t="n">
        <v>46176</v>
      </c>
      <c r="E241" s="14" t="inlineStr">
        <is>
          <t>Saída</t>
        </is>
      </c>
      <c r="F241" s="29" t="inlineStr">
        <is>
          <t>Custos Variáveis</t>
        </is>
      </c>
      <c r="G241" s="29" t="inlineStr">
        <is>
          <t>Taxas de Cartão e Maquininha</t>
        </is>
      </c>
      <c r="H241" s="29" t="inlineStr">
        <is>
          <t>Financeiro</t>
        </is>
      </c>
      <c r="I241" s="29" t="inlineStr">
        <is>
          <t>CIELO S.A. — INSTITUIÇÃO DE PAGAMENTO</t>
        </is>
      </c>
      <c r="J241" s="29" t="inlineStr">
        <is>
          <t>Taxas de cartão e antecipação de recebíveis</t>
        </is>
      </c>
      <c r="K241" s="14" t="inlineStr">
        <is>
          <t>DOC 7200</t>
        </is>
      </c>
      <c r="L241" s="29" t="inlineStr">
        <is>
          <t>Banco do Brasil — C/C 12345-6</t>
        </is>
      </c>
      <c r="M241" s="14" t="inlineStr">
        <is>
          <t>Transferência</t>
        </is>
      </c>
      <c r="N241" s="29" t="n"/>
      <c r="O241" s="13" t="n">
        <v>1</v>
      </c>
      <c r="P241" s="13" t="n">
        <v>1</v>
      </c>
      <c r="Q241" s="35" t="n">
        <v>2519.62</v>
      </c>
      <c r="R241" s="35" t="n">
        <v>2519.62</v>
      </c>
      <c r="S241" s="35" t="n"/>
      <c r="T241" s="35" t="n"/>
      <c r="U241" s="35" t="n"/>
      <c r="V241" s="18">
        <f>IF(COUNTA($B241:$R241)=0,"",ROUND(N($R241)+N($S241)+N($T241)-N($U241),2))</f>
        <v/>
      </c>
      <c r="W241" s="18">
        <f>IF(COUNTA($B241:$R241)=0,"",IF(OR($X241="Pago",$X241="Recebido",$X241="Cancelado"),0,ROUND(N($Q241)+N($S241)+N($T241)-N($U241)-N($R241),2)))</f>
        <v/>
      </c>
      <c r="X241" s="14" t="inlineStr">
        <is>
          <t>Pago</t>
        </is>
      </c>
      <c r="Y241" s="17">
        <f>IF(COUNTA($B241:$R241)=0,"",IF($X241="Cancelado","Cancelado",IF(OR($X241="Pago",$X241="Recebido"),$X241,IF(OR($X241="Parcial",N($R241)&gt;0),"Parcial",IF($C241="","Sem vencimento",IF($C241&lt;TODAY(),"Vencido",IF($C241=TODAY(),"Vence hoje",IF($C241&lt;=TODAY()+7,"Vence em 7 dias",IF($C241&lt;=TODAY()+30,"Vence em 30 dias","Futuro")))))))))</f>
        <v/>
      </c>
      <c r="Z241" s="24">
        <f>IF($B241="","",MONTH($B241))</f>
        <v/>
      </c>
      <c r="AA241" s="24">
        <f>IF($B241="","",YEAR($B241))</f>
        <v/>
      </c>
      <c r="AB241" s="24">
        <f>IF($B241="","",ISOWEEKNUM($B241))</f>
        <v/>
      </c>
      <c r="AC241" s="17">
        <f>IF($B241="","",CHOOSE(WEEKDAY($B241,2),"Segunda","Terça","Quarta","Quinta","Sexta","Sábado","Domingo"))</f>
        <v/>
      </c>
      <c r="AD241" s="17">
        <f>IF($B241="","",TEXT($B241,"MM/AAAA"))</f>
        <v/>
      </c>
      <c r="AE241" s="18">
        <f>IF(COUNTA($B241:$R241)=0,"",IF($X241="Cancelado",0,ROUND(N($Q241)+N($S241)+N($T241)-N($U241),2)))</f>
        <v/>
      </c>
      <c r="AF241" s="9">
        <f>IF($G241="","",IFERROR(INDEX(LINHAS_DRE_PLANO,MATCH($G241,SUBCATEGORIAS_PLANO,0)),"Não classificado"))</f>
        <v/>
      </c>
      <c r="AG241" s="17">
        <f>IF($G241="","",IFERROR(INDEX(TIPOS_FLUXO_PLANO,MATCH($G241,SUBCATEGORIAS_PLANO,0)),"Não classificado"))</f>
        <v/>
      </c>
      <c r="AH241" s="9">
        <f>IF($G241="","",IFERROR(INDEX(GRUPOS_PLANO,MATCH($G241,SUBCATEGORIAS_PLANO,0)),"Não classificado"))</f>
        <v/>
      </c>
      <c r="AI241" s="24">
        <f>IF(OR($C241="",$X241="Pago",$X241="Recebido",$X241="Cancelado"),"",$C241-TODAY())</f>
        <v/>
      </c>
      <c r="AJ241" s="24">
        <f>IF(OR($C241="",$X241="Pago",$X241="Recebido",$X241="Cancelado"),0,MAX(0,TODAY()-$C241))</f>
        <v/>
      </c>
      <c r="AK241" s="24">
        <f>IF($D241="","",$D241-$B241)</f>
        <v/>
      </c>
      <c r="AL241" s="18">
        <f>IF(OR($D241="",$B241=""),"",ROUND(N($R241)*($D241-$B241),2))</f>
        <v/>
      </c>
      <c r="AM241" s="17">
        <f>IF(AND($E241="Saída",$W241&gt;0,$C241&lt;&gt;""),$C241+ROW()/1000000,"")</f>
        <v/>
      </c>
      <c r="AN241" s="17">
        <f>IF(AND($E241="Entrada",$W241&gt;0,$C241&lt;&gt;""),$C241+ROW()/1000000,"")</f>
        <v/>
      </c>
      <c r="AO241" s="9">
        <f>IF(COUNTA($B241:$R241)=0,"",IF(AND($I241&lt;&gt;"",COUNTIF(CLIENTES_NOMES,$I241)+COUNTIF(CLIENTES_FANTASIA,$I241)+COUNTIF(FORNECEDORES_NOMES,$I241)+COUNTIF(FORNECEDORES_FANTASIA,$I241)=0),"⚠ Cliente/Fornecedor não cadastrado",IF(AND($G241&lt;&gt;"",COUNTIF(SUBCATEGORIAS_PLANO,$G241)=0),"⚠ Subcategoria fora do plano de contas",IF(OR($Q241="",N($Q241)=0),"⚠ Valor previsto não informado",IF(AND(OR($X241="Pago",$X241="Recebido"),$D241=""),"⚠ Status pago/recebido sem data",IF(AND($D241&lt;&gt;"",N($R241)=0),"⚠ Data de pagamento sem valor realizado",IF(AND(N($P241)&gt;1,N($O241)&gt;N($P241)),"⚠ Nº da parcela maior que o total",IF(AND($C241&lt;&gt;"",$B241&lt;&gt;"",$C241&lt;$B241),"⚠ Vencimento anterior à competência","OK"))))))))</f>
        <v/>
      </c>
    </row>
    <row r="242">
      <c r="A242" s="14" t="inlineStr">
        <is>
          <t>L0237</t>
        </is>
      </c>
      <c r="B242" s="36" t="n">
        <v>46170</v>
      </c>
      <c r="C242" s="36" t="n">
        <v>46170</v>
      </c>
      <c r="D242" s="36" t="n">
        <v>46172</v>
      </c>
      <c r="E242" s="14" t="inlineStr">
        <is>
          <t>Saída</t>
        </is>
      </c>
      <c r="F242" s="29" t="inlineStr">
        <is>
          <t>Despesas Financeiras</t>
        </is>
      </c>
      <c r="G242" s="29" t="inlineStr">
        <is>
          <t>Tarifas Bancárias</t>
        </is>
      </c>
      <c r="H242" s="29" t="inlineStr">
        <is>
          <t>Financeiro</t>
        </is>
      </c>
      <c r="I242" s="29" t="inlineStr">
        <is>
          <t>CONTABILIDADE AURORA ASSESSORIA CONTÁBIL LTDA</t>
        </is>
      </c>
      <c r="J242" s="29" t="inlineStr">
        <is>
          <t>Tarifas e pacote de serviços bancários</t>
        </is>
      </c>
      <c r="K242" s="14" t="inlineStr">
        <is>
          <t>DOC 8345</t>
        </is>
      </c>
      <c r="L242" s="29" t="inlineStr">
        <is>
          <t>Itaú Unibanco — C/C 45678-9</t>
        </is>
      </c>
      <c r="M242" s="14" t="inlineStr">
        <is>
          <t>Transferência</t>
        </is>
      </c>
      <c r="N242" s="29" t="n"/>
      <c r="O242" s="13" t="n">
        <v>1</v>
      </c>
      <c r="P242" s="13" t="n">
        <v>1</v>
      </c>
      <c r="Q242" s="35" t="n">
        <v>190</v>
      </c>
      <c r="R242" s="35" t="n">
        <v>190</v>
      </c>
      <c r="S242" s="35" t="n"/>
      <c r="T242" s="35" t="n"/>
      <c r="U242" s="35" t="n"/>
      <c r="V242" s="18">
        <f>IF(COUNTA($B242:$R242)=0,"",ROUND(N($R242)+N($S242)+N($T242)-N($U242),2))</f>
        <v/>
      </c>
      <c r="W242" s="18">
        <f>IF(COUNTA($B242:$R242)=0,"",IF(OR($X242="Pago",$X242="Recebido",$X242="Cancelado"),0,ROUND(N($Q242)+N($S242)+N($T242)-N($U242)-N($R242),2)))</f>
        <v/>
      </c>
      <c r="X242" s="14" t="inlineStr">
        <is>
          <t>Pago</t>
        </is>
      </c>
      <c r="Y242" s="17">
        <f>IF(COUNTA($B242:$R242)=0,"",IF($X242="Cancelado","Cancelado",IF(OR($X242="Pago",$X242="Recebido"),$X242,IF(OR($X242="Parcial",N($R242)&gt;0),"Parcial",IF($C242="","Sem vencimento",IF($C242&lt;TODAY(),"Vencido",IF($C242=TODAY(),"Vence hoje",IF($C242&lt;=TODAY()+7,"Vence em 7 dias",IF($C242&lt;=TODAY()+30,"Vence em 30 dias","Futuro")))))))))</f>
        <v/>
      </c>
      <c r="Z242" s="24">
        <f>IF($B242="","",MONTH($B242))</f>
        <v/>
      </c>
      <c r="AA242" s="24">
        <f>IF($B242="","",YEAR($B242))</f>
        <v/>
      </c>
      <c r="AB242" s="24">
        <f>IF($B242="","",ISOWEEKNUM($B242))</f>
        <v/>
      </c>
      <c r="AC242" s="17">
        <f>IF($B242="","",CHOOSE(WEEKDAY($B242,2),"Segunda","Terça","Quarta","Quinta","Sexta","Sábado","Domingo"))</f>
        <v/>
      </c>
      <c r="AD242" s="17">
        <f>IF($B242="","",TEXT($B242,"MM/AAAA"))</f>
        <v/>
      </c>
      <c r="AE242" s="18">
        <f>IF(COUNTA($B242:$R242)=0,"",IF($X242="Cancelado",0,ROUND(N($Q242)+N($S242)+N($T242)-N($U242),2)))</f>
        <v/>
      </c>
      <c r="AF242" s="9">
        <f>IF($G242="","",IFERROR(INDEX(LINHAS_DRE_PLANO,MATCH($G242,SUBCATEGORIAS_PLANO,0)),"Não classificado"))</f>
        <v/>
      </c>
      <c r="AG242" s="17">
        <f>IF($G242="","",IFERROR(INDEX(TIPOS_FLUXO_PLANO,MATCH($G242,SUBCATEGORIAS_PLANO,0)),"Não classificado"))</f>
        <v/>
      </c>
      <c r="AH242" s="9">
        <f>IF($G242="","",IFERROR(INDEX(GRUPOS_PLANO,MATCH($G242,SUBCATEGORIAS_PLANO,0)),"Não classificado"))</f>
        <v/>
      </c>
      <c r="AI242" s="24">
        <f>IF(OR($C242="",$X242="Pago",$X242="Recebido",$X242="Cancelado"),"",$C242-TODAY())</f>
        <v/>
      </c>
      <c r="AJ242" s="24">
        <f>IF(OR($C242="",$X242="Pago",$X242="Recebido",$X242="Cancelado"),0,MAX(0,TODAY()-$C242))</f>
        <v/>
      </c>
      <c r="AK242" s="24">
        <f>IF($D242="","",$D242-$B242)</f>
        <v/>
      </c>
      <c r="AL242" s="18">
        <f>IF(OR($D242="",$B242=""),"",ROUND(N($R242)*($D242-$B242),2))</f>
        <v/>
      </c>
      <c r="AM242" s="17">
        <f>IF(AND($E242="Saída",$W242&gt;0,$C242&lt;&gt;""),$C242+ROW()/1000000,"")</f>
        <v/>
      </c>
      <c r="AN242" s="17">
        <f>IF(AND($E242="Entrada",$W242&gt;0,$C242&lt;&gt;""),$C242+ROW()/1000000,"")</f>
        <v/>
      </c>
      <c r="AO242" s="9">
        <f>IF(COUNTA($B242:$R242)=0,"",IF(AND($I242&lt;&gt;"",COUNTIF(CLIENTES_NOMES,$I242)+COUNTIF(CLIENTES_FANTASIA,$I242)+COUNTIF(FORNECEDORES_NOMES,$I242)+COUNTIF(FORNECEDORES_FANTASIA,$I242)=0),"⚠ Cliente/Fornecedor não cadastrado",IF(AND($G242&lt;&gt;"",COUNTIF(SUBCATEGORIAS_PLANO,$G242)=0),"⚠ Subcategoria fora do plano de contas",IF(OR($Q242="",N($Q242)=0),"⚠ Valor previsto não informado",IF(AND(OR($X242="Pago",$X242="Recebido"),$D242=""),"⚠ Status pago/recebido sem data",IF(AND($D242&lt;&gt;"",N($R242)=0),"⚠ Data de pagamento sem valor realizado",IF(AND(N($P242)&gt;1,N($O242)&gt;N($P242)),"⚠ Nº da parcela maior que o total",IF(AND($C242&lt;&gt;"",$B242&lt;&gt;"",$C242&lt;$B242),"⚠ Vencimento anterior à competência","OK"))))))))</f>
        <v/>
      </c>
    </row>
    <row r="243">
      <c r="A243" s="14" t="inlineStr">
        <is>
          <t>L0238</t>
        </is>
      </c>
      <c r="B243" s="36" t="n">
        <v>46177</v>
      </c>
      <c r="C243" s="36" t="n">
        <v>46207</v>
      </c>
      <c r="D243" s="36" t="n">
        <v>46208</v>
      </c>
      <c r="E243" s="14" t="inlineStr">
        <is>
          <t>Saída</t>
        </is>
      </c>
      <c r="F243" s="29" t="inlineStr">
        <is>
          <t>Custos Variáveis</t>
        </is>
      </c>
      <c r="G243" s="29" t="inlineStr">
        <is>
          <t>Mercadorias para Revenda</t>
        </is>
      </c>
      <c r="H243" s="29" t="inlineStr">
        <is>
          <t>Logística</t>
        </is>
      </c>
      <c r="I243" s="29" t="inlineStr">
        <is>
          <t>DISTRIBUIDORA CENTRAL DE ALIMENTOS S/A</t>
        </is>
      </c>
      <c r="J243" s="29" t="inlineStr">
        <is>
          <t>Compra de mercadorias para revenda — NF 5060</t>
        </is>
      </c>
      <c r="K243" s="14" t="inlineStr">
        <is>
          <t>NF 5060</t>
        </is>
      </c>
      <c r="L243" s="29" t="inlineStr">
        <is>
          <t>Itaú Unibanco — C/C 45678-9</t>
        </is>
      </c>
      <c r="M243" s="14" t="inlineStr">
        <is>
          <t>Boleto</t>
        </is>
      </c>
      <c r="N243" s="29" t="n"/>
      <c r="O243" s="13" t="n">
        <v>1</v>
      </c>
      <c r="P243" s="13" t="n">
        <v>1</v>
      </c>
      <c r="Q243" s="35" t="n">
        <v>64508.35</v>
      </c>
      <c r="R243" s="35" t="n">
        <v>64508.35</v>
      </c>
      <c r="S243" s="35" t="n"/>
      <c r="T243" s="35" t="n"/>
      <c r="U243" s="35" t="n"/>
      <c r="V243" s="18">
        <f>IF(COUNTA($B243:$R243)=0,"",ROUND(N($R243)+N($S243)+N($T243)-N($U243),2))</f>
        <v/>
      </c>
      <c r="W243" s="18">
        <f>IF(COUNTA($B243:$R243)=0,"",IF(OR($X243="Pago",$X243="Recebido",$X243="Cancelado"),0,ROUND(N($Q243)+N($S243)+N($T243)-N($U243)-N($R243),2)))</f>
        <v/>
      </c>
      <c r="X243" s="14" t="inlineStr">
        <is>
          <t>Pago</t>
        </is>
      </c>
      <c r="Y243" s="17">
        <f>IF(COUNTA($B243:$R243)=0,"",IF($X243="Cancelado","Cancelado",IF(OR($X243="Pago",$X243="Recebido"),$X243,IF(OR($X243="Parcial",N($R243)&gt;0),"Parcial",IF($C243="","Sem vencimento",IF($C243&lt;TODAY(),"Vencido",IF($C243=TODAY(),"Vence hoje",IF($C243&lt;=TODAY()+7,"Vence em 7 dias",IF($C243&lt;=TODAY()+30,"Vence em 30 dias","Futuro")))))))))</f>
        <v/>
      </c>
      <c r="Z243" s="24">
        <f>IF($B243="","",MONTH($B243))</f>
        <v/>
      </c>
      <c r="AA243" s="24">
        <f>IF($B243="","",YEAR($B243))</f>
        <v/>
      </c>
      <c r="AB243" s="24">
        <f>IF($B243="","",ISOWEEKNUM($B243))</f>
        <v/>
      </c>
      <c r="AC243" s="17">
        <f>IF($B243="","",CHOOSE(WEEKDAY($B243,2),"Segunda","Terça","Quarta","Quinta","Sexta","Sábado","Domingo"))</f>
        <v/>
      </c>
      <c r="AD243" s="17">
        <f>IF($B243="","",TEXT($B243,"MM/AAAA"))</f>
        <v/>
      </c>
      <c r="AE243" s="18">
        <f>IF(COUNTA($B243:$R243)=0,"",IF($X243="Cancelado",0,ROUND(N($Q243)+N($S243)+N($T243)-N($U243),2)))</f>
        <v/>
      </c>
      <c r="AF243" s="9">
        <f>IF($G243="","",IFERROR(INDEX(LINHAS_DRE_PLANO,MATCH($G243,SUBCATEGORIAS_PLANO,0)),"Não classificado"))</f>
        <v/>
      </c>
      <c r="AG243" s="17">
        <f>IF($G243="","",IFERROR(INDEX(TIPOS_FLUXO_PLANO,MATCH($G243,SUBCATEGORIAS_PLANO,0)),"Não classificado"))</f>
        <v/>
      </c>
      <c r="AH243" s="9">
        <f>IF($G243="","",IFERROR(INDEX(GRUPOS_PLANO,MATCH($G243,SUBCATEGORIAS_PLANO,0)),"Não classificado"))</f>
        <v/>
      </c>
      <c r="AI243" s="24">
        <f>IF(OR($C243="",$X243="Pago",$X243="Recebido",$X243="Cancelado"),"",$C243-TODAY())</f>
        <v/>
      </c>
      <c r="AJ243" s="24">
        <f>IF(OR($C243="",$X243="Pago",$X243="Recebido",$X243="Cancelado"),0,MAX(0,TODAY()-$C243))</f>
        <v/>
      </c>
      <c r="AK243" s="24">
        <f>IF($D243="","",$D243-$B243)</f>
        <v/>
      </c>
      <c r="AL243" s="18">
        <f>IF(OR($D243="",$B243=""),"",ROUND(N($R243)*($D243-$B243),2))</f>
        <v/>
      </c>
      <c r="AM243" s="17">
        <f>IF(AND($E243="Saída",$W243&gt;0,$C243&lt;&gt;""),$C243+ROW()/1000000,"")</f>
        <v/>
      </c>
      <c r="AN243" s="17">
        <f>IF(AND($E243="Entrada",$W243&gt;0,$C243&lt;&gt;""),$C243+ROW()/1000000,"")</f>
        <v/>
      </c>
      <c r="AO243" s="9">
        <f>IF(COUNTA($B243:$R243)=0,"",IF(AND($I243&lt;&gt;"",COUNTIF(CLIENTES_NOMES,$I243)+COUNTIF(CLIENTES_FANTASIA,$I243)+COUNTIF(FORNECEDORES_NOMES,$I243)+COUNTIF(FORNECEDORES_FANTASIA,$I243)=0),"⚠ Cliente/Fornecedor não cadastrado",IF(AND($G243&lt;&gt;"",COUNTIF(SUBCATEGORIAS_PLANO,$G243)=0),"⚠ Subcategoria fora do plano de contas",IF(OR($Q243="",N($Q243)=0),"⚠ Valor previsto não informado",IF(AND(OR($X243="Pago",$X243="Recebido"),$D243=""),"⚠ Status pago/recebido sem data",IF(AND($D243&lt;&gt;"",N($R243)=0),"⚠ Data de pagamento sem valor realizado",IF(AND(N($P243)&gt;1,N($O243)&gt;N($P243)),"⚠ Nº da parcela maior que o total",IF(AND($C243&lt;&gt;"",$B243&lt;&gt;"",$C243&lt;$B243),"⚠ Vencimento anterior à competência","OK"))))))))</f>
        <v/>
      </c>
    </row>
    <row r="244">
      <c r="A244" s="14" t="inlineStr">
        <is>
          <t>L0239</t>
        </is>
      </c>
      <c r="B244" s="36" t="n">
        <v>46178</v>
      </c>
      <c r="C244" s="36" t="n">
        <v>46183</v>
      </c>
      <c r="D244" s="36" t="n">
        <v>46184</v>
      </c>
      <c r="E244" s="14" t="inlineStr">
        <is>
          <t>Saída</t>
        </is>
      </c>
      <c r="F244" s="29" t="inlineStr">
        <is>
          <t>Despesas Administrativas</t>
        </is>
      </c>
      <c r="G244" s="29" t="inlineStr">
        <is>
          <t>Aluguel</t>
        </is>
      </c>
      <c r="H244" s="29" t="inlineStr">
        <is>
          <t>Administrativo</t>
        </is>
      </c>
      <c r="I244" s="29" t="inlineStr">
        <is>
          <t>IMÓVEIS E LOCAÇÕES PINHEIROS LTDA</t>
        </is>
      </c>
      <c r="J244" s="29" t="inlineStr">
        <is>
          <t>Aluguel do galpão — competência 06/2026</t>
        </is>
      </c>
      <c r="K244" s="14" t="inlineStr">
        <is>
          <t>DOC 8346</t>
        </is>
      </c>
      <c r="L244" s="29" t="inlineStr">
        <is>
          <t>Banco do Brasil — C/C 12345-6</t>
        </is>
      </c>
      <c r="M244" s="14" t="inlineStr">
        <is>
          <t>Boleto</t>
        </is>
      </c>
      <c r="N244" s="29" t="n"/>
      <c r="O244" s="13" t="n">
        <v>1</v>
      </c>
      <c r="P244" s="13" t="n">
        <v>1</v>
      </c>
      <c r="Q244" s="35" t="n">
        <v>7500</v>
      </c>
      <c r="R244" s="35" t="n">
        <v>7500</v>
      </c>
      <c r="S244" s="35" t="n"/>
      <c r="T244" s="35" t="n"/>
      <c r="U244" s="35" t="n"/>
      <c r="V244" s="18">
        <f>IF(COUNTA($B244:$R244)=0,"",ROUND(N($R244)+N($S244)+N($T244)-N($U244),2))</f>
        <v/>
      </c>
      <c r="W244" s="18">
        <f>IF(COUNTA($B244:$R244)=0,"",IF(OR($X244="Pago",$X244="Recebido",$X244="Cancelado"),0,ROUND(N($Q244)+N($S244)+N($T244)-N($U244)-N($R244),2)))</f>
        <v/>
      </c>
      <c r="X244" s="14" t="inlineStr">
        <is>
          <t>Pago</t>
        </is>
      </c>
      <c r="Y244" s="17">
        <f>IF(COUNTA($B244:$R244)=0,"",IF($X244="Cancelado","Cancelado",IF(OR($X244="Pago",$X244="Recebido"),$X244,IF(OR($X244="Parcial",N($R244)&gt;0),"Parcial",IF($C244="","Sem vencimento",IF($C244&lt;TODAY(),"Vencido",IF($C244=TODAY(),"Vence hoje",IF($C244&lt;=TODAY()+7,"Vence em 7 dias",IF($C244&lt;=TODAY()+30,"Vence em 30 dias","Futuro")))))))))</f>
        <v/>
      </c>
      <c r="Z244" s="24">
        <f>IF($B244="","",MONTH($B244))</f>
        <v/>
      </c>
      <c r="AA244" s="24">
        <f>IF($B244="","",YEAR($B244))</f>
        <v/>
      </c>
      <c r="AB244" s="24">
        <f>IF($B244="","",ISOWEEKNUM($B244))</f>
        <v/>
      </c>
      <c r="AC244" s="17">
        <f>IF($B244="","",CHOOSE(WEEKDAY($B244,2),"Segunda","Terça","Quarta","Quinta","Sexta","Sábado","Domingo"))</f>
        <v/>
      </c>
      <c r="AD244" s="17">
        <f>IF($B244="","",TEXT($B244,"MM/AAAA"))</f>
        <v/>
      </c>
      <c r="AE244" s="18">
        <f>IF(COUNTA($B244:$R244)=0,"",IF($X244="Cancelado",0,ROUND(N($Q244)+N($S244)+N($T244)-N($U244),2)))</f>
        <v/>
      </c>
      <c r="AF244" s="9">
        <f>IF($G244="","",IFERROR(INDEX(LINHAS_DRE_PLANO,MATCH($G244,SUBCATEGORIAS_PLANO,0)),"Não classificado"))</f>
        <v/>
      </c>
      <c r="AG244" s="17">
        <f>IF($G244="","",IFERROR(INDEX(TIPOS_FLUXO_PLANO,MATCH($G244,SUBCATEGORIAS_PLANO,0)),"Não classificado"))</f>
        <v/>
      </c>
      <c r="AH244" s="9">
        <f>IF($G244="","",IFERROR(INDEX(GRUPOS_PLANO,MATCH($G244,SUBCATEGORIAS_PLANO,0)),"Não classificado"))</f>
        <v/>
      </c>
      <c r="AI244" s="24">
        <f>IF(OR($C244="",$X244="Pago",$X244="Recebido",$X244="Cancelado"),"",$C244-TODAY())</f>
        <v/>
      </c>
      <c r="AJ244" s="24">
        <f>IF(OR($C244="",$X244="Pago",$X244="Recebido",$X244="Cancelado"),0,MAX(0,TODAY()-$C244))</f>
        <v/>
      </c>
      <c r="AK244" s="24">
        <f>IF($D244="","",$D244-$B244)</f>
        <v/>
      </c>
      <c r="AL244" s="18">
        <f>IF(OR($D244="",$B244=""),"",ROUND(N($R244)*($D244-$B244),2))</f>
        <v/>
      </c>
      <c r="AM244" s="17">
        <f>IF(AND($E244="Saída",$W244&gt;0,$C244&lt;&gt;""),$C244+ROW()/1000000,"")</f>
        <v/>
      </c>
      <c r="AN244" s="17">
        <f>IF(AND($E244="Entrada",$W244&gt;0,$C244&lt;&gt;""),$C244+ROW()/1000000,"")</f>
        <v/>
      </c>
      <c r="AO244" s="9">
        <f>IF(COUNTA($B244:$R244)=0,"",IF(AND($I244&lt;&gt;"",COUNTIF(CLIENTES_NOMES,$I244)+COUNTIF(CLIENTES_FANTASIA,$I244)+COUNTIF(FORNECEDORES_NOMES,$I244)+COUNTIF(FORNECEDORES_FANTASIA,$I244)=0),"⚠ Cliente/Fornecedor não cadastrado",IF(AND($G244&lt;&gt;"",COUNTIF(SUBCATEGORIAS_PLANO,$G244)=0),"⚠ Subcategoria fora do plano de contas",IF(OR($Q244="",N($Q244)=0),"⚠ Valor previsto não informado",IF(AND(OR($X244="Pago",$X244="Recebido"),$D244=""),"⚠ Status pago/recebido sem data",IF(AND($D244&lt;&gt;"",N($R244)=0),"⚠ Data de pagamento sem valor realizado",IF(AND(N($P244)&gt;1,N($O244)&gt;N($P244)),"⚠ Nº da parcela maior que o total",IF(AND($C244&lt;&gt;"",$B244&lt;&gt;"",$C244&lt;$B244),"⚠ Vencimento anterior à competência","OK"))))))))</f>
        <v/>
      </c>
    </row>
    <row r="245">
      <c r="A245" s="14" t="inlineStr">
        <is>
          <t>L0240</t>
        </is>
      </c>
      <c r="B245" s="36" t="n">
        <v>46178</v>
      </c>
      <c r="C245" s="36" t="n">
        <v>46183</v>
      </c>
      <c r="D245" s="36" t="n">
        <v>46185</v>
      </c>
      <c r="E245" s="14" t="inlineStr">
        <is>
          <t>Saída</t>
        </is>
      </c>
      <c r="F245" s="29" t="inlineStr">
        <is>
          <t>Despesas com Pessoal</t>
        </is>
      </c>
      <c r="G245" s="29" t="inlineStr">
        <is>
          <t>Salários</t>
        </is>
      </c>
      <c r="H245" s="29" t="inlineStr">
        <is>
          <t>Administrativo</t>
        </is>
      </c>
      <c r="I245" s="29" t="inlineStr">
        <is>
          <t>COLABORADORES — FOLHA DE PAGAMENTO</t>
        </is>
      </c>
      <c r="J245" s="29" t="inlineStr">
        <is>
          <t>Folha de pagamento — 06/2026</t>
        </is>
      </c>
      <c r="K245" s="14" t="inlineStr">
        <is>
          <t>DOC 8352</t>
        </is>
      </c>
      <c r="L245" s="29" t="inlineStr">
        <is>
          <t>Banco do Brasil — C/C 12345-6</t>
        </is>
      </c>
      <c r="M245" s="14" t="inlineStr">
        <is>
          <t>Transferência</t>
        </is>
      </c>
      <c r="N245" s="29" t="n"/>
      <c r="O245" s="13" t="n">
        <v>1</v>
      </c>
      <c r="P245" s="13" t="n">
        <v>1</v>
      </c>
      <c r="Q245" s="35" t="n">
        <v>16000</v>
      </c>
      <c r="R245" s="35" t="n">
        <v>16000</v>
      </c>
      <c r="S245" s="35" t="n"/>
      <c r="T245" s="35" t="n"/>
      <c r="U245" s="35" t="n"/>
      <c r="V245" s="18">
        <f>IF(COUNTA($B245:$R245)=0,"",ROUND(N($R245)+N($S245)+N($T245)-N($U245),2))</f>
        <v/>
      </c>
      <c r="W245" s="18">
        <f>IF(COUNTA($B245:$R245)=0,"",IF(OR($X245="Pago",$X245="Recebido",$X245="Cancelado"),0,ROUND(N($Q245)+N($S245)+N($T245)-N($U245)-N($R245),2)))</f>
        <v/>
      </c>
      <c r="X245" s="14" t="inlineStr">
        <is>
          <t>Pago</t>
        </is>
      </c>
      <c r="Y245" s="17">
        <f>IF(COUNTA($B245:$R245)=0,"",IF($X245="Cancelado","Cancelado",IF(OR($X245="Pago",$X245="Recebido"),$X245,IF(OR($X245="Parcial",N($R245)&gt;0),"Parcial",IF($C245="","Sem vencimento",IF($C245&lt;TODAY(),"Vencido",IF($C245=TODAY(),"Vence hoje",IF($C245&lt;=TODAY()+7,"Vence em 7 dias",IF($C245&lt;=TODAY()+30,"Vence em 30 dias","Futuro")))))))))</f>
        <v/>
      </c>
      <c r="Z245" s="24">
        <f>IF($B245="","",MONTH($B245))</f>
        <v/>
      </c>
      <c r="AA245" s="24">
        <f>IF($B245="","",YEAR($B245))</f>
        <v/>
      </c>
      <c r="AB245" s="24">
        <f>IF($B245="","",ISOWEEKNUM($B245))</f>
        <v/>
      </c>
      <c r="AC245" s="17">
        <f>IF($B245="","",CHOOSE(WEEKDAY($B245,2),"Segunda","Terça","Quarta","Quinta","Sexta","Sábado","Domingo"))</f>
        <v/>
      </c>
      <c r="AD245" s="17">
        <f>IF($B245="","",TEXT($B245,"MM/AAAA"))</f>
        <v/>
      </c>
      <c r="AE245" s="18">
        <f>IF(COUNTA($B245:$R245)=0,"",IF($X245="Cancelado",0,ROUND(N($Q245)+N($S245)+N($T245)-N($U245),2)))</f>
        <v/>
      </c>
      <c r="AF245" s="9">
        <f>IF($G245="","",IFERROR(INDEX(LINHAS_DRE_PLANO,MATCH($G245,SUBCATEGORIAS_PLANO,0)),"Não classificado"))</f>
        <v/>
      </c>
      <c r="AG245" s="17">
        <f>IF($G245="","",IFERROR(INDEX(TIPOS_FLUXO_PLANO,MATCH($G245,SUBCATEGORIAS_PLANO,0)),"Não classificado"))</f>
        <v/>
      </c>
      <c r="AH245" s="9">
        <f>IF($G245="","",IFERROR(INDEX(GRUPOS_PLANO,MATCH($G245,SUBCATEGORIAS_PLANO,0)),"Não classificado"))</f>
        <v/>
      </c>
      <c r="AI245" s="24">
        <f>IF(OR($C245="",$X245="Pago",$X245="Recebido",$X245="Cancelado"),"",$C245-TODAY())</f>
        <v/>
      </c>
      <c r="AJ245" s="24">
        <f>IF(OR($C245="",$X245="Pago",$X245="Recebido",$X245="Cancelado"),0,MAX(0,TODAY()-$C245))</f>
        <v/>
      </c>
      <c r="AK245" s="24">
        <f>IF($D245="","",$D245-$B245)</f>
        <v/>
      </c>
      <c r="AL245" s="18">
        <f>IF(OR($D245="",$B245=""),"",ROUND(N($R245)*($D245-$B245),2))</f>
        <v/>
      </c>
      <c r="AM245" s="17">
        <f>IF(AND($E245="Saída",$W245&gt;0,$C245&lt;&gt;""),$C245+ROW()/1000000,"")</f>
        <v/>
      </c>
      <c r="AN245" s="17">
        <f>IF(AND($E245="Entrada",$W245&gt;0,$C245&lt;&gt;""),$C245+ROW()/1000000,"")</f>
        <v/>
      </c>
      <c r="AO245" s="9">
        <f>IF(COUNTA($B245:$R245)=0,"",IF(AND($I245&lt;&gt;"",COUNTIF(CLIENTES_NOMES,$I245)+COUNTIF(CLIENTES_FANTASIA,$I245)+COUNTIF(FORNECEDORES_NOMES,$I245)+COUNTIF(FORNECEDORES_FANTASIA,$I245)=0),"⚠ Cliente/Fornecedor não cadastrado",IF(AND($G245&lt;&gt;"",COUNTIF(SUBCATEGORIAS_PLANO,$G245)=0),"⚠ Subcategoria fora do plano de contas",IF(OR($Q245="",N($Q245)=0),"⚠ Valor previsto não informado",IF(AND(OR($X245="Pago",$X245="Recebido"),$D245=""),"⚠ Status pago/recebido sem data",IF(AND($D245&lt;&gt;"",N($R245)=0),"⚠ Data de pagamento sem valor realizado",IF(AND(N($P245)&gt;1,N($O245)&gt;N($P245)),"⚠ Nº da parcela maior que o total",IF(AND($C245&lt;&gt;"",$B245&lt;&gt;"",$C245&lt;$B245),"⚠ Vencimento anterior à competência","OK"))))))))</f>
        <v/>
      </c>
    </row>
    <row r="246">
      <c r="A246" s="14" t="inlineStr">
        <is>
          <t>L0241</t>
        </is>
      </c>
      <c r="B246" s="36" t="n">
        <v>46178</v>
      </c>
      <c r="C246" s="36" t="n">
        <v>46183</v>
      </c>
      <c r="D246" s="36" t="n">
        <v>46186</v>
      </c>
      <c r="E246" s="14" t="inlineStr">
        <is>
          <t>Saída</t>
        </is>
      </c>
      <c r="F246" s="29" t="inlineStr">
        <is>
          <t>Despesas com Pessoal</t>
        </is>
      </c>
      <c r="G246" s="29" t="inlineStr">
        <is>
          <t>Benefícios (VT/VA/Plano de Saúde)</t>
        </is>
      </c>
      <c r="H246" s="29" t="inlineStr">
        <is>
          <t>Administrativo</t>
        </is>
      </c>
      <c r="I246" s="29" t="inlineStr">
        <is>
          <t>BENEFÍCIOS BRASIL ADMINISTRADORA LTDA</t>
        </is>
      </c>
      <c r="J246" s="29" t="inlineStr">
        <is>
          <t>Vale-transporte, alimentação e saúde</t>
        </is>
      </c>
      <c r="K246" s="14" t="inlineStr">
        <is>
          <t>DOC 8354</t>
        </is>
      </c>
      <c r="L246" s="29" t="inlineStr">
        <is>
          <t>Banco do Brasil — C/C 12345-6</t>
        </is>
      </c>
      <c r="M246" s="14" t="inlineStr">
        <is>
          <t>Transferência</t>
        </is>
      </c>
      <c r="N246" s="29" t="n"/>
      <c r="O246" s="13" t="n">
        <v>1</v>
      </c>
      <c r="P246" s="13" t="n">
        <v>1</v>
      </c>
      <c r="Q246" s="35" t="n">
        <v>1900</v>
      </c>
      <c r="R246" s="35" t="n">
        <v>1900</v>
      </c>
      <c r="S246" s="35" t="n"/>
      <c r="T246" s="35" t="n"/>
      <c r="U246" s="35" t="n"/>
      <c r="V246" s="18">
        <f>IF(COUNTA($B246:$R246)=0,"",ROUND(N($R246)+N($S246)+N($T246)-N($U246),2))</f>
        <v/>
      </c>
      <c r="W246" s="18">
        <f>IF(COUNTA($B246:$R246)=0,"",IF(OR($X246="Pago",$X246="Recebido",$X246="Cancelado"),0,ROUND(N($Q246)+N($S246)+N($T246)-N($U246)-N($R246),2)))</f>
        <v/>
      </c>
      <c r="X246" s="14" t="inlineStr">
        <is>
          <t>Pago</t>
        </is>
      </c>
      <c r="Y246" s="17">
        <f>IF(COUNTA($B246:$R246)=0,"",IF($X246="Cancelado","Cancelado",IF(OR($X246="Pago",$X246="Recebido"),$X246,IF(OR($X246="Parcial",N($R246)&gt;0),"Parcial",IF($C246="","Sem vencimento",IF($C246&lt;TODAY(),"Vencido",IF($C246=TODAY(),"Vence hoje",IF($C246&lt;=TODAY()+7,"Vence em 7 dias",IF($C246&lt;=TODAY()+30,"Vence em 30 dias","Futuro")))))))))</f>
        <v/>
      </c>
      <c r="Z246" s="24">
        <f>IF($B246="","",MONTH($B246))</f>
        <v/>
      </c>
      <c r="AA246" s="24">
        <f>IF($B246="","",YEAR($B246))</f>
        <v/>
      </c>
      <c r="AB246" s="24">
        <f>IF($B246="","",ISOWEEKNUM($B246))</f>
        <v/>
      </c>
      <c r="AC246" s="17">
        <f>IF($B246="","",CHOOSE(WEEKDAY($B246,2),"Segunda","Terça","Quarta","Quinta","Sexta","Sábado","Domingo"))</f>
        <v/>
      </c>
      <c r="AD246" s="17">
        <f>IF($B246="","",TEXT($B246,"MM/AAAA"))</f>
        <v/>
      </c>
      <c r="AE246" s="18">
        <f>IF(COUNTA($B246:$R246)=0,"",IF($X246="Cancelado",0,ROUND(N($Q246)+N($S246)+N($T246)-N($U246),2)))</f>
        <v/>
      </c>
      <c r="AF246" s="9">
        <f>IF($G246="","",IFERROR(INDEX(LINHAS_DRE_PLANO,MATCH($G246,SUBCATEGORIAS_PLANO,0)),"Não classificado"))</f>
        <v/>
      </c>
      <c r="AG246" s="17">
        <f>IF($G246="","",IFERROR(INDEX(TIPOS_FLUXO_PLANO,MATCH($G246,SUBCATEGORIAS_PLANO,0)),"Não classificado"))</f>
        <v/>
      </c>
      <c r="AH246" s="9">
        <f>IF($G246="","",IFERROR(INDEX(GRUPOS_PLANO,MATCH($G246,SUBCATEGORIAS_PLANO,0)),"Não classificado"))</f>
        <v/>
      </c>
      <c r="AI246" s="24">
        <f>IF(OR($C246="",$X246="Pago",$X246="Recebido",$X246="Cancelado"),"",$C246-TODAY())</f>
        <v/>
      </c>
      <c r="AJ246" s="24">
        <f>IF(OR($C246="",$X246="Pago",$X246="Recebido",$X246="Cancelado"),0,MAX(0,TODAY()-$C246))</f>
        <v/>
      </c>
      <c r="AK246" s="24">
        <f>IF($D246="","",$D246-$B246)</f>
        <v/>
      </c>
      <c r="AL246" s="18">
        <f>IF(OR($D246="",$B246=""),"",ROUND(N($R246)*($D246-$B246),2))</f>
        <v/>
      </c>
      <c r="AM246" s="17">
        <f>IF(AND($E246="Saída",$W246&gt;0,$C246&lt;&gt;""),$C246+ROW()/1000000,"")</f>
        <v/>
      </c>
      <c r="AN246" s="17">
        <f>IF(AND($E246="Entrada",$W246&gt;0,$C246&lt;&gt;""),$C246+ROW()/1000000,"")</f>
        <v/>
      </c>
      <c r="AO246" s="9">
        <f>IF(COUNTA($B246:$R246)=0,"",IF(AND($I246&lt;&gt;"",COUNTIF(CLIENTES_NOMES,$I246)+COUNTIF(CLIENTES_FANTASIA,$I246)+COUNTIF(FORNECEDORES_NOMES,$I246)+COUNTIF(FORNECEDORES_FANTASIA,$I246)=0),"⚠ Cliente/Fornecedor não cadastrado",IF(AND($G246&lt;&gt;"",COUNTIF(SUBCATEGORIAS_PLANO,$G246)=0),"⚠ Subcategoria fora do plano de contas",IF(OR($Q246="",N($Q246)=0),"⚠ Valor previsto não informado",IF(AND(OR($X246="Pago",$X246="Recebido"),$D246=""),"⚠ Status pago/recebido sem data",IF(AND($D246&lt;&gt;"",N($R246)=0),"⚠ Data de pagamento sem valor realizado",IF(AND(N($P246)&gt;1,N($O246)&gt;N($P246)),"⚠ Nº da parcela maior que o total",IF(AND($C246&lt;&gt;"",$B246&lt;&gt;"",$C246&lt;$B246),"⚠ Vencimento anterior à competência","OK"))))))))</f>
        <v/>
      </c>
    </row>
    <row r="247">
      <c r="A247" s="14" t="inlineStr">
        <is>
          <t>L0242</t>
        </is>
      </c>
      <c r="B247" s="36" t="n">
        <v>46178</v>
      </c>
      <c r="C247" s="36" t="n">
        <v>46183</v>
      </c>
      <c r="D247" s="36" t="n">
        <v>46185</v>
      </c>
      <c r="E247" s="14" t="inlineStr">
        <is>
          <t>Saída</t>
        </is>
      </c>
      <c r="F247" s="29" t="inlineStr">
        <is>
          <t>Despesas com Pessoal</t>
        </is>
      </c>
      <c r="G247" s="29" t="inlineStr">
        <is>
          <t>Pró-labore</t>
        </is>
      </c>
      <c r="H247" s="29" t="inlineStr">
        <is>
          <t>Diretoria</t>
        </is>
      </c>
      <c r="I247" s="29" t="inlineStr">
        <is>
          <t>SÓCIOS — PRÓ-LABORE E DISTRIBUIÇÕES</t>
        </is>
      </c>
      <c r="J247" s="29" t="inlineStr">
        <is>
          <t>Pró-labore dos sócios — 06/2026</t>
        </is>
      </c>
      <c r="K247" s="14" t="inlineStr">
        <is>
          <t>DOC 8355</t>
        </is>
      </c>
      <c r="L247" s="29" t="inlineStr">
        <is>
          <t>Banco do Brasil — C/C 12345-6</t>
        </is>
      </c>
      <c r="M247" s="14" t="inlineStr">
        <is>
          <t>Transferência</t>
        </is>
      </c>
      <c r="N247" s="29" t="n"/>
      <c r="O247" s="13" t="n">
        <v>1</v>
      </c>
      <c r="P247" s="13" t="n">
        <v>1</v>
      </c>
      <c r="Q247" s="35" t="n">
        <v>9500</v>
      </c>
      <c r="R247" s="35" t="n">
        <v>9500</v>
      </c>
      <c r="S247" s="35" t="n"/>
      <c r="T247" s="35" t="n"/>
      <c r="U247" s="35" t="n"/>
      <c r="V247" s="18">
        <f>IF(COUNTA($B247:$R247)=0,"",ROUND(N($R247)+N($S247)+N($T247)-N($U247),2))</f>
        <v/>
      </c>
      <c r="W247" s="18">
        <f>IF(COUNTA($B247:$R247)=0,"",IF(OR($X247="Pago",$X247="Recebido",$X247="Cancelado"),0,ROUND(N($Q247)+N($S247)+N($T247)-N($U247)-N($R247),2)))</f>
        <v/>
      </c>
      <c r="X247" s="14" t="inlineStr">
        <is>
          <t>Pago</t>
        </is>
      </c>
      <c r="Y247" s="17">
        <f>IF(COUNTA($B247:$R247)=0,"",IF($X247="Cancelado","Cancelado",IF(OR($X247="Pago",$X247="Recebido"),$X247,IF(OR($X247="Parcial",N($R247)&gt;0),"Parcial",IF($C247="","Sem vencimento",IF($C247&lt;TODAY(),"Vencido",IF($C247=TODAY(),"Vence hoje",IF($C247&lt;=TODAY()+7,"Vence em 7 dias",IF($C247&lt;=TODAY()+30,"Vence em 30 dias","Futuro")))))))))</f>
        <v/>
      </c>
      <c r="Z247" s="24">
        <f>IF($B247="","",MONTH($B247))</f>
        <v/>
      </c>
      <c r="AA247" s="24">
        <f>IF($B247="","",YEAR($B247))</f>
        <v/>
      </c>
      <c r="AB247" s="24">
        <f>IF($B247="","",ISOWEEKNUM($B247))</f>
        <v/>
      </c>
      <c r="AC247" s="17">
        <f>IF($B247="","",CHOOSE(WEEKDAY($B247,2),"Segunda","Terça","Quarta","Quinta","Sexta","Sábado","Domingo"))</f>
        <v/>
      </c>
      <c r="AD247" s="17">
        <f>IF($B247="","",TEXT($B247,"MM/AAAA"))</f>
        <v/>
      </c>
      <c r="AE247" s="18">
        <f>IF(COUNTA($B247:$R247)=0,"",IF($X247="Cancelado",0,ROUND(N($Q247)+N($S247)+N($T247)-N($U247),2)))</f>
        <v/>
      </c>
      <c r="AF247" s="9">
        <f>IF($G247="","",IFERROR(INDEX(LINHAS_DRE_PLANO,MATCH($G247,SUBCATEGORIAS_PLANO,0)),"Não classificado"))</f>
        <v/>
      </c>
      <c r="AG247" s="17">
        <f>IF($G247="","",IFERROR(INDEX(TIPOS_FLUXO_PLANO,MATCH($G247,SUBCATEGORIAS_PLANO,0)),"Não classificado"))</f>
        <v/>
      </c>
      <c r="AH247" s="9">
        <f>IF($G247="","",IFERROR(INDEX(GRUPOS_PLANO,MATCH($G247,SUBCATEGORIAS_PLANO,0)),"Não classificado"))</f>
        <v/>
      </c>
      <c r="AI247" s="24">
        <f>IF(OR($C247="",$X247="Pago",$X247="Recebido",$X247="Cancelado"),"",$C247-TODAY())</f>
        <v/>
      </c>
      <c r="AJ247" s="24">
        <f>IF(OR($C247="",$X247="Pago",$X247="Recebido",$X247="Cancelado"),0,MAX(0,TODAY()-$C247))</f>
        <v/>
      </c>
      <c r="AK247" s="24">
        <f>IF($D247="","",$D247-$B247)</f>
        <v/>
      </c>
      <c r="AL247" s="18">
        <f>IF(OR($D247="",$B247=""),"",ROUND(N($R247)*($D247-$B247),2))</f>
        <v/>
      </c>
      <c r="AM247" s="17">
        <f>IF(AND($E247="Saída",$W247&gt;0,$C247&lt;&gt;""),$C247+ROW()/1000000,"")</f>
        <v/>
      </c>
      <c r="AN247" s="17">
        <f>IF(AND($E247="Entrada",$W247&gt;0,$C247&lt;&gt;""),$C247+ROW()/1000000,"")</f>
        <v/>
      </c>
      <c r="AO247" s="9">
        <f>IF(COUNTA($B247:$R247)=0,"",IF(AND($I247&lt;&gt;"",COUNTIF(CLIENTES_NOMES,$I247)+COUNTIF(CLIENTES_FANTASIA,$I247)+COUNTIF(FORNECEDORES_NOMES,$I247)+COUNTIF(FORNECEDORES_FANTASIA,$I247)=0),"⚠ Cliente/Fornecedor não cadastrado",IF(AND($G247&lt;&gt;"",COUNTIF(SUBCATEGORIAS_PLANO,$G247)=0),"⚠ Subcategoria fora do plano de contas",IF(OR($Q247="",N($Q247)=0),"⚠ Valor previsto não informado",IF(AND(OR($X247="Pago",$X247="Recebido"),$D247=""),"⚠ Status pago/recebido sem data",IF(AND($D247&lt;&gt;"",N($R247)=0),"⚠ Data de pagamento sem valor realizado",IF(AND(N($P247)&gt;1,N($O247)&gt;N($P247)),"⚠ Nº da parcela maior que o total",IF(AND($C247&lt;&gt;"",$B247&lt;&gt;"",$C247&lt;$B247),"⚠ Vencimento anterior à competência","OK"))))))))</f>
        <v/>
      </c>
    </row>
    <row r="248">
      <c r="A248" s="14" t="inlineStr">
        <is>
          <t>L0243</t>
        </is>
      </c>
      <c r="B248" s="36" t="n">
        <v>46180</v>
      </c>
      <c r="C248" s="36" t="n">
        <v>46187</v>
      </c>
      <c r="D248" s="36" t="n">
        <v>46190</v>
      </c>
      <c r="E248" s="14" t="inlineStr">
        <is>
          <t>Saída</t>
        </is>
      </c>
      <c r="F248" s="29" t="inlineStr">
        <is>
          <t>Despesas com Pessoal</t>
        </is>
      </c>
      <c r="G248" s="29" t="inlineStr">
        <is>
          <t>Encargos Sociais (FGTS/INSS)</t>
        </is>
      </c>
      <c r="H248" s="29" t="inlineStr">
        <is>
          <t>Administrativo</t>
        </is>
      </c>
      <c r="I248" s="29" t="inlineStr">
        <is>
          <t>RECEITA FEDERAL DO BRASIL</t>
        </is>
      </c>
      <c r="J248" s="29" t="inlineStr">
        <is>
          <t>FGTS e INSS — competência 06/2026</t>
        </is>
      </c>
      <c r="K248" s="14" t="inlineStr">
        <is>
          <t>DOC 8353</t>
        </is>
      </c>
      <c r="L248" s="29" t="inlineStr">
        <is>
          <t>Itaú Unibanco — C/C 45678-9</t>
        </is>
      </c>
      <c r="M248" s="14" t="inlineStr">
        <is>
          <t>Transferência</t>
        </is>
      </c>
      <c r="N248" s="29" t="n"/>
      <c r="O248" s="13" t="n">
        <v>1</v>
      </c>
      <c r="P248" s="13" t="n">
        <v>1</v>
      </c>
      <c r="Q248" s="35" t="n">
        <v>5600</v>
      </c>
      <c r="R248" s="35" t="n">
        <v>5600</v>
      </c>
      <c r="S248" s="35" t="n"/>
      <c r="T248" s="35" t="n"/>
      <c r="U248" s="35" t="n"/>
      <c r="V248" s="18">
        <f>IF(COUNTA($B248:$R248)=0,"",ROUND(N($R248)+N($S248)+N($T248)-N($U248),2))</f>
        <v/>
      </c>
      <c r="W248" s="18">
        <f>IF(COUNTA($B248:$R248)=0,"",IF(OR($X248="Pago",$X248="Recebido",$X248="Cancelado"),0,ROUND(N($Q248)+N($S248)+N($T248)-N($U248)-N($R248),2)))</f>
        <v/>
      </c>
      <c r="X248" s="14" t="inlineStr">
        <is>
          <t>Pago</t>
        </is>
      </c>
      <c r="Y248" s="17">
        <f>IF(COUNTA($B248:$R248)=0,"",IF($X248="Cancelado","Cancelado",IF(OR($X248="Pago",$X248="Recebido"),$X248,IF(OR($X248="Parcial",N($R248)&gt;0),"Parcial",IF($C248="","Sem vencimento",IF($C248&lt;TODAY(),"Vencido",IF($C248=TODAY(),"Vence hoje",IF($C248&lt;=TODAY()+7,"Vence em 7 dias",IF($C248&lt;=TODAY()+30,"Vence em 30 dias","Futuro")))))))))</f>
        <v/>
      </c>
      <c r="Z248" s="24">
        <f>IF($B248="","",MONTH($B248))</f>
        <v/>
      </c>
      <c r="AA248" s="24">
        <f>IF($B248="","",YEAR($B248))</f>
        <v/>
      </c>
      <c r="AB248" s="24">
        <f>IF($B248="","",ISOWEEKNUM($B248))</f>
        <v/>
      </c>
      <c r="AC248" s="17">
        <f>IF($B248="","",CHOOSE(WEEKDAY($B248,2),"Segunda","Terça","Quarta","Quinta","Sexta","Sábado","Domingo"))</f>
        <v/>
      </c>
      <c r="AD248" s="17">
        <f>IF($B248="","",TEXT($B248,"MM/AAAA"))</f>
        <v/>
      </c>
      <c r="AE248" s="18">
        <f>IF(COUNTA($B248:$R248)=0,"",IF($X248="Cancelado",0,ROUND(N($Q248)+N($S248)+N($T248)-N($U248),2)))</f>
        <v/>
      </c>
      <c r="AF248" s="9">
        <f>IF($G248="","",IFERROR(INDEX(LINHAS_DRE_PLANO,MATCH($G248,SUBCATEGORIAS_PLANO,0)),"Não classificado"))</f>
        <v/>
      </c>
      <c r="AG248" s="17">
        <f>IF($G248="","",IFERROR(INDEX(TIPOS_FLUXO_PLANO,MATCH($G248,SUBCATEGORIAS_PLANO,0)),"Não classificado"))</f>
        <v/>
      </c>
      <c r="AH248" s="9">
        <f>IF($G248="","",IFERROR(INDEX(GRUPOS_PLANO,MATCH($G248,SUBCATEGORIAS_PLANO,0)),"Não classificado"))</f>
        <v/>
      </c>
      <c r="AI248" s="24">
        <f>IF(OR($C248="",$X248="Pago",$X248="Recebido",$X248="Cancelado"),"",$C248-TODAY())</f>
        <v/>
      </c>
      <c r="AJ248" s="24">
        <f>IF(OR($C248="",$X248="Pago",$X248="Recebido",$X248="Cancelado"),0,MAX(0,TODAY()-$C248))</f>
        <v/>
      </c>
      <c r="AK248" s="24">
        <f>IF($D248="","",$D248-$B248)</f>
        <v/>
      </c>
      <c r="AL248" s="18">
        <f>IF(OR($D248="",$B248=""),"",ROUND(N($R248)*($D248-$B248),2))</f>
        <v/>
      </c>
      <c r="AM248" s="17">
        <f>IF(AND($E248="Saída",$W248&gt;0,$C248&lt;&gt;""),$C248+ROW()/1000000,"")</f>
        <v/>
      </c>
      <c r="AN248" s="17">
        <f>IF(AND($E248="Entrada",$W248&gt;0,$C248&lt;&gt;""),$C248+ROW()/1000000,"")</f>
        <v/>
      </c>
      <c r="AO248" s="9">
        <f>IF(COUNTA($B248:$R248)=0,"",IF(AND($I248&lt;&gt;"",COUNTIF(CLIENTES_NOMES,$I248)+COUNTIF(CLIENTES_FANTASIA,$I248)+COUNTIF(FORNECEDORES_NOMES,$I248)+COUNTIF(FORNECEDORES_FANTASIA,$I248)=0),"⚠ Cliente/Fornecedor não cadastrado",IF(AND($G248&lt;&gt;"",COUNTIF(SUBCATEGORIAS_PLANO,$G248)=0),"⚠ Subcategoria fora do plano de contas",IF(OR($Q248="",N($Q248)=0),"⚠ Valor previsto não informado",IF(AND(OR($X248="Pago",$X248="Recebido"),$D248=""),"⚠ Status pago/recebido sem data",IF(AND($D248&lt;&gt;"",N($R248)=0),"⚠ Data de pagamento sem valor realizado",IF(AND(N($P248)&gt;1,N($O248)&gt;N($P248)),"⚠ Nº da parcela maior que o total",IF(AND($C248&lt;&gt;"",$B248&lt;&gt;"",$C248&lt;$B248),"⚠ Vencimento anterior à competência","OK"))))))))</f>
        <v/>
      </c>
    </row>
    <row r="249">
      <c r="A249" s="14" t="inlineStr">
        <is>
          <t>L0244</t>
        </is>
      </c>
      <c r="B249" s="36" t="n">
        <v>46181</v>
      </c>
      <c r="C249" s="36" t="n">
        <v>46201</v>
      </c>
      <c r="D249" s="36" t="n">
        <v>46202</v>
      </c>
      <c r="E249" s="14" t="inlineStr">
        <is>
          <t>Saída</t>
        </is>
      </c>
      <c r="F249" s="29" t="inlineStr">
        <is>
          <t>Despesas Administrativas</t>
        </is>
      </c>
      <c r="G249" s="29" t="inlineStr">
        <is>
          <t>Sistemas e Softwares</t>
        </is>
      </c>
      <c r="H249" s="29" t="inlineStr">
        <is>
          <t>Administrativo</t>
        </is>
      </c>
      <c r="I249" s="29" t="inlineStr">
        <is>
          <t>TECNOLOGIA E SISTEMAS ABC LTDA</t>
        </is>
      </c>
      <c r="J249" s="29" t="inlineStr">
        <is>
          <t>Assinatura ERP, NF-e e BI</t>
        </is>
      </c>
      <c r="K249" s="14" t="inlineStr">
        <is>
          <t>DOC 8351</t>
        </is>
      </c>
      <c r="L249" s="29" t="inlineStr">
        <is>
          <t>Nubank PJ — C/C 9876543-2</t>
        </is>
      </c>
      <c r="M249" s="14" t="inlineStr">
        <is>
          <t>Cartão de crédito</t>
        </is>
      </c>
      <c r="N249" s="29" t="inlineStr">
        <is>
          <t>Cartão Mastercard Nubank PJ</t>
        </is>
      </c>
      <c r="O249" s="13" t="n">
        <v>1</v>
      </c>
      <c r="P249" s="13" t="n">
        <v>1</v>
      </c>
      <c r="Q249" s="35" t="n">
        <v>850</v>
      </c>
      <c r="R249" s="35" t="n">
        <v>850</v>
      </c>
      <c r="S249" s="35" t="n"/>
      <c r="T249" s="35" t="n"/>
      <c r="U249" s="35" t="n"/>
      <c r="V249" s="18">
        <f>IF(COUNTA($B249:$R249)=0,"",ROUND(N($R249)+N($S249)+N($T249)-N($U249),2))</f>
        <v/>
      </c>
      <c r="W249" s="18">
        <f>IF(COUNTA($B249:$R249)=0,"",IF(OR($X249="Pago",$X249="Recebido",$X249="Cancelado"),0,ROUND(N($Q249)+N($S249)+N($T249)-N($U249)-N($R249),2)))</f>
        <v/>
      </c>
      <c r="X249" s="14" t="inlineStr">
        <is>
          <t>Pago</t>
        </is>
      </c>
      <c r="Y249" s="17">
        <f>IF(COUNTA($B249:$R249)=0,"",IF($X249="Cancelado","Cancelado",IF(OR($X249="Pago",$X249="Recebido"),$X249,IF(OR($X249="Parcial",N($R249)&gt;0),"Parcial",IF($C249="","Sem vencimento",IF($C249&lt;TODAY(),"Vencido",IF($C249=TODAY(),"Vence hoje",IF($C249&lt;=TODAY()+7,"Vence em 7 dias",IF($C249&lt;=TODAY()+30,"Vence em 30 dias","Futuro")))))))))</f>
        <v/>
      </c>
      <c r="Z249" s="24">
        <f>IF($B249="","",MONTH($B249))</f>
        <v/>
      </c>
      <c r="AA249" s="24">
        <f>IF($B249="","",YEAR($B249))</f>
        <v/>
      </c>
      <c r="AB249" s="24">
        <f>IF($B249="","",ISOWEEKNUM($B249))</f>
        <v/>
      </c>
      <c r="AC249" s="17">
        <f>IF($B249="","",CHOOSE(WEEKDAY($B249,2),"Segunda","Terça","Quarta","Quinta","Sexta","Sábado","Domingo"))</f>
        <v/>
      </c>
      <c r="AD249" s="17">
        <f>IF($B249="","",TEXT($B249,"MM/AAAA"))</f>
        <v/>
      </c>
      <c r="AE249" s="18">
        <f>IF(COUNTA($B249:$R249)=0,"",IF($X249="Cancelado",0,ROUND(N($Q249)+N($S249)+N($T249)-N($U249),2)))</f>
        <v/>
      </c>
      <c r="AF249" s="9">
        <f>IF($G249="","",IFERROR(INDEX(LINHAS_DRE_PLANO,MATCH($G249,SUBCATEGORIAS_PLANO,0)),"Não classificado"))</f>
        <v/>
      </c>
      <c r="AG249" s="17">
        <f>IF($G249="","",IFERROR(INDEX(TIPOS_FLUXO_PLANO,MATCH($G249,SUBCATEGORIAS_PLANO,0)),"Não classificado"))</f>
        <v/>
      </c>
      <c r="AH249" s="9">
        <f>IF($G249="","",IFERROR(INDEX(GRUPOS_PLANO,MATCH($G249,SUBCATEGORIAS_PLANO,0)),"Não classificado"))</f>
        <v/>
      </c>
      <c r="AI249" s="24">
        <f>IF(OR($C249="",$X249="Pago",$X249="Recebido",$X249="Cancelado"),"",$C249-TODAY())</f>
        <v/>
      </c>
      <c r="AJ249" s="24">
        <f>IF(OR($C249="",$X249="Pago",$X249="Recebido",$X249="Cancelado"),0,MAX(0,TODAY()-$C249))</f>
        <v/>
      </c>
      <c r="AK249" s="24">
        <f>IF($D249="","",$D249-$B249)</f>
        <v/>
      </c>
      <c r="AL249" s="18">
        <f>IF(OR($D249="",$B249=""),"",ROUND(N($R249)*($D249-$B249),2))</f>
        <v/>
      </c>
      <c r="AM249" s="17">
        <f>IF(AND($E249="Saída",$W249&gt;0,$C249&lt;&gt;""),$C249+ROW()/1000000,"")</f>
        <v/>
      </c>
      <c r="AN249" s="17">
        <f>IF(AND($E249="Entrada",$W249&gt;0,$C249&lt;&gt;""),$C249+ROW()/1000000,"")</f>
        <v/>
      </c>
      <c r="AO249" s="9">
        <f>IF(COUNTA($B249:$R249)=0,"",IF(AND($I249&lt;&gt;"",COUNTIF(CLIENTES_NOMES,$I249)+COUNTIF(CLIENTES_FANTASIA,$I249)+COUNTIF(FORNECEDORES_NOMES,$I249)+COUNTIF(FORNECEDORES_FANTASIA,$I249)=0),"⚠ Cliente/Fornecedor não cadastrado",IF(AND($G249&lt;&gt;"",COUNTIF(SUBCATEGORIAS_PLANO,$G249)=0),"⚠ Subcategoria fora do plano de contas",IF(OR($Q249="",N($Q249)=0),"⚠ Valor previsto não informado",IF(AND(OR($X249="Pago",$X249="Recebido"),$D249=""),"⚠ Status pago/recebido sem data",IF(AND($D249&lt;&gt;"",N($R249)=0),"⚠ Data de pagamento sem valor realizado",IF(AND(N($P249)&gt;1,N($O249)&gt;N($P249)),"⚠ Nº da parcela maior que o total",IF(AND($C249&lt;&gt;"",$B249&lt;&gt;"",$C249&lt;$B249),"⚠ Vencimento anterior à competência","OK"))))))))</f>
        <v/>
      </c>
    </row>
    <row r="250">
      <c r="A250" s="14" t="inlineStr">
        <is>
          <t>L0245</t>
        </is>
      </c>
      <c r="B250" s="36" t="n">
        <v>46181</v>
      </c>
      <c r="C250" s="36" t="n">
        <v>46211</v>
      </c>
      <c r="D250" s="36" t="n">
        <v>46211</v>
      </c>
      <c r="E250" s="14" t="inlineStr">
        <is>
          <t>Saída</t>
        </is>
      </c>
      <c r="F250" s="29" t="inlineStr">
        <is>
          <t>Investimentos</t>
        </is>
      </c>
      <c r="G250" s="29" t="inlineStr">
        <is>
          <t>Móveis e Utensílios</t>
        </is>
      </c>
      <c r="H250" s="29" t="inlineStr">
        <is>
          <t>Administrativo</t>
        </is>
      </c>
      <c r="I250" s="29" t="inlineStr">
        <is>
          <t>MÓVEIS CORPORATIVOS BETA LTDA</t>
        </is>
      </c>
      <c r="J250" s="29" t="inlineStr">
        <is>
          <t>Mobiliário do escritório e vestiário</t>
        </is>
      </c>
      <c r="K250" s="14" t="inlineStr">
        <is>
          <t>INV-0608</t>
        </is>
      </c>
      <c r="L250" s="29" t="inlineStr">
        <is>
          <t>Banco do Brasil — C/C 12345-6</t>
        </is>
      </c>
      <c r="M250" s="14" t="inlineStr">
        <is>
          <t>Transferência</t>
        </is>
      </c>
      <c r="N250" s="29" t="n"/>
      <c r="O250" s="13" t="n">
        <v>1</v>
      </c>
      <c r="P250" s="13" t="n">
        <v>1</v>
      </c>
      <c r="Q250" s="35" t="n">
        <v>4600</v>
      </c>
      <c r="R250" s="35" t="n">
        <v>4600</v>
      </c>
      <c r="S250" s="35" t="n"/>
      <c r="T250" s="35" t="n"/>
      <c r="U250" s="35" t="n"/>
      <c r="V250" s="18">
        <f>IF(COUNTA($B250:$R250)=0,"",ROUND(N($R250)+N($S250)+N($T250)-N($U250),2))</f>
        <v/>
      </c>
      <c r="W250" s="18">
        <f>IF(COUNTA($B250:$R250)=0,"",IF(OR($X250="Pago",$X250="Recebido",$X250="Cancelado"),0,ROUND(N($Q250)+N($S250)+N($T250)-N($U250)-N($R250),2)))</f>
        <v/>
      </c>
      <c r="X250" s="14" t="inlineStr">
        <is>
          <t>Pago</t>
        </is>
      </c>
      <c r="Y250" s="17">
        <f>IF(COUNTA($B250:$R250)=0,"",IF($X250="Cancelado","Cancelado",IF(OR($X250="Pago",$X250="Recebido"),$X250,IF(OR($X250="Parcial",N($R250)&gt;0),"Parcial",IF($C250="","Sem vencimento",IF($C250&lt;TODAY(),"Vencido",IF($C250=TODAY(),"Vence hoje",IF($C250&lt;=TODAY()+7,"Vence em 7 dias",IF($C250&lt;=TODAY()+30,"Vence em 30 dias","Futuro")))))))))</f>
        <v/>
      </c>
      <c r="Z250" s="24">
        <f>IF($B250="","",MONTH($B250))</f>
        <v/>
      </c>
      <c r="AA250" s="24">
        <f>IF($B250="","",YEAR($B250))</f>
        <v/>
      </c>
      <c r="AB250" s="24">
        <f>IF($B250="","",ISOWEEKNUM($B250))</f>
        <v/>
      </c>
      <c r="AC250" s="17">
        <f>IF($B250="","",CHOOSE(WEEKDAY($B250,2),"Segunda","Terça","Quarta","Quinta","Sexta","Sábado","Domingo"))</f>
        <v/>
      </c>
      <c r="AD250" s="17">
        <f>IF($B250="","",TEXT($B250,"MM/AAAA"))</f>
        <v/>
      </c>
      <c r="AE250" s="18">
        <f>IF(COUNTA($B250:$R250)=0,"",IF($X250="Cancelado",0,ROUND(N($Q250)+N($S250)+N($T250)-N($U250),2)))</f>
        <v/>
      </c>
      <c r="AF250" s="9">
        <f>IF($G250="","",IFERROR(INDEX(LINHAS_DRE_PLANO,MATCH($G250,SUBCATEGORIAS_PLANO,0)),"Não classificado"))</f>
        <v/>
      </c>
      <c r="AG250" s="17">
        <f>IF($G250="","",IFERROR(INDEX(TIPOS_FLUXO_PLANO,MATCH($G250,SUBCATEGORIAS_PLANO,0)),"Não classificado"))</f>
        <v/>
      </c>
      <c r="AH250" s="9">
        <f>IF($G250="","",IFERROR(INDEX(GRUPOS_PLANO,MATCH($G250,SUBCATEGORIAS_PLANO,0)),"Não classificado"))</f>
        <v/>
      </c>
      <c r="AI250" s="24">
        <f>IF(OR($C250="",$X250="Pago",$X250="Recebido",$X250="Cancelado"),"",$C250-TODAY())</f>
        <v/>
      </c>
      <c r="AJ250" s="24">
        <f>IF(OR($C250="",$X250="Pago",$X250="Recebido",$X250="Cancelado"),0,MAX(0,TODAY()-$C250))</f>
        <v/>
      </c>
      <c r="AK250" s="24">
        <f>IF($D250="","",$D250-$B250)</f>
        <v/>
      </c>
      <c r="AL250" s="18">
        <f>IF(OR($D250="",$B250=""),"",ROUND(N($R250)*($D250-$B250),2))</f>
        <v/>
      </c>
      <c r="AM250" s="17">
        <f>IF(AND($E250="Saída",$W250&gt;0,$C250&lt;&gt;""),$C250+ROW()/1000000,"")</f>
        <v/>
      </c>
      <c r="AN250" s="17">
        <f>IF(AND($E250="Entrada",$W250&gt;0,$C250&lt;&gt;""),$C250+ROW()/1000000,"")</f>
        <v/>
      </c>
      <c r="AO250" s="9">
        <f>IF(COUNTA($B250:$R250)=0,"",IF(AND($I250&lt;&gt;"",COUNTIF(CLIENTES_NOMES,$I250)+COUNTIF(CLIENTES_FANTASIA,$I250)+COUNTIF(FORNECEDORES_NOMES,$I250)+COUNTIF(FORNECEDORES_FANTASIA,$I250)=0),"⚠ Cliente/Fornecedor não cadastrado",IF(AND($G250&lt;&gt;"",COUNTIF(SUBCATEGORIAS_PLANO,$G250)=0),"⚠ Subcategoria fora do plano de contas",IF(OR($Q250="",N($Q250)=0),"⚠ Valor previsto não informado",IF(AND(OR($X250="Pago",$X250="Recebido"),$D250=""),"⚠ Status pago/recebido sem data",IF(AND($D250&lt;&gt;"",N($R250)=0),"⚠ Data de pagamento sem valor realizado",IF(AND(N($P250)&gt;1,N($O250)&gt;N($P250)),"⚠ Nº da parcela maior que o total",IF(AND($C250&lt;&gt;"",$B250&lt;&gt;"",$C250&lt;$B250),"⚠ Vencimento anterior à competência","OK"))))))))</f>
        <v/>
      </c>
    </row>
    <row r="251">
      <c r="A251" s="14" t="inlineStr">
        <is>
          <t>L0246</t>
        </is>
      </c>
      <c r="B251" s="36" t="n">
        <v>46182</v>
      </c>
      <c r="C251" s="36" t="n">
        <v>46197</v>
      </c>
      <c r="D251" s="36" t="n">
        <v>46198</v>
      </c>
      <c r="E251" s="14" t="inlineStr">
        <is>
          <t>Saída</t>
        </is>
      </c>
      <c r="F251" s="29" t="inlineStr">
        <is>
          <t>Custos Variáveis</t>
        </is>
      </c>
      <c r="G251" s="29" t="inlineStr">
        <is>
          <t>Matéria-prima</t>
        </is>
      </c>
      <c r="H251" s="29" t="inlineStr">
        <is>
          <t>Produção</t>
        </is>
      </c>
      <c r="I251" s="29" t="inlineStr">
        <is>
          <t>DISTRIBUIDORA CENTRAL DE ALIMENTOS S/A</t>
        </is>
      </c>
      <c r="J251" s="29" t="inlineStr">
        <is>
          <t>Insumos e matéria-prima para beneficiamento</t>
        </is>
      </c>
      <c r="K251" s="14" t="inlineStr">
        <is>
          <t>NF 5906</t>
        </is>
      </c>
      <c r="L251" s="29" t="inlineStr">
        <is>
          <t>Banco do Brasil — C/C 12345-6</t>
        </is>
      </c>
      <c r="M251" s="14" t="inlineStr">
        <is>
          <t>Boleto</t>
        </is>
      </c>
      <c r="N251" s="29" t="n"/>
      <c r="O251" s="13" t="n">
        <v>1</v>
      </c>
      <c r="P251" s="13" t="n">
        <v>1</v>
      </c>
      <c r="Q251" s="35" t="n">
        <v>9587.459999999999</v>
      </c>
      <c r="R251" s="35" t="n">
        <v>9587.459999999999</v>
      </c>
      <c r="S251" s="35" t="n"/>
      <c r="T251" s="35" t="n"/>
      <c r="U251" s="35" t="n"/>
      <c r="V251" s="18">
        <f>IF(COUNTA($B251:$R251)=0,"",ROUND(N($R251)+N($S251)+N($T251)-N($U251),2))</f>
        <v/>
      </c>
      <c r="W251" s="18">
        <f>IF(COUNTA($B251:$R251)=0,"",IF(OR($X251="Pago",$X251="Recebido",$X251="Cancelado"),0,ROUND(N($Q251)+N($S251)+N($T251)-N($U251)-N($R251),2)))</f>
        <v/>
      </c>
      <c r="X251" s="14" t="inlineStr">
        <is>
          <t>Pago</t>
        </is>
      </c>
      <c r="Y251" s="17">
        <f>IF(COUNTA($B251:$R251)=0,"",IF($X251="Cancelado","Cancelado",IF(OR($X251="Pago",$X251="Recebido"),$X251,IF(OR($X251="Parcial",N($R251)&gt;0),"Parcial",IF($C251="","Sem vencimento",IF($C251&lt;TODAY(),"Vencido",IF($C251=TODAY(),"Vence hoje",IF($C251&lt;=TODAY()+7,"Vence em 7 dias",IF($C251&lt;=TODAY()+30,"Vence em 30 dias","Futuro")))))))))</f>
        <v/>
      </c>
      <c r="Z251" s="24">
        <f>IF($B251="","",MONTH($B251))</f>
        <v/>
      </c>
      <c r="AA251" s="24">
        <f>IF($B251="","",YEAR($B251))</f>
        <v/>
      </c>
      <c r="AB251" s="24">
        <f>IF($B251="","",ISOWEEKNUM($B251))</f>
        <v/>
      </c>
      <c r="AC251" s="17">
        <f>IF($B251="","",CHOOSE(WEEKDAY($B251,2),"Segunda","Terça","Quarta","Quinta","Sexta","Sábado","Domingo"))</f>
        <v/>
      </c>
      <c r="AD251" s="17">
        <f>IF($B251="","",TEXT($B251,"MM/AAAA"))</f>
        <v/>
      </c>
      <c r="AE251" s="18">
        <f>IF(COUNTA($B251:$R251)=0,"",IF($X251="Cancelado",0,ROUND(N($Q251)+N($S251)+N($T251)-N($U251),2)))</f>
        <v/>
      </c>
      <c r="AF251" s="9">
        <f>IF($G251="","",IFERROR(INDEX(LINHAS_DRE_PLANO,MATCH($G251,SUBCATEGORIAS_PLANO,0)),"Não classificado"))</f>
        <v/>
      </c>
      <c r="AG251" s="17">
        <f>IF($G251="","",IFERROR(INDEX(TIPOS_FLUXO_PLANO,MATCH($G251,SUBCATEGORIAS_PLANO,0)),"Não classificado"))</f>
        <v/>
      </c>
      <c r="AH251" s="9">
        <f>IF($G251="","",IFERROR(INDEX(GRUPOS_PLANO,MATCH($G251,SUBCATEGORIAS_PLANO,0)),"Não classificado"))</f>
        <v/>
      </c>
      <c r="AI251" s="24">
        <f>IF(OR($C251="",$X251="Pago",$X251="Recebido",$X251="Cancelado"),"",$C251-TODAY())</f>
        <v/>
      </c>
      <c r="AJ251" s="24">
        <f>IF(OR($C251="",$X251="Pago",$X251="Recebido",$X251="Cancelado"),0,MAX(0,TODAY()-$C251))</f>
        <v/>
      </c>
      <c r="AK251" s="24">
        <f>IF($D251="","",$D251-$B251)</f>
        <v/>
      </c>
      <c r="AL251" s="18">
        <f>IF(OR($D251="",$B251=""),"",ROUND(N($R251)*($D251-$B251),2))</f>
        <v/>
      </c>
      <c r="AM251" s="17">
        <f>IF(AND($E251="Saída",$W251&gt;0,$C251&lt;&gt;""),$C251+ROW()/1000000,"")</f>
        <v/>
      </c>
      <c r="AN251" s="17">
        <f>IF(AND($E251="Entrada",$W251&gt;0,$C251&lt;&gt;""),$C251+ROW()/1000000,"")</f>
        <v/>
      </c>
      <c r="AO251" s="9">
        <f>IF(COUNTA($B251:$R251)=0,"",IF(AND($I251&lt;&gt;"",COUNTIF(CLIENTES_NOMES,$I251)+COUNTIF(CLIENTES_FANTASIA,$I251)+COUNTIF(FORNECEDORES_NOMES,$I251)+COUNTIF(FORNECEDORES_FANTASIA,$I251)=0),"⚠ Cliente/Fornecedor não cadastrado",IF(AND($G251&lt;&gt;"",COUNTIF(SUBCATEGORIAS_PLANO,$G251)=0),"⚠ Subcategoria fora do plano de contas",IF(OR($Q251="",N($Q251)=0),"⚠ Valor previsto não informado",IF(AND(OR($X251="Pago",$X251="Recebido"),$D251=""),"⚠ Status pago/recebido sem data",IF(AND($D251&lt;&gt;"",N($R251)=0),"⚠ Data de pagamento sem valor realizado",IF(AND(N($P251)&gt;1,N($O251)&gt;N($P251)),"⚠ Nº da parcela maior que o total",IF(AND($C251&lt;&gt;"",$B251&lt;&gt;"",$C251&lt;$B251),"⚠ Vencimento anterior à competência","OK"))))))))</f>
        <v/>
      </c>
    </row>
    <row r="252">
      <c r="A252" s="14" t="inlineStr">
        <is>
          <t>L0247</t>
        </is>
      </c>
      <c r="B252" s="36" t="n">
        <v>46183</v>
      </c>
      <c r="C252" s="36" t="n">
        <v>46201</v>
      </c>
      <c r="D252" s="36" t="n">
        <v>46201</v>
      </c>
      <c r="E252" s="14" t="inlineStr">
        <is>
          <t>Saída</t>
        </is>
      </c>
      <c r="F252" s="29" t="inlineStr">
        <is>
          <t>Despesas Administrativas</t>
        </is>
      </c>
      <c r="G252" s="29" t="inlineStr">
        <is>
          <t>Internet e Telefonia</t>
        </is>
      </c>
      <c r="H252" s="29" t="inlineStr">
        <is>
          <t>Administrativo</t>
        </is>
      </c>
      <c r="I252" s="29" t="inlineStr">
        <is>
          <t>TELEFÔNICA BRASIL S.A. (VIVO EMPRESAS)</t>
        </is>
      </c>
      <c r="J252" s="29" t="inlineStr">
        <is>
          <t>Internet, telefonia e link dedicado</t>
        </is>
      </c>
      <c r="K252" s="14" t="inlineStr">
        <is>
          <t>DOC 8349</t>
        </is>
      </c>
      <c r="L252" s="29" t="inlineStr">
        <is>
          <t>Nubank PJ — C/C 9876543-2</t>
        </is>
      </c>
      <c r="M252" s="14" t="inlineStr">
        <is>
          <t>Cartão de crédito</t>
        </is>
      </c>
      <c r="N252" s="29" t="inlineStr">
        <is>
          <t>Cartão Mastercard Nubank PJ</t>
        </is>
      </c>
      <c r="O252" s="13" t="n">
        <v>1</v>
      </c>
      <c r="P252" s="13" t="n">
        <v>1</v>
      </c>
      <c r="Q252" s="35" t="n">
        <v>780</v>
      </c>
      <c r="R252" s="35" t="n">
        <v>780</v>
      </c>
      <c r="S252" s="35" t="n"/>
      <c r="T252" s="35" t="n"/>
      <c r="U252" s="35" t="n"/>
      <c r="V252" s="18">
        <f>IF(COUNTA($B252:$R252)=0,"",ROUND(N($R252)+N($S252)+N($T252)-N($U252),2))</f>
        <v/>
      </c>
      <c r="W252" s="18">
        <f>IF(COUNTA($B252:$R252)=0,"",IF(OR($X252="Pago",$X252="Recebido",$X252="Cancelado"),0,ROUND(N($Q252)+N($S252)+N($T252)-N($U252)-N($R252),2)))</f>
        <v/>
      </c>
      <c r="X252" s="14" t="inlineStr">
        <is>
          <t>Pago</t>
        </is>
      </c>
      <c r="Y252" s="17">
        <f>IF(COUNTA($B252:$R252)=0,"",IF($X252="Cancelado","Cancelado",IF(OR($X252="Pago",$X252="Recebido"),$X252,IF(OR($X252="Parcial",N($R252)&gt;0),"Parcial",IF($C252="","Sem vencimento",IF($C252&lt;TODAY(),"Vencido",IF($C252=TODAY(),"Vence hoje",IF($C252&lt;=TODAY()+7,"Vence em 7 dias",IF($C252&lt;=TODAY()+30,"Vence em 30 dias","Futuro")))))))))</f>
        <v/>
      </c>
      <c r="Z252" s="24">
        <f>IF($B252="","",MONTH($B252))</f>
        <v/>
      </c>
      <c r="AA252" s="24">
        <f>IF($B252="","",YEAR($B252))</f>
        <v/>
      </c>
      <c r="AB252" s="24">
        <f>IF($B252="","",ISOWEEKNUM($B252))</f>
        <v/>
      </c>
      <c r="AC252" s="17">
        <f>IF($B252="","",CHOOSE(WEEKDAY($B252,2),"Segunda","Terça","Quarta","Quinta","Sexta","Sábado","Domingo"))</f>
        <v/>
      </c>
      <c r="AD252" s="17">
        <f>IF($B252="","",TEXT($B252,"MM/AAAA"))</f>
        <v/>
      </c>
      <c r="AE252" s="18">
        <f>IF(COUNTA($B252:$R252)=0,"",IF($X252="Cancelado",0,ROUND(N($Q252)+N($S252)+N($T252)-N($U252),2)))</f>
        <v/>
      </c>
      <c r="AF252" s="9">
        <f>IF($G252="","",IFERROR(INDEX(LINHAS_DRE_PLANO,MATCH($G252,SUBCATEGORIAS_PLANO,0)),"Não classificado"))</f>
        <v/>
      </c>
      <c r="AG252" s="17">
        <f>IF($G252="","",IFERROR(INDEX(TIPOS_FLUXO_PLANO,MATCH($G252,SUBCATEGORIAS_PLANO,0)),"Não classificado"))</f>
        <v/>
      </c>
      <c r="AH252" s="9">
        <f>IF($G252="","",IFERROR(INDEX(GRUPOS_PLANO,MATCH($G252,SUBCATEGORIAS_PLANO,0)),"Não classificado"))</f>
        <v/>
      </c>
      <c r="AI252" s="24">
        <f>IF(OR($C252="",$X252="Pago",$X252="Recebido",$X252="Cancelado"),"",$C252-TODAY())</f>
        <v/>
      </c>
      <c r="AJ252" s="24">
        <f>IF(OR($C252="",$X252="Pago",$X252="Recebido",$X252="Cancelado"),0,MAX(0,TODAY()-$C252))</f>
        <v/>
      </c>
      <c r="AK252" s="24">
        <f>IF($D252="","",$D252-$B252)</f>
        <v/>
      </c>
      <c r="AL252" s="18">
        <f>IF(OR($D252="",$B252=""),"",ROUND(N($R252)*($D252-$B252),2))</f>
        <v/>
      </c>
      <c r="AM252" s="17">
        <f>IF(AND($E252="Saída",$W252&gt;0,$C252&lt;&gt;""),$C252+ROW()/1000000,"")</f>
        <v/>
      </c>
      <c r="AN252" s="17">
        <f>IF(AND($E252="Entrada",$W252&gt;0,$C252&lt;&gt;""),$C252+ROW()/1000000,"")</f>
        <v/>
      </c>
      <c r="AO252" s="9">
        <f>IF(COUNTA($B252:$R252)=0,"",IF(AND($I252&lt;&gt;"",COUNTIF(CLIENTES_NOMES,$I252)+COUNTIF(CLIENTES_FANTASIA,$I252)+COUNTIF(FORNECEDORES_NOMES,$I252)+COUNTIF(FORNECEDORES_FANTASIA,$I252)=0),"⚠ Cliente/Fornecedor não cadastrado",IF(AND($G252&lt;&gt;"",COUNTIF(SUBCATEGORIAS_PLANO,$G252)=0),"⚠ Subcategoria fora do plano de contas",IF(OR($Q252="",N($Q252)=0),"⚠ Valor previsto não informado",IF(AND(OR($X252="Pago",$X252="Recebido"),$D252=""),"⚠ Status pago/recebido sem data",IF(AND($D252&lt;&gt;"",N($R252)=0),"⚠ Data de pagamento sem valor realizado",IF(AND(N($P252)&gt;1,N($O252)&gt;N($P252)),"⚠ Nº da parcela maior que o total",IF(AND($C252&lt;&gt;"",$B252&lt;&gt;"",$C252&lt;$B252),"⚠ Vencimento anterior à competência","OK"))))))))</f>
        <v/>
      </c>
    </row>
    <row r="253">
      <c r="A253" s="14" t="inlineStr">
        <is>
          <t>L0248</t>
        </is>
      </c>
      <c r="B253" s="36" t="n">
        <v>46183</v>
      </c>
      <c r="C253" s="36" t="n">
        <v>46183</v>
      </c>
      <c r="D253" s="36" t="n">
        <v>46183</v>
      </c>
      <c r="E253" s="14" t="inlineStr">
        <is>
          <t>Saída</t>
        </is>
      </c>
      <c r="F253" s="29" t="inlineStr">
        <is>
          <t>Despesas Administrativas</t>
        </is>
      </c>
      <c r="G253" s="29" t="inlineStr">
        <is>
          <t>Contabilidade</t>
        </is>
      </c>
      <c r="H253" s="29" t="inlineStr">
        <is>
          <t>Financeiro</t>
        </is>
      </c>
      <c r="I253" s="29" t="inlineStr">
        <is>
          <t>CONTABILIDADE AURORA ASSESSORIA CONTÁBIL LTDA</t>
        </is>
      </c>
      <c r="J253" s="29" t="inlineStr">
        <is>
          <t>Honorários contábeis — competência 06/2026</t>
        </is>
      </c>
      <c r="K253" s="14" t="inlineStr">
        <is>
          <t>DOC 8350</t>
        </is>
      </c>
      <c r="L253" s="29" t="inlineStr">
        <is>
          <t>Itaú Unibanco — C/C 45678-9</t>
        </is>
      </c>
      <c r="M253" s="14" t="inlineStr">
        <is>
          <t>PIX</t>
        </is>
      </c>
      <c r="N253" s="29" t="n"/>
      <c r="O253" s="13" t="n">
        <v>1</v>
      </c>
      <c r="P253" s="13" t="n">
        <v>1</v>
      </c>
      <c r="Q253" s="35" t="n">
        <v>1250</v>
      </c>
      <c r="R253" s="35" t="n">
        <v>1250</v>
      </c>
      <c r="S253" s="35" t="n"/>
      <c r="T253" s="35" t="n"/>
      <c r="U253" s="35" t="n"/>
      <c r="V253" s="18">
        <f>IF(COUNTA($B253:$R253)=0,"",ROUND(N($R253)+N($S253)+N($T253)-N($U253),2))</f>
        <v/>
      </c>
      <c r="W253" s="18">
        <f>IF(COUNTA($B253:$R253)=0,"",IF(OR($X253="Pago",$X253="Recebido",$X253="Cancelado"),0,ROUND(N($Q253)+N($S253)+N($T253)-N($U253)-N($R253),2)))</f>
        <v/>
      </c>
      <c r="X253" s="14" t="inlineStr">
        <is>
          <t>Pago</t>
        </is>
      </c>
      <c r="Y253" s="17">
        <f>IF(COUNTA($B253:$R253)=0,"",IF($X253="Cancelado","Cancelado",IF(OR($X253="Pago",$X253="Recebido"),$X253,IF(OR($X253="Parcial",N($R253)&gt;0),"Parcial",IF($C253="","Sem vencimento",IF($C253&lt;TODAY(),"Vencido",IF($C253=TODAY(),"Vence hoje",IF($C253&lt;=TODAY()+7,"Vence em 7 dias",IF($C253&lt;=TODAY()+30,"Vence em 30 dias","Futuro")))))))))</f>
        <v/>
      </c>
      <c r="Z253" s="24">
        <f>IF($B253="","",MONTH($B253))</f>
        <v/>
      </c>
      <c r="AA253" s="24">
        <f>IF($B253="","",YEAR($B253))</f>
        <v/>
      </c>
      <c r="AB253" s="24">
        <f>IF($B253="","",ISOWEEKNUM($B253))</f>
        <v/>
      </c>
      <c r="AC253" s="17">
        <f>IF($B253="","",CHOOSE(WEEKDAY($B253,2),"Segunda","Terça","Quarta","Quinta","Sexta","Sábado","Domingo"))</f>
        <v/>
      </c>
      <c r="AD253" s="17">
        <f>IF($B253="","",TEXT($B253,"MM/AAAA"))</f>
        <v/>
      </c>
      <c r="AE253" s="18">
        <f>IF(COUNTA($B253:$R253)=0,"",IF($X253="Cancelado",0,ROUND(N($Q253)+N($S253)+N($T253)-N($U253),2)))</f>
        <v/>
      </c>
      <c r="AF253" s="9">
        <f>IF($G253="","",IFERROR(INDEX(LINHAS_DRE_PLANO,MATCH($G253,SUBCATEGORIAS_PLANO,0)),"Não classificado"))</f>
        <v/>
      </c>
      <c r="AG253" s="17">
        <f>IF($G253="","",IFERROR(INDEX(TIPOS_FLUXO_PLANO,MATCH($G253,SUBCATEGORIAS_PLANO,0)),"Não classificado"))</f>
        <v/>
      </c>
      <c r="AH253" s="9">
        <f>IF($G253="","",IFERROR(INDEX(GRUPOS_PLANO,MATCH($G253,SUBCATEGORIAS_PLANO,0)),"Não classificado"))</f>
        <v/>
      </c>
      <c r="AI253" s="24">
        <f>IF(OR($C253="",$X253="Pago",$X253="Recebido",$X253="Cancelado"),"",$C253-TODAY())</f>
        <v/>
      </c>
      <c r="AJ253" s="24">
        <f>IF(OR($C253="",$X253="Pago",$X253="Recebido",$X253="Cancelado"),0,MAX(0,TODAY()-$C253))</f>
        <v/>
      </c>
      <c r="AK253" s="24">
        <f>IF($D253="","",$D253-$B253)</f>
        <v/>
      </c>
      <c r="AL253" s="18">
        <f>IF(OR($D253="",$B253=""),"",ROUND(N($R253)*($D253-$B253),2))</f>
        <v/>
      </c>
      <c r="AM253" s="17">
        <f>IF(AND($E253="Saída",$W253&gt;0,$C253&lt;&gt;""),$C253+ROW()/1000000,"")</f>
        <v/>
      </c>
      <c r="AN253" s="17">
        <f>IF(AND($E253="Entrada",$W253&gt;0,$C253&lt;&gt;""),$C253+ROW()/1000000,"")</f>
        <v/>
      </c>
      <c r="AO253" s="9">
        <f>IF(COUNTA($B253:$R253)=0,"",IF(AND($I253&lt;&gt;"",COUNTIF(CLIENTES_NOMES,$I253)+COUNTIF(CLIENTES_FANTASIA,$I253)+COUNTIF(FORNECEDORES_NOMES,$I253)+COUNTIF(FORNECEDORES_FANTASIA,$I253)=0),"⚠ Cliente/Fornecedor não cadastrado",IF(AND($G253&lt;&gt;"",COUNTIF(SUBCATEGORIAS_PLANO,$G253)=0),"⚠ Subcategoria fora do plano de contas",IF(OR($Q253="",N($Q253)=0),"⚠ Valor previsto não informado",IF(AND(OR($X253="Pago",$X253="Recebido"),$D253=""),"⚠ Status pago/recebido sem data",IF(AND($D253&lt;&gt;"",N($R253)=0),"⚠ Data de pagamento sem valor realizado",IF(AND(N($P253)&gt;1,N($O253)&gt;N($P253)),"⚠ Nº da parcela maior que o total",IF(AND($C253&lt;&gt;"",$B253&lt;&gt;"",$C253&lt;$B253),"⚠ Vencimento anterior à competência","OK"))))))))</f>
        <v/>
      </c>
    </row>
    <row r="254">
      <c r="A254" s="14" t="inlineStr">
        <is>
          <t>L0249</t>
        </is>
      </c>
      <c r="B254" s="36" t="n">
        <v>46183</v>
      </c>
      <c r="C254" s="36" t="n">
        <v>46201</v>
      </c>
      <c r="D254" s="36" t="n">
        <v>46203</v>
      </c>
      <c r="E254" s="14" t="inlineStr">
        <is>
          <t>Saída</t>
        </is>
      </c>
      <c r="F254" s="29" t="inlineStr">
        <is>
          <t>Despesas Comerciais</t>
        </is>
      </c>
      <c r="G254" s="29" t="inlineStr">
        <is>
          <t>Marketing Digital</t>
        </is>
      </c>
      <c r="H254" s="29" t="inlineStr">
        <is>
          <t>Marketing</t>
        </is>
      </c>
      <c r="I254" s="29" t="inlineStr">
        <is>
          <t>AGÊNCIA PULSO DIGITAL LTDA</t>
        </is>
      </c>
      <c r="J254" s="29" t="inlineStr">
        <is>
          <t>Gestão de tráfego pago e produção de conteúdo</t>
        </is>
      </c>
      <c r="K254" s="14" t="inlineStr">
        <is>
          <t>DOC 8356</t>
        </is>
      </c>
      <c r="L254" s="29" t="inlineStr">
        <is>
          <t>Nubank PJ — C/C 9876543-2</t>
        </is>
      </c>
      <c r="M254" s="14" t="inlineStr">
        <is>
          <t>Cartão de crédito</t>
        </is>
      </c>
      <c r="N254" s="29" t="inlineStr">
        <is>
          <t>Cartão Mastercard Nubank PJ</t>
        </is>
      </c>
      <c r="O254" s="13" t="n">
        <v>1</v>
      </c>
      <c r="P254" s="13" t="n">
        <v>1</v>
      </c>
      <c r="Q254" s="35" t="n">
        <v>3635.73</v>
      </c>
      <c r="R254" s="35" t="n">
        <v>3635.73</v>
      </c>
      <c r="S254" s="35" t="n"/>
      <c r="T254" s="35" t="n"/>
      <c r="U254" s="35" t="n"/>
      <c r="V254" s="18">
        <f>IF(COUNTA($B254:$R254)=0,"",ROUND(N($R254)+N($S254)+N($T254)-N($U254),2))</f>
        <v/>
      </c>
      <c r="W254" s="18">
        <f>IF(COUNTA($B254:$R254)=0,"",IF(OR($X254="Pago",$X254="Recebido",$X254="Cancelado"),0,ROUND(N($Q254)+N($S254)+N($T254)-N($U254)-N($R254),2)))</f>
        <v/>
      </c>
      <c r="X254" s="14" t="inlineStr">
        <is>
          <t>Pago</t>
        </is>
      </c>
      <c r="Y254" s="17">
        <f>IF(COUNTA($B254:$R254)=0,"",IF($X254="Cancelado","Cancelado",IF(OR($X254="Pago",$X254="Recebido"),$X254,IF(OR($X254="Parcial",N($R254)&gt;0),"Parcial",IF($C254="","Sem vencimento",IF($C254&lt;TODAY(),"Vencido",IF($C254=TODAY(),"Vence hoje",IF($C254&lt;=TODAY()+7,"Vence em 7 dias",IF($C254&lt;=TODAY()+30,"Vence em 30 dias","Futuro")))))))))</f>
        <v/>
      </c>
      <c r="Z254" s="24">
        <f>IF($B254="","",MONTH($B254))</f>
        <v/>
      </c>
      <c r="AA254" s="24">
        <f>IF($B254="","",YEAR($B254))</f>
        <v/>
      </c>
      <c r="AB254" s="24">
        <f>IF($B254="","",ISOWEEKNUM($B254))</f>
        <v/>
      </c>
      <c r="AC254" s="17">
        <f>IF($B254="","",CHOOSE(WEEKDAY($B254,2),"Segunda","Terça","Quarta","Quinta","Sexta","Sábado","Domingo"))</f>
        <v/>
      </c>
      <c r="AD254" s="17">
        <f>IF($B254="","",TEXT($B254,"MM/AAAA"))</f>
        <v/>
      </c>
      <c r="AE254" s="18">
        <f>IF(COUNTA($B254:$R254)=0,"",IF($X254="Cancelado",0,ROUND(N($Q254)+N($S254)+N($T254)-N($U254),2)))</f>
        <v/>
      </c>
      <c r="AF254" s="9">
        <f>IF($G254="","",IFERROR(INDEX(LINHAS_DRE_PLANO,MATCH($G254,SUBCATEGORIAS_PLANO,0)),"Não classificado"))</f>
        <v/>
      </c>
      <c r="AG254" s="17">
        <f>IF($G254="","",IFERROR(INDEX(TIPOS_FLUXO_PLANO,MATCH($G254,SUBCATEGORIAS_PLANO,0)),"Não classificado"))</f>
        <v/>
      </c>
      <c r="AH254" s="9">
        <f>IF($G254="","",IFERROR(INDEX(GRUPOS_PLANO,MATCH($G254,SUBCATEGORIAS_PLANO,0)),"Não classificado"))</f>
        <v/>
      </c>
      <c r="AI254" s="24">
        <f>IF(OR($C254="",$X254="Pago",$X254="Recebido",$X254="Cancelado"),"",$C254-TODAY())</f>
        <v/>
      </c>
      <c r="AJ254" s="24">
        <f>IF(OR($C254="",$X254="Pago",$X254="Recebido",$X254="Cancelado"),0,MAX(0,TODAY()-$C254))</f>
        <v/>
      </c>
      <c r="AK254" s="24">
        <f>IF($D254="","",$D254-$B254)</f>
        <v/>
      </c>
      <c r="AL254" s="18">
        <f>IF(OR($D254="",$B254=""),"",ROUND(N($R254)*($D254-$B254),2))</f>
        <v/>
      </c>
      <c r="AM254" s="17">
        <f>IF(AND($E254="Saída",$W254&gt;0,$C254&lt;&gt;""),$C254+ROW()/1000000,"")</f>
        <v/>
      </c>
      <c r="AN254" s="17">
        <f>IF(AND($E254="Entrada",$W254&gt;0,$C254&lt;&gt;""),$C254+ROW()/1000000,"")</f>
        <v/>
      </c>
      <c r="AO254" s="9">
        <f>IF(COUNTA($B254:$R254)=0,"",IF(AND($I254&lt;&gt;"",COUNTIF(CLIENTES_NOMES,$I254)+COUNTIF(CLIENTES_FANTASIA,$I254)+COUNTIF(FORNECEDORES_NOMES,$I254)+COUNTIF(FORNECEDORES_FANTASIA,$I254)=0),"⚠ Cliente/Fornecedor não cadastrado",IF(AND($G254&lt;&gt;"",COUNTIF(SUBCATEGORIAS_PLANO,$G254)=0),"⚠ Subcategoria fora do plano de contas",IF(OR($Q254="",N($Q254)=0),"⚠ Valor previsto não informado",IF(AND(OR($X254="Pago",$X254="Recebido"),$D254=""),"⚠ Status pago/recebido sem data",IF(AND($D254&lt;&gt;"",N($R254)=0),"⚠ Data de pagamento sem valor realizado",IF(AND(N($P254)&gt;1,N($O254)&gt;N($P254)),"⚠ Nº da parcela maior que o total",IF(AND($C254&lt;&gt;"",$B254&lt;&gt;"",$C254&lt;$B254),"⚠ Vencimento anterior à competência","OK"))))))))</f>
        <v/>
      </c>
    </row>
    <row r="255">
      <c r="A255" s="14" t="inlineStr">
        <is>
          <t>L0250</t>
        </is>
      </c>
      <c r="B255" s="36" t="n">
        <v>46183</v>
      </c>
      <c r="C255" s="36" t="n">
        <v>46183</v>
      </c>
      <c r="D255" s="36" t="n">
        <v>46183</v>
      </c>
      <c r="E255" s="14" t="inlineStr">
        <is>
          <t>Saída</t>
        </is>
      </c>
      <c r="F255" s="29" t="inlineStr">
        <is>
          <t>Empréstimos e Financiamentos</t>
        </is>
      </c>
      <c r="G255" s="29" t="inlineStr">
        <is>
          <t>Pagamento de Principal de Empréstimos</t>
        </is>
      </c>
      <c r="H255" s="29" t="inlineStr">
        <is>
          <t>Financeiro</t>
        </is>
      </c>
      <c r="I255" s="29" t="inlineStr">
        <is>
          <t>Banco do Brasil</t>
        </is>
      </c>
      <c r="J255" s="29" t="inlineStr">
        <is>
          <t>Capital de Giro — parcela 5/24 (principal)</t>
        </is>
      </c>
      <c r="K255" s="14" t="inlineStr">
        <is>
          <t>CG-2026-0417-P05</t>
        </is>
      </c>
      <c r="L255" s="29" t="inlineStr">
        <is>
          <t>Banco do Brasil — C/C 12345-6</t>
        </is>
      </c>
      <c r="M255" s="14" t="inlineStr">
        <is>
          <t>Débito automático</t>
        </is>
      </c>
      <c r="N255" s="29" t="n"/>
      <c r="O255" s="13" t="n">
        <v>5</v>
      </c>
      <c r="P255" s="13" t="n">
        <v>24</v>
      </c>
      <c r="Q255" s="35" t="n">
        <v>2224.03</v>
      </c>
      <c r="R255" s="35" t="n">
        <v>2224.03</v>
      </c>
      <c r="S255" s="35" t="n"/>
      <c r="T255" s="35" t="n"/>
      <c r="U255" s="35" t="n"/>
      <c r="V255" s="18">
        <f>IF(COUNTA($B255:$R255)=0,"",ROUND(N($R255)+N($S255)+N($T255)-N($U255),2))</f>
        <v/>
      </c>
      <c r="W255" s="18">
        <f>IF(COUNTA($B255:$R255)=0,"",IF(OR($X255="Pago",$X255="Recebido",$X255="Cancelado"),0,ROUND(N($Q255)+N($S255)+N($T255)-N($U255)-N($R255),2)))</f>
        <v/>
      </c>
      <c r="X255" s="14" t="inlineStr">
        <is>
          <t>Pago</t>
        </is>
      </c>
      <c r="Y255" s="17">
        <f>IF(COUNTA($B255:$R255)=0,"",IF($X255="Cancelado","Cancelado",IF(OR($X255="Pago",$X255="Recebido"),$X255,IF(OR($X255="Parcial",N($R255)&gt;0),"Parcial",IF($C255="","Sem vencimento",IF($C255&lt;TODAY(),"Vencido",IF($C255=TODAY(),"Vence hoje",IF($C255&lt;=TODAY()+7,"Vence em 7 dias",IF($C255&lt;=TODAY()+30,"Vence em 30 dias","Futuro")))))))))</f>
        <v/>
      </c>
      <c r="Z255" s="24">
        <f>IF($B255="","",MONTH($B255))</f>
        <v/>
      </c>
      <c r="AA255" s="24">
        <f>IF($B255="","",YEAR($B255))</f>
        <v/>
      </c>
      <c r="AB255" s="24">
        <f>IF($B255="","",ISOWEEKNUM($B255))</f>
        <v/>
      </c>
      <c r="AC255" s="17">
        <f>IF($B255="","",CHOOSE(WEEKDAY($B255,2),"Segunda","Terça","Quarta","Quinta","Sexta","Sábado","Domingo"))</f>
        <v/>
      </c>
      <c r="AD255" s="17">
        <f>IF($B255="","",TEXT($B255,"MM/AAAA"))</f>
        <v/>
      </c>
      <c r="AE255" s="18">
        <f>IF(COUNTA($B255:$R255)=0,"",IF($X255="Cancelado",0,ROUND(N($Q255)+N($S255)+N($T255)-N($U255),2)))</f>
        <v/>
      </c>
      <c r="AF255" s="9">
        <f>IF($G255="","",IFERROR(INDEX(LINHAS_DRE_PLANO,MATCH($G255,SUBCATEGORIAS_PLANO,0)),"Não classificado"))</f>
        <v/>
      </c>
      <c r="AG255" s="17">
        <f>IF($G255="","",IFERROR(INDEX(TIPOS_FLUXO_PLANO,MATCH($G255,SUBCATEGORIAS_PLANO,0)),"Não classificado"))</f>
        <v/>
      </c>
      <c r="AH255" s="9">
        <f>IF($G255="","",IFERROR(INDEX(GRUPOS_PLANO,MATCH($G255,SUBCATEGORIAS_PLANO,0)),"Não classificado"))</f>
        <v/>
      </c>
      <c r="AI255" s="24">
        <f>IF(OR($C255="",$X255="Pago",$X255="Recebido",$X255="Cancelado"),"",$C255-TODAY())</f>
        <v/>
      </c>
      <c r="AJ255" s="24">
        <f>IF(OR($C255="",$X255="Pago",$X255="Recebido",$X255="Cancelado"),0,MAX(0,TODAY()-$C255))</f>
        <v/>
      </c>
      <c r="AK255" s="24">
        <f>IF($D255="","",$D255-$B255)</f>
        <v/>
      </c>
      <c r="AL255" s="18">
        <f>IF(OR($D255="",$B255=""),"",ROUND(N($R255)*($D255-$B255),2))</f>
        <v/>
      </c>
      <c r="AM255" s="17">
        <f>IF(AND($E255="Saída",$W255&gt;0,$C255&lt;&gt;""),$C255+ROW()/1000000,"")</f>
        <v/>
      </c>
      <c r="AN255" s="17">
        <f>IF(AND($E255="Entrada",$W255&gt;0,$C255&lt;&gt;""),$C255+ROW()/1000000,"")</f>
        <v/>
      </c>
      <c r="AO255" s="9">
        <f>IF(COUNTA($B255:$R255)=0,"",IF(AND($I255&lt;&gt;"",COUNTIF(CLIENTES_NOMES,$I255)+COUNTIF(CLIENTES_FANTASIA,$I255)+COUNTIF(FORNECEDORES_NOMES,$I255)+COUNTIF(FORNECEDORES_FANTASIA,$I255)=0),"⚠ Cliente/Fornecedor não cadastrado",IF(AND($G255&lt;&gt;"",COUNTIF(SUBCATEGORIAS_PLANO,$G255)=0),"⚠ Subcategoria fora do plano de contas",IF(OR($Q255="",N($Q255)=0),"⚠ Valor previsto não informado",IF(AND(OR($X255="Pago",$X255="Recebido"),$D255=""),"⚠ Status pago/recebido sem data",IF(AND($D255&lt;&gt;"",N($R255)=0),"⚠ Data de pagamento sem valor realizado",IF(AND(N($P255)&gt;1,N($O255)&gt;N($P255)),"⚠ Nº da parcela maior que o total",IF(AND($C255&lt;&gt;"",$B255&lt;&gt;"",$C255&lt;$B255),"⚠ Vencimento anterior à competência","OK"))))))))</f>
        <v/>
      </c>
    </row>
    <row r="256">
      <c r="A256" s="14" t="inlineStr">
        <is>
          <t>L0251</t>
        </is>
      </c>
      <c r="B256" s="36" t="n">
        <v>46183</v>
      </c>
      <c r="C256" s="36" t="n">
        <v>46183</v>
      </c>
      <c r="D256" s="36" t="n">
        <v>46183</v>
      </c>
      <c r="E256" s="14" t="inlineStr">
        <is>
          <t>Saída</t>
        </is>
      </c>
      <c r="F256" s="29" t="inlineStr">
        <is>
          <t>Despesas Financeiras</t>
        </is>
      </c>
      <c r="G256" s="29" t="inlineStr">
        <is>
          <t>Juros de Empréstimos e Financiamentos</t>
        </is>
      </c>
      <c r="H256" s="29" t="inlineStr">
        <is>
          <t>Financeiro</t>
        </is>
      </c>
      <c r="I256" s="29" t="inlineStr">
        <is>
          <t>Banco do Brasil</t>
        </is>
      </c>
      <c r="J256" s="29" t="inlineStr">
        <is>
          <t>Capital de Giro — parcela 5/24 (juros)</t>
        </is>
      </c>
      <c r="K256" s="14" t="inlineStr">
        <is>
          <t>CG-2026-0417-P05</t>
        </is>
      </c>
      <c r="L256" s="29" t="inlineStr">
        <is>
          <t>Banco do Brasil — C/C 12345-6</t>
        </is>
      </c>
      <c r="M256" s="14" t="inlineStr">
        <is>
          <t>Débito automático</t>
        </is>
      </c>
      <c r="N256" s="29" t="n"/>
      <c r="O256" s="13" t="n">
        <v>5</v>
      </c>
      <c r="P256" s="13" t="n">
        <v>24</v>
      </c>
      <c r="Q256" s="35" t="n">
        <v>771.42</v>
      </c>
      <c r="R256" s="35" t="n">
        <v>771.42</v>
      </c>
      <c r="S256" s="35" t="n"/>
      <c r="T256" s="35" t="n"/>
      <c r="U256" s="35" t="n"/>
      <c r="V256" s="18">
        <f>IF(COUNTA($B256:$R256)=0,"",ROUND(N($R256)+N($S256)+N($T256)-N($U256),2))</f>
        <v/>
      </c>
      <c r="W256" s="18">
        <f>IF(COUNTA($B256:$R256)=0,"",IF(OR($X256="Pago",$X256="Recebido",$X256="Cancelado"),0,ROUND(N($Q256)+N($S256)+N($T256)-N($U256)-N($R256),2)))</f>
        <v/>
      </c>
      <c r="X256" s="14" t="inlineStr">
        <is>
          <t>Pago</t>
        </is>
      </c>
      <c r="Y256" s="17">
        <f>IF(COUNTA($B256:$R256)=0,"",IF($X256="Cancelado","Cancelado",IF(OR($X256="Pago",$X256="Recebido"),$X256,IF(OR($X256="Parcial",N($R256)&gt;0),"Parcial",IF($C256="","Sem vencimento",IF($C256&lt;TODAY(),"Vencido",IF($C256=TODAY(),"Vence hoje",IF($C256&lt;=TODAY()+7,"Vence em 7 dias",IF($C256&lt;=TODAY()+30,"Vence em 30 dias","Futuro")))))))))</f>
        <v/>
      </c>
      <c r="Z256" s="24">
        <f>IF($B256="","",MONTH($B256))</f>
        <v/>
      </c>
      <c r="AA256" s="24">
        <f>IF($B256="","",YEAR($B256))</f>
        <v/>
      </c>
      <c r="AB256" s="24">
        <f>IF($B256="","",ISOWEEKNUM($B256))</f>
        <v/>
      </c>
      <c r="AC256" s="17">
        <f>IF($B256="","",CHOOSE(WEEKDAY($B256,2),"Segunda","Terça","Quarta","Quinta","Sexta","Sábado","Domingo"))</f>
        <v/>
      </c>
      <c r="AD256" s="17">
        <f>IF($B256="","",TEXT($B256,"MM/AAAA"))</f>
        <v/>
      </c>
      <c r="AE256" s="18">
        <f>IF(COUNTA($B256:$R256)=0,"",IF($X256="Cancelado",0,ROUND(N($Q256)+N($S256)+N($T256)-N($U256),2)))</f>
        <v/>
      </c>
      <c r="AF256" s="9">
        <f>IF($G256="","",IFERROR(INDEX(LINHAS_DRE_PLANO,MATCH($G256,SUBCATEGORIAS_PLANO,0)),"Não classificado"))</f>
        <v/>
      </c>
      <c r="AG256" s="17">
        <f>IF($G256="","",IFERROR(INDEX(TIPOS_FLUXO_PLANO,MATCH($G256,SUBCATEGORIAS_PLANO,0)),"Não classificado"))</f>
        <v/>
      </c>
      <c r="AH256" s="9">
        <f>IF($G256="","",IFERROR(INDEX(GRUPOS_PLANO,MATCH($G256,SUBCATEGORIAS_PLANO,0)),"Não classificado"))</f>
        <v/>
      </c>
      <c r="AI256" s="24">
        <f>IF(OR($C256="",$X256="Pago",$X256="Recebido",$X256="Cancelado"),"",$C256-TODAY())</f>
        <v/>
      </c>
      <c r="AJ256" s="24">
        <f>IF(OR($C256="",$X256="Pago",$X256="Recebido",$X256="Cancelado"),0,MAX(0,TODAY()-$C256))</f>
        <v/>
      </c>
      <c r="AK256" s="24">
        <f>IF($D256="","",$D256-$B256)</f>
        <v/>
      </c>
      <c r="AL256" s="18">
        <f>IF(OR($D256="",$B256=""),"",ROUND(N($R256)*($D256-$B256),2))</f>
        <v/>
      </c>
      <c r="AM256" s="17">
        <f>IF(AND($E256="Saída",$W256&gt;0,$C256&lt;&gt;""),$C256+ROW()/1000000,"")</f>
        <v/>
      </c>
      <c r="AN256" s="17">
        <f>IF(AND($E256="Entrada",$W256&gt;0,$C256&lt;&gt;""),$C256+ROW()/1000000,"")</f>
        <v/>
      </c>
      <c r="AO256" s="9">
        <f>IF(COUNTA($B256:$R256)=0,"",IF(AND($I256&lt;&gt;"",COUNTIF(CLIENTES_NOMES,$I256)+COUNTIF(CLIENTES_FANTASIA,$I256)+COUNTIF(FORNECEDORES_NOMES,$I256)+COUNTIF(FORNECEDORES_FANTASIA,$I256)=0),"⚠ Cliente/Fornecedor não cadastrado",IF(AND($G256&lt;&gt;"",COUNTIF(SUBCATEGORIAS_PLANO,$G256)=0),"⚠ Subcategoria fora do plano de contas",IF(OR($Q256="",N($Q256)=0),"⚠ Valor previsto não informado",IF(AND(OR($X256="Pago",$X256="Recebido"),$D256=""),"⚠ Status pago/recebido sem data",IF(AND($D256&lt;&gt;"",N($R256)=0),"⚠ Data de pagamento sem valor realizado",IF(AND(N($P256)&gt;1,N($O256)&gt;N($P256)),"⚠ Nº da parcela maior que o total",IF(AND($C256&lt;&gt;"",$B256&lt;&gt;"",$C256&lt;$B256),"⚠ Vencimento anterior à competência","OK"))))))))</f>
        <v/>
      </c>
    </row>
    <row r="257">
      <c r="A257" s="14" t="inlineStr">
        <is>
          <t>L0252</t>
        </is>
      </c>
      <c r="B257" s="36" t="n">
        <v>46184</v>
      </c>
      <c r="C257" s="36" t="n">
        <v>46216</v>
      </c>
      <c r="D257" s="36" t="n">
        <v>46219</v>
      </c>
      <c r="E257" s="14" t="inlineStr">
        <is>
          <t>Entrada</t>
        </is>
      </c>
      <c r="F257" s="29" t="inlineStr">
        <is>
          <t>Vendas</t>
        </is>
      </c>
      <c r="G257" s="29" t="inlineStr">
        <is>
          <t>Vendas de Produtos</t>
        </is>
      </c>
      <c r="H257" s="29" t="inlineStr">
        <is>
          <t>Comercial</t>
        </is>
      </c>
      <c r="I257" s="29" t="inlineStr">
        <is>
          <t>MERCADO BOA COMPRA LTDA</t>
        </is>
      </c>
      <c r="J257" s="29" t="inlineStr">
        <is>
          <t>Venda de mercadorias (parcela 1/2)</t>
        </is>
      </c>
      <c r="K257" s="14" t="inlineStr">
        <is>
          <t>NF-e 2060</t>
        </is>
      </c>
      <c r="L257" s="29" t="inlineStr">
        <is>
          <t>Banco do Brasil — C/C 12345-6</t>
        </is>
      </c>
      <c r="M257" s="14" t="inlineStr">
        <is>
          <t>Crédito parcelado</t>
        </is>
      </c>
      <c r="N257" s="29" t="n"/>
      <c r="O257" s="13" t="n">
        <v>1</v>
      </c>
      <c r="P257" s="13" t="n">
        <v>2</v>
      </c>
      <c r="Q257" s="35" t="n">
        <v>19267.54</v>
      </c>
      <c r="R257" s="35" t="n">
        <v>19267.54</v>
      </c>
      <c r="S257" s="35" t="n"/>
      <c r="T257" s="35" t="n"/>
      <c r="U257" s="35" t="n"/>
      <c r="V257" s="18">
        <f>IF(COUNTA($B257:$R257)=0,"",ROUND(N($R257)+N($S257)+N($T257)-N($U257),2))</f>
        <v/>
      </c>
      <c r="W257" s="18">
        <f>IF(COUNTA($B257:$R257)=0,"",IF(OR($X257="Pago",$X257="Recebido",$X257="Cancelado"),0,ROUND(N($Q257)+N($S257)+N($T257)-N($U257)-N($R257),2)))</f>
        <v/>
      </c>
      <c r="X257" s="14" t="inlineStr">
        <is>
          <t>Pago</t>
        </is>
      </c>
      <c r="Y257" s="17">
        <f>IF(COUNTA($B257:$R257)=0,"",IF($X257="Cancelado","Cancelado",IF(OR($X257="Pago",$X257="Recebido"),$X257,IF(OR($X257="Parcial",N($R257)&gt;0),"Parcial",IF($C257="","Sem vencimento",IF($C257&lt;TODAY(),"Vencido",IF($C257=TODAY(),"Vence hoje",IF($C257&lt;=TODAY()+7,"Vence em 7 dias",IF($C257&lt;=TODAY()+30,"Vence em 30 dias","Futuro")))))))))</f>
        <v/>
      </c>
      <c r="Z257" s="24">
        <f>IF($B257="","",MONTH($B257))</f>
        <v/>
      </c>
      <c r="AA257" s="24">
        <f>IF($B257="","",YEAR($B257))</f>
        <v/>
      </c>
      <c r="AB257" s="24">
        <f>IF($B257="","",ISOWEEKNUM($B257))</f>
        <v/>
      </c>
      <c r="AC257" s="17">
        <f>IF($B257="","",CHOOSE(WEEKDAY($B257,2),"Segunda","Terça","Quarta","Quinta","Sexta","Sábado","Domingo"))</f>
        <v/>
      </c>
      <c r="AD257" s="17">
        <f>IF($B257="","",TEXT($B257,"MM/AAAA"))</f>
        <v/>
      </c>
      <c r="AE257" s="18">
        <f>IF(COUNTA($B257:$R257)=0,"",IF($X257="Cancelado",0,ROUND(N($Q257)+N($S257)+N($T257)-N($U257),2)))</f>
        <v/>
      </c>
      <c r="AF257" s="9">
        <f>IF($G257="","",IFERROR(INDEX(LINHAS_DRE_PLANO,MATCH($G257,SUBCATEGORIAS_PLANO,0)),"Não classificado"))</f>
        <v/>
      </c>
      <c r="AG257" s="17">
        <f>IF($G257="","",IFERROR(INDEX(TIPOS_FLUXO_PLANO,MATCH($G257,SUBCATEGORIAS_PLANO,0)),"Não classificado"))</f>
        <v/>
      </c>
      <c r="AH257" s="9">
        <f>IF($G257="","",IFERROR(INDEX(GRUPOS_PLANO,MATCH($G257,SUBCATEGORIAS_PLANO,0)),"Não classificado"))</f>
        <v/>
      </c>
      <c r="AI257" s="24">
        <f>IF(OR($C257="",$X257="Pago",$X257="Recebido",$X257="Cancelado"),"",$C257-TODAY())</f>
        <v/>
      </c>
      <c r="AJ257" s="24">
        <f>IF(OR($C257="",$X257="Pago",$X257="Recebido",$X257="Cancelado"),0,MAX(0,TODAY()-$C257))</f>
        <v/>
      </c>
      <c r="AK257" s="24">
        <f>IF($D257="","",$D257-$B257)</f>
        <v/>
      </c>
      <c r="AL257" s="18">
        <f>IF(OR($D257="",$B257=""),"",ROUND(N($R257)*($D257-$B257),2))</f>
        <v/>
      </c>
      <c r="AM257" s="17">
        <f>IF(AND($E257="Saída",$W257&gt;0,$C257&lt;&gt;""),$C257+ROW()/1000000,"")</f>
        <v/>
      </c>
      <c r="AN257" s="17">
        <f>IF(AND($E257="Entrada",$W257&gt;0,$C257&lt;&gt;""),$C257+ROW()/1000000,"")</f>
        <v/>
      </c>
      <c r="AO257" s="9">
        <f>IF(COUNTA($B257:$R257)=0,"",IF(AND($I257&lt;&gt;"",COUNTIF(CLIENTES_NOMES,$I257)+COUNTIF(CLIENTES_FANTASIA,$I257)+COUNTIF(FORNECEDORES_NOMES,$I257)+COUNTIF(FORNECEDORES_FANTASIA,$I257)=0),"⚠ Cliente/Fornecedor não cadastrado",IF(AND($G257&lt;&gt;"",COUNTIF(SUBCATEGORIAS_PLANO,$G257)=0),"⚠ Subcategoria fora do plano de contas",IF(OR($Q257="",N($Q257)=0),"⚠ Valor previsto não informado",IF(AND(OR($X257="Pago",$X257="Recebido"),$D257=""),"⚠ Status pago/recebido sem data",IF(AND($D257&lt;&gt;"",N($R257)=0),"⚠ Data de pagamento sem valor realizado",IF(AND(N($P257)&gt;1,N($O257)&gt;N($P257)),"⚠ Nº da parcela maior que o total",IF(AND($C257&lt;&gt;"",$B257&lt;&gt;"",$C257&lt;$B257),"⚠ Vencimento anterior à competência","OK"))))))))</f>
        <v/>
      </c>
    </row>
    <row r="258">
      <c r="A258" s="14" t="inlineStr">
        <is>
          <t>L0253</t>
        </is>
      </c>
      <c r="B258" s="36" t="n">
        <v>46184</v>
      </c>
      <c r="C258" s="36" t="n">
        <v>46246</v>
      </c>
      <c r="D258" s="36" t="n">
        <v>46246</v>
      </c>
      <c r="E258" s="14" t="inlineStr">
        <is>
          <t>Entrada</t>
        </is>
      </c>
      <c r="F258" s="29" t="inlineStr">
        <is>
          <t>Vendas</t>
        </is>
      </c>
      <c r="G258" s="29" t="inlineStr">
        <is>
          <t>Vendas de Produtos</t>
        </is>
      </c>
      <c r="H258" s="29" t="inlineStr">
        <is>
          <t>Comercial</t>
        </is>
      </c>
      <c r="I258" s="29" t="inlineStr">
        <is>
          <t>MERCADO BOA COMPRA LTDA</t>
        </is>
      </c>
      <c r="J258" s="29" t="inlineStr">
        <is>
          <t>Venda de mercadorias (parcela 2/2)</t>
        </is>
      </c>
      <c r="K258" s="14" t="inlineStr">
        <is>
          <t>NF-e 2061</t>
        </is>
      </c>
      <c r="L258" s="29" t="inlineStr">
        <is>
          <t>Banco do Brasil — C/C 12345-6</t>
        </is>
      </c>
      <c r="M258" s="14" t="inlineStr">
        <is>
          <t>Crédito parcelado</t>
        </is>
      </c>
      <c r="N258" s="29" t="n"/>
      <c r="O258" s="13" t="n">
        <v>2</v>
      </c>
      <c r="P258" s="13" t="n">
        <v>2</v>
      </c>
      <c r="Q258" s="35" t="n">
        <v>19267.54</v>
      </c>
      <c r="R258" s="35" t="n">
        <v>19267.54</v>
      </c>
      <c r="S258" s="35" t="n"/>
      <c r="T258" s="35" t="n"/>
      <c r="U258" s="35" t="n"/>
      <c r="V258" s="18">
        <f>IF(COUNTA($B258:$R258)=0,"",ROUND(N($R258)+N($S258)+N($T258)-N($U258),2))</f>
        <v/>
      </c>
      <c r="W258" s="18">
        <f>IF(COUNTA($B258:$R258)=0,"",IF(OR($X258="Pago",$X258="Recebido",$X258="Cancelado"),0,ROUND(N($Q258)+N($S258)+N($T258)-N($U258)-N($R258),2)))</f>
        <v/>
      </c>
      <c r="X258" s="14" t="inlineStr">
        <is>
          <t>Pago</t>
        </is>
      </c>
      <c r="Y258" s="17">
        <f>IF(COUNTA($B258:$R258)=0,"",IF($X258="Cancelado","Cancelado",IF(OR($X258="Pago",$X258="Recebido"),$X258,IF(OR($X258="Parcial",N($R258)&gt;0),"Parcial",IF($C258="","Sem vencimento",IF($C258&lt;TODAY(),"Vencido",IF($C258=TODAY(),"Vence hoje",IF($C258&lt;=TODAY()+7,"Vence em 7 dias",IF($C258&lt;=TODAY()+30,"Vence em 30 dias","Futuro")))))))))</f>
        <v/>
      </c>
      <c r="Z258" s="24">
        <f>IF($B258="","",MONTH($B258))</f>
        <v/>
      </c>
      <c r="AA258" s="24">
        <f>IF($B258="","",YEAR($B258))</f>
        <v/>
      </c>
      <c r="AB258" s="24">
        <f>IF($B258="","",ISOWEEKNUM($B258))</f>
        <v/>
      </c>
      <c r="AC258" s="17">
        <f>IF($B258="","",CHOOSE(WEEKDAY($B258,2),"Segunda","Terça","Quarta","Quinta","Sexta","Sábado","Domingo"))</f>
        <v/>
      </c>
      <c r="AD258" s="17">
        <f>IF($B258="","",TEXT($B258,"MM/AAAA"))</f>
        <v/>
      </c>
      <c r="AE258" s="18">
        <f>IF(COUNTA($B258:$R258)=0,"",IF($X258="Cancelado",0,ROUND(N($Q258)+N($S258)+N($T258)-N($U258),2)))</f>
        <v/>
      </c>
      <c r="AF258" s="9">
        <f>IF($G258="","",IFERROR(INDEX(LINHAS_DRE_PLANO,MATCH($G258,SUBCATEGORIAS_PLANO,0)),"Não classificado"))</f>
        <v/>
      </c>
      <c r="AG258" s="17">
        <f>IF($G258="","",IFERROR(INDEX(TIPOS_FLUXO_PLANO,MATCH($G258,SUBCATEGORIAS_PLANO,0)),"Não classificado"))</f>
        <v/>
      </c>
      <c r="AH258" s="9">
        <f>IF($G258="","",IFERROR(INDEX(GRUPOS_PLANO,MATCH($G258,SUBCATEGORIAS_PLANO,0)),"Não classificado"))</f>
        <v/>
      </c>
      <c r="AI258" s="24">
        <f>IF(OR($C258="",$X258="Pago",$X258="Recebido",$X258="Cancelado"),"",$C258-TODAY())</f>
        <v/>
      </c>
      <c r="AJ258" s="24">
        <f>IF(OR($C258="",$X258="Pago",$X258="Recebido",$X258="Cancelado"),0,MAX(0,TODAY()-$C258))</f>
        <v/>
      </c>
      <c r="AK258" s="24">
        <f>IF($D258="","",$D258-$B258)</f>
        <v/>
      </c>
      <c r="AL258" s="18">
        <f>IF(OR($D258="",$B258=""),"",ROUND(N($R258)*($D258-$B258),2))</f>
        <v/>
      </c>
      <c r="AM258" s="17">
        <f>IF(AND($E258="Saída",$W258&gt;0,$C258&lt;&gt;""),$C258+ROW()/1000000,"")</f>
        <v/>
      </c>
      <c r="AN258" s="17">
        <f>IF(AND($E258="Entrada",$W258&gt;0,$C258&lt;&gt;""),$C258+ROW()/1000000,"")</f>
        <v/>
      </c>
      <c r="AO258" s="9">
        <f>IF(COUNTA($B258:$R258)=0,"",IF(AND($I258&lt;&gt;"",COUNTIF(CLIENTES_NOMES,$I258)+COUNTIF(CLIENTES_FANTASIA,$I258)+COUNTIF(FORNECEDORES_NOMES,$I258)+COUNTIF(FORNECEDORES_FANTASIA,$I258)=0),"⚠ Cliente/Fornecedor não cadastrado",IF(AND($G258&lt;&gt;"",COUNTIF(SUBCATEGORIAS_PLANO,$G258)=0),"⚠ Subcategoria fora do plano de contas",IF(OR($Q258="",N($Q258)=0),"⚠ Valor previsto não informado",IF(AND(OR($X258="Pago",$X258="Recebido"),$D258=""),"⚠ Status pago/recebido sem data",IF(AND($D258&lt;&gt;"",N($R258)=0),"⚠ Data de pagamento sem valor realizado",IF(AND(N($P258)&gt;1,N($O258)&gt;N($P258)),"⚠ Nº da parcela maior que o total",IF(AND($C258&lt;&gt;"",$B258&lt;&gt;"",$C258&lt;$B258),"⚠ Vencimento anterior à competência","OK"))))))))</f>
        <v/>
      </c>
    </row>
    <row r="259">
      <c r="A259" s="14" t="inlineStr">
        <is>
          <t>L0254</t>
        </is>
      </c>
      <c r="B259" s="36" t="n">
        <v>46184</v>
      </c>
      <c r="C259" s="36" t="n">
        <v>46184</v>
      </c>
      <c r="D259" s="36" t="n">
        <v>46186</v>
      </c>
      <c r="E259" s="14" t="inlineStr">
        <is>
          <t>Entrada</t>
        </is>
      </c>
      <c r="F259" s="29" t="inlineStr">
        <is>
          <t>Vendas</t>
        </is>
      </c>
      <c r="G259" s="29" t="inlineStr">
        <is>
          <t>Vendas de Produtos</t>
        </is>
      </c>
      <c r="H259" s="29" t="inlineStr">
        <is>
          <t>Comercial</t>
        </is>
      </c>
      <c r="I259" s="29" t="inlineStr">
        <is>
          <t>PADARIA PÃO DOURADO ME</t>
        </is>
      </c>
      <c r="J259" s="29" t="inlineStr">
        <is>
          <t>Venda de mercadorias para revenda</t>
        </is>
      </c>
      <c r="K259" s="14" t="inlineStr">
        <is>
          <t>NF-e 2064</t>
        </is>
      </c>
      <c r="L259" s="29" t="inlineStr">
        <is>
          <t>Nubank PJ — C/C 9876543-2</t>
        </is>
      </c>
      <c r="M259" s="14" t="inlineStr">
        <is>
          <t>PIX</t>
        </is>
      </c>
      <c r="N259" s="29" t="n"/>
      <c r="O259" s="13" t="n">
        <v>1</v>
      </c>
      <c r="P259" s="13" t="n">
        <v>1</v>
      </c>
      <c r="Q259" s="35" t="n">
        <v>25561.85</v>
      </c>
      <c r="R259" s="35" t="n">
        <v>25561.85</v>
      </c>
      <c r="S259" s="35" t="n"/>
      <c r="T259" s="35" t="n"/>
      <c r="U259" s="35" t="n"/>
      <c r="V259" s="18">
        <f>IF(COUNTA($B259:$R259)=0,"",ROUND(N($R259)+N($S259)+N($T259)-N($U259),2))</f>
        <v/>
      </c>
      <c r="W259" s="18">
        <f>IF(COUNTA($B259:$R259)=0,"",IF(OR($X259="Pago",$X259="Recebido",$X259="Cancelado"),0,ROUND(N($Q259)+N($S259)+N($T259)-N($U259)-N($R259),2)))</f>
        <v/>
      </c>
      <c r="X259" s="14" t="inlineStr">
        <is>
          <t>Pago</t>
        </is>
      </c>
      <c r="Y259" s="17">
        <f>IF(COUNTA($B259:$R259)=0,"",IF($X259="Cancelado","Cancelado",IF(OR($X259="Pago",$X259="Recebido"),$X259,IF(OR($X259="Parcial",N($R259)&gt;0),"Parcial",IF($C259="","Sem vencimento",IF($C259&lt;TODAY(),"Vencido",IF($C259=TODAY(),"Vence hoje",IF($C259&lt;=TODAY()+7,"Vence em 7 dias",IF($C259&lt;=TODAY()+30,"Vence em 30 dias","Futuro")))))))))</f>
        <v/>
      </c>
      <c r="Z259" s="24">
        <f>IF($B259="","",MONTH($B259))</f>
        <v/>
      </c>
      <c r="AA259" s="24">
        <f>IF($B259="","",YEAR($B259))</f>
        <v/>
      </c>
      <c r="AB259" s="24">
        <f>IF($B259="","",ISOWEEKNUM($B259))</f>
        <v/>
      </c>
      <c r="AC259" s="17">
        <f>IF($B259="","",CHOOSE(WEEKDAY($B259,2),"Segunda","Terça","Quarta","Quinta","Sexta","Sábado","Domingo"))</f>
        <v/>
      </c>
      <c r="AD259" s="17">
        <f>IF($B259="","",TEXT($B259,"MM/AAAA"))</f>
        <v/>
      </c>
      <c r="AE259" s="18">
        <f>IF(COUNTA($B259:$R259)=0,"",IF($X259="Cancelado",0,ROUND(N($Q259)+N($S259)+N($T259)-N($U259),2)))</f>
        <v/>
      </c>
      <c r="AF259" s="9">
        <f>IF($G259="","",IFERROR(INDEX(LINHAS_DRE_PLANO,MATCH($G259,SUBCATEGORIAS_PLANO,0)),"Não classificado"))</f>
        <v/>
      </c>
      <c r="AG259" s="17">
        <f>IF($G259="","",IFERROR(INDEX(TIPOS_FLUXO_PLANO,MATCH($G259,SUBCATEGORIAS_PLANO,0)),"Não classificado"))</f>
        <v/>
      </c>
      <c r="AH259" s="9">
        <f>IF($G259="","",IFERROR(INDEX(GRUPOS_PLANO,MATCH($G259,SUBCATEGORIAS_PLANO,0)),"Não classificado"))</f>
        <v/>
      </c>
      <c r="AI259" s="24">
        <f>IF(OR($C259="",$X259="Pago",$X259="Recebido",$X259="Cancelado"),"",$C259-TODAY())</f>
        <v/>
      </c>
      <c r="AJ259" s="24">
        <f>IF(OR($C259="",$X259="Pago",$X259="Recebido",$X259="Cancelado"),0,MAX(0,TODAY()-$C259))</f>
        <v/>
      </c>
      <c r="AK259" s="24">
        <f>IF($D259="","",$D259-$B259)</f>
        <v/>
      </c>
      <c r="AL259" s="18">
        <f>IF(OR($D259="",$B259=""),"",ROUND(N($R259)*($D259-$B259),2))</f>
        <v/>
      </c>
      <c r="AM259" s="17">
        <f>IF(AND($E259="Saída",$W259&gt;0,$C259&lt;&gt;""),$C259+ROW()/1000000,"")</f>
        <v/>
      </c>
      <c r="AN259" s="17">
        <f>IF(AND($E259="Entrada",$W259&gt;0,$C259&lt;&gt;""),$C259+ROW()/1000000,"")</f>
        <v/>
      </c>
      <c r="AO259" s="9">
        <f>IF(COUNTA($B259:$R259)=0,"",IF(AND($I259&lt;&gt;"",COUNTIF(CLIENTES_NOMES,$I259)+COUNTIF(CLIENTES_FANTASIA,$I259)+COUNTIF(FORNECEDORES_NOMES,$I259)+COUNTIF(FORNECEDORES_FANTASIA,$I259)=0),"⚠ Cliente/Fornecedor não cadastrado",IF(AND($G259&lt;&gt;"",COUNTIF(SUBCATEGORIAS_PLANO,$G259)=0),"⚠ Subcategoria fora do plano de contas",IF(OR($Q259="",N($Q259)=0),"⚠ Valor previsto não informado",IF(AND(OR($X259="Pago",$X259="Recebido"),$D259=""),"⚠ Status pago/recebido sem data",IF(AND($D259&lt;&gt;"",N($R259)=0),"⚠ Data de pagamento sem valor realizado",IF(AND(N($P259)&gt;1,N($O259)&gt;N($P259)),"⚠ Nº da parcela maior que o total",IF(AND($C259&lt;&gt;"",$B259&lt;&gt;"",$C259&lt;$B259),"⚠ Vencimento anterior à competência","OK"))))))))</f>
        <v/>
      </c>
    </row>
    <row r="260">
      <c r="A260" s="14" t="inlineStr">
        <is>
          <t>L0255</t>
        </is>
      </c>
      <c r="B260" s="36" t="n">
        <v>46184</v>
      </c>
      <c r="C260" s="36" t="n">
        <v>46199</v>
      </c>
      <c r="D260" s="36" t="n">
        <v>46202</v>
      </c>
      <c r="E260" s="14" t="inlineStr">
        <is>
          <t>Entrada</t>
        </is>
      </c>
      <c r="F260" s="29" t="inlineStr">
        <is>
          <t>Vendas</t>
        </is>
      </c>
      <c r="G260" s="29" t="inlineStr">
        <is>
          <t>Vendas de Produtos</t>
        </is>
      </c>
      <c r="H260" s="29" t="inlineStr">
        <is>
          <t>Comercial</t>
        </is>
      </c>
      <c r="I260" s="29" t="inlineStr">
        <is>
          <t>RESTAURANTE SABOR CASEIRO LTDA</t>
        </is>
      </c>
      <c r="J260" s="29" t="inlineStr">
        <is>
          <t>Venda de mercadorias para revenda</t>
        </is>
      </c>
      <c r="K260" s="14" t="inlineStr">
        <is>
          <t>NF-e 2065</t>
        </is>
      </c>
      <c r="L260" s="29" t="inlineStr">
        <is>
          <t>Itaú Unibanco — C/C 45678-9</t>
        </is>
      </c>
      <c r="M260" s="14" t="inlineStr">
        <is>
          <t>Boleto</t>
        </is>
      </c>
      <c r="N260" s="29" t="n"/>
      <c r="O260" s="13" t="n">
        <v>1</v>
      </c>
      <c r="P260" s="13" t="n">
        <v>1</v>
      </c>
      <c r="Q260" s="35" t="n">
        <v>19447.78</v>
      </c>
      <c r="R260" s="35" t="n">
        <v>19447.78</v>
      </c>
      <c r="S260" s="35" t="n"/>
      <c r="T260" s="35" t="n"/>
      <c r="U260" s="35" t="n"/>
      <c r="V260" s="18">
        <f>IF(COUNTA($B260:$R260)=0,"",ROUND(N($R260)+N($S260)+N($T260)-N($U260),2))</f>
        <v/>
      </c>
      <c r="W260" s="18">
        <f>IF(COUNTA($B260:$R260)=0,"",IF(OR($X260="Pago",$X260="Recebido",$X260="Cancelado"),0,ROUND(N($Q260)+N($S260)+N($T260)-N($U260)-N($R260),2)))</f>
        <v/>
      </c>
      <c r="X260" s="14" t="inlineStr">
        <is>
          <t>Pago</t>
        </is>
      </c>
      <c r="Y260" s="17">
        <f>IF(COUNTA($B260:$R260)=0,"",IF($X260="Cancelado","Cancelado",IF(OR($X260="Pago",$X260="Recebido"),$X260,IF(OR($X260="Parcial",N($R260)&gt;0),"Parcial",IF($C260="","Sem vencimento",IF($C260&lt;TODAY(),"Vencido",IF($C260=TODAY(),"Vence hoje",IF($C260&lt;=TODAY()+7,"Vence em 7 dias",IF($C260&lt;=TODAY()+30,"Vence em 30 dias","Futuro")))))))))</f>
        <v/>
      </c>
      <c r="Z260" s="24">
        <f>IF($B260="","",MONTH($B260))</f>
        <v/>
      </c>
      <c r="AA260" s="24">
        <f>IF($B260="","",YEAR($B260))</f>
        <v/>
      </c>
      <c r="AB260" s="24">
        <f>IF($B260="","",ISOWEEKNUM($B260))</f>
        <v/>
      </c>
      <c r="AC260" s="17">
        <f>IF($B260="","",CHOOSE(WEEKDAY($B260,2),"Segunda","Terça","Quarta","Quinta","Sexta","Sábado","Domingo"))</f>
        <v/>
      </c>
      <c r="AD260" s="17">
        <f>IF($B260="","",TEXT($B260,"MM/AAAA"))</f>
        <v/>
      </c>
      <c r="AE260" s="18">
        <f>IF(COUNTA($B260:$R260)=0,"",IF($X260="Cancelado",0,ROUND(N($Q260)+N($S260)+N($T260)-N($U260),2)))</f>
        <v/>
      </c>
      <c r="AF260" s="9">
        <f>IF($G260="","",IFERROR(INDEX(LINHAS_DRE_PLANO,MATCH($G260,SUBCATEGORIAS_PLANO,0)),"Não classificado"))</f>
        <v/>
      </c>
      <c r="AG260" s="17">
        <f>IF($G260="","",IFERROR(INDEX(TIPOS_FLUXO_PLANO,MATCH($G260,SUBCATEGORIAS_PLANO,0)),"Não classificado"))</f>
        <v/>
      </c>
      <c r="AH260" s="9">
        <f>IF($G260="","",IFERROR(INDEX(GRUPOS_PLANO,MATCH($G260,SUBCATEGORIAS_PLANO,0)),"Não classificado"))</f>
        <v/>
      </c>
      <c r="AI260" s="24">
        <f>IF(OR($C260="",$X260="Pago",$X260="Recebido",$X260="Cancelado"),"",$C260-TODAY())</f>
        <v/>
      </c>
      <c r="AJ260" s="24">
        <f>IF(OR($C260="",$X260="Pago",$X260="Recebido",$X260="Cancelado"),0,MAX(0,TODAY()-$C260))</f>
        <v/>
      </c>
      <c r="AK260" s="24">
        <f>IF($D260="","",$D260-$B260)</f>
        <v/>
      </c>
      <c r="AL260" s="18">
        <f>IF(OR($D260="",$B260=""),"",ROUND(N($R260)*($D260-$B260),2))</f>
        <v/>
      </c>
      <c r="AM260" s="17">
        <f>IF(AND($E260="Saída",$W260&gt;0,$C260&lt;&gt;""),$C260+ROW()/1000000,"")</f>
        <v/>
      </c>
      <c r="AN260" s="17">
        <f>IF(AND($E260="Entrada",$W260&gt;0,$C260&lt;&gt;""),$C260+ROW()/1000000,"")</f>
        <v/>
      </c>
      <c r="AO260" s="9">
        <f>IF(COUNTA($B260:$R260)=0,"",IF(AND($I260&lt;&gt;"",COUNTIF(CLIENTES_NOMES,$I260)+COUNTIF(CLIENTES_FANTASIA,$I260)+COUNTIF(FORNECEDORES_NOMES,$I260)+COUNTIF(FORNECEDORES_FANTASIA,$I260)=0),"⚠ Cliente/Fornecedor não cadastrado",IF(AND($G260&lt;&gt;"",COUNTIF(SUBCATEGORIAS_PLANO,$G260)=0),"⚠ Subcategoria fora do plano de contas",IF(OR($Q260="",N($Q260)=0),"⚠ Valor previsto não informado",IF(AND(OR($X260="Pago",$X260="Recebido"),$D260=""),"⚠ Status pago/recebido sem data",IF(AND($D260&lt;&gt;"",N($R260)=0),"⚠ Data de pagamento sem valor realizado",IF(AND(N($P260)&gt;1,N($O260)&gt;N($P260)),"⚠ Nº da parcela maior que o total",IF(AND($C260&lt;&gt;"",$B260&lt;&gt;"",$C260&lt;$B260),"⚠ Vencimento anterior à competência","OK"))))))))</f>
        <v/>
      </c>
    </row>
    <row r="261">
      <c r="A261" s="14" t="inlineStr">
        <is>
          <t>L0256</t>
        </is>
      </c>
      <c r="B261" s="36" t="n">
        <v>46184</v>
      </c>
      <c r="C261" s="36" t="n">
        <v>46216</v>
      </c>
      <c r="D261" s="36" t="n"/>
      <c r="E261" s="14" t="inlineStr">
        <is>
          <t>Entrada</t>
        </is>
      </c>
      <c r="F261" s="29" t="inlineStr">
        <is>
          <t>Vendas</t>
        </is>
      </c>
      <c r="G261" s="29" t="inlineStr">
        <is>
          <t>Vendas de Produtos</t>
        </is>
      </c>
      <c r="H261" s="29" t="inlineStr">
        <is>
          <t>Comercial</t>
        </is>
      </c>
      <c r="I261" s="29" t="inlineStr">
        <is>
          <t>HOTEL VISTA ALEGRE LTDA</t>
        </is>
      </c>
      <c r="J261" s="29" t="inlineStr">
        <is>
          <t>Venda de mercadorias para revenda</t>
        </is>
      </c>
      <c r="K261" s="14" t="inlineStr">
        <is>
          <t>NF-e 2068</t>
        </is>
      </c>
      <c r="L261" s="29" t="inlineStr">
        <is>
          <t>Itaú Unibanco — C/C 45678-9</t>
        </is>
      </c>
      <c r="M261" s="14" t="inlineStr">
        <is>
          <t>Boleto</t>
        </is>
      </c>
      <c r="N261" s="29" t="n"/>
      <c r="O261" s="13" t="n">
        <v>1</v>
      </c>
      <c r="P261" s="13" t="n">
        <v>1</v>
      </c>
      <c r="Q261" s="35" t="n">
        <v>36752</v>
      </c>
      <c r="R261" s="35" t="n"/>
      <c r="S261" s="35" t="n"/>
      <c r="T261" s="35" t="n"/>
      <c r="U261" s="35" t="n"/>
      <c r="V261" s="18">
        <f>IF(COUNTA($B261:$R261)=0,"",ROUND(N($R261)+N($S261)+N($T261)-N($U261),2))</f>
        <v/>
      </c>
      <c r="W261" s="18">
        <f>IF(COUNTA($B261:$R261)=0,"",IF(OR($X261="Pago",$X261="Recebido",$X261="Cancelado"),0,ROUND(N($Q261)+N($S261)+N($T261)-N($U261)-N($R261),2)))</f>
        <v/>
      </c>
      <c r="X261" s="14" t="inlineStr">
        <is>
          <t>Previsto</t>
        </is>
      </c>
      <c r="Y261" s="17">
        <f>IF(COUNTA($B261:$R261)=0,"",IF($X261="Cancelado","Cancelado",IF(OR($X261="Pago",$X261="Recebido"),$X261,IF(OR($X261="Parcial",N($R261)&gt;0),"Parcial",IF($C261="","Sem vencimento",IF($C261&lt;TODAY(),"Vencido",IF($C261=TODAY(),"Vence hoje",IF($C261&lt;=TODAY()+7,"Vence em 7 dias",IF($C261&lt;=TODAY()+30,"Vence em 30 dias","Futuro")))))))))</f>
        <v/>
      </c>
      <c r="Z261" s="24">
        <f>IF($B261="","",MONTH($B261))</f>
        <v/>
      </c>
      <c r="AA261" s="24">
        <f>IF($B261="","",YEAR($B261))</f>
        <v/>
      </c>
      <c r="AB261" s="24">
        <f>IF($B261="","",ISOWEEKNUM($B261))</f>
        <v/>
      </c>
      <c r="AC261" s="17">
        <f>IF($B261="","",CHOOSE(WEEKDAY($B261,2),"Segunda","Terça","Quarta","Quinta","Sexta","Sábado","Domingo"))</f>
        <v/>
      </c>
      <c r="AD261" s="17">
        <f>IF($B261="","",TEXT($B261,"MM/AAAA"))</f>
        <v/>
      </c>
      <c r="AE261" s="18">
        <f>IF(COUNTA($B261:$R261)=0,"",IF($X261="Cancelado",0,ROUND(N($Q261)+N($S261)+N($T261)-N($U261),2)))</f>
        <v/>
      </c>
      <c r="AF261" s="9">
        <f>IF($G261="","",IFERROR(INDEX(LINHAS_DRE_PLANO,MATCH($G261,SUBCATEGORIAS_PLANO,0)),"Não classificado"))</f>
        <v/>
      </c>
      <c r="AG261" s="17">
        <f>IF($G261="","",IFERROR(INDEX(TIPOS_FLUXO_PLANO,MATCH($G261,SUBCATEGORIAS_PLANO,0)),"Não classificado"))</f>
        <v/>
      </c>
      <c r="AH261" s="9">
        <f>IF($G261="","",IFERROR(INDEX(GRUPOS_PLANO,MATCH($G261,SUBCATEGORIAS_PLANO,0)),"Não classificado"))</f>
        <v/>
      </c>
      <c r="AI261" s="24">
        <f>IF(OR($C261="",$X261="Pago",$X261="Recebido",$X261="Cancelado"),"",$C261-TODAY())</f>
        <v/>
      </c>
      <c r="AJ261" s="24">
        <f>IF(OR($C261="",$X261="Pago",$X261="Recebido",$X261="Cancelado"),0,MAX(0,TODAY()-$C261))</f>
        <v/>
      </c>
      <c r="AK261" s="24">
        <f>IF($D261="","",$D261-$B261)</f>
        <v/>
      </c>
      <c r="AL261" s="18">
        <f>IF(OR($D261="",$B261=""),"",ROUND(N($R261)*($D261-$B261),2))</f>
        <v/>
      </c>
      <c r="AM261" s="17">
        <f>IF(AND($E261="Saída",$W261&gt;0,$C261&lt;&gt;""),$C261+ROW()/1000000,"")</f>
        <v/>
      </c>
      <c r="AN261" s="17">
        <f>IF(AND($E261="Entrada",$W261&gt;0,$C261&lt;&gt;""),$C261+ROW()/1000000,"")</f>
        <v/>
      </c>
      <c r="AO261" s="9">
        <f>IF(COUNTA($B261:$R261)=0,"",IF(AND($I261&lt;&gt;"",COUNTIF(CLIENTES_NOMES,$I261)+COUNTIF(CLIENTES_FANTASIA,$I261)+COUNTIF(FORNECEDORES_NOMES,$I261)+COUNTIF(FORNECEDORES_FANTASIA,$I261)=0),"⚠ Cliente/Fornecedor não cadastrado",IF(AND($G261&lt;&gt;"",COUNTIF(SUBCATEGORIAS_PLANO,$G261)=0),"⚠ Subcategoria fora do plano de contas",IF(OR($Q261="",N($Q261)=0),"⚠ Valor previsto não informado",IF(AND(OR($X261="Pago",$X261="Recebido"),$D261=""),"⚠ Status pago/recebido sem data",IF(AND($D261&lt;&gt;"",N($R261)=0),"⚠ Data de pagamento sem valor realizado",IF(AND(N($P261)&gt;1,N($O261)&gt;N($P261)),"⚠ Nº da parcela maior que o total",IF(AND($C261&lt;&gt;"",$B261&lt;&gt;"",$C261&lt;$B261),"⚠ Vencimento anterior à competência","OK"))))))))</f>
        <v/>
      </c>
    </row>
    <row r="262">
      <c r="A262" s="14" t="inlineStr">
        <is>
          <t>L0257</t>
        </is>
      </c>
      <c r="B262" s="36" t="n">
        <v>46184</v>
      </c>
      <c r="C262" s="36" t="n">
        <v>46205</v>
      </c>
      <c r="D262" s="36" t="n">
        <v>46206</v>
      </c>
      <c r="E262" s="14" t="inlineStr">
        <is>
          <t>Entrada</t>
        </is>
      </c>
      <c r="F262" s="29" t="inlineStr">
        <is>
          <t>Vendas</t>
        </is>
      </c>
      <c r="G262" s="29" t="inlineStr">
        <is>
          <t>Vendas de Produtos</t>
        </is>
      </c>
      <c r="H262" s="29" t="inlineStr">
        <is>
          <t>Comercial</t>
        </is>
      </c>
      <c r="I262" s="29" t="inlineStr">
        <is>
          <t>EMPÓRIO NATURAL COMÉRCIO LTDA</t>
        </is>
      </c>
      <c r="J262" s="29" t="inlineStr">
        <is>
          <t>Venda de mercadorias para revenda</t>
        </is>
      </c>
      <c r="K262" s="14" t="inlineStr">
        <is>
          <t>NF-e 2069</t>
        </is>
      </c>
      <c r="L262" s="29" t="inlineStr">
        <is>
          <t>Itaú Unibanco — C/C 45678-9</t>
        </is>
      </c>
      <c r="M262" s="14" t="inlineStr">
        <is>
          <t>Boleto</t>
        </is>
      </c>
      <c r="N262" s="29" t="n"/>
      <c r="O262" s="13" t="n">
        <v>1</v>
      </c>
      <c r="P262" s="13" t="n">
        <v>1</v>
      </c>
      <c r="Q262" s="35" t="n">
        <v>24997.79</v>
      </c>
      <c r="R262" s="35" t="n">
        <v>24997.79</v>
      </c>
      <c r="S262" s="35" t="n"/>
      <c r="T262" s="35" t="n"/>
      <c r="U262" s="35" t="n"/>
      <c r="V262" s="18">
        <f>IF(COUNTA($B262:$R262)=0,"",ROUND(N($R262)+N($S262)+N($T262)-N($U262),2))</f>
        <v/>
      </c>
      <c r="W262" s="18">
        <f>IF(COUNTA($B262:$R262)=0,"",IF(OR($X262="Pago",$X262="Recebido",$X262="Cancelado"),0,ROUND(N($Q262)+N($S262)+N($T262)-N($U262)-N($R262),2)))</f>
        <v/>
      </c>
      <c r="X262" s="14" t="inlineStr">
        <is>
          <t>Pago</t>
        </is>
      </c>
      <c r="Y262" s="17">
        <f>IF(COUNTA($B262:$R262)=0,"",IF($X262="Cancelado","Cancelado",IF(OR($X262="Pago",$X262="Recebido"),$X262,IF(OR($X262="Parcial",N($R262)&gt;0),"Parcial",IF($C262="","Sem vencimento",IF($C262&lt;TODAY(),"Vencido",IF($C262=TODAY(),"Vence hoje",IF($C262&lt;=TODAY()+7,"Vence em 7 dias",IF($C262&lt;=TODAY()+30,"Vence em 30 dias","Futuro")))))))))</f>
        <v/>
      </c>
      <c r="Z262" s="24">
        <f>IF($B262="","",MONTH($B262))</f>
        <v/>
      </c>
      <c r="AA262" s="24">
        <f>IF($B262="","",YEAR($B262))</f>
        <v/>
      </c>
      <c r="AB262" s="24">
        <f>IF($B262="","",ISOWEEKNUM($B262))</f>
        <v/>
      </c>
      <c r="AC262" s="17">
        <f>IF($B262="","",CHOOSE(WEEKDAY($B262,2),"Segunda","Terça","Quarta","Quinta","Sexta","Sábado","Domingo"))</f>
        <v/>
      </c>
      <c r="AD262" s="17">
        <f>IF($B262="","",TEXT($B262,"MM/AAAA"))</f>
        <v/>
      </c>
      <c r="AE262" s="18">
        <f>IF(COUNTA($B262:$R262)=0,"",IF($X262="Cancelado",0,ROUND(N($Q262)+N($S262)+N($T262)-N($U262),2)))</f>
        <v/>
      </c>
      <c r="AF262" s="9">
        <f>IF($G262="","",IFERROR(INDEX(LINHAS_DRE_PLANO,MATCH($G262,SUBCATEGORIAS_PLANO,0)),"Não classificado"))</f>
        <v/>
      </c>
      <c r="AG262" s="17">
        <f>IF($G262="","",IFERROR(INDEX(TIPOS_FLUXO_PLANO,MATCH($G262,SUBCATEGORIAS_PLANO,0)),"Não classificado"))</f>
        <v/>
      </c>
      <c r="AH262" s="9">
        <f>IF($G262="","",IFERROR(INDEX(GRUPOS_PLANO,MATCH($G262,SUBCATEGORIAS_PLANO,0)),"Não classificado"))</f>
        <v/>
      </c>
      <c r="AI262" s="24">
        <f>IF(OR($C262="",$X262="Pago",$X262="Recebido",$X262="Cancelado"),"",$C262-TODAY())</f>
        <v/>
      </c>
      <c r="AJ262" s="24">
        <f>IF(OR($C262="",$X262="Pago",$X262="Recebido",$X262="Cancelado"),0,MAX(0,TODAY()-$C262))</f>
        <v/>
      </c>
      <c r="AK262" s="24">
        <f>IF($D262="","",$D262-$B262)</f>
        <v/>
      </c>
      <c r="AL262" s="18">
        <f>IF(OR($D262="",$B262=""),"",ROUND(N($R262)*($D262-$B262),2))</f>
        <v/>
      </c>
      <c r="AM262" s="17">
        <f>IF(AND($E262="Saída",$W262&gt;0,$C262&lt;&gt;""),$C262+ROW()/1000000,"")</f>
        <v/>
      </c>
      <c r="AN262" s="17">
        <f>IF(AND($E262="Entrada",$W262&gt;0,$C262&lt;&gt;""),$C262+ROW()/1000000,"")</f>
        <v/>
      </c>
      <c r="AO262" s="9">
        <f>IF(COUNTA($B262:$R262)=0,"",IF(AND($I262&lt;&gt;"",COUNTIF(CLIENTES_NOMES,$I262)+COUNTIF(CLIENTES_FANTASIA,$I262)+COUNTIF(FORNECEDORES_NOMES,$I262)+COUNTIF(FORNECEDORES_FANTASIA,$I262)=0),"⚠ Cliente/Fornecedor não cadastrado",IF(AND($G262&lt;&gt;"",COUNTIF(SUBCATEGORIAS_PLANO,$G262)=0),"⚠ Subcategoria fora do plano de contas",IF(OR($Q262="",N($Q262)=0),"⚠ Valor previsto não informado",IF(AND(OR($X262="Pago",$X262="Recebido"),$D262=""),"⚠ Status pago/recebido sem data",IF(AND($D262&lt;&gt;"",N($R262)=0),"⚠ Data de pagamento sem valor realizado",IF(AND(N($P262)&gt;1,N($O262)&gt;N($P262)),"⚠ Nº da parcela maior que o total",IF(AND($C262&lt;&gt;"",$B262&lt;&gt;"",$C262&lt;$B262),"⚠ Vencimento anterior à competência","OK"))))))))</f>
        <v/>
      </c>
    </row>
    <row r="263">
      <c r="A263" s="14" t="inlineStr">
        <is>
          <t>L0258</t>
        </is>
      </c>
      <c r="B263" s="36" t="n">
        <v>46185</v>
      </c>
      <c r="C263" s="36" t="n">
        <v>46200</v>
      </c>
      <c r="D263" s="36" t="n">
        <v>46201</v>
      </c>
      <c r="E263" s="14" t="inlineStr">
        <is>
          <t>Saída</t>
        </is>
      </c>
      <c r="F263" s="29" t="inlineStr">
        <is>
          <t>Custos Variáveis</t>
        </is>
      </c>
      <c r="G263" s="29" t="inlineStr">
        <is>
          <t>Embalagens</t>
        </is>
      </c>
      <c r="H263" s="29" t="inlineStr">
        <is>
          <t>Logística</t>
        </is>
      </c>
      <c r="I263" s="29" t="inlineStr">
        <is>
          <t>EMBALAGENS PAULISTA LTDA</t>
        </is>
      </c>
      <c r="J263" s="29" t="inlineStr">
        <is>
          <t>Compra de embalagens e etiquetas</t>
        </is>
      </c>
      <c r="K263" s="14" t="inlineStr">
        <is>
          <t>DOC 7205</t>
        </is>
      </c>
      <c r="L263" s="29" t="inlineStr">
        <is>
          <t>Banco do Brasil — C/C 12345-6</t>
        </is>
      </c>
      <c r="M263" s="14" t="inlineStr">
        <is>
          <t>Boleto</t>
        </is>
      </c>
      <c r="N263" s="29" t="n"/>
      <c r="O263" s="13" t="n">
        <v>1</v>
      </c>
      <c r="P263" s="13" t="n">
        <v>1</v>
      </c>
      <c r="Q263" s="35" t="n">
        <v>2633.23</v>
      </c>
      <c r="R263" s="35" t="n">
        <v>2633.23</v>
      </c>
      <c r="S263" s="35" t="n"/>
      <c r="T263" s="35" t="n"/>
      <c r="U263" s="35" t="n"/>
      <c r="V263" s="18">
        <f>IF(COUNTA($B263:$R263)=0,"",ROUND(N($R263)+N($S263)+N($T263)-N($U263),2))</f>
        <v/>
      </c>
      <c r="W263" s="18">
        <f>IF(COUNTA($B263:$R263)=0,"",IF(OR($X263="Pago",$X263="Recebido",$X263="Cancelado"),0,ROUND(N($Q263)+N($S263)+N($T263)-N($U263)-N($R263),2)))</f>
        <v/>
      </c>
      <c r="X263" s="14" t="inlineStr">
        <is>
          <t>Pago</t>
        </is>
      </c>
      <c r="Y263" s="17">
        <f>IF(COUNTA($B263:$R263)=0,"",IF($X263="Cancelado","Cancelado",IF(OR($X263="Pago",$X263="Recebido"),$X263,IF(OR($X263="Parcial",N($R263)&gt;0),"Parcial",IF($C263="","Sem vencimento",IF($C263&lt;TODAY(),"Vencido",IF($C263=TODAY(),"Vence hoje",IF($C263&lt;=TODAY()+7,"Vence em 7 dias",IF($C263&lt;=TODAY()+30,"Vence em 30 dias","Futuro")))))))))</f>
        <v/>
      </c>
      <c r="Z263" s="24">
        <f>IF($B263="","",MONTH($B263))</f>
        <v/>
      </c>
      <c r="AA263" s="24">
        <f>IF($B263="","",YEAR($B263))</f>
        <v/>
      </c>
      <c r="AB263" s="24">
        <f>IF($B263="","",ISOWEEKNUM($B263))</f>
        <v/>
      </c>
      <c r="AC263" s="17">
        <f>IF($B263="","",CHOOSE(WEEKDAY($B263,2),"Segunda","Terça","Quarta","Quinta","Sexta","Sábado","Domingo"))</f>
        <v/>
      </c>
      <c r="AD263" s="17">
        <f>IF($B263="","",TEXT($B263,"MM/AAAA"))</f>
        <v/>
      </c>
      <c r="AE263" s="18">
        <f>IF(COUNTA($B263:$R263)=0,"",IF($X263="Cancelado",0,ROUND(N($Q263)+N($S263)+N($T263)-N($U263),2)))</f>
        <v/>
      </c>
      <c r="AF263" s="9">
        <f>IF($G263="","",IFERROR(INDEX(LINHAS_DRE_PLANO,MATCH($G263,SUBCATEGORIAS_PLANO,0)),"Não classificado"))</f>
        <v/>
      </c>
      <c r="AG263" s="17">
        <f>IF($G263="","",IFERROR(INDEX(TIPOS_FLUXO_PLANO,MATCH($G263,SUBCATEGORIAS_PLANO,0)),"Não classificado"))</f>
        <v/>
      </c>
      <c r="AH263" s="9">
        <f>IF($G263="","",IFERROR(INDEX(GRUPOS_PLANO,MATCH($G263,SUBCATEGORIAS_PLANO,0)),"Não classificado"))</f>
        <v/>
      </c>
      <c r="AI263" s="24">
        <f>IF(OR($C263="",$X263="Pago",$X263="Recebido",$X263="Cancelado"),"",$C263-TODAY())</f>
        <v/>
      </c>
      <c r="AJ263" s="24">
        <f>IF(OR($C263="",$X263="Pago",$X263="Recebido",$X263="Cancelado"),0,MAX(0,TODAY()-$C263))</f>
        <v/>
      </c>
      <c r="AK263" s="24">
        <f>IF($D263="","",$D263-$B263)</f>
        <v/>
      </c>
      <c r="AL263" s="18">
        <f>IF(OR($D263="",$B263=""),"",ROUND(N($R263)*($D263-$B263),2))</f>
        <v/>
      </c>
      <c r="AM263" s="17">
        <f>IF(AND($E263="Saída",$W263&gt;0,$C263&lt;&gt;""),$C263+ROW()/1000000,"")</f>
        <v/>
      </c>
      <c r="AN263" s="17">
        <f>IF(AND($E263="Entrada",$W263&gt;0,$C263&lt;&gt;""),$C263+ROW()/1000000,"")</f>
        <v/>
      </c>
      <c r="AO263" s="9">
        <f>IF(COUNTA($B263:$R263)=0,"",IF(AND($I263&lt;&gt;"",COUNTIF(CLIENTES_NOMES,$I263)+COUNTIF(CLIENTES_FANTASIA,$I263)+COUNTIF(FORNECEDORES_NOMES,$I263)+COUNTIF(FORNECEDORES_FANTASIA,$I263)=0),"⚠ Cliente/Fornecedor não cadastrado",IF(AND($G263&lt;&gt;"",COUNTIF(SUBCATEGORIAS_PLANO,$G263)=0),"⚠ Subcategoria fora do plano de contas",IF(OR($Q263="",N($Q263)=0),"⚠ Valor previsto não informado",IF(AND(OR($X263="Pago",$X263="Recebido"),$D263=""),"⚠ Status pago/recebido sem data",IF(AND($D263&lt;&gt;"",N($R263)=0),"⚠ Data de pagamento sem valor realizado",IF(AND(N($P263)&gt;1,N($O263)&gt;N($P263)),"⚠ Nº da parcela maior que o total",IF(AND($C263&lt;&gt;"",$B263&lt;&gt;"",$C263&lt;$B263),"⚠ Vencimento anterior à competência","OK"))))))))</f>
        <v/>
      </c>
    </row>
    <row r="264">
      <c r="A264" s="14" t="inlineStr">
        <is>
          <t>L0259</t>
        </is>
      </c>
      <c r="B264" s="36" t="n">
        <v>46185</v>
      </c>
      <c r="C264" s="36" t="n">
        <v>46195</v>
      </c>
      <c r="D264" s="36" t="n">
        <v>46197</v>
      </c>
      <c r="E264" s="14" t="inlineStr">
        <is>
          <t>Saída</t>
        </is>
      </c>
      <c r="F264" s="29" t="inlineStr">
        <is>
          <t>Despesas Administrativas</t>
        </is>
      </c>
      <c r="G264" s="29" t="inlineStr">
        <is>
          <t>Energia Elétrica</t>
        </is>
      </c>
      <c r="H264" s="29" t="inlineStr">
        <is>
          <t>Administrativo</t>
        </is>
      </c>
      <c r="I264" s="29" t="inlineStr">
        <is>
          <t>ENEL DISTRIBUIÇÃO SÃO PAULO</t>
        </is>
      </c>
      <c r="J264" s="29" t="inlineStr">
        <is>
          <t>Energia elétrica — fatura 06/2026</t>
        </is>
      </c>
      <c r="K264" s="14" t="inlineStr">
        <is>
          <t>DOC 8347</t>
        </is>
      </c>
      <c r="L264" s="29" t="inlineStr">
        <is>
          <t>Itaú Unibanco — C/C 45678-9</t>
        </is>
      </c>
      <c r="M264" s="14" t="inlineStr">
        <is>
          <t>Débito automático</t>
        </is>
      </c>
      <c r="N264" s="29" t="n"/>
      <c r="O264" s="13" t="n">
        <v>1</v>
      </c>
      <c r="P264" s="13" t="n">
        <v>1</v>
      </c>
      <c r="Q264" s="35" t="n">
        <v>2515.75</v>
      </c>
      <c r="R264" s="35" t="n">
        <v>2515.75</v>
      </c>
      <c r="S264" s="35" t="n"/>
      <c r="T264" s="35" t="n"/>
      <c r="U264" s="35" t="n"/>
      <c r="V264" s="18">
        <f>IF(COUNTA($B264:$R264)=0,"",ROUND(N($R264)+N($S264)+N($T264)-N($U264),2))</f>
        <v/>
      </c>
      <c r="W264" s="18">
        <f>IF(COUNTA($B264:$R264)=0,"",IF(OR($X264="Pago",$X264="Recebido",$X264="Cancelado"),0,ROUND(N($Q264)+N($S264)+N($T264)-N($U264)-N($R264),2)))</f>
        <v/>
      </c>
      <c r="X264" s="14" t="inlineStr">
        <is>
          <t>Pago</t>
        </is>
      </c>
      <c r="Y264" s="17">
        <f>IF(COUNTA($B264:$R264)=0,"",IF($X264="Cancelado","Cancelado",IF(OR($X264="Pago",$X264="Recebido"),$X264,IF(OR($X264="Parcial",N($R264)&gt;0),"Parcial",IF($C264="","Sem vencimento",IF($C264&lt;TODAY(),"Vencido",IF($C264=TODAY(),"Vence hoje",IF($C264&lt;=TODAY()+7,"Vence em 7 dias",IF($C264&lt;=TODAY()+30,"Vence em 30 dias","Futuro")))))))))</f>
        <v/>
      </c>
      <c r="Z264" s="24">
        <f>IF($B264="","",MONTH($B264))</f>
        <v/>
      </c>
      <c r="AA264" s="24">
        <f>IF($B264="","",YEAR($B264))</f>
        <v/>
      </c>
      <c r="AB264" s="24">
        <f>IF($B264="","",ISOWEEKNUM($B264))</f>
        <v/>
      </c>
      <c r="AC264" s="17">
        <f>IF($B264="","",CHOOSE(WEEKDAY($B264,2),"Segunda","Terça","Quarta","Quinta","Sexta","Sábado","Domingo"))</f>
        <v/>
      </c>
      <c r="AD264" s="17">
        <f>IF($B264="","",TEXT($B264,"MM/AAAA"))</f>
        <v/>
      </c>
      <c r="AE264" s="18">
        <f>IF(COUNTA($B264:$R264)=0,"",IF($X264="Cancelado",0,ROUND(N($Q264)+N($S264)+N($T264)-N($U264),2)))</f>
        <v/>
      </c>
      <c r="AF264" s="9">
        <f>IF($G264="","",IFERROR(INDEX(LINHAS_DRE_PLANO,MATCH($G264,SUBCATEGORIAS_PLANO,0)),"Não classificado"))</f>
        <v/>
      </c>
      <c r="AG264" s="17">
        <f>IF($G264="","",IFERROR(INDEX(TIPOS_FLUXO_PLANO,MATCH($G264,SUBCATEGORIAS_PLANO,0)),"Não classificado"))</f>
        <v/>
      </c>
      <c r="AH264" s="9">
        <f>IF($G264="","",IFERROR(INDEX(GRUPOS_PLANO,MATCH($G264,SUBCATEGORIAS_PLANO,0)),"Não classificado"))</f>
        <v/>
      </c>
      <c r="AI264" s="24">
        <f>IF(OR($C264="",$X264="Pago",$X264="Recebido",$X264="Cancelado"),"",$C264-TODAY())</f>
        <v/>
      </c>
      <c r="AJ264" s="24">
        <f>IF(OR($C264="",$X264="Pago",$X264="Recebido",$X264="Cancelado"),0,MAX(0,TODAY()-$C264))</f>
        <v/>
      </c>
      <c r="AK264" s="24">
        <f>IF($D264="","",$D264-$B264)</f>
        <v/>
      </c>
      <c r="AL264" s="18">
        <f>IF(OR($D264="",$B264=""),"",ROUND(N($R264)*($D264-$B264),2))</f>
        <v/>
      </c>
      <c r="AM264" s="17">
        <f>IF(AND($E264="Saída",$W264&gt;0,$C264&lt;&gt;""),$C264+ROW()/1000000,"")</f>
        <v/>
      </c>
      <c r="AN264" s="17">
        <f>IF(AND($E264="Entrada",$W264&gt;0,$C264&lt;&gt;""),$C264+ROW()/1000000,"")</f>
        <v/>
      </c>
      <c r="AO264" s="9">
        <f>IF(COUNTA($B264:$R264)=0,"",IF(AND($I264&lt;&gt;"",COUNTIF(CLIENTES_NOMES,$I264)+COUNTIF(CLIENTES_FANTASIA,$I264)+COUNTIF(FORNECEDORES_NOMES,$I264)+COUNTIF(FORNECEDORES_FANTASIA,$I264)=0),"⚠ Cliente/Fornecedor não cadastrado",IF(AND($G264&lt;&gt;"",COUNTIF(SUBCATEGORIAS_PLANO,$G264)=0),"⚠ Subcategoria fora do plano de contas",IF(OR($Q264="",N($Q264)=0),"⚠ Valor previsto não informado",IF(AND(OR($X264="Pago",$X264="Recebido"),$D264=""),"⚠ Status pago/recebido sem data",IF(AND($D264&lt;&gt;"",N($R264)=0),"⚠ Data de pagamento sem valor realizado",IF(AND(N($P264)&gt;1,N($O264)&gt;N($P264)),"⚠ Nº da parcela maior que o total",IF(AND($C264&lt;&gt;"",$B264&lt;&gt;"",$C264&lt;$B264),"⚠ Vencimento anterior à competência","OK"))))))))</f>
        <v/>
      </c>
    </row>
    <row r="265">
      <c r="A265" s="14" t="inlineStr">
        <is>
          <t>L0260</t>
        </is>
      </c>
      <c r="B265" s="36" t="n">
        <v>46188</v>
      </c>
      <c r="C265" s="36" t="n">
        <v>46200</v>
      </c>
      <c r="D265" s="36" t="n">
        <v>46200</v>
      </c>
      <c r="E265" s="14" t="inlineStr">
        <is>
          <t>Saída</t>
        </is>
      </c>
      <c r="F265" s="29" t="inlineStr">
        <is>
          <t>Despesas Administrativas</t>
        </is>
      </c>
      <c r="G265" s="29" t="inlineStr">
        <is>
          <t>Água e Saneamento</t>
        </is>
      </c>
      <c r="H265" s="29" t="inlineStr">
        <is>
          <t>Administrativo</t>
        </is>
      </c>
      <c r="I265" s="29" t="inlineStr">
        <is>
          <t>SABESP — SANEAMENTO BÁSICO DO ESTADO DE SÃO PAULO</t>
        </is>
      </c>
      <c r="J265" s="29" t="inlineStr">
        <is>
          <t>Água e saneamento — fatura 06/2026</t>
        </is>
      </c>
      <c r="K265" s="14" t="inlineStr">
        <is>
          <t>DOC 8348</t>
        </is>
      </c>
      <c r="L265" s="29" t="inlineStr">
        <is>
          <t>Itaú Unibanco — C/C 45678-9</t>
        </is>
      </c>
      <c r="M265" s="14" t="inlineStr">
        <is>
          <t>Débito automático</t>
        </is>
      </c>
      <c r="N265" s="29" t="n"/>
      <c r="O265" s="13" t="n">
        <v>1</v>
      </c>
      <c r="P265" s="13" t="n">
        <v>1</v>
      </c>
      <c r="Q265" s="35" t="n">
        <v>444.79</v>
      </c>
      <c r="R265" s="35" t="n">
        <v>444.79</v>
      </c>
      <c r="S265" s="35" t="n"/>
      <c r="T265" s="35" t="n"/>
      <c r="U265" s="35" t="n"/>
      <c r="V265" s="18">
        <f>IF(COUNTA($B265:$R265)=0,"",ROUND(N($R265)+N($S265)+N($T265)-N($U265),2))</f>
        <v/>
      </c>
      <c r="W265" s="18">
        <f>IF(COUNTA($B265:$R265)=0,"",IF(OR($X265="Pago",$X265="Recebido",$X265="Cancelado"),0,ROUND(N($Q265)+N($S265)+N($T265)-N($U265)-N($R265),2)))</f>
        <v/>
      </c>
      <c r="X265" s="14" t="inlineStr">
        <is>
          <t>Pago</t>
        </is>
      </c>
      <c r="Y265" s="17">
        <f>IF(COUNTA($B265:$R265)=0,"",IF($X265="Cancelado","Cancelado",IF(OR($X265="Pago",$X265="Recebido"),$X265,IF(OR($X265="Parcial",N($R265)&gt;0),"Parcial",IF($C265="","Sem vencimento",IF($C265&lt;TODAY(),"Vencido",IF($C265=TODAY(),"Vence hoje",IF($C265&lt;=TODAY()+7,"Vence em 7 dias",IF($C265&lt;=TODAY()+30,"Vence em 30 dias","Futuro")))))))))</f>
        <v/>
      </c>
      <c r="Z265" s="24">
        <f>IF($B265="","",MONTH($B265))</f>
        <v/>
      </c>
      <c r="AA265" s="24">
        <f>IF($B265="","",YEAR($B265))</f>
        <v/>
      </c>
      <c r="AB265" s="24">
        <f>IF($B265="","",ISOWEEKNUM($B265))</f>
        <v/>
      </c>
      <c r="AC265" s="17">
        <f>IF($B265="","",CHOOSE(WEEKDAY($B265,2),"Segunda","Terça","Quarta","Quinta","Sexta","Sábado","Domingo"))</f>
        <v/>
      </c>
      <c r="AD265" s="17">
        <f>IF($B265="","",TEXT($B265,"MM/AAAA"))</f>
        <v/>
      </c>
      <c r="AE265" s="18">
        <f>IF(COUNTA($B265:$R265)=0,"",IF($X265="Cancelado",0,ROUND(N($Q265)+N($S265)+N($T265)-N($U265),2)))</f>
        <v/>
      </c>
      <c r="AF265" s="9">
        <f>IF($G265="","",IFERROR(INDEX(LINHAS_DRE_PLANO,MATCH($G265,SUBCATEGORIAS_PLANO,0)),"Não classificado"))</f>
        <v/>
      </c>
      <c r="AG265" s="17">
        <f>IF($G265="","",IFERROR(INDEX(TIPOS_FLUXO_PLANO,MATCH($G265,SUBCATEGORIAS_PLANO,0)),"Não classificado"))</f>
        <v/>
      </c>
      <c r="AH265" s="9">
        <f>IF($G265="","",IFERROR(INDEX(GRUPOS_PLANO,MATCH($G265,SUBCATEGORIAS_PLANO,0)),"Não classificado"))</f>
        <v/>
      </c>
      <c r="AI265" s="24">
        <f>IF(OR($C265="",$X265="Pago",$X265="Recebido",$X265="Cancelado"),"",$C265-TODAY())</f>
        <v/>
      </c>
      <c r="AJ265" s="24">
        <f>IF(OR($C265="",$X265="Pago",$X265="Recebido",$X265="Cancelado"),0,MAX(0,TODAY()-$C265))</f>
        <v/>
      </c>
      <c r="AK265" s="24">
        <f>IF($D265="","",$D265-$B265)</f>
        <v/>
      </c>
      <c r="AL265" s="18">
        <f>IF(OR($D265="",$B265=""),"",ROUND(N($R265)*($D265-$B265),2))</f>
        <v/>
      </c>
      <c r="AM265" s="17">
        <f>IF(AND($E265="Saída",$W265&gt;0,$C265&lt;&gt;""),$C265+ROW()/1000000,"")</f>
        <v/>
      </c>
      <c r="AN265" s="17">
        <f>IF(AND($E265="Entrada",$W265&gt;0,$C265&lt;&gt;""),$C265+ROW()/1000000,"")</f>
        <v/>
      </c>
      <c r="AO265" s="9">
        <f>IF(COUNTA($B265:$R265)=0,"",IF(AND($I265&lt;&gt;"",COUNTIF(CLIENTES_NOMES,$I265)+COUNTIF(CLIENTES_FANTASIA,$I265)+COUNTIF(FORNECEDORES_NOMES,$I265)+COUNTIF(FORNECEDORES_FANTASIA,$I265)=0),"⚠ Cliente/Fornecedor não cadastrado",IF(AND($G265&lt;&gt;"",COUNTIF(SUBCATEGORIAS_PLANO,$G265)=0),"⚠ Subcategoria fora do plano de contas",IF(OR($Q265="",N($Q265)=0),"⚠ Valor previsto não informado",IF(AND(OR($X265="Pago",$X265="Recebido"),$D265=""),"⚠ Status pago/recebido sem data",IF(AND($D265&lt;&gt;"",N($R265)=0),"⚠ Data de pagamento sem valor realizado",IF(AND(N($P265)&gt;1,N($O265)&gt;N($P265)),"⚠ Nº da parcela maior que o total",IF(AND($C265&lt;&gt;"",$B265&lt;&gt;"",$C265&lt;$B265),"⚠ Vencimento anterior à competência","OK"))))))))</f>
        <v/>
      </c>
    </row>
    <row r="266">
      <c r="A266" s="14" t="inlineStr">
        <is>
          <t>L0261</t>
        </is>
      </c>
      <c r="B266" s="36" t="n">
        <v>46188</v>
      </c>
      <c r="C266" s="36" t="n">
        <v>46198</v>
      </c>
      <c r="D266" s="36" t="n">
        <v>46199</v>
      </c>
      <c r="E266" s="14" t="inlineStr">
        <is>
          <t>Saída</t>
        </is>
      </c>
      <c r="F266" s="29" t="inlineStr">
        <is>
          <t>Despesas com Pessoal</t>
        </is>
      </c>
      <c r="G266" s="29" t="inlineStr">
        <is>
          <t>Serviços Terceirizados (PJ)</t>
        </is>
      </c>
      <c r="H266" s="29" t="inlineStr">
        <is>
          <t>Produção</t>
        </is>
      </c>
      <c r="I266" s="29" t="inlineStr">
        <is>
          <t>APOIO OPERACIONAL SERVIÇOS LTDA</t>
        </is>
      </c>
      <c r="J266" s="29" t="inlineStr">
        <is>
          <t>Equipe terceirizada de separação e expedição</t>
        </is>
      </c>
      <c r="K266" s="14" t="inlineStr">
        <is>
          <t>DOC 8360</t>
        </is>
      </c>
      <c r="L266" s="29" t="inlineStr">
        <is>
          <t>Banco do Brasil — C/C 12345-6</t>
        </is>
      </c>
      <c r="M266" s="14" t="inlineStr">
        <is>
          <t>PIX</t>
        </is>
      </c>
      <c r="N266" s="29" t="n"/>
      <c r="O266" s="13" t="n">
        <v>1</v>
      </c>
      <c r="P266" s="13" t="n">
        <v>1</v>
      </c>
      <c r="Q266" s="35" t="n">
        <v>1800</v>
      </c>
      <c r="R266" s="35" t="n">
        <v>1800</v>
      </c>
      <c r="S266" s="35" t="n"/>
      <c r="T266" s="35" t="n"/>
      <c r="U266" s="35" t="n"/>
      <c r="V266" s="18">
        <f>IF(COUNTA($B266:$R266)=0,"",ROUND(N($R266)+N($S266)+N($T266)-N($U266),2))</f>
        <v/>
      </c>
      <c r="W266" s="18">
        <f>IF(COUNTA($B266:$R266)=0,"",IF(OR($X266="Pago",$X266="Recebido",$X266="Cancelado"),0,ROUND(N($Q266)+N($S266)+N($T266)-N($U266)-N($R266),2)))</f>
        <v/>
      </c>
      <c r="X266" s="14" t="inlineStr">
        <is>
          <t>Pago</t>
        </is>
      </c>
      <c r="Y266" s="17">
        <f>IF(COUNTA($B266:$R266)=0,"",IF($X266="Cancelado","Cancelado",IF(OR($X266="Pago",$X266="Recebido"),$X266,IF(OR($X266="Parcial",N($R266)&gt;0),"Parcial",IF($C266="","Sem vencimento",IF($C266&lt;TODAY(),"Vencido",IF($C266=TODAY(),"Vence hoje",IF($C266&lt;=TODAY()+7,"Vence em 7 dias",IF($C266&lt;=TODAY()+30,"Vence em 30 dias","Futuro")))))))))</f>
        <v/>
      </c>
      <c r="Z266" s="24">
        <f>IF($B266="","",MONTH($B266))</f>
        <v/>
      </c>
      <c r="AA266" s="24">
        <f>IF($B266="","",YEAR($B266))</f>
        <v/>
      </c>
      <c r="AB266" s="24">
        <f>IF($B266="","",ISOWEEKNUM($B266))</f>
        <v/>
      </c>
      <c r="AC266" s="17">
        <f>IF($B266="","",CHOOSE(WEEKDAY($B266,2),"Segunda","Terça","Quarta","Quinta","Sexta","Sábado","Domingo"))</f>
        <v/>
      </c>
      <c r="AD266" s="17">
        <f>IF($B266="","",TEXT($B266,"MM/AAAA"))</f>
        <v/>
      </c>
      <c r="AE266" s="18">
        <f>IF(COUNTA($B266:$R266)=0,"",IF($X266="Cancelado",0,ROUND(N($Q266)+N($S266)+N($T266)-N($U266),2)))</f>
        <v/>
      </c>
      <c r="AF266" s="9">
        <f>IF($G266="","",IFERROR(INDEX(LINHAS_DRE_PLANO,MATCH($G266,SUBCATEGORIAS_PLANO,0)),"Não classificado"))</f>
        <v/>
      </c>
      <c r="AG266" s="17">
        <f>IF($G266="","",IFERROR(INDEX(TIPOS_FLUXO_PLANO,MATCH($G266,SUBCATEGORIAS_PLANO,0)),"Não classificado"))</f>
        <v/>
      </c>
      <c r="AH266" s="9">
        <f>IF($G266="","",IFERROR(INDEX(GRUPOS_PLANO,MATCH($G266,SUBCATEGORIAS_PLANO,0)),"Não classificado"))</f>
        <v/>
      </c>
      <c r="AI266" s="24">
        <f>IF(OR($C266="",$X266="Pago",$X266="Recebido",$X266="Cancelado"),"",$C266-TODAY())</f>
        <v/>
      </c>
      <c r="AJ266" s="24">
        <f>IF(OR($C266="",$X266="Pago",$X266="Recebido",$X266="Cancelado"),0,MAX(0,TODAY()-$C266))</f>
        <v/>
      </c>
      <c r="AK266" s="24">
        <f>IF($D266="","",$D266-$B266)</f>
        <v/>
      </c>
      <c r="AL266" s="18">
        <f>IF(OR($D266="",$B266=""),"",ROUND(N($R266)*($D266-$B266),2))</f>
        <v/>
      </c>
      <c r="AM266" s="17">
        <f>IF(AND($E266="Saída",$W266&gt;0,$C266&lt;&gt;""),$C266+ROW()/1000000,"")</f>
        <v/>
      </c>
      <c r="AN266" s="17">
        <f>IF(AND($E266="Entrada",$W266&gt;0,$C266&lt;&gt;""),$C266+ROW()/1000000,"")</f>
        <v/>
      </c>
      <c r="AO266" s="9">
        <f>IF(COUNTA($B266:$R266)=0,"",IF(AND($I266&lt;&gt;"",COUNTIF(CLIENTES_NOMES,$I266)+COUNTIF(CLIENTES_FANTASIA,$I266)+COUNTIF(FORNECEDORES_NOMES,$I266)+COUNTIF(FORNECEDORES_FANTASIA,$I266)=0),"⚠ Cliente/Fornecedor não cadastrado",IF(AND($G266&lt;&gt;"",COUNTIF(SUBCATEGORIAS_PLANO,$G266)=0),"⚠ Subcategoria fora do plano de contas",IF(OR($Q266="",N($Q266)=0),"⚠ Valor previsto não informado",IF(AND(OR($X266="Pago",$X266="Recebido"),$D266=""),"⚠ Status pago/recebido sem data",IF(AND($D266&lt;&gt;"",N($R266)=0),"⚠ Data de pagamento sem valor realizado",IF(AND(N($P266)&gt;1,N($O266)&gt;N($P266)),"⚠ Nº da parcela maior que o total",IF(AND($C266&lt;&gt;"",$B266&lt;&gt;"",$C266&lt;$B266),"⚠ Vencimento anterior à competência","OK"))))))))</f>
        <v/>
      </c>
    </row>
    <row r="267">
      <c r="A267" s="14" t="inlineStr">
        <is>
          <t>L0262</t>
        </is>
      </c>
      <c r="B267" s="36" t="n">
        <v>46188</v>
      </c>
      <c r="C267" s="36" t="n">
        <v>46188</v>
      </c>
      <c r="D267" s="36" t="n">
        <v>46188</v>
      </c>
      <c r="E267" s="14" t="inlineStr">
        <is>
          <t>Saída</t>
        </is>
      </c>
      <c r="F267" s="29" t="inlineStr">
        <is>
          <t>Empréstimos e Financiamentos</t>
        </is>
      </c>
      <c r="G267" s="29" t="inlineStr">
        <is>
          <t>Pagamento de Principal de Empréstimos</t>
        </is>
      </c>
      <c r="H267" s="29" t="inlineStr">
        <is>
          <t>Financeiro</t>
        </is>
      </c>
      <c r="I267" s="29" t="inlineStr">
        <is>
          <t>BNDES / Banco do Brasil</t>
        </is>
      </c>
      <c r="J267" s="29" t="inlineStr">
        <is>
          <t>Financiamento de Máquinas — parcela 4/36 (principal)</t>
        </is>
      </c>
      <c r="K267" s="14" t="inlineStr">
        <is>
          <t>FIN-2026-1198-P04</t>
        </is>
      </c>
      <c r="L267" s="29" t="inlineStr">
        <is>
          <t>Banco do Brasil — C/C 12345-6</t>
        </is>
      </c>
      <c r="M267" s="14" t="inlineStr">
        <is>
          <t>Débito automático</t>
        </is>
      </c>
      <c r="N267" s="29" t="n"/>
      <c r="O267" s="13" t="n">
        <v>4</v>
      </c>
      <c r="P267" s="13" t="n">
        <v>36</v>
      </c>
      <c r="Q267" s="35" t="n">
        <v>3333.33</v>
      </c>
      <c r="R267" s="35" t="n">
        <v>3333.33</v>
      </c>
      <c r="S267" s="35" t="n"/>
      <c r="T267" s="35" t="n"/>
      <c r="U267" s="35" t="n"/>
      <c r="V267" s="18">
        <f>IF(COUNTA($B267:$R267)=0,"",ROUND(N($R267)+N($S267)+N($T267)-N($U267),2))</f>
        <v/>
      </c>
      <c r="W267" s="18">
        <f>IF(COUNTA($B267:$R267)=0,"",IF(OR($X267="Pago",$X267="Recebido",$X267="Cancelado"),0,ROUND(N($Q267)+N($S267)+N($T267)-N($U267)-N($R267),2)))</f>
        <v/>
      </c>
      <c r="X267" s="14" t="inlineStr">
        <is>
          <t>Pago</t>
        </is>
      </c>
      <c r="Y267" s="17">
        <f>IF(COUNTA($B267:$R267)=0,"",IF($X267="Cancelado","Cancelado",IF(OR($X267="Pago",$X267="Recebido"),$X267,IF(OR($X267="Parcial",N($R267)&gt;0),"Parcial",IF($C267="","Sem vencimento",IF($C267&lt;TODAY(),"Vencido",IF($C267=TODAY(),"Vence hoje",IF($C267&lt;=TODAY()+7,"Vence em 7 dias",IF($C267&lt;=TODAY()+30,"Vence em 30 dias","Futuro")))))))))</f>
        <v/>
      </c>
      <c r="Z267" s="24">
        <f>IF($B267="","",MONTH($B267))</f>
        <v/>
      </c>
      <c r="AA267" s="24">
        <f>IF($B267="","",YEAR($B267))</f>
        <v/>
      </c>
      <c r="AB267" s="24">
        <f>IF($B267="","",ISOWEEKNUM($B267))</f>
        <v/>
      </c>
      <c r="AC267" s="17">
        <f>IF($B267="","",CHOOSE(WEEKDAY($B267,2),"Segunda","Terça","Quarta","Quinta","Sexta","Sábado","Domingo"))</f>
        <v/>
      </c>
      <c r="AD267" s="17">
        <f>IF($B267="","",TEXT($B267,"MM/AAAA"))</f>
        <v/>
      </c>
      <c r="AE267" s="18">
        <f>IF(COUNTA($B267:$R267)=0,"",IF($X267="Cancelado",0,ROUND(N($Q267)+N($S267)+N($T267)-N($U267),2)))</f>
        <v/>
      </c>
      <c r="AF267" s="9">
        <f>IF($G267="","",IFERROR(INDEX(LINHAS_DRE_PLANO,MATCH($G267,SUBCATEGORIAS_PLANO,0)),"Não classificado"))</f>
        <v/>
      </c>
      <c r="AG267" s="17">
        <f>IF($G267="","",IFERROR(INDEX(TIPOS_FLUXO_PLANO,MATCH($G267,SUBCATEGORIAS_PLANO,0)),"Não classificado"))</f>
        <v/>
      </c>
      <c r="AH267" s="9">
        <f>IF($G267="","",IFERROR(INDEX(GRUPOS_PLANO,MATCH($G267,SUBCATEGORIAS_PLANO,0)),"Não classificado"))</f>
        <v/>
      </c>
      <c r="AI267" s="24">
        <f>IF(OR($C267="",$X267="Pago",$X267="Recebido",$X267="Cancelado"),"",$C267-TODAY())</f>
        <v/>
      </c>
      <c r="AJ267" s="24">
        <f>IF(OR($C267="",$X267="Pago",$X267="Recebido",$X267="Cancelado"),0,MAX(0,TODAY()-$C267))</f>
        <v/>
      </c>
      <c r="AK267" s="24">
        <f>IF($D267="","",$D267-$B267)</f>
        <v/>
      </c>
      <c r="AL267" s="18">
        <f>IF(OR($D267="",$B267=""),"",ROUND(N($R267)*($D267-$B267),2))</f>
        <v/>
      </c>
      <c r="AM267" s="17">
        <f>IF(AND($E267="Saída",$W267&gt;0,$C267&lt;&gt;""),$C267+ROW()/1000000,"")</f>
        <v/>
      </c>
      <c r="AN267" s="17">
        <f>IF(AND($E267="Entrada",$W267&gt;0,$C267&lt;&gt;""),$C267+ROW()/1000000,"")</f>
        <v/>
      </c>
      <c r="AO267" s="9">
        <f>IF(COUNTA($B267:$R267)=0,"",IF(AND($I267&lt;&gt;"",COUNTIF(CLIENTES_NOMES,$I267)+COUNTIF(CLIENTES_FANTASIA,$I267)+COUNTIF(FORNECEDORES_NOMES,$I267)+COUNTIF(FORNECEDORES_FANTASIA,$I267)=0),"⚠ Cliente/Fornecedor não cadastrado",IF(AND($G267&lt;&gt;"",COUNTIF(SUBCATEGORIAS_PLANO,$G267)=0),"⚠ Subcategoria fora do plano de contas",IF(OR($Q267="",N($Q267)=0),"⚠ Valor previsto não informado",IF(AND(OR($X267="Pago",$X267="Recebido"),$D267=""),"⚠ Status pago/recebido sem data",IF(AND($D267&lt;&gt;"",N($R267)=0),"⚠ Data de pagamento sem valor realizado",IF(AND(N($P267)&gt;1,N($O267)&gt;N($P267)),"⚠ Nº da parcela maior que o total",IF(AND($C267&lt;&gt;"",$B267&lt;&gt;"",$C267&lt;$B267),"⚠ Vencimento anterior à competência","OK"))))))))</f>
        <v/>
      </c>
    </row>
    <row r="268">
      <c r="A268" s="14" t="inlineStr">
        <is>
          <t>L0263</t>
        </is>
      </c>
      <c r="B268" s="36" t="n">
        <v>46188</v>
      </c>
      <c r="C268" s="36" t="n">
        <v>46188</v>
      </c>
      <c r="D268" s="36" t="n">
        <v>46188</v>
      </c>
      <c r="E268" s="14" t="inlineStr">
        <is>
          <t>Saída</t>
        </is>
      </c>
      <c r="F268" s="29" t="inlineStr">
        <is>
          <t>Despesas Financeiras</t>
        </is>
      </c>
      <c r="G268" s="29" t="inlineStr">
        <is>
          <t>Juros de Empréstimos e Financiamentos</t>
        </is>
      </c>
      <c r="H268" s="29" t="inlineStr">
        <is>
          <t>Financeiro</t>
        </is>
      </c>
      <c r="I268" s="29" t="inlineStr">
        <is>
          <t>BNDES / Banco do Brasil</t>
        </is>
      </c>
      <c r="J268" s="29" t="inlineStr">
        <is>
          <t>Financiamento de Máquinas — parcela 4/36 (juros)</t>
        </is>
      </c>
      <c r="K268" s="14" t="inlineStr">
        <is>
          <t>FIN-2026-1198-P04</t>
        </is>
      </c>
      <c r="L268" s="29" t="inlineStr">
        <is>
          <t>Banco do Brasil — C/C 12345-6</t>
        </is>
      </c>
      <c r="M268" s="14" t="inlineStr">
        <is>
          <t>Débito automático</t>
        </is>
      </c>
      <c r="N268" s="29" t="n"/>
      <c r="O268" s="13" t="n">
        <v>4</v>
      </c>
      <c r="P268" s="13" t="n">
        <v>36</v>
      </c>
      <c r="Q268" s="35" t="n">
        <v>1210</v>
      </c>
      <c r="R268" s="35" t="n">
        <v>1210</v>
      </c>
      <c r="S268" s="35" t="n"/>
      <c r="T268" s="35" t="n"/>
      <c r="U268" s="35" t="n"/>
      <c r="V268" s="18">
        <f>IF(COUNTA($B268:$R268)=0,"",ROUND(N($R268)+N($S268)+N($T268)-N($U268),2))</f>
        <v/>
      </c>
      <c r="W268" s="18">
        <f>IF(COUNTA($B268:$R268)=0,"",IF(OR($X268="Pago",$X268="Recebido",$X268="Cancelado"),0,ROUND(N($Q268)+N($S268)+N($T268)-N($U268)-N($R268),2)))</f>
        <v/>
      </c>
      <c r="X268" s="14" t="inlineStr">
        <is>
          <t>Pago</t>
        </is>
      </c>
      <c r="Y268" s="17">
        <f>IF(COUNTA($B268:$R268)=0,"",IF($X268="Cancelado","Cancelado",IF(OR($X268="Pago",$X268="Recebido"),$X268,IF(OR($X268="Parcial",N($R268)&gt;0),"Parcial",IF($C268="","Sem vencimento",IF($C268&lt;TODAY(),"Vencido",IF($C268=TODAY(),"Vence hoje",IF($C268&lt;=TODAY()+7,"Vence em 7 dias",IF($C268&lt;=TODAY()+30,"Vence em 30 dias","Futuro")))))))))</f>
        <v/>
      </c>
      <c r="Z268" s="24">
        <f>IF($B268="","",MONTH($B268))</f>
        <v/>
      </c>
      <c r="AA268" s="24">
        <f>IF($B268="","",YEAR($B268))</f>
        <v/>
      </c>
      <c r="AB268" s="24">
        <f>IF($B268="","",ISOWEEKNUM($B268))</f>
        <v/>
      </c>
      <c r="AC268" s="17">
        <f>IF($B268="","",CHOOSE(WEEKDAY($B268,2),"Segunda","Terça","Quarta","Quinta","Sexta","Sábado","Domingo"))</f>
        <v/>
      </c>
      <c r="AD268" s="17">
        <f>IF($B268="","",TEXT($B268,"MM/AAAA"))</f>
        <v/>
      </c>
      <c r="AE268" s="18">
        <f>IF(COUNTA($B268:$R268)=0,"",IF($X268="Cancelado",0,ROUND(N($Q268)+N($S268)+N($T268)-N($U268),2)))</f>
        <v/>
      </c>
      <c r="AF268" s="9">
        <f>IF($G268="","",IFERROR(INDEX(LINHAS_DRE_PLANO,MATCH($G268,SUBCATEGORIAS_PLANO,0)),"Não classificado"))</f>
        <v/>
      </c>
      <c r="AG268" s="17">
        <f>IF($G268="","",IFERROR(INDEX(TIPOS_FLUXO_PLANO,MATCH($G268,SUBCATEGORIAS_PLANO,0)),"Não classificado"))</f>
        <v/>
      </c>
      <c r="AH268" s="9">
        <f>IF($G268="","",IFERROR(INDEX(GRUPOS_PLANO,MATCH($G268,SUBCATEGORIAS_PLANO,0)),"Não classificado"))</f>
        <v/>
      </c>
      <c r="AI268" s="24">
        <f>IF(OR($C268="",$X268="Pago",$X268="Recebido",$X268="Cancelado"),"",$C268-TODAY())</f>
        <v/>
      </c>
      <c r="AJ268" s="24">
        <f>IF(OR($C268="",$X268="Pago",$X268="Recebido",$X268="Cancelado"),0,MAX(0,TODAY()-$C268))</f>
        <v/>
      </c>
      <c r="AK268" s="24">
        <f>IF($D268="","",$D268-$B268)</f>
        <v/>
      </c>
      <c r="AL268" s="18">
        <f>IF(OR($D268="",$B268=""),"",ROUND(N($R268)*($D268-$B268),2))</f>
        <v/>
      </c>
      <c r="AM268" s="17">
        <f>IF(AND($E268="Saída",$W268&gt;0,$C268&lt;&gt;""),$C268+ROW()/1000000,"")</f>
        <v/>
      </c>
      <c r="AN268" s="17">
        <f>IF(AND($E268="Entrada",$W268&gt;0,$C268&lt;&gt;""),$C268+ROW()/1000000,"")</f>
        <v/>
      </c>
      <c r="AO268" s="9">
        <f>IF(COUNTA($B268:$R268)=0,"",IF(AND($I268&lt;&gt;"",COUNTIF(CLIENTES_NOMES,$I268)+COUNTIF(CLIENTES_FANTASIA,$I268)+COUNTIF(FORNECEDORES_NOMES,$I268)+COUNTIF(FORNECEDORES_FANTASIA,$I268)=0),"⚠ Cliente/Fornecedor não cadastrado",IF(AND($G268&lt;&gt;"",COUNTIF(SUBCATEGORIAS_PLANO,$G268)=0),"⚠ Subcategoria fora do plano de contas",IF(OR($Q268="",N($Q268)=0),"⚠ Valor previsto não informado",IF(AND(OR($X268="Pago",$X268="Recebido"),$D268=""),"⚠ Status pago/recebido sem data",IF(AND($D268&lt;&gt;"",N($R268)=0),"⚠ Data de pagamento sem valor realizado",IF(AND(N($P268)&gt;1,N($O268)&gt;N($P268)),"⚠ Nº da parcela maior que o total",IF(AND($C268&lt;&gt;"",$B268&lt;&gt;"",$C268&lt;$B268),"⚠ Vencimento anterior à competência","OK"))))))))</f>
        <v/>
      </c>
    </row>
    <row r="269">
      <c r="A269" s="14" t="inlineStr">
        <is>
          <t>L0264</t>
        </is>
      </c>
      <c r="B269" s="36" t="n">
        <v>46189</v>
      </c>
      <c r="C269" s="36" t="n">
        <v>46219</v>
      </c>
      <c r="D269" s="36" t="n">
        <v>46220</v>
      </c>
      <c r="E269" s="14" t="inlineStr">
        <is>
          <t>Saída</t>
        </is>
      </c>
      <c r="F269" s="29" t="inlineStr">
        <is>
          <t>Custos Variáveis</t>
        </is>
      </c>
      <c r="G269" s="29" t="inlineStr">
        <is>
          <t>Mercadorias para Revenda</t>
        </is>
      </c>
      <c r="H269" s="29" t="inlineStr">
        <is>
          <t>Logística</t>
        </is>
      </c>
      <c r="I269" s="29" t="inlineStr">
        <is>
          <t>DISTRIBUIDORA CENTRAL DE ALIMENTOS S/A</t>
        </is>
      </c>
      <c r="J269" s="29" t="inlineStr">
        <is>
          <t>Compra de mercadorias para revenda — NF 5061</t>
        </is>
      </c>
      <c r="K269" s="14" t="inlineStr">
        <is>
          <t>NF 5061</t>
        </is>
      </c>
      <c r="L269" s="29" t="inlineStr">
        <is>
          <t>Nubank PJ — C/C 9876543-2</t>
        </is>
      </c>
      <c r="M269" s="14" t="inlineStr">
        <is>
          <t>Boleto</t>
        </is>
      </c>
      <c r="N269" s="29" t="n"/>
      <c r="O269" s="13" t="n">
        <v>1</v>
      </c>
      <c r="P269" s="13" t="n">
        <v>1</v>
      </c>
      <c r="Q269" s="35" t="n">
        <v>56393.47</v>
      </c>
      <c r="R269" s="35" t="n">
        <v>56393.47</v>
      </c>
      <c r="S269" s="35" t="n"/>
      <c r="T269" s="35" t="n"/>
      <c r="U269" s="35" t="n"/>
      <c r="V269" s="18">
        <f>IF(COUNTA($B269:$R269)=0,"",ROUND(N($R269)+N($S269)+N($T269)-N($U269),2))</f>
        <v/>
      </c>
      <c r="W269" s="18">
        <f>IF(COUNTA($B269:$R269)=0,"",IF(OR($X269="Pago",$X269="Recebido",$X269="Cancelado"),0,ROUND(N($Q269)+N($S269)+N($T269)-N($U269)-N($R269),2)))</f>
        <v/>
      </c>
      <c r="X269" s="14" t="inlineStr">
        <is>
          <t>Pago</t>
        </is>
      </c>
      <c r="Y269" s="17">
        <f>IF(COUNTA($B269:$R269)=0,"",IF($X269="Cancelado","Cancelado",IF(OR($X269="Pago",$X269="Recebido"),$X269,IF(OR($X269="Parcial",N($R269)&gt;0),"Parcial",IF($C269="","Sem vencimento",IF($C269&lt;TODAY(),"Vencido",IF($C269=TODAY(),"Vence hoje",IF($C269&lt;=TODAY()+7,"Vence em 7 dias",IF($C269&lt;=TODAY()+30,"Vence em 30 dias","Futuro")))))))))</f>
        <v/>
      </c>
      <c r="Z269" s="24">
        <f>IF($B269="","",MONTH($B269))</f>
        <v/>
      </c>
      <c r="AA269" s="24">
        <f>IF($B269="","",YEAR($B269))</f>
        <v/>
      </c>
      <c r="AB269" s="24">
        <f>IF($B269="","",ISOWEEKNUM($B269))</f>
        <v/>
      </c>
      <c r="AC269" s="17">
        <f>IF($B269="","",CHOOSE(WEEKDAY($B269,2),"Segunda","Terça","Quarta","Quinta","Sexta","Sábado","Domingo"))</f>
        <v/>
      </c>
      <c r="AD269" s="17">
        <f>IF($B269="","",TEXT($B269,"MM/AAAA"))</f>
        <v/>
      </c>
      <c r="AE269" s="18">
        <f>IF(COUNTA($B269:$R269)=0,"",IF($X269="Cancelado",0,ROUND(N($Q269)+N($S269)+N($T269)-N($U269),2)))</f>
        <v/>
      </c>
      <c r="AF269" s="9">
        <f>IF($G269="","",IFERROR(INDEX(LINHAS_DRE_PLANO,MATCH($G269,SUBCATEGORIAS_PLANO,0)),"Não classificado"))</f>
        <v/>
      </c>
      <c r="AG269" s="17">
        <f>IF($G269="","",IFERROR(INDEX(TIPOS_FLUXO_PLANO,MATCH($G269,SUBCATEGORIAS_PLANO,0)),"Não classificado"))</f>
        <v/>
      </c>
      <c r="AH269" s="9">
        <f>IF($G269="","",IFERROR(INDEX(GRUPOS_PLANO,MATCH($G269,SUBCATEGORIAS_PLANO,0)),"Não classificado"))</f>
        <v/>
      </c>
      <c r="AI269" s="24">
        <f>IF(OR($C269="",$X269="Pago",$X269="Recebido",$X269="Cancelado"),"",$C269-TODAY())</f>
        <v/>
      </c>
      <c r="AJ269" s="24">
        <f>IF(OR($C269="",$X269="Pago",$X269="Recebido",$X269="Cancelado"),0,MAX(0,TODAY()-$C269))</f>
        <v/>
      </c>
      <c r="AK269" s="24">
        <f>IF($D269="","",$D269-$B269)</f>
        <v/>
      </c>
      <c r="AL269" s="18">
        <f>IF(OR($D269="",$B269=""),"",ROUND(N($R269)*($D269-$B269),2))</f>
        <v/>
      </c>
      <c r="AM269" s="17">
        <f>IF(AND($E269="Saída",$W269&gt;0,$C269&lt;&gt;""),$C269+ROW()/1000000,"")</f>
        <v/>
      </c>
      <c r="AN269" s="17">
        <f>IF(AND($E269="Entrada",$W269&gt;0,$C269&lt;&gt;""),$C269+ROW()/1000000,"")</f>
        <v/>
      </c>
      <c r="AO269" s="9">
        <f>IF(COUNTA($B269:$R269)=0,"",IF(AND($I269&lt;&gt;"",COUNTIF(CLIENTES_NOMES,$I269)+COUNTIF(CLIENTES_FANTASIA,$I269)+COUNTIF(FORNECEDORES_NOMES,$I269)+COUNTIF(FORNECEDORES_FANTASIA,$I269)=0),"⚠ Cliente/Fornecedor não cadastrado",IF(AND($G269&lt;&gt;"",COUNTIF(SUBCATEGORIAS_PLANO,$G269)=0),"⚠ Subcategoria fora do plano de contas",IF(OR($Q269="",N($Q269)=0),"⚠ Valor previsto não informado",IF(AND(OR($X269="Pago",$X269="Recebido"),$D269=""),"⚠ Status pago/recebido sem data",IF(AND($D269&lt;&gt;"",N($R269)=0),"⚠ Data de pagamento sem valor realizado",IF(AND(N($P269)&gt;1,N($O269)&gt;N($P269)),"⚠ Nº da parcela maior que o total",IF(AND($C269&lt;&gt;"",$B269&lt;&gt;"",$C269&lt;$B269),"⚠ Vencimento anterior à competência","OK"))))))))</f>
        <v/>
      </c>
    </row>
    <row r="270">
      <c r="A270" s="14" t="inlineStr">
        <is>
          <t>L0265</t>
        </is>
      </c>
      <c r="B270" s="36" t="n">
        <v>46189</v>
      </c>
      <c r="C270" s="36" t="n">
        <v>46208</v>
      </c>
      <c r="D270" s="36" t="n">
        <v>46208</v>
      </c>
      <c r="E270" s="14" t="inlineStr">
        <is>
          <t>Saída</t>
        </is>
      </c>
      <c r="F270" s="29" t="inlineStr">
        <is>
          <t>Despesas Administrativas</t>
        </is>
      </c>
      <c r="G270" s="29" t="inlineStr">
        <is>
          <t>Material de Escritório</t>
        </is>
      </c>
      <c r="H270" s="29" t="inlineStr">
        <is>
          <t>Administrativo</t>
        </is>
      </c>
      <c r="I270" s="29" t="inlineStr">
        <is>
          <t>PAPELARIA CENTRAL LTDA</t>
        </is>
      </c>
      <c r="J270" s="29" t="inlineStr">
        <is>
          <t>Material de escritório e itens de consumo</t>
        </is>
      </c>
      <c r="K270" s="14" t="inlineStr">
        <is>
          <t>DOC 8359</t>
        </is>
      </c>
      <c r="L270" s="29" t="inlineStr">
        <is>
          <t>Itaú Unibanco — C/C 45678-9</t>
        </is>
      </c>
      <c r="M270" s="14" t="inlineStr">
        <is>
          <t>Cartão de crédito</t>
        </is>
      </c>
      <c r="N270" s="29" t="inlineStr">
        <is>
          <t>Cartão Visa Itaú Business</t>
        </is>
      </c>
      <c r="O270" s="13" t="n">
        <v>1</v>
      </c>
      <c r="P270" s="13" t="n">
        <v>1</v>
      </c>
      <c r="Q270" s="35" t="n">
        <v>487.99</v>
      </c>
      <c r="R270" s="35" t="n">
        <v>487.99</v>
      </c>
      <c r="S270" s="35" t="n"/>
      <c r="T270" s="35" t="n"/>
      <c r="U270" s="35" t="n"/>
      <c r="V270" s="18">
        <f>IF(COUNTA($B270:$R270)=0,"",ROUND(N($R270)+N($S270)+N($T270)-N($U270),2))</f>
        <v/>
      </c>
      <c r="W270" s="18">
        <f>IF(COUNTA($B270:$R270)=0,"",IF(OR($X270="Pago",$X270="Recebido",$X270="Cancelado"),0,ROUND(N($Q270)+N($S270)+N($T270)-N($U270)-N($R270),2)))</f>
        <v/>
      </c>
      <c r="X270" s="14" t="inlineStr">
        <is>
          <t>Pago</t>
        </is>
      </c>
      <c r="Y270" s="17">
        <f>IF(COUNTA($B270:$R270)=0,"",IF($X270="Cancelado","Cancelado",IF(OR($X270="Pago",$X270="Recebido"),$X270,IF(OR($X270="Parcial",N($R270)&gt;0),"Parcial",IF($C270="","Sem vencimento",IF($C270&lt;TODAY(),"Vencido",IF($C270=TODAY(),"Vence hoje",IF($C270&lt;=TODAY()+7,"Vence em 7 dias",IF($C270&lt;=TODAY()+30,"Vence em 30 dias","Futuro")))))))))</f>
        <v/>
      </c>
      <c r="Z270" s="24">
        <f>IF($B270="","",MONTH($B270))</f>
        <v/>
      </c>
      <c r="AA270" s="24">
        <f>IF($B270="","",YEAR($B270))</f>
        <v/>
      </c>
      <c r="AB270" s="24">
        <f>IF($B270="","",ISOWEEKNUM($B270))</f>
        <v/>
      </c>
      <c r="AC270" s="17">
        <f>IF($B270="","",CHOOSE(WEEKDAY($B270,2),"Segunda","Terça","Quarta","Quinta","Sexta","Sábado","Domingo"))</f>
        <v/>
      </c>
      <c r="AD270" s="17">
        <f>IF($B270="","",TEXT($B270,"MM/AAAA"))</f>
        <v/>
      </c>
      <c r="AE270" s="18">
        <f>IF(COUNTA($B270:$R270)=0,"",IF($X270="Cancelado",0,ROUND(N($Q270)+N($S270)+N($T270)-N($U270),2)))</f>
        <v/>
      </c>
      <c r="AF270" s="9">
        <f>IF($G270="","",IFERROR(INDEX(LINHAS_DRE_PLANO,MATCH($G270,SUBCATEGORIAS_PLANO,0)),"Não classificado"))</f>
        <v/>
      </c>
      <c r="AG270" s="17">
        <f>IF($G270="","",IFERROR(INDEX(TIPOS_FLUXO_PLANO,MATCH($G270,SUBCATEGORIAS_PLANO,0)),"Não classificado"))</f>
        <v/>
      </c>
      <c r="AH270" s="9">
        <f>IF($G270="","",IFERROR(INDEX(GRUPOS_PLANO,MATCH($G270,SUBCATEGORIAS_PLANO,0)),"Não classificado"))</f>
        <v/>
      </c>
      <c r="AI270" s="24">
        <f>IF(OR($C270="",$X270="Pago",$X270="Recebido",$X270="Cancelado"),"",$C270-TODAY())</f>
        <v/>
      </c>
      <c r="AJ270" s="24">
        <f>IF(OR($C270="",$X270="Pago",$X270="Recebido",$X270="Cancelado"),0,MAX(0,TODAY()-$C270))</f>
        <v/>
      </c>
      <c r="AK270" s="24">
        <f>IF($D270="","",$D270-$B270)</f>
        <v/>
      </c>
      <c r="AL270" s="18">
        <f>IF(OR($D270="",$B270=""),"",ROUND(N($R270)*($D270-$B270),2))</f>
        <v/>
      </c>
      <c r="AM270" s="17">
        <f>IF(AND($E270="Saída",$W270&gt;0,$C270&lt;&gt;""),$C270+ROW()/1000000,"")</f>
        <v/>
      </c>
      <c r="AN270" s="17">
        <f>IF(AND($E270="Entrada",$W270&gt;0,$C270&lt;&gt;""),$C270+ROW()/1000000,"")</f>
        <v/>
      </c>
      <c r="AO270" s="9">
        <f>IF(COUNTA($B270:$R270)=0,"",IF(AND($I270&lt;&gt;"",COUNTIF(CLIENTES_NOMES,$I270)+COUNTIF(CLIENTES_FANTASIA,$I270)+COUNTIF(FORNECEDORES_NOMES,$I270)+COUNTIF(FORNECEDORES_FANTASIA,$I270)=0),"⚠ Cliente/Fornecedor não cadastrado",IF(AND($G270&lt;&gt;"",COUNTIF(SUBCATEGORIAS_PLANO,$G270)=0),"⚠ Subcategoria fora do plano de contas",IF(OR($Q270="",N($Q270)=0),"⚠ Valor previsto não informado",IF(AND(OR($X270="Pago",$X270="Recebido"),$D270=""),"⚠ Status pago/recebido sem data",IF(AND($D270&lt;&gt;"",N($R270)=0),"⚠ Data de pagamento sem valor realizado",IF(AND(N($P270)&gt;1,N($O270)&gt;N($P270)),"⚠ Nº da parcela maior que o total",IF(AND($C270&lt;&gt;"",$B270&lt;&gt;"",$C270&lt;$B270),"⚠ Vencimento anterior à competência","OK"))))))))</f>
        <v/>
      </c>
    </row>
    <row r="271">
      <c r="A271" s="14" t="inlineStr">
        <is>
          <t>L0266</t>
        </is>
      </c>
      <c r="B271" s="36" t="n">
        <v>46191</v>
      </c>
      <c r="C271" s="36" t="n">
        <v>46201</v>
      </c>
      <c r="D271" s="36" t="n">
        <v>46201</v>
      </c>
      <c r="E271" s="14" t="inlineStr">
        <is>
          <t>Saída</t>
        </is>
      </c>
      <c r="F271" s="29" t="inlineStr">
        <is>
          <t>Despesas Comerciais</t>
        </is>
      </c>
      <c r="G271" s="29" t="inlineStr">
        <is>
          <t>Publicidade e Anúncios</t>
        </is>
      </c>
      <c r="H271" s="29" t="inlineStr">
        <is>
          <t>Marketing</t>
        </is>
      </c>
      <c r="I271" s="29" t="inlineStr">
        <is>
          <t>GOOGLE BRASIL INTERNET LTDA</t>
        </is>
      </c>
      <c r="J271" s="29" t="inlineStr">
        <is>
          <t>Anúncios e campanhas digitais</t>
        </is>
      </c>
      <c r="K271" s="14" t="inlineStr">
        <is>
          <t>DOC 8357</t>
        </is>
      </c>
      <c r="L271" s="29" t="inlineStr">
        <is>
          <t>Nubank PJ — C/C 9876543-2</t>
        </is>
      </c>
      <c r="M271" s="14" t="inlineStr">
        <is>
          <t>Cartão de crédito</t>
        </is>
      </c>
      <c r="N271" s="29" t="inlineStr">
        <is>
          <t>Cartão Mastercard Nubank PJ</t>
        </is>
      </c>
      <c r="O271" s="13" t="n">
        <v>1</v>
      </c>
      <c r="P271" s="13" t="n">
        <v>1</v>
      </c>
      <c r="Q271" s="35" t="n">
        <v>1385.18</v>
      </c>
      <c r="R271" s="35" t="n">
        <v>1385.18</v>
      </c>
      <c r="S271" s="35" t="n"/>
      <c r="T271" s="35" t="n"/>
      <c r="U271" s="35" t="n"/>
      <c r="V271" s="18">
        <f>IF(COUNTA($B271:$R271)=0,"",ROUND(N($R271)+N($S271)+N($T271)-N($U271),2))</f>
        <v/>
      </c>
      <c r="W271" s="18">
        <f>IF(COUNTA($B271:$R271)=0,"",IF(OR($X271="Pago",$X271="Recebido",$X271="Cancelado"),0,ROUND(N($Q271)+N($S271)+N($T271)-N($U271)-N($R271),2)))</f>
        <v/>
      </c>
      <c r="X271" s="14" t="inlineStr">
        <is>
          <t>Pago</t>
        </is>
      </c>
      <c r="Y271" s="17">
        <f>IF(COUNTA($B271:$R271)=0,"",IF($X271="Cancelado","Cancelado",IF(OR($X271="Pago",$X271="Recebido"),$X271,IF(OR($X271="Parcial",N($R271)&gt;0),"Parcial",IF($C271="","Sem vencimento",IF($C271&lt;TODAY(),"Vencido",IF($C271=TODAY(),"Vence hoje",IF($C271&lt;=TODAY()+7,"Vence em 7 dias",IF($C271&lt;=TODAY()+30,"Vence em 30 dias","Futuro")))))))))</f>
        <v/>
      </c>
      <c r="Z271" s="24">
        <f>IF($B271="","",MONTH($B271))</f>
        <v/>
      </c>
      <c r="AA271" s="24">
        <f>IF($B271="","",YEAR($B271))</f>
        <v/>
      </c>
      <c r="AB271" s="24">
        <f>IF($B271="","",ISOWEEKNUM($B271))</f>
        <v/>
      </c>
      <c r="AC271" s="17">
        <f>IF($B271="","",CHOOSE(WEEKDAY($B271,2),"Segunda","Terça","Quarta","Quinta","Sexta","Sábado","Domingo"))</f>
        <v/>
      </c>
      <c r="AD271" s="17">
        <f>IF($B271="","",TEXT($B271,"MM/AAAA"))</f>
        <v/>
      </c>
      <c r="AE271" s="18">
        <f>IF(COUNTA($B271:$R271)=0,"",IF($X271="Cancelado",0,ROUND(N($Q271)+N($S271)+N($T271)-N($U271),2)))</f>
        <v/>
      </c>
      <c r="AF271" s="9">
        <f>IF($G271="","",IFERROR(INDEX(LINHAS_DRE_PLANO,MATCH($G271,SUBCATEGORIAS_PLANO,0)),"Não classificado"))</f>
        <v/>
      </c>
      <c r="AG271" s="17">
        <f>IF($G271="","",IFERROR(INDEX(TIPOS_FLUXO_PLANO,MATCH($G271,SUBCATEGORIAS_PLANO,0)),"Não classificado"))</f>
        <v/>
      </c>
      <c r="AH271" s="9">
        <f>IF($G271="","",IFERROR(INDEX(GRUPOS_PLANO,MATCH($G271,SUBCATEGORIAS_PLANO,0)),"Não classificado"))</f>
        <v/>
      </c>
      <c r="AI271" s="24">
        <f>IF(OR($C271="",$X271="Pago",$X271="Recebido",$X271="Cancelado"),"",$C271-TODAY())</f>
        <v/>
      </c>
      <c r="AJ271" s="24">
        <f>IF(OR($C271="",$X271="Pago",$X271="Recebido",$X271="Cancelado"),0,MAX(0,TODAY()-$C271))</f>
        <v/>
      </c>
      <c r="AK271" s="24">
        <f>IF($D271="","",$D271-$B271)</f>
        <v/>
      </c>
      <c r="AL271" s="18">
        <f>IF(OR($D271="",$B271=""),"",ROUND(N($R271)*($D271-$B271),2))</f>
        <v/>
      </c>
      <c r="AM271" s="17">
        <f>IF(AND($E271="Saída",$W271&gt;0,$C271&lt;&gt;""),$C271+ROW()/1000000,"")</f>
        <v/>
      </c>
      <c r="AN271" s="17">
        <f>IF(AND($E271="Entrada",$W271&gt;0,$C271&lt;&gt;""),$C271+ROW()/1000000,"")</f>
        <v/>
      </c>
      <c r="AO271" s="9">
        <f>IF(COUNTA($B271:$R271)=0,"",IF(AND($I271&lt;&gt;"",COUNTIF(CLIENTES_NOMES,$I271)+COUNTIF(CLIENTES_FANTASIA,$I271)+COUNTIF(FORNECEDORES_NOMES,$I271)+COUNTIF(FORNECEDORES_FANTASIA,$I271)=0),"⚠ Cliente/Fornecedor não cadastrado",IF(AND($G271&lt;&gt;"",COUNTIF(SUBCATEGORIAS_PLANO,$G271)=0),"⚠ Subcategoria fora do plano de contas",IF(OR($Q271="",N($Q271)=0),"⚠ Valor previsto não informado",IF(AND(OR($X271="Pago",$X271="Recebido"),$D271=""),"⚠ Status pago/recebido sem data",IF(AND($D271&lt;&gt;"",N($R271)=0),"⚠ Data de pagamento sem valor realizado",IF(AND(N($P271)&gt;1,N($O271)&gt;N($P271)),"⚠ Nº da parcela maior que o total",IF(AND($C271&lt;&gt;"",$B271&lt;&gt;"",$C271&lt;$B271),"⚠ Vencimento anterior à competência","OK"))))))))</f>
        <v/>
      </c>
    </row>
    <row r="272">
      <c r="A272" s="14" t="inlineStr">
        <is>
          <t>L0267</t>
        </is>
      </c>
      <c r="B272" s="36" t="n">
        <v>46192</v>
      </c>
      <c r="C272" s="36" t="n">
        <v>46223</v>
      </c>
      <c r="D272" s="36" t="n">
        <v>46224</v>
      </c>
      <c r="E272" s="14" t="inlineStr">
        <is>
          <t>Entrada</t>
        </is>
      </c>
      <c r="F272" s="29" t="inlineStr">
        <is>
          <t>Vendas</t>
        </is>
      </c>
      <c r="G272" s="29" t="inlineStr">
        <is>
          <t>Vendas de Produtos</t>
        </is>
      </c>
      <c r="H272" s="29" t="inlineStr">
        <is>
          <t>Comercial</t>
        </is>
      </c>
      <c r="I272" s="29" t="inlineStr">
        <is>
          <t>MERCADO BOA COMPRA LTDA</t>
        </is>
      </c>
      <c r="J272" s="29" t="inlineStr">
        <is>
          <t>Venda de mercadorias para revenda</t>
        </is>
      </c>
      <c r="K272" s="14" t="inlineStr">
        <is>
          <t>NF-e 2062</t>
        </is>
      </c>
      <c r="L272" s="29" t="inlineStr">
        <is>
          <t>Banco do Brasil — C/C 12345-6</t>
        </is>
      </c>
      <c r="M272" s="14" t="inlineStr">
        <is>
          <t>Boleto</t>
        </is>
      </c>
      <c r="N272" s="29" t="n"/>
      <c r="O272" s="13" t="n">
        <v>1</v>
      </c>
      <c r="P272" s="13" t="n">
        <v>1</v>
      </c>
      <c r="Q272" s="35" t="n">
        <v>27569.61</v>
      </c>
      <c r="R272" s="35" t="n">
        <v>27569.61</v>
      </c>
      <c r="S272" s="35" t="n"/>
      <c r="T272" s="35" t="n"/>
      <c r="U272" s="35" t="n"/>
      <c r="V272" s="18">
        <f>IF(COUNTA($B272:$R272)=0,"",ROUND(N($R272)+N($S272)+N($T272)-N($U272),2))</f>
        <v/>
      </c>
      <c r="W272" s="18">
        <f>IF(COUNTA($B272:$R272)=0,"",IF(OR($X272="Pago",$X272="Recebido",$X272="Cancelado"),0,ROUND(N($Q272)+N($S272)+N($T272)-N($U272)-N($R272),2)))</f>
        <v/>
      </c>
      <c r="X272" s="14" t="inlineStr">
        <is>
          <t>Pago</t>
        </is>
      </c>
      <c r="Y272" s="17">
        <f>IF(COUNTA($B272:$R272)=0,"",IF($X272="Cancelado","Cancelado",IF(OR($X272="Pago",$X272="Recebido"),$X272,IF(OR($X272="Parcial",N($R272)&gt;0),"Parcial",IF($C272="","Sem vencimento",IF($C272&lt;TODAY(),"Vencido",IF($C272=TODAY(),"Vence hoje",IF($C272&lt;=TODAY()+7,"Vence em 7 dias",IF($C272&lt;=TODAY()+30,"Vence em 30 dias","Futuro")))))))))</f>
        <v/>
      </c>
      <c r="Z272" s="24">
        <f>IF($B272="","",MONTH($B272))</f>
        <v/>
      </c>
      <c r="AA272" s="24">
        <f>IF($B272="","",YEAR($B272))</f>
        <v/>
      </c>
      <c r="AB272" s="24">
        <f>IF($B272="","",ISOWEEKNUM($B272))</f>
        <v/>
      </c>
      <c r="AC272" s="17">
        <f>IF($B272="","",CHOOSE(WEEKDAY($B272,2),"Segunda","Terça","Quarta","Quinta","Sexta","Sábado","Domingo"))</f>
        <v/>
      </c>
      <c r="AD272" s="17">
        <f>IF($B272="","",TEXT($B272,"MM/AAAA"))</f>
        <v/>
      </c>
      <c r="AE272" s="18">
        <f>IF(COUNTA($B272:$R272)=0,"",IF($X272="Cancelado",0,ROUND(N($Q272)+N($S272)+N($T272)-N($U272),2)))</f>
        <v/>
      </c>
      <c r="AF272" s="9">
        <f>IF($G272="","",IFERROR(INDEX(LINHAS_DRE_PLANO,MATCH($G272,SUBCATEGORIAS_PLANO,0)),"Não classificado"))</f>
        <v/>
      </c>
      <c r="AG272" s="17">
        <f>IF($G272="","",IFERROR(INDEX(TIPOS_FLUXO_PLANO,MATCH($G272,SUBCATEGORIAS_PLANO,0)),"Não classificado"))</f>
        <v/>
      </c>
      <c r="AH272" s="9">
        <f>IF($G272="","",IFERROR(INDEX(GRUPOS_PLANO,MATCH($G272,SUBCATEGORIAS_PLANO,0)),"Não classificado"))</f>
        <v/>
      </c>
      <c r="AI272" s="24">
        <f>IF(OR($C272="",$X272="Pago",$X272="Recebido",$X272="Cancelado"),"",$C272-TODAY())</f>
        <v/>
      </c>
      <c r="AJ272" s="24">
        <f>IF(OR($C272="",$X272="Pago",$X272="Recebido",$X272="Cancelado"),0,MAX(0,TODAY()-$C272))</f>
        <v/>
      </c>
      <c r="AK272" s="24">
        <f>IF($D272="","",$D272-$B272)</f>
        <v/>
      </c>
      <c r="AL272" s="18">
        <f>IF(OR($D272="",$B272=""),"",ROUND(N($R272)*($D272-$B272),2))</f>
        <v/>
      </c>
      <c r="AM272" s="17">
        <f>IF(AND($E272="Saída",$W272&gt;0,$C272&lt;&gt;""),$C272+ROW()/1000000,"")</f>
        <v/>
      </c>
      <c r="AN272" s="17">
        <f>IF(AND($E272="Entrada",$W272&gt;0,$C272&lt;&gt;""),$C272+ROW()/1000000,"")</f>
        <v/>
      </c>
      <c r="AO272" s="9">
        <f>IF(COUNTA($B272:$R272)=0,"",IF(AND($I272&lt;&gt;"",COUNTIF(CLIENTES_NOMES,$I272)+COUNTIF(CLIENTES_FANTASIA,$I272)+COUNTIF(FORNECEDORES_NOMES,$I272)+COUNTIF(FORNECEDORES_FANTASIA,$I272)=0),"⚠ Cliente/Fornecedor não cadastrado",IF(AND($G272&lt;&gt;"",COUNTIF(SUBCATEGORIAS_PLANO,$G272)=0),"⚠ Subcategoria fora do plano de contas",IF(OR($Q272="",N($Q272)=0),"⚠ Valor previsto não informado",IF(AND(OR($X272="Pago",$X272="Recebido"),$D272=""),"⚠ Status pago/recebido sem data",IF(AND($D272&lt;&gt;"",N($R272)=0),"⚠ Data de pagamento sem valor realizado",IF(AND(N($P272)&gt;1,N($O272)&gt;N($P272)),"⚠ Nº da parcela maior que o total",IF(AND($C272&lt;&gt;"",$B272&lt;&gt;"",$C272&lt;$B272),"⚠ Vencimento anterior à competência","OK"))))))))</f>
        <v/>
      </c>
    </row>
    <row r="273">
      <c r="A273" s="14" t="inlineStr">
        <is>
          <t>L0268</t>
        </is>
      </c>
      <c r="B273" s="36" t="n">
        <v>46192</v>
      </c>
      <c r="C273" s="36" t="n">
        <v>46209</v>
      </c>
      <c r="D273" s="36" t="n">
        <v>46211</v>
      </c>
      <c r="E273" s="14" t="inlineStr">
        <is>
          <t>Entrada</t>
        </is>
      </c>
      <c r="F273" s="29" t="inlineStr">
        <is>
          <t>Vendas</t>
        </is>
      </c>
      <c r="G273" s="29" t="inlineStr">
        <is>
          <t>Vendas de Produtos</t>
        </is>
      </c>
      <c r="H273" s="29" t="inlineStr">
        <is>
          <t>Comercial</t>
        </is>
      </c>
      <c r="I273" s="29" t="inlineStr">
        <is>
          <t>RESTAURANTE SABOR CASEIRO LTDA</t>
        </is>
      </c>
      <c r="J273" s="29" t="inlineStr">
        <is>
          <t>Venda de mercadorias para revenda</t>
        </is>
      </c>
      <c r="K273" s="14" t="inlineStr">
        <is>
          <t>NF-e 2066</t>
        </is>
      </c>
      <c r="L273" s="29" t="inlineStr">
        <is>
          <t>Itaú Unibanco — C/C 45678-9</t>
        </is>
      </c>
      <c r="M273" s="14" t="inlineStr">
        <is>
          <t>Boleto</t>
        </is>
      </c>
      <c r="N273" s="29" t="n"/>
      <c r="O273" s="13" t="n">
        <v>1</v>
      </c>
      <c r="P273" s="13" t="n">
        <v>1</v>
      </c>
      <c r="Q273" s="35" t="n">
        <v>12892.5</v>
      </c>
      <c r="R273" s="35" t="n">
        <v>12892.5</v>
      </c>
      <c r="S273" s="35" t="n"/>
      <c r="T273" s="35" t="n"/>
      <c r="U273" s="35" t="n"/>
      <c r="V273" s="18">
        <f>IF(COUNTA($B273:$R273)=0,"",ROUND(N($R273)+N($S273)+N($T273)-N($U273),2))</f>
        <v/>
      </c>
      <c r="W273" s="18">
        <f>IF(COUNTA($B273:$R273)=0,"",IF(OR($X273="Pago",$X273="Recebido",$X273="Cancelado"),0,ROUND(N($Q273)+N($S273)+N($T273)-N($U273)-N($R273),2)))</f>
        <v/>
      </c>
      <c r="X273" s="14" t="inlineStr">
        <is>
          <t>Pago</t>
        </is>
      </c>
      <c r="Y273" s="17">
        <f>IF(COUNTA($B273:$R273)=0,"",IF($X273="Cancelado","Cancelado",IF(OR($X273="Pago",$X273="Recebido"),$X273,IF(OR($X273="Parcial",N($R273)&gt;0),"Parcial",IF($C273="","Sem vencimento",IF($C273&lt;TODAY(),"Vencido",IF($C273=TODAY(),"Vence hoje",IF($C273&lt;=TODAY()+7,"Vence em 7 dias",IF($C273&lt;=TODAY()+30,"Vence em 30 dias","Futuro")))))))))</f>
        <v/>
      </c>
      <c r="Z273" s="24">
        <f>IF($B273="","",MONTH($B273))</f>
        <v/>
      </c>
      <c r="AA273" s="24">
        <f>IF($B273="","",YEAR($B273))</f>
        <v/>
      </c>
      <c r="AB273" s="24">
        <f>IF($B273="","",ISOWEEKNUM($B273))</f>
        <v/>
      </c>
      <c r="AC273" s="17">
        <f>IF($B273="","",CHOOSE(WEEKDAY($B273,2),"Segunda","Terça","Quarta","Quinta","Sexta","Sábado","Domingo"))</f>
        <v/>
      </c>
      <c r="AD273" s="17">
        <f>IF($B273="","",TEXT($B273,"MM/AAAA"))</f>
        <v/>
      </c>
      <c r="AE273" s="18">
        <f>IF(COUNTA($B273:$R273)=0,"",IF($X273="Cancelado",0,ROUND(N($Q273)+N($S273)+N($T273)-N($U273),2)))</f>
        <v/>
      </c>
      <c r="AF273" s="9">
        <f>IF($G273="","",IFERROR(INDEX(LINHAS_DRE_PLANO,MATCH($G273,SUBCATEGORIAS_PLANO,0)),"Não classificado"))</f>
        <v/>
      </c>
      <c r="AG273" s="17">
        <f>IF($G273="","",IFERROR(INDEX(TIPOS_FLUXO_PLANO,MATCH($G273,SUBCATEGORIAS_PLANO,0)),"Não classificado"))</f>
        <v/>
      </c>
      <c r="AH273" s="9">
        <f>IF($G273="","",IFERROR(INDEX(GRUPOS_PLANO,MATCH($G273,SUBCATEGORIAS_PLANO,0)),"Não classificado"))</f>
        <v/>
      </c>
      <c r="AI273" s="24">
        <f>IF(OR($C273="",$X273="Pago",$X273="Recebido",$X273="Cancelado"),"",$C273-TODAY())</f>
        <v/>
      </c>
      <c r="AJ273" s="24">
        <f>IF(OR($C273="",$X273="Pago",$X273="Recebido",$X273="Cancelado"),0,MAX(0,TODAY()-$C273))</f>
        <v/>
      </c>
      <c r="AK273" s="24">
        <f>IF($D273="","",$D273-$B273)</f>
        <v/>
      </c>
      <c r="AL273" s="18">
        <f>IF(OR($D273="",$B273=""),"",ROUND(N($R273)*($D273-$B273),2))</f>
        <v/>
      </c>
      <c r="AM273" s="17">
        <f>IF(AND($E273="Saída",$W273&gt;0,$C273&lt;&gt;""),$C273+ROW()/1000000,"")</f>
        <v/>
      </c>
      <c r="AN273" s="17">
        <f>IF(AND($E273="Entrada",$W273&gt;0,$C273&lt;&gt;""),$C273+ROW()/1000000,"")</f>
        <v/>
      </c>
      <c r="AO273" s="9">
        <f>IF(COUNTA($B273:$R273)=0,"",IF(AND($I273&lt;&gt;"",COUNTIF(CLIENTES_NOMES,$I273)+COUNTIF(CLIENTES_FANTASIA,$I273)+COUNTIF(FORNECEDORES_NOMES,$I273)+COUNTIF(FORNECEDORES_FANTASIA,$I273)=0),"⚠ Cliente/Fornecedor não cadastrado",IF(AND($G273&lt;&gt;"",COUNTIF(SUBCATEGORIAS_PLANO,$G273)=0),"⚠ Subcategoria fora do plano de contas",IF(OR($Q273="",N($Q273)=0),"⚠ Valor previsto não informado",IF(AND(OR($X273="Pago",$X273="Recebido"),$D273=""),"⚠ Status pago/recebido sem data",IF(AND($D273&lt;&gt;"",N($R273)=0),"⚠ Data de pagamento sem valor realizado",IF(AND(N($P273)&gt;1,N($O273)&gt;N($P273)),"⚠ Nº da parcela maior que o total",IF(AND($C273&lt;&gt;"",$B273&lt;&gt;"",$C273&lt;$B273),"⚠ Vencimento anterior à competência","OK"))))))))</f>
        <v/>
      </c>
    </row>
    <row r="274">
      <c r="A274" s="14" t="inlineStr">
        <is>
          <t>L0269</t>
        </is>
      </c>
      <c r="B274" s="36" t="n">
        <v>46192</v>
      </c>
      <c r="C274" s="36" t="n">
        <v>46213</v>
      </c>
      <c r="D274" s="36" t="n">
        <v>46214</v>
      </c>
      <c r="E274" s="14" t="inlineStr">
        <is>
          <t>Entrada</t>
        </is>
      </c>
      <c r="F274" s="29" t="inlineStr">
        <is>
          <t>Vendas</t>
        </is>
      </c>
      <c r="G274" s="29" t="inlineStr">
        <is>
          <t>Vendas de Produtos</t>
        </is>
      </c>
      <c r="H274" s="29" t="inlineStr">
        <is>
          <t>Comercial</t>
        </is>
      </c>
      <c r="I274" s="29" t="inlineStr">
        <is>
          <t>EMPÓRIO NATURAL COMÉRCIO LTDA</t>
        </is>
      </c>
      <c r="J274" s="29" t="inlineStr">
        <is>
          <t>Venda de mercadorias para revenda</t>
        </is>
      </c>
      <c r="K274" s="14" t="inlineStr">
        <is>
          <t>NF-e 2070</t>
        </is>
      </c>
      <c r="L274" s="29" t="inlineStr">
        <is>
          <t>Itaú Unibanco — C/C 45678-9</t>
        </is>
      </c>
      <c r="M274" s="14" t="inlineStr">
        <is>
          <t>Boleto</t>
        </is>
      </c>
      <c r="N274" s="29" t="n"/>
      <c r="O274" s="13" t="n">
        <v>1</v>
      </c>
      <c r="P274" s="13" t="n">
        <v>1</v>
      </c>
      <c r="Q274" s="35" t="n">
        <v>17219.3</v>
      </c>
      <c r="R274" s="35" t="n">
        <v>17219.3</v>
      </c>
      <c r="S274" s="35" t="n"/>
      <c r="T274" s="35" t="n"/>
      <c r="U274" s="35" t="n"/>
      <c r="V274" s="18">
        <f>IF(COUNTA($B274:$R274)=0,"",ROUND(N($R274)+N($S274)+N($T274)-N($U274),2))</f>
        <v/>
      </c>
      <c r="W274" s="18">
        <f>IF(COUNTA($B274:$R274)=0,"",IF(OR($X274="Pago",$X274="Recebido",$X274="Cancelado"),0,ROUND(N($Q274)+N($S274)+N($T274)-N($U274)-N($R274),2)))</f>
        <v/>
      </c>
      <c r="X274" s="14" t="inlineStr">
        <is>
          <t>Pago</t>
        </is>
      </c>
      <c r="Y274" s="17">
        <f>IF(COUNTA($B274:$R274)=0,"",IF($X274="Cancelado","Cancelado",IF(OR($X274="Pago",$X274="Recebido"),$X274,IF(OR($X274="Parcial",N($R274)&gt;0),"Parcial",IF($C274="","Sem vencimento",IF($C274&lt;TODAY(),"Vencido",IF($C274=TODAY(),"Vence hoje",IF($C274&lt;=TODAY()+7,"Vence em 7 dias",IF($C274&lt;=TODAY()+30,"Vence em 30 dias","Futuro")))))))))</f>
        <v/>
      </c>
      <c r="Z274" s="24">
        <f>IF($B274="","",MONTH($B274))</f>
        <v/>
      </c>
      <c r="AA274" s="24">
        <f>IF($B274="","",YEAR($B274))</f>
        <v/>
      </c>
      <c r="AB274" s="24">
        <f>IF($B274="","",ISOWEEKNUM($B274))</f>
        <v/>
      </c>
      <c r="AC274" s="17">
        <f>IF($B274="","",CHOOSE(WEEKDAY($B274,2),"Segunda","Terça","Quarta","Quinta","Sexta","Sábado","Domingo"))</f>
        <v/>
      </c>
      <c r="AD274" s="17">
        <f>IF($B274="","",TEXT($B274,"MM/AAAA"))</f>
        <v/>
      </c>
      <c r="AE274" s="18">
        <f>IF(COUNTA($B274:$R274)=0,"",IF($X274="Cancelado",0,ROUND(N($Q274)+N($S274)+N($T274)-N($U274),2)))</f>
        <v/>
      </c>
      <c r="AF274" s="9">
        <f>IF($G274="","",IFERROR(INDEX(LINHAS_DRE_PLANO,MATCH($G274,SUBCATEGORIAS_PLANO,0)),"Não classificado"))</f>
        <v/>
      </c>
      <c r="AG274" s="17">
        <f>IF($G274="","",IFERROR(INDEX(TIPOS_FLUXO_PLANO,MATCH($G274,SUBCATEGORIAS_PLANO,0)),"Não classificado"))</f>
        <v/>
      </c>
      <c r="AH274" s="9">
        <f>IF($G274="","",IFERROR(INDEX(GRUPOS_PLANO,MATCH($G274,SUBCATEGORIAS_PLANO,0)),"Não classificado"))</f>
        <v/>
      </c>
      <c r="AI274" s="24">
        <f>IF(OR($C274="",$X274="Pago",$X274="Recebido",$X274="Cancelado"),"",$C274-TODAY())</f>
        <v/>
      </c>
      <c r="AJ274" s="24">
        <f>IF(OR($C274="",$X274="Pago",$X274="Recebido",$X274="Cancelado"),0,MAX(0,TODAY()-$C274))</f>
        <v/>
      </c>
      <c r="AK274" s="24">
        <f>IF($D274="","",$D274-$B274)</f>
        <v/>
      </c>
      <c r="AL274" s="18">
        <f>IF(OR($D274="",$B274=""),"",ROUND(N($R274)*($D274-$B274),2))</f>
        <v/>
      </c>
      <c r="AM274" s="17">
        <f>IF(AND($E274="Saída",$W274&gt;0,$C274&lt;&gt;""),$C274+ROW()/1000000,"")</f>
        <v/>
      </c>
      <c r="AN274" s="17">
        <f>IF(AND($E274="Entrada",$W274&gt;0,$C274&lt;&gt;""),$C274+ROW()/1000000,"")</f>
        <v/>
      </c>
      <c r="AO274" s="9">
        <f>IF(COUNTA($B274:$R274)=0,"",IF(AND($I274&lt;&gt;"",COUNTIF(CLIENTES_NOMES,$I274)+COUNTIF(CLIENTES_FANTASIA,$I274)+COUNTIF(FORNECEDORES_NOMES,$I274)+COUNTIF(FORNECEDORES_FANTASIA,$I274)=0),"⚠ Cliente/Fornecedor não cadastrado",IF(AND($G274&lt;&gt;"",COUNTIF(SUBCATEGORIAS_PLANO,$G274)=0),"⚠ Subcategoria fora do plano de contas",IF(OR($Q274="",N($Q274)=0),"⚠ Valor previsto não informado",IF(AND(OR($X274="Pago",$X274="Recebido"),$D274=""),"⚠ Status pago/recebido sem data",IF(AND($D274&lt;&gt;"",N($R274)=0),"⚠ Data de pagamento sem valor realizado",IF(AND(N($P274)&gt;1,N($O274)&gt;N($P274)),"⚠ Nº da parcela maior que o total",IF(AND($C274&lt;&gt;"",$B274&lt;&gt;"",$C274&lt;$B274),"⚠ Vencimento anterior à competência","OK"))))))))</f>
        <v/>
      </c>
    </row>
    <row r="275">
      <c r="A275" s="14" t="inlineStr">
        <is>
          <t>L0270</t>
        </is>
      </c>
      <c r="B275" s="36" t="n">
        <v>46193</v>
      </c>
      <c r="C275" s="36" t="n">
        <v>46203</v>
      </c>
      <c r="D275" s="36" t="n">
        <v>46203</v>
      </c>
      <c r="E275" s="14" t="inlineStr">
        <is>
          <t>Saída</t>
        </is>
      </c>
      <c r="F275" s="29" t="inlineStr">
        <is>
          <t>Custos Variáveis</t>
        </is>
      </c>
      <c r="G275" s="29" t="inlineStr">
        <is>
          <t>Outros Custos Diretos</t>
        </is>
      </c>
      <c r="H275" s="29" t="inlineStr">
        <is>
          <t>Produção</t>
        </is>
      </c>
      <c r="I275" s="29" t="inlineStr">
        <is>
          <t>APOIO OPERACIONAL SERVIÇOS LTDA</t>
        </is>
      </c>
      <c r="J275" s="29" t="inlineStr">
        <is>
          <t>Serviços de apoio à operação e expedição</t>
        </is>
      </c>
      <c r="K275" s="14" t="inlineStr">
        <is>
          <t>DOC 7210</t>
        </is>
      </c>
      <c r="L275" s="29" t="inlineStr">
        <is>
          <t>Nubank PJ — C/C 9876543-2</t>
        </is>
      </c>
      <c r="M275" s="14" t="inlineStr">
        <is>
          <t>PIX</t>
        </is>
      </c>
      <c r="N275" s="29" t="n"/>
      <c r="O275" s="13" t="n">
        <v>1</v>
      </c>
      <c r="P275" s="13" t="n">
        <v>1</v>
      </c>
      <c r="Q275" s="35" t="n">
        <v>944.96</v>
      </c>
      <c r="R275" s="35" t="n">
        <v>944.96</v>
      </c>
      <c r="S275" s="35" t="n"/>
      <c r="T275" s="35" t="n"/>
      <c r="U275" s="35" t="n"/>
      <c r="V275" s="18">
        <f>IF(COUNTA($B275:$R275)=0,"",ROUND(N($R275)+N($S275)+N($T275)-N($U275),2))</f>
        <v/>
      </c>
      <c r="W275" s="18">
        <f>IF(COUNTA($B275:$R275)=0,"",IF(OR($X275="Pago",$X275="Recebido",$X275="Cancelado"),0,ROUND(N($Q275)+N($S275)+N($T275)-N($U275)-N($R275),2)))</f>
        <v/>
      </c>
      <c r="X275" s="14" t="inlineStr">
        <is>
          <t>Pago</t>
        </is>
      </c>
      <c r="Y275" s="17">
        <f>IF(COUNTA($B275:$R275)=0,"",IF($X275="Cancelado","Cancelado",IF(OR($X275="Pago",$X275="Recebido"),$X275,IF(OR($X275="Parcial",N($R275)&gt;0),"Parcial",IF($C275="","Sem vencimento",IF($C275&lt;TODAY(),"Vencido",IF($C275=TODAY(),"Vence hoje",IF($C275&lt;=TODAY()+7,"Vence em 7 dias",IF($C275&lt;=TODAY()+30,"Vence em 30 dias","Futuro")))))))))</f>
        <v/>
      </c>
      <c r="Z275" s="24">
        <f>IF($B275="","",MONTH($B275))</f>
        <v/>
      </c>
      <c r="AA275" s="24">
        <f>IF($B275="","",YEAR($B275))</f>
        <v/>
      </c>
      <c r="AB275" s="24">
        <f>IF($B275="","",ISOWEEKNUM($B275))</f>
        <v/>
      </c>
      <c r="AC275" s="17">
        <f>IF($B275="","",CHOOSE(WEEKDAY($B275,2),"Segunda","Terça","Quarta","Quinta","Sexta","Sábado","Domingo"))</f>
        <v/>
      </c>
      <c r="AD275" s="17">
        <f>IF($B275="","",TEXT($B275,"MM/AAAA"))</f>
        <v/>
      </c>
      <c r="AE275" s="18">
        <f>IF(COUNTA($B275:$R275)=0,"",IF($X275="Cancelado",0,ROUND(N($Q275)+N($S275)+N($T275)-N($U275),2)))</f>
        <v/>
      </c>
      <c r="AF275" s="9">
        <f>IF($G275="","",IFERROR(INDEX(LINHAS_DRE_PLANO,MATCH($G275,SUBCATEGORIAS_PLANO,0)),"Não classificado"))</f>
        <v/>
      </c>
      <c r="AG275" s="17">
        <f>IF($G275="","",IFERROR(INDEX(TIPOS_FLUXO_PLANO,MATCH($G275,SUBCATEGORIAS_PLANO,0)),"Não classificado"))</f>
        <v/>
      </c>
      <c r="AH275" s="9">
        <f>IF($G275="","",IFERROR(INDEX(GRUPOS_PLANO,MATCH($G275,SUBCATEGORIAS_PLANO,0)),"Não classificado"))</f>
        <v/>
      </c>
      <c r="AI275" s="24">
        <f>IF(OR($C275="",$X275="Pago",$X275="Recebido",$X275="Cancelado"),"",$C275-TODAY())</f>
        <v/>
      </c>
      <c r="AJ275" s="24">
        <f>IF(OR($C275="",$X275="Pago",$X275="Recebido",$X275="Cancelado"),0,MAX(0,TODAY()-$C275))</f>
        <v/>
      </c>
      <c r="AK275" s="24">
        <f>IF($D275="","",$D275-$B275)</f>
        <v/>
      </c>
      <c r="AL275" s="18">
        <f>IF(OR($D275="",$B275=""),"",ROUND(N($R275)*($D275-$B275),2))</f>
        <v/>
      </c>
      <c r="AM275" s="17">
        <f>IF(AND($E275="Saída",$W275&gt;0,$C275&lt;&gt;""),$C275+ROW()/1000000,"")</f>
        <v/>
      </c>
      <c r="AN275" s="17">
        <f>IF(AND($E275="Entrada",$W275&gt;0,$C275&lt;&gt;""),$C275+ROW()/1000000,"")</f>
        <v/>
      </c>
      <c r="AO275" s="9">
        <f>IF(COUNTA($B275:$R275)=0,"",IF(AND($I275&lt;&gt;"",COUNTIF(CLIENTES_NOMES,$I275)+COUNTIF(CLIENTES_FANTASIA,$I275)+COUNTIF(FORNECEDORES_NOMES,$I275)+COUNTIF(FORNECEDORES_FANTASIA,$I275)=0),"⚠ Cliente/Fornecedor não cadastrado",IF(AND($G275&lt;&gt;"",COUNTIF(SUBCATEGORIAS_PLANO,$G275)=0),"⚠ Subcategoria fora do plano de contas",IF(OR($Q275="",N($Q275)=0),"⚠ Valor previsto não informado",IF(AND(OR($X275="Pago",$X275="Recebido"),$D275=""),"⚠ Status pago/recebido sem data",IF(AND($D275&lt;&gt;"",N($R275)=0),"⚠ Data de pagamento sem valor realizado",IF(AND(N($P275)&gt;1,N($O275)&gt;N($P275)),"⚠ Nº da parcela maior que o total",IF(AND($C275&lt;&gt;"",$B275&lt;&gt;"",$C275&lt;$B275),"⚠ Vencimento anterior à competência","OK"))))))))</f>
        <v/>
      </c>
    </row>
    <row r="276">
      <c r="A276" s="14" t="inlineStr">
        <is>
          <t>L0271</t>
        </is>
      </c>
      <c r="B276" s="36" t="n">
        <v>46193</v>
      </c>
      <c r="C276" s="36" t="n">
        <v>46223</v>
      </c>
      <c r="D276" s="36" t="n">
        <v>46223</v>
      </c>
      <c r="E276" s="14" t="inlineStr">
        <is>
          <t>Saída</t>
        </is>
      </c>
      <c r="F276" s="29" t="inlineStr">
        <is>
          <t>Tributos</t>
        </is>
      </c>
      <c r="G276" s="29" t="inlineStr">
        <is>
          <t>Simples Nacional</t>
        </is>
      </c>
      <c r="H276" s="29" t="inlineStr">
        <is>
          <t>Financeiro</t>
        </is>
      </c>
      <c r="I276" s="29" t="inlineStr">
        <is>
          <t>RECEITA FEDERAL DO BRASIL</t>
        </is>
      </c>
      <c r="J276" s="29" t="inlineStr">
        <is>
          <t>Simples Nacional — competência 06/2026</t>
        </is>
      </c>
      <c r="K276" s="14" t="inlineStr">
        <is>
          <t>DAS 06/2026</t>
        </is>
      </c>
      <c r="L276" s="29" t="inlineStr">
        <is>
          <t>Itaú Unibanco — C/C 45678-9</t>
        </is>
      </c>
      <c r="M276" s="14" t="inlineStr">
        <is>
          <t>Transferência</t>
        </is>
      </c>
      <c r="N276" s="29" t="n"/>
      <c r="O276" s="13" t="n">
        <v>1</v>
      </c>
      <c r="P276" s="13" t="n">
        <v>1</v>
      </c>
      <c r="Q276" s="35" t="n">
        <v>20051.46</v>
      </c>
      <c r="R276" s="35" t="n">
        <v>20051.46</v>
      </c>
      <c r="S276" s="35" t="n"/>
      <c r="T276" s="35" t="n"/>
      <c r="U276" s="35" t="n"/>
      <c r="V276" s="18">
        <f>IF(COUNTA($B276:$R276)=0,"",ROUND(N($R276)+N($S276)+N($T276)-N($U276),2))</f>
        <v/>
      </c>
      <c r="W276" s="18">
        <f>IF(COUNTA($B276:$R276)=0,"",IF(OR($X276="Pago",$X276="Recebido",$X276="Cancelado"),0,ROUND(N($Q276)+N($S276)+N($T276)-N($U276)-N($R276),2)))</f>
        <v/>
      </c>
      <c r="X276" s="14" t="inlineStr">
        <is>
          <t>Pago</t>
        </is>
      </c>
      <c r="Y276" s="17">
        <f>IF(COUNTA($B276:$R276)=0,"",IF($X276="Cancelado","Cancelado",IF(OR($X276="Pago",$X276="Recebido"),$X276,IF(OR($X276="Parcial",N($R276)&gt;0),"Parcial",IF($C276="","Sem vencimento",IF($C276&lt;TODAY(),"Vencido",IF($C276=TODAY(),"Vence hoje",IF($C276&lt;=TODAY()+7,"Vence em 7 dias",IF($C276&lt;=TODAY()+30,"Vence em 30 dias","Futuro")))))))))</f>
        <v/>
      </c>
      <c r="Z276" s="24">
        <f>IF($B276="","",MONTH($B276))</f>
        <v/>
      </c>
      <c r="AA276" s="24">
        <f>IF($B276="","",YEAR($B276))</f>
        <v/>
      </c>
      <c r="AB276" s="24">
        <f>IF($B276="","",ISOWEEKNUM($B276))</f>
        <v/>
      </c>
      <c r="AC276" s="17">
        <f>IF($B276="","",CHOOSE(WEEKDAY($B276,2),"Segunda","Terça","Quarta","Quinta","Sexta","Sábado","Domingo"))</f>
        <v/>
      </c>
      <c r="AD276" s="17">
        <f>IF($B276="","",TEXT($B276,"MM/AAAA"))</f>
        <v/>
      </c>
      <c r="AE276" s="18">
        <f>IF(COUNTA($B276:$R276)=0,"",IF($X276="Cancelado",0,ROUND(N($Q276)+N($S276)+N($T276)-N($U276),2)))</f>
        <v/>
      </c>
      <c r="AF276" s="9">
        <f>IF($G276="","",IFERROR(INDEX(LINHAS_DRE_PLANO,MATCH($G276,SUBCATEGORIAS_PLANO,0)),"Não classificado"))</f>
        <v/>
      </c>
      <c r="AG276" s="17">
        <f>IF($G276="","",IFERROR(INDEX(TIPOS_FLUXO_PLANO,MATCH($G276,SUBCATEGORIAS_PLANO,0)),"Não classificado"))</f>
        <v/>
      </c>
      <c r="AH276" s="9">
        <f>IF($G276="","",IFERROR(INDEX(GRUPOS_PLANO,MATCH($G276,SUBCATEGORIAS_PLANO,0)),"Não classificado"))</f>
        <v/>
      </c>
      <c r="AI276" s="24">
        <f>IF(OR($C276="",$X276="Pago",$X276="Recebido",$X276="Cancelado"),"",$C276-TODAY())</f>
        <v/>
      </c>
      <c r="AJ276" s="24">
        <f>IF(OR($C276="",$X276="Pago",$X276="Recebido",$X276="Cancelado"),0,MAX(0,TODAY()-$C276))</f>
        <v/>
      </c>
      <c r="AK276" s="24">
        <f>IF($D276="","",$D276-$B276)</f>
        <v/>
      </c>
      <c r="AL276" s="18">
        <f>IF(OR($D276="",$B276=""),"",ROUND(N($R276)*($D276-$B276),2))</f>
        <v/>
      </c>
      <c r="AM276" s="17">
        <f>IF(AND($E276="Saída",$W276&gt;0,$C276&lt;&gt;""),$C276+ROW()/1000000,"")</f>
        <v/>
      </c>
      <c r="AN276" s="17">
        <f>IF(AND($E276="Entrada",$W276&gt;0,$C276&lt;&gt;""),$C276+ROW()/1000000,"")</f>
        <v/>
      </c>
      <c r="AO276" s="9">
        <f>IF(COUNTA($B276:$R276)=0,"",IF(AND($I276&lt;&gt;"",COUNTIF(CLIENTES_NOMES,$I276)+COUNTIF(CLIENTES_FANTASIA,$I276)+COUNTIF(FORNECEDORES_NOMES,$I276)+COUNTIF(FORNECEDORES_FANTASIA,$I276)=0),"⚠ Cliente/Fornecedor não cadastrado",IF(AND($G276&lt;&gt;"",COUNTIF(SUBCATEGORIAS_PLANO,$G276)=0),"⚠ Subcategoria fora do plano de contas",IF(OR($Q276="",N($Q276)=0),"⚠ Valor previsto não informado",IF(AND(OR($X276="Pago",$X276="Recebido"),$D276=""),"⚠ Status pago/recebido sem data",IF(AND($D276&lt;&gt;"",N($R276)=0),"⚠ Data de pagamento sem valor realizado",IF(AND(N($P276)&gt;1,N($O276)&gt;N($P276)),"⚠ Nº da parcela maior que o total",IF(AND($C276&lt;&gt;"",$B276&lt;&gt;"",$C276&lt;$B276),"⚠ Vencimento anterior à competência","OK"))))))))</f>
        <v/>
      </c>
    </row>
    <row r="277">
      <c r="A277" s="14" t="inlineStr">
        <is>
          <t>L0272</t>
        </is>
      </c>
      <c r="B277" s="36" t="n">
        <v>46193</v>
      </c>
      <c r="C277" s="36" t="n">
        <v>46193</v>
      </c>
      <c r="D277" s="36" t="n">
        <v>46193</v>
      </c>
      <c r="E277" s="14" t="inlineStr">
        <is>
          <t>Saída</t>
        </is>
      </c>
      <c r="F277" s="29" t="inlineStr">
        <is>
          <t>Empréstimos e Financiamentos</t>
        </is>
      </c>
      <c r="G277" s="29" t="inlineStr">
        <is>
          <t>Pagamento de Principal de Empréstimos</t>
        </is>
      </c>
      <c r="H277" s="29" t="inlineStr">
        <is>
          <t>Diretoria</t>
        </is>
      </c>
      <c r="I277" s="29" t="inlineStr">
        <is>
          <t>Banco Santander</t>
        </is>
      </c>
      <c r="J277" s="29" t="inlineStr">
        <is>
          <t>Financiamento de Veículo — parcela 5/48 (principal)</t>
        </is>
      </c>
      <c r="K277" s="14" t="inlineStr">
        <is>
          <t>VEI-2026-0088-P05</t>
        </is>
      </c>
      <c r="L277" s="29" t="inlineStr">
        <is>
          <t>Itaú Unibanco — C/C 45678-9</t>
        </is>
      </c>
      <c r="M277" s="14" t="inlineStr">
        <is>
          <t>Débito automático</t>
        </is>
      </c>
      <c r="N277" s="29" t="n"/>
      <c r="O277" s="13" t="n">
        <v>5</v>
      </c>
      <c r="P277" s="13" t="n">
        <v>48</v>
      </c>
      <c r="Q277" s="35" t="n">
        <v>1288.94</v>
      </c>
      <c r="R277" s="35" t="n">
        <v>1288.94</v>
      </c>
      <c r="S277" s="35" t="n"/>
      <c r="T277" s="35" t="n"/>
      <c r="U277" s="35" t="n"/>
      <c r="V277" s="18">
        <f>IF(COUNTA($B277:$R277)=0,"",ROUND(N($R277)+N($S277)+N($T277)-N($U277),2))</f>
        <v/>
      </c>
      <c r="W277" s="18">
        <f>IF(COUNTA($B277:$R277)=0,"",IF(OR($X277="Pago",$X277="Recebido",$X277="Cancelado"),0,ROUND(N($Q277)+N($S277)+N($T277)-N($U277)-N($R277),2)))</f>
        <v/>
      </c>
      <c r="X277" s="14" t="inlineStr">
        <is>
          <t>Pago</t>
        </is>
      </c>
      <c r="Y277" s="17">
        <f>IF(COUNTA($B277:$R277)=0,"",IF($X277="Cancelado","Cancelado",IF(OR($X277="Pago",$X277="Recebido"),$X277,IF(OR($X277="Parcial",N($R277)&gt;0),"Parcial",IF($C277="","Sem vencimento",IF($C277&lt;TODAY(),"Vencido",IF($C277=TODAY(),"Vence hoje",IF($C277&lt;=TODAY()+7,"Vence em 7 dias",IF($C277&lt;=TODAY()+30,"Vence em 30 dias","Futuro")))))))))</f>
        <v/>
      </c>
      <c r="Z277" s="24">
        <f>IF($B277="","",MONTH($B277))</f>
        <v/>
      </c>
      <c r="AA277" s="24">
        <f>IF($B277="","",YEAR($B277))</f>
        <v/>
      </c>
      <c r="AB277" s="24">
        <f>IF($B277="","",ISOWEEKNUM($B277))</f>
        <v/>
      </c>
      <c r="AC277" s="17">
        <f>IF($B277="","",CHOOSE(WEEKDAY($B277,2),"Segunda","Terça","Quarta","Quinta","Sexta","Sábado","Domingo"))</f>
        <v/>
      </c>
      <c r="AD277" s="17">
        <f>IF($B277="","",TEXT($B277,"MM/AAAA"))</f>
        <v/>
      </c>
      <c r="AE277" s="18">
        <f>IF(COUNTA($B277:$R277)=0,"",IF($X277="Cancelado",0,ROUND(N($Q277)+N($S277)+N($T277)-N($U277),2)))</f>
        <v/>
      </c>
      <c r="AF277" s="9">
        <f>IF($G277="","",IFERROR(INDEX(LINHAS_DRE_PLANO,MATCH($G277,SUBCATEGORIAS_PLANO,0)),"Não classificado"))</f>
        <v/>
      </c>
      <c r="AG277" s="17">
        <f>IF($G277="","",IFERROR(INDEX(TIPOS_FLUXO_PLANO,MATCH($G277,SUBCATEGORIAS_PLANO,0)),"Não classificado"))</f>
        <v/>
      </c>
      <c r="AH277" s="9">
        <f>IF($G277="","",IFERROR(INDEX(GRUPOS_PLANO,MATCH($G277,SUBCATEGORIAS_PLANO,0)),"Não classificado"))</f>
        <v/>
      </c>
      <c r="AI277" s="24">
        <f>IF(OR($C277="",$X277="Pago",$X277="Recebido",$X277="Cancelado"),"",$C277-TODAY())</f>
        <v/>
      </c>
      <c r="AJ277" s="24">
        <f>IF(OR($C277="",$X277="Pago",$X277="Recebido",$X277="Cancelado"),0,MAX(0,TODAY()-$C277))</f>
        <v/>
      </c>
      <c r="AK277" s="24">
        <f>IF($D277="","",$D277-$B277)</f>
        <v/>
      </c>
      <c r="AL277" s="18">
        <f>IF(OR($D277="",$B277=""),"",ROUND(N($R277)*($D277-$B277),2))</f>
        <v/>
      </c>
      <c r="AM277" s="17">
        <f>IF(AND($E277="Saída",$W277&gt;0,$C277&lt;&gt;""),$C277+ROW()/1000000,"")</f>
        <v/>
      </c>
      <c r="AN277" s="17">
        <f>IF(AND($E277="Entrada",$W277&gt;0,$C277&lt;&gt;""),$C277+ROW()/1000000,"")</f>
        <v/>
      </c>
      <c r="AO277" s="9">
        <f>IF(COUNTA($B277:$R277)=0,"",IF(AND($I277&lt;&gt;"",COUNTIF(CLIENTES_NOMES,$I277)+COUNTIF(CLIENTES_FANTASIA,$I277)+COUNTIF(FORNECEDORES_NOMES,$I277)+COUNTIF(FORNECEDORES_FANTASIA,$I277)=0),"⚠ Cliente/Fornecedor não cadastrado",IF(AND($G277&lt;&gt;"",COUNTIF(SUBCATEGORIAS_PLANO,$G277)=0),"⚠ Subcategoria fora do plano de contas",IF(OR($Q277="",N($Q277)=0),"⚠ Valor previsto não informado",IF(AND(OR($X277="Pago",$X277="Recebido"),$D277=""),"⚠ Status pago/recebido sem data",IF(AND($D277&lt;&gt;"",N($R277)=0),"⚠ Data de pagamento sem valor realizado",IF(AND(N($P277)&gt;1,N($O277)&gt;N($P277)),"⚠ Nº da parcela maior que o total",IF(AND($C277&lt;&gt;"",$B277&lt;&gt;"",$C277&lt;$B277),"⚠ Vencimento anterior à competência","OK"))))))))</f>
        <v/>
      </c>
    </row>
    <row r="278">
      <c r="A278" s="14" t="inlineStr">
        <is>
          <t>L0273</t>
        </is>
      </c>
      <c r="B278" s="36" t="n">
        <v>46193</v>
      </c>
      <c r="C278" s="36" t="n">
        <v>46193</v>
      </c>
      <c r="D278" s="36" t="n">
        <v>46193</v>
      </c>
      <c r="E278" s="14" t="inlineStr">
        <is>
          <t>Saída</t>
        </is>
      </c>
      <c r="F278" s="29" t="inlineStr">
        <is>
          <t>Despesas Financeiras</t>
        </is>
      </c>
      <c r="G278" s="29" t="inlineStr">
        <is>
          <t>Juros de Empréstimos e Financiamentos</t>
        </is>
      </c>
      <c r="H278" s="29" t="inlineStr">
        <is>
          <t>Diretoria</t>
        </is>
      </c>
      <c r="I278" s="29" t="inlineStr">
        <is>
          <t>Banco Santander</t>
        </is>
      </c>
      <c r="J278" s="29" t="inlineStr">
        <is>
          <t>Financiamento de Veículo — parcela 5/48 (juros)</t>
        </is>
      </c>
      <c r="K278" s="14" t="inlineStr">
        <is>
          <t>VEI-2026-0088-P05</t>
        </is>
      </c>
      <c r="L278" s="29" t="inlineStr">
        <is>
          <t>Itaú Unibanco — C/C 45678-9</t>
        </is>
      </c>
      <c r="M278" s="14" t="inlineStr">
        <is>
          <t>Débito automático</t>
        </is>
      </c>
      <c r="N278" s="29" t="n"/>
      <c r="O278" s="13" t="n">
        <v>5</v>
      </c>
      <c r="P278" s="13" t="n">
        <v>48</v>
      </c>
      <c r="Q278" s="35" t="n">
        <v>937.52</v>
      </c>
      <c r="R278" s="35" t="n">
        <v>937.52</v>
      </c>
      <c r="S278" s="35" t="n"/>
      <c r="T278" s="35" t="n"/>
      <c r="U278" s="35" t="n"/>
      <c r="V278" s="18">
        <f>IF(COUNTA($B278:$R278)=0,"",ROUND(N($R278)+N($S278)+N($T278)-N($U278),2))</f>
        <v/>
      </c>
      <c r="W278" s="18">
        <f>IF(COUNTA($B278:$R278)=0,"",IF(OR($X278="Pago",$X278="Recebido",$X278="Cancelado"),0,ROUND(N($Q278)+N($S278)+N($T278)-N($U278)-N($R278),2)))</f>
        <v/>
      </c>
      <c r="X278" s="14" t="inlineStr">
        <is>
          <t>Pago</t>
        </is>
      </c>
      <c r="Y278" s="17">
        <f>IF(COUNTA($B278:$R278)=0,"",IF($X278="Cancelado","Cancelado",IF(OR($X278="Pago",$X278="Recebido"),$X278,IF(OR($X278="Parcial",N($R278)&gt;0),"Parcial",IF($C278="","Sem vencimento",IF($C278&lt;TODAY(),"Vencido",IF($C278=TODAY(),"Vence hoje",IF($C278&lt;=TODAY()+7,"Vence em 7 dias",IF($C278&lt;=TODAY()+30,"Vence em 30 dias","Futuro")))))))))</f>
        <v/>
      </c>
      <c r="Z278" s="24">
        <f>IF($B278="","",MONTH($B278))</f>
        <v/>
      </c>
      <c r="AA278" s="24">
        <f>IF($B278="","",YEAR($B278))</f>
        <v/>
      </c>
      <c r="AB278" s="24">
        <f>IF($B278="","",ISOWEEKNUM($B278))</f>
        <v/>
      </c>
      <c r="AC278" s="17">
        <f>IF($B278="","",CHOOSE(WEEKDAY($B278,2),"Segunda","Terça","Quarta","Quinta","Sexta","Sábado","Domingo"))</f>
        <v/>
      </c>
      <c r="AD278" s="17">
        <f>IF($B278="","",TEXT($B278,"MM/AAAA"))</f>
        <v/>
      </c>
      <c r="AE278" s="18">
        <f>IF(COUNTA($B278:$R278)=0,"",IF($X278="Cancelado",0,ROUND(N($Q278)+N($S278)+N($T278)-N($U278),2)))</f>
        <v/>
      </c>
      <c r="AF278" s="9">
        <f>IF($G278="","",IFERROR(INDEX(LINHAS_DRE_PLANO,MATCH($G278,SUBCATEGORIAS_PLANO,0)),"Não classificado"))</f>
        <v/>
      </c>
      <c r="AG278" s="17">
        <f>IF($G278="","",IFERROR(INDEX(TIPOS_FLUXO_PLANO,MATCH($G278,SUBCATEGORIAS_PLANO,0)),"Não classificado"))</f>
        <v/>
      </c>
      <c r="AH278" s="9">
        <f>IF($G278="","",IFERROR(INDEX(GRUPOS_PLANO,MATCH($G278,SUBCATEGORIAS_PLANO,0)),"Não classificado"))</f>
        <v/>
      </c>
      <c r="AI278" s="24">
        <f>IF(OR($C278="",$X278="Pago",$X278="Recebido",$X278="Cancelado"),"",$C278-TODAY())</f>
        <v/>
      </c>
      <c r="AJ278" s="24">
        <f>IF(OR($C278="",$X278="Pago",$X278="Recebido",$X278="Cancelado"),0,MAX(0,TODAY()-$C278))</f>
        <v/>
      </c>
      <c r="AK278" s="24">
        <f>IF($D278="","",$D278-$B278)</f>
        <v/>
      </c>
      <c r="AL278" s="18">
        <f>IF(OR($D278="",$B278=""),"",ROUND(N($R278)*($D278-$B278),2))</f>
        <v/>
      </c>
      <c r="AM278" s="17">
        <f>IF(AND($E278="Saída",$W278&gt;0,$C278&lt;&gt;""),$C278+ROW()/1000000,"")</f>
        <v/>
      </c>
      <c r="AN278" s="17">
        <f>IF(AND($E278="Entrada",$W278&gt;0,$C278&lt;&gt;""),$C278+ROW()/1000000,"")</f>
        <v/>
      </c>
      <c r="AO278" s="9">
        <f>IF(COUNTA($B278:$R278)=0,"",IF(AND($I278&lt;&gt;"",COUNTIF(CLIENTES_NOMES,$I278)+COUNTIF(CLIENTES_FANTASIA,$I278)+COUNTIF(FORNECEDORES_NOMES,$I278)+COUNTIF(FORNECEDORES_FANTASIA,$I278)=0),"⚠ Cliente/Fornecedor não cadastrado",IF(AND($G278&lt;&gt;"",COUNTIF(SUBCATEGORIAS_PLANO,$G278)=0),"⚠ Subcategoria fora do plano de contas",IF(OR($Q278="",N($Q278)=0),"⚠ Valor previsto não informado",IF(AND(OR($X278="Pago",$X278="Recebido"),$D278=""),"⚠ Status pago/recebido sem data",IF(AND($D278&lt;&gt;"",N($R278)=0),"⚠ Data de pagamento sem valor realizado",IF(AND(N($P278)&gt;1,N($O278)&gt;N($P278)),"⚠ Nº da parcela maior que o total",IF(AND($C278&lt;&gt;"",$B278&lt;&gt;"",$C278&lt;$B278),"⚠ Vencimento anterior à competência","OK"))))))))</f>
        <v/>
      </c>
    </row>
    <row r="279">
      <c r="A279" s="14" t="inlineStr">
        <is>
          <t>L0274</t>
        </is>
      </c>
      <c r="B279" s="36" t="n">
        <v>46195</v>
      </c>
      <c r="C279" s="36" t="n">
        <v>46225</v>
      </c>
      <c r="D279" s="36" t="n">
        <v>46226</v>
      </c>
      <c r="E279" s="14" t="inlineStr">
        <is>
          <t>Entrada</t>
        </is>
      </c>
      <c r="F279" s="29" t="inlineStr">
        <is>
          <t>Vendas</t>
        </is>
      </c>
      <c r="G279" s="29" t="inlineStr">
        <is>
          <t>Vendas de Serviços</t>
        </is>
      </c>
      <c r="H279" s="29" t="inlineStr">
        <is>
          <t>Comercial</t>
        </is>
      </c>
      <c r="I279" s="29" t="inlineStr">
        <is>
          <t>MERCADO BOA COMPRA LTDA</t>
        </is>
      </c>
      <c r="J279" s="29" t="inlineStr">
        <is>
          <t>Serviços de logística, montagem e reposição</t>
        </is>
      </c>
      <c r="K279" s="14" t="inlineStr">
        <is>
          <t>RPS 3063</t>
        </is>
      </c>
      <c r="L279" s="29" t="inlineStr">
        <is>
          <t>Banco do Brasil — C/C 12345-6</t>
        </is>
      </c>
      <c r="M279" s="14" t="inlineStr">
        <is>
          <t>Boleto</t>
        </is>
      </c>
      <c r="N279" s="29" t="n"/>
      <c r="O279" s="13" t="n">
        <v>1</v>
      </c>
      <c r="P279" s="13" t="n">
        <v>1</v>
      </c>
      <c r="Q279" s="35" t="n">
        <v>11842.49</v>
      </c>
      <c r="R279" s="35" t="n">
        <v>11842.49</v>
      </c>
      <c r="S279" s="35" t="n"/>
      <c r="T279" s="35" t="n"/>
      <c r="U279" s="35" t="n"/>
      <c r="V279" s="18">
        <f>IF(COUNTA($B279:$R279)=0,"",ROUND(N($R279)+N($S279)+N($T279)-N($U279),2))</f>
        <v/>
      </c>
      <c r="W279" s="18">
        <f>IF(COUNTA($B279:$R279)=0,"",IF(OR($X279="Pago",$X279="Recebido",$X279="Cancelado"),0,ROUND(N($Q279)+N($S279)+N($T279)-N($U279)-N($R279),2)))</f>
        <v/>
      </c>
      <c r="X279" s="14" t="inlineStr">
        <is>
          <t>Pago</t>
        </is>
      </c>
      <c r="Y279" s="17">
        <f>IF(COUNTA($B279:$R279)=0,"",IF($X279="Cancelado","Cancelado",IF(OR($X279="Pago",$X279="Recebido"),$X279,IF(OR($X279="Parcial",N($R279)&gt;0),"Parcial",IF($C279="","Sem vencimento",IF($C279&lt;TODAY(),"Vencido",IF($C279=TODAY(),"Vence hoje",IF($C279&lt;=TODAY()+7,"Vence em 7 dias",IF($C279&lt;=TODAY()+30,"Vence em 30 dias","Futuro")))))))))</f>
        <v/>
      </c>
      <c r="Z279" s="24">
        <f>IF($B279="","",MONTH($B279))</f>
        <v/>
      </c>
      <c r="AA279" s="24">
        <f>IF($B279="","",YEAR($B279))</f>
        <v/>
      </c>
      <c r="AB279" s="24">
        <f>IF($B279="","",ISOWEEKNUM($B279))</f>
        <v/>
      </c>
      <c r="AC279" s="17">
        <f>IF($B279="","",CHOOSE(WEEKDAY($B279,2),"Segunda","Terça","Quarta","Quinta","Sexta","Sábado","Domingo"))</f>
        <v/>
      </c>
      <c r="AD279" s="17">
        <f>IF($B279="","",TEXT($B279,"MM/AAAA"))</f>
        <v/>
      </c>
      <c r="AE279" s="18">
        <f>IF(COUNTA($B279:$R279)=0,"",IF($X279="Cancelado",0,ROUND(N($Q279)+N($S279)+N($T279)-N($U279),2)))</f>
        <v/>
      </c>
      <c r="AF279" s="9">
        <f>IF($G279="","",IFERROR(INDEX(LINHAS_DRE_PLANO,MATCH($G279,SUBCATEGORIAS_PLANO,0)),"Não classificado"))</f>
        <v/>
      </c>
      <c r="AG279" s="17">
        <f>IF($G279="","",IFERROR(INDEX(TIPOS_FLUXO_PLANO,MATCH($G279,SUBCATEGORIAS_PLANO,0)),"Não classificado"))</f>
        <v/>
      </c>
      <c r="AH279" s="9">
        <f>IF($G279="","",IFERROR(INDEX(GRUPOS_PLANO,MATCH($G279,SUBCATEGORIAS_PLANO,0)),"Não classificado"))</f>
        <v/>
      </c>
      <c r="AI279" s="24">
        <f>IF(OR($C279="",$X279="Pago",$X279="Recebido",$X279="Cancelado"),"",$C279-TODAY())</f>
        <v/>
      </c>
      <c r="AJ279" s="24">
        <f>IF(OR($C279="",$X279="Pago",$X279="Recebido",$X279="Cancelado"),0,MAX(0,TODAY()-$C279))</f>
        <v/>
      </c>
      <c r="AK279" s="24">
        <f>IF($D279="","",$D279-$B279)</f>
        <v/>
      </c>
      <c r="AL279" s="18">
        <f>IF(OR($D279="",$B279=""),"",ROUND(N($R279)*($D279-$B279),2))</f>
        <v/>
      </c>
      <c r="AM279" s="17">
        <f>IF(AND($E279="Saída",$W279&gt;0,$C279&lt;&gt;""),$C279+ROW()/1000000,"")</f>
        <v/>
      </c>
      <c r="AN279" s="17">
        <f>IF(AND($E279="Entrada",$W279&gt;0,$C279&lt;&gt;""),$C279+ROW()/1000000,"")</f>
        <v/>
      </c>
      <c r="AO279" s="9">
        <f>IF(COUNTA($B279:$R279)=0,"",IF(AND($I279&lt;&gt;"",COUNTIF(CLIENTES_NOMES,$I279)+COUNTIF(CLIENTES_FANTASIA,$I279)+COUNTIF(FORNECEDORES_NOMES,$I279)+COUNTIF(FORNECEDORES_FANTASIA,$I279)=0),"⚠ Cliente/Fornecedor não cadastrado",IF(AND($G279&lt;&gt;"",COUNTIF(SUBCATEGORIAS_PLANO,$G279)=0),"⚠ Subcategoria fora do plano de contas",IF(OR($Q279="",N($Q279)=0),"⚠ Valor previsto não informado",IF(AND(OR($X279="Pago",$X279="Recebido"),$D279=""),"⚠ Status pago/recebido sem data",IF(AND($D279&lt;&gt;"",N($R279)=0),"⚠ Data de pagamento sem valor realizado",IF(AND(N($P279)&gt;1,N($O279)&gt;N($P279)),"⚠ Nº da parcela maior que o total",IF(AND($C279&lt;&gt;"",$B279&lt;&gt;"",$C279&lt;$B279),"⚠ Vencimento anterior à competência","OK"))))))))</f>
        <v/>
      </c>
    </row>
    <row r="280">
      <c r="A280" s="14" t="inlineStr">
        <is>
          <t>L0275</t>
        </is>
      </c>
      <c r="B280" s="36" t="n">
        <v>46195</v>
      </c>
      <c r="C280" s="36" t="n">
        <v>46210</v>
      </c>
      <c r="D280" s="36" t="n">
        <v>46213</v>
      </c>
      <c r="E280" s="14" t="inlineStr">
        <is>
          <t>Entrada</t>
        </is>
      </c>
      <c r="F280" s="29" t="inlineStr">
        <is>
          <t>Vendas</t>
        </is>
      </c>
      <c r="G280" s="29" t="inlineStr">
        <is>
          <t>Vendas de Serviços</t>
        </is>
      </c>
      <c r="H280" s="29" t="inlineStr">
        <is>
          <t>Comercial</t>
        </is>
      </c>
      <c r="I280" s="29" t="inlineStr">
        <is>
          <t>RESTAURANTE SABOR CASEIRO LTDA</t>
        </is>
      </c>
      <c r="J280" s="29" t="inlineStr">
        <is>
          <t>Serviços de logística, montagem e reposição</t>
        </is>
      </c>
      <c r="K280" s="14" t="inlineStr">
        <is>
          <t>RPS 3067</t>
        </is>
      </c>
      <c r="L280" s="29" t="inlineStr">
        <is>
          <t>Itaú Unibanco — C/C 45678-9</t>
        </is>
      </c>
      <c r="M280" s="14" t="inlineStr">
        <is>
          <t>Boleto</t>
        </is>
      </c>
      <c r="N280" s="29" t="n"/>
      <c r="O280" s="13" t="n">
        <v>1</v>
      </c>
      <c r="P280" s="13" t="n">
        <v>1</v>
      </c>
      <c r="Q280" s="35" t="n">
        <v>7078.65</v>
      </c>
      <c r="R280" s="35" t="n">
        <v>7078.65</v>
      </c>
      <c r="S280" s="35" t="n"/>
      <c r="T280" s="35" t="n"/>
      <c r="U280" s="35" t="n"/>
      <c r="V280" s="18">
        <f>IF(COUNTA($B280:$R280)=0,"",ROUND(N($R280)+N($S280)+N($T280)-N($U280),2))</f>
        <v/>
      </c>
      <c r="W280" s="18">
        <f>IF(COUNTA($B280:$R280)=0,"",IF(OR($X280="Pago",$X280="Recebido",$X280="Cancelado"),0,ROUND(N($Q280)+N($S280)+N($T280)-N($U280)-N($R280),2)))</f>
        <v/>
      </c>
      <c r="X280" s="14" t="inlineStr">
        <is>
          <t>Pago</t>
        </is>
      </c>
      <c r="Y280" s="17">
        <f>IF(COUNTA($B280:$R280)=0,"",IF($X280="Cancelado","Cancelado",IF(OR($X280="Pago",$X280="Recebido"),$X280,IF(OR($X280="Parcial",N($R280)&gt;0),"Parcial",IF($C280="","Sem vencimento",IF($C280&lt;TODAY(),"Vencido",IF($C280=TODAY(),"Vence hoje",IF($C280&lt;=TODAY()+7,"Vence em 7 dias",IF($C280&lt;=TODAY()+30,"Vence em 30 dias","Futuro")))))))))</f>
        <v/>
      </c>
      <c r="Z280" s="24">
        <f>IF($B280="","",MONTH($B280))</f>
        <v/>
      </c>
      <c r="AA280" s="24">
        <f>IF($B280="","",YEAR($B280))</f>
        <v/>
      </c>
      <c r="AB280" s="24">
        <f>IF($B280="","",ISOWEEKNUM($B280))</f>
        <v/>
      </c>
      <c r="AC280" s="17">
        <f>IF($B280="","",CHOOSE(WEEKDAY($B280,2),"Segunda","Terça","Quarta","Quinta","Sexta","Sábado","Domingo"))</f>
        <v/>
      </c>
      <c r="AD280" s="17">
        <f>IF($B280="","",TEXT($B280,"MM/AAAA"))</f>
        <v/>
      </c>
      <c r="AE280" s="18">
        <f>IF(COUNTA($B280:$R280)=0,"",IF($X280="Cancelado",0,ROUND(N($Q280)+N($S280)+N($T280)-N($U280),2)))</f>
        <v/>
      </c>
      <c r="AF280" s="9">
        <f>IF($G280="","",IFERROR(INDEX(LINHAS_DRE_PLANO,MATCH($G280,SUBCATEGORIAS_PLANO,0)),"Não classificado"))</f>
        <v/>
      </c>
      <c r="AG280" s="17">
        <f>IF($G280="","",IFERROR(INDEX(TIPOS_FLUXO_PLANO,MATCH($G280,SUBCATEGORIAS_PLANO,0)),"Não classificado"))</f>
        <v/>
      </c>
      <c r="AH280" s="9">
        <f>IF($G280="","",IFERROR(INDEX(GRUPOS_PLANO,MATCH($G280,SUBCATEGORIAS_PLANO,0)),"Não classificado"))</f>
        <v/>
      </c>
      <c r="AI280" s="24">
        <f>IF(OR($C280="",$X280="Pago",$X280="Recebido",$X280="Cancelado"),"",$C280-TODAY())</f>
        <v/>
      </c>
      <c r="AJ280" s="24">
        <f>IF(OR($C280="",$X280="Pago",$X280="Recebido",$X280="Cancelado"),0,MAX(0,TODAY()-$C280))</f>
        <v/>
      </c>
      <c r="AK280" s="24">
        <f>IF($D280="","",$D280-$B280)</f>
        <v/>
      </c>
      <c r="AL280" s="18">
        <f>IF(OR($D280="",$B280=""),"",ROUND(N($R280)*($D280-$B280),2))</f>
        <v/>
      </c>
      <c r="AM280" s="17">
        <f>IF(AND($E280="Saída",$W280&gt;0,$C280&lt;&gt;""),$C280+ROW()/1000000,"")</f>
        <v/>
      </c>
      <c r="AN280" s="17">
        <f>IF(AND($E280="Entrada",$W280&gt;0,$C280&lt;&gt;""),$C280+ROW()/1000000,"")</f>
        <v/>
      </c>
      <c r="AO280" s="9">
        <f>IF(COUNTA($B280:$R280)=0,"",IF(AND($I280&lt;&gt;"",COUNTIF(CLIENTES_NOMES,$I280)+COUNTIF(CLIENTES_FANTASIA,$I280)+COUNTIF(FORNECEDORES_NOMES,$I280)+COUNTIF(FORNECEDORES_FANTASIA,$I280)=0),"⚠ Cliente/Fornecedor não cadastrado",IF(AND($G280&lt;&gt;"",COUNTIF(SUBCATEGORIAS_PLANO,$G280)=0),"⚠ Subcategoria fora do plano de contas",IF(OR($Q280="",N($Q280)=0),"⚠ Valor previsto não informado",IF(AND(OR($X280="Pago",$X280="Recebido"),$D280=""),"⚠ Status pago/recebido sem data",IF(AND($D280&lt;&gt;"",N($R280)=0),"⚠ Data de pagamento sem valor realizado",IF(AND(N($P280)&gt;1,N($O280)&gt;N($P280)),"⚠ Nº da parcela maior que o total",IF(AND($C280&lt;&gt;"",$B280&lt;&gt;"",$C280&lt;$B280),"⚠ Vencimento anterior à competência","OK"))))))))</f>
        <v/>
      </c>
    </row>
    <row r="281">
      <c r="A281" s="14" t="inlineStr">
        <is>
          <t>L0276</t>
        </is>
      </c>
      <c r="B281" s="36" t="n">
        <v>46195</v>
      </c>
      <c r="C281" s="36" t="n">
        <v>46216</v>
      </c>
      <c r="D281" s="36" t="n">
        <v>46217</v>
      </c>
      <c r="E281" s="14" t="inlineStr">
        <is>
          <t>Entrada</t>
        </is>
      </c>
      <c r="F281" s="29" t="inlineStr">
        <is>
          <t>Vendas</t>
        </is>
      </c>
      <c r="G281" s="29" t="inlineStr">
        <is>
          <t>Vendas de Serviços</t>
        </is>
      </c>
      <c r="H281" s="29" t="inlineStr">
        <is>
          <t>Comercial</t>
        </is>
      </c>
      <c r="I281" s="29" t="inlineStr">
        <is>
          <t>EMPÓRIO NATURAL COMÉRCIO LTDA</t>
        </is>
      </c>
      <c r="J281" s="29" t="inlineStr">
        <is>
          <t>Serviços de logística, montagem e reposição</t>
        </is>
      </c>
      <c r="K281" s="14" t="inlineStr">
        <is>
          <t>RPS 3071</t>
        </is>
      </c>
      <c r="L281" s="29" t="inlineStr">
        <is>
          <t>Itaú Unibanco — C/C 45678-9</t>
        </is>
      </c>
      <c r="M281" s="14" t="inlineStr">
        <is>
          <t>Boleto</t>
        </is>
      </c>
      <c r="N281" s="29" t="n"/>
      <c r="O281" s="13" t="n">
        <v>1</v>
      </c>
      <c r="P281" s="13" t="n">
        <v>1</v>
      </c>
      <c r="Q281" s="35" t="n">
        <v>14002.53</v>
      </c>
      <c r="R281" s="35" t="n">
        <v>14002.53</v>
      </c>
      <c r="S281" s="35" t="n"/>
      <c r="T281" s="35" t="n"/>
      <c r="U281" s="35" t="n"/>
      <c r="V281" s="18">
        <f>IF(COUNTA($B281:$R281)=0,"",ROUND(N($R281)+N($S281)+N($T281)-N($U281),2))</f>
        <v/>
      </c>
      <c r="W281" s="18">
        <f>IF(COUNTA($B281:$R281)=0,"",IF(OR($X281="Pago",$X281="Recebido",$X281="Cancelado"),0,ROUND(N($Q281)+N($S281)+N($T281)-N($U281)-N($R281),2)))</f>
        <v/>
      </c>
      <c r="X281" s="14" t="inlineStr">
        <is>
          <t>Pago</t>
        </is>
      </c>
      <c r="Y281" s="17">
        <f>IF(COUNTA($B281:$R281)=0,"",IF($X281="Cancelado","Cancelado",IF(OR($X281="Pago",$X281="Recebido"),$X281,IF(OR($X281="Parcial",N($R281)&gt;0),"Parcial",IF($C281="","Sem vencimento",IF($C281&lt;TODAY(),"Vencido",IF($C281=TODAY(),"Vence hoje",IF($C281&lt;=TODAY()+7,"Vence em 7 dias",IF($C281&lt;=TODAY()+30,"Vence em 30 dias","Futuro")))))))))</f>
        <v/>
      </c>
      <c r="Z281" s="24">
        <f>IF($B281="","",MONTH($B281))</f>
        <v/>
      </c>
      <c r="AA281" s="24">
        <f>IF($B281="","",YEAR($B281))</f>
        <v/>
      </c>
      <c r="AB281" s="24">
        <f>IF($B281="","",ISOWEEKNUM($B281))</f>
        <v/>
      </c>
      <c r="AC281" s="17">
        <f>IF($B281="","",CHOOSE(WEEKDAY($B281,2),"Segunda","Terça","Quarta","Quinta","Sexta","Sábado","Domingo"))</f>
        <v/>
      </c>
      <c r="AD281" s="17">
        <f>IF($B281="","",TEXT($B281,"MM/AAAA"))</f>
        <v/>
      </c>
      <c r="AE281" s="18">
        <f>IF(COUNTA($B281:$R281)=0,"",IF($X281="Cancelado",0,ROUND(N($Q281)+N($S281)+N($T281)-N($U281),2)))</f>
        <v/>
      </c>
      <c r="AF281" s="9">
        <f>IF($G281="","",IFERROR(INDEX(LINHAS_DRE_PLANO,MATCH($G281,SUBCATEGORIAS_PLANO,0)),"Não classificado"))</f>
        <v/>
      </c>
      <c r="AG281" s="17">
        <f>IF($G281="","",IFERROR(INDEX(TIPOS_FLUXO_PLANO,MATCH($G281,SUBCATEGORIAS_PLANO,0)),"Não classificado"))</f>
        <v/>
      </c>
      <c r="AH281" s="9">
        <f>IF($G281="","",IFERROR(INDEX(GRUPOS_PLANO,MATCH($G281,SUBCATEGORIAS_PLANO,0)),"Não classificado"))</f>
        <v/>
      </c>
      <c r="AI281" s="24">
        <f>IF(OR($C281="",$X281="Pago",$X281="Recebido",$X281="Cancelado"),"",$C281-TODAY())</f>
        <v/>
      </c>
      <c r="AJ281" s="24">
        <f>IF(OR($C281="",$X281="Pago",$X281="Recebido",$X281="Cancelado"),0,MAX(0,TODAY()-$C281))</f>
        <v/>
      </c>
      <c r="AK281" s="24">
        <f>IF($D281="","",$D281-$B281)</f>
        <v/>
      </c>
      <c r="AL281" s="18">
        <f>IF(OR($D281="",$B281=""),"",ROUND(N($R281)*($D281-$B281),2))</f>
        <v/>
      </c>
      <c r="AM281" s="17">
        <f>IF(AND($E281="Saída",$W281&gt;0,$C281&lt;&gt;""),$C281+ROW()/1000000,"")</f>
        <v/>
      </c>
      <c r="AN281" s="17">
        <f>IF(AND($E281="Entrada",$W281&gt;0,$C281&lt;&gt;""),$C281+ROW()/1000000,"")</f>
        <v/>
      </c>
      <c r="AO281" s="9">
        <f>IF(COUNTA($B281:$R281)=0,"",IF(AND($I281&lt;&gt;"",COUNTIF(CLIENTES_NOMES,$I281)+COUNTIF(CLIENTES_FANTASIA,$I281)+COUNTIF(FORNECEDORES_NOMES,$I281)+COUNTIF(FORNECEDORES_FANTASIA,$I281)=0),"⚠ Cliente/Fornecedor não cadastrado",IF(AND($G281&lt;&gt;"",COUNTIF(SUBCATEGORIAS_PLANO,$G281)=0),"⚠ Subcategoria fora do plano de contas",IF(OR($Q281="",N($Q281)=0),"⚠ Valor previsto não informado",IF(AND(OR($X281="Pago",$X281="Recebido"),$D281=""),"⚠ Status pago/recebido sem data",IF(AND($D281&lt;&gt;"",N($R281)=0),"⚠ Data de pagamento sem valor realizado",IF(AND(N($P281)&gt;1,N($O281)&gt;N($P281)),"⚠ Nº da parcela maior que o total",IF(AND($C281&lt;&gt;"",$B281&lt;&gt;"",$C281&lt;$B281),"⚠ Vencimento anterior à competência","OK"))))))))</f>
        <v/>
      </c>
    </row>
    <row r="282">
      <c r="A282" s="14" t="inlineStr">
        <is>
          <t>L0277</t>
        </is>
      </c>
      <c r="B282" s="36" t="n">
        <v>46195</v>
      </c>
      <c r="C282" s="36" t="n">
        <v>46205</v>
      </c>
      <c r="D282" s="36" t="n">
        <v>46206</v>
      </c>
      <c r="E282" s="14" t="inlineStr">
        <is>
          <t>Saída</t>
        </is>
      </c>
      <c r="F282" s="29" t="inlineStr">
        <is>
          <t>Despesas Administrativas</t>
        </is>
      </c>
      <c r="G282" s="29" t="inlineStr">
        <is>
          <t>Manutenção e Conservação</t>
        </is>
      </c>
      <c r="H282" s="29" t="inlineStr">
        <is>
          <t>Administrativo</t>
        </is>
      </c>
      <c r="I282" s="29" t="inlineStr">
        <is>
          <t>MANUTENÇÃO PREDIAL EXPRESSA LTDA</t>
        </is>
      </c>
      <c r="J282" s="29" t="inlineStr">
        <is>
          <t>Manutenção predial, empilhadeira e frota</t>
        </is>
      </c>
      <c r="K282" s="14" t="inlineStr">
        <is>
          <t>DOC 8358</t>
        </is>
      </c>
      <c r="L282" s="29" t="inlineStr">
        <is>
          <t>Itaú Unibanco — C/C 45678-9</t>
        </is>
      </c>
      <c r="M282" s="14" t="inlineStr">
        <is>
          <t>PIX</t>
        </is>
      </c>
      <c r="N282" s="29" t="n"/>
      <c r="O282" s="13" t="n">
        <v>1</v>
      </c>
      <c r="P282" s="13" t="n">
        <v>1</v>
      </c>
      <c r="Q282" s="35" t="n">
        <v>680.9400000000001</v>
      </c>
      <c r="R282" s="35" t="n">
        <v>680.9400000000001</v>
      </c>
      <c r="S282" s="35" t="n"/>
      <c r="T282" s="35" t="n"/>
      <c r="U282" s="35" t="n"/>
      <c r="V282" s="18">
        <f>IF(COUNTA($B282:$R282)=0,"",ROUND(N($R282)+N($S282)+N($T282)-N($U282),2))</f>
        <v/>
      </c>
      <c r="W282" s="18">
        <f>IF(COUNTA($B282:$R282)=0,"",IF(OR($X282="Pago",$X282="Recebido",$X282="Cancelado"),0,ROUND(N($Q282)+N($S282)+N($T282)-N($U282)-N($R282),2)))</f>
        <v/>
      </c>
      <c r="X282" s="14" t="inlineStr">
        <is>
          <t>Pago</t>
        </is>
      </c>
      <c r="Y282" s="17">
        <f>IF(COUNTA($B282:$R282)=0,"",IF($X282="Cancelado","Cancelado",IF(OR($X282="Pago",$X282="Recebido"),$X282,IF(OR($X282="Parcial",N($R282)&gt;0),"Parcial",IF($C282="","Sem vencimento",IF($C282&lt;TODAY(),"Vencido",IF($C282=TODAY(),"Vence hoje",IF($C282&lt;=TODAY()+7,"Vence em 7 dias",IF($C282&lt;=TODAY()+30,"Vence em 30 dias","Futuro")))))))))</f>
        <v/>
      </c>
      <c r="Z282" s="24">
        <f>IF($B282="","",MONTH($B282))</f>
        <v/>
      </c>
      <c r="AA282" s="24">
        <f>IF($B282="","",YEAR($B282))</f>
        <v/>
      </c>
      <c r="AB282" s="24">
        <f>IF($B282="","",ISOWEEKNUM($B282))</f>
        <v/>
      </c>
      <c r="AC282" s="17">
        <f>IF($B282="","",CHOOSE(WEEKDAY($B282,2),"Segunda","Terça","Quarta","Quinta","Sexta","Sábado","Domingo"))</f>
        <v/>
      </c>
      <c r="AD282" s="17">
        <f>IF($B282="","",TEXT($B282,"MM/AAAA"))</f>
        <v/>
      </c>
      <c r="AE282" s="18">
        <f>IF(COUNTA($B282:$R282)=0,"",IF($X282="Cancelado",0,ROUND(N($Q282)+N($S282)+N($T282)-N($U282),2)))</f>
        <v/>
      </c>
      <c r="AF282" s="9">
        <f>IF($G282="","",IFERROR(INDEX(LINHAS_DRE_PLANO,MATCH($G282,SUBCATEGORIAS_PLANO,0)),"Não classificado"))</f>
        <v/>
      </c>
      <c r="AG282" s="17">
        <f>IF($G282="","",IFERROR(INDEX(TIPOS_FLUXO_PLANO,MATCH($G282,SUBCATEGORIAS_PLANO,0)),"Não classificado"))</f>
        <v/>
      </c>
      <c r="AH282" s="9">
        <f>IF($G282="","",IFERROR(INDEX(GRUPOS_PLANO,MATCH($G282,SUBCATEGORIAS_PLANO,0)),"Não classificado"))</f>
        <v/>
      </c>
      <c r="AI282" s="24">
        <f>IF(OR($C282="",$X282="Pago",$X282="Recebido",$X282="Cancelado"),"",$C282-TODAY())</f>
        <v/>
      </c>
      <c r="AJ282" s="24">
        <f>IF(OR($C282="",$X282="Pago",$X282="Recebido",$X282="Cancelado"),0,MAX(0,TODAY()-$C282))</f>
        <v/>
      </c>
      <c r="AK282" s="24">
        <f>IF($D282="","",$D282-$B282)</f>
        <v/>
      </c>
      <c r="AL282" s="18">
        <f>IF(OR($D282="",$B282=""),"",ROUND(N($R282)*($D282-$B282),2))</f>
        <v/>
      </c>
      <c r="AM282" s="17">
        <f>IF(AND($E282="Saída",$W282&gt;0,$C282&lt;&gt;""),$C282+ROW()/1000000,"")</f>
        <v/>
      </c>
      <c r="AN282" s="17">
        <f>IF(AND($E282="Entrada",$W282&gt;0,$C282&lt;&gt;""),$C282+ROW()/1000000,"")</f>
        <v/>
      </c>
      <c r="AO282" s="9">
        <f>IF(COUNTA($B282:$R282)=0,"",IF(AND($I282&lt;&gt;"",COUNTIF(CLIENTES_NOMES,$I282)+COUNTIF(CLIENTES_FANTASIA,$I282)+COUNTIF(FORNECEDORES_NOMES,$I282)+COUNTIF(FORNECEDORES_FANTASIA,$I282)=0),"⚠ Cliente/Fornecedor não cadastrado",IF(AND($G282&lt;&gt;"",COUNTIF(SUBCATEGORIAS_PLANO,$G282)=0),"⚠ Subcategoria fora do plano de contas",IF(OR($Q282="",N($Q282)=0),"⚠ Valor previsto não informado",IF(AND(OR($X282="Pago",$X282="Recebido"),$D282=""),"⚠ Status pago/recebido sem data",IF(AND($D282&lt;&gt;"",N($R282)=0),"⚠ Data de pagamento sem valor realizado",IF(AND(N($P282)&gt;1,N($O282)&gt;N($P282)),"⚠ Nº da parcela maior que o total",IF(AND($C282&lt;&gt;"",$B282&lt;&gt;"",$C282&lt;$B282),"⚠ Vencimento anterior à competência","OK"))))))))</f>
        <v/>
      </c>
    </row>
    <row r="283">
      <c r="A283" s="14" t="inlineStr">
        <is>
          <t>L0278</t>
        </is>
      </c>
      <c r="B283" s="36" t="n">
        <v>46197</v>
      </c>
      <c r="C283" s="36" t="n">
        <v>46208</v>
      </c>
      <c r="D283" s="36" t="n">
        <v>46208</v>
      </c>
      <c r="E283" s="14" t="inlineStr">
        <is>
          <t>Saída</t>
        </is>
      </c>
      <c r="F283" s="29" t="inlineStr">
        <is>
          <t>Despesas Comerciais</t>
        </is>
      </c>
      <c r="G283" s="29" t="inlineStr">
        <is>
          <t>Viagens Comerciais</t>
        </is>
      </c>
      <c r="H283" s="29" t="inlineStr">
        <is>
          <t>Comercial</t>
        </is>
      </c>
      <c r="I283" s="29" t="inlineStr">
        <is>
          <t>AGÊNCIA PULSO DIGITAL LTDA</t>
        </is>
      </c>
      <c r="J283" s="29" t="inlineStr">
        <is>
          <t>Viagens comerciais e visitas a clientes</t>
        </is>
      </c>
      <c r="K283" s="14" t="inlineStr">
        <is>
          <t>DOC 8361</t>
        </is>
      </c>
      <c r="L283" s="29" t="inlineStr">
        <is>
          <t>Itaú Unibanco — C/C 45678-9</t>
        </is>
      </c>
      <c r="M283" s="14" t="inlineStr">
        <is>
          <t>Cartão de crédito</t>
        </is>
      </c>
      <c r="N283" s="29" t="inlineStr">
        <is>
          <t>Cartão Visa Itaú Business</t>
        </is>
      </c>
      <c r="O283" s="13" t="n">
        <v>1</v>
      </c>
      <c r="P283" s="13" t="n">
        <v>1</v>
      </c>
      <c r="Q283" s="35" t="n">
        <v>1562.69</v>
      </c>
      <c r="R283" s="35" t="n">
        <v>1562.69</v>
      </c>
      <c r="S283" s="35" t="n"/>
      <c r="T283" s="35" t="n"/>
      <c r="U283" s="35" t="n"/>
      <c r="V283" s="18">
        <f>IF(COUNTA($B283:$R283)=0,"",ROUND(N($R283)+N($S283)+N($T283)-N($U283),2))</f>
        <v/>
      </c>
      <c r="W283" s="18">
        <f>IF(COUNTA($B283:$R283)=0,"",IF(OR($X283="Pago",$X283="Recebido",$X283="Cancelado"),0,ROUND(N($Q283)+N($S283)+N($T283)-N($U283)-N($R283),2)))</f>
        <v/>
      </c>
      <c r="X283" s="14" t="inlineStr">
        <is>
          <t>Pago</t>
        </is>
      </c>
      <c r="Y283" s="17">
        <f>IF(COUNTA($B283:$R283)=0,"",IF($X283="Cancelado","Cancelado",IF(OR($X283="Pago",$X283="Recebido"),$X283,IF(OR($X283="Parcial",N($R283)&gt;0),"Parcial",IF($C283="","Sem vencimento",IF($C283&lt;TODAY(),"Vencido",IF($C283=TODAY(),"Vence hoje",IF($C283&lt;=TODAY()+7,"Vence em 7 dias",IF($C283&lt;=TODAY()+30,"Vence em 30 dias","Futuro")))))))))</f>
        <v/>
      </c>
      <c r="Z283" s="24">
        <f>IF($B283="","",MONTH($B283))</f>
        <v/>
      </c>
      <c r="AA283" s="24">
        <f>IF($B283="","",YEAR($B283))</f>
        <v/>
      </c>
      <c r="AB283" s="24">
        <f>IF($B283="","",ISOWEEKNUM($B283))</f>
        <v/>
      </c>
      <c r="AC283" s="17">
        <f>IF($B283="","",CHOOSE(WEEKDAY($B283,2),"Segunda","Terça","Quarta","Quinta","Sexta","Sábado","Domingo"))</f>
        <v/>
      </c>
      <c r="AD283" s="17">
        <f>IF($B283="","",TEXT($B283,"MM/AAAA"))</f>
        <v/>
      </c>
      <c r="AE283" s="18">
        <f>IF(COUNTA($B283:$R283)=0,"",IF($X283="Cancelado",0,ROUND(N($Q283)+N($S283)+N($T283)-N($U283),2)))</f>
        <v/>
      </c>
      <c r="AF283" s="9">
        <f>IF($G283="","",IFERROR(INDEX(LINHAS_DRE_PLANO,MATCH($G283,SUBCATEGORIAS_PLANO,0)),"Não classificado"))</f>
        <v/>
      </c>
      <c r="AG283" s="17">
        <f>IF($G283="","",IFERROR(INDEX(TIPOS_FLUXO_PLANO,MATCH($G283,SUBCATEGORIAS_PLANO,0)),"Não classificado"))</f>
        <v/>
      </c>
      <c r="AH283" s="9">
        <f>IF($G283="","",IFERROR(INDEX(GRUPOS_PLANO,MATCH($G283,SUBCATEGORIAS_PLANO,0)),"Não classificado"))</f>
        <v/>
      </c>
      <c r="AI283" s="24">
        <f>IF(OR($C283="",$X283="Pago",$X283="Recebido",$X283="Cancelado"),"",$C283-TODAY())</f>
        <v/>
      </c>
      <c r="AJ283" s="24">
        <f>IF(OR($C283="",$X283="Pago",$X283="Recebido",$X283="Cancelado"),0,MAX(0,TODAY()-$C283))</f>
        <v/>
      </c>
      <c r="AK283" s="24">
        <f>IF($D283="","",$D283-$B283)</f>
        <v/>
      </c>
      <c r="AL283" s="18">
        <f>IF(OR($D283="",$B283=""),"",ROUND(N($R283)*($D283-$B283),2))</f>
        <v/>
      </c>
      <c r="AM283" s="17">
        <f>IF(AND($E283="Saída",$W283&gt;0,$C283&lt;&gt;""),$C283+ROW()/1000000,"")</f>
        <v/>
      </c>
      <c r="AN283" s="17">
        <f>IF(AND($E283="Entrada",$W283&gt;0,$C283&lt;&gt;""),$C283+ROW()/1000000,"")</f>
        <v/>
      </c>
      <c r="AO283" s="9">
        <f>IF(COUNTA($B283:$R283)=0,"",IF(AND($I283&lt;&gt;"",COUNTIF(CLIENTES_NOMES,$I283)+COUNTIF(CLIENTES_FANTASIA,$I283)+COUNTIF(FORNECEDORES_NOMES,$I283)+COUNTIF(FORNECEDORES_FANTASIA,$I283)=0),"⚠ Cliente/Fornecedor não cadastrado",IF(AND($G283&lt;&gt;"",COUNTIF(SUBCATEGORIAS_PLANO,$G283)=0),"⚠ Subcategoria fora do plano de contas",IF(OR($Q283="",N($Q283)=0),"⚠ Valor previsto não informado",IF(AND(OR($X283="Pago",$X283="Recebido"),$D283=""),"⚠ Status pago/recebido sem data",IF(AND($D283&lt;&gt;"",N($R283)=0),"⚠ Data de pagamento sem valor realizado",IF(AND(N($P283)&gt;1,N($O283)&gt;N($P283)),"⚠ Nº da parcela maior que o total",IF(AND($C283&lt;&gt;"",$B283&lt;&gt;"",$C283&lt;$B283),"⚠ Vencimento anterior à competência","OK"))))))))</f>
        <v/>
      </c>
    </row>
    <row r="284">
      <c r="A284" s="14" t="inlineStr">
        <is>
          <t>L0279</t>
        </is>
      </c>
      <c r="B284" s="36" t="n">
        <v>46198</v>
      </c>
      <c r="C284" s="36" t="n">
        <v>46213</v>
      </c>
      <c r="D284" s="36" t="n">
        <v>46216</v>
      </c>
      <c r="E284" s="14" t="inlineStr">
        <is>
          <t>Saída</t>
        </is>
      </c>
      <c r="F284" s="29" t="inlineStr">
        <is>
          <t>Custos Variáveis</t>
        </is>
      </c>
      <c r="G284" s="29" t="inlineStr">
        <is>
          <t>Fretes e Entregas sobre Vendas</t>
        </is>
      </c>
      <c r="H284" s="29" t="inlineStr">
        <is>
          <t>Logística</t>
        </is>
      </c>
      <c r="I284" s="29" t="inlineStr">
        <is>
          <t>TRANSPORTADORA RÁPIDA LOG LTDA</t>
        </is>
      </c>
      <c r="J284" s="29" t="inlineStr">
        <is>
          <t>Fretes de entrega — notas do período</t>
        </is>
      </c>
      <c r="K284" s="14" t="inlineStr">
        <is>
          <t>DOC 7206</t>
        </is>
      </c>
      <c r="L284" s="29" t="inlineStr">
        <is>
          <t>Nubank PJ — C/C 9876543-2</t>
        </is>
      </c>
      <c r="M284" s="14" t="inlineStr">
        <is>
          <t>Boleto</t>
        </is>
      </c>
      <c r="N284" s="29" t="n"/>
      <c r="O284" s="13" t="n">
        <v>1</v>
      </c>
      <c r="P284" s="13" t="n">
        <v>1</v>
      </c>
      <c r="Q284" s="35" t="n">
        <v>4258.19</v>
      </c>
      <c r="R284" s="35" t="n">
        <v>4258.19</v>
      </c>
      <c r="S284" s="35" t="n"/>
      <c r="T284" s="35" t="n"/>
      <c r="U284" s="35" t="n"/>
      <c r="V284" s="18">
        <f>IF(COUNTA($B284:$R284)=0,"",ROUND(N($R284)+N($S284)+N($T284)-N($U284),2))</f>
        <v/>
      </c>
      <c r="W284" s="18">
        <f>IF(COUNTA($B284:$R284)=0,"",IF(OR($X284="Pago",$X284="Recebido",$X284="Cancelado"),0,ROUND(N($Q284)+N($S284)+N($T284)-N($U284)-N($R284),2)))</f>
        <v/>
      </c>
      <c r="X284" s="14" t="inlineStr">
        <is>
          <t>Pago</t>
        </is>
      </c>
      <c r="Y284" s="17">
        <f>IF(COUNTA($B284:$R284)=0,"",IF($X284="Cancelado","Cancelado",IF(OR($X284="Pago",$X284="Recebido"),$X284,IF(OR($X284="Parcial",N($R284)&gt;0),"Parcial",IF($C284="","Sem vencimento",IF($C284&lt;TODAY(),"Vencido",IF($C284=TODAY(),"Vence hoje",IF($C284&lt;=TODAY()+7,"Vence em 7 dias",IF($C284&lt;=TODAY()+30,"Vence em 30 dias","Futuro")))))))))</f>
        <v/>
      </c>
      <c r="Z284" s="24">
        <f>IF($B284="","",MONTH($B284))</f>
        <v/>
      </c>
      <c r="AA284" s="24">
        <f>IF($B284="","",YEAR($B284))</f>
        <v/>
      </c>
      <c r="AB284" s="24">
        <f>IF($B284="","",ISOWEEKNUM($B284))</f>
        <v/>
      </c>
      <c r="AC284" s="17">
        <f>IF($B284="","",CHOOSE(WEEKDAY($B284,2),"Segunda","Terça","Quarta","Quinta","Sexta","Sábado","Domingo"))</f>
        <v/>
      </c>
      <c r="AD284" s="17">
        <f>IF($B284="","",TEXT($B284,"MM/AAAA"))</f>
        <v/>
      </c>
      <c r="AE284" s="18">
        <f>IF(COUNTA($B284:$R284)=0,"",IF($X284="Cancelado",0,ROUND(N($Q284)+N($S284)+N($T284)-N($U284),2)))</f>
        <v/>
      </c>
      <c r="AF284" s="9">
        <f>IF($G284="","",IFERROR(INDEX(LINHAS_DRE_PLANO,MATCH($G284,SUBCATEGORIAS_PLANO,0)),"Não classificado"))</f>
        <v/>
      </c>
      <c r="AG284" s="17">
        <f>IF($G284="","",IFERROR(INDEX(TIPOS_FLUXO_PLANO,MATCH($G284,SUBCATEGORIAS_PLANO,0)),"Não classificado"))</f>
        <v/>
      </c>
      <c r="AH284" s="9">
        <f>IF($G284="","",IFERROR(INDEX(GRUPOS_PLANO,MATCH($G284,SUBCATEGORIAS_PLANO,0)),"Não classificado"))</f>
        <v/>
      </c>
      <c r="AI284" s="24">
        <f>IF(OR($C284="",$X284="Pago",$X284="Recebido",$X284="Cancelado"),"",$C284-TODAY())</f>
        <v/>
      </c>
      <c r="AJ284" s="24">
        <f>IF(OR($C284="",$X284="Pago",$X284="Recebido",$X284="Cancelado"),0,MAX(0,TODAY()-$C284))</f>
        <v/>
      </c>
      <c r="AK284" s="24">
        <f>IF($D284="","",$D284-$B284)</f>
        <v/>
      </c>
      <c r="AL284" s="18">
        <f>IF(OR($D284="",$B284=""),"",ROUND(N($R284)*($D284-$B284),2))</f>
        <v/>
      </c>
      <c r="AM284" s="17">
        <f>IF(AND($E284="Saída",$W284&gt;0,$C284&lt;&gt;""),$C284+ROW()/1000000,"")</f>
        <v/>
      </c>
      <c r="AN284" s="17">
        <f>IF(AND($E284="Entrada",$W284&gt;0,$C284&lt;&gt;""),$C284+ROW()/1000000,"")</f>
        <v/>
      </c>
      <c r="AO284" s="9">
        <f>IF(COUNTA($B284:$R284)=0,"",IF(AND($I284&lt;&gt;"",COUNTIF(CLIENTES_NOMES,$I284)+COUNTIF(CLIENTES_FANTASIA,$I284)+COUNTIF(FORNECEDORES_NOMES,$I284)+COUNTIF(FORNECEDORES_FANTASIA,$I284)=0),"⚠ Cliente/Fornecedor não cadastrado",IF(AND($G284&lt;&gt;"",COUNTIF(SUBCATEGORIAS_PLANO,$G284)=0),"⚠ Subcategoria fora do plano de contas",IF(OR($Q284="",N($Q284)=0),"⚠ Valor previsto não informado",IF(AND(OR($X284="Pago",$X284="Recebido"),$D284=""),"⚠ Status pago/recebido sem data",IF(AND($D284&lt;&gt;"",N($R284)=0),"⚠ Data de pagamento sem valor realizado",IF(AND(N($P284)&gt;1,N($O284)&gt;N($P284)),"⚠ Nº da parcela maior que o total",IF(AND($C284&lt;&gt;"",$B284&lt;&gt;"",$C284&lt;$B284),"⚠ Vencimento anterior à competência","OK"))))))))</f>
        <v/>
      </c>
    </row>
    <row r="285">
      <c r="A285" s="14" t="inlineStr">
        <is>
          <t>L0280</t>
        </is>
      </c>
      <c r="B285" s="36" t="n">
        <v>46198</v>
      </c>
      <c r="C285" s="36" t="n">
        <v>46208</v>
      </c>
      <c r="D285" s="36" t="n">
        <v>46210</v>
      </c>
      <c r="E285" s="14" t="inlineStr">
        <is>
          <t>Saída</t>
        </is>
      </c>
      <c r="F285" s="29" t="inlineStr">
        <is>
          <t>Tributos</t>
        </is>
      </c>
      <c r="G285" s="29" t="inlineStr">
        <is>
          <t>Outros Impostos e Taxas</t>
        </is>
      </c>
      <c r="H285" s="29" t="inlineStr">
        <is>
          <t>Financeiro</t>
        </is>
      </c>
      <c r="I285" s="29" t="inlineStr">
        <is>
          <t>PREFEITURA DE SÃO PAULO</t>
        </is>
      </c>
      <c r="J285" s="29" t="inlineStr">
        <is>
          <t>Taxas municipais e alvará — 06/2026</t>
        </is>
      </c>
      <c r="K285" s="14" t="inlineStr"/>
      <c r="L285" s="29" t="inlineStr">
        <is>
          <t>Banco do Brasil — C/C 12345-6</t>
        </is>
      </c>
      <c r="M285" s="14" t="inlineStr">
        <is>
          <t>Transferência</t>
        </is>
      </c>
      <c r="N285" s="29" t="n"/>
      <c r="O285" s="13" t="n">
        <v>1</v>
      </c>
      <c r="P285" s="13" t="n">
        <v>1</v>
      </c>
      <c r="Q285" s="35" t="n">
        <v>290.11</v>
      </c>
      <c r="R285" s="35" t="n">
        <v>290.11</v>
      </c>
      <c r="S285" s="35" t="n"/>
      <c r="T285" s="35" t="n"/>
      <c r="U285" s="35" t="n"/>
      <c r="V285" s="18">
        <f>IF(COUNTA($B285:$R285)=0,"",ROUND(N($R285)+N($S285)+N($T285)-N($U285),2))</f>
        <v/>
      </c>
      <c r="W285" s="18">
        <f>IF(COUNTA($B285:$R285)=0,"",IF(OR($X285="Pago",$X285="Recebido",$X285="Cancelado"),0,ROUND(N($Q285)+N($S285)+N($T285)-N($U285)-N($R285),2)))</f>
        <v/>
      </c>
      <c r="X285" s="14" t="inlineStr">
        <is>
          <t>Pago</t>
        </is>
      </c>
      <c r="Y285" s="17">
        <f>IF(COUNTA($B285:$R285)=0,"",IF($X285="Cancelado","Cancelado",IF(OR($X285="Pago",$X285="Recebido"),$X285,IF(OR($X285="Parcial",N($R285)&gt;0),"Parcial",IF($C285="","Sem vencimento",IF($C285&lt;TODAY(),"Vencido",IF($C285=TODAY(),"Vence hoje",IF($C285&lt;=TODAY()+7,"Vence em 7 dias",IF($C285&lt;=TODAY()+30,"Vence em 30 dias","Futuro")))))))))</f>
        <v/>
      </c>
      <c r="Z285" s="24">
        <f>IF($B285="","",MONTH($B285))</f>
        <v/>
      </c>
      <c r="AA285" s="24">
        <f>IF($B285="","",YEAR($B285))</f>
        <v/>
      </c>
      <c r="AB285" s="24">
        <f>IF($B285="","",ISOWEEKNUM($B285))</f>
        <v/>
      </c>
      <c r="AC285" s="17">
        <f>IF($B285="","",CHOOSE(WEEKDAY($B285,2),"Segunda","Terça","Quarta","Quinta","Sexta","Sábado","Domingo"))</f>
        <v/>
      </c>
      <c r="AD285" s="17">
        <f>IF($B285="","",TEXT($B285,"MM/AAAA"))</f>
        <v/>
      </c>
      <c r="AE285" s="18">
        <f>IF(COUNTA($B285:$R285)=0,"",IF($X285="Cancelado",0,ROUND(N($Q285)+N($S285)+N($T285)-N($U285),2)))</f>
        <v/>
      </c>
      <c r="AF285" s="9">
        <f>IF($G285="","",IFERROR(INDEX(LINHAS_DRE_PLANO,MATCH($G285,SUBCATEGORIAS_PLANO,0)),"Não classificado"))</f>
        <v/>
      </c>
      <c r="AG285" s="17">
        <f>IF($G285="","",IFERROR(INDEX(TIPOS_FLUXO_PLANO,MATCH($G285,SUBCATEGORIAS_PLANO,0)),"Não classificado"))</f>
        <v/>
      </c>
      <c r="AH285" s="9">
        <f>IF($G285="","",IFERROR(INDEX(GRUPOS_PLANO,MATCH($G285,SUBCATEGORIAS_PLANO,0)),"Não classificado"))</f>
        <v/>
      </c>
      <c r="AI285" s="24">
        <f>IF(OR($C285="",$X285="Pago",$X285="Recebido",$X285="Cancelado"),"",$C285-TODAY())</f>
        <v/>
      </c>
      <c r="AJ285" s="24">
        <f>IF(OR($C285="",$X285="Pago",$X285="Recebido",$X285="Cancelado"),0,MAX(0,TODAY()-$C285))</f>
        <v/>
      </c>
      <c r="AK285" s="24">
        <f>IF($D285="","",$D285-$B285)</f>
        <v/>
      </c>
      <c r="AL285" s="18">
        <f>IF(OR($D285="",$B285=""),"",ROUND(N($R285)*($D285-$B285),2))</f>
        <v/>
      </c>
      <c r="AM285" s="17">
        <f>IF(AND($E285="Saída",$W285&gt;0,$C285&lt;&gt;""),$C285+ROW()/1000000,"")</f>
        <v/>
      </c>
      <c r="AN285" s="17">
        <f>IF(AND($E285="Entrada",$W285&gt;0,$C285&lt;&gt;""),$C285+ROW()/1000000,"")</f>
        <v/>
      </c>
      <c r="AO285" s="9">
        <f>IF(COUNTA($B285:$R285)=0,"",IF(AND($I285&lt;&gt;"",COUNTIF(CLIENTES_NOMES,$I285)+COUNTIF(CLIENTES_FANTASIA,$I285)+COUNTIF(FORNECEDORES_NOMES,$I285)+COUNTIF(FORNECEDORES_FANTASIA,$I285)=0),"⚠ Cliente/Fornecedor não cadastrado",IF(AND($G285&lt;&gt;"",COUNTIF(SUBCATEGORIAS_PLANO,$G285)=0),"⚠ Subcategoria fora do plano de contas",IF(OR($Q285="",N($Q285)=0),"⚠ Valor previsto não informado",IF(AND(OR($X285="Pago",$X285="Recebido"),$D285=""),"⚠ Status pago/recebido sem data",IF(AND($D285&lt;&gt;"",N($R285)=0),"⚠ Data de pagamento sem valor realizado",IF(AND(N($P285)&gt;1,N($O285)&gt;N($P285)),"⚠ Nº da parcela maior que o total",IF(AND($C285&lt;&gt;"",$B285&lt;&gt;"",$C285&lt;$B285),"⚠ Vencimento anterior à competência","OK"))))))))</f>
        <v/>
      </c>
    </row>
    <row r="286">
      <c r="A286" s="14" t="inlineStr">
        <is>
          <t>L0281</t>
        </is>
      </c>
      <c r="B286" s="36" t="n">
        <v>46199</v>
      </c>
      <c r="C286" s="36" t="n">
        <v>46199</v>
      </c>
      <c r="D286" s="36" t="n">
        <v>46199</v>
      </c>
      <c r="E286" s="14" t="inlineStr">
        <is>
          <t>Saída</t>
        </is>
      </c>
      <c r="F286" s="29" t="inlineStr">
        <is>
          <t>Despesas Administrativas</t>
        </is>
      </c>
      <c r="G286" s="29" t="inlineStr">
        <is>
          <t>Outras Despesas Administrativas</t>
        </is>
      </c>
      <c r="H286" s="29" t="inlineStr">
        <is>
          <t>Administrativo</t>
        </is>
      </c>
      <c r="I286" s="29" t="inlineStr">
        <is>
          <t>MANUTENÇÃO PREDIAL EXPRESSA LTDA</t>
        </is>
      </c>
      <c r="J286" s="29" t="inlineStr">
        <is>
          <t>Despesas administrativas diversas</t>
        </is>
      </c>
      <c r="K286" s="14" t="inlineStr">
        <is>
          <t>DOC 8362</t>
        </is>
      </c>
      <c r="L286" s="29" t="inlineStr">
        <is>
          <t>Banco do Brasil — C/C 12345-6</t>
        </is>
      </c>
      <c r="M286" s="14" t="inlineStr">
        <is>
          <t>PIX</t>
        </is>
      </c>
      <c r="N286" s="29" t="n"/>
      <c r="O286" s="13" t="n">
        <v>1</v>
      </c>
      <c r="P286" s="13" t="n">
        <v>1</v>
      </c>
      <c r="Q286" s="35" t="n">
        <v>482.74</v>
      </c>
      <c r="R286" s="35" t="n">
        <v>482.74</v>
      </c>
      <c r="S286" s="35" t="n"/>
      <c r="T286" s="35" t="n"/>
      <c r="U286" s="35" t="n"/>
      <c r="V286" s="18">
        <f>IF(COUNTA($B286:$R286)=0,"",ROUND(N($R286)+N($S286)+N($T286)-N($U286),2))</f>
        <v/>
      </c>
      <c r="W286" s="18">
        <f>IF(COUNTA($B286:$R286)=0,"",IF(OR($X286="Pago",$X286="Recebido",$X286="Cancelado"),0,ROUND(N($Q286)+N($S286)+N($T286)-N($U286)-N($R286),2)))</f>
        <v/>
      </c>
      <c r="X286" s="14" t="inlineStr">
        <is>
          <t>Pago</t>
        </is>
      </c>
      <c r="Y286" s="17">
        <f>IF(COUNTA($B286:$R286)=0,"",IF($X286="Cancelado","Cancelado",IF(OR($X286="Pago",$X286="Recebido"),$X286,IF(OR($X286="Parcial",N($R286)&gt;0),"Parcial",IF($C286="","Sem vencimento",IF($C286&lt;TODAY(),"Vencido",IF($C286=TODAY(),"Vence hoje",IF($C286&lt;=TODAY()+7,"Vence em 7 dias",IF($C286&lt;=TODAY()+30,"Vence em 30 dias","Futuro")))))))))</f>
        <v/>
      </c>
      <c r="Z286" s="24">
        <f>IF($B286="","",MONTH($B286))</f>
        <v/>
      </c>
      <c r="AA286" s="24">
        <f>IF($B286="","",YEAR($B286))</f>
        <v/>
      </c>
      <c r="AB286" s="24">
        <f>IF($B286="","",ISOWEEKNUM($B286))</f>
        <v/>
      </c>
      <c r="AC286" s="17">
        <f>IF($B286="","",CHOOSE(WEEKDAY($B286,2),"Segunda","Terça","Quarta","Quinta","Sexta","Sábado","Domingo"))</f>
        <v/>
      </c>
      <c r="AD286" s="17">
        <f>IF($B286="","",TEXT($B286,"MM/AAAA"))</f>
        <v/>
      </c>
      <c r="AE286" s="18">
        <f>IF(COUNTA($B286:$R286)=0,"",IF($X286="Cancelado",0,ROUND(N($Q286)+N($S286)+N($T286)-N($U286),2)))</f>
        <v/>
      </c>
      <c r="AF286" s="9">
        <f>IF($G286="","",IFERROR(INDEX(LINHAS_DRE_PLANO,MATCH($G286,SUBCATEGORIAS_PLANO,0)),"Não classificado"))</f>
        <v/>
      </c>
      <c r="AG286" s="17">
        <f>IF($G286="","",IFERROR(INDEX(TIPOS_FLUXO_PLANO,MATCH($G286,SUBCATEGORIAS_PLANO,0)),"Não classificado"))</f>
        <v/>
      </c>
      <c r="AH286" s="9">
        <f>IF($G286="","",IFERROR(INDEX(GRUPOS_PLANO,MATCH($G286,SUBCATEGORIAS_PLANO,0)),"Não classificado"))</f>
        <v/>
      </c>
      <c r="AI286" s="24">
        <f>IF(OR($C286="",$X286="Pago",$X286="Recebido",$X286="Cancelado"),"",$C286-TODAY())</f>
        <v/>
      </c>
      <c r="AJ286" s="24">
        <f>IF(OR($C286="",$X286="Pago",$X286="Recebido",$X286="Cancelado"),0,MAX(0,TODAY()-$C286))</f>
        <v/>
      </c>
      <c r="AK286" s="24">
        <f>IF($D286="","",$D286-$B286)</f>
        <v/>
      </c>
      <c r="AL286" s="18">
        <f>IF(OR($D286="",$B286=""),"",ROUND(N($R286)*($D286-$B286),2))</f>
        <v/>
      </c>
      <c r="AM286" s="17">
        <f>IF(AND($E286="Saída",$W286&gt;0,$C286&lt;&gt;""),$C286+ROW()/1000000,"")</f>
        <v/>
      </c>
      <c r="AN286" s="17">
        <f>IF(AND($E286="Entrada",$W286&gt;0,$C286&lt;&gt;""),$C286+ROW()/1000000,"")</f>
        <v/>
      </c>
      <c r="AO286" s="9">
        <f>IF(COUNTA($B286:$R286)=0,"",IF(AND($I286&lt;&gt;"",COUNTIF(CLIENTES_NOMES,$I286)+COUNTIF(CLIENTES_FANTASIA,$I286)+COUNTIF(FORNECEDORES_NOMES,$I286)+COUNTIF(FORNECEDORES_FANTASIA,$I286)=0),"⚠ Cliente/Fornecedor não cadastrado",IF(AND($G286&lt;&gt;"",COUNTIF(SUBCATEGORIAS_PLANO,$G286)=0),"⚠ Subcategoria fora do plano de contas",IF(OR($Q286="",N($Q286)=0),"⚠ Valor previsto não informado",IF(AND(OR($X286="Pago",$X286="Recebido"),$D286=""),"⚠ Status pago/recebido sem data",IF(AND($D286&lt;&gt;"",N($R286)=0),"⚠ Data de pagamento sem valor realizado",IF(AND(N($P286)&gt;1,N($O286)&gt;N($P286)),"⚠ Nº da parcela maior que o total",IF(AND($C286&lt;&gt;"",$B286&lt;&gt;"",$C286&lt;$B286),"⚠ Vencimento anterior à competência","OK"))))))))</f>
        <v/>
      </c>
    </row>
    <row r="287">
      <c r="A287" s="14" t="inlineStr">
        <is>
          <t>L0282</t>
        </is>
      </c>
      <c r="B287" s="36" t="n">
        <v>46201</v>
      </c>
      <c r="C287" s="36" t="n">
        <v>46201</v>
      </c>
      <c r="D287" s="36" t="n">
        <v>46201</v>
      </c>
      <c r="E287" s="14" t="inlineStr">
        <is>
          <t>Entrada</t>
        </is>
      </c>
      <c r="F287" s="29" t="inlineStr">
        <is>
          <t>Receitas Financeiras</t>
        </is>
      </c>
      <c r="G287" s="29" t="inlineStr">
        <is>
          <t>Rendimentos de Aplicações Financeiras</t>
        </is>
      </c>
      <c r="H287" s="29" t="inlineStr">
        <is>
          <t>Financeiro</t>
        </is>
      </c>
      <c r="I287" s="29" t="inlineStr">
        <is>
          <t>Itaú Unibanco</t>
        </is>
      </c>
      <c r="J287" s="29" t="inlineStr">
        <is>
          <t>Rendimento de aplicação financeira — 06/2026</t>
        </is>
      </c>
      <c r="K287" s="14" t="inlineStr">
        <is>
          <t>REND-APL</t>
        </is>
      </c>
      <c r="L287" s="29" t="inlineStr">
        <is>
          <t>Itaú Unibanco — C/C 45678-9</t>
        </is>
      </c>
      <c r="M287" s="14" t="inlineStr">
        <is>
          <t>Transferência</t>
        </is>
      </c>
      <c r="N287" s="29" t="n"/>
      <c r="O287" s="13" t="n">
        <v>1</v>
      </c>
      <c r="P287" s="13" t="n">
        <v>1</v>
      </c>
      <c r="Q287" s="35" t="n">
        <v>746.97</v>
      </c>
      <c r="R287" s="35" t="n">
        <v>746.97</v>
      </c>
      <c r="S287" s="35" t="n"/>
      <c r="T287" s="35" t="n"/>
      <c r="U287" s="35" t="n"/>
      <c r="V287" s="18">
        <f>IF(COUNTA($B287:$R287)=0,"",ROUND(N($R287)+N($S287)+N($T287)-N($U287),2))</f>
        <v/>
      </c>
      <c r="W287" s="18">
        <f>IF(COUNTA($B287:$R287)=0,"",IF(OR($X287="Pago",$X287="Recebido",$X287="Cancelado"),0,ROUND(N($Q287)+N($S287)+N($T287)-N($U287)-N($R287),2)))</f>
        <v/>
      </c>
      <c r="X287" s="14" t="inlineStr">
        <is>
          <t>Recebido</t>
        </is>
      </c>
      <c r="Y287" s="17">
        <f>IF(COUNTA($B287:$R287)=0,"",IF($X287="Cancelado","Cancelado",IF(OR($X287="Pago",$X287="Recebido"),$X287,IF(OR($X287="Parcial",N($R287)&gt;0),"Parcial",IF($C287="","Sem vencimento",IF($C287&lt;TODAY(),"Vencido",IF($C287=TODAY(),"Vence hoje",IF($C287&lt;=TODAY()+7,"Vence em 7 dias",IF($C287&lt;=TODAY()+30,"Vence em 30 dias","Futuro")))))))))</f>
        <v/>
      </c>
      <c r="Z287" s="24">
        <f>IF($B287="","",MONTH($B287))</f>
        <v/>
      </c>
      <c r="AA287" s="24">
        <f>IF($B287="","",YEAR($B287))</f>
        <v/>
      </c>
      <c r="AB287" s="24">
        <f>IF($B287="","",ISOWEEKNUM($B287))</f>
        <v/>
      </c>
      <c r="AC287" s="17">
        <f>IF($B287="","",CHOOSE(WEEKDAY($B287,2),"Segunda","Terça","Quarta","Quinta","Sexta","Sábado","Domingo"))</f>
        <v/>
      </c>
      <c r="AD287" s="17">
        <f>IF($B287="","",TEXT($B287,"MM/AAAA"))</f>
        <v/>
      </c>
      <c r="AE287" s="18">
        <f>IF(COUNTA($B287:$R287)=0,"",IF($X287="Cancelado",0,ROUND(N($Q287)+N($S287)+N($T287)-N($U287),2)))</f>
        <v/>
      </c>
      <c r="AF287" s="9">
        <f>IF($G287="","",IFERROR(INDEX(LINHAS_DRE_PLANO,MATCH($G287,SUBCATEGORIAS_PLANO,0)),"Não classificado"))</f>
        <v/>
      </c>
      <c r="AG287" s="17">
        <f>IF($G287="","",IFERROR(INDEX(TIPOS_FLUXO_PLANO,MATCH($G287,SUBCATEGORIAS_PLANO,0)),"Não classificado"))</f>
        <v/>
      </c>
      <c r="AH287" s="9">
        <f>IF($G287="","",IFERROR(INDEX(GRUPOS_PLANO,MATCH($G287,SUBCATEGORIAS_PLANO,0)),"Não classificado"))</f>
        <v/>
      </c>
      <c r="AI287" s="24">
        <f>IF(OR($C287="",$X287="Pago",$X287="Recebido",$X287="Cancelado"),"",$C287-TODAY())</f>
        <v/>
      </c>
      <c r="AJ287" s="24">
        <f>IF(OR($C287="",$X287="Pago",$X287="Recebido",$X287="Cancelado"),0,MAX(0,TODAY()-$C287))</f>
        <v/>
      </c>
      <c r="AK287" s="24">
        <f>IF($D287="","",$D287-$B287)</f>
        <v/>
      </c>
      <c r="AL287" s="18">
        <f>IF(OR($D287="",$B287=""),"",ROUND(N($R287)*($D287-$B287),2))</f>
        <v/>
      </c>
      <c r="AM287" s="17">
        <f>IF(AND($E287="Saída",$W287&gt;0,$C287&lt;&gt;""),$C287+ROW()/1000000,"")</f>
        <v/>
      </c>
      <c r="AN287" s="17">
        <f>IF(AND($E287="Entrada",$W287&gt;0,$C287&lt;&gt;""),$C287+ROW()/1000000,"")</f>
        <v/>
      </c>
      <c r="AO287" s="9">
        <f>IF(COUNTA($B287:$R287)=0,"",IF(AND($I287&lt;&gt;"",COUNTIF(CLIENTES_NOMES,$I287)+COUNTIF(CLIENTES_FANTASIA,$I287)+COUNTIF(FORNECEDORES_NOMES,$I287)+COUNTIF(FORNECEDORES_FANTASIA,$I287)=0),"⚠ Cliente/Fornecedor não cadastrado",IF(AND($G287&lt;&gt;"",COUNTIF(SUBCATEGORIAS_PLANO,$G287)=0),"⚠ Subcategoria fora do plano de contas",IF(OR($Q287="",N($Q287)=0),"⚠ Valor previsto não informado",IF(AND(OR($X287="Pago",$X287="Recebido"),$D287=""),"⚠ Status pago/recebido sem data",IF(AND($D287&lt;&gt;"",N($R287)=0),"⚠ Data de pagamento sem valor realizado",IF(AND(N($P287)&gt;1,N($O287)&gt;N($P287)),"⚠ Nº da parcela maior que o total",IF(AND($C287&lt;&gt;"",$B287&lt;&gt;"",$C287&lt;$B287),"⚠ Vencimento anterior à competência","OK"))))))))</f>
        <v/>
      </c>
    </row>
    <row r="288">
      <c r="A288" s="14" t="inlineStr">
        <is>
          <t>L0283</t>
        </is>
      </c>
      <c r="B288" s="36" t="n">
        <v>46201</v>
      </c>
      <c r="C288" s="36" t="n">
        <v>46206</v>
      </c>
      <c r="D288" s="36" t="n">
        <v>46208</v>
      </c>
      <c r="E288" s="14" t="inlineStr">
        <is>
          <t>Saída</t>
        </is>
      </c>
      <c r="F288" s="29" t="inlineStr">
        <is>
          <t>Custos Variáveis</t>
        </is>
      </c>
      <c r="G288" s="29" t="inlineStr">
        <is>
          <t>Comissões sobre Vendas</t>
        </is>
      </c>
      <c r="H288" s="29" t="inlineStr">
        <is>
          <t>Comercial</t>
        </is>
      </c>
      <c r="I288" s="29" t="inlineStr">
        <is>
          <t>EQUIPE COMERCIAL — COMISSÕES</t>
        </is>
      </c>
      <c r="J288" s="29" t="inlineStr">
        <is>
          <t>Comissões sobre vendas do período</t>
        </is>
      </c>
      <c r="K288" s="14" t="inlineStr">
        <is>
          <t>DOC 7207</t>
        </is>
      </c>
      <c r="L288" s="29" t="inlineStr">
        <is>
          <t>Nubank PJ — C/C 9876543-2</t>
        </is>
      </c>
      <c r="M288" s="14" t="inlineStr">
        <is>
          <t>Transferência</t>
        </is>
      </c>
      <c r="N288" s="29" t="n"/>
      <c r="O288" s="13" t="n">
        <v>1</v>
      </c>
      <c r="P288" s="13" t="n">
        <v>1</v>
      </c>
      <c r="Q288" s="35" t="n">
        <v>3404.03</v>
      </c>
      <c r="R288" s="35" t="n">
        <v>3404.03</v>
      </c>
      <c r="S288" s="35" t="n"/>
      <c r="T288" s="35" t="n"/>
      <c r="U288" s="35" t="n"/>
      <c r="V288" s="18">
        <f>IF(COUNTA($B288:$R288)=0,"",ROUND(N($R288)+N($S288)+N($T288)-N($U288),2))</f>
        <v/>
      </c>
      <c r="W288" s="18">
        <f>IF(COUNTA($B288:$R288)=0,"",IF(OR($X288="Pago",$X288="Recebido",$X288="Cancelado"),0,ROUND(N($Q288)+N($S288)+N($T288)-N($U288)-N($R288),2)))</f>
        <v/>
      </c>
      <c r="X288" s="14" t="inlineStr">
        <is>
          <t>Pago</t>
        </is>
      </c>
      <c r="Y288" s="17">
        <f>IF(COUNTA($B288:$R288)=0,"",IF($X288="Cancelado","Cancelado",IF(OR($X288="Pago",$X288="Recebido"),$X288,IF(OR($X288="Parcial",N($R288)&gt;0),"Parcial",IF($C288="","Sem vencimento",IF($C288&lt;TODAY(),"Vencido",IF($C288=TODAY(),"Vence hoje",IF($C288&lt;=TODAY()+7,"Vence em 7 dias",IF($C288&lt;=TODAY()+30,"Vence em 30 dias","Futuro")))))))))</f>
        <v/>
      </c>
      <c r="Z288" s="24">
        <f>IF($B288="","",MONTH($B288))</f>
        <v/>
      </c>
      <c r="AA288" s="24">
        <f>IF($B288="","",YEAR($B288))</f>
        <v/>
      </c>
      <c r="AB288" s="24">
        <f>IF($B288="","",ISOWEEKNUM($B288))</f>
        <v/>
      </c>
      <c r="AC288" s="17">
        <f>IF($B288="","",CHOOSE(WEEKDAY($B288,2),"Segunda","Terça","Quarta","Quinta","Sexta","Sábado","Domingo"))</f>
        <v/>
      </c>
      <c r="AD288" s="17">
        <f>IF($B288="","",TEXT($B288,"MM/AAAA"))</f>
        <v/>
      </c>
      <c r="AE288" s="18">
        <f>IF(COUNTA($B288:$R288)=0,"",IF($X288="Cancelado",0,ROUND(N($Q288)+N($S288)+N($T288)-N($U288),2)))</f>
        <v/>
      </c>
      <c r="AF288" s="9">
        <f>IF($G288="","",IFERROR(INDEX(LINHAS_DRE_PLANO,MATCH($G288,SUBCATEGORIAS_PLANO,0)),"Não classificado"))</f>
        <v/>
      </c>
      <c r="AG288" s="17">
        <f>IF($G288="","",IFERROR(INDEX(TIPOS_FLUXO_PLANO,MATCH($G288,SUBCATEGORIAS_PLANO,0)),"Não classificado"))</f>
        <v/>
      </c>
      <c r="AH288" s="9">
        <f>IF($G288="","",IFERROR(INDEX(GRUPOS_PLANO,MATCH($G288,SUBCATEGORIAS_PLANO,0)),"Não classificado"))</f>
        <v/>
      </c>
      <c r="AI288" s="24">
        <f>IF(OR($C288="",$X288="Pago",$X288="Recebido",$X288="Cancelado"),"",$C288-TODAY())</f>
        <v/>
      </c>
      <c r="AJ288" s="24">
        <f>IF(OR($C288="",$X288="Pago",$X288="Recebido",$X288="Cancelado"),0,MAX(0,TODAY()-$C288))</f>
        <v/>
      </c>
      <c r="AK288" s="24">
        <f>IF($D288="","",$D288-$B288)</f>
        <v/>
      </c>
      <c r="AL288" s="18">
        <f>IF(OR($D288="",$B288=""),"",ROUND(N($R288)*($D288-$B288),2))</f>
        <v/>
      </c>
      <c r="AM288" s="17">
        <f>IF(AND($E288="Saída",$W288&gt;0,$C288&lt;&gt;""),$C288+ROW()/1000000,"")</f>
        <v/>
      </c>
      <c r="AN288" s="17">
        <f>IF(AND($E288="Entrada",$W288&gt;0,$C288&lt;&gt;""),$C288+ROW()/1000000,"")</f>
        <v/>
      </c>
      <c r="AO288" s="9">
        <f>IF(COUNTA($B288:$R288)=0,"",IF(AND($I288&lt;&gt;"",COUNTIF(CLIENTES_NOMES,$I288)+COUNTIF(CLIENTES_FANTASIA,$I288)+COUNTIF(FORNECEDORES_NOMES,$I288)+COUNTIF(FORNECEDORES_FANTASIA,$I288)=0),"⚠ Cliente/Fornecedor não cadastrado",IF(AND($G288&lt;&gt;"",COUNTIF(SUBCATEGORIAS_PLANO,$G288)=0),"⚠ Subcategoria fora do plano de contas",IF(OR($Q288="",N($Q288)=0),"⚠ Valor previsto não informado",IF(AND(OR($X288="Pago",$X288="Recebido"),$D288=""),"⚠ Status pago/recebido sem data",IF(AND($D288&lt;&gt;"",N($R288)=0),"⚠ Data de pagamento sem valor realizado",IF(AND(N($P288)&gt;1,N($O288)&gt;N($P288)),"⚠ Nº da parcela maior que o total",IF(AND($C288&lt;&gt;"",$B288&lt;&gt;"",$C288&lt;$B288),"⚠ Vencimento anterior à competência","OK"))))))))</f>
        <v/>
      </c>
    </row>
    <row r="289">
      <c r="A289" s="14" t="inlineStr">
        <is>
          <t>L0284</t>
        </is>
      </c>
      <c r="B289" s="36" t="n">
        <v>46201</v>
      </c>
      <c r="C289" s="36" t="n">
        <v>46211</v>
      </c>
      <c r="D289" s="36" t="n">
        <v>46214</v>
      </c>
      <c r="E289" s="14" t="inlineStr">
        <is>
          <t>Saída</t>
        </is>
      </c>
      <c r="F289" s="29" t="inlineStr">
        <is>
          <t>Custos Variáveis</t>
        </is>
      </c>
      <c r="G289" s="29" t="inlineStr">
        <is>
          <t>Taxas de Marketplace</t>
        </is>
      </c>
      <c r="H289" s="29" t="inlineStr">
        <is>
          <t>Comercial</t>
        </is>
      </c>
      <c r="I289" s="29" t="inlineStr">
        <is>
          <t>MARKETPLACE FOODB2B LTDA</t>
        </is>
      </c>
      <c r="J289" s="29" t="inlineStr">
        <is>
          <t>Taxas de intermediação do marketplace</t>
        </is>
      </c>
      <c r="K289" s="14" t="inlineStr">
        <is>
          <t>DOC 7208</t>
        </is>
      </c>
      <c r="L289" s="29" t="inlineStr">
        <is>
          <t>Nubank PJ — C/C 9876543-2</t>
        </is>
      </c>
      <c r="M289" s="14" t="inlineStr">
        <is>
          <t>PIX</t>
        </is>
      </c>
      <c r="N289" s="29" t="n"/>
      <c r="O289" s="13" t="n">
        <v>1</v>
      </c>
      <c r="P289" s="13" t="n">
        <v>1</v>
      </c>
      <c r="Q289" s="35" t="n">
        <v>1665.48</v>
      </c>
      <c r="R289" s="35" t="n">
        <v>1665.48</v>
      </c>
      <c r="S289" s="35" t="n"/>
      <c r="T289" s="35" t="n"/>
      <c r="U289" s="35" t="n"/>
      <c r="V289" s="18">
        <f>IF(COUNTA($B289:$R289)=0,"",ROUND(N($R289)+N($S289)+N($T289)-N($U289),2))</f>
        <v/>
      </c>
      <c r="W289" s="18">
        <f>IF(COUNTA($B289:$R289)=0,"",IF(OR($X289="Pago",$X289="Recebido",$X289="Cancelado"),0,ROUND(N($Q289)+N($S289)+N($T289)-N($U289)-N($R289),2)))</f>
        <v/>
      </c>
      <c r="X289" s="14" t="inlineStr">
        <is>
          <t>Pago</t>
        </is>
      </c>
      <c r="Y289" s="17">
        <f>IF(COUNTA($B289:$R289)=0,"",IF($X289="Cancelado","Cancelado",IF(OR($X289="Pago",$X289="Recebido"),$X289,IF(OR($X289="Parcial",N($R289)&gt;0),"Parcial",IF($C289="","Sem vencimento",IF($C289&lt;TODAY(),"Vencido",IF($C289=TODAY(),"Vence hoje",IF($C289&lt;=TODAY()+7,"Vence em 7 dias",IF($C289&lt;=TODAY()+30,"Vence em 30 dias","Futuro")))))))))</f>
        <v/>
      </c>
      <c r="Z289" s="24">
        <f>IF($B289="","",MONTH($B289))</f>
        <v/>
      </c>
      <c r="AA289" s="24">
        <f>IF($B289="","",YEAR($B289))</f>
        <v/>
      </c>
      <c r="AB289" s="24">
        <f>IF($B289="","",ISOWEEKNUM($B289))</f>
        <v/>
      </c>
      <c r="AC289" s="17">
        <f>IF($B289="","",CHOOSE(WEEKDAY($B289,2),"Segunda","Terça","Quarta","Quinta","Sexta","Sábado","Domingo"))</f>
        <v/>
      </c>
      <c r="AD289" s="17">
        <f>IF($B289="","",TEXT($B289,"MM/AAAA"))</f>
        <v/>
      </c>
      <c r="AE289" s="18">
        <f>IF(COUNTA($B289:$R289)=0,"",IF($X289="Cancelado",0,ROUND(N($Q289)+N($S289)+N($T289)-N($U289),2)))</f>
        <v/>
      </c>
      <c r="AF289" s="9">
        <f>IF($G289="","",IFERROR(INDEX(LINHAS_DRE_PLANO,MATCH($G289,SUBCATEGORIAS_PLANO,0)),"Não classificado"))</f>
        <v/>
      </c>
      <c r="AG289" s="17">
        <f>IF($G289="","",IFERROR(INDEX(TIPOS_FLUXO_PLANO,MATCH($G289,SUBCATEGORIAS_PLANO,0)),"Não classificado"))</f>
        <v/>
      </c>
      <c r="AH289" s="9">
        <f>IF($G289="","",IFERROR(INDEX(GRUPOS_PLANO,MATCH($G289,SUBCATEGORIAS_PLANO,0)),"Não classificado"))</f>
        <v/>
      </c>
      <c r="AI289" s="24">
        <f>IF(OR($C289="",$X289="Pago",$X289="Recebido",$X289="Cancelado"),"",$C289-TODAY())</f>
        <v/>
      </c>
      <c r="AJ289" s="24">
        <f>IF(OR($C289="",$X289="Pago",$X289="Recebido",$X289="Cancelado"),0,MAX(0,TODAY()-$C289))</f>
        <v/>
      </c>
      <c r="AK289" s="24">
        <f>IF($D289="","",$D289-$B289)</f>
        <v/>
      </c>
      <c r="AL289" s="18">
        <f>IF(OR($D289="",$B289=""),"",ROUND(N($R289)*($D289-$B289),2))</f>
        <v/>
      </c>
      <c r="AM289" s="17">
        <f>IF(AND($E289="Saída",$W289&gt;0,$C289&lt;&gt;""),$C289+ROW()/1000000,"")</f>
        <v/>
      </c>
      <c r="AN289" s="17">
        <f>IF(AND($E289="Entrada",$W289&gt;0,$C289&lt;&gt;""),$C289+ROW()/1000000,"")</f>
        <v/>
      </c>
      <c r="AO289" s="9">
        <f>IF(COUNTA($B289:$R289)=0,"",IF(AND($I289&lt;&gt;"",COUNTIF(CLIENTES_NOMES,$I289)+COUNTIF(CLIENTES_FANTASIA,$I289)+COUNTIF(FORNECEDORES_NOMES,$I289)+COUNTIF(FORNECEDORES_FANTASIA,$I289)=0),"⚠ Cliente/Fornecedor não cadastrado",IF(AND($G289&lt;&gt;"",COUNTIF(SUBCATEGORIAS_PLANO,$G289)=0),"⚠ Subcategoria fora do plano de contas",IF(OR($Q289="",N($Q289)=0),"⚠ Valor previsto não informado",IF(AND(OR($X289="Pago",$X289="Recebido"),$D289=""),"⚠ Status pago/recebido sem data",IF(AND($D289&lt;&gt;"",N($R289)=0),"⚠ Data de pagamento sem valor realizado",IF(AND(N($P289)&gt;1,N($O289)&gt;N($P289)),"⚠ Nº da parcela maior que o total",IF(AND($C289&lt;&gt;"",$B289&lt;&gt;"",$C289&lt;$B289),"⚠ Vencimento anterior à competência","OK"))))))))</f>
        <v/>
      </c>
    </row>
    <row r="290">
      <c r="A290" s="14" t="inlineStr">
        <is>
          <t>L0285</t>
        </is>
      </c>
      <c r="B290" s="36" t="n">
        <v>46201</v>
      </c>
      <c r="C290" s="36" t="n">
        <v>46206</v>
      </c>
      <c r="D290" s="36" t="n">
        <v>46209</v>
      </c>
      <c r="E290" s="14" t="inlineStr">
        <is>
          <t>Saída</t>
        </is>
      </c>
      <c r="F290" s="29" t="inlineStr">
        <is>
          <t>Custos Variáveis</t>
        </is>
      </c>
      <c r="G290" s="29" t="inlineStr">
        <is>
          <t>Taxas de Cartão e Maquininha</t>
        </is>
      </c>
      <c r="H290" s="29" t="inlineStr">
        <is>
          <t>Financeiro</t>
        </is>
      </c>
      <c r="I290" s="29" t="inlineStr">
        <is>
          <t>CIELO S.A. — INSTITUIÇÃO DE PAGAMENTO</t>
        </is>
      </c>
      <c r="J290" s="29" t="inlineStr">
        <is>
          <t>Taxas de cartão e antecipação de recebíveis</t>
        </is>
      </c>
      <c r="K290" s="14" t="inlineStr">
        <is>
          <t>DOC 7209</t>
        </is>
      </c>
      <c r="L290" s="29" t="inlineStr">
        <is>
          <t>Nubank PJ — C/C 9876543-2</t>
        </is>
      </c>
      <c r="M290" s="14" t="inlineStr">
        <is>
          <t>Transferência</t>
        </is>
      </c>
      <c r="N290" s="29" t="n"/>
      <c r="O290" s="13" t="n">
        <v>1</v>
      </c>
      <c r="P290" s="13" t="n">
        <v>1</v>
      </c>
      <c r="Q290" s="35" t="n">
        <v>2584.53</v>
      </c>
      <c r="R290" s="35" t="n">
        <v>2584.53</v>
      </c>
      <c r="S290" s="35" t="n"/>
      <c r="T290" s="35" t="n"/>
      <c r="U290" s="35" t="n"/>
      <c r="V290" s="18">
        <f>IF(COUNTA($B290:$R290)=0,"",ROUND(N($R290)+N($S290)+N($T290)-N($U290),2))</f>
        <v/>
      </c>
      <c r="W290" s="18">
        <f>IF(COUNTA($B290:$R290)=0,"",IF(OR($X290="Pago",$X290="Recebido",$X290="Cancelado"),0,ROUND(N($Q290)+N($S290)+N($T290)-N($U290)-N($R290),2)))</f>
        <v/>
      </c>
      <c r="X290" s="14" t="inlineStr">
        <is>
          <t>Pago</t>
        </is>
      </c>
      <c r="Y290" s="17">
        <f>IF(COUNTA($B290:$R290)=0,"",IF($X290="Cancelado","Cancelado",IF(OR($X290="Pago",$X290="Recebido"),$X290,IF(OR($X290="Parcial",N($R290)&gt;0),"Parcial",IF($C290="","Sem vencimento",IF($C290&lt;TODAY(),"Vencido",IF($C290=TODAY(),"Vence hoje",IF($C290&lt;=TODAY()+7,"Vence em 7 dias",IF($C290&lt;=TODAY()+30,"Vence em 30 dias","Futuro")))))))))</f>
        <v/>
      </c>
      <c r="Z290" s="24">
        <f>IF($B290="","",MONTH($B290))</f>
        <v/>
      </c>
      <c r="AA290" s="24">
        <f>IF($B290="","",YEAR($B290))</f>
        <v/>
      </c>
      <c r="AB290" s="24">
        <f>IF($B290="","",ISOWEEKNUM($B290))</f>
        <v/>
      </c>
      <c r="AC290" s="17">
        <f>IF($B290="","",CHOOSE(WEEKDAY($B290,2),"Segunda","Terça","Quarta","Quinta","Sexta","Sábado","Domingo"))</f>
        <v/>
      </c>
      <c r="AD290" s="17">
        <f>IF($B290="","",TEXT($B290,"MM/AAAA"))</f>
        <v/>
      </c>
      <c r="AE290" s="18">
        <f>IF(COUNTA($B290:$R290)=0,"",IF($X290="Cancelado",0,ROUND(N($Q290)+N($S290)+N($T290)-N($U290),2)))</f>
        <v/>
      </c>
      <c r="AF290" s="9">
        <f>IF($G290="","",IFERROR(INDEX(LINHAS_DRE_PLANO,MATCH($G290,SUBCATEGORIAS_PLANO,0)),"Não classificado"))</f>
        <v/>
      </c>
      <c r="AG290" s="17">
        <f>IF($G290="","",IFERROR(INDEX(TIPOS_FLUXO_PLANO,MATCH($G290,SUBCATEGORIAS_PLANO,0)),"Não classificado"))</f>
        <v/>
      </c>
      <c r="AH290" s="9">
        <f>IF($G290="","",IFERROR(INDEX(GRUPOS_PLANO,MATCH($G290,SUBCATEGORIAS_PLANO,0)),"Não classificado"))</f>
        <v/>
      </c>
      <c r="AI290" s="24">
        <f>IF(OR($C290="",$X290="Pago",$X290="Recebido",$X290="Cancelado"),"",$C290-TODAY())</f>
        <v/>
      </c>
      <c r="AJ290" s="24">
        <f>IF(OR($C290="",$X290="Pago",$X290="Recebido",$X290="Cancelado"),0,MAX(0,TODAY()-$C290))</f>
        <v/>
      </c>
      <c r="AK290" s="24">
        <f>IF($D290="","",$D290-$B290)</f>
        <v/>
      </c>
      <c r="AL290" s="18">
        <f>IF(OR($D290="",$B290=""),"",ROUND(N($R290)*($D290-$B290),2))</f>
        <v/>
      </c>
      <c r="AM290" s="17">
        <f>IF(AND($E290="Saída",$W290&gt;0,$C290&lt;&gt;""),$C290+ROW()/1000000,"")</f>
        <v/>
      </c>
      <c r="AN290" s="17">
        <f>IF(AND($E290="Entrada",$W290&gt;0,$C290&lt;&gt;""),$C290+ROW()/1000000,"")</f>
        <v/>
      </c>
      <c r="AO290" s="9">
        <f>IF(COUNTA($B290:$R290)=0,"",IF(AND($I290&lt;&gt;"",COUNTIF(CLIENTES_NOMES,$I290)+COUNTIF(CLIENTES_FANTASIA,$I290)+COUNTIF(FORNECEDORES_NOMES,$I290)+COUNTIF(FORNECEDORES_FANTASIA,$I290)=0),"⚠ Cliente/Fornecedor não cadastrado",IF(AND($G290&lt;&gt;"",COUNTIF(SUBCATEGORIAS_PLANO,$G290)=0),"⚠ Subcategoria fora do plano de contas",IF(OR($Q290="",N($Q290)=0),"⚠ Valor previsto não informado",IF(AND(OR($X290="Pago",$X290="Recebido"),$D290=""),"⚠ Status pago/recebido sem data",IF(AND($D290&lt;&gt;"",N($R290)=0),"⚠ Data de pagamento sem valor realizado",IF(AND(N($P290)&gt;1,N($O290)&gt;N($P290)),"⚠ Nº da parcela maior que o total",IF(AND($C290&lt;&gt;"",$B290&lt;&gt;"",$C290&lt;$B290),"⚠ Vencimento anterior à competência","OK"))))))))</f>
        <v/>
      </c>
    </row>
    <row r="291">
      <c r="A291" s="14" t="inlineStr">
        <is>
          <t>L0286</t>
        </is>
      </c>
      <c r="B291" s="36" t="n">
        <v>46201</v>
      </c>
      <c r="C291" s="36" t="n">
        <v>46201</v>
      </c>
      <c r="D291" s="36" t="n">
        <v>46201</v>
      </c>
      <c r="E291" s="14" t="inlineStr">
        <is>
          <t>Saída</t>
        </is>
      </c>
      <c r="F291" s="29" t="inlineStr">
        <is>
          <t>Despesas Financeiras</t>
        </is>
      </c>
      <c r="G291" s="29" t="inlineStr">
        <is>
          <t>Tarifas Bancárias</t>
        </is>
      </c>
      <c r="H291" s="29" t="inlineStr">
        <is>
          <t>Financeiro</t>
        </is>
      </c>
      <c r="I291" s="29" t="inlineStr">
        <is>
          <t>CONTABILIDADE AURORA ASSESSORIA CONTÁBIL LTDA</t>
        </is>
      </c>
      <c r="J291" s="29" t="inlineStr">
        <is>
          <t>Tarifas e pacote de serviços bancários</t>
        </is>
      </c>
      <c r="K291" s="14" t="inlineStr">
        <is>
          <t>DOC 8363</t>
        </is>
      </c>
      <c r="L291" s="29" t="inlineStr">
        <is>
          <t>Itaú Unibanco — C/C 45678-9</t>
        </is>
      </c>
      <c r="M291" s="14" t="inlineStr">
        <is>
          <t>Transferência</t>
        </is>
      </c>
      <c r="N291" s="29" t="n"/>
      <c r="O291" s="13" t="n">
        <v>1</v>
      </c>
      <c r="P291" s="13" t="n">
        <v>1</v>
      </c>
      <c r="Q291" s="35" t="n">
        <v>190</v>
      </c>
      <c r="R291" s="35" t="n">
        <v>190</v>
      </c>
      <c r="S291" s="35" t="n"/>
      <c r="T291" s="35" t="n"/>
      <c r="U291" s="35" t="n"/>
      <c r="V291" s="18">
        <f>IF(COUNTA($B291:$R291)=0,"",ROUND(N($R291)+N($S291)+N($T291)-N($U291),2))</f>
        <v/>
      </c>
      <c r="W291" s="18">
        <f>IF(COUNTA($B291:$R291)=0,"",IF(OR($X291="Pago",$X291="Recebido",$X291="Cancelado"),0,ROUND(N($Q291)+N($S291)+N($T291)-N($U291)-N($R291),2)))</f>
        <v/>
      </c>
      <c r="X291" s="14" t="inlineStr">
        <is>
          <t>Pago</t>
        </is>
      </c>
      <c r="Y291" s="17">
        <f>IF(COUNTA($B291:$R291)=0,"",IF($X291="Cancelado","Cancelado",IF(OR($X291="Pago",$X291="Recebido"),$X291,IF(OR($X291="Parcial",N($R291)&gt;0),"Parcial",IF($C291="","Sem vencimento",IF($C291&lt;TODAY(),"Vencido",IF($C291=TODAY(),"Vence hoje",IF($C291&lt;=TODAY()+7,"Vence em 7 dias",IF($C291&lt;=TODAY()+30,"Vence em 30 dias","Futuro")))))))))</f>
        <v/>
      </c>
      <c r="Z291" s="24">
        <f>IF($B291="","",MONTH($B291))</f>
        <v/>
      </c>
      <c r="AA291" s="24">
        <f>IF($B291="","",YEAR($B291))</f>
        <v/>
      </c>
      <c r="AB291" s="24">
        <f>IF($B291="","",ISOWEEKNUM($B291))</f>
        <v/>
      </c>
      <c r="AC291" s="17">
        <f>IF($B291="","",CHOOSE(WEEKDAY($B291,2),"Segunda","Terça","Quarta","Quinta","Sexta","Sábado","Domingo"))</f>
        <v/>
      </c>
      <c r="AD291" s="17">
        <f>IF($B291="","",TEXT($B291,"MM/AAAA"))</f>
        <v/>
      </c>
      <c r="AE291" s="18">
        <f>IF(COUNTA($B291:$R291)=0,"",IF($X291="Cancelado",0,ROUND(N($Q291)+N($S291)+N($T291)-N($U291),2)))</f>
        <v/>
      </c>
      <c r="AF291" s="9">
        <f>IF($G291="","",IFERROR(INDEX(LINHAS_DRE_PLANO,MATCH($G291,SUBCATEGORIAS_PLANO,0)),"Não classificado"))</f>
        <v/>
      </c>
      <c r="AG291" s="17">
        <f>IF($G291="","",IFERROR(INDEX(TIPOS_FLUXO_PLANO,MATCH($G291,SUBCATEGORIAS_PLANO,0)),"Não classificado"))</f>
        <v/>
      </c>
      <c r="AH291" s="9">
        <f>IF($G291="","",IFERROR(INDEX(GRUPOS_PLANO,MATCH($G291,SUBCATEGORIAS_PLANO,0)),"Não classificado"))</f>
        <v/>
      </c>
      <c r="AI291" s="24">
        <f>IF(OR($C291="",$X291="Pago",$X291="Recebido",$X291="Cancelado"),"",$C291-TODAY())</f>
        <v/>
      </c>
      <c r="AJ291" s="24">
        <f>IF(OR($C291="",$X291="Pago",$X291="Recebido",$X291="Cancelado"),0,MAX(0,TODAY()-$C291))</f>
        <v/>
      </c>
      <c r="AK291" s="24">
        <f>IF($D291="","",$D291-$B291)</f>
        <v/>
      </c>
      <c r="AL291" s="18">
        <f>IF(OR($D291="",$B291=""),"",ROUND(N($R291)*($D291-$B291),2))</f>
        <v/>
      </c>
      <c r="AM291" s="17">
        <f>IF(AND($E291="Saída",$W291&gt;0,$C291&lt;&gt;""),$C291+ROW()/1000000,"")</f>
        <v/>
      </c>
      <c r="AN291" s="17">
        <f>IF(AND($E291="Entrada",$W291&gt;0,$C291&lt;&gt;""),$C291+ROW()/1000000,"")</f>
        <v/>
      </c>
      <c r="AO291" s="9">
        <f>IF(COUNTA($B291:$R291)=0,"",IF(AND($I291&lt;&gt;"",COUNTIF(CLIENTES_NOMES,$I291)+COUNTIF(CLIENTES_FANTASIA,$I291)+COUNTIF(FORNECEDORES_NOMES,$I291)+COUNTIF(FORNECEDORES_FANTASIA,$I291)=0),"⚠ Cliente/Fornecedor não cadastrado",IF(AND($G291&lt;&gt;"",COUNTIF(SUBCATEGORIAS_PLANO,$G291)=0),"⚠ Subcategoria fora do plano de contas",IF(OR($Q291="",N($Q291)=0),"⚠ Valor previsto não informado",IF(AND(OR($X291="Pago",$X291="Recebido"),$D291=""),"⚠ Status pago/recebido sem data",IF(AND($D291&lt;&gt;"",N($R291)=0),"⚠ Data de pagamento sem valor realizado",IF(AND(N($P291)&gt;1,N($O291)&gt;N($P291)),"⚠ Nº da parcela maior que o total",IF(AND($C291&lt;&gt;"",$B291&lt;&gt;"",$C291&lt;$B291),"⚠ Vencimento anterior à competência","OK"))))))))</f>
        <v/>
      </c>
    </row>
    <row r="292">
      <c r="A292" s="14" t="inlineStr">
        <is>
          <t>L0287</t>
        </is>
      </c>
      <c r="B292" s="36" t="n">
        <v>46201</v>
      </c>
      <c r="C292" s="36" t="n">
        <v>46201</v>
      </c>
      <c r="D292" s="36" t="n">
        <v>46201</v>
      </c>
      <c r="E292" s="14" t="inlineStr">
        <is>
          <t>Saída</t>
        </is>
      </c>
      <c r="F292" s="29" t="inlineStr">
        <is>
          <t>Patrimônio Líquido</t>
        </is>
      </c>
      <c r="G292" s="29" t="inlineStr">
        <is>
          <t>Distribuição de Lucros aos Sócios</t>
        </is>
      </c>
      <c r="H292" s="29" t="inlineStr">
        <is>
          <t>Diretoria</t>
        </is>
      </c>
      <c r="I292" s="29" t="inlineStr">
        <is>
          <t>SÓCIOS — PRÓ-LABORE E DISTRIBUIÇÕES</t>
        </is>
      </c>
      <c r="J292" s="29" t="inlineStr">
        <is>
          <t>Distribuição de lucros do trimestre — 06/2026</t>
        </is>
      </c>
      <c r="K292" s="14" t="inlineStr">
        <is>
          <t>DIST-06</t>
        </is>
      </c>
      <c r="L292" s="29" t="inlineStr">
        <is>
          <t>Banco do Brasil — C/C 12345-6</t>
        </is>
      </c>
      <c r="M292" s="14" t="inlineStr">
        <is>
          <t>Transferência</t>
        </is>
      </c>
      <c r="N292" s="29" t="n"/>
      <c r="O292" s="13" t="n">
        <v>1</v>
      </c>
      <c r="P292" s="13" t="n">
        <v>1</v>
      </c>
      <c r="Q292" s="35" t="n">
        <v>12000</v>
      </c>
      <c r="R292" s="35" t="n">
        <v>12000</v>
      </c>
      <c r="S292" s="35" t="n"/>
      <c r="T292" s="35" t="n"/>
      <c r="U292" s="35" t="n"/>
      <c r="V292" s="18">
        <f>IF(COUNTA($B292:$R292)=0,"",ROUND(N($R292)+N($S292)+N($T292)-N($U292),2))</f>
        <v/>
      </c>
      <c r="W292" s="18">
        <f>IF(COUNTA($B292:$R292)=0,"",IF(OR($X292="Pago",$X292="Recebido",$X292="Cancelado"),0,ROUND(N($Q292)+N($S292)+N($T292)-N($U292)-N($R292),2)))</f>
        <v/>
      </c>
      <c r="X292" s="14" t="inlineStr">
        <is>
          <t>Pago</t>
        </is>
      </c>
      <c r="Y292" s="17">
        <f>IF(COUNTA($B292:$R292)=0,"",IF($X292="Cancelado","Cancelado",IF(OR($X292="Pago",$X292="Recebido"),$X292,IF(OR($X292="Parcial",N($R292)&gt;0),"Parcial",IF($C292="","Sem vencimento",IF($C292&lt;TODAY(),"Vencido",IF($C292=TODAY(),"Vence hoje",IF($C292&lt;=TODAY()+7,"Vence em 7 dias",IF($C292&lt;=TODAY()+30,"Vence em 30 dias","Futuro")))))))))</f>
        <v/>
      </c>
      <c r="Z292" s="24">
        <f>IF($B292="","",MONTH($B292))</f>
        <v/>
      </c>
      <c r="AA292" s="24">
        <f>IF($B292="","",YEAR($B292))</f>
        <v/>
      </c>
      <c r="AB292" s="24">
        <f>IF($B292="","",ISOWEEKNUM($B292))</f>
        <v/>
      </c>
      <c r="AC292" s="17">
        <f>IF($B292="","",CHOOSE(WEEKDAY($B292,2),"Segunda","Terça","Quarta","Quinta","Sexta","Sábado","Domingo"))</f>
        <v/>
      </c>
      <c r="AD292" s="17">
        <f>IF($B292="","",TEXT($B292,"MM/AAAA"))</f>
        <v/>
      </c>
      <c r="AE292" s="18">
        <f>IF(COUNTA($B292:$R292)=0,"",IF($X292="Cancelado",0,ROUND(N($Q292)+N($S292)+N($T292)-N($U292),2)))</f>
        <v/>
      </c>
      <c r="AF292" s="9">
        <f>IF($G292="","",IFERROR(INDEX(LINHAS_DRE_PLANO,MATCH($G292,SUBCATEGORIAS_PLANO,0)),"Não classificado"))</f>
        <v/>
      </c>
      <c r="AG292" s="17">
        <f>IF($G292="","",IFERROR(INDEX(TIPOS_FLUXO_PLANO,MATCH($G292,SUBCATEGORIAS_PLANO,0)),"Não classificado"))</f>
        <v/>
      </c>
      <c r="AH292" s="9">
        <f>IF($G292="","",IFERROR(INDEX(GRUPOS_PLANO,MATCH($G292,SUBCATEGORIAS_PLANO,0)),"Não classificado"))</f>
        <v/>
      </c>
      <c r="AI292" s="24">
        <f>IF(OR($C292="",$X292="Pago",$X292="Recebido",$X292="Cancelado"),"",$C292-TODAY())</f>
        <v/>
      </c>
      <c r="AJ292" s="24">
        <f>IF(OR($C292="",$X292="Pago",$X292="Recebido",$X292="Cancelado"),0,MAX(0,TODAY()-$C292))</f>
        <v/>
      </c>
      <c r="AK292" s="24">
        <f>IF($D292="","",$D292-$B292)</f>
        <v/>
      </c>
      <c r="AL292" s="18">
        <f>IF(OR($D292="",$B292=""),"",ROUND(N($R292)*($D292-$B292),2))</f>
        <v/>
      </c>
      <c r="AM292" s="17">
        <f>IF(AND($E292="Saída",$W292&gt;0,$C292&lt;&gt;""),$C292+ROW()/1000000,"")</f>
        <v/>
      </c>
      <c r="AN292" s="17">
        <f>IF(AND($E292="Entrada",$W292&gt;0,$C292&lt;&gt;""),$C292+ROW()/1000000,"")</f>
        <v/>
      </c>
      <c r="AO292" s="9">
        <f>IF(COUNTA($B292:$R292)=0,"",IF(AND($I292&lt;&gt;"",COUNTIF(CLIENTES_NOMES,$I292)+COUNTIF(CLIENTES_FANTASIA,$I292)+COUNTIF(FORNECEDORES_NOMES,$I292)+COUNTIF(FORNECEDORES_FANTASIA,$I292)=0),"⚠ Cliente/Fornecedor não cadastrado",IF(AND($G292&lt;&gt;"",COUNTIF(SUBCATEGORIAS_PLANO,$G292)=0),"⚠ Subcategoria fora do plano de contas",IF(OR($Q292="",N($Q292)=0),"⚠ Valor previsto não informado",IF(AND(OR($X292="Pago",$X292="Recebido"),$D292=""),"⚠ Status pago/recebido sem data",IF(AND($D292&lt;&gt;"",N($R292)=0),"⚠ Data de pagamento sem valor realizado",IF(AND(N($P292)&gt;1,N($O292)&gt;N($P292)),"⚠ Nº da parcela maior que o total",IF(AND($C292&lt;&gt;"",$B292&lt;&gt;"",$C292&lt;$B292),"⚠ Vencimento anterior à competência","OK"))))))))</f>
        <v/>
      </c>
    </row>
    <row r="293">
      <c r="A293" s="14" t="inlineStr">
        <is>
          <t>L0288</t>
        </is>
      </c>
      <c r="B293" s="36" t="n">
        <v>46207</v>
      </c>
      <c r="C293" s="36" t="n">
        <v>46237</v>
      </c>
      <c r="D293" s="36" t="n">
        <v>46238</v>
      </c>
      <c r="E293" s="14" t="inlineStr">
        <is>
          <t>Saída</t>
        </is>
      </c>
      <c r="F293" s="29" t="inlineStr">
        <is>
          <t>Custos Variáveis</t>
        </is>
      </c>
      <c r="G293" s="29" t="inlineStr">
        <is>
          <t>Mercadorias para Revenda</t>
        </is>
      </c>
      <c r="H293" s="29" t="inlineStr">
        <is>
          <t>Logística</t>
        </is>
      </c>
      <c r="I293" s="29" t="inlineStr">
        <is>
          <t>DISTRIBUIDORA CENTRAL DE ALIMENTOS S/A</t>
        </is>
      </c>
      <c r="J293" s="29" t="inlineStr">
        <is>
          <t>Compra de mercadorias para revenda — NF 5070</t>
        </is>
      </c>
      <c r="K293" s="14" t="inlineStr">
        <is>
          <t>NF 5070</t>
        </is>
      </c>
      <c r="L293" s="29" t="inlineStr">
        <is>
          <t>Itaú Unibanco — C/C 45678-9</t>
        </is>
      </c>
      <c r="M293" s="14" t="inlineStr">
        <is>
          <t>Boleto</t>
        </is>
      </c>
      <c r="N293" s="29" t="n"/>
      <c r="O293" s="13" t="n">
        <v>1</v>
      </c>
      <c r="P293" s="13" t="n">
        <v>1</v>
      </c>
      <c r="Q293" s="35" t="n">
        <v>62624.24</v>
      </c>
      <c r="R293" s="35" t="n">
        <v>62624.24</v>
      </c>
      <c r="S293" s="35" t="n"/>
      <c r="T293" s="35" t="n"/>
      <c r="U293" s="35" t="n"/>
      <c r="V293" s="18">
        <f>IF(COUNTA($B293:$R293)=0,"",ROUND(N($R293)+N($S293)+N($T293)-N($U293),2))</f>
        <v/>
      </c>
      <c r="W293" s="18">
        <f>IF(COUNTA($B293:$R293)=0,"",IF(OR($X293="Pago",$X293="Recebido",$X293="Cancelado"),0,ROUND(N($Q293)+N($S293)+N($T293)-N($U293)-N($R293),2)))</f>
        <v/>
      </c>
      <c r="X293" s="14" t="inlineStr">
        <is>
          <t>Pago</t>
        </is>
      </c>
      <c r="Y293" s="17">
        <f>IF(COUNTA($B293:$R293)=0,"",IF($X293="Cancelado","Cancelado",IF(OR($X293="Pago",$X293="Recebido"),$X293,IF(OR($X293="Parcial",N($R293)&gt;0),"Parcial",IF($C293="","Sem vencimento",IF($C293&lt;TODAY(),"Vencido",IF($C293=TODAY(),"Vence hoje",IF($C293&lt;=TODAY()+7,"Vence em 7 dias",IF($C293&lt;=TODAY()+30,"Vence em 30 dias","Futuro")))))))))</f>
        <v/>
      </c>
      <c r="Z293" s="24">
        <f>IF($B293="","",MONTH($B293))</f>
        <v/>
      </c>
      <c r="AA293" s="24">
        <f>IF($B293="","",YEAR($B293))</f>
        <v/>
      </c>
      <c r="AB293" s="24">
        <f>IF($B293="","",ISOWEEKNUM($B293))</f>
        <v/>
      </c>
      <c r="AC293" s="17">
        <f>IF($B293="","",CHOOSE(WEEKDAY($B293,2),"Segunda","Terça","Quarta","Quinta","Sexta","Sábado","Domingo"))</f>
        <v/>
      </c>
      <c r="AD293" s="17">
        <f>IF($B293="","",TEXT($B293,"MM/AAAA"))</f>
        <v/>
      </c>
      <c r="AE293" s="18">
        <f>IF(COUNTA($B293:$R293)=0,"",IF($X293="Cancelado",0,ROUND(N($Q293)+N($S293)+N($T293)-N($U293),2)))</f>
        <v/>
      </c>
      <c r="AF293" s="9">
        <f>IF($G293="","",IFERROR(INDEX(LINHAS_DRE_PLANO,MATCH($G293,SUBCATEGORIAS_PLANO,0)),"Não classificado"))</f>
        <v/>
      </c>
      <c r="AG293" s="17">
        <f>IF($G293="","",IFERROR(INDEX(TIPOS_FLUXO_PLANO,MATCH($G293,SUBCATEGORIAS_PLANO,0)),"Não classificado"))</f>
        <v/>
      </c>
      <c r="AH293" s="9">
        <f>IF($G293="","",IFERROR(INDEX(GRUPOS_PLANO,MATCH($G293,SUBCATEGORIAS_PLANO,0)),"Não classificado"))</f>
        <v/>
      </c>
      <c r="AI293" s="24">
        <f>IF(OR($C293="",$X293="Pago",$X293="Recebido",$X293="Cancelado"),"",$C293-TODAY())</f>
        <v/>
      </c>
      <c r="AJ293" s="24">
        <f>IF(OR($C293="",$X293="Pago",$X293="Recebido",$X293="Cancelado"),0,MAX(0,TODAY()-$C293))</f>
        <v/>
      </c>
      <c r="AK293" s="24">
        <f>IF($D293="","",$D293-$B293)</f>
        <v/>
      </c>
      <c r="AL293" s="18">
        <f>IF(OR($D293="",$B293=""),"",ROUND(N($R293)*($D293-$B293),2))</f>
        <v/>
      </c>
      <c r="AM293" s="17">
        <f>IF(AND($E293="Saída",$W293&gt;0,$C293&lt;&gt;""),$C293+ROW()/1000000,"")</f>
        <v/>
      </c>
      <c r="AN293" s="17">
        <f>IF(AND($E293="Entrada",$W293&gt;0,$C293&lt;&gt;""),$C293+ROW()/1000000,"")</f>
        <v/>
      </c>
      <c r="AO293" s="9">
        <f>IF(COUNTA($B293:$R293)=0,"",IF(AND($I293&lt;&gt;"",COUNTIF(CLIENTES_NOMES,$I293)+COUNTIF(CLIENTES_FANTASIA,$I293)+COUNTIF(FORNECEDORES_NOMES,$I293)+COUNTIF(FORNECEDORES_FANTASIA,$I293)=0),"⚠ Cliente/Fornecedor não cadastrado",IF(AND($G293&lt;&gt;"",COUNTIF(SUBCATEGORIAS_PLANO,$G293)=0),"⚠ Subcategoria fora do plano de contas",IF(OR($Q293="",N($Q293)=0),"⚠ Valor previsto não informado",IF(AND(OR($X293="Pago",$X293="Recebido"),$D293=""),"⚠ Status pago/recebido sem data",IF(AND($D293&lt;&gt;"",N($R293)=0),"⚠ Data de pagamento sem valor realizado",IF(AND(N($P293)&gt;1,N($O293)&gt;N($P293)),"⚠ Nº da parcela maior que o total",IF(AND($C293&lt;&gt;"",$B293&lt;&gt;"",$C293&lt;$B293),"⚠ Vencimento anterior à competência","OK"))))))))</f>
        <v/>
      </c>
    </row>
    <row r="294">
      <c r="A294" s="14" t="inlineStr">
        <is>
          <t>L0289</t>
        </is>
      </c>
      <c r="B294" s="36" t="n">
        <v>46208</v>
      </c>
      <c r="C294" s="36" t="n">
        <v>46213</v>
      </c>
      <c r="D294" s="36" t="n">
        <v>46216</v>
      </c>
      <c r="E294" s="14" t="inlineStr">
        <is>
          <t>Saída</t>
        </is>
      </c>
      <c r="F294" s="29" t="inlineStr">
        <is>
          <t>Despesas Administrativas</t>
        </is>
      </c>
      <c r="G294" s="29" t="inlineStr">
        <is>
          <t>Aluguel</t>
        </is>
      </c>
      <c r="H294" s="29" t="inlineStr">
        <is>
          <t>Administrativo</t>
        </is>
      </c>
      <c r="I294" s="29" t="inlineStr">
        <is>
          <t>IMÓVEIS E LOCAÇÕES PINHEIROS LTDA</t>
        </is>
      </c>
      <c r="J294" s="29" t="inlineStr">
        <is>
          <t>Aluguel do galpão — competência 07/2026</t>
        </is>
      </c>
      <c r="K294" s="14" t="inlineStr">
        <is>
          <t>DOC 8364</t>
        </is>
      </c>
      <c r="L294" s="29" t="inlineStr">
        <is>
          <t>Banco do Brasil — C/C 12345-6</t>
        </is>
      </c>
      <c r="M294" s="14" t="inlineStr">
        <is>
          <t>Boleto</t>
        </is>
      </c>
      <c r="N294" s="29" t="n"/>
      <c r="O294" s="13" t="n">
        <v>1</v>
      </c>
      <c r="P294" s="13" t="n">
        <v>1</v>
      </c>
      <c r="Q294" s="35" t="n">
        <v>7500</v>
      </c>
      <c r="R294" s="35" t="n">
        <v>7500</v>
      </c>
      <c r="S294" s="35" t="n"/>
      <c r="T294" s="35" t="n"/>
      <c r="U294" s="35" t="n"/>
      <c r="V294" s="18">
        <f>IF(COUNTA($B294:$R294)=0,"",ROUND(N($R294)+N($S294)+N($T294)-N($U294),2))</f>
        <v/>
      </c>
      <c r="W294" s="18">
        <f>IF(COUNTA($B294:$R294)=0,"",IF(OR($X294="Pago",$X294="Recebido",$X294="Cancelado"),0,ROUND(N($Q294)+N($S294)+N($T294)-N($U294)-N($R294),2)))</f>
        <v/>
      </c>
      <c r="X294" s="14" t="inlineStr">
        <is>
          <t>Pago</t>
        </is>
      </c>
      <c r="Y294" s="17">
        <f>IF(COUNTA($B294:$R294)=0,"",IF($X294="Cancelado","Cancelado",IF(OR($X294="Pago",$X294="Recebido"),$X294,IF(OR($X294="Parcial",N($R294)&gt;0),"Parcial",IF($C294="","Sem vencimento",IF($C294&lt;TODAY(),"Vencido",IF($C294=TODAY(),"Vence hoje",IF($C294&lt;=TODAY()+7,"Vence em 7 dias",IF($C294&lt;=TODAY()+30,"Vence em 30 dias","Futuro")))))))))</f>
        <v/>
      </c>
      <c r="Z294" s="24">
        <f>IF($B294="","",MONTH($B294))</f>
        <v/>
      </c>
      <c r="AA294" s="24">
        <f>IF($B294="","",YEAR($B294))</f>
        <v/>
      </c>
      <c r="AB294" s="24">
        <f>IF($B294="","",ISOWEEKNUM($B294))</f>
        <v/>
      </c>
      <c r="AC294" s="17">
        <f>IF($B294="","",CHOOSE(WEEKDAY($B294,2),"Segunda","Terça","Quarta","Quinta","Sexta","Sábado","Domingo"))</f>
        <v/>
      </c>
      <c r="AD294" s="17">
        <f>IF($B294="","",TEXT($B294,"MM/AAAA"))</f>
        <v/>
      </c>
      <c r="AE294" s="18">
        <f>IF(COUNTA($B294:$R294)=0,"",IF($X294="Cancelado",0,ROUND(N($Q294)+N($S294)+N($T294)-N($U294),2)))</f>
        <v/>
      </c>
      <c r="AF294" s="9">
        <f>IF($G294="","",IFERROR(INDEX(LINHAS_DRE_PLANO,MATCH($G294,SUBCATEGORIAS_PLANO,0)),"Não classificado"))</f>
        <v/>
      </c>
      <c r="AG294" s="17">
        <f>IF($G294="","",IFERROR(INDEX(TIPOS_FLUXO_PLANO,MATCH($G294,SUBCATEGORIAS_PLANO,0)),"Não classificado"))</f>
        <v/>
      </c>
      <c r="AH294" s="9">
        <f>IF($G294="","",IFERROR(INDEX(GRUPOS_PLANO,MATCH($G294,SUBCATEGORIAS_PLANO,0)),"Não classificado"))</f>
        <v/>
      </c>
      <c r="AI294" s="24">
        <f>IF(OR($C294="",$X294="Pago",$X294="Recebido",$X294="Cancelado"),"",$C294-TODAY())</f>
        <v/>
      </c>
      <c r="AJ294" s="24">
        <f>IF(OR($C294="",$X294="Pago",$X294="Recebido",$X294="Cancelado"),0,MAX(0,TODAY()-$C294))</f>
        <v/>
      </c>
      <c r="AK294" s="24">
        <f>IF($D294="","",$D294-$B294)</f>
        <v/>
      </c>
      <c r="AL294" s="18">
        <f>IF(OR($D294="",$B294=""),"",ROUND(N($R294)*($D294-$B294),2))</f>
        <v/>
      </c>
      <c r="AM294" s="17">
        <f>IF(AND($E294="Saída",$W294&gt;0,$C294&lt;&gt;""),$C294+ROW()/1000000,"")</f>
        <v/>
      </c>
      <c r="AN294" s="17">
        <f>IF(AND($E294="Entrada",$W294&gt;0,$C294&lt;&gt;""),$C294+ROW()/1000000,"")</f>
        <v/>
      </c>
      <c r="AO294" s="9">
        <f>IF(COUNTA($B294:$R294)=0,"",IF(AND($I294&lt;&gt;"",COUNTIF(CLIENTES_NOMES,$I294)+COUNTIF(CLIENTES_FANTASIA,$I294)+COUNTIF(FORNECEDORES_NOMES,$I294)+COUNTIF(FORNECEDORES_FANTASIA,$I294)=0),"⚠ Cliente/Fornecedor não cadastrado",IF(AND($G294&lt;&gt;"",COUNTIF(SUBCATEGORIAS_PLANO,$G294)=0),"⚠ Subcategoria fora do plano de contas",IF(OR($Q294="",N($Q294)=0),"⚠ Valor previsto não informado",IF(AND(OR($X294="Pago",$X294="Recebido"),$D294=""),"⚠ Status pago/recebido sem data",IF(AND($D294&lt;&gt;"",N($R294)=0),"⚠ Data de pagamento sem valor realizado",IF(AND(N($P294)&gt;1,N($O294)&gt;N($P294)),"⚠ Nº da parcela maior que o total",IF(AND($C294&lt;&gt;"",$B294&lt;&gt;"",$C294&lt;$B294),"⚠ Vencimento anterior à competência","OK"))))))))</f>
        <v/>
      </c>
    </row>
    <row r="295">
      <c r="A295" s="14" t="inlineStr">
        <is>
          <t>L0290</t>
        </is>
      </c>
      <c r="B295" s="36" t="n">
        <v>46208</v>
      </c>
      <c r="C295" s="36" t="n">
        <v>46213</v>
      </c>
      <c r="D295" s="36" t="n">
        <v>46216</v>
      </c>
      <c r="E295" s="14" t="inlineStr">
        <is>
          <t>Saída</t>
        </is>
      </c>
      <c r="F295" s="29" t="inlineStr">
        <is>
          <t>Despesas com Pessoal</t>
        </is>
      </c>
      <c r="G295" s="29" t="inlineStr">
        <is>
          <t>Salários</t>
        </is>
      </c>
      <c r="H295" s="29" t="inlineStr">
        <is>
          <t>Administrativo</t>
        </is>
      </c>
      <c r="I295" s="29" t="inlineStr">
        <is>
          <t>COLABORADORES — FOLHA DE PAGAMENTO</t>
        </is>
      </c>
      <c r="J295" s="29" t="inlineStr">
        <is>
          <t>Folha de pagamento — 07/2026</t>
        </is>
      </c>
      <c r="K295" s="14" t="inlineStr">
        <is>
          <t>DOC 8370</t>
        </is>
      </c>
      <c r="L295" s="29" t="inlineStr">
        <is>
          <t>Banco do Brasil — C/C 12345-6</t>
        </is>
      </c>
      <c r="M295" s="14" t="inlineStr">
        <is>
          <t>Transferência</t>
        </is>
      </c>
      <c r="N295" s="29" t="n"/>
      <c r="O295" s="13" t="n">
        <v>1</v>
      </c>
      <c r="P295" s="13" t="n">
        <v>1</v>
      </c>
      <c r="Q295" s="35" t="n">
        <v>16000</v>
      </c>
      <c r="R295" s="35" t="n">
        <v>16000</v>
      </c>
      <c r="S295" s="35" t="n"/>
      <c r="T295" s="35" t="n"/>
      <c r="U295" s="35" t="n"/>
      <c r="V295" s="18">
        <f>IF(COUNTA($B295:$R295)=0,"",ROUND(N($R295)+N($S295)+N($T295)-N($U295),2))</f>
        <v/>
      </c>
      <c r="W295" s="18">
        <f>IF(COUNTA($B295:$R295)=0,"",IF(OR($X295="Pago",$X295="Recebido",$X295="Cancelado"),0,ROUND(N($Q295)+N($S295)+N($T295)-N($U295)-N($R295),2)))</f>
        <v/>
      </c>
      <c r="X295" s="14" t="inlineStr">
        <is>
          <t>Pago</t>
        </is>
      </c>
      <c r="Y295" s="17">
        <f>IF(COUNTA($B295:$R295)=0,"",IF($X295="Cancelado","Cancelado",IF(OR($X295="Pago",$X295="Recebido"),$X295,IF(OR($X295="Parcial",N($R295)&gt;0),"Parcial",IF($C295="","Sem vencimento",IF($C295&lt;TODAY(),"Vencido",IF($C295=TODAY(),"Vence hoje",IF($C295&lt;=TODAY()+7,"Vence em 7 dias",IF($C295&lt;=TODAY()+30,"Vence em 30 dias","Futuro")))))))))</f>
        <v/>
      </c>
      <c r="Z295" s="24">
        <f>IF($B295="","",MONTH($B295))</f>
        <v/>
      </c>
      <c r="AA295" s="24">
        <f>IF($B295="","",YEAR($B295))</f>
        <v/>
      </c>
      <c r="AB295" s="24">
        <f>IF($B295="","",ISOWEEKNUM($B295))</f>
        <v/>
      </c>
      <c r="AC295" s="17">
        <f>IF($B295="","",CHOOSE(WEEKDAY($B295,2),"Segunda","Terça","Quarta","Quinta","Sexta","Sábado","Domingo"))</f>
        <v/>
      </c>
      <c r="AD295" s="17">
        <f>IF($B295="","",TEXT($B295,"MM/AAAA"))</f>
        <v/>
      </c>
      <c r="AE295" s="18">
        <f>IF(COUNTA($B295:$R295)=0,"",IF($X295="Cancelado",0,ROUND(N($Q295)+N($S295)+N($T295)-N($U295),2)))</f>
        <v/>
      </c>
      <c r="AF295" s="9">
        <f>IF($G295="","",IFERROR(INDEX(LINHAS_DRE_PLANO,MATCH($G295,SUBCATEGORIAS_PLANO,0)),"Não classificado"))</f>
        <v/>
      </c>
      <c r="AG295" s="17">
        <f>IF($G295="","",IFERROR(INDEX(TIPOS_FLUXO_PLANO,MATCH($G295,SUBCATEGORIAS_PLANO,0)),"Não classificado"))</f>
        <v/>
      </c>
      <c r="AH295" s="9">
        <f>IF($G295="","",IFERROR(INDEX(GRUPOS_PLANO,MATCH($G295,SUBCATEGORIAS_PLANO,0)),"Não classificado"))</f>
        <v/>
      </c>
      <c r="AI295" s="24">
        <f>IF(OR($C295="",$X295="Pago",$X295="Recebido",$X295="Cancelado"),"",$C295-TODAY())</f>
        <v/>
      </c>
      <c r="AJ295" s="24">
        <f>IF(OR($C295="",$X295="Pago",$X295="Recebido",$X295="Cancelado"),0,MAX(0,TODAY()-$C295))</f>
        <v/>
      </c>
      <c r="AK295" s="24">
        <f>IF($D295="","",$D295-$B295)</f>
        <v/>
      </c>
      <c r="AL295" s="18">
        <f>IF(OR($D295="",$B295=""),"",ROUND(N($R295)*($D295-$B295),2))</f>
        <v/>
      </c>
      <c r="AM295" s="17">
        <f>IF(AND($E295="Saída",$W295&gt;0,$C295&lt;&gt;""),$C295+ROW()/1000000,"")</f>
        <v/>
      </c>
      <c r="AN295" s="17">
        <f>IF(AND($E295="Entrada",$W295&gt;0,$C295&lt;&gt;""),$C295+ROW()/1000000,"")</f>
        <v/>
      </c>
      <c r="AO295" s="9">
        <f>IF(COUNTA($B295:$R295)=0,"",IF(AND($I295&lt;&gt;"",COUNTIF(CLIENTES_NOMES,$I295)+COUNTIF(CLIENTES_FANTASIA,$I295)+COUNTIF(FORNECEDORES_NOMES,$I295)+COUNTIF(FORNECEDORES_FANTASIA,$I295)=0),"⚠ Cliente/Fornecedor não cadastrado",IF(AND($G295&lt;&gt;"",COUNTIF(SUBCATEGORIAS_PLANO,$G295)=0),"⚠ Subcategoria fora do plano de contas",IF(OR($Q295="",N($Q295)=0),"⚠ Valor previsto não informado",IF(AND(OR($X295="Pago",$X295="Recebido"),$D295=""),"⚠ Status pago/recebido sem data",IF(AND($D295&lt;&gt;"",N($R295)=0),"⚠ Data de pagamento sem valor realizado",IF(AND(N($P295)&gt;1,N($O295)&gt;N($P295)),"⚠ Nº da parcela maior que o total",IF(AND($C295&lt;&gt;"",$B295&lt;&gt;"",$C295&lt;$B295),"⚠ Vencimento anterior à competência","OK"))))))))</f>
        <v/>
      </c>
    </row>
    <row r="296">
      <c r="A296" s="14" t="inlineStr">
        <is>
          <t>L0291</t>
        </is>
      </c>
      <c r="B296" s="36" t="n">
        <v>46208</v>
      </c>
      <c r="C296" s="36" t="n">
        <v>46213</v>
      </c>
      <c r="D296" s="36" t="n">
        <v>46215</v>
      </c>
      <c r="E296" s="14" t="inlineStr">
        <is>
          <t>Saída</t>
        </is>
      </c>
      <c r="F296" s="29" t="inlineStr">
        <is>
          <t>Despesas com Pessoal</t>
        </is>
      </c>
      <c r="G296" s="29" t="inlineStr">
        <is>
          <t>Benefícios (VT/VA/Plano de Saúde)</t>
        </is>
      </c>
      <c r="H296" s="29" t="inlineStr">
        <is>
          <t>Administrativo</t>
        </is>
      </c>
      <c r="I296" s="29" t="inlineStr">
        <is>
          <t>BENEFÍCIOS BRASIL ADMINISTRADORA LTDA</t>
        </is>
      </c>
      <c r="J296" s="29" t="inlineStr">
        <is>
          <t>Vale-transporte, alimentação e saúde</t>
        </is>
      </c>
      <c r="K296" s="14" t="inlineStr">
        <is>
          <t>DOC 8372</t>
        </is>
      </c>
      <c r="L296" s="29" t="inlineStr">
        <is>
          <t>Banco do Brasil — C/C 12345-6</t>
        </is>
      </c>
      <c r="M296" s="14" t="inlineStr">
        <is>
          <t>Transferência</t>
        </is>
      </c>
      <c r="N296" s="29" t="n"/>
      <c r="O296" s="13" t="n">
        <v>1</v>
      </c>
      <c r="P296" s="13" t="n">
        <v>1</v>
      </c>
      <c r="Q296" s="35" t="n">
        <v>1900</v>
      </c>
      <c r="R296" s="35" t="n">
        <v>1900</v>
      </c>
      <c r="S296" s="35" t="n"/>
      <c r="T296" s="35" t="n"/>
      <c r="U296" s="35" t="n"/>
      <c r="V296" s="18">
        <f>IF(COUNTA($B296:$R296)=0,"",ROUND(N($R296)+N($S296)+N($T296)-N($U296),2))</f>
        <v/>
      </c>
      <c r="W296" s="18">
        <f>IF(COUNTA($B296:$R296)=0,"",IF(OR($X296="Pago",$X296="Recebido",$X296="Cancelado"),0,ROUND(N($Q296)+N($S296)+N($T296)-N($U296)-N($R296),2)))</f>
        <v/>
      </c>
      <c r="X296" s="14" t="inlineStr">
        <is>
          <t>Pago</t>
        </is>
      </c>
      <c r="Y296" s="17">
        <f>IF(COUNTA($B296:$R296)=0,"",IF($X296="Cancelado","Cancelado",IF(OR($X296="Pago",$X296="Recebido"),$X296,IF(OR($X296="Parcial",N($R296)&gt;0),"Parcial",IF($C296="","Sem vencimento",IF($C296&lt;TODAY(),"Vencido",IF($C296=TODAY(),"Vence hoje",IF($C296&lt;=TODAY()+7,"Vence em 7 dias",IF($C296&lt;=TODAY()+30,"Vence em 30 dias","Futuro")))))))))</f>
        <v/>
      </c>
      <c r="Z296" s="24">
        <f>IF($B296="","",MONTH($B296))</f>
        <v/>
      </c>
      <c r="AA296" s="24">
        <f>IF($B296="","",YEAR($B296))</f>
        <v/>
      </c>
      <c r="AB296" s="24">
        <f>IF($B296="","",ISOWEEKNUM($B296))</f>
        <v/>
      </c>
      <c r="AC296" s="17">
        <f>IF($B296="","",CHOOSE(WEEKDAY($B296,2),"Segunda","Terça","Quarta","Quinta","Sexta","Sábado","Domingo"))</f>
        <v/>
      </c>
      <c r="AD296" s="17">
        <f>IF($B296="","",TEXT($B296,"MM/AAAA"))</f>
        <v/>
      </c>
      <c r="AE296" s="18">
        <f>IF(COUNTA($B296:$R296)=0,"",IF($X296="Cancelado",0,ROUND(N($Q296)+N($S296)+N($T296)-N($U296),2)))</f>
        <v/>
      </c>
      <c r="AF296" s="9">
        <f>IF($G296="","",IFERROR(INDEX(LINHAS_DRE_PLANO,MATCH($G296,SUBCATEGORIAS_PLANO,0)),"Não classificado"))</f>
        <v/>
      </c>
      <c r="AG296" s="17">
        <f>IF($G296="","",IFERROR(INDEX(TIPOS_FLUXO_PLANO,MATCH($G296,SUBCATEGORIAS_PLANO,0)),"Não classificado"))</f>
        <v/>
      </c>
      <c r="AH296" s="9">
        <f>IF($G296="","",IFERROR(INDEX(GRUPOS_PLANO,MATCH($G296,SUBCATEGORIAS_PLANO,0)),"Não classificado"))</f>
        <v/>
      </c>
      <c r="AI296" s="24">
        <f>IF(OR($C296="",$X296="Pago",$X296="Recebido",$X296="Cancelado"),"",$C296-TODAY())</f>
        <v/>
      </c>
      <c r="AJ296" s="24">
        <f>IF(OR($C296="",$X296="Pago",$X296="Recebido",$X296="Cancelado"),0,MAX(0,TODAY()-$C296))</f>
        <v/>
      </c>
      <c r="AK296" s="24">
        <f>IF($D296="","",$D296-$B296)</f>
        <v/>
      </c>
      <c r="AL296" s="18">
        <f>IF(OR($D296="",$B296=""),"",ROUND(N($R296)*($D296-$B296),2))</f>
        <v/>
      </c>
      <c r="AM296" s="17">
        <f>IF(AND($E296="Saída",$W296&gt;0,$C296&lt;&gt;""),$C296+ROW()/1000000,"")</f>
        <v/>
      </c>
      <c r="AN296" s="17">
        <f>IF(AND($E296="Entrada",$W296&gt;0,$C296&lt;&gt;""),$C296+ROW()/1000000,"")</f>
        <v/>
      </c>
      <c r="AO296" s="9">
        <f>IF(COUNTA($B296:$R296)=0,"",IF(AND($I296&lt;&gt;"",COUNTIF(CLIENTES_NOMES,$I296)+COUNTIF(CLIENTES_FANTASIA,$I296)+COUNTIF(FORNECEDORES_NOMES,$I296)+COUNTIF(FORNECEDORES_FANTASIA,$I296)=0),"⚠ Cliente/Fornecedor não cadastrado",IF(AND($G296&lt;&gt;"",COUNTIF(SUBCATEGORIAS_PLANO,$G296)=0),"⚠ Subcategoria fora do plano de contas",IF(OR($Q296="",N($Q296)=0),"⚠ Valor previsto não informado",IF(AND(OR($X296="Pago",$X296="Recebido"),$D296=""),"⚠ Status pago/recebido sem data",IF(AND($D296&lt;&gt;"",N($R296)=0),"⚠ Data de pagamento sem valor realizado",IF(AND(N($P296)&gt;1,N($O296)&gt;N($P296)),"⚠ Nº da parcela maior que o total",IF(AND($C296&lt;&gt;"",$B296&lt;&gt;"",$C296&lt;$B296),"⚠ Vencimento anterior à competência","OK"))))))))</f>
        <v/>
      </c>
    </row>
    <row r="297">
      <c r="A297" s="14" t="inlineStr">
        <is>
          <t>L0292</t>
        </is>
      </c>
      <c r="B297" s="36" t="n">
        <v>46208</v>
      </c>
      <c r="C297" s="36" t="n">
        <v>46213</v>
      </c>
      <c r="D297" s="36" t="n">
        <v>46215</v>
      </c>
      <c r="E297" s="14" t="inlineStr">
        <is>
          <t>Saída</t>
        </is>
      </c>
      <c r="F297" s="29" t="inlineStr">
        <is>
          <t>Despesas com Pessoal</t>
        </is>
      </c>
      <c r="G297" s="29" t="inlineStr">
        <is>
          <t>Pró-labore</t>
        </is>
      </c>
      <c r="H297" s="29" t="inlineStr">
        <is>
          <t>Diretoria</t>
        </is>
      </c>
      <c r="I297" s="29" t="inlineStr">
        <is>
          <t>SÓCIOS — PRÓ-LABORE E DISTRIBUIÇÕES</t>
        </is>
      </c>
      <c r="J297" s="29" t="inlineStr">
        <is>
          <t>Pró-labore dos sócios — 07/2026</t>
        </is>
      </c>
      <c r="K297" s="14" t="inlineStr">
        <is>
          <t>DOC 8373</t>
        </is>
      </c>
      <c r="L297" s="29" t="inlineStr">
        <is>
          <t>Banco do Brasil — C/C 12345-6</t>
        </is>
      </c>
      <c r="M297" s="14" t="inlineStr">
        <is>
          <t>Transferência</t>
        </is>
      </c>
      <c r="N297" s="29" t="n"/>
      <c r="O297" s="13" t="n">
        <v>1</v>
      </c>
      <c r="P297" s="13" t="n">
        <v>1</v>
      </c>
      <c r="Q297" s="35" t="n">
        <v>9500</v>
      </c>
      <c r="R297" s="35" t="n">
        <v>9500</v>
      </c>
      <c r="S297" s="35" t="n"/>
      <c r="T297" s="35" t="n"/>
      <c r="U297" s="35" t="n"/>
      <c r="V297" s="18">
        <f>IF(COUNTA($B297:$R297)=0,"",ROUND(N($R297)+N($S297)+N($T297)-N($U297),2))</f>
        <v/>
      </c>
      <c r="W297" s="18">
        <f>IF(COUNTA($B297:$R297)=0,"",IF(OR($X297="Pago",$X297="Recebido",$X297="Cancelado"),0,ROUND(N($Q297)+N($S297)+N($T297)-N($U297)-N($R297),2)))</f>
        <v/>
      </c>
      <c r="X297" s="14" t="inlineStr">
        <is>
          <t>Pago</t>
        </is>
      </c>
      <c r="Y297" s="17">
        <f>IF(COUNTA($B297:$R297)=0,"",IF($X297="Cancelado","Cancelado",IF(OR($X297="Pago",$X297="Recebido"),$X297,IF(OR($X297="Parcial",N($R297)&gt;0),"Parcial",IF($C297="","Sem vencimento",IF($C297&lt;TODAY(),"Vencido",IF($C297=TODAY(),"Vence hoje",IF($C297&lt;=TODAY()+7,"Vence em 7 dias",IF($C297&lt;=TODAY()+30,"Vence em 30 dias","Futuro")))))))))</f>
        <v/>
      </c>
      <c r="Z297" s="24">
        <f>IF($B297="","",MONTH($B297))</f>
        <v/>
      </c>
      <c r="AA297" s="24">
        <f>IF($B297="","",YEAR($B297))</f>
        <v/>
      </c>
      <c r="AB297" s="24">
        <f>IF($B297="","",ISOWEEKNUM($B297))</f>
        <v/>
      </c>
      <c r="AC297" s="17">
        <f>IF($B297="","",CHOOSE(WEEKDAY($B297,2),"Segunda","Terça","Quarta","Quinta","Sexta","Sábado","Domingo"))</f>
        <v/>
      </c>
      <c r="AD297" s="17">
        <f>IF($B297="","",TEXT($B297,"MM/AAAA"))</f>
        <v/>
      </c>
      <c r="AE297" s="18">
        <f>IF(COUNTA($B297:$R297)=0,"",IF($X297="Cancelado",0,ROUND(N($Q297)+N($S297)+N($T297)-N($U297),2)))</f>
        <v/>
      </c>
      <c r="AF297" s="9">
        <f>IF($G297="","",IFERROR(INDEX(LINHAS_DRE_PLANO,MATCH($G297,SUBCATEGORIAS_PLANO,0)),"Não classificado"))</f>
        <v/>
      </c>
      <c r="AG297" s="17">
        <f>IF($G297="","",IFERROR(INDEX(TIPOS_FLUXO_PLANO,MATCH($G297,SUBCATEGORIAS_PLANO,0)),"Não classificado"))</f>
        <v/>
      </c>
      <c r="AH297" s="9">
        <f>IF($G297="","",IFERROR(INDEX(GRUPOS_PLANO,MATCH($G297,SUBCATEGORIAS_PLANO,0)),"Não classificado"))</f>
        <v/>
      </c>
      <c r="AI297" s="24">
        <f>IF(OR($C297="",$X297="Pago",$X297="Recebido",$X297="Cancelado"),"",$C297-TODAY())</f>
        <v/>
      </c>
      <c r="AJ297" s="24">
        <f>IF(OR($C297="",$X297="Pago",$X297="Recebido",$X297="Cancelado"),0,MAX(0,TODAY()-$C297))</f>
        <v/>
      </c>
      <c r="AK297" s="24">
        <f>IF($D297="","",$D297-$B297)</f>
        <v/>
      </c>
      <c r="AL297" s="18">
        <f>IF(OR($D297="",$B297=""),"",ROUND(N($R297)*($D297-$B297),2))</f>
        <v/>
      </c>
      <c r="AM297" s="17">
        <f>IF(AND($E297="Saída",$W297&gt;0,$C297&lt;&gt;""),$C297+ROW()/1000000,"")</f>
        <v/>
      </c>
      <c r="AN297" s="17">
        <f>IF(AND($E297="Entrada",$W297&gt;0,$C297&lt;&gt;""),$C297+ROW()/1000000,"")</f>
        <v/>
      </c>
      <c r="AO297" s="9">
        <f>IF(COUNTA($B297:$R297)=0,"",IF(AND($I297&lt;&gt;"",COUNTIF(CLIENTES_NOMES,$I297)+COUNTIF(CLIENTES_FANTASIA,$I297)+COUNTIF(FORNECEDORES_NOMES,$I297)+COUNTIF(FORNECEDORES_FANTASIA,$I297)=0),"⚠ Cliente/Fornecedor não cadastrado",IF(AND($G297&lt;&gt;"",COUNTIF(SUBCATEGORIAS_PLANO,$G297)=0),"⚠ Subcategoria fora do plano de contas",IF(OR($Q297="",N($Q297)=0),"⚠ Valor previsto não informado",IF(AND(OR($X297="Pago",$X297="Recebido"),$D297=""),"⚠ Status pago/recebido sem data",IF(AND($D297&lt;&gt;"",N($R297)=0),"⚠ Data de pagamento sem valor realizado",IF(AND(N($P297)&gt;1,N($O297)&gt;N($P297)),"⚠ Nº da parcela maior que o total",IF(AND($C297&lt;&gt;"",$B297&lt;&gt;"",$C297&lt;$B297),"⚠ Vencimento anterior à competência","OK"))))))))</f>
        <v/>
      </c>
    </row>
    <row r="298">
      <c r="A298" s="14" t="inlineStr">
        <is>
          <t>L0293</t>
        </is>
      </c>
      <c r="B298" s="36" t="n">
        <v>46210</v>
      </c>
      <c r="C298" s="36" t="n">
        <v>46217</v>
      </c>
      <c r="D298" s="36" t="n">
        <v>46218</v>
      </c>
      <c r="E298" s="14" t="inlineStr">
        <is>
          <t>Saída</t>
        </is>
      </c>
      <c r="F298" s="29" t="inlineStr">
        <is>
          <t>Despesas com Pessoal</t>
        </is>
      </c>
      <c r="G298" s="29" t="inlineStr">
        <is>
          <t>Encargos Sociais (FGTS/INSS)</t>
        </is>
      </c>
      <c r="H298" s="29" t="inlineStr">
        <is>
          <t>Administrativo</t>
        </is>
      </c>
      <c r="I298" s="29" t="inlineStr">
        <is>
          <t>RECEITA FEDERAL DO BRASIL</t>
        </is>
      </c>
      <c r="J298" s="29" t="inlineStr">
        <is>
          <t>FGTS e INSS — competência 07/2026</t>
        </is>
      </c>
      <c r="K298" s="14" t="inlineStr">
        <is>
          <t>DOC 8371</t>
        </is>
      </c>
      <c r="L298" s="29" t="inlineStr">
        <is>
          <t>Itaú Unibanco — C/C 45678-9</t>
        </is>
      </c>
      <c r="M298" s="14" t="inlineStr">
        <is>
          <t>Transferência</t>
        </is>
      </c>
      <c r="N298" s="29" t="n"/>
      <c r="O298" s="13" t="n">
        <v>1</v>
      </c>
      <c r="P298" s="13" t="n">
        <v>1</v>
      </c>
      <c r="Q298" s="35" t="n">
        <v>5600</v>
      </c>
      <c r="R298" s="35" t="n">
        <v>5600</v>
      </c>
      <c r="S298" s="35" t="n"/>
      <c r="T298" s="35" t="n"/>
      <c r="U298" s="35" t="n"/>
      <c r="V298" s="18">
        <f>IF(COUNTA($B298:$R298)=0,"",ROUND(N($R298)+N($S298)+N($T298)-N($U298),2))</f>
        <v/>
      </c>
      <c r="W298" s="18">
        <f>IF(COUNTA($B298:$R298)=0,"",IF(OR($X298="Pago",$X298="Recebido",$X298="Cancelado"),0,ROUND(N($Q298)+N($S298)+N($T298)-N($U298)-N($R298),2)))</f>
        <v/>
      </c>
      <c r="X298" s="14" t="inlineStr">
        <is>
          <t>Pago</t>
        </is>
      </c>
      <c r="Y298" s="17">
        <f>IF(COUNTA($B298:$R298)=0,"",IF($X298="Cancelado","Cancelado",IF(OR($X298="Pago",$X298="Recebido"),$X298,IF(OR($X298="Parcial",N($R298)&gt;0),"Parcial",IF($C298="","Sem vencimento",IF($C298&lt;TODAY(),"Vencido",IF($C298=TODAY(),"Vence hoje",IF($C298&lt;=TODAY()+7,"Vence em 7 dias",IF($C298&lt;=TODAY()+30,"Vence em 30 dias","Futuro")))))))))</f>
        <v/>
      </c>
      <c r="Z298" s="24">
        <f>IF($B298="","",MONTH($B298))</f>
        <v/>
      </c>
      <c r="AA298" s="24">
        <f>IF($B298="","",YEAR($B298))</f>
        <v/>
      </c>
      <c r="AB298" s="24">
        <f>IF($B298="","",ISOWEEKNUM($B298))</f>
        <v/>
      </c>
      <c r="AC298" s="17">
        <f>IF($B298="","",CHOOSE(WEEKDAY($B298,2),"Segunda","Terça","Quarta","Quinta","Sexta","Sábado","Domingo"))</f>
        <v/>
      </c>
      <c r="AD298" s="17">
        <f>IF($B298="","",TEXT($B298,"MM/AAAA"))</f>
        <v/>
      </c>
      <c r="AE298" s="18">
        <f>IF(COUNTA($B298:$R298)=0,"",IF($X298="Cancelado",0,ROUND(N($Q298)+N($S298)+N($T298)-N($U298),2)))</f>
        <v/>
      </c>
      <c r="AF298" s="9">
        <f>IF($G298="","",IFERROR(INDEX(LINHAS_DRE_PLANO,MATCH($G298,SUBCATEGORIAS_PLANO,0)),"Não classificado"))</f>
        <v/>
      </c>
      <c r="AG298" s="17">
        <f>IF($G298="","",IFERROR(INDEX(TIPOS_FLUXO_PLANO,MATCH($G298,SUBCATEGORIAS_PLANO,0)),"Não classificado"))</f>
        <v/>
      </c>
      <c r="AH298" s="9">
        <f>IF($G298="","",IFERROR(INDEX(GRUPOS_PLANO,MATCH($G298,SUBCATEGORIAS_PLANO,0)),"Não classificado"))</f>
        <v/>
      </c>
      <c r="AI298" s="24">
        <f>IF(OR($C298="",$X298="Pago",$X298="Recebido",$X298="Cancelado"),"",$C298-TODAY())</f>
        <v/>
      </c>
      <c r="AJ298" s="24">
        <f>IF(OR($C298="",$X298="Pago",$X298="Recebido",$X298="Cancelado"),0,MAX(0,TODAY()-$C298))</f>
        <v/>
      </c>
      <c r="AK298" s="24">
        <f>IF($D298="","",$D298-$B298)</f>
        <v/>
      </c>
      <c r="AL298" s="18">
        <f>IF(OR($D298="",$B298=""),"",ROUND(N($R298)*($D298-$B298),2))</f>
        <v/>
      </c>
      <c r="AM298" s="17">
        <f>IF(AND($E298="Saída",$W298&gt;0,$C298&lt;&gt;""),$C298+ROW()/1000000,"")</f>
        <v/>
      </c>
      <c r="AN298" s="17">
        <f>IF(AND($E298="Entrada",$W298&gt;0,$C298&lt;&gt;""),$C298+ROW()/1000000,"")</f>
        <v/>
      </c>
      <c r="AO298" s="9">
        <f>IF(COUNTA($B298:$R298)=0,"",IF(AND($I298&lt;&gt;"",COUNTIF(CLIENTES_NOMES,$I298)+COUNTIF(CLIENTES_FANTASIA,$I298)+COUNTIF(FORNECEDORES_NOMES,$I298)+COUNTIF(FORNECEDORES_FANTASIA,$I298)=0),"⚠ Cliente/Fornecedor não cadastrado",IF(AND($G298&lt;&gt;"",COUNTIF(SUBCATEGORIAS_PLANO,$G298)=0),"⚠ Subcategoria fora do plano de contas",IF(OR($Q298="",N($Q298)=0),"⚠ Valor previsto não informado",IF(AND(OR($X298="Pago",$X298="Recebido"),$D298=""),"⚠ Status pago/recebido sem data",IF(AND($D298&lt;&gt;"",N($R298)=0),"⚠ Data de pagamento sem valor realizado",IF(AND(N($P298)&gt;1,N($O298)&gt;N($P298)),"⚠ Nº da parcela maior que o total",IF(AND($C298&lt;&gt;"",$B298&lt;&gt;"",$C298&lt;$B298),"⚠ Vencimento anterior à competência","OK"))))))))</f>
        <v/>
      </c>
    </row>
    <row r="299">
      <c r="A299" s="14" t="inlineStr">
        <is>
          <t>L0294</t>
        </is>
      </c>
      <c r="B299" s="36" t="n">
        <v>46211</v>
      </c>
      <c r="C299" s="36" t="n">
        <v>46231</v>
      </c>
      <c r="D299" s="36" t="n">
        <v>46232</v>
      </c>
      <c r="E299" s="14" t="inlineStr">
        <is>
          <t>Saída</t>
        </is>
      </c>
      <c r="F299" s="29" t="inlineStr">
        <is>
          <t>Despesas Administrativas</t>
        </is>
      </c>
      <c r="G299" s="29" t="inlineStr">
        <is>
          <t>Sistemas e Softwares</t>
        </is>
      </c>
      <c r="H299" s="29" t="inlineStr">
        <is>
          <t>Administrativo</t>
        </is>
      </c>
      <c r="I299" s="29" t="inlineStr">
        <is>
          <t>TECNOLOGIA E SISTEMAS ABC LTDA</t>
        </is>
      </c>
      <c r="J299" s="29" t="inlineStr">
        <is>
          <t>Assinatura ERP, NF-e e BI</t>
        </is>
      </c>
      <c r="K299" s="14" t="inlineStr">
        <is>
          <t>DOC 8369</t>
        </is>
      </c>
      <c r="L299" s="29" t="inlineStr">
        <is>
          <t>Nubank PJ — C/C 9876543-2</t>
        </is>
      </c>
      <c r="M299" s="14" t="inlineStr">
        <is>
          <t>Cartão de crédito</t>
        </is>
      </c>
      <c r="N299" s="29" t="inlineStr">
        <is>
          <t>Cartão Mastercard Nubank PJ</t>
        </is>
      </c>
      <c r="O299" s="13" t="n">
        <v>1</v>
      </c>
      <c r="P299" s="13" t="n">
        <v>1</v>
      </c>
      <c r="Q299" s="35" t="n">
        <v>850</v>
      </c>
      <c r="R299" s="35" t="n">
        <v>850</v>
      </c>
      <c r="S299" s="35" t="n"/>
      <c r="T299" s="35" t="n"/>
      <c r="U299" s="35" t="n"/>
      <c r="V299" s="18">
        <f>IF(COUNTA($B299:$R299)=0,"",ROUND(N($R299)+N($S299)+N($T299)-N($U299),2))</f>
        <v/>
      </c>
      <c r="W299" s="18">
        <f>IF(COUNTA($B299:$R299)=0,"",IF(OR($X299="Pago",$X299="Recebido",$X299="Cancelado"),0,ROUND(N($Q299)+N($S299)+N($T299)-N($U299)-N($R299),2)))</f>
        <v/>
      </c>
      <c r="X299" s="14" t="inlineStr">
        <is>
          <t>Pago</t>
        </is>
      </c>
      <c r="Y299" s="17">
        <f>IF(COUNTA($B299:$R299)=0,"",IF($X299="Cancelado","Cancelado",IF(OR($X299="Pago",$X299="Recebido"),$X299,IF(OR($X299="Parcial",N($R299)&gt;0),"Parcial",IF($C299="","Sem vencimento",IF($C299&lt;TODAY(),"Vencido",IF($C299=TODAY(),"Vence hoje",IF($C299&lt;=TODAY()+7,"Vence em 7 dias",IF($C299&lt;=TODAY()+30,"Vence em 30 dias","Futuro")))))))))</f>
        <v/>
      </c>
      <c r="Z299" s="24">
        <f>IF($B299="","",MONTH($B299))</f>
        <v/>
      </c>
      <c r="AA299" s="24">
        <f>IF($B299="","",YEAR($B299))</f>
        <v/>
      </c>
      <c r="AB299" s="24">
        <f>IF($B299="","",ISOWEEKNUM($B299))</f>
        <v/>
      </c>
      <c r="AC299" s="17">
        <f>IF($B299="","",CHOOSE(WEEKDAY($B299,2),"Segunda","Terça","Quarta","Quinta","Sexta","Sábado","Domingo"))</f>
        <v/>
      </c>
      <c r="AD299" s="17">
        <f>IF($B299="","",TEXT($B299,"MM/AAAA"))</f>
        <v/>
      </c>
      <c r="AE299" s="18">
        <f>IF(COUNTA($B299:$R299)=0,"",IF($X299="Cancelado",0,ROUND(N($Q299)+N($S299)+N($T299)-N($U299),2)))</f>
        <v/>
      </c>
      <c r="AF299" s="9">
        <f>IF($G299="","",IFERROR(INDEX(LINHAS_DRE_PLANO,MATCH($G299,SUBCATEGORIAS_PLANO,0)),"Não classificado"))</f>
        <v/>
      </c>
      <c r="AG299" s="17">
        <f>IF($G299="","",IFERROR(INDEX(TIPOS_FLUXO_PLANO,MATCH($G299,SUBCATEGORIAS_PLANO,0)),"Não classificado"))</f>
        <v/>
      </c>
      <c r="AH299" s="9">
        <f>IF($G299="","",IFERROR(INDEX(GRUPOS_PLANO,MATCH($G299,SUBCATEGORIAS_PLANO,0)),"Não classificado"))</f>
        <v/>
      </c>
      <c r="AI299" s="24">
        <f>IF(OR($C299="",$X299="Pago",$X299="Recebido",$X299="Cancelado"),"",$C299-TODAY())</f>
        <v/>
      </c>
      <c r="AJ299" s="24">
        <f>IF(OR($C299="",$X299="Pago",$X299="Recebido",$X299="Cancelado"),0,MAX(0,TODAY()-$C299))</f>
        <v/>
      </c>
      <c r="AK299" s="24">
        <f>IF($D299="","",$D299-$B299)</f>
        <v/>
      </c>
      <c r="AL299" s="18">
        <f>IF(OR($D299="",$B299=""),"",ROUND(N($R299)*($D299-$B299),2))</f>
        <v/>
      </c>
      <c r="AM299" s="17">
        <f>IF(AND($E299="Saída",$W299&gt;0,$C299&lt;&gt;""),$C299+ROW()/1000000,"")</f>
        <v/>
      </c>
      <c r="AN299" s="17">
        <f>IF(AND($E299="Entrada",$W299&gt;0,$C299&lt;&gt;""),$C299+ROW()/1000000,"")</f>
        <v/>
      </c>
      <c r="AO299" s="9">
        <f>IF(COUNTA($B299:$R299)=0,"",IF(AND($I299&lt;&gt;"",COUNTIF(CLIENTES_NOMES,$I299)+COUNTIF(CLIENTES_FANTASIA,$I299)+COUNTIF(FORNECEDORES_NOMES,$I299)+COUNTIF(FORNECEDORES_FANTASIA,$I299)=0),"⚠ Cliente/Fornecedor não cadastrado",IF(AND($G299&lt;&gt;"",COUNTIF(SUBCATEGORIAS_PLANO,$G299)=0),"⚠ Subcategoria fora do plano de contas",IF(OR($Q299="",N($Q299)=0),"⚠ Valor previsto não informado",IF(AND(OR($X299="Pago",$X299="Recebido"),$D299=""),"⚠ Status pago/recebido sem data",IF(AND($D299&lt;&gt;"",N($R299)=0),"⚠ Data de pagamento sem valor realizado",IF(AND(N($P299)&gt;1,N($O299)&gt;N($P299)),"⚠ Nº da parcela maior que o total",IF(AND($C299&lt;&gt;"",$B299&lt;&gt;"",$C299&lt;$B299),"⚠ Vencimento anterior à competência","OK"))))))))</f>
        <v/>
      </c>
    </row>
    <row r="300">
      <c r="A300" s="14" t="inlineStr">
        <is>
          <t>L0295</t>
        </is>
      </c>
      <c r="B300" s="36" t="n">
        <v>46212</v>
      </c>
      <c r="C300" s="36" t="n">
        <v>46227</v>
      </c>
      <c r="D300" s="36" t="n">
        <v>46230</v>
      </c>
      <c r="E300" s="14" t="inlineStr">
        <is>
          <t>Saída</t>
        </is>
      </c>
      <c r="F300" s="29" t="inlineStr">
        <is>
          <t>Custos Variáveis</t>
        </is>
      </c>
      <c r="G300" s="29" t="inlineStr">
        <is>
          <t>Matéria-prima</t>
        </is>
      </c>
      <c r="H300" s="29" t="inlineStr">
        <is>
          <t>Produção</t>
        </is>
      </c>
      <c r="I300" s="29" t="inlineStr">
        <is>
          <t>DISTRIBUIDORA CENTRAL DE ALIMENTOS S/A</t>
        </is>
      </c>
      <c r="J300" s="29" t="inlineStr">
        <is>
          <t>Insumos e matéria-prima para beneficiamento</t>
        </is>
      </c>
      <c r="K300" s="14" t="inlineStr">
        <is>
          <t>NF 5907</t>
        </is>
      </c>
      <c r="L300" s="29" t="inlineStr">
        <is>
          <t>Banco do Brasil — C/C 12345-6</t>
        </is>
      </c>
      <c r="M300" s="14" t="inlineStr">
        <is>
          <t>Boleto</t>
        </is>
      </c>
      <c r="N300" s="29" t="n"/>
      <c r="O300" s="13" t="n">
        <v>1</v>
      </c>
      <c r="P300" s="13" t="n">
        <v>1</v>
      </c>
      <c r="Q300" s="35" t="n">
        <v>10637.81</v>
      </c>
      <c r="R300" s="35" t="n">
        <v>10637.81</v>
      </c>
      <c r="S300" s="35" t="n"/>
      <c r="T300" s="35" t="n"/>
      <c r="U300" s="35" t="n"/>
      <c r="V300" s="18">
        <f>IF(COUNTA($B300:$R300)=0,"",ROUND(N($R300)+N($S300)+N($T300)-N($U300),2))</f>
        <v/>
      </c>
      <c r="W300" s="18">
        <f>IF(COUNTA($B300:$R300)=0,"",IF(OR($X300="Pago",$X300="Recebido",$X300="Cancelado"),0,ROUND(N($Q300)+N($S300)+N($T300)-N($U300)-N($R300),2)))</f>
        <v/>
      </c>
      <c r="X300" s="14" t="inlineStr">
        <is>
          <t>Pago</t>
        </is>
      </c>
      <c r="Y300" s="17">
        <f>IF(COUNTA($B300:$R300)=0,"",IF($X300="Cancelado","Cancelado",IF(OR($X300="Pago",$X300="Recebido"),$X300,IF(OR($X300="Parcial",N($R300)&gt;0),"Parcial",IF($C300="","Sem vencimento",IF($C300&lt;TODAY(),"Vencido",IF($C300=TODAY(),"Vence hoje",IF($C300&lt;=TODAY()+7,"Vence em 7 dias",IF($C300&lt;=TODAY()+30,"Vence em 30 dias","Futuro")))))))))</f>
        <v/>
      </c>
      <c r="Z300" s="24">
        <f>IF($B300="","",MONTH($B300))</f>
        <v/>
      </c>
      <c r="AA300" s="24">
        <f>IF($B300="","",YEAR($B300))</f>
        <v/>
      </c>
      <c r="AB300" s="24">
        <f>IF($B300="","",ISOWEEKNUM($B300))</f>
        <v/>
      </c>
      <c r="AC300" s="17">
        <f>IF($B300="","",CHOOSE(WEEKDAY($B300,2),"Segunda","Terça","Quarta","Quinta","Sexta","Sábado","Domingo"))</f>
        <v/>
      </c>
      <c r="AD300" s="17">
        <f>IF($B300="","",TEXT($B300,"MM/AAAA"))</f>
        <v/>
      </c>
      <c r="AE300" s="18">
        <f>IF(COUNTA($B300:$R300)=0,"",IF($X300="Cancelado",0,ROUND(N($Q300)+N($S300)+N($T300)-N($U300),2)))</f>
        <v/>
      </c>
      <c r="AF300" s="9">
        <f>IF($G300="","",IFERROR(INDEX(LINHAS_DRE_PLANO,MATCH($G300,SUBCATEGORIAS_PLANO,0)),"Não classificado"))</f>
        <v/>
      </c>
      <c r="AG300" s="17">
        <f>IF($G300="","",IFERROR(INDEX(TIPOS_FLUXO_PLANO,MATCH($G300,SUBCATEGORIAS_PLANO,0)),"Não classificado"))</f>
        <v/>
      </c>
      <c r="AH300" s="9">
        <f>IF($G300="","",IFERROR(INDEX(GRUPOS_PLANO,MATCH($G300,SUBCATEGORIAS_PLANO,0)),"Não classificado"))</f>
        <v/>
      </c>
      <c r="AI300" s="24">
        <f>IF(OR($C300="",$X300="Pago",$X300="Recebido",$X300="Cancelado"),"",$C300-TODAY())</f>
        <v/>
      </c>
      <c r="AJ300" s="24">
        <f>IF(OR($C300="",$X300="Pago",$X300="Recebido",$X300="Cancelado"),0,MAX(0,TODAY()-$C300))</f>
        <v/>
      </c>
      <c r="AK300" s="24">
        <f>IF($D300="","",$D300-$B300)</f>
        <v/>
      </c>
      <c r="AL300" s="18">
        <f>IF(OR($D300="",$B300=""),"",ROUND(N($R300)*($D300-$B300),2))</f>
        <v/>
      </c>
      <c r="AM300" s="17">
        <f>IF(AND($E300="Saída",$W300&gt;0,$C300&lt;&gt;""),$C300+ROW()/1000000,"")</f>
        <v/>
      </c>
      <c r="AN300" s="17">
        <f>IF(AND($E300="Entrada",$W300&gt;0,$C300&lt;&gt;""),$C300+ROW()/1000000,"")</f>
        <v/>
      </c>
      <c r="AO300" s="9">
        <f>IF(COUNTA($B300:$R300)=0,"",IF(AND($I300&lt;&gt;"",COUNTIF(CLIENTES_NOMES,$I300)+COUNTIF(CLIENTES_FANTASIA,$I300)+COUNTIF(FORNECEDORES_NOMES,$I300)+COUNTIF(FORNECEDORES_FANTASIA,$I300)=0),"⚠ Cliente/Fornecedor não cadastrado",IF(AND($G300&lt;&gt;"",COUNTIF(SUBCATEGORIAS_PLANO,$G300)=0),"⚠ Subcategoria fora do plano de contas",IF(OR($Q300="",N($Q300)=0),"⚠ Valor previsto não informado",IF(AND(OR($X300="Pago",$X300="Recebido"),$D300=""),"⚠ Status pago/recebido sem data",IF(AND($D300&lt;&gt;"",N($R300)=0),"⚠ Data de pagamento sem valor realizado",IF(AND(N($P300)&gt;1,N($O300)&gt;N($P300)),"⚠ Nº da parcela maior que o total",IF(AND($C300&lt;&gt;"",$B300&lt;&gt;"",$C300&lt;$B300),"⚠ Vencimento anterior à competência","OK"))))))))</f>
        <v/>
      </c>
    </row>
    <row r="301">
      <c r="A301" s="14" t="inlineStr">
        <is>
          <t>L0296</t>
        </is>
      </c>
      <c r="B301" s="36" t="n">
        <v>46213</v>
      </c>
      <c r="C301" s="36" t="n">
        <v>46231</v>
      </c>
      <c r="D301" s="36" t="n">
        <v>46231</v>
      </c>
      <c r="E301" s="14" t="inlineStr">
        <is>
          <t>Saída</t>
        </is>
      </c>
      <c r="F301" s="29" t="inlineStr">
        <is>
          <t>Despesas Administrativas</t>
        </is>
      </c>
      <c r="G301" s="29" t="inlineStr">
        <is>
          <t>Internet e Telefonia</t>
        </is>
      </c>
      <c r="H301" s="29" t="inlineStr">
        <is>
          <t>Administrativo</t>
        </is>
      </c>
      <c r="I301" s="29" t="inlineStr">
        <is>
          <t>TELEFÔNICA BRASIL S.A. (VIVO EMPRESAS)</t>
        </is>
      </c>
      <c r="J301" s="29" t="inlineStr">
        <is>
          <t>Internet, telefonia e link dedicado</t>
        </is>
      </c>
      <c r="K301" s="14" t="inlineStr">
        <is>
          <t>DOC 8367</t>
        </is>
      </c>
      <c r="L301" s="29" t="inlineStr">
        <is>
          <t>Nubank PJ — C/C 9876543-2</t>
        </is>
      </c>
      <c r="M301" s="14" t="inlineStr">
        <is>
          <t>Cartão de crédito</t>
        </is>
      </c>
      <c r="N301" s="29" t="inlineStr">
        <is>
          <t>Cartão Mastercard Nubank PJ</t>
        </is>
      </c>
      <c r="O301" s="13" t="n">
        <v>1</v>
      </c>
      <c r="P301" s="13" t="n">
        <v>1</v>
      </c>
      <c r="Q301" s="35" t="n">
        <v>780</v>
      </c>
      <c r="R301" s="35" t="n">
        <v>780</v>
      </c>
      <c r="S301" s="35" t="n"/>
      <c r="T301" s="35" t="n"/>
      <c r="U301" s="35" t="n"/>
      <c r="V301" s="18">
        <f>IF(COUNTA($B301:$R301)=0,"",ROUND(N($R301)+N($S301)+N($T301)-N($U301),2))</f>
        <v/>
      </c>
      <c r="W301" s="18">
        <f>IF(COUNTA($B301:$R301)=0,"",IF(OR($X301="Pago",$X301="Recebido",$X301="Cancelado"),0,ROUND(N($Q301)+N($S301)+N($T301)-N($U301)-N($R301),2)))</f>
        <v/>
      </c>
      <c r="X301" s="14" t="inlineStr">
        <is>
          <t>Pago</t>
        </is>
      </c>
      <c r="Y301" s="17">
        <f>IF(COUNTA($B301:$R301)=0,"",IF($X301="Cancelado","Cancelado",IF(OR($X301="Pago",$X301="Recebido"),$X301,IF(OR($X301="Parcial",N($R301)&gt;0),"Parcial",IF($C301="","Sem vencimento",IF($C301&lt;TODAY(),"Vencido",IF($C301=TODAY(),"Vence hoje",IF($C301&lt;=TODAY()+7,"Vence em 7 dias",IF($C301&lt;=TODAY()+30,"Vence em 30 dias","Futuro")))))))))</f>
        <v/>
      </c>
      <c r="Z301" s="24">
        <f>IF($B301="","",MONTH($B301))</f>
        <v/>
      </c>
      <c r="AA301" s="24">
        <f>IF($B301="","",YEAR($B301))</f>
        <v/>
      </c>
      <c r="AB301" s="24">
        <f>IF($B301="","",ISOWEEKNUM($B301))</f>
        <v/>
      </c>
      <c r="AC301" s="17">
        <f>IF($B301="","",CHOOSE(WEEKDAY($B301,2),"Segunda","Terça","Quarta","Quinta","Sexta","Sábado","Domingo"))</f>
        <v/>
      </c>
      <c r="AD301" s="17">
        <f>IF($B301="","",TEXT($B301,"MM/AAAA"))</f>
        <v/>
      </c>
      <c r="AE301" s="18">
        <f>IF(COUNTA($B301:$R301)=0,"",IF($X301="Cancelado",0,ROUND(N($Q301)+N($S301)+N($T301)-N($U301),2)))</f>
        <v/>
      </c>
      <c r="AF301" s="9">
        <f>IF($G301="","",IFERROR(INDEX(LINHAS_DRE_PLANO,MATCH($G301,SUBCATEGORIAS_PLANO,0)),"Não classificado"))</f>
        <v/>
      </c>
      <c r="AG301" s="17">
        <f>IF($G301="","",IFERROR(INDEX(TIPOS_FLUXO_PLANO,MATCH($G301,SUBCATEGORIAS_PLANO,0)),"Não classificado"))</f>
        <v/>
      </c>
      <c r="AH301" s="9">
        <f>IF($G301="","",IFERROR(INDEX(GRUPOS_PLANO,MATCH($G301,SUBCATEGORIAS_PLANO,0)),"Não classificado"))</f>
        <v/>
      </c>
      <c r="AI301" s="24">
        <f>IF(OR($C301="",$X301="Pago",$X301="Recebido",$X301="Cancelado"),"",$C301-TODAY())</f>
        <v/>
      </c>
      <c r="AJ301" s="24">
        <f>IF(OR($C301="",$X301="Pago",$X301="Recebido",$X301="Cancelado"),0,MAX(0,TODAY()-$C301))</f>
        <v/>
      </c>
      <c r="AK301" s="24">
        <f>IF($D301="","",$D301-$B301)</f>
        <v/>
      </c>
      <c r="AL301" s="18">
        <f>IF(OR($D301="",$B301=""),"",ROUND(N($R301)*($D301-$B301),2))</f>
        <v/>
      </c>
      <c r="AM301" s="17">
        <f>IF(AND($E301="Saída",$W301&gt;0,$C301&lt;&gt;""),$C301+ROW()/1000000,"")</f>
        <v/>
      </c>
      <c r="AN301" s="17">
        <f>IF(AND($E301="Entrada",$W301&gt;0,$C301&lt;&gt;""),$C301+ROW()/1000000,"")</f>
        <v/>
      </c>
      <c r="AO301" s="9">
        <f>IF(COUNTA($B301:$R301)=0,"",IF(AND($I301&lt;&gt;"",COUNTIF(CLIENTES_NOMES,$I301)+COUNTIF(CLIENTES_FANTASIA,$I301)+COUNTIF(FORNECEDORES_NOMES,$I301)+COUNTIF(FORNECEDORES_FANTASIA,$I301)=0),"⚠ Cliente/Fornecedor não cadastrado",IF(AND($G301&lt;&gt;"",COUNTIF(SUBCATEGORIAS_PLANO,$G301)=0),"⚠ Subcategoria fora do plano de contas",IF(OR($Q301="",N($Q301)=0),"⚠ Valor previsto não informado",IF(AND(OR($X301="Pago",$X301="Recebido"),$D301=""),"⚠ Status pago/recebido sem data",IF(AND($D301&lt;&gt;"",N($R301)=0),"⚠ Data de pagamento sem valor realizado",IF(AND(N($P301)&gt;1,N($O301)&gt;N($P301)),"⚠ Nº da parcela maior que o total",IF(AND($C301&lt;&gt;"",$B301&lt;&gt;"",$C301&lt;$B301),"⚠ Vencimento anterior à competência","OK"))))))))</f>
        <v/>
      </c>
    </row>
    <row r="302">
      <c r="A302" s="14" t="inlineStr">
        <is>
          <t>L0297</t>
        </is>
      </c>
      <c r="B302" s="36" t="n">
        <v>46213</v>
      </c>
      <c r="C302" s="36" t="n">
        <v>46213</v>
      </c>
      <c r="D302" s="36" t="n">
        <v>46213</v>
      </c>
      <c r="E302" s="14" t="inlineStr">
        <is>
          <t>Saída</t>
        </is>
      </c>
      <c r="F302" s="29" t="inlineStr">
        <is>
          <t>Despesas Administrativas</t>
        </is>
      </c>
      <c r="G302" s="29" t="inlineStr">
        <is>
          <t>Contabilidade</t>
        </is>
      </c>
      <c r="H302" s="29" t="inlineStr">
        <is>
          <t>Financeiro</t>
        </is>
      </c>
      <c r="I302" s="29" t="inlineStr">
        <is>
          <t>CONTABILIDADE AURORA ASSESSORIA CONTÁBIL LTDA</t>
        </is>
      </c>
      <c r="J302" s="29" t="inlineStr">
        <is>
          <t>Honorários contábeis — competência 07/2026</t>
        </is>
      </c>
      <c r="K302" s="14" t="inlineStr">
        <is>
          <t>DOC 8368</t>
        </is>
      </c>
      <c r="L302" s="29" t="inlineStr">
        <is>
          <t>Itaú Unibanco — C/C 45678-9</t>
        </is>
      </c>
      <c r="M302" s="14" t="inlineStr">
        <is>
          <t>PIX</t>
        </is>
      </c>
      <c r="N302" s="29" t="n"/>
      <c r="O302" s="13" t="n">
        <v>1</v>
      </c>
      <c r="P302" s="13" t="n">
        <v>1</v>
      </c>
      <c r="Q302" s="35" t="n">
        <v>1250</v>
      </c>
      <c r="R302" s="35" t="n">
        <v>1250</v>
      </c>
      <c r="S302" s="35" t="n"/>
      <c r="T302" s="35" t="n"/>
      <c r="U302" s="35" t="n"/>
      <c r="V302" s="18">
        <f>IF(COUNTA($B302:$R302)=0,"",ROUND(N($R302)+N($S302)+N($T302)-N($U302),2))</f>
        <v/>
      </c>
      <c r="W302" s="18">
        <f>IF(COUNTA($B302:$R302)=0,"",IF(OR($X302="Pago",$X302="Recebido",$X302="Cancelado"),0,ROUND(N($Q302)+N($S302)+N($T302)-N($U302)-N($R302),2)))</f>
        <v/>
      </c>
      <c r="X302" s="14" t="inlineStr">
        <is>
          <t>Pago</t>
        </is>
      </c>
      <c r="Y302" s="17">
        <f>IF(COUNTA($B302:$R302)=0,"",IF($X302="Cancelado","Cancelado",IF(OR($X302="Pago",$X302="Recebido"),$X302,IF(OR($X302="Parcial",N($R302)&gt;0),"Parcial",IF($C302="","Sem vencimento",IF($C302&lt;TODAY(),"Vencido",IF($C302=TODAY(),"Vence hoje",IF($C302&lt;=TODAY()+7,"Vence em 7 dias",IF($C302&lt;=TODAY()+30,"Vence em 30 dias","Futuro")))))))))</f>
        <v/>
      </c>
      <c r="Z302" s="24">
        <f>IF($B302="","",MONTH($B302))</f>
        <v/>
      </c>
      <c r="AA302" s="24">
        <f>IF($B302="","",YEAR($B302))</f>
        <v/>
      </c>
      <c r="AB302" s="24">
        <f>IF($B302="","",ISOWEEKNUM($B302))</f>
        <v/>
      </c>
      <c r="AC302" s="17">
        <f>IF($B302="","",CHOOSE(WEEKDAY($B302,2),"Segunda","Terça","Quarta","Quinta","Sexta","Sábado","Domingo"))</f>
        <v/>
      </c>
      <c r="AD302" s="17">
        <f>IF($B302="","",TEXT($B302,"MM/AAAA"))</f>
        <v/>
      </c>
      <c r="AE302" s="18">
        <f>IF(COUNTA($B302:$R302)=0,"",IF($X302="Cancelado",0,ROUND(N($Q302)+N($S302)+N($T302)-N($U302),2)))</f>
        <v/>
      </c>
      <c r="AF302" s="9">
        <f>IF($G302="","",IFERROR(INDEX(LINHAS_DRE_PLANO,MATCH($G302,SUBCATEGORIAS_PLANO,0)),"Não classificado"))</f>
        <v/>
      </c>
      <c r="AG302" s="17">
        <f>IF($G302="","",IFERROR(INDEX(TIPOS_FLUXO_PLANO,MATCH($G302,SUBCATEGORIAS_PLANO,0)),"Não classificado"))</f>
        <v/>
      </c>
      <c r="AH302" s="9">
        <f>IF($G302="","",IFERROR(INDEX(GRUPOS_PLANO,MATCH($G302,SUBCATEGORIAS_PLANO,0)),"Não classificado"))</f>
        <v/>
      </c>
      <c r="AI302" s="24">
        <f>IF(OR($C302="",$X302="Pago",$X302="Recebido",$X302="Cancelado"),"",$C302-TODAY())</f>
        <v/>
      </c>
      <c r="AJ302" s="24">
        <f>IF(OR($C302="",$X302="Pago",$X302="Recebido",$X302="Cancelado"),0,MAX(0,TODAY()-$C302))</f>
        <v/>
      </c>
      <c r="AK302" s="24">
        <f>IF($D302="","",$D302-$B302)</f>
        <v/>
      </c>
      <c r="AL302" s="18">
        <f>IF(OR($D302="",$B302=""),"",ROUND(N($R302)*($D302-$B302),2))</f>
        <v/>
      </c>
      <c r="AM302" s="17">
        <f>IF(AND($E302="Saída",$W302&gt;0,$C302&lt;&gt;""),$C302+ROW()/1000000,"")</f>
        <v/>
      </c>
      <c r="AN302" s="17">
        <f>IF(AND($E302="Entrada",$W302&gt;0,$C302&lt;&gt;""),$C302+ROW()/1000000,"")</f>
        <v/>
      </c>
      <c r="AO302" s="9">
        <f>IF(COUNTA($B302:$R302)=0,"",IF(AND($I302&lt;&gt;"",COUNTIF(CLIENTES_NOMES,$I302)+COUNTIF(CLIENTES_FANTASIA,$I302)+COUNTIF(FORNECEDORES_NOMES,$I302)+COUNTIF(FORNECEDORES_FANTASIA,$I302)=0),"⚠ Cliente/Fornecedor não cadastrado",IF(AND($G302&lt;&gt;"",COUNTIF(SUBCATEGORIAS_PLANO,$G302)=0),"⚠ Subcategoria fora do plano de contas",IF(OR($Q302="",N($Q302)=0),"⚠ Valor previsto não informado",IF(AND(OR($X302="Pago",$X302="Recebido"),$D302=""),"⚠ Status pago/recebido sem data",IF(AND($D302&lt;&gt;"",N($R302)=0),"⚠ Data de pagamento sem valor realizado",IF(AND(N($P302)&gt;1,N($O302)&gt;N($P302)),"⚠ Nº da parcela maior que o total",IF(AND($C302&lt;&gt;"",$B302&lt;&gt;"",$C302&lt;$B302),"⚠ Vencimento anterior à competência","OK"))))))))</f>
        <v/>
      </c>
    </row>
    <row r="303">
      <c r="A303" s="14" t="inlineStr">
        <is>
          <t>L0298</t>
        </is>
      </c>
      <c r="B303" s="36" t="n">
        <v>46213</v>
      </c>
      <c r="C303" s="36" t="n">
        <v>46231</v>
      </c>
      <c r="D303" s="36" t="n">
        <v>46231</v>
      </c>
      <c r="E303" s="14" t="inlineStr">
        <is>
          <t>Saída</t>
        </is>
      </c>
      <c r="F303" s="29" t="inlineStr">
        <is>
          <t>Despesas Comerciais</t>
        </is>
      </c>
      <c r="G303" s="29" t="inlineStr">
        <is>
          <t>Marketing Digital</t>
        </is>
      </c>
      <c r="H303" s="29" t="inlineStr">
        <is>
          <t>Marketing</t>
        </is>
      </c>
      <c r="I303" s="29" t="inlineStr">
        <is>
          <t>AGÊNCIA PULSO DIGITAL LTDA</t>
        </is>
      </c>
      <c r="J303" s="29" t="inlineStr">
        <is>
          <t>Gestão de tráfego pago e produção de conteúdo</t>
        </is>
      </c>
      <c r="K303" s="14" t="inlineStr">
        <is>
          <t>DOC 8374</t>
        </is>
      </c>
      <c r="L303" s="29" t="inlineStr">
        <is>
          <t>Nubank PJ — C/C 9876543-2</t>
        </is>
      </c>
      <c r="M303" s="14" t="inlineStr">
        <is>
          <t>Cartão de crédito</t>
        </is>
      </c>
      <c r="N303" s="29" t="inlineStr">
        <is>
          <t>Cartão Mastercard Nubank PJ</t>
        </is>
      </c>
      <c r="O303" s="13" t="n">
        <v>1</v>
      </c>
      <c r="P303" s="13" t="n">
        <v>1</v>
      </c>
      <c r="Q303" s="35" t="n">
        <v>4410.9</v>
      </c>
      <c r="R303" s="35" t="n">
        <v>4410.9</v>
      </c>
      <c r="S303" s="35" t="n"/>
      <c r="T303" s="35" t="n"/>
      <c r="U303" s="35" t="n"/>
      <c r="V303" s="18">
        <f>IF(COUNTA($B303:$R303)=0,"",ROUND(N($R303)+N($S303)+N($T303)-N($U303),2))</f>
        <v/>
      </c>
      <c r="W303" s="18">
        <f>IF(COUNTA($B303:$R303)=0,"",IF(OR($X303="Pago",$X303="Recebido",$X303="Cancelado"),0,ROUND(N($Q303)+N($S303)+N($T303)-N($U303)-N($R303),2)))</f>
        <v/>
      </c>
      <c r="X303" s="14" t="inlineStr">
        <is>
          <t>Pago</t>
        </is>
      </c>
      <c r="Y303" s="17">
        <f>IF(COUNTA($B303:$R303)=0,"",IF($X303="Cancelado","Cancelado",IF(OR($X303="Pago",$X303="Recebido"),$X303,IF(OR($X303="Parcial",N($R303)&gt;0),"Parcial",IF($C303="","Sem vencimento",IF($C303&lt;TODAY(),"Vencido",IF($C303=TODAY(),"Vence hoje",IF($C303&lt;=TODAY()+7,"Vence em 7 dias",IF($C303&lt;=TODAY()+30,"Vence em 30 dias","Futuro")))))))))</f>
        <v/>
      </c>
      <c r="Z303" s="24">
        <f>IF($B303="","",MONTH($B303))</f>
        <v/>
      </c>
      <c r="AA303" s="24">
        <f>IF($B303="","",YEAR($B303))</f>
        <v/>
      </c>
      <c r="AB303" s="24">
        <f>IF($B303="","",ISOWEEKNUM($B303))</f>
        <v/>
      </c>
      <c r="AC303" s="17">
        <f>IF($B303="","",CHOOSE(WEEKDAY($B303,2),"Segunda","Terça","Quarta","Quinta","Sexta","Sábado","Domingo"))</f>
        <v/>
      </c>
      <c r="AD303" s="17">
        <f>IF($B303="","",TEXT($B303,"MM/AAAA"))</f>
        <v/>
      </c>
      <c r="AE303" s="18">
        <f>IF(COUNTA($B303:$R303)=0,"",IF($X303="Cancelado",0,ROUND(N($Q303)+N($S303)+N($T303)-N($U303),2)))</f>
        <v/>
      </c>
      <c r="AF303" s="9">
        <f>IF($G303="","",IFERROR(INDEX(LINHAS_DRE_PLANO,MATCH($G303,SUBCATEGORIAS_PLANO,0)),"Não classificado"))</f>
        <v/>
      </c>
      <c r="AG303" s="17">
        <f>IF($G303="","",IFERROR(INDEX(TIPOS_FLUXO_PLANO,MATCH($G303,SUBCATEGORIAS_PLANO,0)),"Não classificado"))</f>
        <v/>
      </c>
      <c r="AH303" s="9">
        <f>IF($G303="","",IFERROR(INDEX(GRUPOS_PLANO,MATCH($G303,SUBCATEGORIAS_PLANO,0)),"Não classificado"))</f>
        <v/>
      </c>
      <c r="AI303" s="24">
        <f>IF(OR($C303="",$X303="Pago",$X303="Recebido",$X303="Cancelado"),"",$C303-TODAY())</f>
        <v/>
      </c>
      <c r="AJ303" s="24">
        <f>IF(OR($C303="",$X303="Pago",$X303="Recebido",$X303="Cancelado"),0,MAX(0,TODAY()-$C303))</f>
        <v/>
      </c>
      <c r="AK303" s="24">
        <f>IF($D303="","",$D303-$B303)</f>
        <v/>
      </c>
      <c r="AL303" s="18">
        <f>IF(OR($D303="",$B303=""),"",ROUND(N($R303)*($D303-$B303),2))</f>
        <v/>
      </c>
      <c r="AM303" s="17">
        <f>IF(AND($E303="Saída",$W303&gt;0,$C303&lt;&gt;""),$C303+ROW()/1000000,"")</f>
        <v/>
      </c>
      <c r="AN303" s="17">
        <f>IF(AND($E303="Entrada",$W303&gt;0,$C303&lt;&gt;""),$C303+ROW()/1000000,"")</f>
        <v/>
      </c>
      <c r="AO303" s="9">
        <f>IF(COUNTA($B303:$R303)=0,"",IF(AND($I303&lt;&gt;"",COUNTIF(CLIENTES_NOMES,$I303)+COUNTIF(CLIENTES_FANTASIA,$I303)+COUNTIF(FORNECEDORES_NOMES,$I303)+COUNTIF(FORNECEDORES_FANTASIA,$I303)=0),"⚠ Cliente/Fornecedor não cadastrado",IF(AND($G303&lt;&gt;"",COUNTIF(SUBCATEGORIAS_PLANO,$G303)=0),"⚠ Subcategoria fora do plano de contas",IF(OR($Q303="",N($Q303)=0),"⚠ Valor previsto não informado",IF(AND(OR($X303="Pago",$X303="Recebido"),$D303=""),"⚠ Status pago/recebido sem data",IF(AND($D303&lt;&gt;"",N($R303)=0),"⚠ Data de pagamento sem valor realizado",IF(AND(N($P303)&gt;1,N($O303)&gt;N($P303)),"⚠ Nº da parcela maior que o total",IF(AND($C303&lt;&gt;"",$B303&lt;&gt;"",$C303&lt;$B303),"⚠ Vencimento anterior à competência","OK"))))))))</f>
        <v/>
      </c>
    </row>
    <row r="304">
      <c r="A304" s="14" t="inlineStr">
        <is>
          <t>L0299</t>
        </is>
      </c>
      <c r="B304" s="36" t="n">
        <v>46213</v>
      </c>
      <c r="C304" s="36" t="n">
        <v>46213</v>
      </c>
      <c r="D304" s="36" t="n">
        <v>46213</v>
      </c>
      <c r="E304" s="14" t="inlineStr">
        <is>
          <t>Saída</t>
        </is>
      </c>
      <c r="F304" s="29" t="inlineStr">
        <is>
          <t>Empréstimos e Financiamentos</t>
        </is>
      </c>
      <c r="G304" s="29" t="inlineStr">
        <is>
          <t>Pagamento de Principal de Empréstimos</t>
        </is>
      </c>
      <c r="H304" s="29" t="inlineStr">
        <is>
          <t>Financeiro</t>
        </is>
      </c>
      <c r="I304" s="29" t="inlineStr">
        <is>
          <t>Banco do Brasil</t>
        </is>
      </c>
      <c r="J304" s="29" t="inlineStr">
        <is>
          <t>Capital de Giro — parcela 6/24 (principal)</t>
        </is>
      </c>
      <c r="K304" s="14" t="inlineStr">
        <is>
          <t>CG-2026-0417-P06</t>
        </is>
      </c>
      <c r="L304" s="29" t="inlineStr">
        <is>
          <t>Banco do Brasil — C/C 12345-6</t>
        </is>
      </c>
      <c r="M304" s="14" t="inlineStr">
        <is>
          <t>Débito automático</t>
        </is>
      </c>
      <c r="N304" s="29" t="n"/>
      <c r="O304" s="13" t="n">
        <v>6</v>
      </c>
      <c r="P304" s="13" t="n">
        <v>24</v>
      </c>
      <c r="Q304" s="35" t="n">
        <v>2257.39</v>
      </c>
      <c r="R304" s="35" t="n">
        <v>2257.39</v>
      </c>
      <c r="S304" s="35" t="n"/>
      <c r="T304" s="35" t="n"/>
      <c r="U304" s="35" t="n"/>
      <c r="V304" s="18">
        <f>IF(COUNTA($B304:$R304)=0,"",ROUND(N($R304)+N($S304)+N($T304)-N($U304),2))</f>
        <v/>
      </c>
      <c r="W304" s="18">
        <f>IF(COUNTA($B304:$R304)=0,"",IF(OR($X304="Pago",$X304="Recebido",$X304="Cancelado"),0,ROUND(N($Q304)+N($S304)+N($T304)-N($U304)-N($R304),2)))</f>
        <v/>
      </c>
      <c r="X304" s="14" t="inlineStr">
        <is>
          <t>Pago</t>
        </is>
      </c>
      <c r="Y304" s="17">
        <f>IF(COUNTA($B304:$R304)=0,"",IF($X304="Cancelado","Cancelado",IF(OR($X304="Pago",$X304="Recebido"),$X304,IF(OR($X304="Parcial",N($R304)&gt;0),"Parcial",IF($C304="","Sem vencimento",IF($C304&lt;TODAY(),"Vencido",IF($C304=TODAY(),"Vence hoje",IF($C304&lt;=TODAY()+7,"Vence em 7 dias",IF($C304&lt;=TODAY()+30,"Vence em 30 dias","Futuro")))))))))</f>
        <v/>
      </c>
      <c r="Z304" s="24">
        <f>IF($B304="","",MONTH($B304))</f>
        <v/>
      </c>
      <c r="AA304" s="24">
        <f>IF($B304="","",YEAR($B304))</f>
        <v/>
      </c>
      <c r="AB304" s="24">
        <f>IF($B304="","",ISOWEEKNUM($B304))</f>
        <v/>
      </c>
      <c r="AC304" s="17">
        <f>IF($B304="","",CHOOSE(WEEKDAY($B304,2),"Segunda","Terça","Quarta","Quinta","Sexta","Sábado","Domingo"))</f>
        <v/>
      </c>
      <c r="AD304" s="17">
        <f>IF($B304="","",TEXT($B304,"MM/AAAA"))</f>
        <v/>
      </c>
      <c r="AE304" s="18">
        <f>IF(COUNTA($B304:$R304)=0,"",IF($X304="Cancelado",0,ROUND(N($Q304)+N($S304)+N($T304)-N($U304),2)))</f>
        <v/>
      </c>
      <c r="AF304" s="9">
        <f>IF($G304="","",IFERROR(INDEX(LINHAS_DRE_PLANO,MATCH($G304,SUBCATEGORIAS_PLANO,0)),"Não classificado"))</f>
        <v/>
      </c>
      <c r="AG304" s="17">
        <f>IF($G304="","",IFERROR(INDEX(TIPOS_FLUXO_PLANO,MATCH($G304,SUBCATEGORIAS_PLANO,0)),"Não classificado"))</f>
        <v/>
      </c>
      <c r="AH304" s="9">
        <f>IF($G304="","",IFERROR(INDEX(GRUPOS_PLANO,MATCH($G304,SUBCATEGORIAS_PLANO,0)),"Não classificado"))</f>
        <v/>
      </c>
      <c r="AI304" s="24">
        <f>IF(OR($C304="",$X304="Pago",$X304="Recebido",$X304="Cancelado"),"",$C304-TODAY())</f>
        <v/>
      </c>
      <c r="AJ304" s="24">
        <f>IF(OR($C304="",$X304="Pago",$X304="Recebido",$X304="Cancelado"),0,MAX(0,TODAY()-$C304))</f>
        <v/>
      </c>
      <c r="AK304" s="24">
        <f>IF($D304="","",$D304-$B304)</f>
        <v/>
      </c>
      <c r="AL304" s="18">
        <f>IF(OR($D304="",$B304=""),"",ROUND(N($R304)*($D304-$B304),2))</f>
        <v/>
      </c>
      <c r="AM304" s="17">
        <f>IF(AND($E304="Saída",$W304&gt;0,$C304&lt;&gt;""),$C304+ROW()/1000000,"")</f>
        <v/>
      </c>
      <c r="AN304" s="17">
        <f>IF(AND($E304="Entrada",$W304&gt;0,$C304&lt;&gt;""),$C304+ROW()/1000000,"")</f>
        <v/>
      </c>
      <c r="AO304" s="9">
        <f>IF(COUNTA($B304:$R304)=0,"",IF(AND($I304&lt;&gt;"",COUNTIF(CLIENTES_NOMES,$I304)+COUNTIF(CLIENTES_FANTASIA,$I304)+COUNTIF(FORNECEDORES_NOMES,$I304)+COUNTIF(FORNECEDORES_FANTASIA,$I304)=0),"⚠ Cliente/Fornecedor não cadastrado",IF(AND($G304&lt;&gt;"",COUNTIF(SUBCATEGORIAS_PLANO,$G304)=0),"⚠ Subcategoria fora do plano de contas",IF(OR($Q304="",N($Q304)=0),"⚠ Valor previsto não informado",IF(AND(OR($X304="Pago",$X304="Recebido"),$D304=""),"⚠ Status pago/recebido sem data",IF(AND($D304&lt;&gt;"",N($R304)=0),"⚠ Data de pagamento sem valor realizado",IF(AND(N($P304)&gt;1,N($O304)&gt;N($P304)),"⚠ Nº da parcela maior que o total",IF(AND($C304&lt;&gt;"",$B304&lt;&gt;"",$C304&lt;$B304),"⚠ Vencimento anterior à competência","OK"))))))))</f>
        <v/>
      </c>
    </row>
    <row r="305">
      <c r="A305" s="14" t="inlineStr">
        <is>
          <t>L0300</t>
        </is>
      </c>
      <c r="B305" s="36" t="n">
        <v>46213</v>
      </c>
      <c r="C305" s="36" t="n">
        <v>46213</v>
      </c>
      <c r="D305" s="36" t="n">
        <v>46213</v>
      </c>
      <c r="E305" s="14" t="inlineStr">
        <is>
          <t>Saída</t>
        </is>
      </c>
      <c r="F305" s="29" t="inlineStr">
        <is>
          <t>Despesas Financeiras</t>
        </is>
      </c>
      <c r="G305" s="29" t="inlineStr">
        <is>
          <t>Juros de Empréstimos e Financiamentos</t>
        </is>
      </c>
      <c r="H305" s="29" t="inlineStr">
        <is>
          <t>Financeiro</t>
        </is>
      </c>
      <c r="I305" s="29" t="inlineStr">
        <is>
          <t>Banco do Brasil</t>
        </is>
      </c>
      <c r="J305" s="29" t="inlineStr">
        <is>
          <t>Capital de Giro — parcela 6/24 (juros)</t>
        </is>
      </c>
      <c r="K305" s="14" t="inlineStr">
        <is>
          <t>CG-2026-0417-P06</t>
        </is>
      </c>
      <c r="L305" s="29" t="inlineStr">
        <is>
          <t>Banco do Brasil — C/C 12345-6</t>
        </is>
      </c>
      <c r="M305" s="14" t="inlineStr">
        <is>
          <t>Débito automático</t>
        </is>
      </c>
      <c r="N305" s="29" t="n"/>
      <c r="O305" s="13" t="n">
        <v>6</v>
      </c>
      <c r="P305" s="13" t="n">
        <v>24</v>
      </c>
      <c r="Q305" s="35" t="n">
        <v>738.0599999999999</v>
      </c>
      <c r="R305" s="35" t="n">
        <v>738.0599999999999</v>
      </c>
      <c r="S305" s="35" t="n"/>
      <c r="T305" s="35" t="n"/>
      <c r="U305" s="35" t="n"/>
      <c r="V305" s="18">
        <f>IF(COUNTA($B305:$R305)=0,"",ROUND(N($R305)+N($S305)+N($T305)-N($U305),2))</f>
        <v/>
      </c>
      <c r="W305" s="18">
        <f>IF(COUNTA($B305:$R305)=0,"",IF(OR($X305="Pago",$X305="Recebido",$X305="Cancelado"),0,ROUND(N($Q305)+N($S305)+N($T305)-N($U305)-N($R305),2)))</f>
        <v/>
      </c>
      <c r="X305" s="14" t="inlineStr">
        <is>
          <t>Pago</t>
        </is>
      </c>
      <c r="Y305" s="17">
        <f>IF(COUNTA($B305:$R305)=0,"",IF($X305="Cancelado","Cancelado",IF(OR($X305="Pago",$X305="Recebido"),$X305,IF(OR($X305="Parcial",N($R305)&gt;0),"Parcial",IF($C305="","Sem vencimento",IF($C305&lt;TODAY(),"Vencido",IF($C305=TODAY(),"Vence hoje",IF($C305&lt;=TODAY()+7,"Vence em 7 dias",IF($C305&lt;=TODAY()+30,"Vence em 30 dias","Futuro")))))))))</f>
        <v/>
      </c>
      <c r="Z305" s="24">
        <f>IF($B305="","",MONTH($B305))</f>
        <v/>
      </c>
      <c r="AA305" s="24">
        <f>IF($B305="","",YEAR($B305))</f>
        <v/>
      </c>
      <c r="AB305" s="24">
        <f>IF($B305="","",ISOWEEKNUM($B305))</f>
        <v/>
      </c>
      <c r="AC305" s="17">
        <f>IF($B305="","",CHOOSE(WEEKDAY($B305,2),"Segunda","Terça","Quarta","Quinta","Sexta","Sábado","Domingo"))</f>
        <v/>
      </c>
      <c r="AD305" s="17">
        <f>IF($B305="","",TEXT($B305,"MM/AAAA"))</f>
        <v/>
      </c>
      <c r="AE305" s="18">
        <f>IF(COUNTA($B305:$R305)=0,"",IF($X305="Cancelado",0,ROUND(N($Q305)+N($S305)+N($T305)-N($U305),2)))</f>
        <v/>
      </c>
      <c r="AF305" s="9">
        <f>IF($G305="","",IFERROR(INDEX(LINHAS_DRE_PLANO,MATCH($G305,SUBCATEGORIAS_PLANO,0)),"Não classificado"))</f>
        <v/>
      </c>
      <c r="AG305" s="17">
        <f>IF($G305="","",IFERROR(INDEX(TIPOS_FLUXO_PLANO,MATCH($G305,SUBCATEGORIAS_PLANO,0)),"Não classificado"))</f>
        <v/>
      </c>
      <c r="AH305" s="9">
        <f>IF($G305="","",IFERROR(INDEX(GRUPOS_PLANO,MATCH($G305,SUBCATEGORIAS_PLANO,0)),"Não classificado"))</f>
        <v/>
      </c>
      <c r="AI305" s="24">
        <f>IF(OR($C305="",$X305="Pago",$X305="Recebido",$X305="Cancelado"),"",$C305-TODAY())</f>
        <v/>
      </c>
      <c r="AJ305" s="24">
        <f>IF(OR($C305="",$X305="Pago",$X305="Recebido",$X305="Cancelado"),0,MAX(0,TODAY()-$C305))</f>
        <v/>
      </c>
      <c r="AK305" s="24">
        <f>IF($D305="","",$D305-$B305)</f>
        <v/>
      </c>
      <c r="AL305" s="18">
        <f>IF(OR($D305="",$B305=""),"",ROUND(N($R305)*($D305-$B305),2))</f>
        <v/>
      </c>
      <c r="AM305" s="17">
        <f>IF(AND($E305="Saída",$W305&gt;0,$C305&lt;&gt;""),$C305+ROW()/1000000,"")</f>
        <v/>
      </c>
      <c r="AN305" s="17">
        <f>IF(AND($E305="Entrada",$W305&gt;0,$C305&lt;&gt;""),$C305+ROW()/1000000,"")</f>
        <v/>
      </c>
      <c r="AO305" s="9">
        <f>IF(COUNTA($B305:$R305)=0,"",IF(AND($I305&lt;&gt;"",COUNTIF(CLIENTES_NOMES,$I305)+COUNTIF(CLIENTES_FANTASIA,$I305)+COUNTIF(FORNECEDORES_NOMES,$I305)+COUNTIF(FORNECEDORES_FANTASIA,$I305)=0),"⚠ Cliente/Fornecedor não cadastrado",IF(AND($G305&lt;&gt;"",COUNTIF(SUBCATEGORIAS_PLANO,$G305)=0),"⚠ Subcategoria fora do plano de contas",IF(OR($Q305="",N($Q305)=0),"⚠ Valor previsto não informado",IF(AND(OR($X305="Pago",$X305="Recebido"),$D305=""),"⚠ Status pago/recebido sem data",IF(AND($D305&lt;&gt;"",N($R305)=0),"⚠ Data de pagamento sem valor realizado",IF(AND(N($P305)&gt;1,N($O305)&gt;N($P305)),"⚠ Nº da parcela maior que o total",IF(AND($C305&lt;&gt;"",$B305&lt;&gt;"",$C305&lt;$B305),"⚠ Vencimento anterior à competência","OK"))))))))</f>
        <v/>
      </c>
    </row>
    <row r="306">
      <c r="A306" s="14" t="inlineStr">
        <is>
          <t>L0301</t>
        </is>
      </c>
      <c r="B306" s="36" t="n">
        <v>46214</v>
      </c>
      <c r="C306" s="36" t="n">
        <v>46244</v>
      </c>
      <c r="D306" s="36" t="n">
        <v>46247</v>
      </c>
      <c r="E306" s="14" t="inlineStr">
        <is>
          <t>Entrada</t>
        </is>
      </c>
      <c r="F306" s="29" t="inlineStr">
        <is>
          <t>Vendas</t>
        </is>
      </c>
      <c r="G306" s="29" t="inlineStr">
        <is>
          <t>Vendas de Produtos</t>
        </is>
      </c>
      <c r="H306" s="29" t="inlineStr">
        <is>
          <t>Comercial</t>
        </is>
      </c>
      <c r="I306" s="29" t="inlineStr">
        <is>
          <t>MERCADO BOA COMPRA LTDA</t>
        </is>
      </c>
      <c r="J306" s="29" t="inlineStr">
        <is>
          <t>Venda de mercadorias para revenda</t>
        </is>
      </c>
      <c r="K306" s="14" t="inlineStr">
        <is>
          <t>NF-e 2072</t>
        </is>
      </c>
      <c r="L306" s="29" t="inlineStr">
        <is>
          <t>Banco do Brasil — C/C 12345-6</t>
        </is>
      </c>
      <c r="M306" s="14" t="inlineStr">
        <is>
          <t>Boleto</t>
        </is>
      </c>
      <c r="N306" s="29" t="n"/>
      <c r="O306" s="13" t="n">
        <v>1</v>
      </c>
      <c r="P306" s="13" t="n">
        <v>1</v>
      </c>
      <c r="Q306" s="35" t="n">
        <v>44076.57</v>
      </c>
      <c r="R306" s="35" t="n">
        <v>44076.57</v>
      </c>
      <c r="S306" s="35" t="n"/>
      <c r="T306" s="35" t="n"/>
      <c r="U306" s="35" t="n"/>
      <c r="V306" s="18">
        <f>IF(COUNTA($B306:$R306)=0,"",ROUND(N($R306)+N($S306)+N($T306)-N($U306),2))</f>
        <v/>
      </c>
      <c r="W306" s="18">
        <f>IF(COUNTA($B306:$R306)=0,"",IF(OR($X306="Pago",$X306="Recebido",$X306="Cancelado"),0,ROUND(N($Q306)+N($S306)+N($T306)-N($U306)-N($R306),2)))</f>
        <v/>
      </c>
      <c r="X306" s="14" t="inlineStr">
        <is>
          <t>Pago</t>
        </is>
      </c>
      <c r="Y306" s="17">
        <f>IF(COUNTA($B306:$R306)=0,"",IF($X306="Cancelado","Cancelado",IF(OR($X306="Pago",$X306="Recebido"),$X306,IF(OR($X306="Parcial",N($R306)&gt;0),"Parcial",IF($C306="","Sem vencimento",IF($C306&lt;TODAY(),"Vencido",IF($C306=TODAY(),"Vence hoje",IF($C306&lt;=TODAY()+7,"Vence em 7 dias",IF($C306&lt;=TODAY()+30,"Vence em 30 dias","Futuro")))))))))</f>
        <v/>
      </c>
      <c r="Z306" s="24">
        <f>IF($B306="","",MONTH($B306))</f>
        <v/>
      </c>
      <c r="AA306" s="24">
        <f>IF($B306="","",YEAR($B306))</f>
        <v/>
      </c>
      <c r="AB306" s="24">
        <f>IF($B306="","",ISOWEEKNUM($B306))</f>
        <v/>
      </c>
      <c r="AC306" s="17">
        <f>IF($B306="","",CHOOSE(WEEKDAY($B306,2),"Segunda","Terça","Quarta","Quinta","Sexta","Sábado","Domingo"))</f>
        <v/>
      </c>
      <c r="AD306" s="17">
        <f>IF($B306="","",TEXT($B306,"MM/AAAA"))</f>
        <v/>
      </c>
      <c r="AE306" s="18">
        <f>IF(COUNTA($B306:$R306)=0,"",IF($X306="Cancelado",0,ROUND(N($Q306)+N($S306)+N($T306)-N($U306),2)))</f>
        <v/>
      </c>
      <c r="AF306" s="9">
        <f>IF($G306="","",IFERROR(INDEX(LINHAS_DRE_PLANO,MATCH($G306,SUBCATEGORIAS_PLANO,0)),"Não classificado"))</f>
        <v/>
      </c>
      <c r="AG306" s="17">
        <f>IF($G306="","",IFERROR(INDEX(TIPOS_FLUXO_PLANO,MATCH($G306,SUBCATEGORIAS_PLANO,0)),"Não classificado"))</f>
        <v/>
      </c>
      <c r="AH306" s="9">
        <f>IF($G306="","",IFERROR(INDEX(GRUPOS_PLANO,MATCH($G306,SUBCATEGORIAS_PLANO,0)),"Não classificado"))</f>
        <v/>
      </c>
      <c r="AI306" s="24">
        <f>IF(OR($C306="",$X306="Pago",$X306="Recebido",$X306="Cancelado"),"",$C306-TODAY())</f>
        <v/>
      </c>
      <c r="AJ306" s="24">
        <f>IF(OR($C306="",$X306="Pago",$X306="Recebido",$X306="Cancelado"),0,MAX(0,TODAY()-$C306))</f>
        <v/>
      </c>
      <c r="AK306" s="24">
        <f>IF($D306="","",$D306-$B306)</f>
        <v/>
      </c>
      <c r="AL306" s="18">
        <f>IF(OR($D306="",$B306=""),"",ROUND(N($R306)*($D306-$B306),2))</f>
        <v/>
      </c>
      <c r="AM306" s="17">
        <f>IF(AND($E306="Saída",$W306&gt;0,$C306&lt;&gt;""),$C306+ROW()/1000000,"")</f>
        <v/>
      </c>
      <c r="AN306" s="17">
        <f>IF(AND($E306="Entrada",$W306&gt;0,$C306&lt;&gt;""),$C306+ROW()/1000000,"")</f>
        <v/>
      </c>
      <c r="AO306" s="9">
        <f>IF(COUNTA($B306:$R306)=0,"",IF(AND($I306&lt;&gt;"",COUNTIF(CLIENTES_NOMES,$I306)+COUNTIF(CLIENTES_FANTASIA,$I306)+COUNTIF(FORNECEDORES_NOMES,$I306)+COUNTIF(FORNECEDORES_FANTASIA,$I306)=0),"⚠ Cliente/Fornecedor não cadastrado",IF(AND($G306&lt;&gt;"",COUNTIF(SUBCATEGORIAS_PLANO,$G306)=0),"⚠ Subcategoria fora do plano de contas",IF(OR($Q306="",N($Q306)=0),"⚠ Valor previsto não informado",IF(AND(OR($X306="Pago",$X306="Recebido"),$D306=""),"⚠ Status pago/recebido sem data",IF(AND($D306&lt;&gt;"",N($R306)=0),"⚠ Data de pagamento sem valor realizado",IF(AND(N($P306)&gt;1,N($O306)&gt;N($P306)),"⚠ Nº da parcela maior que o total",IF(AND($C306&lt;&gt;"",$B306&lt;&gt;"",$C306&lt;$B306),"⚠ Vencimento anterior à competência","OK"))))))))</f>
        <v/>
      </c>
    </row>
    <row r="307">
      <c r="A307" s="14" t="inlineStr">
        <is>
          <t>L0302</t>
        </is>
      </c>
      <c r="B307" s="36" t="n">
        <v>46214</v>
      </c>
      <c r="C307" s="36" t="n">
        <v>46216</v>
      </c>
      <c r="D307" s="36" t="n">
        <v>46219</v>
      </c>
      <c r="E307" s="14" t="inlineStr">
        <is>
          <t>Entrada</t>
        </is>
      </c>
      <c r="F307" s="29" t="inlineStr">
        <is>
          <t>Vendas</t>
        </is>
      </c>
      <c r="G307" s="29" t="inlineStr">
        <is>
          <t>Vendas de Produtos</t>
        </is>
      </c>
      <c r="H307" s="29" t="inlineStr">
        <is>
          <t>Comercial</t>
        </is>
      </c>
      <c r="I307" s="29" t="inlineStr">
        <is>
          <t>PADARIA PÃO DOURADO ME</t>
        </is>
      </c>
      <c r="J307" s="29" t="inlineStr">
        <is>
          <t>Venda de mercadorias para revenda</t>
        </is>
      </c>
      <c r="K307" s="14" t="inlineStr">
        <is>
          <t>NF-e 2075</t>
        </is>
      </c>
      <c r="L307" s="29" t="inlineStr">
        <is>
          <t>Nubank PJ — C/C 9876543-2</t>
        </is>
      </c>
      <c r="M307" s="14" t="inlineStr">
        <is>
          <t>PIX</t>
        </is>
      </c>
      <c r="N307" s="29" t="n"/>
      <c r="O307" s="13" t="n">
        <v>1</v>
      </c>
      <c r="P307" s="13" t="n">
        <v>1</v>
      </c>
      <c r="Q307" s="35" t="n">
        <v>26843.02</v>
      </c>
      <c r="R307" s="35" t="n">
        <v>26843.02</v>
      </c>
      <c r="S307" s="35" t="n"/>
      <c r="T307" s="35" t="n"/>
      <c r="U307" s="35" t="n"/>
      <c r="V307" s="18">
        <f>IF(COUNTA($B307:$R307)=0,"",ROUND(N($R307)+N($S307)+N($T307)-N($U307),2))</f>
        <v/>
      </c>
      <c r="W307" s="18">
        <f>IF(COUNTA($B307:$R307)=0,"",IF(OR($X307="Pago",$X307="Recebido",$X307="Cancelado"),0,ROUND(N($Q307)+N($S307)+N($T307)-N($U307)-N($R307),2)))</f>
        <v/>
      </c>
      <c r="X307" s="14" t="inlineStr">
        <is>
          <t>Pago</t>
        </is>
      </c>
      <c r="Y307" s="17">
        <f>IF(COUNTA($B307:$R307)=0,"",IF($X307="Cancelado","Cancelado",IF(OR($X307="Pago",$X307="Recebido"),$X307,IF(OR($X307="Parcial",N($R307)&gt;0),"Parcial",IF($C307="","Sem vencimento",IF($C307&lt;TODAY(),"Vencido",IF($C307=TODAY(),"Vence hoje",IF($C307&lt;=TODAY()+7,"Vence em 7 dias",IF($C307&lt;=TODAY()+30,"Vence em 30 dias","Futuro")))))))))</f>
        <v/>
      </c>
      <c r="Z307" s="24">
        <f>IF($B307="","",MONTH($B307))</f>
        <v/>
      </c>
      <c r="AA307" s="24">
        <f>IF($B307="","",YEAR($B307))</f>
        <v/>
      </c>
      <c r="AB307" s="24">
        <f>IF($B307="","",ISOWEEKNUM($B307))</f>
        <v/>
      </c>
      <c r="AC307" s="17">
        <f>IF($B307="","",CHOOSE(WEEKDAY($B307,2),"Segunda","Terça","Quarta","Quinta","Sexta","Sábado","Domingo"))</f>
        <v/>
      </c>
      <c r="AD307" s="17">
        <f>IF($B307="","",TEXT($B307,"MM/AAAA"))</f>
        <v/>
      </c>
      <c r="AE307" s="18">
        <f>IF(COUNTA($B307:$R307)=0,"",IF($X307="Cancelado",0,ROUND(N($Q307)+N($S307)+N($T307)-N($U307),2)))</f>
        <v/>
      </c>
      <c r="AF307" s="9">
        <f>IF($G307="","",IFERROR(INDEX(LINHAS_DRE_PLANO,MATCH($G307,SUBCATEGORIAS_PLANO,0)),"Não classificado"))</f>
        <v/>
      </c>
      <c r="AG307" s="17">
        <f>IF($G307="","",IFERROR(INDEX(TIPOS_FLUXO_PLANO,MATCH($G307,SUBCATEGORIAS_PLANO,0)),"Não classificado"))</f>
        <v/>
      </c>
      <c r="AH307" s="9">
        <f>IF($G307="","",IFERROR(INDEX(GRUPOS_PLANO,MATCH($G307,SUBCATEGORIAS_PLANO,0)),"Não classificado"))</f>
        <v/>
      </c>
      <c r="AI307" s="24">
        <f>IF(OR($C307="",$X307="Pago",$X307="Recebido",$X307="Cancelado"),"",$C307-TODAY())</f>
        <v/>
      </c>
      <c r="AJ307" s="24">
        <f>IF(OR($C307="",$X307="Pago",$X307="Recebido",$X307="Cancelado"),0,MAX(0,TODAY()-$C307))</f>
        <v/>
      </c>
      <c r="AK307" s="24">
        <f>IF($D307="","",$D307-$B307)</f>
        <v/>
      </c>
      <c r="AL307" s="18">
        <f>IF(OR($D307="",$B307=""),"",ROUND(N($R307)*($D307-$B307),2))</f>
        <v/>
      </c>
      <c r="AM307" s="17">
        <f>IF(AND($E307="Saída",$W307&gt;0,$C307&lt;&gt;""),$C307+ROW()/1000000,"")</f>
        <v/>
      </c>
      <c r="AN307" s="17">
        <f>IF(AND($E307="Entrada",$W307&gt;0,$C307&lt;&gt;""),$C307+ROW()/1000000,"")</f>
        <v/>
      </c>
      <c r="AO307" s="9">
        <f>IF(COUNTA($B307:$R307)=0,"",IF(AND($I307&lt;&gt;"",COUNTIF(CLIENTES_NOMES,$I307)+COUNTIF(CLIENTES_FANTASIA,$I307)+COUNTIF(FORNECEDORES_NOMES,$I307)+COUNTIF(FORNECEDORES_FANTASIA,$I307)=0),"⚠ Cliente/Fornecedor não cadastrado",IF(AND($G307&lt;&gt;"",COUNTIF(SUBCATEGORIAS_PLANO,$G307)=0),"⚠ Subcategoria fora do plano de contas",IF(OR($Q307="",N($Q307)=0),"⚠ Valor previsto não informado",IF(AND(OR($X307="Pago",$X307="Recebido"),$D307=""),"⚠ Status pago/recebido sem data",IF(AND($D307&lt;&gt;"",N($R307)=0),"⚠ Data de pagamento sem valor realizado",IF(AND(N($P307)&gt;1,N($O307)&gt;N($P307)),"⚠ Nº da parcela maior que o total",IF(AND($C307&lt;&gt;"",$B307&lt;&gt;"",$C307&lt;$B307),"⚠ Vencimento anterior à competência","OK"))))))))</f>
        <v/>
      </c>
    </row>
    <row r="308">
      <c r="A308" s="14" t="inlineStr">
        <is>
          <t>L0303</t>
        </is>
      </c>
      <c r="B308" s="36" t="n">
        <v>46214</v>
      </c>
      <c r="C308" s="36" t="n">
        <v>46230</v>
      </c>
      <c r="D308" s="36" t="n">
        <v>46230</v>
      </c>
      <c r="E308" s="14" t="inlineStr">
        <is>
          <t>Entrada</t>
        </is>
      </c>
      <c r="F308" s="29" t="inlineStr">
        <is>
          <t>Vendas</t>
        </is>
      </c>
      <c r="G308" s="29" t="inlineStr">
        <is>
          <t>Vendas de Produtos</t>
        </is>
      </c>
      <c r="H308" s="29" t="inlineStr">
        <is>
          <t>Comercial</t>
        </is>
      </c>
      <c r="I308" s="29" t="inlineStr">
        <is>
          <t>RESTAURANTE SABOR CASEIRO LTDA</t>
        </is>
      </c>
      <c r="J308" s="29" t="inlineStr">
        <is>
          <t>Venda de mercadorias para revenda</t>
        </is>
      </c>
      <c r="K308" s="14" t="inlineStr">
        <is>
          <t>NF-e 2076</t>
        </is>
      </c>
      <c r="L308" s="29" t="inlineStr">
        <is>
          <t>Itaú Unibanco — C/C 45678-9</t>
        </is>
      </c>
      <c r="M308" s="14" t="inlineStr">
        <is>
          <t>Boleto</t>
        </is>
      </c>
      <c r="N308" s="29" t="n"/>
      <c r="O308" s="13" t="n">
        <v>1</v>
      </c>
      <c r="P308" s="13" t="n">
        <v>1</v>
      </c>
      <c r="Q308" s="35" t="n">
        <v>20073.66</v>
      </c>
      <c r="R308" s="35" t="n">
        <v>20073.66</v>
      </c>
      <c r="S308" s="35" t="n"/>
      <c r="T308" s="35" t="n"/>
      <c r="U308" s="35" t="n"/>
      <c r="V308" s="18">
        <f>IF(COUNTA($B308:$R308)=0,"",ROUND(N($R308)+N($S308)+N($T308)-N($U308),2))</f>
        <v/>
      </c>
      <c r="W308" s="18">
        <f>IF(COUNTA($B308:$R308)=0,"",IF(OR($X308="Pago",$X308="Recebido",$X308="Cancelado"),0,ROUND(N($Q308)+N($S308)+N($T308)-N($U308)-N($R308),2)))</f>
        <v/>
      </c>
      <c r="X308" s="14" t="inlineStr">
        <is>
          <t>Pago</t>
        </is>
      </c>
      <c r="Y308" s="17">
        <f>IF(COUNTA($B308:$R308)=0,"",IF($X308="Cancelado","Cancelado",IF(OR($X308="Pago",$X308="Recebido"),$X308,IF(OR($X308="Parcial",N($R308)&gt;0),"Parcial",IF($C308="","Sem vencimento",IF($C308&lt;TODAY(),"Vencido",IF($C308=TODAY(),"Vence hoje",IF($C308&lt;=TODAY()+7,"Vence em 7 dias",IF($C308&lt;=TODAY()+30,"Vence em 30 dias","Futuro")))))))))</f>
        <v/>
      </c>
      <c r="Z308" s="24">
        <f>IF($B308="","",MONTH($B308))</f>
        <v/>
      </c>
      <c r="AA308" s="24">
        <f>IF($B308="","",YEAR($B308))</f>
        <v/>
      </c>
      <c r="AB308" s="24">
        <f>IF($B308="","",ISOWEEKNUM($B308))</f>
        <v/>
      </c>
      <c r="AC308" s="17">
        <f>IF($B308="","",CHOOSE(WEEKDAY($B308,2),"Segunda","Terça","Quarta","Quinta","Sexta","Sábado","Domingo"))</f>
        <v/>
      </c>
      <c r="AD308" s="17">
        <f>IF($B308="","",TEXT($B308,"MM/AAAA"))</f>
        <v/>
      </c>
      <c r="AE308" s="18">
        <f>IF(COUNTA($B308:$R308)=0,"",IF($X308="Cancelado",0,ROUND(N($Q308)+N($S308)+N($T308)-N($U308),2)))</f>
        <v/>
      </c>
      <c r="AF308" s="9">
        <f>IF($G308="","",IFERROR(INDEX(LINHAS_DRE_PLANO,MATCH($G308,SUBCATEGORIAS_PLANO,0)),"Não classificado"))</f>
        <v/>
      </c>
      <c r="AG308" s="17">
        <f>IF($G308="","",IFERROR(INDEX(TIPOS_FLUXO_PLANO,MATCH($G308,SUBCATEGORIAS_PLANO,0)),"Não classificado"))</f>
        <v/>
      </c>
      <c r="AH308" s="9">
        <f>IF($G308="","",IFERROR(INDEX(GRUPOS_PLANO,MATCH($G308,SUBCATEGORIAS_PLANO,0)),"Não classificado"))</f>
        <v/>
      </c>
      <c r="AI308" s="24">
        <f>IF(OR($C308="",$X308="Pago",$X308="Recebido",$X308="Cancelado"),"",$C308-TODAY())</f>
        <v/>
      </c>
      <c r="AJ308" s="24">
        <f>IF(OR($C308="",$X308="Pago",$X308="Recebido",$X308="Cancelado"),0,MAX(0,TODAY()-$C308))</f>
        <v/>
      </c>
      <c r="AK308" s="24">
        <f>IF($D308="","",$D308-$B308)</f>
        <v/>
      </c>
      <c r="AL308" s="18">
        <f>IF(OR($D308="",$B308=""),"",ROUND(N($R308)*($D308-$B308),2))</f>
        <v/>
      </c>
      <c r="AM308" s="17">
        <f>IF(AND($E308="Saída",$W308&gt;0,$C308&lt;&gt;""),$C308+ROW()/1000000,"")</f>
        <v/>
      </c>
      <c r="AN308" s="17">
        <f>IF(AND($E308="Entrada",$W308&gt;0,$C308&lt;&gt;""),$C308+ROW()/1000000,"")</f>
        <v/>
      </c>
      <c r="AO308" s="9">
        <f>IF(COUNTA($B308:$R308)=0,"",IF(AND($I308&lt;&gt;"",COUNTIF(CLIENTES_NOMES,$I308)+COUNTIF(CLIENTES_FANTASIA,$I308)+COUNTIF(FORNECEDORES_NOMES,$I308)+COUNTIF(FORNECEDORES_FANTASIA,$I308)=0),"⚠ Cliente/Fornecedor não cadastrado",IF(AND($G308&lt;&gt;"",COUNTIF(SUBCATEGORIAS_PLANO,$G308)=0),"⚠ Subcategoria fora do plano de contas",IF(OR($Q308="",N($Q308)=0),"⚠ Valor previsto não informado",IF(AND(OR($X308="Pago",$X308="Recebido"),$D308=""),"⚠ Status pago/recebido sem data",IF(AND($D308&lt;&gt;"",N($R308)=0),"⚠ Data de pagamento sem valor realizado",IF(AND(N($P308)&gt;1,N($O308)&gt;N($P308)),"⚠ Nº da parcela maior que o total",IF(AND($C308&lt;&gt;"",$B308&lt;&gt;"",$C308&lt;$B308),"⚠ Vencimento anterior à competência","OK"))))))))</f>
        <v/>
      </c>
    </row>
    <row r="309">
      <c r="A309" s="14" t="inlineStr">
        <is>
          <t>L0304</t>
        </is>
      </c>
      <c r="B309" s="36" t="n">
        <v>46214</v>
      </c>
      <c r="C309" s="36" t="n">
        <v>46244</v>
      </c>
      <c r="D309" s="36" t="n">
        <v>46259</v>
      </c>
      <c r="E309" s="14" t="inlineStr">
        <is>
          <t>Entrada</t>
        </is>
      </c>
      <c r="F309" s="29" t="inlineStr">
        <is>
          <t>Vendas</t>
        </is>
      </c>
      <c r="G309" s="29" t="inlineStr">
        <is>
          <t>Vendas de Produtos</t>
        </is>
      </c>
      <c r="H309" s="29" t="inlineStr">
        <is>
          <t>Comercial</t>
        </is>
      </c>
      <c r="I309" s="29" t="inlineStr">
        <is>
          <t>HOTEL VISTA ALEGRE LTDA</t>
        </is>
      </c>
      <c r="J309" s="29" t="inlineStr">
        <is>
          <t>Venda de mercadorias para revenda</t>
        </is>
      </c>
      <c r="K309" s="14" t="inlineStr">
        <is>
          <t>NF-e 2079</t>
        </is>
      </c>
      <c r="L309" s="29" t="inlineStr">
        <is>
          <t>Itaú Unibanco — C/C 45678-9</t>
        </is>
      </c>
      <c r="M309" s="14" t="inlineStr">
        <is>
          <t>Boleto</t>
        </is>
      </c>
      <c r="N309" s="29" t="n"/>
      <c r="O309" s="13" t="n">
        <v>1</v>
      </c>
      <c r="P309" s="13" t="n">
        <v>1</v>
      </c>
      <c r="Q309" s="35" t="n">
        <v>39000.47</v>
      </c>
      <c r="R309" s="35" t="n">
        <v>13650.16</v>
      </c>
      <c r="S309" s="35" t="n"/>
      <c r="T309" s="35" t="n"/>
      <c r="U309" s="35" t="n"/>
      <c r="V309" s="18">
        <f>IF(COUNTA($B309:$R309)=0,"",ROUND(N($R309)+N($S309)+N($T309)-N($U309),2))</f>
        <v/>
      </c>
      <c r="W309" s="18">
        <f>IF(COUNTA($B309:$R309)=0,"",IF(OR($X309="Pago",$X309="Recebido",$X309="Cancelado"),0,ROUND(N($Q309)+N($S309)+N($T309)-N($U309)-N($R309),2)))</f>
        <v/>
      </c>
      <c r="X309" s="14" t="inlineStr">
        <is>
          <t>Parcial</t>
        </is>
      </c>
      <c r="Y309" s="17">
        <f>IF(COUNTA($B309:$R309)=0,"",IF($X309="Cancelado","Cancelado",IF(OR($X309="Pago",$X309="Recebido"),$X309,IF(OR($X309="Parcial",N($R309)&gt;0),"Parcial",IF($C309="","Sem vencimento",IF($C309&lt;TODAY(),"Vencido",IF($C309=TODAY(),"Vence hoje",IF($C309&lt;=TODAY()+7,"Vence em 7 dias",IF($C309&lt;=TODAY()+30,"Vence em 30 dias","Futuro")))))))))</f>
        <v/>
      </c>
      <c r="Z309" s="24">
        <f>IF($B309="","",MONTH($B309))</f>
        <v/>
      </c>
      <c r="AA309" s="24">
        <f>IF($B309="","",YEAR($B309))</f>
        <v/>
      </c>
      <c r="AB309" s="24">
        <f>IF($B309="","",ISOWEEKNUM($B309))</f>
        <v/>
      </c>
      <c r="AC309" s="17">
        <f>IF($B309="","",CHOOSE(WEEKDAY($B309,2),"Segunda","Terça","Quarta","Quinta","Sexta","Sábado","Domingo"))</f>
        <v/>
      </c>
      <c r="AD309" s="17">
        <f>IF($B309="","",TEXT($B309,"MM/AAAA"))</f>
        <v/>
      </c>
      <c r="AE309" s="18">
        <f>IF(COUNTA($B309:$R309)=0,"",IF($X309="Cancelado",0,ROUND(N($Q309)+N($S309)+N($T309)-N($U309),2)))</f>
        <v/>
      </c>
      <c r="AF309" s="9">
        <f>IF($G309="","",IFERROR(INDEX(LINHAS_DRE_PLANO,MATCH($G309,SUBCATEGORIAS_PLANO,0)),"Não classificado"))</f>
        <v/>
      </c>
      <c r="AG309" s="17">
        <f>IF($G309="","",IFERROR(INDEX(TIPOS_FLUXO_PLANO,MATCH($G309,SUBCATEGORIAS_PLANO,0)),"Não classificado"))</f>
        <v/>
      </c>
      <c r="AH309" s="9">
        <f>IF($G309="","",IFERROR(INDEX(GRUPOS_PLANO,MATCH($G309,SUBCATEGORIAS_PLANO,0)),"Não classificado"))</f>
        <v/>
      </c>
      <c r="AI309" s="24">
        <f>IF(OR($C309="",$X309="Pago",$X309="Recebido",$X309="Cancelado"),"",$C309-TODAY())</f>
        <v/>
      </c>
      <c r="AJ309" s="24">
        <f>IF(OR($C309="",$X309="Pago",$X309="Recebido",$X309="Cancelado"),0,MAX(0,TODAY()-$C309))</f>
        <v/>
      </c>
      <c r="AK309" s="24">
        <f>IF($D309="","",$D309-$B309)</f>
        <v/>
      </c>
      <c r="AL309" s="18">
        <f>IF(OR($D309="",$B309=""),"",ROUND(N($R309)*($D309-$B309),2))</f>
        <v/>
      </c>
      <c r="AM309" s="17">
        <f>IF(AND($E309="Saída",$W309&gt;0,$C309&lt;&gt;""),$C309+ROW()/1000000,"")</f>
        <v/>
      </c>
      <c r="AN309" s="17">
        <f>IF(AND($E309="Entrada",$W309&gt;0,$C309&lt;&gt;""),$C309+ROW()/1000000,"")</f>
        <v/>
      </c>
      <c r="AO309" s="9">
        <f>IF(COUNTA($B309:$R309)=0,"",IF(AND($I309&lt;&gt;"",COUNTIF(CLIENTES_NOMES,$I309)+COUNTIF(CLIENTES_FANTASIA,$I309)+COUNTIF(FORNECEDORES_NOMES,$I309)+COUNTIF(FORNECEDORES_FANTASIA,$I309)=0),"⚠ Cliente/Fornecedor não cadastrado",IF(AND($G309&lt;&gt;"",COUNTIF(SUBCATEGORIAS_PLANO,$G309)=0),"⚠ Subcategoria fora do plano de contas",IF(OR($Q309="",N($Q309)=0),"⚠ Valor previsto não informado",IF(AND(OR($X309="Pago",$X309="Recebido"),$D309=""),"⚠ Status pago/recebido sem data",IF(AND($D309&lt;&gt;"",N($R309)=0),"⚠ Data de pagamento sem valor realizado",IF(AND(N($P309)&gt;1,N($O309)&gt;N($P309)),"⚠ Nº da parcela maior que o total",IF(AND($C309&lt;&gt;"",$B309&lt;&gt;"",$C309&lt;$B309),"⚠ Vencimento anterior à competência","OK"))))))))</f>
        <v/>
      </c>
    </row>
    <row r="310">
      <c r="A310" s="14" t="inlineStr">
        <is>
          <t>L0305</t>
        </is>
      </c>
      <c r="B310" s="36" t="n">
        <v>46214</v>
      </c>
      <c r="C310" s="36" t="n">
        <v>46237</v>
      </c>
      <c r="D310" s="36" t="n">
        <v>46237</v>
      </c>
      <c r="E310" s="14" t="inlineStr">
        <is>
          <t>Entrada</t>
        </is>
      </c>
      <c r="F310" s="29" t="inlineStr">
        <is>
          <t>Vendas</t>
        </is>
      </c>
      <c r="G310" s="29" t="inlineStr">
        <is>
          <t>Vendas de Produtos</t>
        </is>
      </c>
      <c r="H310" s="29" t="inlineStr">
        <is>
          <t>Comercial</t>
        </is>
      </c>
      <c r="I310" s="29" t="inlineStr">
        <is>
          <t>EMPÓRIO NATURAL COMÉRCIO LTDA</t>
        </is>
      </c>
      <c r="J310" s="29" t="inlineStr">
        <is>
          <t>Venda de mercadorias para revenda</t>
        </is>
      </c>
      <c r="K310" s="14" t="inlineStr">
        <is>
          <t>NF-e 2080</t>
        </is>
      </c>
      <c r="L310" s="29" t="inlineStr">
        <is>
          <t>Itaú Unibanco — C/C 45678-9</t>
        </is>
      </c>
      <c r="M310" s="14" t="inlineStr">
        <is>
          <t>Boleto</t>
        </is>
      </c>
      <c r="N310" s="29" t="n"/>
      <c r="O310" s="13" t="n">
        <v>1</v>
      </c>
      <c r="P310" s="13" t="n">
        <v>1</v>
      </c>
      <c r="Q310" s="35" t="n">
        <v>27821.14</v>
      </c>
      <c r="R310" s="35" t="n">
        <v>27821.14</v>
      </c>
      <c r="S310" s="35" t="n"/>
      <c r="T310" s="35" t="n"/>
      <c r="U310" s="35" t="n"/>
      <c r="V310" s="18">
        <f>IF(COUNTA($B310:$R310)=0,"",ROUND(N($R310)+N($S310)+N($T310)-N($U310),2))</f>
        <v/>
      </c>
      <c r="W310" s="18">
        <f>IF(COUNTA($B310:$R310)=0,"",IF(OR($X310="Pago",$X310="Recebido",$X310="Cancelado"),0,ROUND(N($Q310)+N($S310)+N($T310)-N($U310)-N($R310),2)))</f>
        <v/>
      </c>
      <c r="X310" s="14" t="inlineStr">
        <is>
          <t>Pago</t>
        </is>
      </c>
      <c r="Y310" s="17">
        <f>IF(COUNTA($B310:$R310)=0,"",IF($X310="Cancelado","Cancelado",IF(OR($X310="Pago",$X310="Recebido"),$X310,IF(OR($X310="Parcial",N($R310)&gt;0),"Parcial",IF($C310="","Sem vencimento",IF($C310&lt;TODAY(),"Vencido",IF($C310=TODAY(),"Vence hoje",IF($C310&lt;=TODAY()+7,"Vence em 7 dias",IF($C310&lt;=TODAY()+30,"Vence em 30 dias","Futuro")))))))))</f>
        <v/>
      </c>
      <c r="Z310" s="24">
        <f>IF($B310="","",MONTH($B310))</f>
        <v/>
      </c>
      <c r="AA310" s="24">
        <f>IF($B310="","",YEAR($B310))</f>
        <v/>
      </c>
      <c r="AB310" s="24">
        <f>IF($B310="","",ISOWEEKNUM($B310))</f>
        <v/>
      </c>
      <c r="AC310" s="17">
        <f>IF($B310="","",CHOOSE(WEEKDAY($B310,2),"Segunda","Terça","Quarta","Quinta","Sexta","Sábado","Domingo"))</f>
        <v/>
      </c>
      <c r="AD310" s="17">
        <f>IF($B310="","",TEXT($B310,"MM/AAAA"))</f>
        <v/>
      </c>
      <c r="AE310" s="18">
        <f>IF(COUNTA($B310:$R310)=0,"",IF($X310="Cancelado",0,ROUND(N($Q310)+N($S310)+N($T310)-N($U310),2)))</f>
        <v/>
      </c>
      <c r="AF310" s="9">
        <f>IF($G310="","",IFERROR(INDEX(LINHAS_DRE_PLANO,MATCH($G310,SUBCATEGORIAS_PLANO,0)),"Não classificado"))</f>
        <v/>
      </c>
      <c r="AG310" s="17">
        <f>IF($G310="","",IFERROR(INDEX(TIPOS_FLUXO_PLANO,MATCH($G310,SUBCATEGORIAS_PLANO,0)),"Não classificado"))</f>
        <v/>
      </c>
      <c r="AH310" s="9">
        <f>IF($G310="","",IFERROR(INDEX(GRUPOS_PLANO,MATCH($G310,SUBCATEGORIAS_PLANO,0)),"Não classificado"))</f>
        <v/>
      </c>
      <c r="AI310" s="24">
        <f>IF(OR($C310="",$X310="Pago",$X310="Recebido",$X310="Cancelado"),"",$C310-TODAY())</f>
        <v/>
      </c>
      <c r="AJ310" s="24">
        <f>IF(OR($C310="",$X310="Pago",$X310="Recebido",$X310="Cancelado"),0,MAX(0,TODAY()-$C310))</f>
        <v/>
      </c>
      <c r="AK310" s="24">
        <f>IF($D310="","",$D310-$B310)</f>
        <v/>
      </c>
      <c r="AL310" s="18">
        <f>IF(OR($D310="",$B310=""),"",ROUND(N($R310)*($D310-$B310),2))</f>
        <v/>
      </c>
      <c r="AM310" s="17">
        <f>IF(AND($E310="Saída",$W310&gt;0,$C310&lt;&gt;""),$C310+ROW()/1000000,"")</f>
        <v/>
      </c>
      <c r="AN310" s="17">
        <f>IF(AND($E310="Entrada",$W310&gt;0,$C310&lt;&gt;""),$C310+ROW()/1000000,"")</f>
        <v/>
      </c>
      <c r="AO310" s="9">
        <f>IF(COUNTA($B310:$R310)=0,"",IF(AND($I310&lt;&gt;"",COUNTIF(CLIENTES_NOMES,$I310)+COUNTIF(CLIENTES_FANTASIA,$I310)+COUNTIF(FORNECEDORES_NOMES,$I310)+COUNTIF(FORNECEDORES_FANTASIA,$I310)=0),"⚠ Cliente/Fornecedor não cadastrado",IF(AND($G310&lt;&gt;"",COUNTIF(SUBCATEGORIAS_PLANO,$G310)=0),"⚠ Subcategoria fora do plano de contas",IF(OR($Q310="",N($Q310)=0),"⚠ Valor previsto não informado",IF(AND(OR($X310="Pago",$X310="Recebido"),$D310=""),"⚠ Status pago/recebido sem data",IF(AND($D310&lt;&gt;"",N($R310)=0),"⚠ Data de pagamento sem valor realizado",IF(AND(N($P310)&gt;1,N($O310)&gt;N($P310)),"⚠ Nº da parcela maior que o total",IF(AND($C310&lt;&gt;"",$B310&lt;&gt;"",$C310&lt;$B310),"⚠ Vencimento anterior à competência","OK"))))))))</f>
        <v/>
      </c>
    </row>
    <row r="311">
      <c r="A311" s="14" t="inlineStr">
        <is>
          <t>L0306</t>
        </is>
      </c>
      <c r="B311" s="36" t="n">
        <v>46215</v>
      </c>
      <c r="C311" s="36" t="n">
        <v>46230</v>
      </c>
      <c r="D311" s="36" t="n">
        <v>46230</v>
      </c>
      <c r="E311" s="14" t="inlineStr">
        <is>
          <t>Saída</t>
        </is>
      </c>
      <c r="F311" s="29" t="inlineStr">
        <is>
          <t>Custos Variáveis</t>
        </is>
      </c>
      <c r="G311" s="29" t="inlineStr">
        <is>
          <t>Embalagens</t>
        </is>
      </c>
      <c r="H311" s="29" t="inlineStr">
        <is>
          <t>Logística</t>
        </is>
      </c>
      <c r="I311" s="29" t="inlineStr">
        <is>
          <t>EMBALAGENS PAULISTA LTDA</t>
        </is>
      </c>
      <c r="J311" s="29" t="inlineStr">
        <is>
          <t>Compra de embalagens e etiquetas</t>
        </is>
      </c>
      <c r="K311" s="14" t="inlineStr">
        <is>
          <t>DOC 7214</t>
        </is>
      </c>
      <c r="L311" s="29" t="inlineStr">
        <is>
          <t>Banco do Brasil — C/C 12345-6</t>
        </is>
      </c>
      <c r="M311" s="14" t="inlineStr">
        <is>
          <t>Boleto</t>
        </is>
      </c>
      <c r="N311" s="29" t="n"/>
      <c r="O311" s="13" t="n">
        <v>1</v>
      </c>
      <c r="P311" s="13" t="n">
        <v>1</v>
      </c>
      <c r="Q311" s="35" t="n">
        <v>2857.67</v>
      </c>
      <c r="R311" s="35" t="n">
        <v>2857.67</v>
      </c>
      <c r="S311" s="35" t="n"/>
      <c r="T311" s="35" t="n"/>
      <c r="U311" s="35" t="n"/>
      <c r="V311" s="18">
        <f>IF(COUNTA($B311:$R311)=0,"",ROUND(N($R311)+N($S311)+N($T311)-N($U311),2))</f>
        <v/>
      </c>
      <c r="W311" s="18">
        <f>IF(COUNTA($B311:$R311)=0,"",IF(OR($X311="Pago",$X311="Recebido",$X311="Cancelado"),0,ROUND(N($Q311)+N($S311)+N($T311)-N($U311)-N($R311),2)))</f>
        <v/>
      </c>
      <c r="X311" s="14" t="inlineStr">
        <is>
          <t>Pago</t>
        </is>
      </c>
      <c r="Y311" s="17">
        <f>IF(COUNTA($B311:$R311)=0,"",IF($X311="Cancelado","Cancelado",IF(OR($X311="Pago",$X311="Recebido"),$X311,IF(OR($X311="Parcial",N($R311)&gt;0),"Parcial",IF($C311="","Sem vencimento",IF($C311&lt;TODAY(),"Vencido",IF($C311=TODAY(),"Vence hoje",IF($C311&lt;=TODAY()+7,"Vence em 7 dias",IF($C311&lt;=TODAY()+30,"Vence em 30 dias","Futuro")))))))))</f>
        <v/>
      </c>
      <c r="Z311" s="24">
        <f>IF($B311="","",MONTH($B311))</f>
        <v/>
      </c>
      <c r="AA311" s="24">
        <f>IF($B311="","",YEAR($B311))</f>
        <v/>
      </c>
      <c r="AB311" s="24">
        <f>IF($B311="","",ISOWEEKNUM($B311))</f>
        <v/>
      </c>
      <c r="AC311" s="17">
        <f>IF($B311="","",CHOOSE(WEEKDAY($B311,2),"Segunda","Terça","Quarta","Quinta","Sexta","Sábado","Domingo"))</f>
        <v/>
      </c>
      <c r="AD311" s="17">
        <f>IF($B311="","",TEXT($B311,"MM/AAAA"))</f>
        <v/>
      </c>
      <c r="AE311" s="18">
        <f>IF(COUNTA($B311:$R311)=0,"",IF($X311="Cancelado",0,ROUND(N($Q311)+N($S311)+N($T311)-N($U311),2)))</f>
        <v/>
      </c>
      <c r="AF311" s="9">
        <f>IF($G311="","",IFERROR(INDEX(LINHAS_DRE_PLANO,MATCH($G311,SUBCATEGORIAS_PLANO,0)),"Não classificado"))</f>
        <v/>
      </c>
      <c r="AG311" s="17">
        <f>IF($G311="","",IFERROR(INDEX(TIPOS_FLUXO_PLANO,MATCH($G311,SUBCATEGORIAS_PLANO,0)),"Não classificado"))</f>
        <v/>
      </c>
      <c r="AH311" s="9">
        <f>IF($G311="","",IFERROR(INDEX(GRUPOS_PLANO,MATCH($G311,SUBCATEGORIAS_PLANO,0)),"Não classificado"))</f>
        <v/>
      </c>
      <c r="AI311" s="24">
        <f>IF(OR($C311="",$X311="Pago",$X311="Recebido",$X311="Cancelado"),"",$C311-TODAY())</f>
        <v/>
      </c>
      <c r="AJ311" s="24">
        <f>IF(OR($C311="",$X311="Pago",$X311="Recebido",$X311="Cancelado"),0,MAX(0,TODAY()-$C311))</f>
        <v/>
      </c>
      <c r="AK311" s="24">
        <f>IF($D311="","",$D311-$B311)</f>
        <v/>
      </c>
      <c r="AL311" s="18">
        <f>IF(OR($D311="",$B311=""),"",ROUND(N($R311)*($D311-$B311),2))</f>
        <v/>
      </c>
      <c r="AM311" s="17">
        <f>IF(AND($E311="Saída",$W311&gt;0,$C311&lt;&gt;""),$C311+ROW()/1000000,"")</f>
        <v/>
      </c>
      <c r="AN311" s="17">
        <f>IF(AND($E311="Entrada",$W311&gt;0,$C311&lt;&gt;""),$C311+ROW()/1000000,"")</f>
        <v/>
      </c>
      <c r="AO311" s="9">
        <f>IF(COUNTA($B311:$R311)=0,"",IF(AND($I311&lt;&gt;"",COUNTIF(CLIENTES_NOMES,$I311)+COUNTIF(CLIENTES_FANTASIA,$I311)+COUNTIF(FORNECEDORES_NOMES,$I311)+COUNTIF(FORNECEDORES_FANTASIA,$I311)=0),"⚠ Cliente/Fornecedor não cadastrado",IF(AND($G311&lt;&gt;"",COUNTIF(SUBCATEGORIAS_PLANO,$G311)=0),"⚠ Subcategoria fora do plano de contas",IF(OR($Q311="",N($Q311)=0),"⚠ Valor previsto não informado",IF(AND(OR($X311="Pago",$X311="Recebido"),$D311=""),"⚠ Status pago/recebido sem data",IF(AND($D311&lt;&gt;"",N($R311)=0),"⚠ Data de pagamento sem valor realizado",IF(AND(N($P311)&gt;1,N($O311)&gt;N($P311)),"⚠ Nº da parcela maior que o total",IF(AND($C311&lt;&gt;"",$B311&lt;&gt;"",$C311&lt;$B311),"⚠ Vencimento anterior à competência","OK"))))))))</f>
        <v/>
      </c>
    </row>
    <row r="312">
      <c r="A312" s="14" t="inlineStr">
        <is>
          <t>L0307</t>
        </is>
      </c>
      <c r="B312" s="36" t="n">
        <v>46215</v>
      </c>
      <c r="C312" s="36" t="n">
        <v>46225</v>
      </c>
      <c r="D312" s="36" t="n">
        <v>46225</v>
      </c>
      <c r="E312" s="14" t="inlineStr">
        <is>
          <t>Saída</t>
        </is>
      </c>
      <c r="F312" s="29" t="inlineStr">
        <is>
          <t>Despesas Administrativas</t>
        </is>
      </c>
      <c r="G312" s="29" t="inlineStr">
        <is>
          <t>Energia Elétrica</t>
        </is>
      </c>
      <c r="H312" s="29" t="inlineStr">
        <is>
          <t>Administrativo</t>
        </is>
      </c>
      <c r="I312" s="29" t="inlineStr">
        <is>
          <t>ENEL DISTRIBUIÇÃO SÃO PAULO</t>
        </is>
      </c>
      <c r="J312" s="29" t="inlineStr">
        <is>
          <t>Energia elétrica — fatura 07/2026</t>
        </is>
      </c>
      <c r="K312" s="14" t="inlineStr">
        <is>
          <t>DOC 8365</t>
        </is>
      </c>
      <c r="L312" s="29" t="inlineStr">
        <is>
          <t>Itaú Unibanco — C/C 45678-9</t>
        </is>
      </c>
      <c r="M312" s="14" t="inlineStr">
        <is>
          <t>Débito automático</t>
        </is>
      </c>
      <c r="N312" s="29" t="n"/>
      <c r="O312" s="13" t="n">
        <v>1</v>
      </c>
      <c r="P312" s="13" t="n">
        <v>1</v>
      </c>
      <c r="Q312" s="35" t="n">
        <v>2742.6</v>
      </c>
      <c r="R312" s="35" t="n">
        <v>2742.6</v>
      </c>
      <c r="S312" s="35" t="n"/>
      <c r="T312" s="35" t="n"/>
      <c r="U312" s="35" t="n"/>
      <c r="V312" s="18">
        <f>IF(COUNTA($B312:$R312)=0,"",ROUND(N($R312)+N($S312)+N($T312)-N($U312),2))</f>
        <v/>
      </c>
      <c r="W312" s="18">
        <f>IF(COUNTA($B312:$R312)=0,"",IF(OR($X312="Pago",$X312="Recebido",$X312="Cancelado"),0,ROUND(N($Q312)+N($S312)+N($T312)-N($U312)-N($R312),2)))</f>
        <v/>
      </c>
      <c r="X312" s="14" t="inlineStr">
        <is>
          <t>Pago</t>
        </is>
      </c>
      <c r="Y312" s="17">
        <f>IF(COUNTA($B312:$R312)=0,"",IF($X312="Cancelado","Cancelado",IF(OR($X312="Pago",$X312="Recebido"),$X312,IF(OR($X312="Parcial",N($R312)&gt;0),"Parcial",IF($C312="","Sem vencimento",IF($C312&lt;TODAY(),"Vencido",IF($C312=TODAY(),"Vence hoje",IF($C312&lt;=TODAY()+7,"Vence em 7 dias",IF($C312&lt;=TODAY()+30,"Vence em 30 dias","Futuro")))))))))</f>
        <v/>
      </c>
      <c r="Z312" s="24">
        <f>IF($B312="","",MONTH($B312))</f>
        <v/>
      </c>
      <c r="AA312" s="24">
        <f>IF($B312="","",YEAR($B312))</f>
        <v/>
      </c>
      <c r="AB312" s="24">
        <f>IF($B312="","",ISOWEEKNUM($B312))</f>
        <v/>
      </c>
      <c r="AC312" s="17">
        <f>IF($B312="","",CHOOSE(WEEKDAY($B312,2),"Segunda","Terça","Quarta","Quinta","Sexta","Sábado","Domingo"))</f>
        <v/>
      </c>
      <c r="AD312" s="17">
        <f>IF($B312="","",TEXT($B312,"MM/AAAA"))</f>
        <v/>
      </c>
      <c r="AE312" s="18">
        <f>IF(COUNTA($B312:$R312)=0,"",IF($X312="Cancelado",0,ROUND(N($Q312)+N($S312)+N($T312)-N($U312),2)))</f>
        <v/>
      </c>
      <c r="AF312" s="9">
        <f>IF($G312="","",IFERROR(INDEX(LINHAS_DRE_PLANO,MATCH($G312,SUBCATEGORIAS_PLANO,0)),"Não classificado"))</f>
        <v/>
      </c>
      <c r="AG312" s="17">
        <f>IF($G312="","",IFERROR(INDEX(TIPOS_FLUXO_PLANO,MATCH($G312,SUBCATEGORIAS_PLANO,0)),"Não classificado"))</f>
        <v/>
      </c>
      <c r="AH312" s="9">
        <f>IF($G312="","",IFERROR(INDEX(GRUPOS_PLANO,MATCH($G312,SUBCATEGORIAS_PLANO,0)),"Não classificado"))</f>
        <v/>
      </c>
      <c r="AI312" s="24">
        <f>IF(OR($C312="",$X312="Pago",$X312="Recebido",$X312="Cancelado"),"",$C312-TODAY())</f>
        <v/>
      </c>
      <c r="AJ312" s="24">
        <f>IF(OR($C312="",$X312="Pago",$X312="Recebido",$X312="Cancelado"),0,MAX(0,TODAY()-$C312))</f>
        <v/>
      </c>
      <c r="AK312" s="24">
        <f>IF($D312="","",$D312-$B312)</f>
        <v/>
      </c>
      <c r="AL312" s="18">
        <f>IF(OR($D312="",$B312=""),"",ROUND(N($R312)*($D312-$B312),2))</f>
        <v/>
      </c>
      <c r="AM312" s="17">
        <f>IF(AND($E312="Saída",$W312&gt;0,$C312&lt;&gt;""),$C312+ROW()/1000000,"")</f>
        <v/>
      </c>
      <c r="AN312" s="17">
        <f>IF(AND($E312="Entrada",$W312&gt;0,$C312&lt;&gt;""),$C312+ROW()/1000000,"")</f>
        <v/>
      </c>
      <c r="AO312" s="9">
        <f>IF(COUNTA($B312:$R312)=0,"",IF(AND($I312&lt;&gt;"",COUNTIF(CLIENTES_NOMES,$I312)+COUNTIF(CLIENTES_FANTASIA,$I312)+COUNTIF(FORNECEDORES_NOMES,$I312)+COUNTIF(FORNECEDORES_FANTASIA,$I312)=0),"⚠ Cliente/Fornecedor não cadastrado",IF(AND($G312&lt;&gt;"",COUNTIF(SUBCATEGORIAS_PLANO,$G312)=0),"⚠ Subcategoria fora do plano de contas",IF(OR($Q312="",N($Q312)=0),"⚠ Valor previsto não informado",IF(AND(OR($X312="Pago",$X312="Recebido"),$D312=""),"⚠ Status pago/recebido sem data",IF(AND($D312&lt;&gt;"",N($R312)=0),"⚠ Data de pagamento sem valor realizado",IF(AND(N($P312)&gt;1,N($O312)&gt;N($P312)),"⚠ Nº da parcela maior que o total",IF(AND($C312&lt;&gt;"",$B312&lt;&gt;"",$C312&lt;$B312),"⚠ Vencimento anterior à competência","OK"))))))))</f>
        <v/>
      </c>
    </row>
    <row r="313">
      <c r="A313" s="14" t="inlineStr">
        <is>
          <t>L0308</t>
        </is>
      </c>
      <c r="B313" s="36" t="n">
        <v>46217</v>
      </c>
      <c r="C313" s="36" t="n">
        <v>46217</v>
      </c>
      <c r="D313" s="36" t="n">
        <v>46217</v>
      </c>
      <c r="E313" s="14" t="inlineStr">
        <is>
          <t>Saída</t>
        </is>
      </c>
      <c r="F313" s="29" t="inlineStr">
        <is>
          <t>Devoluções e Cancelamentos</t>
        </is>
      </c>
      <c r="G313" s="29" t="inlineStr">
        <is>
          <t>Devoluções e Cancelamentos de Vendas</t>
        </is>
      </c>
      <c r="H313" s="29" t="inlineStr">
        <is>
          <t>Comercial</t>
        </is>
      </c>
      <c r="I313" s="29" t="inlineStr">
        <is>
          <t>RESTAURANTE SABOR CASEIRO LTDA</t>
        </is>
      </c>
      <c r="J313" s="29" t="inlineStr">
        <is>
          <t>Devolução de mercadorias — avaria no transporte</t>
        </is>
      </c>
      <c r="K313" s="14" t="inlineStr">
        <is>
          <t>DEV-07</t>
        </is>
      </c>
      <c r="L313" s="29" t="inlineStr">
        <is>
          <t>Itaú Unibanco — C/C 45678-9</t>
        </is>
      </c>
      <c r="M313" s="14" t="inlineStr">
        <is>
          <t>PIX</t>
        </is>
      </c>
      <c r="N313" s="29" t="n"/>
      <c r="O313" s="13" t="n">
        <v>1</v>
      </c>
      <c r="P313" s="13" t="n">
        <v>1</v>
      </c>
      <c r="Q313" s="35" t="n">
        <v>2340</v>
      </c>
      <c r="R313" s="35" t="n">
        <v>2340</v>
      </c>
      <c r="S313" s="35" t="n"/>
      <c r="T313" s="35" t="n"/>
      <c r="U313" s="35" t="n"/>
      <c r="V313" s="18">
        <f>IF(COUNTA($B313:$R313)=0,"",ROUND(N($R313)+N($S313)+N($T313)-N($U313),2))</f>
        <v/>
      </c>
      <c r="W313" s="18">
        <f>IF(COUNTA($B313:$R313)=0,"",IF(OR($X313="Pago",$X313="Recebido",$X313="Cancelado"),0,ROUND(N($Q313)+N($S313)+N($T313)-N($U313)-N($R313),2)))</f>
        <v/>
      </c>
      <c r="X313" s="14" t="inlineStr">
        <is>
          <t>Pago</t>
        </is>
      </c>
      <c r="Y313" s="17">
        <f>IF(COUNTA($B313:$R313)=0,"",IF($X313="Cancelado","Cancelado",IF(OR($X313="Pago",$X313="Recebido"),$X313,IF(OR($X313="Parcial",N($R313)&gt;0),"Parcial",IF($C313="","Sem vencimento",IF($C313&lt;TODAY(),"Vencido",IF($C313=TODAY(),"Vence hoje",IF($C313&lt;=TODAY()+7,"Vence em 7 dias",IF($C313&lt;=TODAY()+30,"Vence em 30 dias","Futuro")))))))))</f>
        <v/>
      </c>
      <c r="Z313" s="24">
        <f>IF($B313="","",MONTH($B313))</f>
        <v/>
      </c>
      <c r="AA313" s="24">
        <f>IF($B313="","",YEAR($B313))</f>
        <v/>
      </c>
      <c r="AB313" s="24">
        <f>IF($B313="","",ISOWEEKNUM($B313))</f>
        <v/>
      </c>
      <c r="AC313" s="17">
        <f>IF($B313="","",CHOOSE(WEEKDAY($B313,2),"Segunda","Terça","Quarta","Quinta","Sexta","Sábado","Domingo"))</f>
        <v/>
      </c>
      <c r="AD313" s="17">
        <f>IF($B313="","",TEXT($B313,"MM/AAAA"))</f>
        <v/>
      </c>
      <c r="AE313" s="18">
        <f>IF(COUNTA($B313:$R313)=0,"",IF($X313="Cancelado",0,ROUND(N($Q313)+N($S313)+N($T313)-N($U313),2)))</f>
        <v/>
      </c>
      <c r="AF313" s="9">
        <f>IF($G313="","",IFERROR(INDEX(LINHAS_DRE_PLANO,MATCH($G313,SUBCATEGORIAS_PLANO,0)),"Não classificado"))</f>
        <v/>
      </c>
      <c r="AG313" s="17">
        <f>IF($G313="","",IFERROR(INDEX(TIPOS_FLUXO_PLANO,MATCH($G313,SUBCATEGORIAS_PLANO,0)),"Não classificado"))</f>
        <v/>
      </c>
      <c r="AH313" s="9">
        <f>IF($G313="","",IFERROR(INDEX(GRUPOS_PLANO,MATCH($G313,SUBCATEGORIAS_PLANO,0)),"Não classificado"))</f>
        <v/>
      </c>
      <c r="AI313" s="24">
        <f>IF(OR($C313="",$X313="Pago",$X313="Recebido",$X313="Cancelado"),"",$C313-TODAY())</f>
        <v/>
      </c>
      <c r="AJ313" s="24">
        <f>IF(OR($C313="",$X313="Pago",$X313="Recebido",$X313="Cancelado"),0,MAX(0,TODAY()-$C313))</f>
        <v/>
      </c>
      <c r="AK313" s="24">
        <f>IF($D313="","",$D313-$B313)</f>
        <v/>
      </c>
      <c r="AL313" s="18">
        <f>IF(OR($D313="",$B313=""),"",ROUND(N($R313)*($D313-$B313),2))</f>
        <v/>
      </c>
      <c r="AM313" s="17">
        <f>IF(AND($E313="Saída",$W313&gt;0,$C313&lt;&gt;""),$C313+ROW()/1000000,"")</f>
        <v/>
      </c>
      <c r="AN313" s="17">
        <f>IF(AND($E313="Entrada",$W313&gt;0,$C313&lt;&gt;""),$C313+ROW()/1000000,"")</f>
        <v/>
      </c>
      <c r="AO313" s="9">
        <f>IF(COUNTA($B313:$R313)=0,"",IF(AND($I313&lt;&gt;"",COUNTIF(CLIENTES_NOMES,$I313)+COUNTIF(CLIENTES_FANTASIA,$I313)+COUNTIF(FORNECEDORES_NOMES,$I313)+COUNTIF(FORNECEDORES_FANTASIA,$I313)=0),"⚠ Cliente/Fornecedor não cadastrado",IF(AND($G313&lt;&gt;"",COUNTIF(SUBCATEGORIAS_PLANO,$G313)=0),"⚠ Subcategoria fora do plano de contas",IF(OR($Q313="",N($Q313)=0),"⚠ Valor previsto não informado",IF(AND(OR($X313="Pago",$X313="Recebido"),$D313=""),"⚠ Status pago/recebido sem data",IF(AND($D313&lt;&gt;"",N($R313)=0),"⚠ Data de pagamento sem valor realizado",IF(AND(N($P313)&gt;1,N($O313)&gt;N($P313)),"⚠ Nº da parcela maior que o total",IF(AND($C313&lt;&gt;"",$B313&lt;&gt;"",$C313&lt;$B313),"⚠ Vencimento anterior à competência","OK"))))))))</f>
        <v/>
      </c>
    </row>
    <row r="314">
      <c r="A314" s="14" t="inlineStr">
        <is>
          <t>L0309</t>
        </is>
      </c>
      <c r="B314" s="36" t="n">
        <v>46218</v>
      </c>
      <c r="C314" s="36" t="n">
        <v>46230</v>
      </c>
      <c r="D314" s="36" t="n">
        <v>46232</v>
      </c>
      <c r="E314" s="14" t="inlineStr">
        <is>
          <t>Saída</t>
        </is>
      </c>
      <c r="F314" s="29" t="inlineStr">
        <is>
          <t>Despesas Administrativas</t>
        </is>
      </c>
      <c r="G314" s="29" t="inlineStr">
        <is>
          <t>Água e Saneamento</t>
        </is>
      </c>
      <c r="H314" s="29" t="inlineStr">
        <is>
          <t>Administrativo</t>
        </is>
      </c>
      <c r="I314" s="29" t="inlineStr">
        <is>
          <t>SABESP — SANEAMENTO BÁSICO DO ESTADO DE SÃO PAULO</t>
        </is>
      </c>
      <c r="J314" s="29" t="inlineStr">
        <is>
          <t>Água e saneamento — fatura 07/2026</t>
        </is>
      </c>
      <c r="K314" s="14" t="inlineStr">
        <is>
          <t>DOC 8366</t>
        </is>
      </c>
      <c r="L314" s="29" t="inlineStr">
        <is>
          <t>Itaú Unibanco — C/C 45678-9</t>
        </is>
      </c>
      <c r="M314" s="14" t="inlineStr">
        <is>
          <t>Débito automático</t>
        </is>
      </c>
      <c r="N314" s="29" t="n"/>
      <c r="O314" s="13" t="n">
        <v>1</v>
      </c>
      <c r="P314" s="13" t="n">
        <v>1</v>
      </c>
      <c r="Q314" s="35" t="n">
        <v>472.8</v>
      </c>
      <c r="R314" s="35" t="n">
        <v>472.8</v>
      </c>
      <c r="S314" s="35" t="n"/>
      <c r="T314" s="35" t="n"/>
      <c r="U314" s="35" t="n"/>
      <c r="V314" s="18">
        <f>IF(COUNTA($B314:$R314)=0,"",ROUND(N($R314)+N($S314)+N($T314)-N($U314),2))</f>
        <v/>
      </c>
      <c r="W314" s="18">
        <f>IF(COUNTA($B314:$R314)=0,"",IF(OR($X314="Pago",$X314="Recebido",$X314="Cancelado"),0,ROUND(N($Q314)+N($S314)+N($T314)-N($U314)-N($R314),2)))</f>
        <v/>
      </c>
      <c r="X314" s="14" t="inlineStr">
        <is>
          <t>Pago</t>
        </is>
      </c>
      <c r="Y314" s="17">
        <f>IF(COUNTA($B314:$R314)=0,"",IF($X314="Cancelado","Cancelado",IF(OR($X314="Pago",$X314="Recebido"),$X314,IF(OR($X314="Parcial",N($R314)&gt;0),"Parcial",IF($C314="","Sem vencimento",IF($C314&lt;TODAY(),"Vencido",IF($C314=TODAY(),"Vence hoje",IF($C314&lt;=TODAY()+7,"Vence em 7 dias",IF($C314&lt;=TODAY()+30,"Vence em 30 dias","Futuro")))))))))</f>
        <v/>
      </c>
      <c r="Z314" s="24">
        <f>IF($B314="","",MONTH($B314))</f>
        <v/>
      </c>
      <c r="AA314" s="24">
        <f>IF($B314="","",YEAR($B314))</f>
        <v/>
      </c>
      <c r="AB314" s="24">
        <f>IF($B314="","",ISOWEEKNUM($B314))</f>
        <v/>
      </c>
      <c r="AC314" s="17">
        <f>IF($B314="","",CHOOSE(WEEKDAY($B314,2),"Segunda","Terça","Quarta","Quinta","Sexta","Sábado","Domingo"))</f>
        <v/>
      </c>
      <c r="AD314" s="17">
        <f>IF($B314="","",TEXT($B314,"MM/AAAA"))</f>
        <v/>
      </c>
      <c r="AE314" s="18">
        <f>IF(COUNTA($B314:$R314)=0,"",IF($X314="Cancelado",0,ROUND(N($Q314)+N($S314)+N($T314)-N($U314),2)))</f>
        <v/>
      </c>
      <c r="AF314" s="9">
        <f>IF($G314="","",IFERROR(INDEX(LINHAS_DRE_PLANO,MATCH($G314,SUBCATEGORIAS_PLANO,0)),"Não classificado"))</f>
        <v/>
      </c>
      <c r="AG314" s="17">
        <f>IF($G314="","",IFERROR(INDEX(TIPOS_FLUXO_PLANO,MATCH($G314,SUBCATEGORIAS_PLANO,0)),"Não classificado"))</f>
        <v/>
      </c>
      <c r="AH314" s="9">
        <f>IF($G314="","",IFERROR(INDEX(GRUPOS_PLANO,MATCH($G314,SUBCATEGORIAS_PLANO,0)),"Não classificado"))</f>
        <v/>
      </c>
      <c r="AI314" s="24">
        <f>IF(OR($C314="",$X314="Pago",$X314="Recebido",$X314="Cancelado"),"",$C314-TODAY())</f>
        <v/>
      </c>
      <c r="AJ314" s="24">
        <f>IF(OR($C314="",$X314="Pago",$X314="Recebido",$X314="Cancelado"),0,MAX(0,TODAY()-$C314))</f>
        <v/>
      </c>
      <c r="AK314" s="24">
        <f>IF($D314="","",$D314-$B314)</f>
        <v/>
      </c>
      <c r="AL314" s="18">
        <f>IF(OR($D314="",$B314=""),"",ROUND(N($R314)*($D314-$B314),2))</f>
        <v/>
      </c>
      <c r="AM314" s="17">
        <f>IF(AND($E314="Saída",$W314&gt;0,$C314&lt;&gt;""),$C314+ROW()/1000000,"")</f>
        <v/>
      </c>
      <c r="AN314" s="17">
        <f>IF(AND($E314="Entrada",$W314&gt;0,$C314&lt;&gt;""),$C314+ROW()/1000000,"")</f>
        <v/>
      </c>
      <c r="AO314" s="9">
        <f>IF(COUNTA($B314:$R314)=0,"",IF(AND($I314&lt;&gt;"",COUNTIF(CLIENTES_NOMES,$I314)+COUNTIF(CLIENTES_FANTASIA,$I314)+COUNTIF(FORNECEDORES_NOMES,$I314)+COUNTIF(FORNECEDORES_FANTASIA,$I314)=0),"⚠ Cliente/Fornecedor não cadastrado",IF(AND($G314&lt;&gt;"",COUNTIF(SUBCATEGORIAS_PLANO,$G314)=0),"⚠ Subcategoria fora do plano de contas",IF(OR($Q314="",N($Q314)=0),"⚠ Valor previsto não informado",IF(AND(OR($X314="Pago",$X314="Recebido"),$D314=""),"⚠ Status pago/recebido sem data",IF(AND($D314&lt;&gt;"",N($R314)=0),"⚠ Data de pagamento sem valor realizado",IF(AND(N($P314)&gt;1,N($O314)&gt;N($P314)),"⚠ Nº da parcela maior que o total",IF(AND($C314&lt;&gt;"",$B314&lt;&gt;"",$C314&lt;$B314),"⚠ Vencimento anterior à competência","OK"))))))))</f>
        <v/>
      </c>
    </row>
    <row r="315">
      <c r="A315" s="14" t="inlineStr">
        <is>
          <t>L0310</t>
        </is>
      </c>
      <c r="B315" s="36" t="n">
        <v>46218</v>
      </c>
      <c r="C315" s="36" t="n">
        <v>46228</v>
      </c>
      <c r="D315" s="36" t="n">
        <v>46230</v>
      </c>
      <c r="E315" s="14" t="inlineStr">
        <is>
          <t>Saída</t>
        </is>
      </c>
      <c r="F315" s="29" t="inlineStr">
        <is>
          <t>Despesas com Pessoal</t>
        </is>
      </c>
      <c r="G315" s="29" t="inlineStr">
        <is>
          <t>Serviços Terceirizados (PJ)</t>
        </is>
      </c>
      <c r="H315" s="29" t="inlineStr">
        <is>
          <t>Produção</t>
        </is>
      </c>
      <c r="I315" s="29" t="inlineStr">
        <is>
          <t>APOIO OPERACIONAL SERVIÇOS LTDA</t>
        </is>
      </c>
      <c r="J315" s="29" t="inlineStr">
        <is>
          <t>Equipe terceirizada de separação e expedição</t>
        </is>
      </c>
      <c r="K315" s="14" t="inlineStr">
        <is>
          <t>DOC 8376</t>
        </is>
      </c>
      <c r="L315" s="29" t="inlineStr">
        <is>
          <t>Banco do Brasil — C/C 12345-6</t>
        </is>
      </c>
      <c r="M315" s="14" t="inlineStr">
        <is>
          <t>PIX</t>
        </is>
      </c>
      <c r="N315" s="29" t="n"/>
      <c r="O315" s="13" t="n">
        <v>1</v>
      </c>
      <c r="P315" s="13" t="n">
        <v>1</v>
      </c>
      <c r="Q315" s="35" t="n">
        <v>1800</v>
      </c>
      <c r="R315" s="35" t="n">
        <v>1800</v>
      </c>
      <c r="S315" s="35" t="n"/>
      <c r="T315" s="35" t="n"/>
      <c r="U315" s="35" t="n"/>
      <c r="V315" s="18">
        <f>IF(COUNTA($B315:$R315)=0,"",ROUND(N($R315)+N($S315)+N($T315)-N($U315),2))</f>
        <v/>
      </c>
      <c r="W315" s="18">
        <f>IF(COUNTA($B315:$R315)=0,"",IF(OR($X315="Pago",$X315="Recebido",$X315="Cancelado"),0,ROUND(N($Q315)+N($S315)+N($T315)-N($U315)-N($R315),2)))</f>
        <v/>
      </c>
      <c r="X315" s="14" t="inlineStr">
        <is>
          <t>Pago</t>
        </is>
      </c>
      <c r="Y315" s="17">
        <f>IF(COUNTA($B315:$R315)=0,"",IF($X315="Cancelado","Cancelado",IF(OR($X315="Pago",$X315="Recebido"),$X315,IF(OR($X315="Parcial",N($R315)&gt;0),"Parcial",IF($C315="","Sem vencimento",IF($C315&lt;TODAY(),"Vencido",IF($C315=TODAY(),"Vence hoje",IF($C315&lt;=TODAY()+7,"Vence em 7 dias",IF($C315&lt;=TODAY()+30,"Vence em 30 dias","Futuro")))))))))</f>
        <v/>
      </c>
      <c r="Z315" s="24">
        <f>IF($B315="","",MONTH($B315))</f>
        <v/>
      </c>
      <c r="AA315" s="24">
        <f>IF($B315="","",YEAR($B315))</f>
        <v/>
      </c>
      <c r="AB315" s="24">
        <f>IF($B315="","",ISOWEEKNUM($B315))</f>
        <v/>
      </c>
      <c r="AC315" s="17">
        <f>IF($B315="","",CHOOSE(WEEKDAY($B315,2),"Segunda","Terça","Quarta","Quinta","Sexta","Sábado","Domingo"))</f>
        <v/>
      </c>
      <c r="AD315" s="17">
        <f>IF($B315="","",TEXT($B315,"MM/AAAA"))</f>
        <v/>
      </c>
      <c r="AE315" s="18">
        <f>IF(COUNTA($B315:$R315)=0,"",IF($X315="Cancelado",0,ROUND(N($Q315)+N($S315)+N($T315)-N($U315),2)))</f>
        <v/>
      </c>
      <c r="AF315" s="9">
        <f>IF($G315="","",IFERROR(INDEX(LINHAS_DRE_PLANO,MATCH($G315,SUBCATEGORIAS_PLANO,0)),"Não classificado"))</f>
        <v/>
      </c>
      <c r="AG315" s="17">
        <f>IF($G315="","",IFERROR(INDEX(TIPOS_FLUXO_PLANO,MATCH($G315,SUBCATEGORIAS_PLANO,0)),"Não classificado"))</f>
        <v/>
      </c>
      <c r="AH315" s="9">
        <f>IF($G315="","",IFERROR(INDEX(GRUPOS_PLANO,MATCH($G315,SUBCATEGORIAS_PLANO,0)),"Não classificado"))</f>
        <v/>
      </c>
      <c r="AI315" s="24">
        <f>IF(OR($C315="",$X315="Pago",$X315="Recebido",$X315="Cancelado"),"",$C315-TODAY())</f>
        <v/>
      </c>
      <c r="AJ315" s="24">
        <f>IF(OR($C315="",$X315="Pago",$X315="Recebido",$X315="Cancelado"),0,MAX(0,TODAY()-$C315))</f>
        <v/>
      </c>
      <c r="AK315" s="24">
        <f>IF($D315="","",$D315-$B315)</f>
        <v/>
      </c>
      <c r="AL315" s="18">
        <f>IF(OR($D315="",$B315=""),"",ROUND(N($R315)*($D315-$B315),2))</f>
        <v/>
      </c>
      <c r="AM315" s="17">
        <f>IF(AND($E315="Saída",$W315&gt;0,$C315&lt;&gt;""),$C315+ROW()/1000000,"")</f>
        <v/>
      </c>
      <c r="AN315" s="17">
        <f>IF(AND($E315="Entrada",$W315&gt;0,$C315&lt;&gt;""),$C315+ROW()/1000000,"")</f>
        <v/>
      </c>
      <c r="AO315" s="9">
        <f>IF(COUNTA($B315:$R315)=0,"",IF(AND($I315&lt;&gt;"",COUNTIF(CLIENTES_NOMES,$I315)+COUNTIF(CLIENTES_FANTASIA,$I315)+COUNTIF(FORNECEDORES_NOMES,$I315)+COUNTIF(FORNECEDORES_FANTASIA,$I315)=0),"⚠ Cliente/Fornecedor não cadastrado",IF(AND($G315&lt;&gt;"",COUNTIF(SUBCATEGORIAS_PLANO,$G315)=0),"⚠ Subcategoria fora do plano de contas",IF(OR($Q315="",N($Q315)=0),"⚠ Valor previsto não informado",IF(AND(OR($X315="Pago",$X315="Recebido"),$D315=""),"⚠ Status pago/recebido sem data",IF(AND($D315&lt;&gt;"",N($R315)=0),"⚠ Data de pagamento sem valor realizado",IF(AND(N($P315)&gt;1,N($O315)&gt;N($P315)),"⚠ Nº da parcela maior que o total",IF(AND($C315&lt;&gt;"",$B315&lt;&gt;"",$C315&lt;$B315),"⚠ Vencimento anterior à competência","OK"))))))))</f>
        <v/>
      </c>
    </row>
    <row r="316">
      <c r="A316" s="14" t="inlineStr">
        <is>
          <t>L0311</t>
        </is>
      </c>
      <c r="B316" s="36" t="n">
        <v>46218</v>
      </c>
      <c r="C316" s="36" t="n">
        <v>46218</v>
      </c>
      <c r="D316" s="36" t="n">
        <v>46218</v>
      </c>
      <c r="E316" s="14" t="inlineStr">
        <is>
          <t>Saída</t>
        </is>
      </c>
      <c r="F316" s="29" t="inlineStr">
        <is>
          <t>Empréstimos e Financiamentos</t>
        </is>
      </c>
      <c r="G316" s="29" t="inlineStr">
        <is>
          <t>Pagamento de Principal de Empréstimos</t>
        </is>
      </c>
      <c r="H316" s="29" t="inlineStr">
        <is>
          <t>Financeiro</t>
        </is>
      </c>
      <c r="I316" s="29" t="inlineStr">
        <is>
          <t>BNDES / Banco do Brasil</t>
        </is>
      </c>
      <c r="J316" s="29" t="inlineStr">
        <is>
          <t>Financiamento de Máquinas — parcela 5/36 (principal)</t>
        </is>
      </c>
      <c r="K316" s="14" t="inlineStr">
        <is>
          <t>FIN-2026-1198-P05</t>
        </is>
      </c>
      <c r="L316" s="29" t="inlineStr">
        <is>
          <t>Banco do Brasil — C/C 12345-6</t>
        </is>
      </c>
      <c r="M316" s="14" t="inlineStr">
        <is>
          <t>Débito automático</t>
        </is>
      </c>
      <c r="N316" s="29" t="n"/>
      <c r="O316" s="13" t="n">
        <v>5</v>
      </c>
      <c r="P316" s="13" t="n">
        <v>36</v>
      </c>
      <c r="Q316" s="35" t="n">
        <v>3333.33</v>
      </c>
      <c r="R316" s="35" t="n">
        <v>3333.33</v>
      </c>
      <c r="S316" s="35" t="n"/>
      <c r="T316" s="35" t="n"/>
      <c r="U316" s="35" t="n"/>
      <c r="V316" s="18">
        <f>IF(COUNTA($B316:$R316)=0,"",ROUND(N($R316)+N($S316)+N($T316)-N($U316),2))</f>
        <v/>
      </c>
      <c r="W316" s="18">
        <f>IF(COUNTA($B316:$R316)=0,"",IF(OR($X316="Pago",$X316="Recebido",$X316="Cancelado"),0,ROUND(N($Q316)+N($S316)+N($T316)-N($U316)-N($R316),2)))</f>
        <v/>
      </c>
      <c r="X316" s="14" t="inlineStr">
        <is>
          <t>Pago</t>
        </is>
      </c>
      <c r="Y316" s="17">
        <f>IF(COUNTA($B316:$R316)=0,"",IF($X316="Cancelado","Cancelado",IF(OR($X316="Pago",$X316="Recebido"),$X316,IF(OR($X316="Parcial",N($R316)&gt;0),"Parcial",IF($C316="","Sem vencimento",IF($C316&lt;TODAY(),"Vencido",IF($C316=TODAY(),"Vence hoje",IF($C316&lt;=TODAY()+7,"Vence em 7 dias",IF($C316&lt;=TODAY()+30,"Vence em 30 dias","Futuro")))))))))</f>
        <v/>
      </c>
      <c r="Z316" s="24">
        <f>IF($B316="","",MONTH($B316))</f>
        <v/>
      </c>
      <c r="AA316" s="24">
        <f>IF($B316="","",YEAR($B316))</f>
        <v/>
      </c>
      <c r="AB316" s="24">
        <f>IF($B316="","",ISOWEEKNUM($B316))</f>
        <v/>
      </c>
      <c r="AC316" s="17">
        <f>IF($B316="","",CHOOSE(WEEKDAY($B316,2),"Segunda","Terça","Quarta","Quinta","Sexta","Sábado","Domingo"))</f>
        <v/>
      </c>
      <c r="AD316" s="17">
        <f>IF($B316="","",TEXT($B316,"MM/AAAA"))</f>
        <v/>
      </c>
      <c r="AE316" s="18">
        <f>IF(COUNTA($B316:$R316)=0,"",IF($X316="Cancelado",0,ROUND(N($Q316)+N($S316)+N($T316)-N($U316),2)))</f>
        <v/>
      </c>
      <c r="AF316" s="9">
        <f>IF($G316="","",IFERROR(INDEX(LINHAS_DRE_PLANO,MATCH($G316,SUBCATEGORIAS_PLANO,0)),"Não classificado"))</f>
        <v/>
      </c>
      <c r="AG316" s="17">
        <f>IF($G316="","",IFERROR(INDEX(TIPOS_FLUXO_PLANO,MATCH($G316,SUBCATEGORIAS_PLANO,0)),"Não classificado"))</f>
        <v/>
      </c>
      <c r="AH316" s="9">
        <f>IF($G316="","",IFERROR(INDEX(GRUPOS_PLANO,MATCH($G316,SUBCATEGORIAS_PLANO,0)),"Não classificado"))</f>
        <v/>
      </c>
      <c r="AI316" s="24">
        <f>IF(OR($C316="",$X316="Pago",$X316="Recebido",$X316="Cancelado"),"",$C316-TODAY())</f>
        <v/>
      </c>
      <c r="AJ316" s="24">
        <f>IF(OR($C316="",$X316="Pago",$X316="Recebido",$X316="Cancelado"),0,MAX(0,TODAY()-$C316))</f>
        <v/>
      </c>
      <c r="AK316" s="24">
        <f>IF($D316="","",$D316-$B316)</f>
        <v/>
      </c>
      <c r="AL316" s="18">
        <f>IF(OR($D316="",$B316=""),"",ROUND(N($R316)*($D316-$B316),2))</f>
        <v/>
      </c>
      <c r="AM316" s="17">
        <f>IF(AND($E316="Saída",$W316&gt;0,$C316&lt;&gt;""),$C316+ROW()/1000000,"")</f>
        <v/>
      </c>
      <c r="AN316" s="17">
        <f>IF(AND($E316="Entrada",$W316&gt;0,$C316&lt;&gt;""),$C316+ROW()/1000000,"")</f>
        <v/>
      </c>
      <c r="AO316" s="9">
        <f>IF(COUNTA($B316:$R316)=0,"",IF(AND($I316&lt;&gt;"",COUNTIF(CLIENTES_NOMES,$I316)+COUNTIF(CLIENTES_FANTASIA,$I316)+COUNTIF(FORNECEDORES_NOMES,$I316)+COUNTIF(FORNECEDORES_FANTASIA,$I316)=0),"⚠ Cliente/Fornecedor não cadastrado",IF(AND($G316&lt;&gt;"",COUNTIF(SUBCATEGORIAS_PLANO,$G316)=0),"⚠ Subcategoria fora do plano de contas",IF(OR($Q316="",N($Q316)=0),"⚠ Valor previsto não informado",IF(AND(OR($X316="Pago",$X316="Recebido"),$D316=""),"⚠ Status pago/recebido sem data",IF(AND($D316&lt;&gt;"",N($R316)=0),"⚠ Data de pagamento sem valor realizado",IF(AND(N($P316)&gt;1,N($O316)&gt;N($P316)),"⚠ Nº da parcela maior que o total",IF(AND($C316&lt;&gt;"",$B316&lt;&gt;"",$C316&lt;$B316),"⚠ Vencimento anterior à competência","OK"))))))))</f>
        <v/>
      </c>
    </row>
    <row r="317">
      <c r="A317" s="14" t="inlineStr">
        <is>
          <t>L0312</t>
        </is>
      </c>
      <c r="B317" s="36" t="n">
        <v>46218</v>
      </c>
      <c r="C317" s="36" t="n">
        <v>46218</v>
      </c>
      <c r="D317" s="36" t="n">
        <v>46218</v>
      </c>
      <c r="E317" s="14" t="inlineStr">
        <is>
          <t>Saída</t>
        </is>
      </c>
      <c r="F317" s="29" t="inlineStr">
        <is>
          <t>Despesas Financeiras</t>
        </is>
      </c>
      <c r="G317" s="29" t="inlineStr">
        <is>
          <t>Juros de Empréstimos e Financiamentos</t>
        </is>
      </c>
      <c r="H317" s="29" t="inlineStr">
        <is>
          <t>Financeiro</t>
        </is>
      </c>
      <c r="I317" s="29" t="inlineStr">
        <is>
          <t>BNDES / Banco do Brasil</t>
        </is>
      </c>
      <c r="J317" s="29" t="inlineStr">
        <is>
          <t>Financiamento de Máquinas — parcela 5/36 (juros)</t>
        </is>
      </c>
      <c r="K317" s="14" t="inlineStr">
        <is>
          <t>FIN-2026-1198-P05</t>
        </is>
      </c>
      <c r="L317" s="29" t="inlineStr">
        <is>
          <t>Banco do Brasil — C/C 12345-6</t>
        </is>
      </c>
      <c r="M317" s="14" t="inlineStr">
        <is>
          <t>Débito automático</t>
        </is>
      </c>
      <c r="N317" s="29" t="n"/>
      <c r="O317" s="13" t="n">
        <v>5</v>
      </c>
      <c r="P317" s="13" t="n">
        <v>36</v>
      </c>
      <c r="Q317" s="35" t="n">
        <v>1173.33</v>
      </c>
      <c r="R317" s="35" t="n">
        <v>1173.33</v>
      </c>
      <c r="S317" s="35" t="n"/>
      <c r="T317" s="35" t="n"/>
      <c r="U317" s="35" t="n"/>
      <c r="V317" s="18">
        <f>IF(COUNTA($B317:$R317)=0,"",ROUND(N($R317)+N($S317)+N($T317)-N($U317),2))</f>
        <v/>
      </c>
      <c r="W317" s="18">
        <f>IF(COUNTA($B317:$R317)=0,"",IF(OR($X317="Pago",$X317="Recebido",$X317="Cancelado"),0,ROUND(N($Q317)+N($S317)+N($T317)-N($U317)-N($R317),2)))</f>
        <v/>
      </c>
      <c r="X317" s="14" t="inlineStr">
        <is>
          <t>Pago</t>
        </is>
      </c>
      <c r="Y317" s="17">
        <f>IF(COUNTA($B317:$R317)=0,"",IF($X317="Cancelado","Cancelado",IF(OR($X317="Pago",$X317="Recebido"),$X317,IF(OR($X317="Parcial",N($R317)&gt;0),"Parcial",IF($C317="","Sem vencimento",IF($C317&lt;TODAY(),"Vencido",IF($C317=TODAY(),"Vence hoje",IF($C317&lt;=TODAY()+7,"Vence em 7 dias",IF($C317&lt;=TODAY()+30,"Vence em 30 dias","Futuro")))))))))</f>
        <v/>
      </c>
      <c r="Z317" s="24">
        <f>IF($B317="","",MONTH($B317))</f>
        <v/>
      </c>
      <c r="AA317" s="24">
        <f>IF($B317="","",YEAR($B317))</f>
        <v/>
      </c>
      <c r="AB317" s="24">
        <f>IF($B317="","",ISOWEEKNUM($B317))</f>
        <v/>
      </c>
      <c r="AC317" s="17">
        <f>IF($B317="","",CHOOSE(WEEKDAY($B317,2),"Segunda","Terça","Quarta","Quinta","Sexta","Sábado","Domingo"))</f>
        <v/>
      </c>
      <c r="AD317" s="17">
        <f>IF($B317="","",TEXT($B317,"MM/AAAA"))</f>
        <v/>
      </c>
      <c r="AE317" s="18">
        <f>IF(COUNTA($B317:$R317)=0,"",IF($X317="Cancelado",0,ROUND(N($Q317)+N($S317)+N($T317)-N($U317),2)))</f>
        <v/>
      </c>
      <c r="AF317" s="9">
        <f>IF($G317="","",IFERROR(INDEX(LINHAS_DRE_PLANO,MATCH($G317,SUBCATEGORIAS_PLANO,0)),"Não classificado"))</f>
        <v/>
      </c>
      <c r="AG317" s="17">
        <f>IF($G317="","",IFERROR(INDEX(TIPOS_FLUXO_PLANO,MATCH($G317,SUBCATEGORIAS_PLANO,0)),"Não classificado"))</f>
        <v/>
      </c>
      <c r="AH317" s="9">
        <f>IF($G317="","",IFERROR(INDEX(GRUPOS_PLANO,MATCH($G317,SUBCATEGORIAS_PLANO,0)),"Não classificado"))</f>
        <v/>
      </c>
      <c r="AI317" s="24">
        <f>IF(OR($C317="",$X317="Pago",$X317="Recebido",$X317="Cancelado"),"",$C317-TODAY())</f>
        <v/>
      </c>
      <c r="AJ317" s="24">
        <f>IF(OR($C317="",$X317="Pago",$X317="Recebido",$X317="Cancelado"),0,MAX(0,TODAY()-$C317))</f>
        <v/>
      </c>
      <c r="AK317" s="24">
        <f>IF($D317="","",$D317-$B317)</f>
        <v/>
      </c>
      <c r="AL317" s="18">
        <f>IF(OR($D317="",$B317=""),"",ROUND(N($R317)*($D317-$B317),2))</f>
        <v/>
      </c>
      <c r="AM317" s="17">
        <f>IF(AND($E317="Saída",$W317&gt;0,$C317&lt;&gt;""),$C317+ROW()/1000000,"")</f>
        <v/>
      </c>
      <c r="AN317" s="17">
        <f>IF(AND($E317="Entrada",$W317&gt;0,$C317&lt;&gt;""),$C317+ROW()/1000000,"")</f>
        <v/>
      </c>
      <c r="AO317" s="9">
        <f>IF(COUNTA($B317:$R317)=0,"",IF(AND($I317&lt;&gt;"",COUNTIF(CLIENTES_NOMES,$I317)+COUNTIF(CLIENTES_FANTASIA,$I317)+COUNTIF(FORNECEDORES_NOMES,$I317)+COUNTIF(FORNECEDORES_FANTASIA,$I317)=0),"⚠ Cliente/Fornecedor não cadastrado",IF(AND($G317&lt;&gt;"",COUNTIF(SUBCATEGORIAS_PLANO,$G317)=0),"⚠ Subcategoria fora do plano de contas",IF(OR($Q317="",N($Q317)=0),"⚠ Valor previsto não informado",IF(AND(OR($X317="Pago",$X317="Recebido"),$D317=""),"⚠ Status pago/recebido sem data",IF(AND($D317&lt;&gt;"",N($R317)=0),"⚠ Data de pagamento sem valor realizado",IF(AND(N($P317)&gt;1,N($O317)&gt;N($P317)),"⚠ Nº da parcela maior que o total",IF(AND($C317&lt;&gt;"",$B317&lt;&gt;"",$C317&lt;$B317),"⚠ Vencimento anterior à competência","OK"))))))))</f>
        <v/>
      </c>
    </row>
    <row r="318">
      <c r="A318" s="14" t="inlineStr">
        <is>
          <t>L0313</t>
        </is>
      </c>
      <c r="B318" s="36" t="n">
        <v>46219</v>
      </c>
      <c r="C318" s="36" t="n">
        <v>46249</v>
      </c>
      <c r="D318" s="36" t="n">
        <v>46249</v>
      </c>
      <c r="E318" s="14" t="inlineStr">
        <is>
          <t>Saída</t>
        </is>
      </c>
      <c r="F318" s="29" t="inlineStr">
        <is>
          <t>Custos Variáveis</t>
        </is>
      </c>
      <c r="G318" s="29" t="inlineStr">
        <is>
          <t>Mercadorias para Revenda</t>
        </is>
      </c>
      <c r="H318" s="29" t="inlineStr">
        <is>
          <t>Logística</t>
        </is>
      </c>
      <c r="I318" s="29" t="inlineStr">
        <is>
          <t>DISTRIBUIDORA CENTRAL DE ALIMENTOS S/A</t>
        </is>
      </c>
      <c r="J318" s="29" t="inlineStr">
        <is>
          <t>Compra de mercadorias para revenda — NF 5071</t>
        </is>
      </c>
      <c r="K318" s="14" t="inlineStr">
        <is>
          <t>NF 5071</t>
        </is>
      </c>
      <c r="L318" s="29" t="inlineStr">
        <is>
          <t>Banco do Brasil — C/C 12345-6</t>
        </is>
      </c>
      <c r="M318" s="14" t="inlineStr">
        <is>
          <t>Boleto</t>
        </is>
      </c>
      <c r="N318" s="29" t="n"/>
      <c r="O318" s="13" t="n">
        <v>1</v>
      </c>
      <c r="P318" s="13" t="n">
        <v>1</v>
      </c>
      <c r="Q318" s="35" t="n">
        <v>60545.12</v>
      </c>
      <c r="R318" s="35" t="n">
        <v>60545.12</v>
      </c>
      <c r="S318" s="35" t="n"/>
      <c r="T318" s="35" t="n"/>
      <c r="U318" s="35" t="n"/>
      <c r="V318" s="18">
        <f>IF(COUNTA($B318:$R318)=0,"",ROUND(N($R318)+N($S318)+N($T318)-N($U318),2))</f>
        <v/>
      </c>
      <c r="W318" s="18">
        <f>IF(COUNTA($B318:$R318)=0,"",IF(OR($X318="Pago",$X318="Recebido",$X318="Cancelado"),0,ROUND(N($Q318)+N($S318)+N($T318)-N($U318)-N($R318),2)))</f>
        <v/>
      </c>
      <c r="X318" s="14" t="inlineStr">
        <is>
          <t>Pago</t>
        </is>
      </c>
      <c r="Y318" s="17">
        <f>IF(COUNTA($B318:$R318)=0,"",IF($X318="Cancelado","Cancelado",IF(OR($X318="Pago",$X318="Recebido"),$X318,IF(OR($X318="Parcial",N($R318)&gt;0),"Parcial",IF($C318="","Sem vencimento",IF($C318&lt;TODAY(),"Vencido",IF($C318=TODAY(),"Vence hoje",IF($C318&lt;=TODAY()+7,"Vence em 7 dias",IF($C318&lt;=TODAY()+30,"Vence em 30 dias","Futuro")))))))))</f>
        <v/>
      </c>
      <c r="Z318" s="24">
        <f>IF($B318="","",MONTH($B318))</f>
        <v/>
      </c>
      <c r="AA318" s="24">
        <f>IF($B318="","",YEAR($B318))</f>
        <v/>
      </c>
      <c r="AB318" s="24">
        <f>IF($B318="","",ISOWEEKNUM($B318))</f>
        <v/>
      </c>
      <c r="AC318" s="17">
        <f>IF($B318="","",CHOOSE(WEEKDAY($B318,2),"Segunda","Terça","Quarta","Quinta","Sexta","Sábado","Domingo"))</f>
        <v/>
      </c>
      <c r="AD318" s="17">
        <f>IF($B318="","",TEXT($B318,"MM/AAAA"))</f>
        <v/>
      </c>
      <c r="AE318" s="18">
        <f>IF(COUNTA($B318:$R318)=0,"",IF($X318="Cancelado",0,ROUND(N($Q318)+N($S318)+N($T318)-N($U318),2)))</f>
        <v/>
      </c>
      <c r="AF318" s="9">
        <f>IF($G318="","",IFERROR(INDEX(LINHAS_DRE_PLANO,MATCH($G318,SUBCATEGORIAS_PLANO,0)),"Não classificado"))</f>
        <v/>
      </c>
      <c r="AG318" s="17">
        <f>IF($G318="","",IFERROR(INDEX(TIPOS_FLUXO_PLANO,MATCH($G318,SUBCATEGORIAS_PLANO,0)),"Não classificado"))</f>
        <v/>
      </c>
      <c r="AH318" s="9">
        <f>IF($G318="","",IFERROR(INDEX(GRUPOS_PLANO,MATCH($G318,SUBCATEGORIAS_PLANO,0)),"Não classificado"))</f>
        <v/>
      </c>
      <c r="AI318" s="24">
        <f>IF(OR($C318="",$X318="Pago",$X318="Recebido",$X318="Cancelado"),"",$C318-TODAY())</f>
        <v/>
      </c>
      <c r="AJ318" s="24">
        <f>IF(OR($C318="",$X318="Pago",$X318="Recebido",$X318="Cancelado"),0,MAX(0,TODAY()-$C318))</f>
        <v/>
      </c>
      <c r="AK318" s="24">
        <f>IF($D318="","",$D318-$B318)</f>
        <v/>
      </c>
      <c r="AL318" s="18">
        <f>IF(OR($D318="",$B318=""),"",ROUND(N($R318)*($D318-$B318),2))</f>
        <v/>
      </c>
      <c r="AM318" s="17">
        <f>IF(AND($E318="Saída",$W318&gt;0,$C318&lt;&gt;""),$C318+ROW()/1000000,"")</f>
        <v/>
      </c>
      <c r="AN318" s="17">
        <f>IF(AND($E318="Entrada",$W318&gt;0,$C318&lt;&gt;""),$C318+ROW()/1000000,"")</f>
        <v/>
      </c>
      <c r="AO318" s="9">
        <f>IF(COUNTA($B318:$R318)=0,"",IF(AND($I318&lt;&gt;"",COUNTIF(CLIENTES_NOMES,$I318)+COUNTIF(CLIENTES_FANTASIA,$I318)+COUNTIF(FORNECEDORES_NOMES,$I318)+COUNTIF(FORNECEDORES_FANTASIA,$I318)=0),"⚠ Cliente/Fornecedor não cadastrado",IF(AND($G318&lt;&gt;"",COUNTIF(SUBCATEGORIAS_PLANO,$G318)=0),"⚠ Subcategoria fora do plano de contas",IF(OR($Q318="",N($Q318)=0),"⚠ Valor previsto não informado",IF(AND(OR($X318="Pago",$X318="Recebido"),$D318=""),"⚠ Status pago/recebido sem data",IF(AND($D318&lt;&gt;"",N($R318)=0),"⚠ Data de pagamento sem valor realizado",IF(AND(N($P318)&gt;1,N($O318)&gt;N($P318)),"⚠ Nº da parcela maior que o total",IF(AND($C318&lt;&gt;"",$B318&lt;&gt;"",$C318&lt;$B318),"⚠ Vencimento anterior à competência","OK"))))))))</f>
        <v/>
      </c>
    </row>
    <row r="319">
      <c r="A319" s="14" t="inlineStr">
        <is>
          <t>L0314</t>
        </is>
      </c>
      <c r="B319" s="36" t="n">
        <v>46221</v>
      </c>
      <c r="C319" s="36" t="n">
        <v>46221</v>
      </c>
      <c r="D319" s="36" t="n">
        <v>46221</v>
      </c>
      <c r="E319" s="14" t="inlineStr">
        <is>
          <t>Entrada</t>
        </is>
      </c>
      <c r="F319" s="29" t="inlineStr">
        <is>
          <t>Receitas Financeiras</t>
        </is>
      </c>
      <c r="G319" s="29" t="inlineStr">
        <is>
          <t>Juros Recebidos de Clientes</t>
        </is>
      </c>
      <c r="H319" s="29" t="inlineStr">
        <is>
          <t>Financeiro</t>
        </is>
      </c>
      <c r="I319" s="29" t="inlineStr">
        <is>
          <t>RESTAURANTE SABOR CASEIRO LTDA</t>
        </is>
      </c>
      <c r="J319" s="29" t="inlineStr">
        <is>
          <t>Juros e multa por atraso no pagamento do cliente</t>
        </is>
      </c>
      <c r="K319" s="14" t="inlineStr"/>
      <c r="L319" s="29" t="inlineStr">
        <is>
          <t>Itaú Unibanco — C/C 45678-9</t>
        </is>
      </c>
      <c r="M319" s="14" t="inlineStr">
        <is>
          <t>PIX</t>
        </is>
      </c>
      <c r="N319" s="29" t="n"/>
      <c r="O319" s="13" t="n">
        <v>1</v>
      </c>
      <c r="P319" s="13" t="n">
        <v>1</v>
      </c>
      <c r="Q319" s="35" t="n">
        <v>1240</v>
      </c>
      <c r="R319" s="35" t="n">
        <v>1240</v>
      </c>
      <c r="S319" s="35" t="n"/>
      <c r="T319" s="35" t="n"/>
      <c r="U319" s="35" t="n"/>
      <c r="V319" s="18">
        <f>IF(COUNTA($B319:$R319)=0,"",ROUND(N($R319)+N($S319)+N($T319)-N($U319),2))</f>
        <v/>
      </c>
      <c r="W319" s="18">
        <f>IF(COUNTA($B319:$R319)=0,"",IF(OR($X319="Pago",$X319="Recebido",$X319="Cancelado"),0,ROUND(N($Q319)+N($S319)+N($T319)-N($U319)-N($R319),2)))</f>
        <v/>
      </c>
      <c r="X319" s="14" t="inlineStr">
        <is>
          <t>Recebido</t>
        </is>
      </c>
      <c r="Y319" s="17">
        <f>IF(COUNTA($B319:$R319)=0,"",IF($X319="Cancelado","Cancelado",IF(OR($X319="Pago",$X319="Recebido"),$X319,IF(OR($X319="Parcial",N($R319)&gt;0),"Parcial",IF($C319="","Sem vencimento",IF($C319&lt;TODAY(),"Vencido",IF($C319=TODAY(),"Vence hoje",IF($C319&lt;=TODAY()+7,"Vence em 7 dias",IF($C319&lt;=TODAY()+30,"Vence em 30 dias","Futuro")))))))))</f>
        <v/>
      </c>
      <c r="Z319" s="24">
        <f>IF($B319="","",MONTH($B319))</f>
        <v/>
      </c>
      <c r="AA319" s="24">
        <f>IF($B319="","",YEAR($B319))</f>
        <v/>
      </c>
      <c r="AB319" s="24">
        <f>IF($B319="","",ISOWEEKNUM($B319))</f>
        <v/>
      </c>
      <c r="AC319" s="17">
        <f>IF($B319="","",CHOOSE(WEEKDAY($B319,2),"Segunda","Terça","Quarta","Quinta","Sexta","Sábado","Domingo"))</f>
        <v/>
      </c>
      <c r="AD319" s="17">
        <f>IF($B319="","",TEXT($B319,"MM/AAAA"))</f>
        <v/>
      </c>
      <c r="AE319" s="18">
        <f>IF(COUNTA($B319:$R319)=0,"",IF($X319="Cancelado",0,ROUND(N($Q319)+N($S319)+N($T319)-N($U319),2)))</f>
        <v/>
      </c>
      <c r="AF319" s="9">
        <f>IF($G319="","",IFERROR(INDEX(LINHAS_DRE_PLANO,MATCH($G319,SUBCATEGORIAS_PLANO,0)),"Não classificado"))</f>
        <v/>
      </c>
      <c r="AG319" s="17">
        <f>IF($G319="","",IFERROR(INDEX(TIPOS_FLUXO_PLANO,MATCH($G319,SUBCATEGORIAS_PLANO,0)),"Não classificado"))</f>
        <v/>
      </c>
      <c r="AH319" s="9">
        <f>IF($G319="","",IFERROR(INDEX(GRUPOS_PLANO,MATCH($G319,SUBCATEGORIAS_PLANO,0)),"Não classificado"))</f>
        <v/>
      </c>
      <c r="AI319" s="24">
        <f>IF(OR($C319="",$X319="Pago",$X319="Recebido",$X319="Cancelado"),"",$C319-TODAY())</f>
        <v/>
      </c>
      <c r="AJ319" s="24">
        <f>IF(OR($C319="",$X319="Pago",$X319="Recebido",$X319="Cancelado"),0,MAX(0,TODAY()-$C319))</f>
        <v/>
      </c>
      <c r="AK319" s="24">
        <f>IF($D319="","",$D319-$B319)</f>
        <v/>
      </c>
      <c r="AL319" s="18">
        <f>IF(OR($D319="",$B319=""),"",ROUND(N($R319)*($D319-$B319),2))</f>
        <v/>
      </c>
      <c r="AM319" s="17">
        <f>IF(AND($E319="Saída",$W319&gt;0,$C319&lt;&gt;""),$C319+ROW()/1000000,"")</f>
        <v/>
      </c>
      <c r="AN319" s="17">
        <f>IF(AND($E319="Entrada",$W319&gt;0,$C319&lt;&gt;""),$C319+ROW()/1000000,"")</f>
        <v/>
      </c>
      <c r="AO319" s="9">
        <f>IF(COUNTA($B319:$R319)=0,"",IF(AND($I319&lt;&gt;"",COUNTIF(CLIENTES_NOMES,$I319)+COUNTIF(CLIENTES_FANTASIA,$I319)+COUNTIF(FORNECEDORES_NOMES,$I319)+COUNTIF(FORNECEDORES_FANTASIA,$I319)=0),"⚠ Cliente/Fornecedor não cadastrado",IF(AND($G319&lt;&gt;"",COUNTIF(SUBCATEGORIAS_PLANO,$G319)=0),"⚠ Subcategoria fora do plano de contas",IF(OR($Q319="",N($Q319)=0),"⚠ Valor previsto não informado",IF(AND(OR($X319="Pago",$X319="Recebido"),$D319=""),"⚠ Status pago/recebido sem data",IF(AND($D319&lt;&gt;"",N($R319)=0),"⚠ Data de pagamento sem valor realizado",IF(AND(N($P319)&gt;1,N($O319)&gt;N($P319)),"⚠ Nº da parcela maior que o total",IF(AND($C319&lt;&gt;"",$B319&lt;&gt;"",$C319&lt;$B319),"⚠ Vencimento anterior à competência","OK"))))))))</f>
        <v/>
      </c>
    </row>
    <row r="320">
      <c r="A320" s="14" t="inlineStr">
        <is>
          <t>L0315</t>
        </is>
      </c>
      <c r="B320" s="36" t="n">
        <v>46221</v>
      </c>
      <c r="C320" s="36" t="n">
        <v>46231</v>
      </c>
      <c r="D320" s="36" t="n">
        <v>46231</v>
      </c>
      <c r="E320" s="14" t="inlineStr">
        <is>
          <t>Saída</t>
        </is>
      </c>
      <c r="F320" s="29" t="inlineStr">
        <is>
          <t>Despesas Comerciais</t>
        </is>
      </c>
      <c r="G320" s="29" t="inlineStr">
        <is>
          <t>Publicidade e Anúncios</t>
        </is>
      </c>
      <c r="H320" s="29" t="inlineStr">
        <is>
          <t>Marketing</t>
        </is>
      </c>
      <c r="I320" s="29" t="inlineStr">
        <is>
          <t>GOOGLE BRASIL INTERNET LTDA</t>
        </is>
      </c>
      <c r="J320" s="29" t="inlineStr">
        <is>
          <t>Anúncios e campanhas digitais</t>
        </is>
      </c>
      <c r="K320" s="14" t="inlineStr">
        <is>
          <t>DOC 8375</t>
        </is>
      </c>
      <c r="L320" s="29" t="inlineStr">
        <is>
          <t>Nubank PJ — C/C 9876543-2</t>
        </is>
      </c>
      <c r="M320" s="14" t="inlineStr">
        <is>
          <t>Cartão de crédito</t>
        </is>
      </c>
      <c r="N320" s="29" t="inlineStr">
        <is>
          <t>Cartão Mastercard Nubank PJ</t>
        </is>
      </c>
      <c r="O320" s="13" t="n">
        <v>1</v>
      </c>
      <c r="P320" s="13" t="n">
        <v>1</v>
      </c>
      <c r="Q320" s="35" t="n">
        <v>1458.81</v>
      </c>
      <c r="R320" s="35" t="n">
        <v>1458.81</v>
      </c>
      <c r="S320" s="35" t="n"/>
      <c r="T320" s="35" t="n"/>
      <c r="U320" s="35" t="n"/>
      <c r="V320" s="18">
        <f>IF(COUNTA($B320:$R320)=0,"",ROUND(N($R320)+N($S320)+N($T320)-N($U320),2))</f>
        <v/>
      </c>
      <c r="W320" s="18">
        <f>IF(COUNTA($B320:$R320)=0,"",IF(OR($X320="Pago",$X320="Recebido",$X320="Cancelado"),0,ROUND(N($Q320)+N($S320)+N($T320)-N($U320)-N($R320),2)))</f>
        <v/>
      </c>
      <c r="X320" s="14" t="inlineStr">
        <is>
          <t>Pago</t>
        </is>
      </c>
      <c r="Y320" s="17">
        <f>IF(COUNTA($B320:$R320)=0,"",IF($X320="Cancelado","Cancelado",IF(OR($X320="Pago",$X320="Recebido"),$X320,IF(OR($X320="Parcial",N($R320)&gt;0),"Parcial",IF($C320="","Sem vencimento",IF($C320&lt;TODAY(),"Vencido",IF($C320=TODAY(),"Vence hoje",IF($C320&lt;=TODAY()+7,"Vence em 7 dias",IF($C320&lt;=TODAY()+30,"Vence em 30 dias","Futuro")))))))))</f>
        <v/>
      </c>
      <c r="Z320" s="24">
        <f>IF($B320="","",MONTH($B320))</f>
        <v/>
      </c>
      <c r="AA320" s="24">
        <f>IF($B320="","",YEAR($B320))</f>
        <v/>
      </c>
      <c r="AB320" s="24">
        <f>IF($B320="","",ISOWEEKNUM($B320))</f>
        <v/>
      </c>
      <c r="AC320" s="17">
        <f>IF($B320="","",CHOOSE(WEEKDAY($B320,2),"Segunda","Terça","Quarta","Quinta","Sexta","Sábado","Domingo"))</f>
        <v/>
      </c>
      <c r="AD320" s="17">
        <f>IF($B320="","",TEXT($B320,"MM/AAAA"))</f>
        <v/>
      </c>
      <c r="AE320" s="18">
        <f>IF(COUNTA($B320:$R320)=0,"",IF($X320="Cancelado",0,ROUND(N($Q320)+N($S320)+N($T320)-N($U320),2)))</f>
        <v/>
      </c>
      <c r="AF320" s="9">
        <f>IF($G320="","",IFERROR(INDEX(LINHAS_DRE_PLANO,MATCH($G320,SUBCATEGORIAS_PLANO,0)),"Não classificado"))</f>
        <v/>
      </c>
      <c r="AG320" s="17">
        <f>IF($G320="","",IFERROR(INDEX(TIPOS_FLUXO_PLANO,MATCH($G320,SUBCATEGORIAS_PLANO,0)),"Não classificado"))</f>
        <v/>
      </c>
      <c r="AH320" s="9">
        <f>IF($G320="","",IFERROR(INDEX(GRUPOS_PLANO,MATCH($G320,SUBCATEGORIAS_PLANO,0)),"Não classificado"))</f>
        <v/>
      </c>
      <c r="AI320" s="24">
        <f>IF(OR($C320="",$X320="Pago",$X320="Recebido",$X320="Cancelado"),"",$C320-TODAY())</f>
        <v/>
      </c>
      <c r="AJ320" s="24">
        <f>IF(OR($C320="",$X320="Pago",$X320="Recebido",$X320="Cancelado"),0,MAX(0,TODAY()-$C320))</f>
        <v/>
      </c>
      <c r="AK320" s="24">
        <f>IF($D320="","",$D320-$B320)</f>
        <v/>
      </c>
      <c r="AL320" s="18">
        <f>IF(OR($D320="",$B320=""),"",ROUND(N($R320)*($D320-$B320),2))</f>
        <v/>
      </c>
      <c r="AM320" s="17">
        <f>IF(AND($E320="Saída",$W320&gt;0,$C320&lt;&gt;""),$C320+ROW()/1000000,"")</f>
        <v/>
      </c>
      <c r="AN320" s="17">
        <f>IF(AND($E320="Entrada",$W320&gt;0,$C320&lt;&gt;""),$C320+ROW()/1000000,"")</f>
        <v/>
      </c>
      <c r="AO320" s="9">
        <f>IF(COUNTA($B320:$R320)=0,"",IF(AND($I320&lt;&gt;"",COUNTIF(CLIENTES_NOMES,$I320)+COUNTIF(CLIENTES_FANTASIA,$I320)+COUNTIF(FORNECEDORES_NOMES,$I320)+COUNTIF(FORNECEDORES_FANTASIA,$I320)=0),"⚠ Cliente/Fornecedor não cadastrado",IF(AND($G320&lt;&gt;"",COUNTIF(SUBCATEGORIAS_PLANO,$G320)=0),"⚠ Subcategoria fora do plano de contas",IF(OR($Q320="",N($Q320)=0),"⚠ Valor previsto não informado",IF(AND(OR($X320="Pago",$X320="Recebido"),$D320=""),"⚠ Status pago/recebido sem data",IF(AND($D320&lt;&gt;"",N($R320)=0),"⚠ Data de pagamento sem valor realizado",IF(AND(N($P320)&gt;1,N($O320)&gt;N($P320)),"⚠ Nº da parcela maior que o total",IF(AND($C320&lt;&gt;"",$B320&lt;&gt;"",$C320&lt;$B320),"⚠ Vencimento anterior à competência","OK"))))))))</f>
        <v/>
      </c>
    </row>
    <row r="321">
      <c r="A321" s="14" t="inlineStr">
        <is>
          <t>L0316</t>
        </is>
      </c>
      <c r="B321" s="36" t="n">
        <v>46221</v>
      </c>
      <c r="C321" s="36" t="n">
        <v>46259</v>
      </c>
      <c r="D321" s="36" t="n">
        <v>46261</v>
      </c>
      <c r="E321" s="14" t="inlineStr">
        <is>
          <t>Saída</t>
        </is>
      </c>
      <c r="F321" s="29" t="inlineStr">
        <is>
          <t>Despesas Administrativas</t>
        </is>
      </c>
      <c r="G321" s="29" t="inlineStr">
        <is>
          <t>Manutenção e Conservação</t>
        </is>
      </c>
      <c r="H321" s="29" t="inlineStr">
        <is>
          <t>Logística</t>
        </is>
      </c>
      <c r="I321" s="29" t="inlineStr">
        <is>
          <t>Posto e oficina credenciados</t>
        </is>
      </c>
      <c r="J321" s="29" t="inlineStr">
        <is>
          <t>Combustível e manutenção da frota</t>
        </is>
      </c>
      <c r="K321" s="14" t="inlineStr">
        <is>
          <t>FROTA 07</t>
        </is>
      </c>
      <c r="L321" s="29" t="inlineStr">
        <is>
          <t>Banco do Brasil — C/C 12345-6</t>
        </is>
      </c>
      <c r="M321" s="14" t="inlineStr">
        <is>
          <t>Cartão de crédito</t>
        </is>
      </c>
      <c r="N321" s="29" t="inlineStr">
        <is>
          <t>Cartão Elo Banco do Brasil PJ</t>
        </is>
      </c>
      <c r="O321" s="13" t="n">
        <v>1</v>
      </c>
      <c r="P321" s="13" t="n">
        <v>1</v>
      </c>
      <c r="Q321" s="35" t="n">
        <v>1082.96</v>
      </c>
      <c r="R321" s="35" t="n">
        <v>1082.96</v>
      </c>
      <c r="S321" s="35" t="n"/>
      <c r="T321" s="35" t="n"/>
      <c r="U321" s="35" t="n"/>
      <c r="V321" s="18">
        <f>IF(COUNTA($B321:$R321)=0,"",ROUND(N($R321)+N($S321)+N($T321)-N($U321),2))</f>
        <v/>
      </c>
      <c r="W321" s="18">
        <f>IF(COUNTA($B321:$R321)=0,"",IF(OR($X321="Pago",$X321="Recebido",$X321="Cancelado"),0,ROUND(N($Q321)+N($S321)+N($T321)-N($U321)-N($R321),2)))</f>
        <v/>
      </c>
      <c r="X321" s="14" t="inlineStr">
        <is>
          <t>Pago</t>
        </is>
      </c>
      <c r="Y321" s="17">
        <f>IF(COUNTA($B321:$R321)=0,"",IF($X321="Cancelado","Cancelado",IF(OR($X321="Pago",$X321="Recebido"),$X321,IF(OR($X321="Parcial",N($R321)&gt;0),"Parcial",IF($C321="","Sem vencimento",IF($C321&lt;TODAY(),"Vencido",IF($C321=TODAY(),"Vence hoje",IF($C321&lt;=TODAY()+7,"Vence em 7 dias",IF($C321&lt;=TODAY()+30,"Vence em 30 dias","Futuro")))))))))</f>
        <v/>
      </c>
      <c r="Z321" s="24">
        <f>IF($B321="","",MONTH($B321))</f>
        <v/>
      </c>
      <c r="AA321" s="24">
        <f>IF($B321="","",YEAR($B321))</f>
        <v/>
      </c>
      <c r="AB321" s="24">
        <f>IF($B321="","",ISOWEEKNUM($B321))</f>
        <v/>
      </c>
      <c r="AC321" s="17">
        <f>IF($B321="","",CHOOSE(WEEKDAY($B321,2),"Segunda","Terça","Quarta","Quinta","Sexta","Sábado","Domingo"))</f>
        <v/>
      </c>
      <c r="AD321" s="17">
        <f>IF($B321="","",TEXT($B321,"MM/AAAA"))</f>
        <v/>
      </c>
      <c r="AE321" s="18">
        <f>IF(COUNTA($B321:$R321)=0,"",IF($X321="Cancelado",0,ROUND(N($Q321)+N($S321)+N($T321)-N($U321),2)))</f>
        <v/>
      </c>
      <c r="AF321" s="9">
        <f>IF($G321="","",IFERROR(INDEX(LINHAS_DRE_PLANO,MATCH($G321,SUBCATEGORIAS_PLANO,0)),"Não classificado"))</f>
        <v/>
      </c>
      <c r="AG321" s="17">
        <f>IF($G321="","",IFERROR(INDEX(TIPOS_FLUXO_PLANO,MATCH($G321,SUBCATEGORIAS_PLANO,0)),"Não classificado"))</f>
        <v/>
      </c>
      <c r="AH321" s="9">
        <f>IF($G321="","",IFERROR(INDEX(GRUPOS_PLANO,MATCH($G321,SUBCATEGORIAS_PLANO,0)),"Não classificado"))</f>
        <v/>
      </c>
      <c r="AI321" s="24">
        <f>IF(OR($C321="",$X321="Pago",$X321="Recebido",$X321="Cancelado"),"",$C321-TODAY())</f>
        <v/>
      </c>
      <c r="AJ321" s="24">
        <f>IF(OR($C321="",$X321="Pago",$X321="Recebido",$X321="Cancelado"),0,MAX(0,TODAY()-$C321))</f>
        <v/>
      </c>
      <c r="AK321" s="24">
        <f>IF($D321="","",$D321-$B321)</f>
        <v/>
      </c>
      <c r="AL321" s="18">
        <f>IF(OR($D321="",$B321=""),"",ROUND(N($R321)*($D321-$B321),2))</f>
        <v/>
      </c>
      <c r="AM321" s="17">
        <f>IF(AND($E321="Saída",$W321&gt;0,$C321&lt;&gt;""),$C321+ROW()/1000000,"")</f>
        <v/>
      </c>
      <c r="AN321" s="17">
        <f>IF(AND($E321="Entrada",$W321&gt;0,$C321&lt;&gt;""),$C321+ROW()/1000000,"")</f>
        <v/>
      </c>
      <c r="AO321" s="9">
        <f>IF(COUNTA($B321:$R321)=0,"",IF(AND($I321&lt;&gt;"",COUNTIF(CLIENTES_NOMES,$I321)+COUNTIF(CLIENTES_FANTASIA,$I321)+COUNTIF(FORNECEDORES_NOMES,$I321)+COUNTIF(FORNECEDORES_FANTASIA,$I321)=0),"⚠ Cliente/Fornecedor não cadastrado",IF(AND($G321&lt;&gt;"",COUNTIF(SUBCATEGORIAS_PLANO,$G321)=0),"⚠ Subcategoria fora do plano de contas",IF(OR($Q321="",N($Q321)=0),"⚠ Valor previsto não informado",IF(AND(OR($X321="Pago",$X321="Recebido"),$D321=""),"⚠ Status pago/recebido sem data",IF(AND($D321&lt;&gt;"",N($R321)=0),"⚠ Data de pagamento sem valor realizado",IF(AND(N($P321)&gt;1,N($O321)&gt;N($P321)),"⚠ Nº da parcela maior que o total",IF(AND($C321&lt;&gt;"",$B321&lt;&gt;"",$C321&lt;$B321),"⚠ Vencimento anterior à competência","OK"))))))))</f>
        <v/>
      </c>
    </row>
    <row r="322">
      <c r="A322" s="14" t="inlineStr">
        <is>
          <t>L0317</t>
        </is>
      </c>
      <c r="B322" s="36" t="n">
        <v>46222</v>
      </c>
      <c r="C322" s="36" t="n">
        <v>46252</v>
      </c>
      <c r="D322" s="36" t="n">
        <v>46254</v>
      </c>
      <c r="E322" s="14" t="inlineStr">
        <is>
          <t>Entrada</t>
        </is>
      </c>
      <c r="F322" s="29" t="inlineStr">
        <is>
          <t>Vendas</t>
        </is>
      </c>
      <c r="G322" s="29" t="inlineStr">
        <is>
          <t>Vendas de Produtos</t>
        </is>
      </c>
      <c r="H322" s="29" t="inlineStr">
        <is>
          <t>Comercial</t>
        </is>
      </c>
      <c r="I322" s="29" t="inlineStr">
        <is>
          <t>MERCADO BOA COMPRA LTDA</t>
        </is>
      </c>
      <c r="J322" s="29" t="inlineStr">
        <is>
          <t>Venda de mercadorias para revenda</t>
        </is>
      </c>
      <c r="K322" s="14" t="inlineStr">
        <is>
          <t>NF-e 2073</t>
        </is>
      </c>
      <c r="L322" s="29" t="inlineStr">
        <is>
          <t>Banco do Brasil — C/C 12345-6</t>
        </is>
      </c>
      <c r="M322" s="14" t="inlineStr">
        <is>
          <t>Boleto</t>
        </is>
      </c>
      <c r="N322" s="29" t="n"/>
      <c r="O322" s="13" t="n">
        <v>1</v>
      </c>
      <c r="P322" s="13" t="n">
        <v>1</v>
      </c>
      <c r="Q322" s="35" t="n">
        <v>29221.61</v>
      </c>
      <c r="R322" s="35" t="n">
        <v>29221.61</v>
      </c>
      <c r="S322" s="35" t="n"/>
      <c r="T322" s="35" t="n"/>
      <c r="U322" s="35" t="n"/>
      <c r="V322" s="18">
        <f>IF(COUNTA($B322:$R322)=0,"",ROUND(N($R322)+N($S322)+N($T322)-N($U322),2))</f>
        <v/>
      </c>
      <c r="W322" s="18">
        <f>IF(COUNTA($B322:$R322)=0,"",IF(OR($X322="Pago",$X322="Recebido",$X322="Cancelado"),0,ROUND(N($Q322)+N($S322)+N($T322)-N($U322)-N($R322),2)))</f>
        <v/>
      </c>
      <c r="X322" s="14" t="inlineStr">
        <is>
          <t>Pago</t>
        </is>
      </c>
      <c r="Y322" s="17">
        <f>IF(COUNTA($B322:$R322)=0,"",IF($X322="Cancelado","Cancelado",IF(OR($X322="Pago",$X322="Recebido"),$X322,IF(OR($X322="Parcial",N($R322)&gt;0),"Parcial",IF($C322="","Sem vencimento",IF($C322&lt;TODAY(),"Vencido",IF($C322=TODAY(),"Vence hoje",IF($C322&lt;=TODAY()+7,"Vence em 7 dias",IF($C322&lt;=TODAY()+30,"Vence em 30 dias","Futuro")))))))))</f>
        <v/>
      </c>
      <c r="Z322" s="24">
        <f>IF($B322="","",MONTH($B322))</f>
        <v/>
      </c>
      <c r="AA322" s="24">
        <f>IF($B322="","",YEAR($B322))</f>
        <v/>
      </c>
      <c r="AB322" s="24">
        <f>IF($B322="","",ISOWEEKNUM($B322))</f>
        <v/>
      </c>
      <c r="AC322" s="17">
        <f>IF($B322="","",CHOOSE(WEEKDAY($B322,2),"Segunda","Terça","Quarta","Quinta","Sexta","Sábado","Domingo"))</f>
        <v/>
      </c>
      <c r="AD322" s="17">
        <f>IF($B322="","",TEXT($B322,"MM/AAAA"))</f>
        <v/>
      </c>
      <c r="AE322" s="18">
        <f>IF(COUNTA($B322:$R322)=0,"",IF($X322="Cancelado",0,ROUND(N($Q322)+N($S322)+N($T322)-N($U322),2)))</f>
        <v/>
      </c>
      <c r="AF322" s="9">
        <f>IF($G322="","",IFERROR(INDEX(LINHAS_DRE_PLANO,MATCH($G322,SUBCATEGORIAS_PLANO,0)),"Não classificado"))</f>
        <v/>
      </c>
      <c r="AG322" s="17">
        <f>IF($G322="","",IFERROR(INDEX(TIPOS_FLUXO_PLANO,MATCH($G322,SUBCATEGORIAS_PLANO,0)),"Não classificado"))</f>
        <v/>
      </c>
      <c r="AH322" s="9">
        <f>IF($G322="","",IFERROR(INDEX(GRUPOS_PLANO,MATCH($G322,SUBCATEGORIAS_PLANO,0)),"Não classificado"))</f>
        <v/>
      </c>
      <c r="AI322" s="24">
        <f>IF(OR($C322="",$X322="Pago",$X322="Recebido",$X322="Cancelado"),"",$C322-TODAY())</f>
        <v/>
      </c>
      <c r="AJ322" s="24">
        <f>IF(OR($C322="",$X322="Pago",$X322="Recebido",$X322="Cancelado"),0,MAX(0,TODAY()-$C322))</f>
        <v/>
      </c>
      <c r="AK322" s="24">
        <f>IF($D322="","",$D322-$B322)</f>
        <v/>
      </c>
      <c r="AL322" s="18">
        <f>IF(OR($D322="",$B322=""),"",ROUND(N($R322)*($D322-$B322),2))</f>
        <v/>
      </c>
      <c r="AM322" s="17">
        <f>IF(AND($E322="Saída",$W322&gt;0,$C322&lt;&gt;""),$C322+ROW()/1000000,"")</f>
        <v/>
      </c>
      <c r="AN322" s="17">
        <f>IF(AND($E322="Entrada",$W322&gt;0,$C322&lt;&gt;""),$C322+ROW()/1000000,"")</f>
        <v/>
      </c>
      <c r="AO322" s="9">
        <f>IF(COUNTA($B322:$R322)=0,"",IF(AND($I322&lt;&gt;"",COUNTIF(CLIENTES_NOMES,$I322)+COUNTIF(CLIENTES_FANTASIA,$I322)+COUNTIF(FORNECEDORES_NOMES,$I322)+COUNTIF(FORNECEDORES_FANTASIA,$I322)=0),"⚠ Cliente/Fornecedor não cadastrado",IF(AND($G322&lt;&gt;"",COUNTIF(SUBCATEGORIAS_PLANO,$G322)=0),"⚠ Subcategoria fora do plano de contas",IF(OR($Q322="",N($Q322)=0),"⚠ Valor previsto não informado",IF(AND(OR($X322="Pago",$X322="Recebido"),$D322=""),"⚠ Status pago/recebido sem data",IF(AND($D322&lt;&gt;"",N($R322)=0),"⚠ Data de pagamento sem valor realizado",IF(AND(N($P322)&gt;1,N($O322)&gt;N($P322)),"⚠ Nº da parcela maior que o total",IF(AND($C322&lt;&gt;"",$B322&lt;&gt;"",$C322&lt;$B322),"⚠ Vencimento anterior à competência","OK"))))))))</f>
        <v/>
      </c>
    </row>
    <row r="323">
      <c r="A323" s="14" t="inlineStr">
        <is>
          <t>L0318</t>
        </is>
      </c>
      <c r="B323" s="36" t="n">
        <v>46222</v>
      </c>
      <c r="C323" s="36" t="n">
        <v>46237</v>
      </c>
      <c r="D323" s="36" t="n">
        <v>46237</v>
      </c>
      <c r="E323" s="14" t="inlineStr">
        <is>
          <t>Entrada</t>
        </is>
      </c>
      <c r="F323" s="29" t="inlineStr">
        <is>
          <t>Vendas</t>
        </is>
      </c>
      <c r="G323" s="29" t="inlineStr">
        <is>
          <t>Vendas de Produtos</t>
        </is>
      </c>
      <c r="H323" s="29" t="inlineStr">
        <is>
          <t>Comercial</t>
        </is>
      </c>
      <c r="I323" s="29" t="inlineStr">
        <is>
          <t>RESTAURANTE SABOR CASEIRO LTDA</t>
        </is>
      </c>
      <c r="J323" s="29" t="inlineStr">
        <is>
          <t>Venda de mercadorias para revenda</t>
        </is>
      </c>
      <c r="K323" s="14" t="inlineStr">
        <is>
          <t>NF-e 2077</t>
        </is>
      </c>
      <c r="L323" s="29" t="inlineStr">
        <is>
          <t>Itaú Unibanco — C/C 45678-9</t>
        </is>
      </c>
      <c r="M323" s="14" t="inlineStr">
        <is>
          <t>Boleto</t>
        </is>
      </c>
      <c r="N323" s="29" t="n"/>
      <c r="O323" s="13" t="n">
        <v>1</v>
      </c>
      <c r="P323" s="13" t="n">
        <v>1</v>
      </c>
      <c r="Q323" s="35" t="n">
        <v>13163.43</v>
      </c>
      <c r="R323" s="35" t="n">
        <v>13163.43</v>
      </c>
      <c r="S323" s="35" t="n"/>
      <c r="T323" s="35" t="n"/>
      <c r="U323" s="35" t="n"/>
      <c r="V323" s="18">
        <f>IF(COUNTA($B323:$R323)=0,"",ROUND(N($R323)+N($S323)+N($T323)-N($U323),2))</f>
        <v/>
      </c>
      <c r="W323" s="18">
        <f>IF(COUNTA($B323:$R323)=0,"",IF(OR($X323="Pago",$X323="Recebido",$X323="Cancelado"),0,ROUND(N($Q323)+N($S323)+N($T323)-N($U323)-N($R323),2)))</f>
        <v/>
      </c>
      <c r="X323" s="14" t="inlineStr">
        <is>
          <t>Pago</t>
        </is>
      </c>
      <c r="Y323" s="17">
        <f>IF(COUNTA($B323:$R323)=0,"",IF($X323="Cancelado","Cancelado",IF(OR($X323="Pago",$X323="Recebido"),$X323,IF(OR($X323="Parcial",N($R323)&gt;0),"Parcial",IF($C323="","Sem vencimento",IF($C323&lt;TODAY(),"Vencido",IF($C323=TODAY(),"Vence hoje",IF($C323&lt;=TODAY()+7,"Vence em 7 dias",IF($C323&lt;=TODAY()+30,"Vence em 30 dias","Futuro")))))))))</f>
        <v/>
      </c>
      <c r="Z323" s="24">
        <f>IF($B323="","",MONTH($B323))</f>
        <v/>
      </c>
      <c r="AA323" s="24">
        <f>IF($B323="","",YEAR($B323))</f>
        <v/>
      </c>
      <c r="AB323" s="24">
        <f>IF($B323="","",ISOWEEKNUM($B323))</f>
        <v/>
      </c>
      <c r="AC323" s="17">
        <f>IF($B323="","",CHOOSE(WEEKDAY($B323,2),"Segunda","Terça","Quarta","Quinta","Sexta","Sábado","Domingo"))</f>
        <v/>
      </c>
      <c r="AD323" s="17">
        <f>IF($B323="","",TEXT($B323,"MM/AAAA"))</f>
        <v/>
      </c>
      <c r="AE323" s="18">
        <f>IF(COUNTA($B323:$R323)=0,"",IF($X323="Cancelado",0,ROUND(N($Q323)+N($S323)+N($T323)-N($U323),2)))</f>
        <v/>
      </c>
      <c r="AF323" s="9">
        <f>IF($G323="","",IFERROR(INDEX(LINHAS_DRE_PLANO,MATCH($G323,SUBCATEGORIAS_PLANO,0)),"Não classificado"))</f>
        <v/>
      </c>
      <c r="AG323" s="17">
        <f>IF($G323="","",IFERROR(INDEX(TIPOS_FLUXO_PLANO,MATCH($G323,SUBCATEGORIAS_PLANO,0)),"Não classificado"))</f>
        <v/>
      </c>
      <c r="AH323" s="9">
        <f>IF($G323="","",IFERROR(INDEX(GRUPOS_PLANO,MATCH($G323,SUBCATEGORIAS_PLANO,0)),"Não classificado"))</f>
        <v/>
      </c>
      <c r="AI323" s="24">
        <f>IF(OR($C323="",$X323="Pago",$X323="Recebido",$X323="Cancelado"),"",$C323-TODAY())</f>
        <v/>
      </c>
      <c r="AJ323" s="24">
        <f>IF(OR($C323="",$X323="Pago",$X323="Recebido",$X323="Cancelado"),0,MAX(0,TODAY()-$C323))</f>
        <v/>
      </c>
      <c r="AK323" s="24">
        <f>IF($D323="","",$D323-$B323)</f>
        <v/>
      </c>
      <c r="AL323" s="18">
        <f>IF(OR($D323="",$B323=""),"",ROUND(N($R323)*($D323-$B323),2))</f>
        <v/>
      </c>
      <c r="AM323" s="17">
        <f>IF(AND($E323="Saída",$W323&gt;0,$C323&lt;&gt;""),$C323+ROW()/1000000,"")</f>
        <v/>
      </c>
      <c r="AN323" s="17">
        <f>IF(AND($E323="Entrada",$W323&gt;0,$C323&lt;&gt;""),$C323+ROW()/1000000,"")</f>
        <v/>
      </c>
      <c r="AO323" s="9">
        <f>IF(COUNTA($B323:$R323)=0,"",IF(AND($I323&lt;&gt;"",COUNTIF(CLIENTES_NOMES,$I323)+COUNTIF(CLIENTES_FANTASIA,$I323)+COUNTIF(FORNECEDORES_NOMES,$I323)+COUNTIF(FORNECEDORES_FANTASIA,$I323)=0),"⚠ Cliente/Fornecedor não cadastrado",IF(AND($G323&lt;&gt;"",COUNTIF(SUBCATEGORIAS_PLANO,$G323)=0),"⚠ Subcategoria fora do plano de contas",IF(OR($Q323="",N($Q323)=0),"⚠ Valor previsto não informado",IF(AND(OR($X323="Pago",$X323="Recebido"),$D323=""),"⚠ Status pago/recebido sem data",IF(AND($D323&lt;&gt;"",N($R323)=0),"⚠ Data de pagamento sem valor realizado",IF(AND(N($P323)&gt;1,N($O323)&gt;N($P323)),"⚠ Nº da parcela maior que o total",IF(AND($C323&lt;&gt;"",$B323&lt;&gt;"",$C323&lt;$B323),"⚠ Vencimento anterior à competência","OK"))))))))</f>
        <v/>
      </c>
    </row>
    <row r="324">
      <c r="A324" s="14" t="inlineStr">
        <is>
          <t>L0319</t>
        </is>
      </c>
      <c r="B324" s="36" t="n">
        <v>46222</v>
      </c>
      <c r="C324" s="36" t="n">
        <v>46244</v>
      </c>
      <c r="D324" s="36" t="n">
        <v>46245</v>
      </c>
      <c r="E324" s="14" t="inlineStr">
        <is>
          <t>Entrada</t>
        </is>
      </c>
      <c r="F324" s="29" t="inlineStr">
        <is>
          <t>Vendas</t>
        </is>
      </c>
      <c r="G324" s="29" t="inlineStr">
        <is>
          <t>Vendas de Produtos</t>
        </is>
      </c>
      <c r="H324" s="29" t="inlineStr">
        <is>
          <t>Comercial</t>
        </is>
      </c>
      <c r="I324" s="29" t="inlineStr">
        <is>
          <t>EMPÓRIO NATURAL COMÉRCIO LTDA</t>
        </is>
      </c>
      <c r="J324" s="29" t="inlineStr">
        <is>
          <t>Venda de mercadorias para revenda</t>
        </is>
      </c>
      <c r="K324" s="14" t="inlineStr">
        <is>
          <t>NF-e 2081</t>
        </is>
      </c>
      <c r="L324" s="29" t="inlineStr">
        <is>
          <t>Itaú Unibanco — C/C 45678-9</t>
        </is>
      </c>
      <c r="M324" s="14" t="inlineStr">
        <is>
          <t>Boleto</t>
        </is>
      </c>
      <c r="N324" s="29" t="n"/>
      <c r="O324" s="13" t="n">
        <v>1</v>
      </c>
      <c r="P324" s="13" t="n">
        <v>1</v>
      </c>
      <c r="Q324" s="35" t="n">
        <v>19676.17</v>
      </c>
      <c r="R324" s="35" t="n">
        <v>19676.17</v>
      </c>
      <c r="S324" s="35" t="n"/>
      <c r="T324" s="35" t="n"/>
      <c r="U324" s="35" t="n"/>
      <c r="V324" s="18">
        <f>IF(COUNTA($B324:$R324)=0,"",ROUND(N($R324)+N($S324)+N($T324)-N($U324),2))</f>
        <v/>
      </c>
      <c r="W324" s="18">
        <f>IF(COUNTA($B324:$R324)=0,"",IF(OR($X324="Pago",$X324="Recebido",$X324="Cancelado"),0,ROUND(N($Q324)+N($S324)+N($T324)-N($U324)-N($R324),2)))</f>
        <v/>
      </c>
      <c r="X324" s="14" t="inlineStr">
        <is>
          <t>Pago</t>
        </is>
      </c>
      <c r="Y324" s="17">
        <f>IF(COUNTA($B324:$R324)=0,"",IF($X324="Cancelado","Cancelado",IF(OR($X324="Pago",$X324="Recebido"),$X324,IF(OR($X324="Parcial",N($R324)&gt;0),"Parcial",IF($C324="","Sem vencimento",IF($C324&lt;TODAY(),"Vencido",IF($C324=TODAY(),"Vence hoje",IF($C324&lt;=TODAY()+7,"Vence em 7 dias",IF($C324&lt;=TODAY()+30,"Vence em 30 dias","Futuro")))))))))</f>
        <v/>
      </c>
      <c r="Z324" s="24">
        <f>IF($B324="","",MONTH($B324))</f>
        <v/>
      </c>
      <c r="AA324" s="24">
        <f>IF($B324="","",YEAR($B324))</f>
        <v/>
      </c>
      <c r="AB324" s="24">
        <f>IF($B324="","",ISOWEEKNUM($B324))</f>
        <v/>
      </c>
      <c r="AC324" s="17">
        <f>IF($B324="","",CHOOSE(WEEKDAY($B324,2),"Segunda","Terça","Quarta","Quinta","Sexta","Sábado","Domingo"))</f>
        <v/>
      </c>
      <c r="AD324" s="17">
        <f>IF($B324="","",TEXT($B324,"MM/AAAA"))</f>
        <v/>
      </c>
      <c r="AE324" s="18">
        <f>IF(COUNTA($B324:$R324)=0,"",IF($X324="Cancelado",0,ROUND(N($Q324)+N($S324)+N($T324)-N($U324),2)))</f>
        <v/>
      </c>
      <c r="AF324" s="9">
        <f>IF($G324="","",IFERROR(INDEX(LINHAS_DRE_PLANO,MATCH($G324,SUBCATEGORIAS_PLANO,0)),"Não classificado"))</f>
        <v/>
      </c>
      <c r="AG324" s="17">
        <f>IF($G324="","",IFERROR(INDEX(TIPOS_FLUXO_PLANO,MATCH($G324,SUBCATEGORIAS_PLANO,0)),"Não classificado"))</f>
        <v/>
      </c>
      <c r="AH324" s="9">
        <f>IF($G324="","",IFERROR(INDEX(GRUPOS_PLANO,MATCH($G324,SUBCATEGORIAS_PLANO,0)),"Não classificado"))</f>
        <v/>
      </c>
      <c r="AI324" s="24">
        <f>IF(OR($C324="",$X324="Pago",$X324="Recebido",$X324="Cancelado"),"",$C324-TODAY())</f>
        <v/>
      </c>
      <c r="AJ324" s="24">
        <f>IF(OR($C324="",$X324="Pago",$X324="Recebido",$X324="Cancelado"),0,MAX(0,TODAY()-$C324))</f>
        <v/>
      </c>
      <c r="AK324" s="24">
        <f>IF($D324="","",$D324-$B324)</f>
        <v/>
      </c>
      <c r="AL324" s="18">
        <f>IF(OR($D324="",$B324=""),"",ROUND(N($R324)*($D324-$B324),2))</f>
        <v/>
      </c>
      <c r="AM324" s="17">
        <f>IF(AND($E324="Saída",$W324&gt;0,$C324&lt;&gt;""),$C324+ROW()/1000000,"")</f>
        <v/>
      </c>
      <c r="AN324" s="17">
        <f>IF(AND($E324="Entrada",$W324&gt;0,$C324&lt;&gt;""),$C324+ROW()/1000000,"")</f>
        <v/>
      </c>
      <c r="AO324" s="9">
        <f>IF(COUNTA($B324:$R324)=0,"",IF(AND($I324&lt;&gt;"",COUNTIF(CLIENTES_NOMES,$I324)+COUNTIF(CLIENTES_FANTASIA,$I324)+COUNTIF(FORNECEDORES_NOMES,$I324)+COUNTIF(FORNECEDORES_FANTASIA,$I324)=0),"⚠ Cliente/Fornecedor não cadastrado",IF(AND($G324&lt;&gt;"",COUNTIF(SUBCATEGORIAS_PLANO,$G324)=0),"⚠ Subcategoria fora do plano de contas",IF(OR($Q324="",N($Q324)=0),"⚠ Valor previsto não informado",IF(AND(OR($X324="Pago",$X324="Recebido"),$D324=""),"⚠ Status pago/recebido sem data",IF(AND($D324&lt;&gt;"",N($R324)=0),"⚠ Data de pagamento sem valor realizado",IF(AND(N($P324)&gt;1,N($O324)&gt;N($P324)),"⚠ Nº da parcela maior que o total",IF(AND($C324&lt;&gt;"",$B324&lt;&gt;"",$C324&lt;$B324),"⚠ Vencimento anterior à competência","OK"))))))))</f>
        <v/>
      </c>
    </row>
    <row r="325">
      <c r="A325" s="14" t="inlineStr">
        <is>
          <t>L0320</t>
        </is>
      </c>
      <c r="B325" s="36" t="n">
        <v>46223</v>
      </c>
      <c r="C325" s="36" t="n">
        <v>46233</v>
      </c>
      <c r="D325" s="36" t="n">
        <v>46235</v>
      </c>
      <c r="E325" s="14" t="inlineStr">
        <is>
          <t>Saída</t>
        </is>
      </c>
      <c r="F325" s="29" t="inlineStr">
        <is>
          <t>Custos Variáveis</t>
        </is>
      </c>
      <c r="G325" s="29" t="inlineStr">
        <is>
          <t>Outros Custos Diretos</t>
        </is>
      </c>
      <c r="H325" s="29" t="inlineStr">
        <is>
          <t>Produção</t>
        </is>
      </c>
      <c r="I325" s="29" t="inlineStr">
        <is>
          <t>APOIO OPERACIONAL SERVIÇOS LTDA</t>
        </is>
      </c>
      <c r="J325" s="29" t="inlineStr">
        <is>
          <t>Serviços de apoio à operação e expedição</t>
        </is>
      </c>
      <c r="K325" s="14" t="inlineStr">
        <is>
          <t>DOC 7219</t>
        </is>
      </c>
      <c r="L325" s="29" t="inlineStr">
        <is>
          <t>Banco do Brasil — C/C 12345-6</t>
        </is>
      </c>
      <c r="M325" s="14" t="inlineStr">
        <is>
          <t>PIX</t>
        </is>
      </c>
      <c r="N325" s="29" t="n"/>
      <c r="O325" s="13" t="n">
        <v>1</v>
      </c>
      <c r="P325" s="13" t="n">
        <v>1</v>
      </c>
      <c r="Q325" s="35" t="n">
        <v>1009.81</v>
      </c>
      <c r="R325" s="35" t="n">
        <v>1009.81</v>
      </c>
      <c r="S325" s="35" t="n"/>
      <c r="T325" s="35" t="n"/>
      <c r="U325" s="35" t="n"/>
      <c r="V325" s="18">
        <f>IF(COUNTA($B325:$R325)=0,"",ROUND(N($R325)+N($S325)+N($T325)-N($U325),2))</f>
        <v/>
      </c>
      <c r="W325" s="18">
        <f>IF(COUNTA($B325:$R325)=0,"",IF(OR($X325="Pago",$X325="Recebido",$X325="Cancelado"),0,ROUND(N($Q325)+N($S325)+N($T325)-N($U325)-N($R325),2)))</f>
        <v/>
      </c>
      <c r="X325" s="14" t="inlineStr">
        <is>
          <t>Pago</t>
        </is>
      </c>
      <c r="Y325" s="17">
        <f>IF(COUNTA($B325:$R325)=0,"",IF($X325="Cancelado","Cancelado",IF(OR($X325="Pago",$X325="Recebido"),$X325,IF(OR($X325="Parcial",N($R325)&gt;0),"Parcial",IF($C325="","Sem vencimento",IF($C325&lt;TODAY(),"Vencido",IF($C325=TODAY(),"Vence hoje",IF($C325&lt;=TODAY()+7,"Vence em 7 dias",IF($C325&lt;=TODAY()+30,"Vence em 30 dias","Futuro")))))))))</f>
        <v/>
      </c>
      <c r="Z325" s="24">
        <f>IF($B325="","",MONTH($B325))</f>
        <v/>
      </c>
      <c r="AA325" s="24">
        <f>IF($B325="","",YEAR($B325))</f>
        <v/>
      </c>
      <c r="AB325" s="24">
        <f>IF($B325="","",ISOWEEKNUM($B325))</f>
        <v/>
      </c>
      <c r="AC325" s="17">
        <f>IF($B325="","",CHOOSE(WEEKDAY($B325,2),"Segunda","Terça","Quarta","Quinta","Sexta","Sábado","Domingo"))</f>
        <v/>
      </c>
      <c r="AD325" s="17">
        <f>IF($B325="","",TEXT($B325,"MM/AAAA"))</f>
        <v/>
      </c>
      <c r="AE325" s="18">
        <f>IF(COUNTA($B325:$R325)=0,"",IF($X325="Cancelado",0,ROUND(N($Q325)+N($S325)+N($T325)-N($U325),2)))</f>
        <v/>
      </c>
      <c r="AF325" s="9">
        <f>IF($G325="","",IFERROR(INDEX(LINHAS_DRE_PLANO,MATCH($G325,SUBCATEGORIAS_PLANO,0)),"Não classificado"))</f>
        <v/>
      </c>
      <c r="AG325" s="17">
        <f>IF($G325="","",IFERROR(INDEX(TIPOS_FLUXO_PLANO,MATCH($G325,SUBCATEGORIAS_PLANO,0)),"Não classificado"))</f>
        <v/>
      </c>
      <c r="AH325" s="9">
        <f>IF($G325="","",IFERROR(INDEX(GRUPOS_PLANO,MATCH($G325,SUBCATEGORIAS_PLANO,0)),"Não classificado"))</f>
        <v/>
      </c>
      <c r="AI325" s="24">
        <f>IF(OR($C325="",$X325="Pago",$X325="Recebido",$X325="Cancelado"),"",$C325-TODAY())</f>
        <v/>
      </c>
      <c r="AJ325" s="24">
        <f>IF(OR($C325="",$X325="Pago",$X325="Recebido",$X325="Cancelado"),0,MAX(0,TODAY()-$C325))</f>
        <v/>
      </c>
      <c r="AK325" s="24">
        <f>IF($D325="","",$D325-$B325)</f>
        <v/>
      </c>
      <c r="AL325" s="18">
        <f>IF(OR($D325="",$B325=""),"",ROUND(N($R325)*($D325-$B325),2))</f>
        <v/>
      </c>
      <c r="AM325" s="17">
        <f>IF(AND($E325="Saída",$W325&gt;0,$C325&lt;&gt;""),$C325+ROW()/1000000,"")</f>
        <v/>
      </c>
      <c r="AN325" s="17">
        <f>IF(AND($E325="Entrada",$W325&gt;0,$C325&lt;&gt;""),$C325+ROW()/1000000,"")</f>
        <v/>
      </c>
      <c r="AO325" s="9">
        <f>IF(COUNTA($B325:$R325)=0,"",IF(AND($I325&lt;&gt;"",COUNTIF(CLIENTES_NOMES,$I325)+COUNTIF(CLIENTES_FANTASIA,$I325)+COUNTIF(FORNECEDORES_NOMES,$I325)+COUNTIF(FORNECEDORES_FANTASIA,$I325)=0),"⚠ Cliente/Fornecedor não cadastrado",IF(AND($G325&lt;&gt;"",COUNTIF(SUBCATEGORIAS_PLANO,$G325)=0),"⚠ Subcategoria fora do plano de contas",IF(OR($Q325="",N($Q325)=0),"⚠ Valor previsto não informado",IF(AND(OR($X325="Pago",$X325="Recebido"),$D325=""),"⚠ Status pago/recebido sem data",IF(AND($D325&lt;&gt;"",N($R325)=0),"⚠ Data de pagamento sem valor realizado",IF(AND(N($P325)&gt;1,N($O325)&gt;N($P325)),"⚠ Nº da parcela maior que o total",IF(AND($C325&lt;&gt;"",$B325&lt;&gt;"",$C325&lt;$B325),"⚠ Vencimento anterior à competência","OK"))))))))</f>
        <v/>
      </c>
    </row>
    <row r="326">
      <c r="A326" s="14" t="inlineStr">
        <is>
          <t>L0321</t>
        </is>
      </c>
      <c r="B326" s="36" t="n">
        <v>46223</v>
      </c>
      <c r="C326" s="36" t="n">
        <v>46254</v>
      </c>
      <c r="D326" s="36" t="n">
        <v>46254</v>
      </c>
      <c r="E326" s="14" t="inlineStr">
        <is>
          <t>Saída</t>
        </is>
      </c>
      <c r="F326" s="29" t="inlineStr">
        <is>
          <t>Tributos</t>
        </is>
      </c>
      <c r="G326" s="29" t="inlineStr">
        <is>
          <t>Simples Nacional</t>
        </is>
      </c>
      <c r="H326" s="29" t="inlineStr">
        <is>
          <t>Financeiro</t>
        </is>
      </c>
      <c r="I326" s="29" t="inlineStr">
        <is>
          <t>RECEITA FEDERAL DO BRASIL</t>
        </is>
      </c>
      <c r="J326" s="29" t="inlineStr">
        <is>
          <t>Simples Nacional — competência 07/2026</t>
        </is>
      </c>
      <c r="K326" s="14" t="inlineStr">
        <is>
          <t>DAS 07/2026</t>
        </is>
      </c>
      <c r="L326" s="29" t="inlineStr">
        <is>
          <t>Itaú Unibanco — C/C 45678-9</t>
        </is>
      </c>
      <c r="M326" s="14" t="inlineStr">
        <is>
          <t>Transferência</t>
        </is>
      </c>
      <c r="N326" s="29" t="n"/>
      <c r="O326" s="13" t="n">
        <v>1</v>
      </c>
      <c r="P326" s="13" t="n">
        <v>1</v>
      </c>
      <c r="Q326" s="35" t="n">
        <v>21791.05</v>
      </c>
      <c r="R326" s="35" t="n">
        <v>21791.05</v>
      </c>
      <c r="S326" s="35" t="n"/>
      <c r="T326" s="35" t="n"/>
      <c r="U326" s="35" t="n"/>
      <c r="V326" s="18">
        <f>IF(COUNTA($B326:$R326)=0,"",ROUND(N($R326)+N($S326)+N($T326)-N($U326),2))</f>
        <v/>
      </c>
      <c r="W326" s="18">
        <f>IF(COUNTA($B326:$R326)=0,"",IF(OR($X326="Pago",$X326="Recebido",$X326="Cancelado"),0,ROUND(N($Q326)+N($S326)+N($T326)-N($U326)-N($R326),2)))</f>
        <v/>
      </c>
      <c r="X326" s="14" t="inlineStr">
        <is>
          <t>Pago</t>
        </is>
      </c>
      <c r="Y326" s="17">
        <f>IF(COUNTA($B326:$R326)=0,"",IF($X326="Cancelado","Cancelado",IF(OR($X326="Pago",$X326="Recebido"),$X326,IF(OR($X326="Parcial",N($R326)&gt;0),"Parcial",IF($C326="","Sem vencimento",IF($C326&lt;TODAY(),"Vencido",IF($C326=TODAY(),"Vence hoje",IF($C326&lt;=TODAY()+7,"Vence em 7 dias",IF($C326&lt;=TODAY()+30,"Vence em 30 dias","Futuro")))))))))</f>
        <v/>
      </c>
      <c r="Z326" s="24">
        <f>IF($B326="","",MONTH($B326))</f>
        <v/>
      </c>
      <c r="AA326" s="24">
        <f>IF($B326="","",YEAR($B326))</f>
        <v/>
      </c>
      <c r="AB326" s="24">
        <f>IF($B326="","",ISOWEEKNUM($B326))</f>
        <v/>
      </c>
      <c r="AC326" s="17">
        <f>IF($B326="","",CHOOSE(WEEKDAY($B326,2),"Segunda","Terça","Quarta","Quinta","Sexta","Sábado","Domingo"))</f>
        <v/>
      </c>
      <c r="AD326" s="17">
        <f>IF($B326="","",TEXT($B326,"MM/AAAA"))</f>
        <v/>
      </c>
      <c r="AE326" s="18">
        <f>IF(COUNTA($B326:$R326)=0,"",IF($X326="Cancelado",0,ROUND(N($Q326)+N($S326)+N($T326)-N($U326),2)))</f>
        <v/>
      </c>
      <c r="AF326" s="9">
        <f>IF($G326="","",IFERROR(INDEX(LINHAS_DRE_PLANO,MATCH($G326,SUBCATEGORIAS_PLANO,0)),"Não classificado"))</f>
        <v/>
      </c>
      <c r="AG326" s="17">
        <f>IF($G326="","",IFERROR(INDEX(TIPOS_FLUXO_PLANO,MATCH($G326,SUBCATEGORIAS_PLANO,0)),"Não classificado"))</f>
        <v/>
      </c>
      <c r="AH326" s="9">
        <f>IF($G326="","",IFERROR(INDEX(GRUPOS_PLANO,MATCH($G326,SUBCATEGORIAS_PLANO,0)),"Não classificado"))</f>
        <v/>
      </c>
      <c r="AI326" s="24">
        <f>IF(OR($C326="",$X326="Pago",$X326="Recebido",$X326="Cancelado"),"",$C326-TODAY())</f>
        <v/>
      </c>
      <c r="AJ326" s="24">
        <f>IF(OR($C326="",$X326="Pago",$X326="Recebido",$X326="Cancelado"),0,MAX(0,TODAY()-$C326))</f>
        <v/>
      </c>
      <c r="AK326" s="24">
        <f>IF($D326="","",$D326-$B326)</f>
        <v/>
      </c>
      <c r="AL326" s="18">
        <f>IF(OR($D326="",$B326=""),"",ROUND(N($R326)*($D326-$B326),2))</f>
        <v/>
      </c>
      <c r="AM326" s="17">
        <f>IF(AND($E326="Saída",$W326&gt;0,$C326&lt;&gt;""),$C326+ROW()/1000000,"")</f>
        <v/>
      </c>
      <c r="AN326" s="17">
        <f>IF(AND($E326="Entrada",$W326&gt;0,$C326&lt;&gt;""),$C326+ROW()/1000000,"")</f>
        <v/>
      </c>
      <c r="AO326" s="9">
        <f>IF(COUNTA($B326:$R326)=0,"",IF(AND($I326&lt;&gt;"",COUNTIF(CLIENTES_NOMES,$I326)+COUNTIF(CLIENTES_FANTASIA,$I326)+COUNTIF(FORNECEDORES_NOMES,$I326)+COUNTIF(FORNECEDORES_FANTASIA,$I326)=0),"⚠ Cliente/Fornecedor não cadastrado",IF(AND($G326&lt;&gt;"",COUNTIF(SUBCATEGORIAS_PLANO,$G326)=0),"⚠ Subcategoria fora do plano de contas",IF(OR($Q326="",N($Q326)=0),"⚠ Valor previsto não informado",IF(AND(OR($X326="Pago",$X326="Recebido"),$D326=""),"⚠ Status pago/recebido sem data",IF(AND($D326&lt;&gt;"",N($R326)=0),"⚠ Data de pagamento sem valor realizado",IF(AND(N($P326)&gt;1,N($O326)&gt;N($P326)),"⚠ Nº da parcela maior que o total",IF(AND($C326&lt;&gt;"",$B326&lt;&gt;"",$C326&lt;$B326),"⚠ Vencimento anterior à competência","OK"))))))))</f>
        <v/>
      </c>
    </row>
    <row r="327">
      <c r="A327" s="14" t="inlineStr">
        <is>
          <t>L0322</t>
        </is>
      </c>
      <c r="B327" s="36" t="n">
        <v>46223</v>
      </c>
      <c r="C327" s="36" t="n">
        <v>46223</v>
      </c>
      <c r="D327" s="36" t="n">
        <v>46223</v>
      </c>
      <c r="E327" s="14" t="inlineStr">
        <is>
          <t>Saída</t>
        </is>
      </c>
      <c r="F327" s="29" t="inlineStr">
        <is>
          <t>Empréstimos e Financiamentos</t>
        </is>
      </c>
      <c r="G327" s="29" t="inlineStr">
        <is>
          <t>Pagamento de Principal de Empréstimos</t>
        </is>
      </c>
      <c r="H327" s="29" t="inlineStr">
        <is>
          <t>Diretoria</t>
        </is>
      </c>
      <c r="I327" s="29" t="inlineStr">
        <is>
          <t>Banco Santander</t>
        </is>
      </c>
      <c r="J327" s="29" t="inlineStr">
        <is>
          <t>Financiamento de Veículo — parcela 6/48 (principal)</t>
        </is>
      </c>
      <c r="K327" s="14" t="inlineStr">
        <is>
          <t>VEI-2026-0088-P06</t>
        </is>
      </c>
      <c r="L327" s="29" t="inlineStr">
        <is>
          <t>Itaú Unibanco — C/C 45678-9</t>
        </is>
      </c>
      <c r="M327" s="14" t="inlineStr">
        <is>
          <t>Débito automático</t>
        </is>
      </c>
      <c r="N327" s="29" t="n"/>
      <c r="O327" s="13" t="n">
        <v>6</v>
      </c>
      <c r="P327" s="13" t="n">
        <v>48</v>
      </c>
      <c r="Q327" s="35" t="n">
        <v>1305.05</v>
      </c>
      <c r="R327" s="35" t="n">
        <v>1305.05</v>
      </c>
      <c r="S327" s="35" t="n"/>
      <c r="T327" s="35" t="n"/>
      <c r="U327" s="35" t="n"/>
      <c r="V327" s="18">
        <f>IF(COUNTA($B327:$R327)=0,"",ROUND(N($R327)+N($S327)+N($T327)-N($U327),2))</f>
        <v/>
      </c>
      <c r="W327" s="18">
        <f>IF(COUNTA($B327:$R327)=0,"",IF(OR($X327="Pago",$X327="Recebido",$X327="Cancelado"),0,ROUND(N($Q327)+N($S327)+N($T327)-N($U327)-N($R327),2)))</f>
        <v/>
      </c>
      <c r="X327" s="14" t="inlineStr">
        <is>
          <t>Pago</t>
        </is>
      </c>
      <c r="Y327" s="17">
        <f>IF(COUNTA($B327:$R327)=0,"",IF($X327="Cancelado","Cancelado",IF(OR($X327="Pago",$X327="Recebido"),$X327,IF(OR($X327="Parcial",N($R327)&gt;0),"Parcial",IF($C327="","Sem vencimento",IF($C327&lt;TODAY(),"Vencido",IF($C327=TODAY(),"Vence hoje",IF($C327&lt;=TODAY()+7,"Vence em 7 dias",IF($C327&lt;=TODAY()+30,"Vence em 30 dias","Futuro")))))))))</f>
        <v/>
      </c>
      <c r="Z327" s="24">
        <f>IF($B327="","",MONTH($B327))</f>
        <v/>
      </c>
      <c r="AA327" s="24">
        <f>IF($B327="","",YEAR($B327))</f>
        <v/>
      </c>
      <c r="AB327" s="24">
        <f>IF($B327="","",ISOWEEKNUM($B327))</f>
        <v/>
      </c>
      <c r="AC327" s="17">
        <f>IF($B327="","",CHOOSE(WEEKDAY($B327,2),"Segunda","Terça","Quarta","Quinta","Sexta","Sábado","Domingo"))</f>
        <v/>
      </c>
      <c r="AD327" s="17">
        <f>IF($B327="","",TEXT($B327,"MM/AAAA"))</f>
        <v/>
      </c>
      <c r="AE327" s="18">
        <f>IF(COUNTA($B327:$R327)=0,"",IF($X327="Cancelado",0,ROUND(N($Q327)+N($S327)+N($T327)-N($U327),2)))</f>
        <v/>
      </c>
      <c r="AF327" s="9">
        <f>IF($G327="","",IFERROR(INDEX(LINHAS_DRE_PLANO,MATCH($G327,SUBCATEGORIAS_PLANO,0)),"Não classificado"))</f>
        <v/>
      </c>
      <c r="AG327" s="17">
        <f>IF($G327="","",IFERROR(INDEX(TIPOS_FLUXO_PLANO,MATCH($G327,SUBCATEGORIAS_PLANO,0)),"Não classificado"))</f>
        <v/>
      </c>
      <c r="AH327" s="9">
        <f>IF($G327="","",IFERROR(INDEX(GRUPOS_PLANO,MATCH($G327,SUBCATEGORIAS_PLANO,0)),"Não classificado"))</f>
        <v/>
      </c>
      <c r="AI327" s="24">
        <f>IF(OR($C327="",$X327="Pago",$X327="Recebido",$X327="Cancelado"),"",$C327-TODAY())</f>
        <v/>
      </c>
      <c r="AJ327" s="24">
        <f>IF(OR($C327="",$X327="Pago",$X327="Recebido",$X327="Cancelado"),0,MAX(0,TODAY()-$C327))</f>
        <v/>
      </c>
      <c r="AK327" s="24">
        <f>IF($D327="","",$D327-$B327)</f>
        <v/>
      </c>
      <c r="AL327" s="18">
        <f>IF(OR($D327="",$B327=""),"",ROUND(N($R327)*($D327-$B327),2))</f>
        <v/>
      </c>
      <c r="AM327" s="17">
        <f>IF(AND($E327="Saída",$W327&gt;0,$C327&lt;&gt;""),$C327+ROW()/1000000,"")</f>
        <v/>
      </c>
      <c r="AN327" s="17">
        <f>IF(AND($E327="Entrada",$W327&gt;0,$C327&lt;&gt;""),$C327+ROW()/1000000,"")</f>
        <v/>
      </c>
      <c r="AO327" s="9">
        <f>IF(COUNTA($B327:$R327)=0,"",IF(AND($I327&lt;&gt;"",COUNTIF(CLIENTES_NOMES,$I327)+COUNTIF(CLIENTES_FANTASIA,$I327)+COUNTIF(FORNECEDORES_NOMES,$I327)+COUNTIF(FORNECEDORES_FANTASIA,$I327)=0),"⚠ Cliente/Fornecedor não cadastrado",IF(AND($G327&lt;&gt;"",COUNTIF(SUBCATEGORIAS_PLANO,$G327)=0),"⚠ Subcategoria fora do plano de contas",IF(OR($Q327="",N($Q327)=0),"⚠ Valor previsto não informado",IF(AND(OR($X327="Pago",$X327="Recebido"),$D327=""),"⚠ Status pago/recebido sem data",IF(AND($D327&lt;&gt;"",N($R327)=0),"⚠ Data de pagamento sem valor realizado",IF(AND(N($P327)&gt;1,N($O327)&gt;N($P327)),"⚠ Nº da parcela maior que o total",IF(AND($C327&lt;&gt;"",$B327&lt;&gt;"",$C327&lt;$B327),"⚠ Vencimento anterior à competência","OK"))))))))</f>
        <v/>
      </c>
    </row>
    <row r="328">
      <c r="A328" s="14" t="inlineStr">
        <is>
          <t>L0323</t>
        </is>
      </c>
      <c r="B328" s="36" t="n">
        <v>46223</v>
      </c>
      <c r="C328" s="36" t="n">
        <v>46223</v>
      </c>
      <c r="D328" s="36" t="n">
        <v>46223</v>
      </c>
      <c r="E328" s="14" t="inlineStr">
        <is>
          <t>Saída</t>
        </is>
      </c>
      <c r="F328" s="29" t="inlineStr">
        <is>
          <t>Despesas Financeiras</t>
        </is>
      </c>
      <c r="G328" s="29" t="inlineStr">
        <is>
          <t>Juros de Empréstimos e Financiamentos</t>
        </is>
      </c>
      <c r="H328" s="29" t="inlineStr">
        <is>
          <t>Diretoria</t>
        </is>
      </c>
      <c r="I328" s="29" t="inlineStr">
        <is>
          <t>Banco Santander</t>
        </is>
      </c>
      <c r="J328" s="29" t="inlineStr">
        <is>
          <t>Financiamento de Veículo — parcela 6/48 (juros)</t>
        </is>
      </c>
      <c r="K328" s="14" t="inlineStr">
        <is>
          <t>VEI-2026-0088-P06</t>
        </is>
      </c>
      <c r="L328" s="29" t="inlineStr">
        <is>
          <t>Itaú Unibanco — C/C 45678-9</t>
        </is>
      </c>
      <c r="M328" s="14" t="inlineStr">
        <is>
          <t>Débito automático</t>
        </is>
      </c>
      <c r="N328" s="29" t="n"/>
      <c r="O328" s="13" t="n">
        <v>6</v>
      </c>
      <c r="P328" s="13" t="n">
        <v>48</v>
      </c>
      <c r="Q328" s="35" t="n">
        <v>921.41</v>
      </c>
      <c r="R328" s="35" t="n">
        <v>921.41</v>
      </c>
      <c r="S328" s="35" t="n"/>
      <c r="T328" s="35" t="n"/>
      <c r="U328" s="35" t="n"/>
      <c r="V328" s="18">
        <f>IF(COUNTA($B328:$R328)=0,"",ROUND(N($R328)+N($S328)+N($T328)-N($U328),2))</f>
        <v/>
      </c>
      <c r="W328" s="18">
        <f>IF(COUNTA($B328:$R328)=0,"",IF(OR($X328="Pago",$X328="Recebido",$X328="Cancelado"),0,ROUND(N($Q328)+N($S328)+N($T328)-N($U328)-N($R328),2)))</f>
        <v/>
      </c>
      <c r="X328" s="14" t="inlineStr">
        <is>
          <t>Pago</t>
        </is>
      </c>
      <c r="Y328" s="17">
        <f>IF(COUNTA($B328:$R328)=0,"",IF($X328="Cancelado","Cancelado",IF(OR($X328="Pago",$X328="Recebido"),$X328,IF(OR($X328="Parcial",N($R328)&gt;0),"Parcial",IF($C328="","Sem vencimento",IF($C328&lt;TODAY(),"Vencido",IF($C328=TODAY(),"Vence hoje",IF($C328&lt;=TODAY()+7,"Vence em 7 dias",IF($C328&lt;=TODAY()+30,"Vence em 30 dias","Futuro")))))))))</f>
        <v/>
      </c>
      <c r="Z328" s="24">
        <f>IF($B328="","",MONTH($B328))</f>
        <v/>
      </c>
      <c r="AA328" s="24">
        <f>IF($B328="","",YEAR($B328))</f>
        <v/>
      </c>
      <c r="AB328" s="24">
        <f>IF($B328="","",ISOWEEKNUM($B328))</f>
        <v/>
      </c>
      <c r="AC328" s="17">
        <f>IF($B328="","",CHOOSE(WEEKDAY($B328,2),"Segunda","Terça","Quarta","Quinta","Sexta","Sábado","Domingo"))</f>
        <v/>
      </c>
      <c r="AD328" s="17">
        <f>IF($B328="","",TEXT($B328,"MM/AAAA"))</f>
        <v/>
      </c>
      <c r="AE328" s="18">
        <f>IF(COUNTA($B328:$R328)=0,"",IF($X328="Cancelado",0,ROUND(N($Q328)+N($S328)+N($T328)-N($U328),2)))</f>
        <v/>
      </c>
      <c r="AF328" s="9">
        <f>IF($G328="","",IFERROR(INDEX(LINHAS_DRE_PLANO,MATCH($G328,SUBCATEGORIAS_PLANO,0)),"Não classificado"))</f>
        <v/>
      </c>
      <c r="AG328" s="17">
        <f>IF($G328="","",IFERROR(INDEX(TIPOS_FLUXO_PLANO,MATCH($G328,SUBCATEGORIAS_PLANO,0)),"Não classificado"))</f>
        <v/>
      </c>
      <c r="AH328" s="9">
        <f>IF($G328="","",IFERROR(INDEX(GRUPOS_PLANO,MATCH($G328,SUBCATEGORIAS_PLANO,0)),"Não classificado"))</f>
        <v/>
      </c>
      <c r="AI328" s="24">
        <f>IF(OR($C328="",$X328="Pago",$X328="Recebido",$X328="Cancelado"),"",$C328-TODAY())</f>
        <v/>
      </c>
      <c r="AJ328" s="24">
        <f>IF(OR($C328="",$X328="Pago",$X328="Recebido",$X328="Cancelado"),0,MAX(0,TODAY()-$C328))</f>
        <v/>
      </c>
      <c r="AK328" s="24">
        <f>IF($D328="","",$D328-$B328)</f>
        <v/>
      </c>
      <c r="AL328" s="18">
        <f>IF(OR($D328="",$B328=""),"",ROUND(N($R328)*($D328-$B328),2))</f>
        <v/>
      </c>
      <c r="AM328" s="17">
        <f>IF(AND($E328="Saída",$W328&gt;0,$C328&lt;&gt;""),$C328+ROW()/1000000,"")</f>
        <v/>
      </c>
      <c r="AN328" s="17">
        <f>IF(AND($E328="Entrada",$W328&gt;0,$C328&lt;&gt;""),$C328+ROW()/1000000,"")</f>
        <v/>
      </c>
      <c r="AO328" s="9">
        <f>IF(COUNTA($B328:$R328)=0,"",IF(AND($I328&lt;&gt;"",COUNTIF(CLIENTES_NOMES,$I328)+COUNTIF(CLIENTES_FANTASIA,$I328)+COUNTIF(FORNECEDORES_NOMES,$I328)+COUNTIF(FORNECEDORES_FANTASIA,$I328)=0),"⚠ Cliente/Fornecedor não cadastrado",IF(AND($G328&lt;&gt;"",COUNTIF(SUBCATEGORIAS_PLANO,$G328)=0),"⚠ Subcategoria fora do plano de contas",IF(OR($Q328="",N($Q328)=0),"⚠ Valor previsto não informado",IF(AND(OR($X328="Pago",$X328="Recebido"),$D328=""),"⚠ Status pago/recebido sem data",IF(AND($D328&lt;&gt;"",N($R328)=0),"⚠ Data de pagamento sem valor realizado",IF(AND(N($P328)&gt;1,N($O328)&gt;N($P328)),"⚠ Nº da parcela maior que o total",IF(AND($C328&lt;&gt;"",$B328&lt;&gt;"",$C328&lt;$B328),"⚠ Vencimento anterior à competência","OK"))))))))</f>
        <v/>
      </c>
    </row>
    <row r="329">
      <c r="A329" s="14" t="inlineStr">
        <is>
          <t>L0324</t>
        </is>
      </c>
      <c r="B329" s="36" t="n">
        <v>46225</v>
      </c>
      <c r="C329" s="36" t="n">
        <v>46255</v>
      </c>
      <c r="D329" s="36" t="n">
        <v>46257</v>
      </c>
      <c r="E329" s="14" t="inlineStr">
        <is>
          <t>Entrada</t>
        </is>
      </c>
      <c r="F329" s="29" t="inlineStr">
        <is>
          <t>Vendas</t>
        </is>
      </c>
      <c r="G329" s="29" t="inlineStr">
        <is>
          <t>Vendas de Serviços</t>
        </is>
      </c>
      <c r="H329" s="29" t="inlineStr">
        <is>
          <t>Comercial</t>
        </is>
      </c>
      <c r="I329" s="29" t="inlineStr">
        <is>
          <t>MERCADO BOA COMPRA LTDA</t>
        </is>
      </c>
      <c r="J329" s="29" t="inlineStr">
        <is>
          <t>Serviços de logística, montagem e reposição</t>
        </is>
      </c>
      <c r="K329" s="14" t="inlineStr">
        <is>
          <t>RPS 3074</t>
        </is>
      </c>
      <c r="L329" s="29" t="inlineStr">
        <is>
          <t>Banco do Brasil — C/C 12345-6</t>
        </is>
      </c>
      <c r="M329" s="14" t="inlineStr">
        <is>
          <t>Boleto</t>
        </is>
      </c>
      <c r="N329" s="29" t="n"/>
      <c r="O329" s="13" t="n">
        <v>1</v>
      </c>
      <c r="P329" s="13" t="n">
        <v>1</v>
      </c>
      <c r="Q329" s="35" t="n">
        <v>12126.25</v>
      </c>
      <c r="R329" s="35" t="n">
        <v>12126.25</v>
      </c>
      <c r="S329" s="35" t="n"/>
      <c r="T329" s="35" t="n"/>
      <c r="U329" s="35" t="n"/>
      <c r="V329" s="18">
        <f>IF(COUNTA($B329:$R329)=0,"",ROUND(N($R329)+N($S329)+N($T329)-N($U329),2))</f>
        <v/>
      </c>
      <c r="W329" s="18">
        <f>IF(COUNTA($B329:$R329)=0,"",IF(OR($X329="Pago",$X329="Recebido",$X329="Cancelado"),0,ROUND(N($Q329)+N($S329)+N($T329)-N($U329)-N($R329),2)))</f>
        <v/>
      </c>
      <c r="X329" s="14" t="inlineStr">
        <is>
          <t>Pago</t>
        </is>
      </c>
      <c r="Y329" s="17">
        <f>IF(COUNTA($B329:$R329)=0,"",IF($X329="Cancelado","Cancelado",IF(OR($X329="Pago",$X329="Recebido"),$X329,IF(OR($X329="Parcial",N($R329)&gt;0),"Parcial",IF($C329="","Sem vencimento",IF($C329&lt;TODAY(),"Vencido",IF($C329=TODAY(),"Vence hoje",IF($C329&lt;=TODAY()+7,"Vence em 7 dias",IF($C329&lt;=TODAY()+30,"Vence em 30 dias","Futuro")))))))))</f>
        <v/>
      </c>
      <c r="Z329" s="24">
        <f>IF($B329="","",MONTH($B329))</f>
        <v/>
      </c>
      <c r="AA329" s="24">
        <f>IF($B329="","",YEAR($B329))</f>
        <v/>
      </c>
      <c r="AB329" s="24">
        <f>IF($B329="","",ISOWEEKNUM($B329))</f>
        <v/>
      </c>
      <c r="AC329" s="17">
        <f>IF($B329="","",CHOOSE(WEEKDAY($B329,2),"Segunda","Terça","Quarta","Quinta","Sexta","Sábado","Domingo"))</f>
        <v/>
      </c>
      <c r="AD329" s="17">
        <f>IF($B329="","",TEXT($B329,"MM/AAAA"))</f>
        <v/>
      </c>
      <c r="AE329" s="18">
        <f>IF(COUNTA($B329:$R329)=0,"",IF($X329="Cancelado",0,ROUND(N($Q329)+N($S329)+N($T329)-N($U329),2)))</f>
        <v/>
      </c>
      <c r="AF329" s="9">
        <f>IF($G329="","",IFERROR(INDEX(LINHAS_DRE_PLANO,MATCH($G329,SUBCATEGORIAS_PLANO,0)),"Não classificado"))</f>
        <v/>
      </c>
      <c r="AG329" s="17">
        <f>IF($G329="","",IFERROR(INDEX(TIPOS_FLUXO_PLANO,MATCH($G329,SUBCATEGORIAS_PLANO,0)),"Não classificado"))</f>
        <v/>
      </c>
      <c r="AH329" s="9">
        <f>IF($G329="","",IFERROR(INDEX(GRUPOS_PLANO,MATCH($G329,SUBCATEGORIAS_PLANO,0)),"Não classificado"))</f>
        <v/>
      </c>
      <c r="AI329" s="24">
        <f>IF(OR($C329="",$X329="Pago",$X329="Recebido",$X329="Cancelado"),"",$C329-TODAY())</f>
        <v/>
      </c>
      <c r="AJ329" s="24">
        <f>IF(OR($C329="",$X329="Pago",$X329="Recebido",$X329="Cancelado"),0,MAX(0,TODAY()-$C329))</f>
        <v/>
      </c>
      <c r="AK329" s="24">
        <f>IF($D329="","",$D329-$B329)</f>
        <v/>
      </c>
      <c r="AL329" s="18">
        <f>IF(OR($D329="",$B329=""),"",ROUND(N($R329)*($D329-$B329),2))</f>
        <v/>
      </c>
      <c r="AM329" s="17">
        <f>IF(AND($E329="Saída",$W329&gt;0,$C329&lt;&gt;""),$C329+ROW()/1000000,"")</f>
        <v/>
      </c>
      <c r="AN329" s="17">
        <f>IF(AND($E329="Entrada",$W329&gt;0,$C329&lt;&gt;""),$C329+ROW()/1000000,"")</f>
        <v/>
      </c>
      <c r="AO329" s="9">
        <f>IF(COUNTA($B329:$R329)=0,"",IF(AND($I329&lt;&gt;"",COUNTIF(CLIENTES_NOMES,$I329)+COUNTIF(CLIENTES_FANTASIA,$I329)+COUNTIF(FORNECEDORES_NOMES,$I329)+COUNTIF(FORNECEDORES_FANTASIA,$I329)=0),"⚠ Cliente/Fornecedor não cadastrado",IF(AND($G329&lt;&gt;"",COUNTIF(SUBCATEGORIAS_PLANO,$G329)=0),"⚠ Subcategoria fora do plano de contas",IF(OR($Q329="",N($Q329)=0),"⚠ Valor previsto não informado",IF(AND(OR($X329="Pago",$X329="Recebido"),$D329=""),"⚠ Status pago/recebido sem data",IF(AND($D329&lt;&gt;"",N($R329)=0),"⚠ Data de pagamento sem valor realizado",IF(AND(N($P329)&gt;1,N($O329)&gt;N($P329)),"⚠ Nº da parcela maior que o total",IF(AND($C329&lt;&gt;"",$B329&lt;&gt;"",$C329&lt;$B329),"⚠ Vencimento anterior à competência","OK"))))))))</f>
        <v/>
      </c>
    </row>
    <row r="330">
      <c r="A330" s="14" t="inlineStr">
        <is>
          <t>L0325</t>
        </is>
      </c>
      <c r="B330" s="36" t="n">
        <v>46225</v>
      </c>
      <c r="C330" s="36" t="n">
        <v>46240</v>
      </c>
      <c r="D330" s="36" t="n">
        <v>46241</v>
      </c>
      <c r="E330" s="14" t="inlineStr">
        <is>
          <t>Entrada</t>
        </is>
      </c>
      <c r="F330" s="29" t="inlineStr">
        <is>
          <t>Vendas</t>
        </is>
      </c>
      <c r="G330" s="29" t="inlineStr">
        <is>
          <t>Vendas de Serviços</t>
        </is>
      </c>
      <c r="H330" s="29" t="inlineStr">
        <is>
          <t>Comercial</t>
        </is>
      </c>
      <c r="I330" s="29" t="inlineStr">
        <is>
          <t>RESTAURANTE SABOR CASEIRO LTDA</t>
        </is>
      </c>
      <c r="J330" s="29" t="inlineStr">
        <is>
          <t>Serviços de logística, montagem e reposição</t>
        </is>
      </c>
      <c r="K330" s="14" t="inlineStr">
        <is>
          <t>RPS 3078</t>
        </is>
      </c>
      <c r="L330" s="29" t="inlineStr">
        <is>
          <t>Itaú Unibanco — C/C 45678-9</t>
        </is>
      </c>
      <c r="M330" s="14" t="inlineStr">
        <is>
          <t>Boleto</t>
        </is>
      </c>
      <c r="N330" s="29" t="n"/>
      <c r="O330" s="13" t="n">
        <v>1</v>
      </c>
      <c r="P330" s="13" t="n">
        <v>1</v>
      </c>
      <c r="Q330" s="35" t="n">
        <v>8219.1</v>
      </c>
      <c r="R330" s="35" t="n">
        <v>8219.1</v>
      </c>
      <c r="S330" s="35" t="n"/>
      <c r="T330" s="35" t="n"/>
      <c r="U330" s="35" t="n"/>
      <c r="V330" s="18">
        <f>IF(COUNTA($B330:$R330)=0,"",ROUND(N($R330)+N($S330)+N($T330)-N($U330),2))</f>
        <v/>
      </c>
      <c r="W330" s="18">
        <f>IF(COUNTA($B330:$R330)=0,"",IF(OR($X330="Pago",$X330="Recebido",$X330="Cancelado"),0,ROUND(N($Q330)+N($S330)+N($T330)-N($U330)-N($R330),2)))</f>
        <v/>
      </c>
      <c r="X330" s="14" t="inlineStr">
        <is>
          <t>Pago</t>
        </is>
      </c>
      <c r="Y330" s="17">
        <f>IF(COUNTA($B330:$R330)=0,"",IF($X330="Cancelado","Cancelado",IF(OR($X330="Pago",$X330="Recebido"),$X330,IF(OR($X330="Parcial",N($R330)&gt;0),"Parcial",IF($C330="","Sem vencimento",IF($C330&lt;TODAY(),"Vencido",IF($C330=TODAY(),"Vence hoje",IF($C330&lt;=TODAY()+7,"Vence em 7 dias",IF($C330&lt;=TODAY()+30,"Vence em 30 dias","Futuro")))))))))</f>
        <v/>
      </c>
      <c r="Z330" s="24">
        <f>IF($B330="","",MONTH($B330))</f>
        <v/>
      </c>
      <c r="AA330" s="24">
        <f>IF($B330="","",YEAR($B330))</f>
        <v/>
      </c>
      <c r="AB330" s="24">
        <f>IF($B330="","",ISOWEEKNUM($B330))</f>
        <v/>
      </c>
      <c r="AC330" s="17">
        <f>IF($B330="","",CHOOSE(WEEKDAY($B330,2),"Segunda","Terça","Quarta","Quinta","Sexta","Sábado","Domingo"))</f>
        <v/>
      </c>
      <c r="AD330" s="17">
        <f>IF($B330="","",TEXT($B330,"MM/AAAA"))</f>
        <v/>
      </c>
      <c r="AE330" s="18">
        <f>IF(COUNTA($B330:$R330)=0,"",IF($X330="Cancelado",0,ROUND(N($Q330)+N($S330)+N($T330)-N($U330),2)))</f>
        <v/>
      </c>
      <c r="AF330" s="9">
        <f>IF($G330="","",IFERROR(INDEX(LINHAS_DRE_PLANO,MATCH($G330,SUBCATEGORIAS_PLANO,0)),"Não classificado"))</f>
        <v/>
      </c>
      <c r="AG330" s="17">
        <f>IF($G330="","",IFERROR(INDEX(TIPOS_FLUXO_PLANO,MATCH($G330,SUBCATEGORIAS_PLANO,0)),"Não classificado"))</f>
        <v/>
      </c>
      <c r="AH330" s="9">
        <f>IF($G330="","",IFERROR(INDEX(GRUPOS_PLANO,MATCH($G330,SUBCATEGORIAS_PLANO,0)),"Não classificado"))</f>
        <v/>
      </c>
      <c r="AI330" s="24">
        <f>IF(OR($C330="",$X330="Pago",$X330="Recebido",$X330="Cancelado"),"",$C330-TODAY())</f>
        <v/>
      </c>
      <c r="AJ330" s="24">
        <f>IF(OR($C330="",$X330="Pago",$X330="Recebido",$X330="Cancelado"),0,MAX(0,TODAY()-$C330))</f>
        <v/>
      </c>
      <c r="AK330" s="24">
        <f>IF($D330="","",$D330-$B330)</f>
        <v/>
      </c>
      <c r="AL330" s="18">
        <f>IF(OR($D330="",$B330=""),"",ROUND(N($R330)*($D330-$B330),2))</f>
        <v/>
      </c>
      <c r="AM330" s="17">
        <f>IF(AND($E330="Saída",$W330&gt;0,$C330&lt;&gt;""),$C330+ROW()/1000000,"")</f>
        <v/>
      </c>
      <c r="AN330" s="17">
        <f>IF(AND($E330="Entrada",$W330&gt;0,$C330&lt;&gt;""),$C330+ROW()/1000000,"")</f>
        <v/>
      </c>
      <c r="AO330" s="9">
        <f>IF(COUNTA($B330:$R330)=0,"",IF(AND($I330&lt;&gt;"",COUNTIF(CLIENTES_NOMES,$I330)+COUNTIF(CLIENTES_FANTASIA,$I330)+COUNTIF(FORNECEDORES_NOMES,$I330)+COUNTIF(FORNECEDORES_FANTASIA,$I330)=0),"⚠ Cliente/Fornecedor não cadastrado",IF(AND($G330&lt;&gt;"",COUNTIF(SUBCATEGORIAS_PLANO,$G330)=0),"⚠ Subcategoria fora do plano de contas",IF(OR($Q330="",N($Q330)=0),"⚠ Valor previsto não informado",IF(AND(OR($X330="Pago",$X330="Recebido"),$D330=""),"⚠ Status pago/recebido sem data",IF(AND($D330&lt;&gt;"",N($R330)=0),"⚠ Data de pagamento sem valor realizado",IF(AND(N($P330)&gt;1,N($O330)&gt;N($P330)),"⚠ Nº da parcela maior que o total",IF(AND($C330&lt;&gt;"",$B330&lt;&gt;"",$C330&lt;$B330),"⚠ Vencimento anterior à competência","OK"))))))))</f>
        <v/>
      </c>
    </row>
    <row r="331">
      <c r="A331" s="14" t="inlineStr">
        <is>
          <t>L0326</t>
        </is>
      </c>
      <c r="B331" s="36" t="n">
        <v>46225</v>
      </c>
      <c r="C331" s="36" t="n">
        <v>46246</v>
      </c>
      <c r="D331" s="36" t="n">
        <v>46249</v>
      </c>
      <c r="E331" s="14" t="inlineStr">
        <is>
          <t>Entrada</t>
        </is>
      </c>
      <c r="F331" s="29" t="inlineStr">
        <is>
          <t>Vendas</t>
        </is>
      </c>
      <c r="G331" s="29" t="inlineStr">
        <is>
          <t>Vendas de Serviços</t>
        </is>
      </c>
      <c r="H331" s="29" t="inlineStr">
        <is>
          <t>Comercial</t>
        </is>
      </c>
      <c r="I331" s="29" t="inlineStr">
        <is>
          <t>EMPÓRIO NATURAL COMÉRCIO LTDA</t>
        </is>
      </c>
      <c r="J331" s="29" t="inlineStr">
        <is>
          <t>Serviços de logística, montagem e reposição</t>
        </is>
      </c>
      <c r="K331" s="14" t="inlineStr">
        <is>
          <t>RPS 3082</t>
        </is>
      </c>
      <c r="L331" s="29" t="inlineStr">
        <is>
          <t>Itaú Unibanco — C/C 45678-9</t>
        </is>
      </c>
      <c r="M331" s="14" t="inlineStr">
        <is>
          <t>Boleto</t>
        </is>
      </c>
      <c r="N331" s="29" t="n"/>
      <c r="O331" s="13" t="n">
        <v>1</v>
      </c>
      <c r="P331" s="13" t="n">
        <v>1</v>
      </c>
      <c r="Q331" s="35" t="n">
        <v>16143.91</v>
      </c>
      <c r="R331" s="35" t="n">
        <v>16143.91</v>
      </c>
      <c r="S331" s="35" t="n"/>
      <c r="T331" s="35" t="n"/>
      <c r="U331" s="35" t="n"/>
      <c r="V331" s="18">
        <f>IF(COUNTA($B331:$R331)=0,"",ROUND(N($R331)+N($S331)+N($T331)-N($U331),2))</f>
        <v/>
      </c>
      <c r="W331" s="18">
        <f>IF(COUNTA($B331:$R331)=0,"",IF(OR($X331="Pago",$X331="Recebido",$X331="Cancelado"),0,ROUND(N($Q331)+N($S331)+N($T331)-N($U331)-N($R331),2)))</f>
        <v/>
      </c>
      <c r="X331" s="14" t="inlineStr">
        <is>
          <t>Pago</t>
        </is>
      </c>
      <c r="Y331" s="17">
        <f>IF(COUNTA($B331:$R331)=0,"",IF($X331="Cancelado","Cancelado",IF(OR($X331="Pago",$X331="Recebido"),$X331,IF(OR($X331="Parcial",N($R331)&gt;0),"Parcial",IF($C331="","Sem vencimento",IF($C331&lt;TODAY(),"Vencido",IF($C331=TODAY(),"Vence hoje",IF($C331&lt;=TODAY()+7,"Vence em 7 dias",IF($C331&lt;=TODAY()+30,"Vence em 30 dias","Futuro")))))))))</f>
        <v/>
      </c>
      <c r="Z331" s="24">
        <f>IF($B331="","",MONTH($B331))</f>
        <v/>
      </c>
      <c r="AA331" s="24">
        <f>IF($B331="","",YEAR($B331))</f>
        <v/>
      </c>
      <c r="AB331" s="24">
        <f>IF($B331="","",ISOWEEKNUM($B331))</f>
        <v/>
      </c>
      <c r="AC331" s="17">
        <f>IF($B331="","",CHOOSE(WEEKDAY($B331,2),"Segunda","Terça","Quarta","Quinta","Sexta","Sábado","Domingo"))</f>
        <v/>
      </c>
      <c r="AD331" s="17">
        <f>IF($B331="","",TEXT($B331,"MM/AAAA"))</f>
        <v/>
      </c>
      <c r="AE331" s="18">
        <f>IF(COUNTA($B331:$R331)=0,"",IF($X331="Cancelado",0,ROUND(N($Q331)+N($S331)+N($T331)-N($U331),2)))</f>
        <v/>
      </c>
      <c r="AF331" s="9">
        <f>IF($G331="","",IFERROR(INDEX(LINHAS_DRE_PLANO,MATCH($G331,SUBCATEGORIAS_PLANO,0)),"Não classificado"))</f>
        <v/>
      </c>
      <c r="AG331" s="17">
        <f>IF($G331="","",IFERROR(INDEX(TIPOS_FLUXO_PLANO,MATCH($G331,SUBCATEGORIAS_PLANO,0)),"Não classificado"))</f>
        <v/>
      </c>
      <c r="AH331" s="9">
        <f>IF($G331="","",IFERROR(INDEX(GRUPOS_PLANO,MATCH($G331,SUBCATEGORIAS_PLANO,0)),"Não classificado"))</f>
        <v/>
      </c>
      <c r="AI331" s="24">
        <f>IF(OR($C331="",$X331="Pago",$X331="Recebido",$X331="Cancelado"),"",$C331-TODAY())</f>
        <v/>
      </c>
      <c r="AJ331" s="24">
        <f>IF(OR($C331="",$X331="Pago",$X331="Recebido",$X331="Cancelado"),0,MAX(0,TODAY()-$C331))</f>
        <v/>
      </c>
      <c r="AK331" s="24">
        <f>IF($D331="","",$D331-$B331)</f>
        <v/>
      </c>
      <c r="AL331" s="18">
        <f>IF(OR($D331="",$B331=""),"",ROUND(N($R331)*($D331-$B331),2))</f>
        <v/>
      </c>
      <c r="AM331" s="17">
        <f>IF(AND($E331="Saída",$W331&gt;0,$C331&lt;&gt;""),$C331+ROW()/1000000,"")</f>
        <v/>
      </c>
      <c r="AN331" s="17">
        <f>IF(AND($E331="Entrada",$W331&gt;0,$C331&lt;&gt;""),$C331+ROW()/1000000,"")</f>
        <v/>
      </c>
      <c r="AO331" s="9">
        <f>IF(COUNTA($B331:$R331)=0,"",IF(AND($I331&lt;&gt;"",COUNTIF(CLIENTES_NOMES,$I331)+COUNTIF(CLIENTES_FANTASIA,$I331)+COUNTIF(FORNECEDORES_NOMES,$I331)+COUNTIF(FORNECEDORES_FANTASIA,$I331)=0),"⚠ Cliente/Fornecedor não cadastrado",IF(AND($G331&lt;&gt;"",COUNTIF(SUBCATEGORIAS_PLANO,$G331)=0),"⚠ Subcategoria fora do plano de contas",IF(OR($Q331="",N($Q331)=0),"⚠ Valor previsto não informado",IF(AND(OR($X331="Pago",$X331="Recebido"),$D331=""),"⚠ Status pago/recebido sem data",IF(AND($D331&lt;&gt;"",N($R331)=0),"⚠ Data de pagamento sem valor realizado",IF(AND(N($P331)&gt;1,N($O331)&gt;N($P331)),"⚠ Nº da parcela maior que o total",IF(AND($C331&lt;&gt;"",$B331&lt;&gt;"",$C331&lt;$B331),"⚠ Vencimento anterior à competência","OK"))))))))</f>
        <v/>
      </c>
    </row>
    <row r="332">
      <c r="A332" s="14" t="inlineStr">
        <is>
          <t>L0327</t>
        </is>
      </c>
      <c r="B332" s="36" t="n">
        <v>46227</v>
      </c>
      <c r="C332" s="36" t="n">
        <v>46239</v>
      </c>
      <c r="D332" s="36" t="n">
        <v>46241</v>
      </c>
      <c r="E332" s="14" t="inlineStr">
        <is>
          <t>Saída</t>
        </is>
      </c>
      <c r="F332" s="29" t="inlineStr">
        <is>
          <t>Despesas Comerciais</t>
        </is>
      </c>
      <c r="G332" s="29" t="inlineStr">
        <is>
          <t>Viagens Comerciais</t>
        </is>
      </c>
      <c r="H332" s="29" t="inlineStr">
        <is>
          <t>Comercial</t>
        </is>
      </c>
      <c r="I332" s="29" t="inlineStr">
        <is>
          <t>AGÊNCIA PULSO DIGITAL LTDA</t>
        </is>
      </c>
      <c r="J332" s="29" t="inlineStr">
        <is>
          <t>Viagens comerciais e visitas a clientes</t>
        </is>
      </c>
      <c r="K332" s="14" t="inlineStr">
        <is>
          <t>DOC 8377</t>
        </is>
      </c>
      <c r="L332" s="29" t="inlineStr">
        <is>
          <t>Itaú Unibanco — C/C 45678-9</t>
        </is>
      </c>
      <c r="M332" s="14" t="inlineStr">
        <is>
          <t>Cartão de crédito</t>
        </is>
      </c>
      <c r="N332" s="29" t="inlineStr">
        <is>
          <t>Cartão Visa Itaú Business</t>
        </is>
      </c>
      <c r="O332" s="13" t="n">
        <v>1</v>
      </c>
      <c r="P332" s="13" t="n">
        <v>1</v>
      </c>
      <c r="Q332" s="35" t="n">
        <v>1594.95</v>
      </c>
      <c r="R332" s="35" t="n">
        <v>1594.95</v>
      </c>
      <c r="S332" s="35" t="n"/>
      <c r="T332" s="35" t="n"/>
      <c r="U332" s="35" t="n"/>
      <c r="V332" s="18">
        <f>IF(COUNTA($B332:$R332)=0,"",ROUND(N($R332)+N($S332)+N($T332)-N($U332),2))</f>
        <v/>
      </c>
      <c r="W332" s="18">
        <f>IF(COUNTA($B332:$R332)=0,"",IF(OR($X332="Pago",$X332="Recebido",$X332="Cancelado"),0,ROUND(N($Q332)+N($S332)+N($T332)-N($U332)-N($R332),2)))</f>
        <v/>
      </c>
      <c r="X332" s="14" t="inlineStr">
        <is>
          <t>Pago</t>
        </is>
      </c>
      <c r="Y332" s="17">
        <f>IF(COUNTA($B332:$R332)=0,"",IF($X332="Cancelado","Cancelado",IF(OR($X332="Pago",$X332="Recebido"),$X332,IF(OR($X332="Parcial",N($R332)&gt;0),"Parcial",IF($C332="","Sem vencimento",IF($C332&lt;TODAY(),"Vencido",IF($C332=TODAY(),"Vence hoje",IF($C332&lt;=TODAY()+7,"Vence em 7 dias",IF($C332&lt;=TODAY()+30,"Vence em 30 dias","Futuro")))))))))</f>
        <v/>
      </c>
      <c r="Z332" s="24">
        <f>IF($B332="","",MONTH($B332))</f>
        <v/>
      </c>
      <c r="AA332" s="24">
        <f>IF($B332="","",YEAR($B332))</f>
        <v/>
      </c>
      <c r="AB332" s="24">
        <f>IF($B332="","",ISOWEEKNUM($B332))</f>
        <v/>
      </c>
      <c r="AC332" s="17">
        <f>IF($B332="","",CHOOSE(WEEKDAY($B332,2),"Segunda","Terça","Quarta","Quinta","Sexta","Sábado","Domingo"))</f>
        <v/>
      </c>
      <c r="AD332" s="17">
        <f>IF($B332="","",TEXT($B332,"MM/AAAA"))</f>
        <v/>
      </c>
      <c r="AE332" s="18">
        <f>IF(COUNTA($B332:$R332)=0,"",IF($X332="Cancelado",0,ROUND(N($Q332)+N($S332)+N($T332)-N($U332),2)))</f>
        <v/>
      </c>
      <c r="AF332" s="9">
        <f>IF($G332="","",IFERROR(INDEX(LINHAS_DRE_PLANO,MATCH($G332,SUBCATEGORIAS_PLANO,0)),"Não classificado"))</f>
        <v/>
      </c>
      <c r="AG332" s="17">
        <f>IF($G332="","",IFERROR(INDEX(TIPOS_FLUXO_PLANO,MATCH($G332,SUBCATEGORIAS_PLANO,0)),"Não classificado"))</f>
        <v/>
      </c>
      <c r="AH332" s="9">
        <f>IF($G332="","",IFERROR(INDEX(GRUPOS_PLANO,MATCH($G332,SUBCATEGORIAS_PLANO,0)),"Não classificado"))</f>
        <v/>
      </c>
      <c r="AI332" s="24">
        <f>IF(OR($C332="",$X332="Pago",$X332="Recebido",$X332="Cancelado"),"",$C332-TODAY())</f>
        <v/>
      </c>
      <c r="AJ332" s="24">
        <f>IF(OR($C332="",$X332="Pago",$X332="Recebido",$X332="Cancelado"),0,MAX(0,TODAY()-$C332))</f>
        <v/>
      </c>
      <c r="AK332" s="24">
        <f>IF($D332="","",$D332-$B332)</f>
        <v/>
      </c>
      <c r="AL332" s="18">
        <f>IF(OR($D332="",$B332=""),"",ROUND(N($R332)*($D332-$B332),2))</f>
        <v/>
      </c>
      <c r="AM332" s="17">
        <f>IF(AND($E332="Saída",$W332&gt;0,$C332&lt;&gt;""),$C332+ROW()/1000000,"")</f>
        <v/>
      </c>
      <c r="AN332" s="17">
        <f>IF(AND($E332="Entrada",$W332&gt;0,$C332&lt;&gt;""),$C332+ROW()/1000000,"")</f>
        <v/>
      </c>
      <c r="AO332" s="9">
        <f>IF(COUNTA($B332:$R332)=0,"",IF(AND($I332&lt;&gt;"",COUNTIF(CLIENTES_NOMES,$I332)+COUNTIF(CLIENTES_FANTASIA,$I332)+COUNTIF(FORNECEDORES_NOMES,$I332)+COUNTIF(FORNECEDORES_FANTASIA,$I332)=0),"⚠ Cliente/Fornecedor não cadastrado",IF(AND($G332&lt;&gt;"",COUNTIF(SUBCATEGORIAS_PLANO,$G332)=0),"⚠ Subcategoria fora do plano de contas",IF(OR($Q332="",N($Q332)=0),"⚠ Valor previsto não informado",IF(AND(OR($X332="Pago",$X332="Recebido"),$D332=""),"⚠ Status pago/recebido sem data",IF(AND($D332&lt;&gt;"",N($R332)=0),"⚠ Data de pagamento sem valor realizado",IF(AND(N($P332)&gt;1,N($O332)&gt;N($P332)),"⚠ Nº da parcela maior que o total",IF(AND($C332&lt;&gt;"",$B332&lt;&gt;"",$C332&lt;$B332),"⚠ Vencimento anterior à competência","OK"))))))))</f>
        <v/>
      </c>
    </row>
    <row r="333">
      <c r="A333" s="14" t="inlineStr">
        <is>
          <t>L0328</t>
        </is>
      </c>
      <c r="B333" s="36" t="n">
        <v>46228</v>
      </c>
      <c r="C333" s="36" t="n">
        <v>46243</v>
      </c>
      <c r="D333" s="36" t="n">
        <v>46246</v>
      </c>
      <c r="E333" s="14" t="inlineStr">
        <is>
          <t>Saída</t>
        </is>
      </c>
      <c r="F333" s="29" t="inlineStr">
        <is>
          <t>Custos Variáveis</t>
        </is>
      </c>
      <c r="G333" s="29" t="inlineStr">
        <is>
          <t>Fretes e Entregas sobre Vendas</t>
        </is>
      </c>
      <c r="H333" s="29" t="inlineStr">
        <is>
          <t>Logística</t>
        </is>
      </c>
      <c r="I333" s="29" t="inlineStr">
        <is>
          <t>TRANSPORTADORA RÁPIDA LOG LTDA</t>
        </is>
      </c>
      <c r="J333" s="29" t="inlineStr">
        <is>
          <t>Fretes de entrega — notas do período</t>
        </is>
      </c>
      <c r="K333" s="14" t="inlineStr">
        <is>
          <t>DOC 7215</t>
        </is>
      </c>
      <c r="L333" s="29" t="inlineStr">
        <is>
          <t>Itaú Unibanco — C/C 45678-9</t>
        </is>
      </c>
      <c r="M333" s="14" t="inlineStr">
        <is>
          <t>Boleto</t>
        </is>
      </c>
      <c r="N333" s="29" t="n"/>
      <c r="O333" s="13" t="n">
        <v>1</v>
      </c>
      <c r="P333" s="13" t="n">
        <v>1</v>
      </c>
      <c r="Q333" s="35" t="n">
        <v>4441.48</v>
      </c>
      <c r="R333" s="35" t="n">
        <v>4441.48</v>
      </c>
      <c r="S333" s="35" t="n"/>
      <c r="T333" s="35" t="n"/>
      <c r="U333" s="35" t="n"/>
      <c r="V333" s="18">
        <f>IF(COUNTA($B333:$R333)=0,"",ROUND(N($R333)+N($S333)+N($T333)-N($U333),2))</f>
        <v/>
      </c>
      <c r="W333" s="18">
        <f>IF(COUNTA($B333:$R333)=0,"",IF(OR($X333="Pago",$X333="Recebido",$X333="Cancelado"),0,ROUND(N($Q333)+N($S333)+N($T333)-N($U333)-N($R333),2)))</f>
        <v/>
      </c>
      <c r="X333" s="14" t="inlineStr">
        <is>
          <t>Pago</t>
        </is>
      </c>
      <c r="Y333" s="17">
        <f>IF(COUNTA($B333:$R333)=0,"",IF($X333="Cancelado","Cancelado",IF(OR($X333="Pago",$X333="Recebido"),$X333,IF(OR($X333="Parcial",N($R333)&gt;0),"Parcial",IF($C333="","Sem vencimento",IF($C333&lt;TODAY(),"Vencido",IF($C333=TODAY(),"Vence hoje",IF($C333&lt;=TODAY()+7,"Vence em 7 dias",IF($C333&lt;=TODAY()+30,"Vence em 30 dias","Futuro")))))))))</f>
        <v/>
      </c>
      <c r="Z333" s="24">
        <f>IF($B333="","",MONTH($B333))</f>
        <v/>
      </c>
      <c r="AA333" s="24">
        <f>IF($B333="","",YEAR($B333))</f>
        <v/>
      </c>
      <c r="AB333" s="24">
        <f>IF($B333="","",ISOWEEKNUM($B333))</f>
        <v/>
      </c>
      <c r="AC333" s="17">
        <f>IF($B333="","",CHOOSE(WEEKDAY($B333,2),"Segunda","Terça","Quarta","Quinta","Sexta","Sábado","Domingo"))</f>
        <v/>
      </c>
      <c r="AD333" s="17">
        <f>IF($B333="","",TEXT($B333,"MM/AAAA"))</f>
        <v/>
      </c>
      <c r="AE333" s="18">
        <f>IF(COUNTA($B333:$R333)=0,"",IF($X333="Cancelado",0,ROUND(N($Q333)+N($S333)+N($T333)-N($U333),2)))</f>
        <v/>
      </c>
      <c r="AF333" s="9">
        <f>IF($G333="","",IFERROR(INDEX(LINHAS_DRE_PLANO,MATCH($G333,SUBCATEGORIAS_PLANO,0)),"Não classificado"))</f>
        <v/>
      </c>
      <c r="AG333" s="17">
        <f>IF($G333="","",IFERROR(INDEX(TIPOS_FLUXO_PLANO,MATCH($G333,SUBCATEGORIAS_PLANO,0)),"Não classificado"))</f>
        <v/>
      </c>
      <c r="AH333" s="9">
        <f>IF($G333="","",IFERROR(INDEX(GRUPOS_PLANO,MATCH($G333,SUBCATEGORIAS_PLANO,0)),"Não classificado"))</f>
        <v/>
      </c>
      <c r="AI333" s="24">
        <f>IF(OR($C333="",$X333="Pago",$X333="Recebido",$X333="Cancelado"),"",$C333-TODAY())</f>
        <v/>
      </c>
      <c r="AJ333" s="24">
        <f>IF(OR($C333="",$X333="Pago",$X333="Recebido",$X333="Cancelado"),0,MAX(0,TODAY()-$C333))</f>
        <v/>
      </c>
      <c r="AK333" s="24">
        <f>IF($D333="","",$D333-$B333)</f>
        <v/>
      </c>
      <c r="AL333" s="18">
        <f>IF(OR($D333="",$B333=""),"",ROUND(N($R333)*($D333-$B333),2))</f>
        <v/>
      </c>
      <c r="AM333" s="17">
        <f>IF(AND($E333="Saída",$W333&gt;0,$C333&lt;&gt;""),$C333+ROW()/1000000,"")</f>
        <v/>
      </c>
      <c r="AN333" s="17">
        <f>IF(AND($E333="Entrada",$W333&gt;0,$C333&lt;&gt;""),$C333+ROW()/1000000,"")</f>
        <v/>
      </c>
      <c r="AO333" s="9">
        <f>IF(COUNTA($B333:$R333)=0,"",IF(AND($I333&lt;&gt;"",COUNTIF(CLIENTES_NOMES,$I333)+COUNTIF(CLIENTES_FANTASIA,$I333)+COUNTIF(FORNECEDORES_NOMES,$I333)+COUNTIF(FORNECEDORES_FANTASIA,$I333)=0),"⚠ Cliente/Fornecedor não cadastrado",IF(AND($G333&lt;&gt;"",COUNTIF(SUBCATEGORIAS_PLANO,$G333)=0),"⚠ Subcategoria fora do plano de contas",IF(OR($Q333="",N($Q333)=0),"⚠ Valor previsto não informado",IF(AND(OR($X333="Pago",$X333="Recebido"),$D333=""),"⚠ Status pago/recebido sem data",IF(AND($D333&lt;&gt;"",N($R333)=0),"⚠ Data de pagamento sem valor realizado",IF(AND(N($P333)&gt;1,N($O333)&gt;N($P333)),"⚠ Nº da parcela maior que o total",IF(AND($C333&lt;&gt;"",$B333&lt;&gt;"",$C333&lt;$B333),"⚠ Vencimento anterior à competência","OK"))))))))</f>
        <v/>
      </c>
    </row>
    <row r="334">
      <c r="A334" s="14" t="inlineStr">
        <is>
          <t>L0329</t>
        </is>
      </c>
      <c r="B334" s="36" t="n">
        <v>46229</v>
      </c>
      <c r="C334" s="36" t="n">
        <v>46229</v>
      </c>
      <c r="D334" s="36" t="n">
        <v>46232</v>
      </c>
      <c r="E334" s="14" t="inlineStr">
        <is>
          <t>Saída</t>
        </is>
      </c>
      <c r="F334" s="29" t="inlineStr">
        <is>
          <t>Despesas Administrativas</t>
        </is>
      </c>
      <c r="G334" s="29" t="inlineStr">
        <is>
          <t>Outras Despesas Administrativas</t>
        </is>
      </c>
      <c r="H334" s="29" t="inlineStr">
        <is>
          <t>Administrativo</t>
        </is>
      </c>
      <c r="I334" s="29" t="inlineStr">
        <is>
          <t>MANUTENÇÃO PREDIAL EXPRESSA LTDA</t>
        </is>
      </c>
      <c r="J334" s="29" t="inlineStr">
        <is>
          <t>Despesas administrativas diversas</t>
        </is>
      </c>
      <c r="K334" s="14" t="inlineStr">
        <is>
          <t>DOC 8378</t>
        </is>
      </c>
      <c r="L334" s="29" t="inlineStr">
        <is>
          <t>Itaú Unibanco — C/C 45678-9</t>
        </is>
      </c>
      <c r="M334" s="14" t="inlineStr">
        <is>
          <t>PIX</t>
        </is>
      </c>
      <c r="N334" s="29" t="n"/>
      <c r="O334" s="13" t="n">
        <v>1</v>
      </c>
      <c r="P334" s="13" t="n">
        <v>1</v>
      </c>
      <c r="Q334" s="35" t="n">
        <v>646.8200000000001</v>
      </c>
      <c r="R334" s="35" t="n">
        <v>646.8200000000001</v>
      </c>
      <c r="S334" s="35" t="n"/>
      <c r="T334" s="35" t="n"/>
      <c r="U334" s="35" t="n"/>
      <c r="V334" s="18">
        <f>IF(COUNTA($B334:$R334)=0,"",ROUND(N($R334)+N($S334)+N($T334)-N($U334),2))</f>
        <v/>
      </c>
      <c r="W334" s="18">
        <f>IF(COUNTA($B334:$R334)=0,"",IF(OR($X334="Pago",$X334="Recebido",$X334="Cancelado"),0,ROUND(N($Q334)+N($S334)+N($T334)-N($U334)-N($R334),2)))</f>
        <v/>
      </c>
      <c r="X334" s="14" t="inlineStr">
        <is>
          <t>Pago</t>
        </is>
      </c>
      <c r="Y334" s="17">
        <f>IF(COUNTA($B334:$R334)=0,"",IF($X334="Cancelado","Cancelado",IF(OR($X334="Pago",$X334="Recebido"),$X334,IF(OR($X334="Parcial",N($R334)&gt;0),"Parcial",IF($C334="","Sem vencimento",IF($C334&lt;TODAY(),"Vencido",IF($C334=TODAY(),"Vence hoje",IF($C334&lt;=TODAY()+7,"Vence em 7 dias",IF($C334&lt;=TODAY()+30,"Vence em 30 dias","Futuro")))))))))</f>
        <v/>
      </c>
      <c r="Z334" s="24">
        <f>IF($B334="","",MONTH($B334))</f>
        <v/>
      </c>
      <c r="AA334" s="24">
        <f>IF($B334="","",YEAR($B334))</f>
        <v/>
      </c>
      <c r="AB334" s="24">
        <f>IF($B334="","",ISOWEEKNUM($B334))</f>
        <v/>
      </c>
      <c r="AC334" s="17">
        <f>IF($B334="","",CHOOSE(WEEKDAY($B334,2),"Segunda","Terça","Quarta","Quinta","Sexta","Sábado","Domingo"))</f>
        <v/>
      </c>
      <c r="AD334" s="17">
        <f>IF($B334="","",TEXT($B334,"MM/AAAA"))</f>
        <v/>
      </c>
      <c r="AE334" s="18">
        <f>IF(COUNTA($B334:$R334)=0,"",IF($X334="Cancelado",0,ROUND(N($Q334)+N($S334)+N($T334)-N($U334),2)))</f>
        <v/>
      </c>
      <c r="AF334" s="9">
        <f>IF($G334="","",IFERROR(INDEX(LINHAS_DRE_PLANO,MATCH($G334,SUBCATEGORIAS_PLANO,0)),"Não classificado"))</f>
        <v/>
      </c>
      <c r="AG334" s="17">
        <f>IF($G334="","",IFERROR(INDEX(TIPOS_FLUXO_PLANO,MATCH($G334,SUBCATEGORIAS_PLANO,0)),"Não classificado"))</f>
        <v/>
      </c>
      <c r="AH334" s="9">
        <f>IF($G334="","",IFERROR(INDEX(GRUPOS_PLANO,MATCH($G334,SUBCATEGORIAS_PLANO,0)),"Não classificado"))</f>
        <v/>
      </c>
      <c r="AI334" s="24">
        <f>IF(OR($C334="",$X334="Pago",$X334="Recebido",$X334="Cancelado"),"",$C334-TODAY())</f>
        <v/>
      </c>
      <c r="AJ334" s="24">
        <f>IF(OR($C334="",$X334="Pago",$X334="Recebido",$X334="Cancelado"),0,MAX(0,TODAY()-$C334))</f>
        <v/>
      </c>
      <c r="AK334" s="24">
        <f>IF($D334="","",$D334-$B334)</f>
        <v/>
      </c>
      <c r="AL334" s="18">
        <f>IF(OR($D334="",$B334=""),"",ROUND(N($R334)*($D334-$B334),2))</f>
        <v/>
      </c>
      <c r="AM334" s="17">
        <f>IF(AND($E334="Saída",$W334&gt;0,$C334&lt;&gt;""),$C334+ROW()/1000000,"")</f>
        <v/>
      </c>
      <c r="AN334" s="17">
        <f>IF(AND($E334="Entrada",$W334&gt;0,$C334&lt;&gt;""),$C334+ROW()/1000000,"")</f>
        <v/>
      </c>
      <c r="AO334" s="9">
        <f>IF(COUNTA($B334:$R334)=0,"",IF(AND($I334&lt;&gt;"",COUNTIF(CLIENTES_NOMES,$I334)+COUNTIF(CLIENTES_FANTASIA,$I334)+COUNTIF(FORNECEDORES_NOMES,$I334)+COUNTIF(FORNECEDORES_FANTASIA,$I334)=0),"⚠ Cliente/Fornecedor não cadastrado",IF(AND($G334&lt;&gt;"",COUNTIF(SUBCATEGORIAS_PLANO,$G334)=0),"⚠ Subcategoria fora do plano de contas",IF(OR($Q334="",N($Q334)=0),"⚠ Valor previsto não informado",IF(AND(OR($X334="Pago",$X334="Recebido"),$D334=""),"⚠ Status pago/recebido sem data",IF(AND($D334&lt;&gt;"",N($R334)=0),"⚠ Data de pagamento sem valor realizado",IF(AND(N($P334)&gt;1,N($O334)&gt;N($P334)),"⚠ Nº da parcela maior que o total",IF(AND($C334&lt;&gt;"",$B334&lt;&gt;"",$C334&lt;$B334),"⚠ Vencimento anterior à competência","OK"))))))))</f>
        <v/>
      </c>
    </row>
    <row r="335">
      <c r="A335" s="14" t="inlineStr">
        <is>
          <t>L0330</t>
        </is>
      </c>
      <c r="B335" s="36" t="n">
        <v>46231</v>
      </c>
      <c r="C335" s="36" t="n">
        <v>46231</v>
      </c>
      <c r="D335" s="36" t="n">
        <v>46231</v>
      </c>
      <c r="E335" s="14" t="inlineStr">
        <is>
          <t>Entrada</t>
        </is>
      </c>
      <c r="F335" s="29" t="inlineStr">
        <is>
          <t>Receitas Financeiras</t>
        </is>
      </c>
      <c r="G335" s="29" t="inlineStr">
        <is>
          <t>Rendimentos de Aplicações Financeiras</t>
        </is>
      </c>
      <c r="H335" s="29" t="inlineStr">
        <is>
          <t>Financeiro</t>
        </is>
      </c>
      <c r="I335" s="29" t="inlineStr">
        <is>
          <t>Itaú Unibanco</t>
        </is>
      </c>
      <c r="J335" s="29" t="inlineStr">
        <is>
          <t>Rendimento de aplicação financeira — 07/2026</t>
        </is>
      </c>
      <c r="K335" s="14" t="inlineStr">
        <is>
          <t>REND-APL</t>
        </is>
      </c>
      <c r="L335" s="29" t="inlineStr">
        <is>
          <t>Itaú Unibanco — C/C 45678-9</t>
        </is>
      </c>
      <c r="M335" s="14" t="inlineStr">
        <is>
          <t>Transferência</t>
        </is>
      </c>
      <c r="N335" s="29" t="n"/>
      <c r="O335" s="13" t="n">
        <v>1</v>
      </c>
      <c r="P335" s="13" t="n">
        <v>1</v>
      </c>
      <c r="Q335" s="35" t="n">
        <v>838</v>
      </c>
      <c r="R335" s="35" t="n">
        <v>838</v>
      </c>
      <c r="S335" s="35" t="n"/>
      <c r="T335" s="35" t="n"/>
      <c r="U335" s="35" t="n"/>
      <c r="V335" s="18">
        <f>IF(COUNTA($B335:$R335)=0,"",ROUND(N($R335)+N($S335)+N($T335)-N($U335),2))</f>
        <v/>
      </c>
      <c r="W335" s="18">
        <f>IF(COUNTA($B335:$R335)=0,"",IF(OR($X335="Pago",$X335="Recebido",$X335="Cancelado"),0,ROUND(N($Q335)+N($S335)+N($T335)-N($U335)-N($R335),2)))</f>
        <v/>
      </c>
      <c r="X335" s="14" t="inlineStr">
        <is>
          <t>Recebido</t>
        </is>
      </c>
      <c r="Y335" s="17">
        <f>IF(COUNTA($B335:$R335)=0,"",IF($X335="Cancelado","Cancelado",IF(OR($X335="Pago",$X335="Recebido"),$X335,IF(OR($X335="Parcial",N($R335)&gt;0),"Parcial",IF($C335="","Sem vencimento",IF($C335&lt;TODAY(),"Vencido",IF($C335=TODAY(),"Vence hoje",IF($C335&lt;=TODAY()+7,"Vence em 7 dias",IF($C335&lt;=TODAY()+30,"Vence em 30 dias","Futuro")))))))))</f>
        <v/>
      </c>
      <c r="Z335" s="24">
        <f>IF($B335="","",MONTH($B335))</f>
        <v/>
      </c>
      <c r="AA335" s="24">
        <f>IF($B335="","",YEAR($B335))</f>
        <v/>
      </c>
      <c r="AB335" s="24">
        <f>IF($B335="","",ISOWEEKNUM($B335))</f>
        <v/>
      </c>
      <c r="AC335" s="17">
        <f>IF($B335="","",CHOOSE(WEEKDAY($B335,2),"Segunda","Terça","Quarta","Quinta","Sexta","Sábado","Domingo"))</f>
        <v/>
      </c>
      <c r="AD335" s="17">
        <f>IF($B335="","",TEXT($B335,"MM/AAAA"))</f>
        <v/>
      </c>
      <c r="AE335" s="18">
        <f>IF(COUNTA($B335:$R335)=0,"",IF($X335="Cancelado",0,ROUND(N($Q335)+N($S335)+N($T335)-N($U335),2)))</f>
        <v/>
      </c>
      <c r="AF335" s="9">
        <f>IF($G335="","",IFERROR(INDEX(LINHAS_DRE_PLANO,MATCH($G335,SUBCATEGORIAS_PLANO,0)),"Não classificado"))</f>
        <v/>
      </c>
      <c r="AG335" s="17">
        <f>IF($G335="","",IFERROR(INDEX(TIPOS_FLUXO_PLANO,MATCH($G335,SUBCATEGORIAS_PLANO,0)),"Não classificado"))</f>
        <v/>
      </c>
      <c r="AH335" s="9">
        <f>IF($G335="","",IFERROR(INDEX(GRUPOS_PLANO,MATCH($G335,SUBCATEGORIAS_PLANO,0)),"Não classificado"))</f>
        <v/>
      </c>
      <c r="AI335" s="24">
        <f>IF(OR($C335="",$X335="Pago",$X335="Recebido",$X335="Cancelado"),"",$C335-TODAY())</f>
        <v/>
      </c>
      <c r="AJ335" s="24">
        <f>IF(OR($C335="",$X335="Pago",$X335="Recebido",$X335="Cancelado"),0,MAX(0,TODAY()-$C335))</f>
        <v/>
      </c>
      <c r="AK335" s="24">
        <f>IF($D335="","",$D335-$B335)</f>
        <v/>
      </c>
      <c r="AL335" s="18">
        <f>IF(OR($D335="",$B335=""),"",ROUND(N($R335)*($D335-$B335),2))</f>
        <v/>
      </c>
      <c r="AM335" s="17">
        <f>IF(AND($E335="Saída",$W335&gt;0,$C335&lt;&gt;""),$C335+ROW()/1000000,"")</f>
        <v/>
      </c>
      <c r="AN335" s="17">
        <f>IF(AND($E335="Entrada",$W335&gt;0,$C335&lt;&gt;""),$C335+ROW()/1000000,"")</f>
        <v/>
      </c>
      <c r="AO335" s="9">
        <f>IF(COUNTA($B335:$R335)=0,"",IF(AND($I335&lt;&gt;"",COUNTIF(CLIENTES_NOMES,$I335)+COUNTIF(CLIENTES_FANTASIA,$I335)+COUNTIF(FORNECEDORES_NOMES,$I335)+COUNTIF(FORNECEDORES_FANTASIA,$I335)=0),"⚠ Cliente/Fornecedor não cadastrado",IF(AND($G335&lt;&gt;"",COUNTIF(SUBCATEGORIAS_PLANO,$G335)=0),"⚠ Subcategoria fora do plano de contas",IF(OR($Q335="",N($Q335)=0),"⚠ Valor previsto não informado",IF(AND(OR($X335="Pago",$X335="Recebido"),$D335=""),"⚠ Status pago/recebido sem data",IF(AND($D335&lt;&gt;"",N($R335)=0),"⚠ Data de pagamento sem valor realizado",IF(AND(N($P335)&gt;1,N($O335)&gt;N($P335)),"⚠ Nº da parcela maior que o total",IF(AND($C335&lt;&gt;"",$B335&lt;&gt;"",$C335&lt;$B335),"⚠ Vencimento anterior à competência","OK"))))))))</f>
        <v/>
      </c>
    </row>
    <row r="336">
      <c r="A336" s="14" t="inlineStr">
        <is>
          <t>L0331</t>
        </is>
      </c>
      <c r="B336" s="36" t="n">
        <v>46231</v>
      </c>
      <c r="C336" s="36" t="n">
        <v>46236</v>
      </c>
      <c r="D336" s="36" t="n">
        <v>46238</v>
      </c>
      <c r="E336" s="14" t="inlineStr">
        <is>
          <t>Saída</t>
        </is>
      </c>
      <c r="F336" s="29" t="inlineStr">
        <is>
          <t>Custos Variáveis</t>
        </is>
      </c>
      <c r="G336" s="29" t="inlineStr">
        <is>
          <t>Comissões sobre Vendas</t>
        </is>
      </c>
      <c r="H336" s="29" t="inlineStr">
        <is>
          <t>Comercial</t>
        </is>
      </c>
      <c r="I336" s="29" t="inlineStr">
        <is>
          <t>EQUIPE COMERCIAL — COMISSÕES</t>
        </is>
      </c>
      <c r="J336" s="29" t="inlineStr">
        <is>
          <t>Comissões sobre vendas do período</t>
        </is>
      </c>
      <c r="K336" s="14" t="inlineStr">
        <is>
          <t>DOC 7216</t>
        </is>
      </c>
      <c r="L336" s="29" t="inlineStr">
        <is>
          <t>Banco do Brasil — C/C 12345-6</t>
        </is>
      </c>
      <c r="M336" s="14" t="inlineStr">
        <is>
          <t>Transferência</t>
        </is>
      </c>
      <c r="N336" s="29" t="n"/>
      <c r="O336" s="13" t="n">
        <v>1</v>
      </c>
      <c r="P336" s="13" t="n">
        <v>1</v>
      </c>
      <c r="Q336" s="35" t="n">
        <v>3466.66</v>
      </c>
      <c r="R336" s="35" t="n">
        <v>3466.66</v>
      </c>
      <c r="S336" s="35" t="n"/>
      <c r="T336" s="35" t="n"/>
      <c r="U336" s="35" t="n"/>
      <c r="V336" s="18">
        <f>IF(COUNTA($B336:$R336)=0,"",ROUND(N($R336)+N($S336)+N($T336)-N($U336),2))</f>
        <v/>
      </c>
      <c r="W336" s="18">
        <f>IF(COUNTA($B336:$R336)=0,"",IF(OR($X336="Pago",$X336="Recebido",$X336="Cancelado"),0,ROUND(N($Q336)+N($S336)+N($T336)-N($U336)-N($R336),2)))</f>
        <v/>
      </c>
      <c r="X336" s="14" t="inlineStr">
        <is>
          <t>Pago</t>
        </is>
      </c>
      <c r="Y336" s="17">
        <f>IF(COUNTA($B336:$R336)=0,"",IF($X336="Cancelado","Cancelado",IF(OR($X336="Pago",$X336="Recebido"),$X336,IF(OR($X336="Parcial",N($R336)&gt;0),"Parcial",IF($C336="","Sem vencimento",IF($C336&lt;TODAY(),"Vencido",IF($C336=TODAY(),"Vence hoje",IF($C336&lt;=TODAY()+7,"Vence em 7 dias",IF($C336&lt;=TODAY()+30,"Vence em 30 dias","Futuro")))))))))</f>
        <v/>
      </c>
      <c r="Z336" s="24">
        <f>IF($B336="","",MONTH($B336))</f>
        <v/>
      </c>
      <c r="AA336" s="24">
        <f>IF($B336="","",YEAR($B336))</f>
        <v/>
      </c>
      <c r="AB336" s="24">
        <f>IF($B336="","",ISOWEEKNUM($B336))</f>
        <v/>
      </c>
      <c r="AC336" s="17">
        <f>IF($B336="","",CHOOSE(WEEKDAY($B336,2),"Segunda","Terça","Quarta","Quinta","Sexta","Sábado","Domingo"))</f>
        <v/>
      </c>
      <c r="AD336" s="17">
        <f>IF($B336="","",TEXT($B336,"MM/AAAA"))</f>
        <v/>
      </c>
      <c r="AE336" s="18">
        <f>IF(COUNTA($B336:$R336)=0,"",IF($X336="Cancelado",0,ROUND(N($Q336)+N($S336)+N($T336)-N($U336),2)))</f>
        <v/>
      </c>
      <c r="AF336" s="9">
        <f>IF($G336="","",IFERROR(INDEX(LINHAS_DRE_PLANO,MATCH($G336,SUBCATEGORIAS_PLANO,0)),"Não classificado"))</f>
        <v/>
      </c>
      <c r="AG336" s="17">
        <f>IF($G336="","",IFERROR(INDEX(TIPOS_FLUXO_PLANO,MATCH($G336,SUBCATEGORIAS_PLANO,0)),"Não classificado"))</f>
        <v/>
      </c>
      <c r="AH336" s="9">
        <f>IF($G336="","",IFERROR(INDEX(GRUPOS_PLANO,MATCH($G336,SUBCATEGORIAS_PLANO,0)),"Não classificado"))</f>
        <v/>
      </c>
      <c r="AI336" s="24">
        <f>IF(OR($C336="",$X336="Pago",$X336="Recebido",$X336="Cancelado"),"",$C336-TODAY())</f>
        <v/>
      </c>
      <c r="AJ336" s="24">
        <f>IF(OR($C336="",$X336="Pago",$X336="Recebido",$X336="Cancelado"),0,MAX(0,TODAY()-$C336))</f>
        <v/>
      </c>
      <c r="AK336" s="24">
        <f>IF($D336="","",$D336-$B336)</f>
        <v/>
      </c>
      <c r="AL336" s="18">
        <f>IF(OR($D336="",$B336=""),"",ROUND(N($R336)*($D336-$B336),2))</f>
        <v/>
      </c>
      <c r="AM336" s="17">
        <f>IF(AND($E336="Saída",$W336&gt;0,$C336&lt;&gt;""),$C336+ROW()/1000000,"")</f>
        <v/>
      </c>
      <c r="AN336" s="17">
        <f>IF(AND($E336="Entrada",$W336&gt;0,$C336&lt;&gt;""),$C336+ROW()/1000000,"")</f>
        <v/>
      </c>
      <c r="AO336" s="9">
        <f>IF(COUNTA($B336:$R336)=0,"",IF(AND($I336&lt;&gt;"",COUNTIF(CLIENTES_NOMES,$I336)+COUNTIF(CLIENTES_FANTASIA,$I336)+COUNTIF(FORNECEDORES_NOMES,$I336)+COUNTIF(FORNECEDORES_FANTASIA,$I336)=0),"⚠ Cliente/Fornecedor não cadastrado",IF(AND($G336&lt;&gt;"",COUNTIF(SUBCATEGORIAS_PLANO,$G336)=0),"⚠ Subcategoria fora do plano de contas",IF(OR($Q336="",N($Q336)=0),"⚠ Valor previsto não informado",IF(AND(OR($X336="Pago",$X336="Recebido"),$D336=""),"⚠ Status pago/recebido sem data",IF(AND($D336&lt;&gt;"",N($R336)=0),"⚠ Data de pagamento sem valor realizado",IF(AND(N($P336)&gt;1,N($O336)&gt;N($P336)),"⚠ Nº da parcela maior que o total",IF(AND($C336&lt;&gt;"",$B336&lt;&gt;"",$C336&lt;$B336),"⚠ Vencimento anterior à competência","OK"))))))))</f>
        <v/>
      </c>
    </row>
    <row r="337">
      <c r="A337" s="14" t="inlineStr">
        <is>
          <t>L0332</t>
        </is>
      </c>
      <c r="B337" s="36" t="n">
        <v>46231</v>
      </c>
      <c r="C337" s="36" t="n">
        <v>46241</v>
      </c>
      <c r="D337" s="36" t="n">
        <v>46243</v>
      </c>
      <c r="E337" s="14" t="inlineStr">
        <is>
          <t>Saída</t>
        </is>
      </c>
      <c r="F337" s="29" t="inlineStr">
        <is>
          <t>Custos Variáveis</t>
        </is>
      </c>
      <c r="G337" s="29" t="inlineStr">
        <is>
          <t>Taxas de Marketplace</t>
        </is>
      </c>
      <c r="H337" s="29" t="inlineStr">
        <is>
          <t>Comercial</t>
        </is>
      </c>
      <c r="I337" s="29" t="inlineStr">
        <is>
          <t>MARKETPLACE FOODB2B LTDA</t>
        </is>
      </c>
      <c r="J337" s="29" t="inlineStr">
        <is>
          <t>Taxas de intermediação do marketplace</t>
        </is>
      </c>
      <c r="K337" s="14" t="inlineStr">
        <is>
          <t>DOC 7217</t>
        </is>
      </c>
      <c r="L337" s="29" t="inlineStr">
        <is>
          <t>Banco do Brasil — C/C 12345-6</t>
        </is>
      </c>
      <c r="M337" s="14" t="inlineStr">
        <is>
          <t>PIX</t>
        </is>
      </c>
      <c r="N337" s="29" t="n"/>
      <c r="O337" s="13" t="n">
        <v>1</v>
      </c>
      <c r="P337" s="13" t="n">
        <v>1</v>
      </c>
      <c r="Q337" s="35" t="n">
        <v>1846</v>
      </c>
      <c r="R337" s="35" t="n">
        <v>1846</v>
      </c>
      <c r="S337" s="35" t="n"/>
      <c r="T337" s="35" t="n"/>
      <c r="U337" s="35" t="n"/>
      <c r="V337" s="18">
        <f>IF(COUNTA($B337:$R337)=0,"",ROUND(N($R337)+N($S337)+N($T337)-N($U337),2))</f>
        <v/>
      </c>
      <c r="W337" s="18">
        <f>IF(COUNTA($B337:$R337)=0,"",IF(OR($X337="Pago",$X337="Recebido",$X337="Cancelado"),0,ROUND(N($Q337)+N($S337)+N($T337)-N($U337)-N($R337),2)))</f>
        <v/>
      </c>
      <c r="X337" s="14" t="inlineStr">
        <is>
          <t>Pago</t>
        </is>
      </c>
      <c r="Y337" s="17">
        <f>IF(COUNTA($B337:$R337)=0,"",IF($X337="Cancelado","Cancelado",IF(OR($X337="Pago",$X337="Recebido"),$X337,IF(OR($X337="Parcial",N($R337)&gt;0),"Parcial",IF($C337="","Sem vencimento",IF($C337&lt;TODAY(),"Vencido",IF($C337=TODAY(),"Vence hoje",IF($C337&lt;=TODAY()+7,"Vence em 7 dias",IF($C337&lt;=TODAY()+30,"Vence em 30 dias","Futuro")))))))))</f>
        <v/>
      </c>
      <c r="Z337" s="24">
        <f>IF($B337="","",MONTH($B337))</f>
        <v/>
      </c>
      <c r="AA337" s="24">
        <f>IF($B337="","",YEAR($B337))</f>
        <v/>
      </c>
      <c r="AB337" s="24">
        <f>IF($B337="","",ISOWEEKNUM($B337))</f>
        <v/>
      </c>
      <c r="AC337" s="17">
        <f>IF($B337="","",CHOOSE(WEEKDAY($B337,2),"Segunda","Terça","Quarta","Quinta","Sexta","Sábado","Domingo"))</f>
        <v/>
      </c>
      <c r="AD337" s="17">
        <f>IF($B337="","",TEXT($B337,"MM/AAAA"))</f>
        <v/>
      </c>
      <c r="AE337" s="18">
        <f>IF(COUNTA($B337:$R337)=0,"",IF($X337="Cancelado",0,ROUND(N($Q337)+N($S337)+N($T337)-N($U337),2)))</f>
        <v/>
      </c>
      <c r="AF337" s="9">
        <f>IF($G337="","",IFERROR(INDEX(LINHAS_DRE_PLANO,MATCH($G337,SUBCATEGORIAS_PLANO,0)),"Não classificado"))</f>
        <v/>
      </c>
      <c r="AG337" s="17">
        <f>IF($G337="","",IFERROR(INDEX(TIPOS_FLUXO_PLANO,MATCH($G337,SUBCATEGORIAS_PLANO,0)),"Não classificado"))</f>
        <v/>
      </c>
      <c r="AH337" s="9">
        <f>IF($G337="","",IFERROR(INDEX(GRUPOS_PLANO,MATCH($G337,SUBCATEGORIAS_PLANO,0)),"Não classificado"))</f>
        <v/>
      </c>
      <c r="AI337" s="24">
        <f>IF(OR($C337="",$X337="Pago",$X337="Recebido",$X337="Cancelado"),"",$C337-TODAY())</f>
        <v/>
      </c>
      <c r="AJ337" s="24">
        <f>IF(OR($C337="",$X337="Pago",$X337="Recebido",$X337="Cancelado"),0,MAX(0,TODAY()-$C337))</f>
        <v/>
      </c>
      <c r="AK337" s="24">
        <f>IF($D337="","",$D337-$B337)</f>
        <v/>
      </c>
      <c r="AL337" s="18">
        <f>IF(OR($D337="",$B337=""),"",ROUND(N($R337)*($D337-$B337),2))</f>
        <v/>
      </c>
      <c r="AM337" s="17">
        <f>IF(AND($E337="Saída",$W337&gt;0,$C337&lt;&gt;""),$C337+ROW()/1000000,"")</f>
        <v/>
      </c>
      <c r="AN337" s="17">
        <f>IF(AND($E337="Entrada",$W337&gt;0,$C337&lt;&gt;""),$C337+ROW()/1000000,"")</f>
        <v/>
      </c>
      <c r="AO337" s="9">
        <f>IF(COUNTA($B337:$R337)=0,"",IF(AND($I337&lt;&gt;"",COUNTIF(CLIENTES_NOMES,$I337)+COUNTIF(CLIENTES_FANTASIA,$I337)+COUNTIF(FORNECEDORES_NOMES,$I337)+COUNTIF(FORNECEDORES_FANTASIA,$I337)=0),"⚠ Cliente/Fornecedor não cadastrado",IF(AND($G337&lt;&gt;"",COUNTIF(SUBCATEGORIAS_PLANO,$G337)=0),"⚠ Subcategoria fora do plano de contas",IF(OR($Q337="",N($Q337)=0),"⚠ Valor previsto não informado",IF(AND(OR($X337="Pago",$X337="Recebido"),$D337=""),"⚠ Status pago/recebido sem data",IF(AND($D337&lt;&gt;"",N($R337)=0),"⚠ Data de pagamento sem valor realizado",IF(AND(N($P337)&gt;1,N($O337)&gt;N($P337)),"⚠ Nº da parcela maior que o total",IF(AND($C337&lt;&gt;"",$B337&lt;&gt;"",$C337&lt;$B337),"⚠ Vencimento anterior à competência","OK"))))))))</f>
        <v/>
      </c>
    </row>
    <row r="338">
      <c r="A338" s="14" t="inlineStr">
        <is>
          <t>L0333</t>
        </is>
      </c>
      <c r="B338" s="36" t="n">
        <v>46231</v>
      </c>
      <c r="C338" s="36" t="n">
        <v>46236</v>
      </c>
      <c r="D338" s="36" t="n">
        <v>46236</v>
      </c>
      <c r="E338" s="14" t="inlineStr">
        <is>
          <t>Saída</t>
        </is>
      </c>
      <c r="F338" s="29" t="inlineStr">
        <is>
          <t>Custos Variáveis</t>
        </is>
      </c>
      <c r="G338" s="29" t="inlineStr">
        <is>
          <t>Taxas de Cartão e Maquininha</t>
        </is>
      </c>
      <c r="H338" s="29" t="inlineStr">
        <is>
          <t>Financeiro</t>
        </is>
      </c>
      <c r="I338" s="29" t="inlineStr">
        <is>
          <t>CIELO S.A. — INSTITUIÇÃO DE PAGAMENTO</t>
        </is>
      </c>
      <c r="J338" s="29" t="inlineStr">
        <is>
          <t>Taxas de cartão e antecipação de recebíveis</t>
        </is>
      </c>
      <c r="K338" s="14" t="inlineStr">
        <is>
          <t>DOC 7218</t>
        </is>
      </c>
      <c r="L338" s="29" t="inlineStr">
        <is>
          <t>Itaú Unibanco — C/C 45678-9</t>
        </is>
      </c>
      <c r="M338" s="14" t="inlineStr">
        <is>
          <t>Transferência</t>
        </is>
      </c>
      <c r="N338" s="29" t="n"/>
      <c r="O338" s="13" t="n">
        <v>1</v>
      </c>
      <c r="P338" s="13" t="n">
        <v>1</v>
      </c>
      <c r="Q338" s="35" t="n">
        <v>2589.71</v>
      </c>
      <c r="R338" s="35" t="n">
        <v>2589.71</v>
      </c>
      <c r="S338" s="35" t="n"/>
      <c r="T338" s="35" t="n"/>
      <c r="U338" s="35" t="n"/>
      <c r="V338" s="18">
        <f>IF(COUNTA($B338:$R338)=0,"",ROUND(N($R338)+N($S338)+N($T338)-N($U338),2))</f>
        <v/>
      </c>
      <c r="W338" s="18">
        <f>IF(COUNTA($B338:$R338)=0,"",IF(OR($X338="Pago",$X338="Recebido",$X338="Cancelado"),0,ROUND(N($Q338)+N($S338)+N($T338)-N($U338)-N($R338),2)))</f>
        <v/>
      </c>
      <c r="X338" s="14" t="inlineStr">
        <is>
          <t>Pago</t>
        </is>
      </c>
      <c r="Y338" s="17">
        <f>IF(COUNTA($B338:$R338)=0,"",IF($X338="Cancelado","Cancelado",IF(OR($X338="Pago",$X338="Recebido"),$X338,IF(OR($X338="Parcial",N($R338)&gt;0),"Parcial",IF($C338="","Sem vencimento",IF($C338&lt;TODAY(),"Vencido",IF($C338=TODAY(),"Vence hoje",IF($C338&lt;=TODAY()+7,"Vence em 7 dias",IF($C338&lt;=TODAY()+30,"Vence em 30 dias","Futuro")))))))))</f>
        <v/>
      </c>
      <c r="Z338" s="24">
        <f>IF($B338="","",MONTH($B338))</f>
        <v/>
      </c>
      <c r="AA338" s="24">
        <f>IF($B338="","",YEAR($B338))</f>
        <v/>
      </c>
      <c r="AB338" s="24">
        <f>IF($B338="","",ISOWEEKNUM($B338))</f>
        <v/>
      </c>
      <c r="AC338" s="17">
        <f>IF($B338="","",CHOOSE(WEEKDAY($B338,2),"Segunda","Terça","Quarta","Quinta","Sexta","Sábado","Domingo"))</f>
        <v/>
      </c>
      <c r="AD338" s="17">
        <f>IF($B338="","",TEXT($B338,"MM/AAAA"))</f>
        <v/>
      </c>
      <c r="AE338" s="18">
        <f>IF(COUNTA($B338:$R338)=0,"",IF($X338="Cancelado",0,ROUND(N($Q338)+N($S338)+N($T338)-N($U338),2)))</f>
        <v/>
      </c>
      <c r="AF338" s="9">
        <f>IF($G338="","",IFERROR(INDEX(LINHAS_DRE_PLANO,MATCH($G338,SUBCATEGORIAS_PLANO,0)),"Não classificado"))</f>
        <v/>
      </c>
      <c r="AG338" s="17">
        <f>IF($G338="","",IFERROR(INDEX(TIPOS_FLUXO_PLANO,MATCH($G338,SUBCATEGORIAS_PLANO,0)),"Não classificado"))</f>
        <v/>
      </c>
      <c r="AH338" s="9">
        <f>IF($G338="","",IFERROR(INDEX(GRUPOS_PLANO,MATCH($G338,SUBCATEGORIAS_PLANO,0)),"Não classificado"))</f>
        <v/>
      </c>
      <c r="AI338" s="24">
        <f>IF(OR($C338="",$X338="Pago",$X338="Recebido",$X338="Cancelado"),"",$C338-TODAY())</f>
        <v/>
      </c>
      <c r="AJ338" s="24">
        <f>IF(OR($C338="",$X338="Pago",$X338="Recebido",$X338="Cancelado"),0,MAX(0,TODAY()-$C338))</f>
        <v/>
      </c>
      <c r="AK338" s="24">
        <f>IF($D338="","",$D338-$B338)</f>
        <v/>
      </c>
      <c r="AL338" s="18">
        <f>IF(OR($D338="",$B338=""),"",ROUND(N($R338)*($D338-$B338),2))</f>
        <v/>
      </c>
      <c r="AM338" s="17">
        <f>IF(AND($E338="Saída",$W338&gt;0,$C338&lt;&gt;""),$C338+ROW()/1000000,"")</f>
        <v/>
      </c>
      <c r="AN338" s="17">
        <f>IF(AND($E338="Entrada",$W338&gt;0,$C338&lt;&gt;""),$C338+ROW()/1000000,"")</f>
        <v/>
      </c>
      <c r="AO338" s="9">
        <f>IF(COUNTA($B338:$R338)=0,"",IF(AND($I338&lt;&gt;"",COUNTIF(CLIENTES_NOMES,$I338)+COUNTIF(CLIENTES_FANTASIA,$I338)+COUNTIF(FORNECEDORES_NOMES,$I338)+COUNTIF(FORNECEDORES_FANTASIA,$I338)=0),"⚠ Cliente/Fornecedor não cadastrado",IF(AND($G338&lt;&gt;"",COUNTIF(SUBCATEGORIAS_PLANO,$G338)=0),"⚠ Subcategoria fora do plano de contas",IF(OR($Q338="",N($Q338)=0),"⚠ Valor previsto não informado",IF(AND(OR($X338="Pago",$X338="Recebido"),$D338=""),"⚠ Status pago/recebido sem data",IF(AND($D338&lt;&gt;"",N($R338)=0),"⚠ Data de pagamento sem valor realizado",IF(AND(N($P338)&gt;1,N($O338)&gt;N($P338)),"⚠ Nº da parcela maior que o total",IF(AND($C338&lt;&gt;"",$B338&lt;&gt;"",$C338&lt;$B338),"⚠ Vencimento anterior à competência","OK"))))))))</f>
        <v/>
      </c>
    </row>
    <row r="339">
      <c r="A339" s="14" t="inlineStr">
        <is>
          <t>L0334</t>
        </is>
      </c>
      <c r="B339" s="36" t="n">
        <v>46231</v>
      </c>
      <c r="C339" s="36" t="n">
        <v>46231</v>
      </c>
      <c r="D339" s="36" t="n">
        <v>46231</v>
      </c>
      <c r="E339" s="14" t="inlineStr">
        <is>
          <t>Saída</t>
        </is>
      </c>
      <c r="F339" s="29" t="inlineStr">
        <is>
          <t>Despesas Financeiras</t>
        </is>
      </c>
      <c r="G339" s="29" t="inlineStr">
        <is>
          <t>Tarifas Bancárias</t>
        </is>
      </c>
      <c r="H339" s="29" t="inlineStr">
        <is>
          <t>Financeiro</t>
        </is>
      </c>
      <c r="I339" s="29" t="inlineStr">
        <is>
          <t>CONTABILIDADE AURORA ASSESSORIA CONTÁBIL LTDA</t>
        </is>
      </c>
      <c r="J339" s="29" t="inlineStr">
        <is>
          <t>Tarifas e pacote de serviços bancários</t>
        </is>
      </c>
      <c r="K339" s="14" t="inlineStr">
        <is>
          <t>DOC 8379</t>
        </is>
      </c>
      <c r="L339" s="29" t="inlineStr">
        <is>
          <t>Itaú Unibanco — C/C 45678-9</t>
        </is>
      </c>
      <c r="M339" s="14" t="inlineStr">
        <is>
          <t>Transferência</t>
        </is>
      </c>
      <c r="N339" s="29" t="n"/>
      <c r="O339" s="13" t="n">
        <v>1</v>
      </c>
      <c r="P339" s="13" t="n">
        <v>1</v>
      </c>
      <c r="Q339" s="35" t="n">
        <v>190</v>
      </c>
      <c r="R339" s="35" t="n">
        <v>190</v>
      </c>
      <c r="S339" s="35" t="n"/>
      <c r="T339" s="35" t="n"/>
      <c r="U339" s="35" t="n"/>
      <c r="V339" s="18">
        <f>IF(COUNTA($B339:$R339)=0,"",ROUND(N($R339)+N($S339)+N($T339)-N($U339),2))</f>
        <v/>
      </c>
      <c r="W339" s="18">
        <f>IF(COUNTA($B339:$R339)=0,"",IF(OR($X339="Pago",$X339="Recebido",$X339="Cancelado"),0,ROUND(N($Q339)+N($S339)+N($T339)-N($U339)-N($R339),2)))</f>
        <v/>
      </c>
      <c r="X339" s="14" t="inlineStr">
        <is>
          <t>Pago</t>
        </is>
      </c>
      <c r="Y339" s="17">
        <f>IF(COUNTA($B339:$R339)=0,"",IF($X339="Cancelado","Cancelado",IF(OR($X339="Pago",$X339="Recebido"),$X339,IF(OR($X339="Parcial",N($R339)&gt;0),"Parcial",IF($C339="","Sem vencimento",IF($C339&lt;TODAY(),"Vencido",IF($C339=TODAY(),"Vence hoje",IF($C339&lt;=TODAY()+7,"Vence em 7 dias",IF($C339&lt;=TODAY()+30,"Vence em 30 dias","Futuro")))))))))</f>
        <v/>
      </c>
      <c r="Z339" s="24">
        <f>IF($B339="","",MONTH($B339))</f>
        <v/>
      </c>
      <c r="AA339" s="24">
        <f>IF($B339="","",YEAR($B339))</f>
        <v/>
      </c>
      <c r="AB339" s="24">
        <f>IF($B339="","",ISOWEEKNUM($B339))</f>
        <v/>
      </c>
      <c r="AC339" s="17">
        <f>IF($B339="","",CHOOSE(WEEKDAY($B339,2),"Segunda","Terça","Quarta","Quinta","Sexta","Sábado","Domingo"))</f>
        <v/>
      </c>
      <c r="AD339" s="17">
        <f>IF($B339="","",TEXT($B339,"MM/AAAA"))</f>
        <v/>
      </c>
      <c r="AE339" s="18">
        <f>IF(COUNTA($B339:$R339)=0,"",IF($X339="Cancelado",0,ROUND(N($Q339)+N($S339)+N($T339)-N($U339),2)))</f>
        <v/>
      </c>
      <c r="AF339" s="9">
        <f>IF($G339="","",IFERROR(INDEX(LINHAS_DRE_PLANO,MATCH($G339,SUBCATEGORIAS_PLANO,0)),"Não classificado"))</f>
        <v/>
      </c>
      <c r="AG339" s="17">
        <f>IF($G339="","",IFERROR(INDEX(TIPOS_FLUXO_PLANO,MATCH($G339,SUBCATEGORIAS_PLANO,0)),"Não classificado"))</f>
        <v/>
      </c>
      <c r="AH339" s="9">
        <f>IF($G339="","",IFERROR(INDEX(GRUPOS_PLANO,MATCH($G339,SUBCATEGORIAS_PLANO,0)),"Não classificado"))</f>
        <v/>
      </c>
      <c r="AI339" s="24">
        <f>IF(OR($C339="",$X339="Pago",$X339="Recebido",$X339="Cancelado"),"",$C339-TODAY())</f>
        <v/>
      </c>
      <c r="AJ339" s="24">
        <f>IF(OR($C339="",$X339="Pago",$X339="Recebido",$X339="Cancelado"),0,MAX(0,TODAY()-$C339))</f>
        <v/>
      </c>
      <c r="AK339" s="24">
        <f>IF($D339="","",$D339-$B339)</f>
        <v/>
      </c>
      <c r="AL339" s="18">
        <f>IF(OR($D339="",$B339=""),"",ROUND(N($R339)*($D339-$B339),2))</f>
        <v/>
      </c>
      <c r="AM339" s="17">
        <f>IF(AND($E339="Saída",$W339&gt;0,$C339&lt;&gt;""),$C339+ROW()/1000000,"")</f>
        <v/>
      </c>
      <c r="AN339" s="17">
        <f>IF(AND($E339="Entrada",$W339&gt;0,$C339&lt;&gt;""),$C339+ROW()/1000000,"")</f>
        <v/>
      </c>
      <c r="AO339" s="9">
        <f>IF(COUNTA($B339:$R339)=0,"",IF(AND($I339&lt;&gt;"",COUNTIF(CLIENTES_NOMES,$I339)+COUNTIF(CLIENTES_FANTASIA,$I339)+COUNTIF(FORNECEDORES_NOMES,$I339)+COUNTIF(FORNECEDORES_FANTASIA,$I339)=0),"⚠ Cliente/Fornecedor não cadastrado",IF(AND($G339&lt;&gt;"",COUNTIF(SUBCATEGORIAS_PLANO,$G339)=0),"⚠ Subcategoria fora do plano de contas",IF(OR($Q339="",N($Q339)=0),"⚠ Valor previsto não informado",IF(AND(OR($X339="Pago",$X339="Recebido"),$D339=""),"⚠ Status pago/recebido sem data",IF(AND($D339&lt;&gt;"",N($R339)=0),"⚠ Data de pagamento sem valor realizado",IF(AND(N($P339)&gt;1,N($O339)&gt;N($P339)),"⚠ Nº da parcela maior que o total",IF(AND($C339&lt;&gt;"",$B339&lt;&gt;"",$C339&lt;$B339),"⚠ Vencimento anterior à competência","OK"))))))))</f>
        <v/>
      </c>
    </row>
    <row r="340">
      <c r="A340" s="14" t="inlineStr">
        <is>
          <t>L0335</t>
        </is>
      </c>
      <c r="B340" s="36" t="n">
        <v>46238</v>
      </c>
      <c r="C340" s="36" t="n">
        <v>46268</v>
      </c>
      <c r="D340" s="36" t="n">
        <v>46269</v>
      </c>
      <c r="E340" s="14" t="inlineStr">
        <is>
          <t>Saída</t>
        </is>
      </c>
      <c r="F340" s="29" t="inlineStr">
        <is>
          <t>Custos Variáveis</t>
        </is>
      </c>
      <c r="G340" s="29" t="inlineStr">
        <is>
          <t>Mercadorias para Revenda</t>
        </is>
      </c>
      <c r="H340" s="29" t="inlineStr">
        <is>
          <t>Logística</t>
        </is>
      </c>
      <c r="I340" s="29" t="inlineStr">
        <is>
          <t>DISTRIBUIDORA CENTRAL DE ALIMENTOS S/A</t>
        </is>
      </c>
      <c r="J340" s="29" t="inlineStr">
        <is>
          <t>Compra de mercadorias para revenda — NF 5080</t>
        </is>
      </c>
      <c r="K340" s="14" t="inlineStr">
        <is>
          <t>NF 5080</t>
        </is>
      </c>
      <c r="L340" s="29" t="inlineStr">
        <is>
          <t>Itaú Unibanco — C/C 45678-9</t>
        </is>
      </c>
      <c r="M340" s="14" t="inlineStr">
        <is>
          <t>Boleto</t>
        </is>
      </c>
      <c r="N340" s="29" t="n"/>
      <c r="O340" s="13" t="n">
        <v>1</v>
      </c>
      <c r="P340" s="13" t="n">
        <v>1</v>
      </c>
      <c r="Q340" s="35" t="n">
        <v>64475.16</v>
      </c>
      <c r="R340" s="35" t="n">
        <v>64475.16</v>
      </c>
      <c r="S340" s="35" t="n"/>
      <c r="T340" s="35" t="n"/>
      <c r="U340" s="35" t="n"/>
      <c r="V340" s="18">
        <f>IF(COUNTA($B340:$R340)=0,"",ROUND(N($R340)+N($S340)+N($T340)-N($U340),2))</f>
        <v/>
      </c>
      <c r="W340" s="18">
        <f>IF(COUNTA($B340:$R340)=0,"",IF(OR($X340="Pago",$X340="Recebido",$X340="Cancelado"),0,ROUND(N($Q340)+N($S340)+N($T340)-N($U340)-N($R340),2)))</f>
        <v/>
      </c>
      <c r="X340" s="14" t="inlineStr">
        <is>
          <t>Pago</t>
        </is>
      </c>
      <c r="Y340" s="17">
        <f>IF(COUNTA($B340:$R340)=0,"",IF($X340="Cancelado","Cancelado",IF(OR($X340="Pago",$X340="Recebido"),$X340,IF(OR($X340="Parcial",N($R340)&gt;0),"Parcial",IF($C340="","Sem vencimento",IF($C340&lt;TODAY(),"Vencido",IF($C340=TODAY(),"Vence hoje",IF($C340&lt;=TODAY()+7,"Vence em 7 dias",IF($C340&lt;=TODAY()+30,"Vence em 30 dias","Futuro")))))))))</f>
        <v/>
      </c>
      <c r="Z340" s="24">
        <f>IF($B340="","",MONTH($B340))</f>
        <v/>
      </c>
      <c r="AA340" s="24">
        <f>IF($B340="","",YEAR($B340))</f>
        <v/>
      </c>
      <c r="AB340" s="24">
        <f>IF($B340="","",ISOWEEKNUM($B340))</f>
        <v/>
      </c>
      <c r="AC340" s="17">
        <f>IF($B340="","",CHOOSE(WEEKDAY($B340,2),"Segunda","Terça","Quarta","Quinta","Sexta","Sábado","Domingo"))</f>
        <v/>
      </c>
      <c r="AD340" s="17">
        <f>IF($B340="","",TEXT($B340,"MM/AAAA"))</f>
        <v/>
      </c>
      <c r="AE340" s="18">
        <f>IF(COUNTA($B340:$R340)=0,"",IF($X340="Cancelado",0,ROUND(N($Q340)+N($S340)+N($T340)-N($U340),2)))</f>
        <v/>
      </c>
      <c r="AF340" s="9">
        <f>IF($G340="","",IFERROR(INDEX(LINHAS_DRE_PLANO,MATCH($G340,SUBCATEGORIAS_PLANO,0)),"Não classificado"))</f>
        <v/>
      </c>
      <c r="AG340" s="17">
        <f>IF($G340="","",IFERROR(INDEX(TIPOS_FLUXO_PLANO,MATCH($G340,SUBCATEGORIAS_PLANO,0)),"Não classificado"))</f>
        <v/>
      </c>
      <c r="AH340" s="9">
        <f>IF($G340="","",IFERROR(INDEX(GRUPOS_PLANO,MATCH($G340,SUBCATEGORIAS_PLANO,0)),"Não classificado"))</f>
        <v/>
      </c>
      <c r="AI340" s="24">
        <f>IF(OR($C340="",$X340="Pago",$X340="Recebido",$X340="Cancelado"),"",$C340-TODAY())</f>
        <v/>
      </c>
      <c r="AJ340" s="24">
        <f>IF(OR($C340="",$X340="Pago",$X340="Recebido",$X340="Cancelado"),0,MAX(0,TODAY()-$C340))</f>
        <v/>
      </c>
      <c r="AK340" s="24">
        <f>IF($D340="","",$D340-$B340)</f>
        <v/>
      </c>
      <c r="AL340" s="18">
        <f>IF(OR($D340="",$B340=""),"",ROUND(N($R340)*($D340-$B340),2))</f>
        <v/>
      </c>
      <c r="AM340" s="17">
        <f>IF(AND($E340="Saída",$W340&gt;0,$C340&lt;&gt;""),$C340+ROW()/1000000,"")</f>
        <v/>
      </c>
      <c r="AN340" s="17">
        <f>IF(AND($E340="Entrada",$W340&gt;0,$C340&lt;&gt;""),$C340+ROW()/1000000,"")</f>
        <v/>
      </c>
      <c r="AO340" s="9">
        <f>IF(COUNTA($B340:$R340)=0,"",IF(AND($I340&lt;&gt;"",COUNTIF(CLIENTES_NOMES,$I340)+COUNTIF(CLIENTES_FANTASIA,$I340)+COUNTIF(FORNECEDORES_NOMES,$I340)+COUNTIF(FORNECEDORES_FANTASIA,$I340)=0),"⚠ Cliente/Fornecedor não cadastrado",IF(AND($G340&lt;&gt;"",COUNTIF(SUBCATEGORIAS_PLANO,$G340)=0),"⚠ Subcategoria fora do plano de contas",IF(OR($Q340="",N($Q340)=0),"⚠ Valor previsto não informado",IF(AND(OR($X340="Pago",$X340="Recebido"),$D340=""),"⚠ Status pago/recebido sem data",IF(AND($D340&lt;&gt;"",N($R340)=0),"⚠ Data de pagamento sem valor realizado",IF(AND(N($P340)&gt;1,N($O340)&gt;N($P340)),"⚠ Nº da parcela maior que o total",IF(AND($C340&lt;&gt;"",$B340&lt;&gt;"",$C340&lt;$B340),"⚠ Vencimento anterior à competência","OK"))))))))</f>
        <v/>
      </c>
    </row>
    <row r="341">
      <c r="A341" s="14" t="inlineStr">
        <is>
          <t>L0336</t>
        </is>
      </c>
      <c r="B341" s="36" t="n">
        <v>46239</v>
      </c>
      <c r="C341" s="36" t="n">
        <v>46244</v>
      </c>
      <c r="D341" s="36" t="n">
        <v>46246</v>
      </c>
      <c r="E341" s="14" t="inlineStr">
        <is>
          <t>Saída</t>
        </is>
      </c>
      <c r="F341" s="29" t="inlineStr">
        <is>
          <t>Despesas Administrativas</t>
        </is>
      </c>
      <c r="G341" s="29" t="inlineStr">
        <is>
          <t>Aluguel</t>
        </is>
      </c>
      <c r="H341" s="29" t="inlineStr">
        <is>
          <t>Administrativo</t>
        </is>
      </c>
      <c r="I341" s="29" t="inlineStr">
        <is>
          <t>IMÓVEIS E LOCAÇÕES PINHEIROS LTDA</t>
        </is>
      </c>
      <c r="J341" s="29" t="inlineStr">
        <is>
          <t>Aluguel do galpão — competência 08/2026</t>
        </is>
      </c>
      <c r="K341" s="14" t="inlineStr">
        <is>
          <t>DOC 8380</t>
        </is>
      </c>
      <c r="L341" s="29" t="inlineStr">
        <is>
          <t>Banco do Brasil — C/C 12345-6</t>
        </is>
      </c>
      <c r="M341" s="14" t="inlineStr">
        <is>
          <t>Boleto</t>
        </is>
      </c>
      <c r="N341" s="29" t="n"/>
      <c r="O341" s="13" t="n">
        <v>1</v>
      </c>
      <c r="P341" s="13" t="n">
        <v>1</v>
      </c>
      <c r="Q341" s="35" t="n">
        <v>7500</v>
      </c>
      <c r="R341" s="35" t="n">
        <v>7500</v>
      </c>
      <c r="S341" s="35" t="n"/>
      <c r="T341" s="35" t="n"/>
      <c r="U341" s="35" t="n"/>
      <c r="V341" s="18">
        <f>IF(COUNTA($B341:$R341)=0,"",ROUND(N($R341)+N($S341)+N($T341)-N($U341),2))</f>
        <v/>
      </c>
      <c r="W341" s="18">
        <f>IF(COUNTA($B341:$R341)=0,"",IF(OR($X341="Pago",$X341="Recebido",$X341="Cancelado"),0,ROUND(N($Q341)+N($S341)+N($T341)-N($U341)-N($R341),2)))</f>
        <v/>
      </c>
      <c r="X341" s="14" t="inlineStr">
        <is>
          <t>Pago</t>
        </is>
      </c>
      <c r="Y341" s="17">
        <f>IF(COUNTA($B341:$R341)=0,"",IF($X341="Cancelado","Cancelado",IF(OR($X341="Pago",$X341="Recebido"),$X341,IF(OR($X341="Parcial",N($R341)&gt;0),"Parcial",IF($C341="","Sem vencimento",IF($C341&lt;TODAY(),"Vencido",IF($C341=TODAY(),"Vence hoje",IF($C341&lt;=TODAY()+7,"Vence em 7 dias",IF($C341&lt;=TODAY()+30,"Vence em 30 dias","Futuro")))))))))</f>
        <v/>
      </c>
      <c r="Z341" s="24">
        <f>IF($B341="","",MONTH($B341))</f>
        <v/>
      </c>
      <c r="AA341" s="24">
        <f>IF($B341="","",YEAR($B341))</f>
        <v/>
      </c>
      <c r="AB341" s="24">
        <f>IF($B341="","",ISOWEEKNUM($B341))</f>
        <v/>
      </c>
      <c r="AC341" s="17">
        <f>IF($B341="","",CHOOSE(WEEKDAY($B341,2),"Segunda","Terça","Quarta","Quinta","Sexta","Sábado","Domingo"))</f>
        <v/>
      </c>
      <c r="AD341" s="17">
        <f>IF($B341="","",TEXT($B341,"MM/AAAA"))</f>
        <v/>
      </c>
      <c r="AE341" s="18">
        <f>IF(COUNTA($B341:$R341)=0,"",IF($X341="Cancelado",0,ROUND(N($Q341)+N($S341)+N($T341)-N($U341),2)))</f>
        <v/>
      </c>
      <c r="AF341" s="9">
        <f>IF($G341="","",IFERROR(INDEX(LINHAS_DRE_PLANO,MATCH($G341,SUBCATEGORIAS_PLANO,0)),"Não classificado"))</f>
        <v/>
      </c>
      <c r="AG341" s="17">
        <f>IF($G341="","",IFERROR(INDEX(TIPOS_FLUXO_PLANO,MATCH($G341,SUBCATEGORIAS_PLANO,0)),"Não classificado"))</f>
        <v/>
      </c>
      <c r="AH341" s="9">
        <f>IF($G341="","",IFERROR(INDEX(GRUPOS_PLANO,MATCH($G341,SUBCATEGORIAS_PLANO,0)),"Não classificado"))</f>
        <v/>
      </c>
      <c r="AI341" s="24">
        <f>IF(OR($C341="",$X341="Pago",$X341="Recebido",$X341="Cancelado"),"",$C341-TODAY())</f>
        <v/>
      </c>
      <c r="AJ341" s="24">
        <f>IF(OR($C341="",$X341="Pago",$X341="Recebido",$X341="Cancelado"),0,MAX(0,TODAY()-$C341))</f>
        <v/>
      </c>
      <c r="AK341" s="24">
        <f>IF($D341="","",$D341-$B341)</f>
        <v/>
      </c>
      <c r="AL341" s="18">
        <f>IF(OR($D341="",$B341=""),"",ROUND(N($R341)*($D341-$B341),2))</f>
        <v/>
      </c>
      <c r="AM341" s="17">
        <f>IF(AND($E341="Saída",$W341&gt;0,$C341&lt;&gt;""),$C341+ROW()/1000000,"")</f>
        <v/>
      </c>
      <c r="AN341" s="17">
        <f>IF(AND($E341="Entrada",$W341&gt;0,$C341&lt;&gt;""),$C341+ROW()/1000000,"")</f>
        <v/>
      </c>
      <c r="AO341" s="9">
        <f>IF(COUNTA($B341:$R341)=0,"",IF(AND($I341&lt;&gt;"",COUNTIF(CLIENTES_NOMES,$I341)+COUNTIF(CLIENTES_FANTASIA,$I341)+COUNTIF(FORNECEDORES_NOMES,$I341)+COUNTIF(FORNECEDORES_FANTASIA,$I341)=0),"⚠ Cliente/Fornecedor não cadastrado",IF(AND($G341&lt;&gt;"",COUNTIF(SUBCATEGORIAS_PLANO,$G341)=0),"⚠ Subcategoria fora do plano de contas",IF(OR($Q341="",N($Q341)=0),"⚠ Valor previsto não informado",IF(AND(OR($X341="Pago",$X341="Recebido"),$D341=""),"⚠ Status pago/recebido sem data",IF(AND($D341&lt;&gt;"",N($R341)=0),"⚠ Data de pagamento sem valor realizado",IF(AND(N($P341)&gt;1,N($O341)&gt;N($P341)),"⚠ Nº da parcela maior que o total",IF(AND($C341&lt;&gt;"",$B341&lt;&gt;"",$C341&lt;$B341),"⚠ Vencimento anterior à competência","OK"))))))))</f>
        <v/>
      </c>
    </row>
    <row r="342">
      <c r="A342" s="14" t="inlineStr">
        <is>
          <t>L0337</t>
        </is>
      </c>
      <c r="B342" s="36" t="n">
        <v>46239</v>
      </c>
      <c r="C342" s="36" t="n">
        <v>46244</v>
      </c>
      <c r="D342" s="36" t="n">
        <v>46246</v>
      </c>
      <c r="E342" s="14" t="inlineStr">
        <is>
          <t>Saída</t>
        </is>
      </c>
      <c r="F342" s="29" t="inlineStr">
        <is>
          <t>Despesas com Pessoal</t>
        </is>
      </c>
      <c r="G342" s="29" t="inlineStr">
        <is>
          <t>Salários</t>
        </is>
      </c>
      <c r="H342" s="29" t="inlineStr">
        <is>
          <t>Administrativo</t>
        </is>
      </c>
      <c r="I342" s="29" t="inlineStr">
        <is>
          <t>COLABORADORES — FOLHA DE PAGAMENTO</t>
        </is>
      </c>
      <c r="J342" s="29" t="inlineStr">
        <is>
          <t>Folha de pagamento — 08/2026</t>
        </is>
      </c>
      <c r="K342" s="14" t="inlineStr">
        <is>
          <t>DOC 8386</t>
        </is>
      </c>
      <c r="L342" s="29" t="inlineStr">
        <is>
          <t>Banco do Brasil — C/C 12345-6</t>
        </is>
      </c>
      <c r="M342" s="14" t="inlineStr">
        <is>
          <t>Transferência</t>
        </is>
      </c>
      <c r="N342" s="29" t="n"/>
      <c r="O342" s="13" t="n">
        <v>1</v>
      </c>
      <c r="P342" s="13" t="n">
        <v>1</v>
      </c>
      <c r="Q342" s="35" t="n">
        <v>16000</v>
      </c>
      <c r="R342" s="35" t="n">
        <v>16000</v>
      </c>
      <c r="S342" s="35" t="n"/>
      <c r="T342" s="35" t="n"/>
      <c r="U342" s="35" t="n"/>
      <c r="V342" s="18">
        <f>IF(COUNTA($B342:$R342)=0,"",ROUND(N($R342)+N($S342)+N($T342)-N($U342),2))</f>
        <v/>
      </c>
      <c r="W342" s="18">
        <f>IF(COUNTA($B342:$R342)=0,"",IF(OR($X342="Pago",$X342="Recebido",$X342="Cancelado"),0,ROUND(N($Q342)+N($S342)+N($T342)-N($U342)-N($R342),2)))</f>
        <v/>
      </c>
      <c r="X342" s="14" t="inlineStr">
        <is>
          <t>Pago</t>
        </is>
      </c>
      <c r="Y342" s="17">
        <f>IF(COUNTA($B342:$R342)=0,"",IF($X342="Cancelado","Cancelado",IF(OR($X342="Pago",$X342="Recebido"),$X342,IF(OR($X342="Parcial",N($R342)&gt;0),"Parcial",IF($C342="","Sem vencimento",IF($C342&lt;TODAY(),"Vencido",IF($C342=TODAY(),"Vence hoje",IF($C342&lt;=TODAY()+7,"Vence em 7 dias",IF($C342&lt;=TODAY()+30,"Vence em 30 dias","Futuro")))))))))</f>
        <v/>
      </c>
      <c r="Z342" s="24">
        <f>IF($B342="","",MONTH($B342))</f>
        <v/>
      </c>
      <c r="AA342" s="24">
        <f>IF($B342="","",YEAR($B342))</f>
        <v/>
      </c>
      <c r="AB342" s="24">
        <f>IF($B342="","",ISOWEEKNUM($B342))</f>
        <v/>
      </c>
      <c r="AC342" s="17">
        <f>IF($B342="","",CHOOSE(WEEKDAY($B342,2),"Segunda","Terça","Quarta","Quinta","Sexta","Sábado","Domingo"))</f>
        <v/>
      </c>
      <c r="AD342" s="17">
        <f>IF($B342="","",TEXT($B342,"MM/AAAA"))</f>
        <v/>
      </c>
      <c r="AE342" s="18">
        <f>IF(COUNTA($B342:$R342)=0,"",IF($X342="Cancelado",0,ROUND(N($Q342)+N($S342)+N($T342)-N($U342),2)))</f>
        <v/>
      </c>
      <c r="AF342" s="9">
        <f>IF($G342="","",IFERROR(INDEX(LINHAS_DRE_PLANO,MATCH($G342,SUBCATEGORIAS_PLANO,0)),"Não classificado"))</f>
        <v/>
      </c>
      <c r="AG342" s="17">
        <f>IF($G342="","",IFERROR(INDEX(TIPOS_FLUXO_PLANO,MATCH($G342,SUBCATEGORIAS_PLANO,0)),"Não classificado"))</f>
        <v/>
      </c>
      <c r="AH342" s="9">
        <f>IF($G342="","",IFERROR(INDEX(GRUPOS_PLANO,MATCH($G342,SUBCATEGORIAS_PLANO,0)),"Não classificado"))</f>
        <v/>
      </c>
      <c r="AI342" s="24">
        <f>IF(OR($C342="",$X342="Pago",$X342="Recebido",$X342="Cancelado"),"",$C342-TODAY())</f>
        <v/>
      </c>
      <c r="AJ342" s="24">
        <f>IF(OR($C342="",$X342="Pago",$X342="Recebido",$X342="Cancelado"),0,MAX(0,TODAY()-$C342))</f>
        <v/>
      </c>
      <c r="AK342" s="24">
        <f>IF($D342="","",$D342-$B342)</f>
        <v/>
      </c>
      <c r="AL342" s="18">
        <f>IF(OR($D342="",$B342=""),"",ROUND(N($R342)*($D342-$B342),2))</f>
        <v/>
      </c>
      <c r="AM342" s="17">
        <f>IF(AND($E342="Saída",$W342&gt;0,$C342&lt;&gt;""),$C342+ROW()/1000000,"")</f>
        <v/>
      </c>
      <c r="AN342" s="17">
        <f>IF(AND($E342="Entrada",$W342&gt;0,$C342&lt;&gt;""),$C342+ROW()/1000000,"")</f>
        <v/>
      </c>
      <c r="AO342" s="9">
        <f>IF(COUNTA($B342:$R342)=0,"",IF(AND($I342&lt;&gt;"",COUNTIF(CLIENTES_NOMES,$I342)+COUNTIF(CLIENTES_FANTASIA,$I342)+COUNTIF(FORNECEDORES_NOMES,$I342)+COUNTIF(FORNECEDORES_FANTASIA,$I342)=0),"⚠ Cliente/Fornecedor não cadastrado",IF(AND($G342&lt;&gt;"",COUNTIF(SUBCATEGORIAS_PLANO,$G342)=0),"⚠ Subcategoria fora do plano de contas",IF(OR($Q342="",N($Q342)=0),"⚠ Valor previsto não informado",IF(AND(OR($X342="Pago",$X342="Recebido"),$D342=""),"⚠ Status pago/recebido sem data",IF(AND($D342&lt;&gt;"",N($R342)=0),"⚠ Data de pagamento sem valor realizado",IF(AND(N($P342)&gt;1,N($O342)&gt;N($P342)),"⚠ Nº da parcela maior que o total",IF(AND($C342&lt;&gt;"",$B342&lt;&gt;"",$C342&lt;$B342),"⚠ Vencimento anterior à competência","OK"))))))))</f>
        <v/>
      </c>
    </row>
    <row r="343">
      <c r="A343" s="14" t="inlineStr">
        <is>
          <t>L0338</t>
        </is>
      </c>
      <c r="B343" s="36" t="n">
        <v>46239</v>
      </c>
      <c r="C343" s="36" t="n">
        <v>46244</v>
      </c>
      <c r="D343" s="36" t="n">
        <v>46244</v>
      </c>
      <c r="E343" s="14" t="inlineStr">
        <is>
          <t>Saída</t>
        </is>
      </c>
      <c r="F343" s="29" t="inlineStr">
        <is>
          <t>Despesas com Pessoal</t>
        </is>
      </c>
      <c r="G343" s="29" t="inlineStr">
        <is>
          <t>Benefícios (VT/VA/Plano de Saúde)</t>
        </is>
      </c>
      <c r="H343" s="29" t="inlineStr">
        <is>
          <t>Administrativo</t>
        </is>
      </c>
      <c r="I343" s="29" t="inlineStr">
        <is>
          <t>BENEFÍCIOS BRASIL ADMINISTRADORA LTDA</t>
        </is>
      </c>
      <c r="J343" s="29" t="inlineStr">
        <is>
          <t>Vale-transporte, alimentação e saúde</t>
        </is>
      </c>
      <c r="K343" s="14" t="inlineStr">
        <is>
          <t>DOC 8388</t>
        </is>
      </c>
      <c r="L343" s="29" t="inlineStr">
        <is>
          <t>Banco do Brasil — C/C 12345-6</t>
        </is>
      </c>
      <c r="M343" s="14" t="inlineStr">
        <is>
          <t>Transferência</t>
        </is>
      </c>
      <c r="N343" s="29" t="n"/>
      <c r="O343" s="13" t="n">
        <v>1</v>
      </c>
      <c r="P343" s="13" t="n">
        <v>1</v>
      </c>
      <c r="Q343" s="35" t="n">
        <v>1900</v>
      </c>
      <c r="R343" s="35" t="n">
        <v>1900</v>
      </c>
      <c r="S343" s="35" t="n"/>
      <c r="T343" s="35" t="n"/>
      <c r="U343" s="35" t="n"/>
      <c r="V343" s="18">
        <f>IF(COUNTA($B343:$R343)=0,"",ROUND(N($R343)+N($S343)+N($T343)-N($U343),2))</f>
        <v/>
      </c>
      <c r="W343" s="18">
        <f>IF(COUNTA($B343:$R343)=0,"",IF(OR($X343="Pago",$X343="Recebido",$X343="Cancelado"),0,ROUND(N($Q343)+N($S343)+N($T343)-N($U343)-N($R343),2)))</f>
        <v/>
      </c>
      <c r="X343" s="14" t="inlineStr">
        <is>
          <t>Pago</t>
        </is>
      </c>
      <c r="Y343" s="17">
        <f>IF(COUNTA($B343:$R343)=0,"",IF($X343="Cancelado","Cancelado",IF(OR($X343="Pago",$X343="Recebido"),$X343,IF(OR($X343="Parcial",N($R343)&gt;0),"Parcial",IF($C343="","Sem vencimento",IF($C343&lt;TODAY(),"Vencido",IF($C343=TODAY(),"Vence hoje",IF($C343&lt;=TODAY()+7,"Vence em 7 dias",IF($C343&lt;=TODAY()+30,"Vence em 30 dias","Futuro")))))))))</f>
        <v/>
      </c>
      <c r="Z343" s="24">
        <f>IF($B343="","",MONTH($B343))</f>
        <v/>
      </c>
      <c r="AA343" s="24">
        <f>IF($B343="","",YEAR($B343))</f>
        <v/>
      </c>
      <c r="AB343" s="24">
        <f>IF($B343="","",ISOWEEKNUM($B343))</f>
        <v/>
      </c>
      <c r="AC343" s="17">
        <f>IF($B343="","",CHOOSE(WEEKDAY($B343,2),"Segunda","Terça","Quarta","Quinta","Sexta","Sábado","Domingo"))</f>
        <v/>
      </c>
      <c r="AD343" s="17">
        <f>IF($B343="","",TEXT($B343,"MM/AAAA"))</f>
        <v/>
      </c>
      <c r="AE343" s="18">
        <f>IF(COUNTA($B343:$R343)=0,"",IF($X343="Cancelado",0,ROUND(N($Q343)+N($S343)+N($T343)-N($U343),2)))</f>
        <v/>
      </c>
      <c r="AF343" s="9">
        <f>IF($G343="","",IFERROR(INDEX(LINHAS_DRE_PLANO,MATCH($G343,SUBCATEGORIAS_PLANO,0)),"Não classificado"))</f>
        <v/>
      </c>
      <c r="AG343" s="17">
        <f>IF($G343="","",IFERROR(INDEX(TIPOS_FLUXO_PLANO,MATCH($G343,SUBCATEGORIAS_PLANO,0)),"Não classificado"))</f>
        <v/>
      </c>
      <c r="AH343" s="9">
        <f>IF($G343="","",IFERROR(INDEX(GRUPOS_PLANO,MATCH($G343,SUBCATEGORIAS_PLANO,0)),"Não classificado"))</f>
        <v/>
      </c>
      <c r="AI343" s="24">
        <f>IF(OR($C343="",$X343="Pago",$X343="Recebido",$X343="Cancelado"),"",$C343-TODAY())</f>
        <v/>
      </c>
      <c r="AJ343" s="24">
        <f>IF(OR($C343="",$X343="Pago",$X343="Recebido",$X343="Cancelado"),0,MAX(0,TODAY()-$C343))</f>
        <v/>
      </c>
      <c r="AK343" s="24">
        <f>IF($D343="","",$D343-$B343)</f>
        <v/>
      </c>
      <c r="AL343" s="18">
        <f>IF(OR($D343="",$B343=""),"",ROUND(N($R343)*($D343-$B343),2))</f>
        <v/>
      </c>
      <c r="AM343" s="17">
        <f>IF(AND($E343="Saída",$W343&gt;0,$C343&lt;&gt;""),$C343+ROW()/1000000,"")</f>
        <v/>
      </c>
      <c r="AN343" s="17">
        <f>IF(AND($E343="Entrada",$W343&gt;0,$C343&lt;&gt;""),$C343+ROW()/1000000,"")</f>
        <v/>
      </c>
      <c r="AO343" s="9">
        <f>IF(COUNTA($B343:$R343)=0,"",IF(AND($I343&lt;&gt;"",COUNTIF(CLIENTES_NOMES,$I343)+COUNTIF(CLIENTES_FANTASIA,$I343)+COUNTIF(FORNECEDORES_NOMES,$I343)+COUNTIF(FORNECEDORES_FANTASIA,$I343)=0),"⚠ Cliente/Fornecedor não cadastrado",IF(AND($G343&lt;&gt;"",COUNTIF(SUBCATEGORIAS_PLANO,$G343)=0),"⚠ Subcategoria fora do plano de contas",IF(OR($Q343="",N($Q343)=0),"⚠ Valor previsto não informado",IF(AND(OR($X343="Pago",$X343="Recebido"),$D343=""),"⚠ Status pago/recebido sem data",IF(AND($D343&lt;&gt;"",N($R343)=0),"⚠ Data de pagamento sem valor realizado",IF(AND(N($P343)&gt;1,N($O343)&gt;N($P343)),"⚠ Nº da parcela maior que o total",IF(AND($C343&lt;&gt;"",$B343&lt;&gt;"",$C343&lt;$B343),"⚠ Vencimento anterior à competência","OK"))))))))</f>
        <v/>
      </c>
    </row>
    <row r="344">
      <c r="A344" s="14" t="inlineStr">
        <is>
          <t>L0339</t>
        </is>
      </c>
      <c r="B344" s="36" t="n">
        <v>46239</v>
      </c>
      <c r="C344" s="36" t="n">
        <v>46244</v>
      </c>
      <c r="D344" s="36" t="n">
        <v>46247</v>
      </c>
      <c r="E344" s="14" t="inlineStr">
        <is>
          <t>Saída</t>
        </is>
      </c>
      <c r="F344" s="29" t="inlineStr">
        <is>
          <t>Despesas com Pessoal</t>
        </is>
      </c>
      <c r="G344" s="29" t="inlineStr">
        <is>
          <t>Pró-labore</t>
        </is>
      </c>
      <c r="H344" s="29" t="inlineStr">
        <is>
          <t>Diretoria</t>
        </is>
      </c>
      <c r="I344" s="29" t="inlineStr">
        <is>
          <t>SÓCIOS — PRÓ-LABORE E DISTRIBUIÇÕES</t>
        </is>
      </c>
      <c r="J344" s="29" t="inlineStr">
        <is>
          <t>Pró-labore dos sócios — 08/2026</t>
        </is>
      </c>
      <c r="K344" s="14" t="inlineStr">
        <is>
          <t>DOC 8389</t>
        </is>
      </c>
      <c r="L344" s="29" t="inlineStr">
        <is>
          <t>Banco do Brasil — C/C 12345-6</t>
        </is>
      </c>
      <c r="M344" s="14" t="inlineStr">
        <is>
          <t>Transferência</t>
        </is>
      </c>
      <c r="N344" s="29" t="n"/>
      <c r="O344" s="13" t="n">
        <v>1</v>
      </c>
      <c r="P344" s="13" t="n">
        <v>1</v>
      </c>
      <c r="Q344" s="35" t="n">
        <v>9500</v>
      </c>
      <c r="R344" s="35" t="n">
        <v>9500</v>
      </c>
      <c r="S344" s="35" t="n"/>
      <c r="T344" s="35" t="n"/>
      <c r="U344" s="35" t="n"/>
      <c r="V344" s="18">
        <f>IF(COUNTA($B344:$R344)=0,"",ROUND(N($R344)+N($S344)+N($T344)-N($U344),2))</f>
        <v/>
      </c>
      <c r="W344" s="18">
        <f>IF(COUNTA($B344:$R344)=0,"",IF(OR($X344="Pago",$X344="Recebido",$X344="Cancelado"),0,ROUND(N($Q344)+N($S344)+N($T344)-N($U344)-N($R344),2)))</f>
        <v/>
      </c>
      <c r="X344" s="14" t="inlineStr">
        <is>
          <t>Pago</t>
        </is>
      </c>
      <c r="Y344" s="17">
        <f>IF(COUNTA($B344:$R344)=0,"",IF($X344="Cancelado","Cancelado",IF(OR($X344="Pago",$X344="Recebido"),$X344,IF(OR($X344="Parcial",N($R344)&gt;0),"Parcial",IF($C344="","Sem vencimento",IF($C344&lt;TODAY(),"Vencido",IF($C344=TODAY(),"Vence hoje",IF($C344&lt;=TODAY()+7,"Vence em 7 dias",IF($C344&lt;=TODAY()+30,"Vence em 30 dias","Futuro")))))))))</f>
        <v/>
      </c>
      <c r="Z344" s="24">
        <f>IF($B344="","",MONTH($B344))</f>
        <v/>
      </c>
      <c r="AA344" s="24">
        <f>IF($B344="","",YEAR($B344))</f>
        <v/>
      </c>
      <c r="AB344" s="24">
        <f>IF($B344="","",ISOWEEKNUM($B344))</f>
        <v/>
      </c>
      <c r="AC344" s="17">
        <f>IF($B344="","",CHOOSE(WEEKDAY($B344,2),"Segunda","Terça","Quarta","Quinta","Sexta","Sábado","Domingo"))</f>
        <v/>
      </c>
      <c r="AD344" s="17">
        <f>IF($B344="","",TEXT($B344,"MM/AAAA"))</f>
        <v/>
      </c>
      <c r="AE344" s="18">
        <f>IF(COUNTA($B344:$R344)=0,"",IF($X344="Cancelado",0,ROUND(N($Q344)+N($S344)+N($T344)-N($U344),2)))</f>
        <v/>
      </c>
      <c r="AF344" s="9">
        <f>IF($G344="","",IFERROR(INDEX(LINHAS_DRE_PLANO,MATCH($G344,SUBCATEGORIAS_PLANO,0)),"Não classificado"))</f>
        <v/>
      </c>
      <c r="AG344" s="17">
        <f>IF($G344="","",IFERROR(INDEX(TIPOS_FLUXO_PLANO,MATCH($G344,SUBCATEGORIAS_PLANO,0)),"Não classificado"))</f>
        <v/>
      </c>
      <c r="AH344" s="9">
        <f>IF($G344="","",IFERROR(INDEX(GRUPOS_PLANO,MATCH($G344,SUBCATEGORIAS_PLANO,0)),"Não classificado"))</f>
        <v/>
      </c>
      <c r="AI344" s="24">
        <f>IF(OR($C344="",$X344="Pago",$X344="Recebido",$X344="Cancelado"),"",$C344-TODAY())</f>
        <v/>
      </c>
      <c r="AJ344" s="24">
        <f>IF(OR($C344="",$X344="Pago",$X344="Recebido",$X344="Cancelado"),0,MAX(0,TODAY()-$C344))</f>
        <v/>
      </c>
      <c r="AK344" s="24">
        <f>IF($D344="","",$D344-$B344)</f>
        <v/>
      </c>
      <c r="AL344" s="18">
        <f>IF(OR($D344="",$B344=""),"",ROUND(N($R344)*($D344-$B344),2))</f>
        <v/>
      </c>
      <c r="AM344" s="17">
        <f>IF(AND($E344="Saída",$W344&gt;0,$C344&lt;&gt;""),$C344+ROW()/1000000,"")</f>
        <v/>
      </c>
      <c r="AN344" s="17">
        <f>IF(AND($E344="Entrada",$W344&gt;0,$C344&lt;&gt;""),$C344+ROW()/1000000,"")</f>
        <v/>
      </c>
      <c r="AO344" s="9">
        <f>IF(COUNTA($B344:$R344)=0,"",IF(AND($I344&lt;&gt;"",COUNTIF(CLIENTES_NOMES,$I344)+COUNTIF(CLIENTES_FANTASIA,$I344)+COUNTIF(FORNECEDORES_NOMES,$I344)+COUNTIF(FORNECEDORES_FANTASIA,$I344)=0),"⚠ Cliente/Fornecedor não cadastrado",IF(AND($G344&lt;&gt;"",COUNTIF(SUBCATEGORIAS_PLANO,$G344)=0),"⚠ Subcategoria fora do plano de contas",IF(OR($Q344="",N($Q344)=0),"⚠ Valor previsto não informado",IF(AND(OR($X344="Pago",$X344="Recebido"),$D344=""),"⚠ Status pago/recebido sem data",IF(AND($D344&lt;&gt;"",N($R344)=0),"⚠ Data de pagamento sem valor realizado",IF(AND(N($P344)&gt;1,N($O344)&gt;N($P344)),"⚠ Nº da parcela maior que o total",IF(AND($C344&lt;&gt;"",$B344&lt;&gt;"",$C344&lt;$B344),"⚠ Vencimento anterior à competência","OK"))))))))</f>
        <v/>
      </c>
    </row>
    <row r="345">
      <c r="A345" s="14" t="inlineStr">
        <is>
          <t>L0340</t>
        </is>
      </c>
      <c r="B345" s="36" t="n">
        <v>46239</v>
      </c>
      <c r="C345" s="36" t="n">
        <v>46269</v>
      </c>
      <c r="D345" s="36" t="n">
        <v>46271</v>
      </c>
      <c r="E345" s="14" t="inlineStr">
        <is>
          <t>Saída</t>
        </is>
      </c>
      <c r="F345" s="29" t="inlineStr">
        <is>
          <t>Investimentos</t>
        </is>
      </c>
      <c r="G345" s="29" t="inlineStr">
        <is>
          <t>Tecnologia e Informática</t>
        </is>
      </c>
      <c r="H345" s="29" t="inlineStr">
        <is>
          <t>Administrativo</t>
        </is>
      </c>
      <c r="I345" s="29" t="inlineStr">
        <is>
          <t>TECNOLOGIA E SISTEMAS ABC LTDA</t>
        </is>
      </c>
      <c r="J345" s="29" t="inlineStr">
        <is>
          <t>Módulo de BI e leitores de código de barras</t>
        </is>
      </c>
      <c r="K345" s="14" t="inlineStr">
        <is>
          <t>INV-0805</t>
        </is>
      </c>
      <c r="L345" s="29" t="inlineStr">
        <is>
          <t>Banco do Brasil — C/C 12345-6</t>
        </is>
      </c>
      <c r="M345" s="14" t="inlineStr">
        <is>
          <t>Transferência</t>
        </is>
      </c>
      <c r="N345" s="29" t="n"/>
      <c r="O345" s="13" t="n">
        <v>1</v>
      </c>
      <c r="P345" s="13" t="n">
        <v>1</v>
      </c>
      <c r="Q345" s="35" t="n">
        <v>6800</v>
      </c>
      <c r="R345" s="35" t="n">
        <v>6800</v>
      </c>
      <c r="S345" s="35" t="n"/>
      <c r="T345" s="35" t="n"/>
      <c r="U345" s="35" t="n"/>
      <c r="V345" s="18">
        <f>IF(COUNTA($B345:$R345)=0,"",ROUND(N($R345)+N($S345)+N($T345)-N($U345),2))</f>
        <v/>
      </c>
      <c r="W345" s="18">
        <f>IF(COUNTA($B345:$R345)=0,"",IF(OR($X345="Pago",$X345="Recebido",$X345="Cancelado"),0,ROUND(N($Q345)+N($S345)+N($T345)-N($U345)-N($R345),2)))</f>
        <v/>
      </c>
      <c r="X345" s="14" t="inlineStr">
        <is>
          <t>Pago</t>
        </is>
      </c>
      <c r="Y345" s="17">
        <f>IF(COUNTA($B345:$R345)=0,"",IF($X345="Cancelado","Cancelado",IF(OR($X345="Pago",$X345="Recebido"),$X345,IF(OR($X345="Parcial",N($R345)&gt;0),"Parcial",IF($C345="","Sem vencimento",IF($C345&lt;TODAY(),"Vencido",IF($C345=TODAY(),"Vence hoje",IF($C345&lt;=TODAY()+7,"Vence em 7 dias",IF($C345&lt;=TODAY()+30,"Vence em 30 dias","Futuro")))))))))</f>
        <v/>
      </c>
      <c r="Z345" s="24">
        <f>IF($B345="","",MONTH($B345))</f>
        <v/>
      </c>
      <c r="AA345" s="24">
        <f>IF($B345="","",YEAR($B345))</f>
        <v/>
      </c>
      <c r="AB345" s="24">
        <f>IF($B345="","",ISOWEEKNUM($B345))</f>
        <v/>
      </c>
      <c r="AC345" s="17">
        <f>IF($B345="","",CHOOSE(WEEKDAY($B345,2),"Segunda","Terça","Quarta","Quinta","Sexta","Sábado","Domingo"))</f>
        <v/>
      </c>
      <c r="AD345" s="17">
        <f>IF($B345="","",TEXT($B345,"MM/AAAA"))</f>
        <v/>
      </c>
      <c r="AE345" s="18">
        <f>IF(COUNTA($B345:$R345)=0,"",IF($X345="Cancelado",0,ROUND(N($Q345)+N($S345)+N($T345)-N($U345),2)))</f>
        <v/>
      </c>
      <c r="AF345" s="9">
        <f>IF($G345="","",IFERROR(INDEX(LINHAS_DRE_PLANO,MATCH($G345,SUBCATEGORIAS_PLANO,0)),"Não classificado"))</f>
        <v/>
      </c>
      <c r="AG345" s="17">
        <f>IF($G345="","",IFERROR(INDEX(TIPOS_FLUXO_PLANO,MATCH($G345,SUBCATEGORIAS_PLANO,0)),"Não classificado"))</f>
        <v/>
      </c>
      <c r="AH345" s="9">
        <f>IF($G345="","",IFERROR(INDEX(GRUPOS_PLANO,MATCH($G345,SUBCATEGORIAS_PLANO,0)),"Não classificado"))</f>
        <v/>
      </c>
      <c r="AI345" s="24">
        <f>IF(OR($C345="",$X345="Pago",$X345="Recebido",$X345="Cancelado"),"",$C345-TODAY())</f>
        <v/>
      </c>
      <c r="AJ345" s="24">
        <f>IF(OR($C345="",$X345="Pago",$X345="Recebido",$X345="Cancelado"),0,MAX(0,TODAY()-$C345))</f>
        <v/>
      </c>
      <c r="AK345" s="24">
        <f>IF($D345="","",$D345-$B345)</f>
        <v/>
      </c>
      <c r="AL345" s="18">
        <f>IF(OR($D345="",$B345=""),"",ROUND(N($R345)*($D345-$B345),2))</f>
        <v/>
      </c>
      <c r="AM345" s="17">
        <f>IF(AND($E345="Saída",$W345&gt;0,$C345&lt;&gt;""),$C345+ROW()/1000000,"")</f>
        <v/>
      </c>
      <c r="AN345" s="17">
        <f>IF(AND($E345="Entrada",$W345&gt;0,$C345&lt;&gt;""),$C345+ROW()/1000000,"")</f>
        <v/>
      </c>
      <c r="AO345" s="9">
        <f>IF(COUNTA($B345:$R345)=0,"",IF(AND($I345&lt;&gt;"",COUNTIF(CLIENTES_NOMES,$I345)+COUNTIF(CLIENTES_FANTASIA,$I345)+COUNTIF(FORNECEDORES_NOMES,$I345)+COUNTIF(FORNECEDORES_FANTASIA,$I345)=0),"⚠ Cliente/Fornecedor não cadastrado",IF(AND($G345&lt;&gt;"",COUNTIF(SUBCATEGORIAS_PLANO,$G345)=0),"⚠ Subcategoria fora do plano de contas",IF(OR($Q345="",N($Q345)=0),"⚠ Valor previsto não informado",IF(AND(OR($X345="Pago",$X345="Recebido"),$D345=""),"⚠ Status pago/recebido sem data",IF(AND($D345&lt;&gt;"",N($R345)=0),"⚠ Data de pagamento sem valor realizado",IF(AND(N($P345)&gt;1,N($O345)&gt;N($P345)),"⚠ Nº da parcela maior que o total",IF(AND($C345&lt;&gt;"",$B345&lt;&gt;"",$C345&lt;$B345),"⚠ Vencimento anterior à competência","OK"))))))))</f>
        <v/>
      </c>
    </row>
    <row r="346">
      <c r="A346" s="14" t="inlineStr">
        <is>
          <t>L0341</t>
        </is>
      </c>
      <c r="B346" s="36" t="n">
        <v>46241</v>
      </c>
      <c r="C346" s="36" t="n">
        <v>46248</v>
      </c>
      <c r="D346" s="36" t="n">
        <v>46248</v>
      </c>
      <c r="E346" s="14" t="inlineStr">
        <is>
          <t>Saída</t>
        </is>
      </c>
      <c r="F346" s="29" t="inlineStr">
        <is>
          <t>Despesas com Pessoal</t>
        </is>
      </c>
      <c r="G346" s="29" t="inlineStr">
        <is>
          <t>Encargos Sociais (FGTS/INSS)</t>
        </is>
      </c>
      <c r="H346" s="29" t="inlineStr">
        <is>
          <t>Administrativo</t>
        </is>
      </c>
      <c r="I346" s="29" t="inlineStr">
        <is>
          <t>RECEITA FEDERAL DO BRASIL</t>
        </is>
      </c>
      <c r="J346" s="29" t="inlineStr">
        <is>
          <t>FGTS e INSS — competência 08/2026</t>
        </is>
      </c>
      <c r="K346" s="14" t="inlineStr">
        <is>
          <t>DOC 8387</t>
        </is>
      </c>
      <c r="L346" s="29" t="inlineStr">
        <is>
          <t>Itaú Unibanco — C/C 45678-9</t>
        </is>
      </c>
      <c r="M346" s="14" t="inlineStr">
        <is>
          <t>Transferência</t>
        </is>
      </c>
      <c r="N346" s="29" t="n"/>
      <c r="O346" s="13" t="n">
        <v>1</v>
      </c>
      <c r="P346" s="13" t="n">
        <v>1</v>
      </c>
      <c r="Q346" s="35" t="n">
        <v>5600</v>
      </c>
      <c r="R346" s="35" t="n">
        <v>5600</v>
      </c>
      <c r="S346" s="35" t="n"/>
      <c r="T346" s="35" t="n"/>
      <c r="U346" s="35" t="n"/>
      <c r="V346" s="18">
        <f>IF(COUNTA($B346:$R346)=0,"",ROUND(N($R346)+N($S346)+N($T346)-N($U346),2))</f>
        <v/>
      </c>
      <c r="W346" s="18">
        <f>IF(COUNTA($B346:$R346)=0,"",IF(OR($X346="Pago",$X346="Recebido",$X346="Cancelado"),0,ROUND(N($Q346)+N($S346)+N($T346)-N($U346)-N($R346),2)))</f>
        <v/>
      </c>
      <c r="X346" s="14" t="inlineStr">
        <is>
          <t>Pago</t>
        </is>
      </c>
      <c r="Y346" s="17">
        <f>IF(COUNTA($B346:$R346)=0,"",IF($X346="Cancelado","Cancelado",IF(OR($X346="Pago",$X346="Recebido"),$X346,IF(OR($X346="Parcial",N($R346)&gt;0),"Parcial",IF($C346="","Sem vencimento",IF($C346&lt;TODAY(),"Vencido",IF($C346=TODAY(),"Vence hoje",IF($C346&lt;=TODAY()+7,"Vence em 7 dias",IF($C346&lt;=TODAY()+30,"Vence em 30 dias","Futuro")))))))))</f>
        <v/>
      </c>
      <c r="Z346" s="24">
        <f>IF($B346="","",MONTH($B346))</f>
        <v/>
      </c>
      <c r="AA346" s="24">
        <f>IF($B346="","",YEAR($B346))</f>
        <v/>
      </c>
      <c r="AB346" s="24">
        <f>IF($B346="","",ISOWEEKNUM($B346))</f>
        <v/>
      </c>
      <c r="AC346" s="17">
        <f>IF($B346="","",CHOOSE(WEEKDAY($B346,2),"Segunda","Terça","Quarta","Quinta","Sexta","Sábado","Domingo"))</f>
        <v/>
      </c>
      <c r="AD346" s="17">
        <f>IF($B346="","",TEXT($B346,"MM/AAAA"))</f>
        <v/>
      </c>
      <c r="AE346" s="18">
        <f>IF(COUNTA($B346:$R346)=0,"",IF($X346="Cancelado",0,ROUND(N($Q346)+N($S346)+N($T346)-N($U346),2)))</f>
        <v/>
      </c>
      <c r="AF346" s="9">
        <f>IF($G346="","",IFERROR(INDEX(LINHAS_DRE_PLANO,MATCH($G346,SUBCATEGORIAS_PLANO,0)),"Não classificado"))</f>
        <v/>
      </c>
      <c r="AG346" s="17">
        <f>IF($G346="","",IFERROR(INDEX(TIPOS_FLUXO_PLANO,MATCH($G346,SUBCATEGORIAS_PLANO,0)),"Não classificado"))</f>
        <v/>
      </c>
      <c r="AH346" s="9">
        <f>IF($G346="","",IFERROR(INDEX(GRUPOS_PLANO,MATCH($G346,SUBCATEGORIAS_PLANO,0)),"Não classificado"))</f>
        <v/>
      </c>
      <c r="AI346" s="24">
        <f>IF(OR($C346="",$X346="Pago",$X346="Recebido",$X346="Cancelado"),"",$C346-TODAY())</f>
        <v/>
      </c>
      <c r="AJ346" s="24">
        <f>IF(OR($C346="",$X346="Pago",$X346="Recebido",$X346="Cancelado"),0,MAX(0,TODAY()-$C346))</f>
        <v/>
      </c>
      <c r="AK346" s="24">
        <f>IF($D346="","",$D346-$B346)</f>
        <v/>
      </c>
      <c r="AL346" s="18">
        <f>IF(OR($D346="",$B346=""),"",ROUND(N($R346)*($D346-$B346),2))</f>
        <v/>
      </c>
      <c r="AM346" s="17">
        <f>IF(AND($E346="Saída",$W346&gt;0,$C346&lt;&gt;""),$C346+ROW()/1000000,"")</f>
        <v/>
      </c>
      <c r="AN346" s="17">
        <f>IF(AND($E346="Entrada",$W346&gt;0,$C346&lt;&gt;""),$C346+ROW()/1000000,"")</f>
        <v/>
      </c>
      <c r="AO346" s="9">
        <f>IF(COUNTA($B346:$R346)=0,"",IF(AND($I346&lt;&gt;"",COUNTIF(CLIENTES_NOMES,$I346)+COUNTIF(CLIENTES_FANTASIA,$I346)+COUNTIF(FORNECEDORES_NOMES,$I346)+COUNTIF(FORNECEDORES_FANTASIA,$I346)=0),"⚠ Cliente/Fornecedor não cadastrado",IF(AND($G346&lt;&gt;"",COUNTIF(SUBCATEGORIAS_PLANO,$G346)=0),"⚠ Subcategoria fora do plano de contas",IF(OR($Q346="",N($Q346)=0),"⚠ Valor previsto não informado",IF(AND(OR($X346="Pago",$X346="Recebido"),$D346=""),"⚠ Status pago/recebido sem data",IF(AND($D346&lt;&gt;"",N($R346)=0),"⚠ Data de pagamento sem valor realizado",IF(AND(N($P346)&gt;1,N($O346)&gt;N($P346)),"⚠ Nº da parcela maior que o total",IF(AND($C346&lt;&gt;"",$B346&lt;&gt;"",$C346&lt;$B346),"⚠ Vencimento anterior à competência","OK"))))))))</f>
        <v/>
      </c>
    </row>
    <row r="347">
      <c r="A347" s="14" t="inlineStr">
        <is>
          <t>L0342</t>
        </is>
      </c>
      <c r="B347" s="36" t="n">
        <v>46242</v>
      </c>
      <c r="C347" s="36" t="n">
        <v>46262</v>
      </c>
      <c r="D347" s="36" t="n">
        <v>46263</v>
      </c>
      <c r="E347" s="14" t="inlineStr">
        <is>
          <t>Saída</t>
        </is>
      </c>
      <c r="F347" s="29" t="inlineStr">
        <is>
          <t>Despesas Administrativas</t>
        </is>
      </c>
      <c r="G347" s="29" t="inlineStr">
        <is>
          <t>Sistemas e Softwares</t>
        </is>
      </c>
      <c r="H347" s="29" t="inlineStr">
        <is>
          <t>Administrativo</t>
        </is>
      </c>
      <c r="I347" s="29" t="inlineStr">
        <is>
          <t>TECNOLOGIA E SISTEMAS ABC LTDA</t>
        </is>
      </c>
      <c r="J347" s="29" t="inlineStr">
        <is>
          <t>Assinatura ERP, NF-e e BI</t>
        </is>
      </c>
      <c r="K347" s="14" t="inlineStr">
        <is>
          <t>DOC 8385</t>
        </is>
      </c>
      <c r="L347" s="29" t="inlineStr">
        <is>
          <t>Nubank PJ — C/C 9876543-2</t>
        </is>
      </c>
      <c r="M347" s="14" t="inlineStr">
        <is>
          <t>Cartão de crédito</t>
        </is>
      </c>
      <c r="N347" s="29" t="inlineStr">
        <is>
          <t>Cartão Mastercard Nubank PJ</t>
        </is>
      </c>
      <c r="O347" s="13" t="n">
        <v>1</v>
      </c>
      <c r="P347" s="13" t="n">
        <v>1</v>
      </c>
      <c r="Q347" s="35" t="n">
        <v>850</v>
      </c>
      <c r="R347" s="35" t="n">
        <v>850</v>
      </c>
      <c r="S347" s="35" t="n"/>
      <c r="T347" s="35" t="n"/>
      <c r="U347" s="35" t="n"/>
      <c r="V347" s="18">
        <f>IF(COUNTA($B347:$R347)=0,"",ROUND(N($R347)+N($S347)+N($T347)-N($U347),2))</f>
        <v/>
      </c>
      <c r="W347" s="18">
        <f>IF(COUNTA($B347:$R347)=0,"",IF(OR($X347="Pago",$X347="Recebido",$X347="Cancelado"),0,ROUND(N($Q347)+N($S347)+N($T347)-N($U347)-N($R347),2)))</f>
        <v/>
      </c>
      <c r="X347" s="14" t="inlineStr">
        <is>
          <t>Pago</t>
        </is>
      </c>
      <c r="Y347" s="17">
        <f>IF(COUNTA($B347:$R347)=0,"",IF($X347="Cancelado","Cancelado",IF(OR($X347="Pago",$X347="Recebido"),$X347,IF(OR($X347="Parcial",N($R347)&gt;0),"Parcial",IF($C347="","Sem vencimento",IF($C347&lt;TODAY(),"Vencido",IF($C347=TODAY(),"Vence hoje",IF($C347&lt;=TODAY()+7,"Vence em 7 dias",IF($C347&lt;=TODAY()+30,"Vence em 30 dias","Futuro")))))))))</f>
        <v/>
      </c>
      <c r="Z347" s="24">
        <f>IF($B347="","",MONTH($B347))</f>
        <v/>
      </c>
      <c r="AA347" s="24">
        <f>IF($B347="","",YEAR($B347))</f>
        <v/>
      </c>
      <c r="AB347" s="24">
        <f>IF($B347="","",ISOWEEKNUM($B347))</f>
        <v/>
      </c>
      <c r="AC347" s="17">
        <f>IF($B347="","",CHOOSE(WEEKDAY($B347,2),"Segunda","Terça","Quarta","Quinta","Sexta","Sábado","Domingo"))</f>
        <v/>
      </c>
      <c r="AD347" s="17">
        <f>IF($B347="","",TEXT($B347,"MM/AAAA"))</f>
        <v/>
      </c>
      <c r="AE347" s="18">
        <f>IF(COUNTA($B347:$R347)=0,"",IF($X347="Cancelado",0,ROUND(N($Q347)+N($S347)+N($T347)-N($U347),2)))</f>
        <v/>
      </c>
      <c r="AF347" s="9">
        <f>IF($G347="","",IFERROR(INDEX(LINHAS_DRE_PLANO,MATCH($G347,SUBCATEGORIAS_PLANO,0)),"Não classificado"))</f>
        <v/>
      </c>
      <c r="AG347" s="17">
        <f>IF($G347="","",IFERROR(INDEX(TIPOS_FLUXO_PLANO,MATCH($G347,SUBCATEGORIAS_PLANO,0)),"Não classificado"))</f>
        <v/>
      </c>
      <c r="AH347" s="9">
        <f>IF($G347="","",IFERROR(INDEX(GRUPOS_PLANO,MATCH($G347,SUBCATEGORIAS_PLANO,0)),"Não classificado"))</f>
        <v/>
      </c>
      <c r="AI347" s="24">
        <f>IF(OR($C347="",$X347="Pago",$X347="Recebido",$X347="Cancelado"),"",$C347-TODAY())</f>
        <v/>
      </c>
      <c r="AJ347" s="24">
        <f>IF(OR($C347="",$X347="Pago",$X347="Recebido",$X347="Cancelado"),0,MAX(0,TODAY()-$C347))</f>
        <v/>
      </c>
      <c r="AK347" s="24">
        <f>IF($D347="","",$D347-$B347)</f>
        <v/>
      </c>
      <c r="AL347" s="18">
        <f>IF(OR($D347="",$B347=""),"",ROUND(N($R347)*($D347-$B347),2))</f>
        <v/>
      </c>
      <c r="AM347" s="17">
        <f>IF(AND($E347="Saída",$W347&gt;0,$C347&lt;&gt;""),$C347+ROW()/1000000,"")</f>
        <v/>
      </c>
      <c r="AN347" s="17">
        <f>IF(AND($E347="Entrada",$W347&gt;0,$C347&lt;&gt;""),$C347+ROW()/1000000,"")</f>
        <v/>
      </c>
      <c r="AO347" s="9">
        <f>IF(COUNTA($B347:$R347)=0,"",IF(AND($I347&lt;&gt;"",COUNTIF(CLIENTES_NOMES,$I347)+COUNTIF(CLIENTES_FANTASIA,$I347)+COUNTIF(FORNECEDORES_NOMES,$I347)+COUNTIF(FORNECEDORES_FANTASIA,$I347)=0),"⚠ Cliente/Fornecedor não cadastrado",IF(AND($G347&lt;&gt;"",COUNTIF(SUBCATEGORIAS_PLANO,$G347)=0),"⚠ Subcategoria fora do plano de contas",IF(OR($Q347="",N($Q347)=0),"⚠ Valor previsto não informado",IF(AND(OR($X347="Pago",$X347="Recebido"),$D347=""),"⚠ Status pago/recebido sem data",IF(AND($D347&lt;&gt;"",N($R347)=0),"⚠ Data de pagamento sem valor realizado",IF(AND(N($P347)&gt;1,N($O347)&gt;N($P347)),"⚠ Nº da parcela maior que o total",IF(AND($C347&lt;&gt;"",$B347&lt;&gt;"",$C347&lt;$B347),"⚠ Vencimento anterior à competência","OK"))))))))</f>
        <v/>
      </c>
    </row>
    <row r="348">
      <c r="A348" s="14" t="inlineStr">
        <is>
          <t>L0343</t>
        </is>
      </c>
      <c r="B348" s="36" t="n">
        <v>46243</v>
      </c>
      <c r="C348" s="36" t="n">
        <v>46258</v>
      </c>
      <c r="D348" s="36" t="n">
        <v>46259</v>
      </c>
      <c r="E348" s="14" t="inlineStr">
        <is>
          <t>Saída</t>
        </is>
      </c>
      <c r="F348" s="29" t="inlineStr">
        <is>
          <t>Custos Variáveis</t>
        </is>
      </c>
      <c r="G348" s="29" t="inlineStr">
        <is>
          <t>Matéria-prima</t>
        </is>
      </c>
      <c r="H348" s="29" t="inlineStr">
        <is>
          <t>Produção</t>
        </is>
      </c>
      <c r="I348" s="29" t="inlineStr">
        <is>
          <t>DISTRIBUIDORA CENTRAL DE ALIMENTOS S/A</t>
        </is>
      </c>
      <c r="J348" s="29" t="inlineStr">
        <is>
          <t>Insumos e matéria-prima para beneficiamento</t>
        </is>
      </c>
      <c r="K348" s="14" t="inlineStr">
        <is>
          <t>NF 5908</t>
        </is>
      </c>
      <c r="L348" s="29" t="inlineStr">
        <is>
          <t>Itaú Unibanco — C/C 45678-9</t>
        </is>
      </c>
      <c r="M348" s="14" t="inlineStr">
        <is>
          <t>Boleto</t>
        </is>
      </c>
      <c r="N348" s="29" t="n"/>
      <c r="O348" s="13" t="n">
        <v>1</v>
      </c>
      <c r="P348" s="13" t="n">
        <v>1</v>
      </c>
      <c r="Q348" s="35" t="n">
        <v>10887.85</v>
      </c>
      <c r="R348" s="35" t="n">
        <v>10887.85</v>
      </c>
      <c r="S348" s="35" t="n"/>
      <c r="T348" s="35" t="n"/>
      <c r="U348" s="35" t="n"/>
      <c r="V348" s="18">
        <f>IF(COUNTA($B348:$R348)=0,"",ROUND(N($R348)+N($S348)+N($T348)-N($U348),2))</f>
        <v/>
      </c>
      <c r="W348" s="18">
        <f>IF(COUNTA($B348:$R348)=0,"",IF(OR($X348="Pago",$X348="Recebido",$X348="Cancelado"),0,ROUND(N($Q348)+N($S348)+N($T348)-N($U348)-N($R348),2)))</f>
        <v/>
      </c>
      <c r="X348" s="14" t="inlineStr">
        <is>
          <t>Pago</t>
        </is>
      </c>
      <c r="Y348" s="17">
        <f>IF(COUNTA($B348:$R348)=0,"",IF($X348="Cancelado","Cancelado",IF(OR($X348="Pago",$X348="Recebido"),$X348,IF(OR($X348="Parcial",N($R348)&gt;0),"Parcial",IF($C348="","Sem vencimento",IF($C348&lt;TODAY(),"Vencido",IF($C348=TODAY(),"Vence hoje",IF($C348&lt;=TODAY()+7,"Vence em 7 dias",IF($C348&lt;=TODAY()+30,"Vence em 30 dias","Futuro")))))))))</f>
        <v/>
      </c>
      <c r="Z348" s="24">
        <f>IF($B348="","",MONTH($B348))</f>
        <v/>
      </c>
      <c r="AA348" s="24">
        <f>IF($B348="","",YEAR($B348))</f>
        <v/>
      </c>
      <c r="AB348" s="24">
        <f>IF($B348="","",ISOWEEKNUM($B348))</f>
        <v/>
      </c>
      <c r="AC348" s="17">
        <f>IF($B348="","",CHOOSE(WEEKDAY($B348,2),"Segunda","Terça","Quarta","Quinta","Sexta","Sábado","Domingo"))</f>
        <v/>
      </c>
      <c r="AD348" s="17">
        <f>IF($B348="","",TEXT($B348,"MM/AAAA"))</f>
        <v/>
      </c>
      <c r="AE348" s="18">
        <f>IF(COUNTA($B348:$R348)=0,"",IF($X348="Cancelado",0,ROUND(N($Q348)+N($S348)+N($T348)-N($U348),2)))</f>
        <v/>
      </c>
      <c r="AF348" s="9">
        <f>IF($G348="","",IFERROR(INDEX(LINHAS_DRE_PLANO,MATCH($G348,SUBCATEGORIAS_PLANO,0)),"Não classificado"))</f>
        <v/>
      </c>
      <c r="AG348" s="17">
        <f>IF($G348="","",IFERROR(INDEX(TIPOS_FLUXO_PLANO,MATCH($G348,SUBCATEGORIAS_PLANO,0)),"Não classificado"))</f>
        <v/>
      </c>
      <c r="AH348" s="9">
        <f>IF($G348="","",IFERROR(INDEX(GRUPOS_PLANO,MATCH($G348,SUBCATEGORIAS_PLANO,0)),"Não classificado"))</f>
        <v/>
      </c>
      <c r="AI348" s="24">
        <f>IF(OR($C348="",$X348="Pago",$X348="Recebido",$X348="Cancelado"),"",$C348-TODAY())</f>
        <v/>
      </c>
      <c r="AJ348" s="24">
        <f>IF(OR($C348="",$X348="Pago",$X348="Recebido",$X348="Cancelado"),0,MAX(0,TODAY()-$C348))</f>
        <v/>
      </c>
      <c r="AK348" s="24">
        <f>IF($D348="","",$D348-$B348)</f>
        <v/>
      </c>
      <c r="AL348" s="18">
        <f>IF(OR($D348="",$B348=""),"",ROUND(N($R348)*($D348-$B348),2))</f>
        <v/>
      </c>
      <c r="AM348" s="17">
        <f>IF(AND($E348="Saída",$W348&gt;0,$C348&lt;&gt;""),$C348+ROW()/1000000,"")</f>
        <v/>
      </c>
      <c r="AN348" s="17">
        <f>IF(AND($E348="Entrada",$W348&gt;0,$C348&lt;&gt;""),$C348+ROW()/1000000,"")</f>
        <v/>
      </c>
      <c r="AO348" s="9">
        <f>IF(COUNTA($B348:$R348)=0,"",IF(AND($I348&lt;&gt;"",COUNTIF(CLIENTES_NOMES,$I348)+COUNTIF(CLIENTES_FANTASIA,$I348)+COUNTIF(FORNECEDORES_NOMES,$I348)+COUNTIF(FORNECEDORES_FANTASIA,$I348)=0),"⚠ Cliente/Fornecedor não cadastrado",IF(AND($G348&lt;&gt;"",COUNTIF(SUBCATEGORIAS_PLANO,$G348)=0),"⚠ Subcategoria fora do plano de contas",IF(OR($Q348="",N($Q348)=0),"⚠ Valor previsto não informado",IF(AND(OR($X348="Pago",$X348="Recebido"),$D348=""),"⚠ Status pago/recebido sem data",IF(AND($D348&lt;&gt;"",N($R348)=0),"⚠ Data de pagamento sem valor realizado",IF(AND(N($P348)&gt;1,N($O348)&gt;N($P348)),"⚠ Nº da parcela maior que o total",IF(AND($C348&lt;&gt;"",$B348&lt;&gt;"",$C348&lt;$B348),"⚠ Vencimento anterior à competência","OK"))))))))</f>
        <v/>
      </c>
    </row>
    <row r="349">
      <c r="A349" s="14" t="inlineStr">
        <is>
          <t>L0344</t>
        </is>
      </c>
      <c r="B349" s="36" t="n">
        <v>46244</v>
      </c>
      <c r="C349" s="36" t="n">
        <v>46262</v>
      </c>
      <c r="D349" s="36" t="n">
        <v>46263</v>
      </c>
      <c r="E349" s="14" t="inlineStr">
        <is>
          <t>Saída</t>
        </is>
      </c>
      <c r="F349" s="29" t="inlineStr">
        <is>
          <t>Despesas Administrativas</t>
        </is>
      </c>
      <c r="G349" s="29" t="inlineStr">
        <is>
          <t>Internet e Telefonia</t>
        </is>
      </c>
      <c r="H349" s="29" t="inlineStr">
        <is>
          <t>Administrativo</t>
        </is>
      </c>
      <c r="I349" s="29" t="inlineStr">
        <is>
          <t>TELEFÔNICA BRASIL S.A. (VIVO EMPRESAS)</t>
        </is>
      </c>
      <c r="J349" s="29" t="inlineStr">
        <is>
          <t>Internet, telefonia e link dedicado</t>
        </is>
      </c>
      <c r="K349" s="14" t="inlineStr">
        <is>
          <t>DOC 8383</t>
        </is>
      </c>
      <c r="L349" s="29" t="inlineStr">
        <is>
          <t>Nubank PJ — C/C 9876543-2</t>
        </is>
      </c>
      <c r="M349" s="14" t="inlineStr">
        <is>
          <t>Cartão de crédito</t>
        </is>
      </c>
      <c r="N349" s="29" t="inlineStr">
        <is>
          <t>Cartão Mastercard Nubank PJ</t>
        </is>
      </c>
      <c r="O349" s="13" t="n">
        <v>1</v>
      </c>
      <c r="P349" s="13" t="n">
        <v>1</v>
      </c>
      <c r="Q349" s="35" t="n">
        <v>780</v>
      </c>
      <c r="R349" s="35" t="n">
        <v>780</v>
      </c>
      <c r="S349" s="35" t="n"/>
      <c r="T349" s="35" t="n"/>
      <c r="U349" s="35" t="n"/>
      <c r="V349" s="18">
        <f>IF(COUNTA($B349:$R349)=0,"",ROUND(N($R349)+N($S349)+N($T349)-N($U349),2))</f>
        <v/>
      </c>
      <c r="W349" s="18">
        <f>IF(COUNTA($B349:$R349)=0,"",IF(OR($X349="Pago",$X349="Recebido",$X349="Cancelado"),0,ROUND(N($Q349)+N($S349)+N($T349)-N($U349)-N($R349),2)))</f>
        <v/>
      </c>
      <c r="X349" s="14" t="inlineStr">
        <is>
          <t>Pago</t>
        </is>
      </c>
      <c r="Y349" s="17">
        <f>IF(COUNTA($B349:$R349)=0,"",IF($X349="Cancelado","Cancelado",IF(OR($X349="Pago",$X349="Recebido"),$X349,IF(OR($X349="Parcial",N($R349)&gt;0),"Parcial",IF($C349="","Sem vencimento",IF($C349&lt;TODAY(),"Vencido",IF($C349=TODAY(),"Vence hoje",IF($C349&lt;=TODAY()+7,"Vence em 7 dias",IF($C349&lt;=TODAY()+30,"Vence em 30 dias","Futuro")))))))))</f>
        <v/>
      </c>
      <c r="Z349" s="24">
        <f>IF($B349="","",MONTH($B349))</f>
        <v/>
      </c>
      <c r="AA349" s="24">
        <f>IF($B349="","",YEAR($B349))</f>
        <v/>
      </c>
      <c r="AB349" s="24">
        <f>IF($B349="","",ISOWEEKNUM($B349))</f>
        <v/>
      </c>
      <c r="AC349" s="17">
        <f>IF($B349="","",CHOOSE(WEEKDAY($B349,2),"Segunda","Terça","Quarta","Quinta","Sexta","Sábado","Domingo"))</f>
        <v/>
      </c>
      <c r="AD349" s="17">
        <f>IF($B349="","",TEXT($B349,"MM/AAAA"))</f>
        <v/>
      </c>
      <c r="AE349" s="18">
        <f>IF(COUNTA($B349:$R349)=0,"",IF($X349="Cancelado",0,ROUND(N($Q349)+N($S349)+N($T349)-N($U349),2)))</f>
        <v/>
      </c>
      <c r="AF349" s="9">
        <f>IF($G349="","",IFERROR(INDEX(LINHAS_DRE_PLANO,MATCH($G349,SUBCATEGORIAS_PLANO,0)),"Não classificado"))</f>
        <v/>
      </c>
      <c r="AG349" s="17">
        <f>IF($G349="","",IFERROR(INDEX(TIPOS_FLUXO_PLANO,MATCH($G349,SUBCATEGORIAS_PLANO,0)),"Não classificado"))</f>
        <v/>
      </c>
      <c r="AH349" s="9">
        <f>IF($G349="","",IFERROR(INDEX(GRUPOS_PLANO,MATCH($G349,SUBCATEGORIAS_PLANO,0)),"Não classificado"))</f>
        <v/>
      </c>
      <c r="AI349" s="24">
        <f>IF(OR($C349="",$X349="Pago",$X349="Recebido",$X349="Cancelado"),"",$C349-TODAY())</f>
        <v/>
      </c>
      <c r="AJ349" s="24">
        <f>IF(OR($C349="",$X349="Pago",$X349="Recebido",$X349="Cancelado"),0,MAX(0,TODAY()-$C349))</f>
        <v/>
      </c>
      <c r="AK349" s="24">
        <f>IF($D349="","",$D349-$B349)</f>
        <v/>
      </c>
      <c r="AL349" s="18">
        <f>IF(OR($D349="",$B349=""),"",ROUND(N($R349)*($D349-$B349),2))</f>
        <v/>
      </c>
      <c r="AM349" s="17">
        <f>IF(AND($E349="Saída",$W349&gt;0,$C349&lt;&gt;""),$C349+ROW()/1000000,"")</f>
        <v/>
      </c>
      <c r="AN349" s="17">
        <f>IF(AND($E349="Entrada",$W349&gt;0,$C349&lt;&gt;""),$C349+ROW()/1000000,"")</f>
        <v/>
      </c>
      <c r="AO349" s="9">
        <f>IF(COUNTA($B349:$R349)=0,"",IF(AND($I349&lt;&gt;"",COUNTIF(CLIENTES_NOMES,$I349)+COUNTIF(CLIENTES_FANTASIA,$I349)+COUNTIF(FORNECEDORES_NOMES,$I349)+COUNTIF(FORNECEDORES_FANTASIA,$I349)=0),"⚠ Cliente/Fornecedor não cadastrado",IF(AND($G349&lt;&gt;"",COUNTIF(SUBCATEGORIAS_PLANO,$G349)=0),"⚠ Subcategoria fora do plano de contas",IF(OR($Q349="",N($Q349)=0),"⚠ Valor previsto não informado",IF(AND(OR($X349="Pago",$X349="Recebido"),$D349=""),"⚠ Status pago/recebido sem data",IF(AND($D349&lt;&gt;"",N($R349)=0),"⚠ Data de pagamento sem valor realizado",IF(AND(N($P349)&gt;1,N($O349)&gt;N($P349)),"⚠ Nº da parcela maior que o total",IF(AND($C349&lt;&gt;"",$B349&lt;&gt;"",$C349&lt;$B349),"⚠ Vencimento anterior à competência","OK"))))))))</f>
        <v/>
      </c>
    </row>
    <row r="350">
      <c r="A350" s="14" t="inlineStr">
        <is>
          <t>L0345</t>
        </is>
      </c>
      <c r="B350" s="36" t="n">
        <v>46244</v>
      </c>
      <c r="C350" s="36" t="n">
        <v>46244</v>
      </c>
      <c r="D350" s="36" t="n">
        <v>46246</v>
      </c>
      <c r="E350" s="14" t="inlineStr">
        <is>
          <t>Saída</t>
        </is>
      </c>
      <c r="F350" s="29" t="inlineStr">
        <is>
          <t>Despesas Administrativas</t>
        </is>
      </c>
      <c r="G350" s="29" t="inlineStr">
        <is>
          <t>Contabilidade</t>
        </is>
      </c>
      <c r="H350" s="29" t="inlineStr">
        <is>
          <t>Financeiro</t>
        </is>
      </c>
      <c r="I350" s="29" t="inlineStr">
        <is>
          <t>CONTABILIDADE AURORA ASSESSORIA CONTÁBIL LTDA</t>
        </is>
      </c>
      <c r="J350" s="29" t="inlineStr">
        <is>
          <t>Honorários contábeis — competência 08/2026</t>
        </is>
      </c>
      <c r="K350" s="14" t="inlineStr">
        <is>
          <t>DOC 8384</t>
        </is>
      </c>
      <c r="L350" s="29" t="inlineStr">
        <is>
          <t>Itaú Unibanco — C/C 45678-9</t>
        </is>
      </c>
      <c r="M350" s="14" t="inlineStr">
        <is>
          <t>PIX</t>
        </is>
      </c>
      <c r="N350" s="29" t="n"/>
      <c r="O350" s="13" t="n">
        <v>1</v>
      </c>
      <c r="P350" s="13" t="n">
        <v>1</v>
      </c>
      <c r="Q350" s="35" t="n">
        <v>1250</v>
      </c>
      <c r="R350" s="35" t="n">
        <v>1250</v>
      </c>
      <c r="S350" s="35" t="n"/>
      <c r="T350" s="35" t="n"/>
      <c r="U350" s="35" t="n"/>
      <c r="V350" s="18">
        <f>IF(COUNTA($B350:$R350)=0,"",ROUND(N($R350)+N($S350)+N($T350)-N($U350),2))</f>
        <v/>
      </c>
      <c r="W350" s="18">
        <f>IF(COUNTA($B350:$R350)=0,"",IF(OR($X350="Pago",$X350="Recebido",$X350="Cancelado"),0,ROUND(N($Q350)+N($S350)+N($T350)-N($U350)-N($R350),2)))</f>
        <v/>
      </c>
      <c r="X350" s="14" t="inlineStr">
        <is>
          <t>Pago</t>
        </is>
      </c>
      <c r="Y350" s="17">
        <f>IF(COUNTA($B350:$R350)=0,"",IF($X350="Cancelado","Cancelado",IF(OR($X350="Pago",$X350="Recebido"),$X350,IF(OR($X350="Parcial",N($R350)&gt;0),"Parcial",IF($C350="","Sem vencimento",IF($C350&lt;TODAY(),"Vencido",IF($C350=TODAY(),"Vence hoje",IF($C350&lt;=TODAY()+7,"Vence em 7 dias",IF($C350&lt;=TODAY()+30,"Vence em 30 dias","Futuro")))))))))</f>
        <v/>
      </c>
      <c r="Z350" s="24">
        <f>IF($B350="","",MONTH($B350))</f>
        <v/>
      </c>
      <c r="AA350" s="24">
        <f>IF($B350="","",YEAR($B350))</f>
        <v/>
      </c>
      <c r="AB350" s="24">
        <f>IF($B350="","",ISOWEEKNUM($B350))</f>
        <v/>
      </c>
      <c r="AC350" s="17">
        <f>IF($B350="","",CHOOSE(WEEKDAY($B350,2),"Segunda","Terça","Quarta","Quinta","Sexta","Sábado","Domingo"))</f>
        <v/>
      </c>
      <c r="AD350" s="17">
        <f>IF($B350="","",TEXT($B350,"MM/AAAA"))</f>
        <v/>
      </c>
      <c r="AE350" s="18">
        <f>IF(COUNTA($B350:$R350)=0,"",IF($X350="Cancelado",0,ROUND(N($Q350)+N($S350)+N($T350)-N($U350),2)))</f>
        <v/>
      </c>
      <c r="AF350" s="9">
        <f>IF($G350="","",IFERROR(INDEX(LINHAS_DRE_PLANO,MATCH($G350,SUBCATEGORIAS_PLANO,0)),"Não classificado"))</f>
        <v/>
      </c>
      <c r="AG350" s="17">
        <f>IF($G350="","",IFERROR(INDEX(TIPOS_FLUXO_PLANO,MATCH($G350,SUBCATEGORIAS_PLANO,0)),"Não classificado"))</f>
        <v/>
      </c>
      <c r="AH350" s="9">
        <f>IF($G350="","",IFERROR(INDEX(GRUPOS_PLANO,MATCH($G350,SUBCATEGORIAS_PLANO,0)),"Não classificado"))</f>
        <v/>
      </c>
      <c r="AI350" s="24">
        <f>IF(OR($C350="",$X350="Pago",$X350="Recebido",$X350="Cancelado"),"",$C350-TODAY())</f>
        <v/>
      </c>
      <c r="AJ350" s="24">
        <f>IF(OR($C350="",$X350="Pago",$X350="Recebido",$X350="Cancelado"),0,MAX(0,TODAY()-$C350))</f>
        <v/>
      </c>
      <c r="AK350" s="24">
        <f>IF($D350="","",$D350-$B350)</f>
        <v/>
      </c>
      <c r="AL350" s="18">
        <f>IF(OR($D350="",$B350=""),"",ROUND(N($R350)*($D350-$B350),2))</f>
        <v/>
      </c>
      <c r="AM350" s="17">
        <f>IF(AND($E350="Saída",$W350&gt;0,$C350&lt;&gt;""),$C350+ROW()/1000000,"")</f>
        <v/>
      </c>
      <c r="AN350" s="17">
        <f>IF(AND($E350="Entrada",$W350&gt;0,$C350&lt;&gt;""),$C350+ROW()/1000000,"")</f>
        <v/>
      </c>
      <c r="AO350" s="9">
        <f>IF(COUNTA($B350:$R350)=0,"",IF(AND($I350&lt;&gt;"",COUNTIF(CLIENTES_NOMES,$I350)+COUNTIF(CLIENTES_FANTASIA,$I350)+COUNTIF(FORNECEDORES_NOMES,$I350)+COUNTIF(FORNECEDORES_FANTASIA,$I350)=0),"⚠ Cliente/Fornecedor não cadastrado",IF(AND($G350&lt;&gt;"",COUNTIF(SUBCATEGORIAS_PLANO,$G350)=0),"⚠ Subcategoria fora do plano de contas",IF(OR($Q350="",N($Q350)=0),"⚠ Valor previsto não informado",IF(AND(OR($X350="Pago",$X350="Recebido"),$D350=""),"⚠ Status pago/recebido sem data",IF(AND($D350&lt;&gt;"",N($R350)=0),"⚠ Data de pagamento sem valor realizado",IF(AND(N($P350)&gt;1,N($O350)&gt;N($P350)),"⚠ Nº da parcela maior que o total",IF(AND($C350&lt;&gt;"",$B350&lt;&gt;"",$C350&lt;$B350),"⚠ Vencimento anterior à competência","OK"))))))))</f>
        <v/>
      </c>
    </row>
    <row r="351">
      <c r="A351" s="14" t="inlineStr">
        <is>
          <t>L0346</t>
        </is>
      </c>
      <c r="B351" s="36" t="n">
        <v>46244</v>
      </c>
      <c r="C351" s="36" t="n">
        <v>46262</v>
      </c>
      <c r="D351" s="36" t="n">
        <v>46262</v>
      </c>
      <c r="E351" s="14" t="inlineStr">
        <is>
          <t>Saída</t>
        </is>
      </c>
      <c r="F351" s="29" t="inlineStr">
        <is>
          <t>Despesas Comerciais</t>
        </is>
      </c>
      <c r="G351" s="29" t="inlineStr">
        <is>
          <t>Marketing Digital</t>
        </is>
      </c>
      <c r="H351" s="29" t="inlineStr">
        <is>
          <t>Marketing</t>
        </is>
      </c>
      <c r="I351" s="29" t="inlineStr">
        <is>
          <t>AGÊNCIA PULSO DIGITAL LTDA</t>
        </is>
      </c>
      <c r="J351" s="29" t="inlineStr">
        <is>
          <t>Gestão de tráfego pago e produção de conteúdo</t>
        </is>
      </c>
      <c r="K351" s="14" t="inlineStr">
        <is>
          <t>DOC 8390</t>
        </is>
      </c>
      <c r="L351" s="29" t="inlineStr">
        <is>
          <t>Nubank PJ — C/C 9876543-2</t>
        </is>
      </c>
      <c r="M351" s="14" t="inlineStr">
        <is>
          <t>Cartão de crédito</t>
        </is>
      </c>
      <c r="N351" s="29" t="inlineStr">
        <is>
          <t>Cartão Mastercard Nubank PJ</t>
        </is>
      </c>
      <c r="O351" s="13" t="n">
        <v>1</v>
      </c>
      <c r="P351" s="13" t="n">
        <v>1</v>
      </c>
      <c r="Q351" s="35" t="n">
        <v>4678.94</v>
      </c>
      <c r="R351" s="35" t="n">
        <v>4678.94</v>
      </c>
      <c r="S351" s="35" t="n"/>
      <c r="T351" s="35" t="n"/>
      <c r="U351" s="35" t="n"/>
      <c r="V351" s="18">
        <f>IF(COUNTA($B351:$R351)=0,"",ROUND(N($R351)+N($S351)+N($T351)-N($U351),2))</f>
        <v/>
      </c>
      <c r="W351" s="18">
        <f>IF(COUNTA($B351:$R351)=0,"",IF(OR($X351="Pago",$X351="Recebido",$X351="Cancelado"),0,ROUND(N($Q351)+N($S351)+N($T351)-N($U351)-N($R351),2)))</f>
        <v/>
      </c>
      <c r="X351" s="14" t="inlineStr">
        <is>
          <t>Pago</t>
        </is>
      </c>
      <c r="Y351" s="17">
        <f>IF(COUNTA($B351:$R351)=0,"",IF($X351="Cancelado","Cancelado",IF(OR($X351="Pago",$X351="Recebido"),$X351,IF(OR($X351="Parcial",N($R351)&gt;0),"Parcial",IF($C351="","Sem vencimento",IF($C351&lt;TODAY(),"Vencido",IF($C351=TODAY(),"Vence hoje",IF($C351&lt;=TODAY()+7,"Vence em 7 dias",IF($C351&lt;=TODAY()+30,"Vence em 30 dias","Futuro")))))))))</f>
        <v/>
      </c>
      <c r="Z351" s="24">
        <f>IF($B351="","",MONTH($B351))</f>
        <v/>
      </c>
      <c r="AA351" s="24">
        <f>IF($B351="","",YEAR($B351))</f>
        <v/>
      </c>
      <c r="AB351" s="24">
        <f>IF($B351="","",ISOWEEKNUM($B351))</f>
        <v/>
      </c>
      <c r="AC351" s="17">
        <f>IF($B351="","",CHOOSE(WEEKDAY($B351,2),"Segunda","Terça","Quarta","Quinta","Sexta","Sábado","Domingo"))</f>
        <v/>
      </c>
      <c r="AD351" s="17">
        <f>IF($B351="","",TEXT($B351,"MM/AAAA"))</f>
        <v/>
      </c>
      <c r="AE351" s="18">
        <f>IF(COUNTA($B351:$R351)=0,"",IF($X351="Cancelado",0,ROUND(N($Q351)+N($S351)+N($T351)-N($U351),2)))</f>
        <v/>
      </c>
      <c r="AF351" s="9">
        <f>IF($G351="","",IFERROR(INDEX(LINHAS_DRE_PLANO,MATCH($G351,SUBCATEGORIAS_PLANO,0)),"Não classificado"))</f>
        <v/>
      </c>
      <c r="AG351" s="17">
        <f>IF($G351="","",IFERROR(INDEX(TIPOS_FLUXO_PLANO,MATCH($G351,SUBCATEGORIAS_PLANO,0)),"Não classificado"))</f>
        <v/>
      </c>
      <c r="AH351" s="9">
        <f>IF($G351="","",IFERROR(INDEX(GRUPOS_PLANO,MATCH($G351,SUBCATEGORIAS_PLANO,0)),"Não classificado"))</f>
        <v/>
      </c>
      <c r="AI351" s="24">
        <f>IF(OR($C351="",$X351="Pago",$X351="Recebido",$X351="Cancelado"),"",$C351-TODAY())</f>
        <v/>
      </c>
      <c r="AJ351" s="24">
        <f>IF(OR($C351="",$X351="Pago",$X351="Recebido",$X351="Cancelado"),0,MAX(0,TODAY()-$C351))</f>
        <v/>
      </c>
      <c r="AK351" s="24">
        <f>IF($D351="","",$D351-$B351)</f>
        <v/>
      </c>
      <c r="AL351" s="18">
        <f>IF(OR($D351="",$B351=""),"",ROUND(N($R351)*($D351-$B351),2))</f>
        <v/>
      </c>
      <c r="AM351" s="17">
        <f>IF(AND($E351="Saída",$W351&gt;0,$C351&lt;&gt;""),$C351+ROW()/1000000,"")</f>
        <v/>
      </c>
      <c r="AN351" s="17">
        <f>IF(AND($E351="Entrada",$W351&gt;0,$C351&lt;&gt;""),$C351+ROW()/1000000,"")</f>
        <v/>
      </c>
      <c r="AO351" s="9">
        <f>IF(COUNTA($B351:$R351)=0,"",IF(AND($I351&lt;&gt;"",COUNTIF(CLIENTES_NOMES,$I351)+COUNTIF(CLIENTES_FANTASIA,$I351)+COUNTIF(FORNECEDORES_NOMES,$I351)+COUNTIF(FORNECEDORES_FANTASIA,$I351)=0),"⚠ Cliente/Fornecedor não cadastrado",IF(AND($G351&lt;&gt;"",COUNTIF(SUBCATEGORIAS_PLANO,$G351)=0),"⚠ Subcategoria fora do plano de contas",IF(OR($Q351="",N($Q351)=0),"⚠ Valor previsto não informado",IF(AND(OR($X351="Pago",$X351="Recebido"),$D351=""),"⚠ Status pago/recebido sem data",IF(AND($D351&lt;&gt;"",N($R351)=0),"⚠ Data de pagamento sem valor realizado",IF(AND(N($P351)&gt;1,N($O351)&gt;N($P351)),"⚠ Nº da parcela maior que o total",IF(AND($C351&lt;&gt;"",$B351&lt;&gt;"",$C351&lt;$B351),"⚠ Vencimento anterior à competência","OK"))))))))</f>
        <v/>
      </c>
    </row>
    <row r="352">
      <c r="A352" s="14" t="inlineStr">
        <is>
          <t>L0347</t>
        </is>
      </c>
      <c r="B352" s="36" t="n">
        <v>46244</v>
      </c>
      <c r="C352" s="36" t="n">
        <v>46244</v>
      </c>
      <c r="D352" s="36" t="n">
        <v>46244</v>
      </c>
      <c r="E352" s="14" t="inlineStr">
        <is>
          <t>Saída</t>
        </is>
      </c>
      <c r="F352" s="29" t="inlineStr">
        <is>
          <t>Empréstimos e Financiamentos</t>
        </is>
      </c>
      <c r="G352" s="29" t="inlineStr">
        <is>
          <t>Pagamento de Principal de Empréstimos</t>
        </is>
      </c>
      <c r="H352" s="29" t="inlineStr">
        <is>
          <t>Financeiro</t>
        </is>
      </c>
      <c r="I352" s="29" t="inlineStr">
        <is>
          <t>Banco do Brasil</t>
        </is>
      </c>
      <c r="J352" s="29" t="inlineStr">
        <is>
          <t>Capital de Giro — parcela 7/24 (principal)</t>
        </is>
      </c>
      <c r="K352" s="14" t="inlineStr">
        <is>
          <t>CG-2026-0417-P07</t>
        </is>
      </c>
      <c r="L352" s="29" t="inlineStr">
        <is>
          <t>Banco do Brasil — C/C 12345-6</t>
        </is>
      </c>
      <c r="M352" s="14" t="inlineStr">
        <is>
          <t>Débito automático</t>
        </is>
      </c>
      <c r="N352" s="29" t="n"/>
      <c r="O352" s="13" t="n">
        <v>7</v>
      </c>
      <c r="P352" s="13" t="n">
        <v>24</v>
      </c>
      <c r="Q352" s="35" t="n">
        <v>2291.26</v>
      </c>
      <c r="R352" s="35" t="n">
        <v>2291.26</v>
      </c>
      <c r="S352" s="35" t="n"/>
      <c r="T352" s="35" t="n"/>
      <c r="U352" s="35" t="n"/>
      <c r="V352" s="18">
        <f>IF(COUNTA($B352:$R352)=0,"",ROUND(N($R352)+N($S352)+N($T352)-N($U352),2))</f>
        <v/>
      </c>
      <c r="W352" s="18">
        <f>IF(COUNTA($B352:$R352)=0,"",IF(OR($X352="Pago",$X352="Recebido",$X352="Cancelado"),0,ROUND(N($Q352)+N($S352)+N($T352)-N($U352)-N($R352),2)))</f>
        <v/>
      </c>
      <c r="X352" s="14" t="inlineStr">
        <is>
          <t>Pago</t>
        </is>
      </c>
      <c r="Y352" s="17">
        <f>IF(COUNTA($B352:$R352)=0,"",IF($X352="Cancelado","Cancelado",IF(OR($X352="Pago",$X352="Recebido"),$X352,IF(OR($X352="Parcial",N($R352)&gt;0),"Parcial",IF($C352="","Sem vencimento",IF($C352&lt;TODAY(),"Vencido",IF($C352=TODAY(),"Vence hoje",IF($C352&lt;=TODAY()+7,"Vence em 7 dias",IF($C352&lt;=TODAY()+30,"Vence em 30 dias","Futuro")))))))))</f>
        <v/>
      </c>
      <c r="Z352" s="24">
        <f>IF($B352="","",MONTH($B352))</f>
        <v/>
      </c>
      <c r="AA352" s="24">
        <f>IF($B352="","",YEAR($B352))</f>
        <v/>
      </c>
      <c r="AB352" s="24">
        <f>IF($B352="","",ISOWEEKNUM($B352))</f>
        <v/>
      </c>
      <c r="AC352" s="17">
        <f>IF($B352="","",CHOOSE(WEEKDAY($B352,2),"Segunda","Terça","Quarta","Quinta","Sexta","Sábado","Domingo"))</f>
        <v/>
      </c>
      <c r="AD352" s="17">
        <f>IF($B352="","",TEXT($B352,"MM/AAAA"))</f>
        <v/>
      </c>
      <c r="AE352" s="18">
        <f>IF(COUNTA($B352:$R352)=0,"",IF($X352="Cancelado",0,ROUND(N($Q352)+N($S352)+N($T352)-N($U352),2)))</f>
        <v/>
      </c>
      <c r="AF352" s="9">
        <f>IF($G352="","",IFERROR(INDEX(LINHAS_DRE_PLANO,MATCH($G352,SUBCATEGORIAS_PLANO,0)),"Não classificado"))</f>
        <v/>
      </c>
      <c r="AG352" s="17">
        <f>IF($G352="","",IFERROR(INDEX(TIPOS_FLUXO_PLANO,MATCH($G352,SUBCATEGORIAS_PLANO,0)),"Não classificado"))</f>
        <v/>
      </c>
      <c r="AH352" s="9">
        <f>IF($G352="","",IFERROR(INDEX(GRUPOS_PLANO,MATCH($G352,SUBCATEGORIAS_PLANO,0)),"Não classificado"))</f>
        <v/>
      </c>
      <c r="AI352" s="24">
        <f>IF(OR($C352="",$X352="Pago",$X352="Recebido",$X352="Cancelado"),"",$C352-TODAY())</f>
        <v/>
      </c>
      <c r="AJ352" s="24">
        <f>IF(OR($C352="",$X352="Pago",$X352="Recebido",$X352="Cancelado"),0,MAX(0,TODAY()-$C352))</f>
        <v/>
      </c>
      <c r="AK352" s="24">
        <f>IF($D352="","",$D352-$B352)</f>
        <v/>
      </c>
      <c r="AL352" s="18">
        <f>IF(OR($D352="",$B352=""),"",ROUND(N($R352)*($D352-$B352),2))</f>
        <v/>
      </c>
      <c r="AM352" s="17">
        <f>IF(AND($E352="Saída",$W352&gt;0,$C352&lt;&gt;""),$C352+ROW()/1000000,"")</f>
        <v/>
      </c>
      <c r="AN352" s="17">
        <f>IF(AND($E352="Entrada",$W352&gt;0,$C352&lt;&gt;""),$C352+ROW()/1000000,"")</f>
        <v/>
      </c>
      <c r="AO352" s="9">
        <f>IF(COUNTA($B352:$R352)=0,"",IF(AND($I352&lt;&gt;"",COUNTIF(CLIENTES_NOMES,$I352)+COUNTIF(CLIENTES_FANTASIA,$I352)+COUNTIF(FORNECEDORES_NOMES,$I352)+COUNTIF(FORNECEDORES_FANTASIA,$I352)=0),"⚠ Cliente/Fornecedor não cadastrado",IF(AND($G352&lt;&gt;"",COUNTIF(SUBCATEGORIAS_PLANO,$G352)=0),"⚠ Subcategoria fora do plano de contas",IF(OR($Q352="",N($Q352)=0),"⚠ Valor previsto não informado",IF(AND(OR($X352="Pago",$X352="Recebido"),$D352=""),"⚠ Status pago/recebido sem data",IF(AND($D352&lt;&gt;"",N($R352)=0),"⚠ Data de pagamento sem valor realizado",IF(AND(N($P352)&gt;1,N($O352)&gt;N($P352)),"⚠ Nº da parcela maior que o total",IF(AND($C352&lt;&gt;"",$B352&lt;&gt;"",$C352&lt;$B352),"⚠ Vencimento anterior à competência","OK"))))))))</f>
        <v/>
      </c>
    </row>
    <row r="353">
      <c r="A353" s="14" t="inlineStr">
        <is>
          <t>L0348</t>
        </is>
      </c>
      <c r="B353" s="36" t="n">
        <v>46244</v>
      </c>
      <c r="C353" s="36" t="n">
        <v>46244</v>
      </c>
      <c r="D353" s="36" t="n">
        <v>46244</v>
      </c>
      <c r="E353" s="14" t="inlineStr">
        <is>
          <t>Saída</t>
        </is>
      </c>
      <c r="F353" s="29" t="inlineStr">
        <is>
          <t>Despesas Financeiras</t>
        </is>
      </c>
      <c r="G353" s="29" t="inlineStr">
        <is>
          <t>Juros de Empréstimos e Financiamentos</t>
        </is>
      </c>
      <c r="H353" s="29" t="inlineStr">
        <is>
          <t>Financeiro</t>
        </is>
      </c>
      <c r="I353" s="29" t="inlineStr">
        <is>
          <t>Banco do Brasil</t>
        </is>
      </c>
      <c r="J353" s="29" t="inlineStr">
        <is>
          <t>Capital de Giro — parcela 7/24 (juros)</t>
        </is>
      </c>
      <c r="K353" s="14" t="inlineStr">
        <is>
          <t>CG-2026-0417-P07</t>
        </is>
      </c>
      <c r="L353" s="29" t="inlineStr">
        <is>
          <t>Banco do Brasil — C/C 12345-6</t>
        </is>
      </c>
      <c r="M353" s="14" t="inlineStr">
        <is>
          <t>Débito automático</t>
        </is>
      </c>
      <c r="N353" s="29" t="n"/>
      <c r="O353" s="13" t="n">
        <v>7</v>
      </c>
      <c r="P353" s="13" t="n">
        <v>24</v>
      </c>
      <c r="Q353" s="35" t="n">
        <v>704.1900000000001</v>
      </c>
      <c r="R353" s="35" t="n">
        <v>704.1900000000001</v>
      </c>
      <c r="S353" s="35" t="n"/>
      <c r="T353" s="35" t="n"/>
      <c r="U353" s="35" t="n"/>
      <c r="V353" s="18">
        <f>IF(COUNTA($B353:$R353)=0,"",ROUND(N($R353)+N($S353)+N($T353)-N($U353),2))</f>
        <v/>
      </c>
      <c r="W353" s="18">
        <f>IF(COUNTA($B353:$R353)=0,"",IF(OR($X353="Pago",$X353="Recebido",$X353="Cancelado"),0,ROUND(N($Q353)+N($S353)+N($T353)-N($U353)-N($R353),2)))</f>
        <v/>
      </c>
      <c r="X353" s="14" t="inlineStr">
        <is>
          <t>Pago</t>
        </is>
      </c>
      <c r="Y353" s="17">
        <f>IF(COUNTA($B353:$R353)=0,"",IF($X353="Cancelado","Cancelado",IF(OR($X353="Pago",$X353="Recebido"),$X353,IF(OR($X353="Parcial",N($R353)&gt;0),"Parcial",IF($C353="","Sem vencimento",IF($C353&lt;TODAY(),"Vencido",IF($C353=TODAY(),"Vence hoje",IF($C353&lt;=TODAY()+7,"Vence em 7 dias",IF($C353&lt;=TODAY()+30,"Vence em 30 dias","Futuro")))))))))</f>
        <v/>
      </c>
      <c r="Z353" s="24">
        <f>IF($B353="","",MONTH($B353))</f>
        <v/>
      </c>
      <c r="AA353" s="24">
        <f>IF($B353="","",YEAR($B353))</f>
        <v/>
      </c>
      <c r="AB353" s="24">
        <f>IF($B353="","",ISOWEEKNUM($B353))</f>
        <v/>
      </c>
      <c r="AC353" s="17">
        <f>IF($B353="","",CHOOSE(WEEKDAY($B353,2),"Segunda","Terça","Quarta","Quinta","Sexta","Sábado","Domingo"))</f>
        <v/>
      </c>
      <c r="AD353" s="17">
        <f>IF($B353="","",TEXT($B353,"MM/AAAA"))</f>
        <v/>
      </c>
      <c r="AE353" s="18">
        <f>IF(COUNTA($B353:$R353)=0,"",IF($X353="Cancelado",0,ROUND(N($Q353)+N($S353)+N($T353)-N($U353),2)))</f>
        <v/>
      </c>
      <c r="AF353" s="9">
        <f>IF($G353="","",IFERROR(INDEX(LINHAS_DRE_PLANO,MATCH($G353,SUBCATEGORIAS_PLANO,0)),"Não classificado"))</f>
        <v/>
      </c>
      <c r="AG353" s="17">
        <f>IF($G353="","",IFERROR(INDEX(TIPOS_FLUXO_PLANO,MATCH($G353,SUBCATEGORIAS_PLANO,0)),"Não classificado"))</f>
        <v/>
      </c>
      <c r="AH353" s="9">
        <f>IF($G353="","",IFERROR(INDEX(GRUPOS_PLANO,MATCH($G353,SUBCATEGORIAS_PLANO,0)),"Não classificado"))</f>
        <v/>
      </c>
      <c r="AI353" s="24">
        <f>IF(OR($C353="",$X353="Pago",$X353="Recebido",$X353="Cancelado"),"",$C353-TODAY())</f>
        <v/>
      </c>
      <c r="AJ353" s="24">
        <f>IF(OR($C353="",$X353="Pago",$X353="Recebido",$X353="Cancelado"),0,MAX(0,TODAY()-$C353))</f>
        <v/>
      </c>
      <c r="AK353" s="24">
        <f>IF($D353="","",$D353-$B353)</f>
        <v/>
      </c>
      <c r="AL353" s="18">
        <f>IF(OR($D353="",$B353=""),"",ROUND(N($R353)*($D353-$B353),2))</f>
        <v/>
      </c>
      <c r="AM353" s="17">
        <f>IF(AND($E353="Saída",$W353&gt;0,$C353&lt;&gt;""),$C353+ROW()/1000000,"")</f>
        <v/>
      </c>
      <c r="AN353" s="17">
        <f>IF(AND($E353="Entrada",$W353&gt;0,$C353&lt;&gt;""),$C353+ROW()/1000000,"")</f>
        <v/>
      </c>
      <c r="AO353" s="9">
        <f>IF(COUNTA($B353:$R353)=0,"",IF(AND($I353&lt;&gt;"",COUNTIF(CLIENTES_NOMES,$I353)+COUNTIF(CLIENTES_FANTASIA,$I353)+COUNTIF(FORNECEDORES_NOMES,$I353)+COUNTIF(FORNECEDORES_FANTASIA,$I353)=0),"⚠ Cliente/Fornecedor não cadastrado",IF(AND($G353&lt;&gt;"",COUNTIF(SUBCATEGORIAS_PLANO,$G353)=0),"⚠ Subcategoria fora do plano de contas",IF(OR($Q353="",N($Q353)=0),"⚠ Valor previsto não informado",IF(AND(OR($X353="Pago",$X353="Recebido"),$D353=""),"⚠ Status pago/recebido sem data",IF(AND($D353&lt;&gt;"",N($R353)=0),"⚠ Data de pagamento sem valor realizado",IF(AND(N($P353)&gt;1,N($O353)&gt;N($P353)),"⚠ Nº da parcela maior que o total",IF(AND($C353&lt;&gt;"",$B353&lt;&gt;"",$C353&lt;$B353),"⚠ Vencimento anterior à competência","OK"))))))))</f>
        <v/>
      </c>
    </row>
    <row r="354">
      <c r="A354" s="14" t="inlineStr">
        <is>
          <t>L0349</t>
        </is>
      </c>
      <c r="B354" s="36" t="n">
        <v>46245</v>
      </c>
      <c r="C354" s="36" t="n">
        <v>46275</v>
      </c>
      <c r="D354" s="36" t="n">
        <v>46276</v>
      </c>
      <c r="E354" s="14" t="inlineStr">
        <is>
          <t>Entrada</t>
        </is>
      </c>
      <c r="F354" s="29" t="inlineStr">
        <is>
          <t>Vendas</t>
        </is>
      </c>
      <c r="G354" s="29" t="inlineStr">
        <is>
          <t>Vendas de Produtos</t>
        </is>
      </c>
      <c r="H354" s="29" t="inlineStr">
        <is>
          <t>Comercial</t>
        </is>
      </c>
      <c r="I354" s="29" t="inlineStr">
        <is>
          <t>MERCADO BOA COMPRA LTDA</t>
        </is>
      </c>
      <c r="J354" s="29" t="inlineStr">
        <is>
          <t>Venda de mercadorias para revenda</t>
        </is>
      </c>
      <c r="K354" s="14" t="inlineStr">
        <is>
          <t>NF-e 2083</t>
        </is>
      </c>
      <c r="L354" s="29" t="inlineStr">
        <is>
          <t>Banco do Brasil — C/C 12345-6</t>
        </is>
      </c>
      <c r="M354" s="14" t="inlineStr">
        <is>
          <t>Boleto</t>
        </is>
      </c>
      <c r="N354" s="29" t="n"/>
      <c r="O354" s="13" t="n">
        <v>1</v>
      </c>
      <c r="P354" s="13" t="n">
        <v>1</v>
      </c>
      <c r="Q354" s="35" t="n">
        <v>44774.44</v>
      </c>
      <c r="R354" s="35" t="n">
        <v>44774.44</v>
      </c>
      <c r="S354" s="35" t="n"/>
      <c r="T354" s="35" t="n"/>
      <c r="U354" s="35" t="n"/>
      <c r="V354" s="18">
        <f>IF(COUNTA($B354:$R354)=0,"",ROUND(N($R354)+N($S354)+N($T354)-N($U354),2))</f>
        <v/>
      </c>
      <c r="W354" s="18">
        <f>IF(COUNTA($B354:$R354)=0,"",IF(OR($X354="Pago",$X354="Recebido",$X354="Cancelado"),0,ROUND(N($Q354)+N($S354)+N($T354)-N($U354)-N($R354),2)))</f>
        <v/>
      </c>
      <c r="X354" s="14" t="inlineStr">
        <is>
          <t>Pago</t>
        </is>
      </c>
      <c r="Y354" s="17">
        <f>IF(COUNTA($B354:$R354)=0,"",IF($X354="Cancelado","Cancelado",IF(OR($X354="Pago",$X354="Recebido"),$X354,IF(OR($X354="Parcial",N($R354)&gt;0),"Parcial",IF($C354="","Sem vencimento",IF($C354&lt;TODAY(),"Vencido",IF($C354=TODAY(),"Vence hoje",IF($C354&lt;=TODAY()+7,"Vence em 7 dias",IF($C354&lt;=TODAY()+30,"Vence em 30 dias","Futuro")))))))))</f>
        <v/>
      </c>
      <c r="Z354" s="24">
        <f>IF($B354="","",MONTH($B354))</f>
        <v/>
      </c>
      <c r="AA354" s="24">
        <f>IF($B354="","",YEAR($B354))</f>
        <v/>
      </c>
      <c r="AB354" s="24">
        <f>IF($B354="","",ISOWEEKNUM($B354))</f>
        <v/>
      </c>
      <c r="AC354" s="17">
        <f>IF($B354="","",CHOOSE(WEEKDAY($B354,2),"Segunda","Terça","Quarta","Quinta","Sexta","Sábado","Domingo"))</f>
        <v/>
      </c>
      <c r="AD354" s="17">
        <f>IF($B354="","",TEXT($B354,"MM/AAAA"))</f>
        <v/>
      </c>
      <c r="AE354" s="18">
        <f>IF(COUNTA($B354:$R354)=0,"",IF($X354="Cancelado",0,ROUND(N($Q354)+N($S354)+N($T354)-N($U354),2)))</f>
        <v/>
      </c>
      <c r="AF354" s="9">
        <f>IF($G354="","",IFERROR(INDEX(LINHAS_DRE_PLANO,MATCH($G354,SUBCATEGORIAS_PLANO,0)),"Não classificado"))</f>
        <v/>
      </c>
      <c r="AG354" s="17">
        <f>IF($G354="","",IFERROR(INDEX(TIPOS_FLUXO_PLANO,MATCH($G354,SUBCATEGORIAS_PLANO,0)),"Não classificado"))</f>
        <v/>
      </c>
      <c r="AH354" s="9">
        <f>IF($G354="","",IFERROR(INDEX(GRUPOS_PLANO,MATCH($G354,SUBCATEGORIAS_PLANO,0)),"Não classificado"))</f>
        <v/>
      </c>
      <c r="AI354" s="24">
        <f>IF(OR($C354="",$X354="Pago",$X354="Recebido",$X354="Cancelado"),"",$C354-TODAY())</f>
        <v/>
      </c>
      <c r="AJ354" s="24">
        <f>IF(OR($C354="",$X354="Pago",$X354="Recebido",$X354="Cancelado"),0,MAX(0,TODAY()-$C354))</f>
        <v/>
      </c>
      <c r="AK354" s="24">
        <f>IF($D354="","",$D354-$B354)</f>
        <v/>
      </c>
      <c r="AL354" s="18">
        <f>IF(OR($D354="",$B354=""),"",ROUND(N($R354)*($D354-$B354),2))</f>
        <v/>
      </c>
      <c r="AM354" s="17">
        <f>IF(AND($E354="Saída",$W354&gt;0,$C354&lt;&gt;""),$C354+ROW()/1000000,"")</f>
        <v/>
      </c>
      <c r="AN354" s="17">
        <f>IF(AND($E354="Entrada",$W354&gt;0,$C354&lt;&gt;""),$C354+ROW()/1000000,"")</f>
        <v/>
      </c>
      <c r="AO354" s="9">
        <f>IF(COUNTA($B354:$R354)=0,"",IF(AND($I354&lt;&gt;"",COUNTIF(CLIENTES_NOMES,$I354)+COUNTIF(CLIENTES_FANTASIA,$I354)+COUNTIF(FORNECEDORES_NOMES,$I354)+COUNTIF(FORNECEDORES_FANTASIA,$I354)=0),"⚠ Cliente/Fornecedor não cadastrado",IF(AND($G354&lt;&gt;"",COUNTIF(SUBCATEGORIAS_PLANO,$G354)=0),"⚠ Subcategoria fora do plano de contas",IF(OR($Q354="",N($Q354)=0),"⚠ Valor previsto não informado",IF(AND(OR($X354="Pago",$X354="Recebido"),$D354=""),"⚠ Status pago/recebido sem data",IF(AND($D354&lt;&gt;"",N($R354)=0),"⚠ Data de pagamento sem valor realizado",IF(AND(N($P354)&gt;1,N($O354)&gt;N($P354)),"⚠ Nº da parcela maior que o total",IF(AND($C354&lt;&gt;"",$B354&lt;&gt;"",$C354&lt;$B354),"⚠ Vencimento anterior à competência","OK"))))))))</f>
        <v/>
      </c>
    </row>
    <row r="355">
      <c r="A355" s="14" t="inlineStr">
        <is>
          <t>L0350</t>
        </is>
      </c>
      <c r="B355" s="36" t="n">
        <v>46245</v>
      </c>
      <c r="C355" s="36" t="n">
        <v>46245</v>
      </c>
      <c r="D355" s="36" t="n">
        <v>46247</v>
      </c>
      <c r="E355" s="14" t="inlineStr">
        <is>
          <t>Entrada</t>
        </is>
      </c>
      <c r="F355" s="29" t="inlineStr">
        <is>
          <t>Vendas</t>
        </is>
      </c>
      <c r="G355" s="29" t="inlineStr">
        <is>
          <t>Vendas de Produtos</t>
        </is>
      </c>
      <c r="H355" s="29" t="inlineStr">
        <is>
          <t>Comercial</t>
        </is>
      </c>
      <c r="I355" s="29" t="inlineStr">
        <is>
          <t>PADARIA PÃO DOURADO ME</t>
        </is>
      </c>
      <c r="J355" s="29" t="inlineStr">
        <is>
          <t>Venda de mercadorias para revenda</t>
        </is>
      </c>
      <c r="K355" s="14" t="inlineStr">
        <is>
          <t>NF-e 2086</t>
        </is>
      </c>
      <c r="L355" s="29" t="inlineStr">
        <is>
          <t>Nubank PJ — C/C 9876543-2</t>
        </is>
      </c>
      <c r="M355" s="14" t="inlineStr">
        <is>
          <t>PIX</t>
        </is>
      </c>
      <c r="N355" s="29" t="n"/>
      <c r="O355" s="13" t="n">
        <v>1</v>
      </c>
      <c r="P355" s="13" t="n">
        <v>1</v>
      </c>
      <c r="Q355" s="35" t="n">
        <v>28335.26</v>
      </c>
      <c r="R355" s="35" t="n">
        <v>28335.26</v>
      </c>
      <c r="S355" s="35" t="n"/>
      <c r="T355" s="35" t="n"/>
      <c r="U355" s="35" t="n"/>
      <c r="V355" s="18">
        <f>IF(COUNTA($B355:$R355)=0,"",ROUND(N($R355)+N($S355)+N($T355)-N($U355),2))</f>
        <v/>
      </c>
      <c r="W355" s="18">
        <f>IF(COUNTA($B355:$R355)=0,"",IF(OR($X355="Pago",$X355="Recebido",$X355="Cancelado"),0,ROUND(N($Q355)+N($S355)+N($T355)-N($U355)-N($R355),2)))</f>
        <v/>
      </c>
      <c r="X355" s="14" t="inlineStr">
        <is>
          <t>Pago</t>
        </is>
      </c>
      <c r="Y355" s="17">
        <f>IF(COUNTA($B355:$R355)=0,"",IF($X355="Cancelado","Cancelado",IF(OR($X355="Pago",$X355="Recebido"),$X355,IF(OR($X355="Parcial",N($R355)&gt;0),"Parcial",IF($C355="","Sem vencimento",IF($C355&lt;TODAY(),"Vencido",IF($C355=TODAY(),"Vence hoje",IF($C355&lt;=TODAY()+7,"Vence em 7 dias",IF($C355&lt;=TODAY()+30,"Vence em 30 dias","Futuro")))))))))</f>
        <v/>
      </c>
      <c r="Z355" s="24">
        <f>IF($B355="","",MONTH($B355))</f>
        <v/>
      </c>
      <c r="AA355" s="24">
        <f>IF($B355="","",YEAR($B355))</f>
        <v/>
      </c>
      <c r="AB355" s="24">
        <f>IF($B355="","",ISOWEEKNUM($B355))</f>
        <v/>
      </c>
      <c r="AC355" s="17">
        <f>IF($B355="","",CHOOSE(WEEKDAY($B355,2),"Segunda","Terça","Quarta","Quinta","Sexta","Sábado","Domingo"))</f>
        <v/>
      </c>
      <c r="AD355" s="17">
        <f>IF($B355="","",TEXT($B355,"MM/AAAA"))</f>
        <v/>
      </c>
      <c r="AE355" s="18">
        <f>IF(COUNTA($B355:$R355)=0,"",IF($X355="Cancelado",0,ROUND(N($Q355)+N($S355)+N($T355)-N($U355),2)))</f>
        <v/>
      </c>
      <c r="AF355" s="9">
        <f>IF($G355="","",IFERROR(INDEX(LINHAS_DRE_PLANO,MATCH($G355,SUBCATEGORIAS_PLANO,0)),"Não classificado"))</f>
        <v/>
      </c>
      <c r="AG355" s="17">
        <f>IF($G355="","",IFERROR(INDEX(TIPOS_FLUXO_PLANO,MATCH($G355,SUBCATEGORIAS_PLANO,0)),"Não classificado"))</f>
        <v/>
      </c>
      <c r="AH355" s="9">
        <f>IF($G355="","",IFERROR(INDEX(GRUPOS_PLANO,MATCH($G355,SUBCATEGORIAS_PLANO,0)),"Não classificado"))</f>
        <v/>
      </c>
      <c r="AI355" s="24">
        <f>IF(OR($C355="",$X355="Pago",$X355="Recebido",$X355="Cancelado"),"",$C355-TODAY())</f>
        <v/>
      </c>
      <c r="AJ355" s="24">
        <f>IF(OR($C355="",$X355="Pago",$X355="Recebido",$X355="Cancelado"),0,MAX(0,TODAY()-$C355))</f>
        <v/>
      </c>
      <c r="AK355" s="24">
        <f>IF($D355="","",$D355-$B355)</f>
        <v/>
      </c>
      <c r="AL355" s="18">
        <f>IF(OR($D355="",$B355=""),"",ROUND(N($R355)*($D355-$B355),2))</f>
        <v/>
      </c>
      <c r="AM355" s="17">
        <f>IF(AND($E355="Saída",$W355&gt;0,$C355&lt;&gt;""),$C355+ROW()/1000000,"")</f>
        <v/>
      </c>
      <c r="AN355" s="17">
        <f>IF(AND($E355="Entrada",$W355&gt;0,$C355&lt;&gt;""),$C355+ROW()/1000000,"")</f>
        <v/>
      </c>
      <c r="AO355" s="9">
        <f>IF(COUNTA($B355:$R355)=0,"",IF(AND($I355&lt;&gt;"",COUNTIF(CLIENTES_NOMES,$I355)+COUNTIF(CLIENTES_FANTASIA,$I355)+COUNTIF(FORNECEDORES_NOMES,$I355)+COUNTIF(FORNECEDORES_FANTASIA,$I355)=0),"⚠ Cliente/Fornecedor não cadastrado",IF(AND($G355&lt;&gt;"",COUNTIF(SUBCATEGORIAS_PLANO,$G355)=0),"⚠ Subcategoria fora do plano de contas",IF(OR($Q355="",N($Q355)=0),"⚠ Valor previsto não informado",IF(AND(OR($X355="Pago",$X355="Recebido"),$D355=""),"⚠ Status pago/recebido sem data",IF(AND($D355&lt;&gt;"",N($R355)=0),"⚠ Data de pagamento sem valor realizado",IF(AND(N($P355)&gt;1,N($O355)&gt;N($P355)),"⚠ Nº da parcela maior que o total",IF(AND($C355&lt;&gt;"",$B355&lt;&gt;"",$C355&lt;$B355),"⚠ Vencimento anterior à competência","OK"))))))))</f>
        <v/>
      </c>
    </row>
    <row r="356">
      <c r="A356" s="14" t="inlineStr">
        <is>
          <t>L0351</t>
        </is>
      </c>
      <c r="B356" s="36" t="n">
        <v>46245</v>
      </c>
      <c r="C356" s="36" t="n">
        <v>46260</v>
      </c>
      <c r="D356" s="36" t="n"/>
      <c r="E356" s="14" t="inlineStr">
        <is>
          <t>Entrada</t>
        </is>
      </c>
      <c r="F356" s="29" t="inlineStr">
        <is>
          <t>Vendas</t>
        </is>
      </c>
      <c r="G356" s="29" t="inlineStr">
        <is>
          <t>Vendas de Produtos</t>
        </is>
      </c>
      <c r="H356" s="29" t="inlineStr">
        <is>
          <t>Comercial</t>
        </is>
      </c>
      <c r="I356" s="29" t="inlineStr">
        <is>
          <t>RESTAURANTE SABOR CASEIRO LTDA</t>
        </is>
      </c>
      <c r="J356" s="29" t="inlineStr">
        <is>
          <t>Venda de mercadorias para revenda</t>
        </is>
      </c>
      <c r="K356" s="14" t="inlineStr">
        <is>
          <t>NF-e 2087</t>
        </is>
      </c>
      <c r="L356" s="29" t="inlineStr">
        <is>
          <t>Itaú Unibanco — C/C 45678-9</t>
        </is>
      </c>
      <c r="M356" s="14" t="inlineStr">
        <is>
          <t>Boleto</t>
        </is>
      </c>
      <c r="N356" s="29" t="n"/>
      <c r="O356" s="13" t="n">
        <v>1</v>
      </c>
      <c r="P356" s="13" t="n">
        <v>1</v>
      </c>
      <c r="Q356" s="35" t="n">
        <v>20202.53</v>
      </c>
      <c r="R356" s="35" t="n"/>
      <c r="S356" s="35" t="n"/>
      <c r="T356" s="35" t="n"/>
      <c r="U356" s="35" t="n"/>
      <c r="V356" s="18">
        <f>IF(COUNTA($B356:$R356)=0,"",ROUND(N($R356)+N($S356)+N($T356)-N($U356),2))</f>
        <v/>
      </c>
      <c r="W356" s="18">
        <f>IF(COUNTA($B356:$R356)=0,"",IF(OR($X356="Pago",$X356="Recebido",$X356="Cancelado"),0,ROUND(N($Q356)+N($S356)+N($T356)-N($U356)-N($R356),2)))</f>
        <v/>
      </c>
      <c r="X356" s="14" t="inlineStr">
        <is>
          <t>Previsto</t>
        </is>
      </c>
      <c r="Y356" s="17">
        <f>IF(COUNTA($B356:$R356)=0,"",IF($X356="Cancelado","Cancelado",IF(OR($X356="Pago",$X356="Recebido"),$X356,IF(OR($X356="Parcial",N($R356)&gt;0),"Parcial",IF($C356="","Sem vencimento",IF($C356&lt;TODAY(),"Vencido",IF($C356=TODAY(),"Vence hoje",IF($C356&lt;=TODAY()+7,"Vence em 7 dias",IF($C356&lt;=TODAY()+30,"Vence em 30 dias","Futuro")))))))))</f>
        <v/>
      </c>
      <c r="Z356" s="24">
        <f>IF($B356="","",MONTH($B356))</f>
        <v/>
      </c>
      <c r="AA356" s="24">
        <f>IF($B356="","",YEAR($B356))</f>
        <v/>
      </c>
      <c r="AB356" s="24">
        <f>IF($B356="","",ISOWEEKNUM($B356))</f>
        <v/>
      </c>
      <c r="AC356" s="17">
        <f>IF($B356="","",CHOOSE(WEEKDAY($B356,2),"Segunda","Terça","Quarta","Quinta","Sexta","Sábado","Domingo"))</f>
        <v/>
      </c>
      <c r="AD356" s="17">
        <f>IF($B356="","",TEXT($B356,"MM/AAAA"))</f>
        <v/>
      </c>
      <c r="AE356" s="18">
        <f>IF(COUNTA($B356:$R356)=0,"",IF($X356="Cancelado",0,ROUND(N($Q356)+N($S356)+N($T356)-N($U356),2)))</f>
        <v/>
      </c>
      <c r="AF356" s="9">
        <f>IF($G356="","",IFERROR(INDEX(LINHAS_DRE_PLANO,MATCH($G356,SUBCATEGORIAS_PLANO,0)),"Não classificado"))</f>
        <v/>
      </c>
      <c r="AG356" s="17">
        <f>IF($G356="","",IFERROR(INDEX(TIPOS_FLUXO_PLANO,MATCH($G356,SUBCATEGORIAS_PLANO,0)),"Não classificado"))</f>
        <v/>
      </c>
      <c r="AH356" s="9">
        <f>IF($G356="","",IFERROR(INDEX(GRUPOS_PLANO,MATCH($G356,SUBCATEGORIAS_PLANO,0)),"Não classificado"))</f>
        <v/>
      </c>
      <c r="AI356" s="24">
        <f>IF(OR($C356="",$X356="Pago",$X356="Recebido",$X356="Cancelado"),"",$C356-TODAY())</f>
        <v/>
      </c>
      <c r="AJ356" s="24">
        <f>IF(OR($C356="",$X356="Pago",$X356="Recebido",$X356="Cancelado"),0,MAX(0,TODAY()-$C356))</f>
        <v/>
      </c>
      <c r="AK356" s="24">
        <f>IF($D356="","",$D356-$B356)</f>
        <v/>
      </c>
      <c r="AL356" s="18">
        <f>IF(OR($D356="",$B356=""),"",ROUND(N($R356)*($D356-$B356),2))</f>
        <v/>
      </c>
      <c r="AM356" s="17">
        <f>IF(AND($E356="Saída",$W356&gt;0,$C356&lt;&gt;""),$C356+ROW()/1000000,"")</f>
        <v/>
      </c>
      <c r="AN356" s="17">
        <f>IF(AND($E356="Entrada",$W356&gt;0,$C356&lt;&gt;""),$C356+ROW()/1000000,"")</f>
        <v/>
      </c>
      <c r="AO356" s="9">
        <f>IF(COUNTA($B356:$R356)=0,"",IF(AND($I356&lt;&gt;"",COUNTIF(CLIENTES_NOMES,$I356)+COUNTIF(CLIENTES_FANTASIA,$I356)+COUNTIF(FORNECEDORES_NOMES,$I356)+COUNTIF(FORNECEDORES_FANTASIA,$I356)=0),"⚠ Cliente/Fornecedor não cadastrado",IF(AND($G356&lt;&gt;"",COUNTIF(SUBCATEGORIAS_PLANO,$G356)=0),"⚠ Subcategoria fora do plano de contas",IF(OR($Q356="",N($Q356)=0),"⚠ Valor previsto não informado",IF(AND(OR($X356="Pago",$X356="Recebido"),$D356=""),"⚠ Status pago/recebido sem data",IF(AND($D356&lt;&gt;"",N($R356)=0),"⚠ Data de pagamento sem valor realizado",IF(AND(N($P356)&gt;1,N($O356)&gt;N($P356)),"⚠ Nº da parcela maior que o total",IF(AND($C356&lt;&gt;"",$B356&lt;&gt;"",$C356&lt;$B356),"⚠ Vencimento anterior à competência","OK"))))))))</f>
        <v/>
      </c>
    </row>
    <row r="357">
      <c r="A357" s="14" t="inlineStr">
        <is>
          <t>L0352</t>
        </is>
      </c>
      <c r="B357" s="36" t="n">
        <v>46245</v>
      </c>
      <c r="C357" s="36" t="n">
        <v>46275</v>
      </c>
      <c r="D357" s="36" t="n"/>
      <c r="E357" s="14" t="inlineStr">
        <is>
          <t>Entrada</t>
        </is>
      </c>
      <c r="F357" s="29" t="inlineStr">
        <is>
          <t>Vendas</t>
        </is>
      </c>
      <c r="G357" s="29" t="inlineStr">
        <is>
          <t>Vendas de Produtos</t>
        </is>
      </c>
      <c r="H357" s="29" t="inlineStr">
        <is>
          <t>Comercial</t>
        </is>
      </c>
      <c r="I357" s="29" t="inlineStr">
        <is>
          <t>HOTEL VISTA ALEGRE LTDA</t>
        </is>
      </c>
      <c r="J357" s="29" t="inlineStr">
        <is>
          <t>Venda de mercadorias para revenda</t>
        </is>
      </c>
      <c r="K357" s="14" t="inlineStr">
        <is>
          <t>NF-e 2090</t>
        </is>
      </c>
      <c r="L357" s="29" t="inlineStr">
        <is>
          <t>Itaú Unibanco — C/C 45678-9</t>
        </is>
      </c>
      <c r="M357" s="14" t="inlineStr">
        <is>
          <t>Boleto</t>
        </is>
      </c>
      <c r="N357" s="29" t="n"/>
      <c r="O357" s="13" t="n">
        <v>1</v>
      </c>
      <c r="P357" s="13" t="n">
        <v>1</v>
      </c>
      <c r="Q357" s="35" t="n">
        <v>38903.02</v>
      </c>
      <c r="R357" s="35" t="n"/>
      <c r="S357" s="35" t="n"/>
      <c r="T357" s="35" t="n"/>
      <c r="U357" s="35" t="n"/>
      <c r="V357" s="18">
        <f>IF(COUNTA($B357:$R357)=0,"",ROUND(N($R357)+N($S357)+N($T357)-N($U357),2))</f>
        <v/>
      </c>
      <c r="W357" s="18">
        <f>IF(COUNTA($B357:$R357)=0,"",IF(OR($X357="Pago",$X357="Recebido",$X357="Cancelado"),0,ROUND(N($Q357)+N($S357)+N($T357)-N($U357)-N($R357),2)))</f>
        <v/>
      </c>
      <c r="X357" s="14" t="inlineStr">
        <is>
          <t>Previsto</t>
        </is>
      </c>
      <c r="Y357" s="17">
        <f>IF(COUNTA($B357:$R357)=0,"",IF($X357="Cancelado","Cancelado",IF(OR($X357="Pago",$X357="Recebido"),$X357,IF(OR($X357="Parcial",N($R357)&gt;0),"Parcial",IF($C357="","Sem vencimento",IF($C357&lt;TODAY(),"Vencido",IF($C357=TODAY(),"Vence hoje",IF($C357&lt;=TODAY()+7,"Vence em 7 dias",IF($C357&lt;=TODAY()+30,"Vence em 30 dias","Futuro")))))))))</f>
        <v/>
      </c>
      <c r="Z357" s="24">
        <f>IF($B357="","",MONTH($B357))</f>
        <v/>
      </c>
      <c r="AA357" s="24">
        <f>IF($B357="","",YEAR($B357))</f>
        <v/>
      </c>
      <c r="AB357" s="24">
        <f>IF($B357="","",ISOWEEKNUM($B357))</f>
        <v/>
      </c>
      <c r="AC357" s="17">
        <f>IF($B357="","",CHOOSE(WEEKDAY($B357,2),"Segunda","Terça","Quarta","Quinta","Sexta","Sábado","Domingo"))</f>
        <v/>
      </c>
      <c r="AD357" s="17">
        <f>IF($B357="","",TEXT($B357,"MM/AAAA"))</f>
        <v/>
      </c>
      <c r="AE357" s="18">
        <f>IF(COUNTA($B357:$R357)=0,"",IF($X357="Cancelado",0,ROUND(N($Q357)+N($S357)+N($T357)-N($U357),2)))</f>
        <v/>
      </c>
      <c r="AF357" s="9">
        <f>IF($G357="","",IFERROR(INDEX(LINHAS_DRE_PLANO,MATCH($G357,SUBCATEGORIAS_PLANO,0)),"Não classificado"))</f>
        <v/>
      </c>
      <c r="AG357" s="17">
        <f>IF($G357="","",IFERROR(INDEX(TIPOS_FLUXO_PLANO,MATCH($G357,SUBCATEGORIAS_PLANO,0)),"Não classificado"))</f>
        <v/>
      </c>
      <c r="AH357" s="9">
        <f>IF($G357="","",IFERROR(INDEX(GRUPOS_PLANO,MATCH($G357,SUBCATEGORIAS_PLANO,0)),"Não classificado"))</f>
        <v/>
      </c>
      <c r="AI357" s="24">
        <f>IF(OR($C357="",$X357="Pago",$X357="Recebido",$X357="Cancelado"),"",$C357-TODAY())</f>
        <v/>
      </c>
      <c r="AJ357" s="24">
        <f>IF(OR($C357="",$X357="Pago",$X357="Recebido",$X357="Cancelado"),0,MAX(0,TODAY()-$C357))</f>
        <v/>
      </c>
      <c r="AK357" s="24">
        <f>IF($D357="","",$D357-$B357)</f>
        <v/>
      </c>
      <c r="AL357" s="18">
        <f>IF(OR($D357="",$B357=""),"",ROUND(N($R357)*($D357-$B357),2))</f>
        <v/>
      </c>
      <c r="AM357" s="17">
        <f>IF(AND($E357="Saída",$W357&gt;0,$C357&lt;&gt;""),$C357+ROW()/1000000,"")</f>
        <v/>
      </c>
      <c r="AN357" s="17">
        <f>IF(AND($E357="Entrada",$W357&gt;0,$C357&lt;&gt;""),$C357+ROW()/1000000,"")</f>
        <v/>
      </c>
      <c r="AO357" s="9">
        <f>IF(COUNTA($B357:$R357)=0,"",IF(AND($I357&lt;&gt;"",COUNTIF(CLIENTES_NOMES,$I357)+COUNTIF(CLIENTES_FANTASIA,$I357)+COUNTIF(FORNECEDORES_NOMES,$I357)+COUNTIF(FORNECEDORES_FANTASIA,$I357)=0),"⚠ Cliente/Fornecedor não cadastrado",IF(AND($G357&lt;&gt;"",COUNTIF(SUBCATEGORIAS_PLANO,$G357)=0),"⚠ Subcategoria fora do plano de contas",IF(OR($Q357="",N($Q357)=0),"⚠ Valor previsto não informado",IF(AND(OR($X357="Pago",$X357="Recebido"),$D357=""),"⚠ Status pago/recebido sem data",IF(AND($D357&lt;&gt;"",N($R357)=0),"⚠ Data de pagamento sem valor realizado",IF(AND(N($P357)&gt;1,N($O357)&gt;N($P357)),"⚠ Nº da parcela maior que o total",IF(AND($C357&lt;&gt;"",$B357&lt;&gt;"",$C357&lt;$B357),"⚠ Vencimento anterior à competência","OK"))))))))</f>
        <v/>
      </c>
    </row>
    <row r="358">
      <c r="A358" s="14" t="inlineStr">
        <is>
          <t>L0353</t>
        </is>
      </c>
      <c r="B358" s="36" t="n">
        <v>46245</v>
      </c>
      <c r="C358" s="36" t="n">
        <v>46266</v>
      </c>
      <c r="D358" s="36" t="n">
        <v>46266</v>
      </c>
      <c r="E358" s="14" t="inlineStr">
        <is>
          <t>Entrada</t>
        </is>
      </c>
      <c r="F358" s="29" t="inlineStr">
        <is>
          <t>Vendas</t>
        </is>
      </c>
      <c r="G358" s="29" t="inlineStr">
        <is>
          <t>Vendas de Produtos</t>
        </is>
      </c>
      <c r="H358" s="29" t="inlineStr">
        <is>
          <t>Comercial</t>
        </is>
      </c>
      <c r="I358" s="29" t="inlineStr">
        <is>
          <t>EMPÓRIO NATURAL COMÉRCIO LTDA</t>
        </is>
      </c>
      <c r="J358" s="29" t="inlineStr">
        <is>
          <t>Venda de mercadorias (parcela 1/3)</t>
        </is>
      </c>
      <c r="K358" s="14" t="inlineStr">
        <is>
          <t>NF-e 2091</t>
        </is>
      </c>
      <c r="L358" s="29" t="inlineStr">
        <is>
          <t>Itaú Unibanco — C/C 45678-9</t>
        </is>
      </c>
      <c r="M358" s="14" t="inlineStr">
        <is>
          <t>Crédito parcelado</t>
        </is>
      </c>
      <c r="N358" s="29" t="n"/>
      <c r="O358" s="13" t="n">
        <v>1</v>
      </c>
      <c r="P358" s="13" t="n">
        <v>3</v>
      </c>
      <c r="Q358" s="35" t="n">
        <v>8929.98</v>
      </c>
      <c r="R358" s="35" t="n">
        <v>8929.98</v>
      </c>
      <c r="S358" s="35" t="n"/>
      <c r="T358" s="35" t="n"/>
      <c r="U358" s="35" t="n"/>
      <c r="V358" s="18">
        <f>IF(COUNTA($B358:$R358)=0,"",ROUND(N($R358)+N($S358)+N($T358)-N($U358),2))</f>
        <v/>
      </c>
      <c r="W358" s="18">
        <f>IF(COUNTA($B358:$R358)=0,"",IF(OR($X358="Pago",$X358="Recebido",$X358="Cancelado"),0,ROUND(N($Q358)+N($S358)+N($T358)-N($U358)-N($R358),2)))</f>
        <v/>
      </c>
      <c r="X358" s="14" t="inlineStr">
        <is>
          <t>Pago</t>
        </is>
      </c>
      <c r="Y358" s="17">
        <f>IF(COUNTA($B358:$R358)=0,"",IF($X358="Cancelado","Cancelado",IF(OR($X358="Pago",$X358="Recebido"),$X358,IF(OR($X358="Parcial",N($R358)&gt;0),"Parcial",IF($C358="","Sem vencimento",IF($C358&lt;TODAY(),"Vencido",IF($C358=TODAY(),"Vence hoje",IF($C358&lt;=TODAY()+7,"Vence em 7 dias",IF($C358&lt;=TODAY()+30,"Vence em 30 dias","Futuro")))))))))</f>
        <v/>
      </c>
      <c r="Z358" s="24">
        <f>IF($B358="","",MONTH($B358))</f>
        <v/>
      </c>
      <c r="AA358" s="24">
        <f>IF($B358="","",YEAR($B358))</f>
        <v/>
      </c>
      <c r="AB358" s="24">
        <f>IF($B358="","",ISOWEEKNUM($B358))</f>
        <v/>
      </c>
      <c r="AC358" s="17">
        <f>IF($B358="","",CHOOSE(WEEKDAY($B358,2),"Segunda","Terça","Quarta","Quinta","Sexta","Sábado","Domingo"))</f>
        <v/>
      </c>
      <c r="AD358" s="17">
        <f>IF($B358="","",TEXT($B358,"MM/AAAA"))</f>
        <v/>
      </c>
      <c r="AE358" s="18">
        <f>IF(COUNTA($B358:$R358)=0,"",IF($X358="Cancelado",0,ROUND(N($Q358)+N($S358)+N($T358)-N($U358),2)))</f>
        <v/>
      </c>
      <c r="AF358" s="9">
        <f>IF($G358="","",IFERROR(INDEX(LINHAS_DRE_PLANO,MATCH($G358,SUBCATEGORIAS_PLANO,0)),"Não classificado"))</f>
        <v/>
      </c>
      <c r="AG358" s="17">
        <f>IF($G358="","",IFERROR(INDEX(TIPOS_FLUXO_PLANO,MATCH($G358,SUBCATEGORIAS_PLANO,0)),"Não classificado"))</f>
        <v/>
      </c>
      <c r="AH358" s="9">
        <f>IF($G358="","",IFERROR(INDEX(GRUPOS_PLANO,MATCH($G358,SUBCATEGORIAS_PLANO,0)),"Não classificado"))</f>
        <v/>
      </c>
      <c r="AI358" s="24">
        <f>IF(OR($C358="",$X358="Pago",$X358="Recebido",$X358="Cancelado"),"",$C358-TODAY())</f>
        <v/>
      </c>
      <c r="AJ358" s="24">
        <f>IF(OR($C358="",$X358="Pago",$X358="Recebido",$X358="Cancelado"),0,MAX(0,TODAY()-$C358))</f>
        <v/>
      </c>
      <c r="AK358" s="24">
        <f>IF($D358="","",$D358-$B358)</f>
        <v/>
      </c>
      <c r="AL358" s="18">
        <f>IF(OR($D358="",$B358=""),"",ROUND(N($R358)*($D358-$B358),2))</f>
        <v/>
      </c>
      <c r="AM358" s="17">
        <f>IF(AND($E358="Saída",$W358&gt;0,$C358&lt;&gt;""),$C358+ROW()/1000000,"")</f>
        <v/>
      </c>
      <c r="AN358" s="17">
        <f>IF(AND($E358="Entrada",$W358&gt;0,$C358&lt;&gt;""),$C358+ROW()/1000000,"")</f>
        <v/>
      </c>
      <c r="AO358" s="9">
        <f>IF(COUNTA($B358:$R358)=0,"",IF(AND($I358&lt;&gt;"",COUNTIF(CLIENTES_NOMES,$I358)+COUNTIF(CLIENTES_FANTASIA,$I358)+COUNTIF(FORNECEDORES_NOMES,$I358)+COUNTIF(FORNECEDORES_FANTASIA,$I358)=0),"⚠ Cliente/Fornecedor não cadastrado",IF(AND($G358&lt;&gt;"",COUNTIF(SUBCATEGORIAS_PLANO,$G358)=0),"⚠ Subcategoria fora do plano de contas",IF(OR($Q358="",N($Q358)=0),"⚠ Valor previsto não informado",IF(AND(OR($X358="Pago",$X358="Recebido"),$D358=""),"⚠ Status pago/recebido sem data",IF(AND($D358&lt;&gt;"",N($R358)=0),"⚠ Data de pagamento sem valor realizado",IF(AND(N($P358)&gt;1,N($O358)&gt;N($P358)),"⚠ Nº da parcela maior que o total",IF(AND($C358&lt;&gt;"",$B358&lt;&gt;"",$C358&lt;$B358),"⚠ Vencimento anterior à competência","OK"))))))))</f>
        <v/>
      </c>
    </row>
    <row r="359">
      <c r="A359" s="14" t="inlineStr">
        <is>
          <t>L0354</t>
        </is>
      </c>
      <c r="B359" s="36" t="n">
        <v>46245</v>
      </c>
      <c r="C359" s="36" t="n">
        <v>46296</v>
      </c>
      <c r="D359" s="36" t="n"/>
      <c r="E359" s="14" t="inlineStr">
        <is>
          <t>Entrada</t>
        </is>
      </c>
      <c r="F359" s="29" t="inlineStr">
        <is>
          <t>Vendas</t>
        </is>
      </c>
      <c r="G359" s="29" t="inlineStr">
        <is>
          <t>Vendas de Produtos</t>
        </is>
      </c>
      <c r="H359" s="29" t="inlineStr">
        <is>
          <t>Comercial</t>
        </is>
      </c>
      <c r="I359" s="29" t="inlineStr">
        <is>
          <t>EMPÓRIO NATURAL COMÉRCIO LTDA</t>
        </is>
      </c>
      <c r="J359" s="29" t="inlineStr">
        <is>
          <t>Venda de mercadorias (parcela 2/3)</t>
        </is>
      </c>
      <c r="K359" s="14" t="inlineStr">
        <is>
          <t>NF-e 2092</t>
        </is>
      </c>
      <c r="L359" s="29" t="inlineStr">
        <is>
          <t>Itaú Unibanco — C/C 45678-9</t>
        </is>
      </c>
      <c r="M359" s="14" t="inlineStr">
        <is>
          <t>Crédito parcelado</t>
        </is>
      </c>
      <c r="N359" s="29" t="n"/>
      <c r="O359" s="13" t="n">
        <v>2</v>
      </c>
      <c r="P359" s="13" t="n">
        <v>3</v>
      </c>
      <c r="Q359" s="35" t="n">
        <v>8929.98</v>
      </c>
      <c r="R359" s="35" t="n"/>
      <c r="S359" s="35" t="n"/>
      <c r="T359" s="35" t="n"/>
      <c r="U359" s="35" t="n"/>
      <c r="V359" s="18">
        <f>IF(COUNTA($B359:$R359)=0,"",ROUND(N($R359)+N($S359)+N($T359)-N($U359),2))</f>
        <v/>
      </c>
      <c r="W359" s="18">
        <f>IF(COUNTA($B359:$R359)=0,"",IF(OR($X359="Pago",$X359="Recebido",$X359="Cancelado"),0,ROUND(N($Q359)+N($S359)+N($T359)-N($U359)-N($R359),2)))</f>
        <v/>
      </c>
      <c r="X359" s="14" t="inlineStr">
        <is>
          <t>Previsto</t>
        </is>
      </c>
      <c r="Y359" s="17">
        <f>IF(COUNTA($B359:$R359)=0,"",IF($X359="Cancelado","Cancelado",IF(OR($X359="Pago",$X359="Recebido"),$X359,IF(OR($X359="Parcial",N($R359)&gt;0),"Parcial",IF($C359="","Sem vencimento",IF($C359&lt;TODAY(),"Vencido",IF($C359=TODAY(),"Vence hoje",IF($C359&lt;=TODAY()+7,"Vence em 7 dias",IF($C359&lt;=TODAY()+30,"Vence em 30 dias","Futuro")))))))))</f>
        <v/>
      </c>
      <c r="Z359" s="24">
        <f>IF($B359="","",MONTH($B359))</f>
        <v/>
      </c>
      <c r="AA359" s="24">
        <f>IF($B359="","",YEAR($B359))</f>
        <v/>
      </c>
      <c r="AB359" s="24">
        <f>IF($B359="","",ISOWEEKNUM($B359))</f>
        <v/>
      </c>
      <c r="AC359" s="17">
        <f>IF($B359="","",CHOOSE(WEEKDAY($B359,2),"Segunda","Terça","Quarta","Quinta","Sexta","Sábado","Domingo"))</f>
        <v/>
      </c>
      <c r="AD359" s="17">
        <f>IF($B359="","",TEXT($B359,"MM/AAAA"))</f>
        <v/>
      </c>
      <c r="AE359" s="18">
        <f>IF(COUNTA($B359:$R359)=0,"",IF($X359="Cancelado",0,ROUND(N($Q359)+N($S359)+N($T359)-N($U359),2)))</f>
        <v/>
      </c>
      <c r="AF359" s="9">
        <f>IF($G359="","",IFERROR(INDEX(LINHAS_DRE_PLANO,MATCH($G359,SUBCATEGORIAS_PLANO,0)),"Não classificado"))</f>
        <v/>
      </c>
      <c r="AG359" s="17">
        <f>IF($G359="","",IFERROR(INDEX(TIPOS_FLUXO_PLANO,MATCH($G359,SUBCATEGORIAS_PLANO,0)),"Não classificado"))</f>
        <v/>
      </c>
      <c r="AH359" s="9">
        <f>IF($G359="","",IFERROR(INDEX(GRUPOS_PLANO,MATCH($G359,SUBCATEGORIAS_PLANO,0)),"Não classificado"))</f>
        <v/>
      </c>
      <c r="AI359" s="24">
        <f>IF(OR($C359="",$X359="Pago",$X359="Recebido",$X359="Cancelado"),"",$C359-TODAY())</f>
        <v/>
      </c>
      <c r="AJ359" s="24">
        <f>IF(OR($C359="",$X359="Pago",$X359="Recebido",$X359="Cancelado"),0,MAX(0,TODAY()-$C359))</f>
        <v/>
      </c>
      <c r="AK359" s="24">
        <f>IF($D359="","",$D359-$B359)</f>
        <v/>
      </c>
      <c r="AL359" s="18">
        <f>IF(OR($D359="",$B359=""),"",ROUND(N($R359)*($D359-$B359),2))</f>
        <v/>
      </c>
      <c r="AM359" s="17">
        <f>IF(AND($E359="Saída",$W359&gt;0,$C359&lt;&gt;""),$C359+ROW()/1000000,"")</f>
        <v/>
      </c>
      <c r="AN359" s="17">
        <f>IF(AND($E359="Entrada",$W359&gt;0,$C359&lt;&gt;""),$C359+ROW()/1000000,"")</f>
        <v/>
      </c>
      <c r="AO359" s="9">
        <f>IF(COUNTA($B359:$R359)=0,"",IF(AND($I359&lt;&gt;"",COUNTIF(CLIENTES_NOMES,$I359)+COUNTIF(CLIENTES_FANTASIA,$I359)+COUNTIF(FORNECEDORES_NOMES,$I359)+COUNTIF(FORNECEDORES_FANTASIA,$I359)=0),"⚠ Cliente/Fornecedor não cadastrado",IF(AND($G359&lt;&gt;"",COUNTIF(SUBCATEGORIAS_PLANO,$G359)=0),"⚠ Subcategoria fora do plano de contas",IF(OR($Q359="",N($Q359)=0),"⚠ Valor previsto não informado",IF(AND(OR($X359="Pago",$X359="Recebido"),$D359=""),"⚠ Status pago/recebido sem data",IF(AND($D359&lt;&gt;"",N($R359)=0),"⚠ Data de pagamento sem valor realizado",IF(AND(N($P359)&gt;1,N($O359)&gt;N($P359)),"⚠ Nº da parcela maior que o total",IF(AND($C359&lt;&gt;"",$B359&lt;&gt;"",$C359&lt;$B359),"⚠ Vencimento anterior à competência","OK"))))))))</f>
        <v/>
      </c>
    </row>
    <row r="360">
      <c r="A360" s="14" t="inlineStr">
        <is>
          <t>L0355</t>
        </is>
      </c>
      <c r="B360" s="36" t="n">
        <v>46245</v>
      </c>
      <c r="C360" s="36" t="n">
        <v>46326</v>
      </c>
      <c r="D360" s="36" t="n"/>
      <c r="E360" s="14" t="inlineStr">
        <is>
          <t>Entrada</t>
        </is>
      </c>
      <c r="F360" s="29" t="inlineStr">
        <is>
          <t>Vendas</t>
        </is>
      </c>
      <c r="G360" s="29" t="inlineStr">
        <is>
          <t>Vendas de Produtos</t>
        </is>
      </c>
      <c r="H360" s="29" t="inlineStr">
        <is>
          <t>Comercial</t>
        </is>
      </c>
      <c r="I360" s="29" t="inlineStr">
        <is>
          <t>EMPÓRIO NATURAL COMÉRCIO LTDA</t>
        </is>
      </c>
      <c r="J360" s="29" t="inlineStr">
        <is>
          <t>Venda de mercadorias (parcela 3/3)</t>
        </is>
      </c>
      <c r="K360" s="14" t="inlineStr">
        <is>
          <t>NF-e 2093</t>
        </is>
      </c>
      <c r="L360" s="29" t="inlineStr">
        <is>
          <t>Itaú Unibanco — C/C 45678-9</t>
        </is>
      </c>
      <c r="M360" s="14" t="inlineStr">
        <is>
          <t>Crédito parcelado</t>
        </is>
      </c>
      <c r="N360" s="29" t="n"/>
      <c r="O360" s="13" t="n">
        <v>3</v>
      </c>
      <c r="P360" s="13" t="n">
        <v>3</v>
      </c>
      <c r="Q360" s="35" t="n">
        <v>8929.98</v>
      </c>
      <c r="R360" s="35" t="n"/>
      <c r="S360" s="35" t="n"/>
      <c r="T360" s="35" t="n"/>
      <c r="U360" s="35" t="n"/>
      <c r="V360" s="18">
        <f>IF(COUNTA($B360:$R360)=0,"",ROUND(N($R360)+N($S360)+N($T360)-N($U360),2))</f>
        <v/>
      </c>
      <c r="W360" s="18">
        <f>IF(COUNTA($B360:$R360)=0,"",IF(OR($X360="Pago",$X360="Recebido",$X360="Cancelado"),0,ROUND(N($Q360)+N($S360)+N($T360)-N($U360)-N($R360),2)))</f>
        <v/>
      </c>
      <c r="X360" s="14" t="inlineStr">
        <is>
          <t>Previsto</t>
        </is>
      </c>
      <c r="Y360" s="17">
        <f>IF(COUNTA($B360:$R360)=0,"",IF($X360="Cancelado","Cancelado",IF(OR($X360="Pago",$X360="Recebido"),$X360,IF(OR($X360="Parcial",N($R360)&gt;0),"Parcial",IF($C360="","Sem vencimento",IF($C360&lt;TODAY(),"Vencido",IF($C360=TODAY(),"Vence hoje",IF($C360&lt;=TODAY()+7,"Vence em 7 dias",IF($C360&lt;=TODAY()+30,"Vence em 30 dias","Futuro")))))))))</f>
        <v/>
      </c>
      <c r="Z360" s="24">
        <f>IF($B360="","",MONTH($B360))</f>
        <v/>
      </c>
      <c r="AA360" s="24">
        <f>IF($B360="","",YEAR($B360))</f>
        <v/>
      </c>
      <c r="AB360" s="24">
        <f>IF($B360="","",ISOWEEKNUM($B360))</f>
        <v/>
      </c>
      <c r="AC360" s="17">
        <f>IF($B360="","",CHOOSE(WEEKDAY($B360,2),"Segunda","Terça","Quarta","Quinta","Sexta","Sábado","Domingo"))</f>
        <v/>
      </c>
      <c r="AD360" s="17">
        <f>IF($B360="","",TEXT($B360,"MM/AAAA"))</f>
        <v/>
      </c>
      <c r="AE360" s="18">
        <f>IF(COUNTA($B360:$R360)=0,"",IF($X360="Cancelado",0,ROUND(N($Q360)+N($S360)+N($T360)-N($U360),2)))</f>
        <v/>
      </c>
      <c r="AF360" s="9">
        <f>IF($G360="","",IFERROR(INDEX(LINHAS_DRE_PLANO,MATCH($G360,SUBCATEGORIAS_PLANO,0)),"Não classificado"))</f>
        <v/>
      </c>
      <c r="AG360" s="17">
        <f>IF($G360="","",IFERROR(INDEX(TIPOS_FLUXO_PLANO,MATCH($G360,SUBCATEGORIAS_PLANO,0)),"Não classificado"))</f>
        <v/>
      </c>
      <c r="AH360" s="9">
        <f>IF($G360="","",IFERROR(INDEX(GRUPOS_PLANO,MATCH($G360,SUBCATEGORIAS_PLANO,0)),"Não classificado"))</f>
        <v/>
      </c>
      <c r="AI360" s="24">
        <f>IF(OR($C360="",$X360="Pago",$X360="Recebido",$X360="Cancelado"),"",$C360-TODAY())</f>
        <v/>
      </c>
      <c r="AJ360" s="24">
        <f>IF(OR($C360="",$X360="Pago",$X360="Recebido",$X360="Cancelado"),0,MAX(0,TODAY()-$C360))</f>
        <v/>
      </c>
      <c r="AK360" s="24">
        <f>IF($D360="","",$D360-$B360)</f>
        <v/>
      </c>
      <c r="AL360" s="18">
        <f>IF(OR($D360="",$B360=""),"",ROUND(N($R360)*($D360-$B360),2))</f>
        <v/>
      </c>
      <c r="AM360" s="17">
        <f>IF(AND($E360="Saída",$W360&gt;0,$C360&lt;&gt;""),$C360+ROW()/1000000,"")</f>
        <v/>
      </c>
      <c r="AN360" s="17">
        <f>IF(AND($E360="Entrada",$W360&gt;0,$C360&lt;&gt;""),$C360+ROW()/1000000,"")</f>
        <v/>
      </c>
      <c r="AO360" s="9">
        <f>IF(COUNTA($B360:$R360)=0,"",IF(AND($I360&lt;&gt;"",COUNTIF(CLIENTES_NOMES,$I360)+COUNTIF(CLIENTES_FANTASIA,$I360)+COUNTIF(FORNECEDORES_NOMES,$I360)+COUNTIF(FORNECEDORES_FANTASIA,$I360)=0),"⚠ Cliente/Fornecedor não cadastrado",IF(AND($G360&lt;&gt;"",COUNTIF(SUBCATEGORIAS_PLANO,$G360)=0),"⚠ Subcategoria fora do plano de contas",IF(OR($Q360="",N($Q360)=0),"⚠ Valor previsto não informado",IF(AND(OR($X360="Pago",$X360="Recebido"),$D360=""),"⚠ Status pago/recebido sem data",IF(AND($D360&lt;&gt;"",N($R360)=0),"⚠ Data de pagamento sem valor realizado",IF(AND(N($P360)&gt;1,N($O360)&gt;N($P360)),"⚠ Nº da parcela maior que o total",IF(AND($C360&lt;&gt;"",$B360&lt;&gt;"",$C360&lt;$B360),"⚠ Vencimento anterior à competência","OK"))))))))</f>
        <v/>
      </c>
    </row>
    <row r="361">
      <c r="A361" s="14" t="inlineStr">
        <is>
          <t>L0356</t>
        </is>
      </c>
      <c r="B361" s="36" t="n">
        <v>46246</v>
      </c>
      <c r="C361" s="36" t="n">
        <v>46261</v>
      </c>
      <c r="D361" s="36" t="n">
        <v>46263</v>
      </c>
      <c r="E361" s="14" t="inlineStr">
        <is>
          <t>Saída</t>
        </is>
      </c>
      <c r="F361" s="29" t="inlineStr">
        <is>
          <t>Custos Variáveis</t>
        </is>
      </c>
      <c r="G361" s="29" t="inlineStr">
        <is>
          <t>Embalagens</t>
        </is>
      </c>
      <c r="H361" s="29" t="inlineStr">
        <is>
          <t>Logística</t>
        </is>
      </c>
      <c r="I361" s="29" t="inlineStr">
        <is>
          <t>EMBALAGENS PAULISTA LTDA</t>
        </is>
      </c>
      <c r="J361" s="29" t="inlineStr">
        <is>
          <t>Compra de embalagens e etiquetas</t>
        </is>
      </c>
      <c r="K361" s="14" t="inlineStr">
        <is>
          <t>DOC 7223</t>
        </is>
      </c>
      <c r="L361" s="29" t="inlineStr">
        <is>
          <t>Banco do Brasil — C/C 12345-6</t>
        </is>
      </c>
      <c r="M361" s="14" t="inlineStr">
        <is>
          <t>Boleto</t>
        </is>
      </c>
      <c r="N361" s="29" t="n"/>
      <c r="O361" s="13" t="n">
        <v>1</v>
      </c>
      <c r="P361" s="13" t="n">
        <v>1</v>
      </c>
      <c r="Q361" s="35" t="n">
        <v>2812.98</v>
      </c>
      <c r="R361" s="35" t="n">
        <v>2812.98</v>
      </c>
      <c r="S361" s="35" t="n"/>
      <c r="T361" s="35" t="n"/>
      <c r="U361" s="35" t="n"/>
      <c r="V361" s="18">
        <f>IF(COUNTA($B361:$R361)=0,"",ROUND(N($R361)+N($S361)+N($T361)-N($U361),2))</f>
        <v/>
      </c>
      <c r="W361" s="18">
        <f>IF(COUNTA($B361:$R361)=0,"",IF(OR($X361="Pago",$X361="Recebido",$X361="Cancelado"),0,ROUND(N($Q361)+N($S361)+N($T361)-N($U361)-N($R361),2)))</f>
        <v/>
      </c>
      <c r="X361" s="14" t="inlineStr">
        <is>
          <t>Pago</t>
        </is>
      </c>
      <c r="Y361" s="17">
        <f>IF(COUNTA($B361:$R361)=0,"",IF($X361="Cancelado","Cancelado",IF(OR($X361="Pago",$X361="Recebido"),$X361,IF(OR($X361="Parcial",N($R361)&gt;0),"Parcial",IF($C361="","Sem vencimento",IF($C361&lt;TODAY(),"Vencido",IF($C361=TODAY(),"Vence hoje",IF($C361&lt;=TODAY()+7,"Vence em 7 dias",IF($C361&lt;=TODAY()+30,"Vence em 30 dias","Futuro")))))))))</f>
        <v/>
      </c>
      <c r="Z361" s="24">
        <f>IF($B361="","",MONTH($B361))</f>
        <v/>
      </c>
      <c r="AA361" s="24">
        <f>IF($B361="","",YEAR($B361))</f>
        <v/>
      </c>
      <c r="AB361" s="24">
        <f>IF($B361="","",ISOWEEKNUM($B361))</f>
        <v/>
      </c>
      <c r="AC361" s="17">
        <f>IF($B361="","",CHOOSE(WEEKDAY($B361,2),"Segunda","Terça","Quarta","Quinta","Sexta","Sábado","Domingo"))</f>
        <v/>
      </c>
      <c r="AD361" s="17">
        <f>IF($B361="","",TEXT($B361,"MM/AAAA"))</f>
        <v/>
      </c>
      <c r="AE361" s="18">
        <f>IF(COUNTA($B361:$R361)=0,"",IF($X361="Cancelado",0,ROUND(N($Q361)+N($S361)+N($T361)-N($U361),2)))</f>
        <v/>
      </c>
      <c r="AF361" s="9">
        <f>IF($G361="","",IFERROR(INDEX(LINHAS_DRE_PLANO,MATCH($G361,SUBCATEGORIAS_PLANO,0)),"Não classificado"))</f>
        <v/>
      </c>
      <c r="AG361" s="17">
        <f>IF($G361="","",IFERROR(INDEX(TIPOS_FLUXO_PLANO,MATCH($G361,SUBCATEGORIAS_PLANO,0)),"Não classificado"))</f>
        <v/>
      </c>
      <c r="AH361" s="9">
        <f>IF($G361="","",IFERROR(INDEX(GRUPOS_PLANO,MATCH($G361,SUBCATEGORIAS_PLANO,0)),"Não classificado"))</f>
        <v/>
      </c>
      <c r="AI361" s="24">
        <f>IF(OR($C361="",$X361="Pago",$X361="Recebido",$X361="Cancelado"),"",$C361-TODAY())</f>
        <v/>
      </c>
      <c r="AJ361" s="24">
        <f>IF(OR($C361="",$X361="Pago",$X361="Recebido",$X361="Cancelado"),0,MAX(0,TODAY()-$C361))</f>
        <v/>
      </c>
      <c r="AK361" s="24">
        <f>IF($D361="","",$D361-$B361)</f>
        <v/>
      </c>
      <c r="AL361" s="18">
        <f>IF(OR($D361="",$B361=""),"",ROUND(N($R361)*($D361-$B361),2))</f>
        <v/>
      </c>
      <c r="AM361" s="17">
        <f>IF(AND($E361="Saída",$W361&gt;0,$C361&lt;&gt;""),$C361+ROW()/1000000,"")</f>
        <v/>
      </c>
      <c r="AN361" s="17">
        <f>IF(AND($E361="Entrada",$W361&gt;0,$C361&lt;&gt;""),$C361+ROW()/1000000,"")</f>
        <v/>
      </c>
      <c r="AO361" s="9">
        <f>IF(COUNTA($B361:$R361)=0,"",IF(AND($I361&lt;&gt;"",COUNTIF(CLIENTES_NOMES,$I361)+COUNTIF(CLIENTES_FANTASIA,$I361)+COUNTIF(FORNECEDORES_NOMES,$I361)+COUNTIF(FORNECEDORES_FANTASIA,$I361)=0),"⚠ Cliente/Fornecedor não cadastrado",IF(AND($G361&lt;&gt;"",COUNTIF(SUBCATEGORIAS_PLANO,$G361)=0),"⚠ Subcategoria fora do plano de contas",IF(OR($Q361="",N($Q361)=0),"⚠ Valor previsto não informado",IF(AND(OR($X361="Pago",$X361="Recebido"),$D361=""),"⚠ Status pago/recebido sem data",IF(AND($D361&lt;&gt;"",N($R361)=0),"⚠ Data de pagamento sem valor realizado",IF(AND(N($P361)&gt;1,N($O361)&gt;N($P361)),"⚠ Nº da parcela maior que o total",IF(AND($C361&lt;&gt;"",$B361&lt;&gt;"",$C361&lt;$B361),"⚠ Vencimento anterior à competência","OK"))))))))</f>
        <v/>
      </c>
    </row>
    <row r="362">
      <c r="A362" s="14" t="inlineStr">
        <is>
          <t>L0357</t>
        </is>
      </c>
      <c r="B362" s="36" t="n">
        <v>46246</v>
      </c>
      <c r="C362" s="36" t="n">
        <v>46256</v>
      </c>
      <c r="D362" s="36" t="n">
        <v>46257</v>
      </c>
      <c r="E362" s="14" t="inlineStr">
        <is>
          <t>Saída</t>
        </is>
      </c>
      <c r="F362" s="29" t="inlineStr">
        <is>
          <t>Despesas Administrativas</t>
        </is>
      </c>
      <c r="G362" s="29" t="inlineStr">
        <is>
          <t>Energia Elétrica</t>
        </is>
      </c>
      <c r="H362" s="29" t="inlineStr">
        <is>
          <t>Administrativo</t>
        </is>
      </c>
      <c r="I362" s="29" t="inlineStr">
        <is>
          <t>ENEL DISTRIBUIÇÃO SÃO PAULO</t>
        </is>
      </c>
      <c r="J362" s="29" t="inlineStr">
        <is>
          <t>Energia elétrica — fatura 08/2026</t>
        </is>
      </c>
      <c r="K362" s="14" t="inlineStr">
        <is>
          <t>DOC 8381</t>
        </is>
      </c>
      <c r="L362" s="29" t="inlineStr">
        <is>
          <t>Itaú Unibanco — C/C 45678-9</t>
        </is>
      </c>
      <c r="M362" s="14" t="inlineStr">
        <is>
          <t>Débito automático</t>
        </is>
      </c>
      <c r="N362" s="29" t="n"/>
      <c r="O362" s="13" t="n">
        <v>1</v>
      </c>
      <c r="P362" s="13" t="n">
        <v>1</v>
      </c>
      <c r="Q362" s="35" t="n">
        <v>2731.92</v>
      </c>
      <c r="R362" s="35" t="n">
        <v>2731.92</v>
      </c>
      <c r="S362" s="35" t="n"/>
      <c r="T362" s="35" t="n"/>
      <c r="U362" s="35" t="n"/>
      <c r="V362" s="18">
        <f>IF(COUNTA($B362:$R362)=0,"",ROUND(N($R362)+N($S362)+N($T362)-N($U362),2))</f>
        <v/>
      </c>
      <c r="W362" s="18">
        <f>IF(COUNTA($B362:$R362)=0,"",IF(OR($X362="Pago",$X362="Recebido",$X362="Cancelado"),0,ROUND(N($Q362)+N($S362)+N($T362)-N($U362)-N($R362),2)))</f>
        <v/>
      </c>
      <c r="X362" s="14" t="inlineStr">
        <is>
          <t>Pago</t>
        </is>
      </c>
      <c r="Y362" s="17">
        <f>IF(COUNTA($B362:$R362)=0,"",IF($X362="Cancelado","Cancelado",IF(OR($X362="Pago",$X362="Recebido"),$X362,IF(OR($X362="Parcial",N($R362)&gt;0),"Parcial",IF($C362="","Sem vencimento",IF($C362&lt;TODAY(),"Vencido",IF($C362=TODAY(),"Vence hoje",IF($C362&lt;=TODAY()+7,"Vence em 7 dias",IF($C362&lt;=TODAY()+30,"Vence em 30 dias","Futuro")))))))))</f>
        <v/>
      </c>
      <c r="Z362" s="24">
        <f>IF($B362="","",MONTH($B362))</f>
        <v/>
      </c>
      <c r="AA362" s="24">
        <f>IF($B362="","",YEAR($B362))</f>
        <v/>
      </c>
      <c r="AB362" s="24">
        <f>IF($B362="","",ISOWEEKNUM($B362))</f>
        <v/>
      </c>
      <c r="AC362" s="17">
        <f>IF($B362="","",CHOOSE(WEEKDAY($B362,2),"Segunda","Terça","Quarta","Quinta","Sexta","Sábado","Domingo"))</f>
        <v/>
      </c>
      <c r="AD362" s="17">
        <f>IF($B362="","",TEXT($B362,"MM/AAAA"))</f>
        <v/>
      </c>
      <c r="AE362" s="18">
        <f>IF(COUNTA($B362:$R362)=0,"",IF($X362="Cancelado",0,ROUND(N($Q362)+N($S362)+N($T362)-N($U362),2)))</f>
        <v/>
      </c>
      <c r="AF362" s="9">
        <f>IF($G362="","",IFERROR(INDEX(LINHAS_DRE_PLANO,MATCH($G362,SUBCATEGORIAS_PLANO,0)),"Não classificado"))</f>
        <v/>
      </c>
      <c r="AG362" s="17">
        <f>IF($G362="","",IFERROR(INDEX(TIPOS_FLUXO_PLANO,MATCH($G362,SUBCATEGORIAS_PLANO,0)),"Não classificado"))</f>
        <v/>
      </c>
      <c r="AH362" s="9">
        <f>IF($G362="","",IFERROR(INDEX(GRUPOS_PLANO,MATCH($G362,SUBCATEGORIAS_PLANO,0)),"Não classificado"))</f>
        <v/>
      </c>
      <c r="AI362" s="24">
        <f>IF(OR($C362="",$X362="Pago",$X362="Recebido",$X362="Cancelado"),"",$C362-TODAY())</f>
        <v/>
      </c>
      <c r="AJ362" s="24">
        <f>IF(OR($C362="",$X362="Pago",$X362="Recebido",$X362="Cancelado"),0,MAX(0,TODAY()-$C362))</f>
        <v/>
      </c>
      <c r="AK362" s="24">
        <f>IF($D362="","",$D362-$B362)</f>
        <v/>
      </c>
      <c r="AL362" s="18">
        <f>IF(OR($D362="",$B362=""),"",ROUND(N($R362)*($D362-$B362),2))</f>
        <v/>
      </c>
      <c r="AM362" s="17">
        <f>IF(AND($E362="Saída",$W362&gt;0,$C362&lt;&gt;""),$C362+ROW()/1000000,"")</f>
        <v/>
      </c>
      <c r="AN362" s="17">
        <f>IF(AND($E362="Entrada",$W362&gt;0,$C362&lt;&gt;""),$C362+ROW()/1000000,"")</f>
        <v/>
      </c>
      <c r="AO362" s="9">
        <f>IF(COUNTA($B362:$R362)=0,"",IF(AND($I362&lt;&gt;"",COUNTIF(CLIENTES_NOMES,$I362)+COUNTIF(CLIENTES_FANTASIA,$I362)+COUNTIF(FORNECEDORES_NOMES,$I362)+COUNTIF(FORNECEDORES_FANTASIA,$I362)=0),"⚠ Cliente/Fornecedor não cadastrado",IF(AND($G362&lt;&gt;"",COUNTIF(SUBCATEGORIAS_PLANO,$G362)=0),"⚠ Subcategoria fora do plano de contas",IF(OR($Q362="",N($Q362)=0),"⚠ Valor previsto não informado",IF(AND(OR($X362="Pago",$X362="Recebido"),$D362=""),"⚠ Status pago/recebido sem data",IF(AND($D362&lt;&gt;"",N($R362)=0),"⚠ Data de pagamento sem valor realizado",IF(AND(N($P362)&gt;1,N($O362)&gt;N($P362)),"⚠ Nº da parcela maior que o total",IF(AND($C362&lt;&gt;"",$B362&lt;&gt;"",$C362&lt;$B362),"⚠ Vencimento anterior à competência","OK"))))))))</f>
        <v/>
      </c>
    </row>
    <row r="363">
      <c r="A363" s="14" t="inlineStr">
        <is>
          <t>L0358</t>
        </is>
      </c>
      <c r="B363" s="36" t="n">
        <v>46249</v>
      </c>
      <c r="C363" s="36" t="n">
        <v>46261</v>
      </c>
      <c r="D363" s="36" t="n">
        <v>46264</v>
      </c>
      <c r="E363" s="14" t="inlineStr">
        <is>
          <t>Saída</t>
        </is>
      </c>
      <c r="F363" s="29" t="inlineStr">
        <is>
          <t>Despesas Administrativas</t>
        </is>
      </c>
      <c r="G363" s="29" t="inlineStr">
        <is>
          <t>Água e Saneamento</t>
        </is>
      </c>
      <c r="H363" s="29" t="inlineStr">
        <is>
          <t>Administrativo</t>
        </is>
      </c>
      <c r="I363" s="29" t="inlineStr">
        <is>
          <t>SABESP — SANEAMENTO BÁSICO DO ESTADO DE SÃO PAULO</t>
        </is>
      </c>
      <c r="J363" s="29" t="inlineStr">
        <is>
          <t>Água e saneamento — fatura 08/2026</t>
        </is>
      </c>
      <c r="K363" s="14" t="inlineStr">
        <is>
          <t>DOC 8382</t>
        </is>
      </c>
      <c r="L363" s="29" t="inlineStr">
        <is>
          <t>Itaú Unibanco — C/C 45678-9</t>
        </is>
      </c>
      <c r="M363" s="14" t="inlineStr">
        <is>
          <t>Débito automático</t>
        </is>
      </c>
      <c r="N363" s="29" t="n"/>
      <c r="O363" s="13" t="n">
        <v>1</v>
      </c>
      <c r="P363" s="13" t="n">
        <v>1</v>
      </c>
      <c r="Q363" s="35" t="n">
        <v>496.47</v>
      </c>
      <c r="R363" s="35" t="n">
        <v>496.47</v>
      </c>
      <c r="S363" s="35" t="n"/>
      <c r="T363" s="35" t="n"/>
      <c r="U363" s="35" t="n"/>
      <c r="V363" s="18">
        <f>IF(COUNTA($B363:$R363)=0,"",ROUND(N($R363)+N($S363)+N($T363)-N($U363),2))</f>
        <v/>
      </c>
      <c r="W363" s="18">
        <f>IF(COUNTA($B363:$R363)=0,"",IF(OR($X363="Pago",$X363="Recebido",$X363="Cancelado"),0,ROUND(N($Q363)+N($S363)+N($T363)-N($U363)-N($R363),2)))</f>
        <v/>
      </c>
      <c r="X363" s="14" t="inlineStr">
        <is>
          <t>Pago</t>
        </is>
      </c>
      <c r="Y363" s="17">
        <f>IF(COUNTA($B363:$R363)=0,"",IF($X363="Cancelado","Cancelado",IF(OR($X363="Pago",$X363="Recebido"),$X363,IF(OR($X363="Parcial",N($R363)&gt;0),"Parcial",IF($C363="","Sem vencimento",IF($C363&lt;TODAY(),"Vencido",IF($C363=TODAY(),"Vence hoje",IF($C363&lt;=TODAY()+7,"Vence em 7 dias",IF($C363&lt;=TODAY()+30,"Vence em 30 dias","Futuro")))))))))</f>
        <v/>
      </c>
      <c r="Z363" s="24">
        <f>IF($B363="","",MONTH($B363))</f>
        <v/>
      </c>
      <c r="AA363" s="24">
        <f>IF($B363="","",YEAR($B363))</f>
        <v/>
      </c>
      <c r="AB363" s="24">
        <f>IF($B363="","",ISOWEEKNUM($B363))</f>
        <v/>
      </c>
      <c r="AC363" s="17">
        <f>IF($B363="","",CHOOSE(WEEKDAY($B363,2),"Segunda","Terça","Quarta","Quinta","Sexta","Sábado","Domingo"))</f>
        <v/>
      </c>
      <c r="AD363" s="17">
        <f>IF($B363="","",TEXT($B363,"MM/AAAA"))</f>
        <v/>
      </c>
      <c r="AE363" s="18">
        <f>IF(COUNTA($B363:$R363)=0,"",IF($X363="Cancelado",0,ROUND(N($Q363)+N($S363)+N($T363)-N($U363),2)))</f>
        <v/>
      </c>
      <c r="AF363" s="9">
        <f>IF($G363="","",IFERROR(INDEX(LINHAS_DRE_PLANO,MATCH($G363,SUBCATEGORIAS_PLANO,0)),"Não classificado"))</f>
        <v/>
      </c>
      <c r="AG363" s="17">
        <f>IF($G363="","",IFERROR(INDEX(TIPOS_FLUXO_PLANO,MATCH($G363,SUBCATEGORIAS_PLANO,0)),"Não classificado"))</f>
        <v/>
      </c>
      <c r="AH363" s="9">
        <f>IF($G363="","",IFERROR(INDEX(GRUPOS_PLANO,MATCH($G363,SUBCATEGORIAS_PLANO,0)),"Não classificado"))</f>
        <v/>
      </c>
      <c r="AI363" s="24">
        <f>IF(OR($C363="",$X363="Pago",$X363="Recebido",$X363="Cancelado"),"",$C363-TODAY())</f>
        <v/>
      </c>
      <c r="AJ363" s="24">
        <f>IF(OR($C363="",$X363="Pago",$X363="Recebido",$X363="Cancelado"),0,MAX(0,TODAY()-$C363))</f>
        <v/>
      </c>
      <c r="AK363" s="24">
        <f>IF($D363="","",$D363-$B363)</f>
        <v/>
      </c>
      <c r="AL363" s="18">
        <f>IF(OR($D363="",$B363=""),"",ROUND(N($R363)*($D363-$B363),2))</f>
        <v/>
      </c>
      <c r="AM363" s="17">
        <f>IF(AND($E363="Saída",$W363&gt;0,$C363&lt;&gt;""),$C363+ROW()/1000000,"")</f>
        <v/>
      </c>
      <c r="AN363" s="17">
        <f>IF(AND($E363="Entrada",$W363&gt;0,$C363&lt;&gt;""),$C363+ROW()/1000000,"")</f>
        <v/>
      </c>
      <c r="AO363" s="9">
        <f>IF(COUNTA($B363:$R363)=0,"",IF(AND($I363&lt;&gt;"",COUNTIF(CLIENTES_NOMES,$I363)+COUNTIF(CLIENTES_FANTASIA,$I363)+COUNTIF(FORNECEDORES_NOMES,$I363)+COUNTIF(FORNECEDORES_FANTASIA,$I363)=0),"⚠ Cliente/Fornecedor não cadastrado",IF(AND($G363&lt;&gt;"",COUNTIF(SUBCATEGORIAS_PLANO,$G363)=0),"⚠ Subcategoria fora do plano de contas",IF(OR($Q363="",N($Q363)=0),"⚠ Valor previsto não informado",IF(AND(OR($X363="Pago",$X363="Recebido"),$D363=""),"⚠ Status pago/recebido sem data",IF(AND($D363&lt;&gt;"",N($R363)=0),"⚠ Data de pagamento sem valor realizado",IF(AND(N($P363)&gt;1,N($O363)&gt;N($P363)),"⚠ Nº da parcela maior que o total",IF(AND($C363&lt;&gt;"",$B363&lt;&gt;"",$C363&lt;$B363),"⚠ Vencimento anterior à competência","OK"))))))))</f>
        <v/>
      </c>
    </row>
    <row r="364">
      <c r="A364" s="14" t="inlineStr">
        <is>
          <t>L0359</t>
        </is>
      </c>
      <c r="B364" s="36" t="n">
        <v>46249</v>
      </c>
      <c r="C364" s="36" t="n">
        <v>46259</v>
      </c>
      <c r="D364" s="36" t="n">
        <v>46261</v>
      </c>
      <c r="E364" s="14" t="inlineStr">
        <is>
          <t>Saída</t>
        </is>
      </c>
      <c r="F364" s="29" t="inlineStr">
        <is>
          <t>Despesas com Pessoal</t>
        </is>
      </c>
      <c r="G364" s="29" t="inlineStr">
        <is>
          <t>Serviços Terceirizados (PJ)</t>
        </is>
      </c>
      <c r="H364" s="29" t="inlineStr">
        <is>
          <t>Produção</t>
        </is>
      </c>
      <c r="I364" s="29" t="inlineStr">
        <is>
          <t>APOIO OPERACIONAL SERVIÇOS LTDA</t>
        </is>
      </c>
      <c r="J364" s="29" t="inlineStr">
        <is>
          <t>Equipe terceirizada de separação e expedição</t>
        </is>
      </c>
      <c r="K364" s="14" t="inlineStr">
        <is>
          <t>DOC 8393</t>
        </is>
      </c>
      <c r="L364" s="29" t="inlineStr">
        <is>
          <t>Banco do Brasil — C/C 12345-6</t>
        </is>
      </c>
      <c r="M364" s="14" t="inlineStr">
        <is>
          <t>PIX</t>
        </is>
      </c>
      <c r="N364" s="29" t="n"/>
      <c r="O364" s="13" t="n">
        <v>1</v>
      </c>
      <c r="P364" s="13" t="n">
        <v>1</v>
      </c>
      <c r="Q364" s="35" t="n">
        <v>1800</v>
      </c>
      <c r="R364" s="35" t="n">
        <v>1800</v>
      </c>
      <c r="S364" s="35" t="n"/>
      <c r="T364" s="35" t="n"/>
      <c r="U364" s="35" t="n"/>
      <c r="V364" s="18">
        <f>IF(COUNTA($B364:$R364)=0,"",ROUND(N($R364)+N($S364)+N($T364)-N($U364),2))</f>
        <v/>
      </c>
      <c r="W364" s="18">
        <f>IF(COUNTA($B364:$R364)=0,"",IF(OR($X364="Pago",$X364="Recebido",$X364="Cancelado"),0,ROUND(N($Q364)+N($S364)+N($T364)-N($U364)-N($R364),2)))</f>
        <v/>
      </c>
      <c r="X364" s="14" t="inlineStr">
        <is>
          <t>Pago</t>
        </is>
      </c>
      <c r="Y364" s="17">
        <f>IF(COUNTA($B364:$R364)=0,"",IF($X364="Cancelado","Cancelado",IF(OR($X364="Pago",$X364="Recebido"),$X364,IF(OR($X364="Parcial",N($R364)&gt;0),"Parcial",IF($C364="","Sem vencimento",IF($C364&lt;TODAY(),"Vencido",IF($C364=TODAY(),"Vence hoje",IF($C364&lt;=TODAY()+7,"Vence em 7 dias",IF($C364&lt;=TODAY()+30,"Vence em 30 dias","Futuro")))))))))</f>
        <v/>
      </c>
      <c r="Z364" s="24">
        <f>IF($B364="","",MONTH($B364))</f>
        <v/>
      </c>
      <c r="AA364" s="24">
        <f>IF($B364="","",YEAR($B364))</f>
        <v/>
      </c>
      <c r="AB364" s="24">
        <f>IF($B364="","",ISOWEEKNUM($B364))</f>
        <v/>
      </c>
      <c r="AC364" s="17">
        <f>IF($B364="","",CHOOSE(WEEKDAY($B364,2),"Segunda","Terça","Quarta","Quinta","Sexta","Sábado","Domingo"))</f>
        <v/>
      </c>
      <c r="AD364" s="17">
        <f>IF($B364="","",TEXT($B364,"MM/AAAA"))</f>
        <v/>
      </c>
      <c r="AE364" s="18">
        <f>IF(COUNTA($B364:$R364)=0,"",IF($X364="Cancelado",0,ROUND(N($Q364)+N($S364)+N($T364)-N($U364),2)))</f>
        <v/>
      </c>
      <c r="AF364" s="9">
        <f>IF($G364="","",IFERROR(INDEX(LINHAS_DRE_PLANO,MATCH($G364,SUBCATEGORIAS_PLANO,0)),"Não classificado"))</f>
        <v/>
      </c>
      <c r="AG364" s="17">
        <f>IF($G364="","",IFERROR(INDEX(TIPOS_FLUXO_PLANO,MATCH($G364,SUBCATEGORIAS_PLANO,0)),"Não classificado"))</f>
        <v/>
      </c>
      <c r="AH364" s="9">
        <f>IF($G364="","",IFERROR(INDEX(GRUPOS_PLANO,MATCH($G364,SUBCATEGORIAS_PLANO,0)),"Não classificado"))</f>
        <v/>
      </c>
      <c r="AI364" s="24">
        <f>IF(OR($C364="",$X364="Pago",$X364="Recebido",$X364="Cancelado"),"",$C364-TODAY())</f>
        <v/>
      </c>
      <c r="AJ364" s="24">
        <f>IF(OR($C364="",$X364="Pago",$X364="Recebido",$X364="Cancelado"),0,MAX(0,TODAY()-$C364))</f>
        <v/>
      </c>
      <c r="AK364" s="24">
        <f>IF($D364="","",$D364-$B364)</f>
        <v/>
      </c>
      <c r="AL364" s="18">
        <f>IF(OR($D364="",$B364=""),"",ROUND(N($R364)*($D364-$B364),2))</f>
        <v/>
      </c>
      <c r="AM364" s="17">
        <f>IF(AND($E364="Saída",$W364&gt;0,$C364&lt;&gt;""),$C364+ROW()/1000000,"")</f>
        <v/>
      </c>
      <c r="AN364" s="17">
        <f>IF(AND($E364="Entrada",$W364&gt;0,$C364&lt;&gt;""),$C364+ROW()/1000000,"")</f>
        <v/>
      </c>
      <c r="AO364" s="9">
        <f>IF(COUNTA($B364:$R364)=0,"",IF(AND($I364&lt;&gt;"",COUNTIF(CLIENTES_NOMES,$I364)+COUNTIF(CLIENTES_FANTASIA,$I364)+COUNTIF(FORNECEDORES_NOMES,$I364)+COUNTIF(FORNECEDORES_FANTASIA,$I364)=0),"⚠ Cliente/Fornecedor não cadastrado",IF(AND($G364&lt;&gt;"",COUNTIF(SUBCATEGORIAS_PLANO,$G364)=0),"⚠ Subcategoria fora do plano de contas",IF(OR($Q364="",N($Q364)=0),"⚠ Valor previsto não informado",IF(AND(OR($X364="Pago",$X364="Recebido"),$D364=""),"⚠ Status pago/recebido sem data",IF(AND($D364&lt;&gt;"",N($R364)=0),"⚠ Data de pagamento sem valor realizado",IF(AND(N($P364)&gt;1,N($O364)&gt;N($P364)),"⚠ Nº da parcela maior que o total",IF(AND($C364&lt;&gt;"",$B364&lt;&gt;"",$C364&lt;$B364),"⚠ Vencimento anterior à competência","OK"))))))))</f>
        <v/>
      </c>
    </row>
    <row r="365">
      <c r="A365" s="14" t="inlineStr">
        <is>
          <t>L0360</t>
        </is>
      </c>
      <c r="B365" s="36" t="n">
        <v>46249</v>
      </c>
      <c r="C365" s="36" t="n">
        <v>46249</v>
      </c>
      <c r="D365" s="36" t="n">
        <v>46249</v>
      </c>
      <c r="E365" s="14" t="inlineStr">
        <is>
          <t>Saída</t>
        </is>
      </c>
      <c r="F365" s="29" t="inlineStr">
        <is>
          <t>Empréstimos e Financiamentos</t>
        </is>
      </c>
      <c r="G365" s="29" t="inlineStr">
        <is>
          <t>Pagamento de Principal de Empréstimos</t>
        </is>
      </c>
      <c r="H365" s="29" t="inlineStr">
        <is>
          <t>Financeiro</t>
        </is>
      </c>
      <c r="I365" s="29" t="inlineStr">
        <is>
          <t>BNDES / Banco do Brasil</t>
        </is>
      </c>
      <c r="J365" s="29" t="inlineStr">
        <is>
          <t>Financiamento de Máquinas — parcela 6/36 (principal)</t>
        </is>
      </c>
      <c r="K365" s="14" t="inlineStr">
        <is>
          <t>FIN-2026-1198-P06</t>
        </is>
      </c>
      <c r="L365" s="29" t="inlineStr">
        <is>
          <t>Banco do Brasil — C/C 12345-6</t>
        </is>
      </c>
      <c r="M365" s="14" t="inlineStr">
        <is>
          <t>Débito automático</t>
        </is>
      </c>
      <c r="N365" s="29" t="n"/>
      <c r="O365" s="13" t="n">
        <v>6</v>
      </c>
      <c r="P365" s="13" t="n">
        <v>36</v>
      </c>
      <c r="Q365" s="35" t="n">
        <v>3333.33</v>
      </c>
      <c r="R365" s="35" t="n">
        <v>3333.33</v>
      </c>
      <c r="S365" s="35" t="n"/>
      <c r="T365" s="35" t="n"/>
      <c r="U365" s="35" t="n"/>
      <c r="V365" s="18">
        <f>IF(COUNTA($B365:$R365)=0,"",ROUND(N($R365)+N($S365)+N($T365)-N($U365),2))</f>
        <v/>
      </c>
      <c r="W365" s="18">
        <f>IF(COUNTA($B365:$R365)=0,"",IF(OR($X365="Pago",$X365="Recebido",$X365="Cancelado"),0,ROUND(N($Q365)+N($S365)+N($T365)-N($U365)-N($R365),2)))</f>
        <v/>
      </c>
      <c r="X365" s="14" t="inlineStr">
        <is>
          <t>Pago</t>
        </is>
      </c>
      <c r="Y365" s="17">
        <f>IF(COUNTA($B365:$R365)=0,"",IF($X365="Cancelado","Cancelado",IF(OR($X365="Pago",$X365="Recebido"),$X365,IF(OR($X365="Parcial",N($R365)&gt;0),"Parcial",IF($C365="","Sem vencimento",IF($C365&lt;TODAY(),"Vencido",IF($C365=TODAY(),"Vence hoje",IF($C365&lt;=TODAY()+7,"Vence em 7 dias",IF($C365&lt;=TODAY()+30,"Vence em 30 dias","Futuro")))))))))</f>
        <v/>
      </c>
      <c r="Z365" s="24">
        <f>IF($B365="","",MONTH($B365))</f>
        <v/>
      </c>
      <c r="AA365" s="24">
        <f>IF($B365="","",YEAR($B365))</f>
        <v/>
      </c>
      <c r="AB365" s="24">
        <f>IF($B365="","",ISOWEEKNUM($B365))</f>
        <v/>
      </c>
      <c r="AC365" s="17">
        <f>IF($B365="","",CHOOSE(WEEKDAY($B365,2),"Segunda","Terça","Quarta","Quinta","Sexta","Sábado","Domingo"))</f>
        <v/>
      </c>
      <c r="AD365" s="17">
        <f>IF($B365="","",TEXT($B365,"MM/AAAA"))</f>
        <v/>
      </c>
      <c r="AE365" s="18">
        <f>IF(COUNTA($B365:$R365)=0,"",IF($X365="Cancelado",0,ROUND(N($Q365)+N($S365)+N($T365)-N($U365),2)))</f>
        <v/>
      </c>
      <c r="AF365" s="9">
        <f>IF($G365="","",IFERROR(INDEX(LINHAS_DRE_PLANO,MATCH($G365,SUBCATEGORIAS_PLANO,0)),"Não classificado"))</f>
        <v/>
      </c>
      <c r="AG365" s="17">
        <f>IF($G365="","",IFERROR(INDEX(TIPOS_FLUXO_PLANO,MATCH($G365,SUBCATEGORIAS_PLANO,0)),"Não classificado"))</f>
        <v/>
      </c>
      <c r="AH365" s="9">
        <f>IF($G365="","",IFERROR(INDEX(GRUPOS_PLANO,MATCH($G365,SUBCATEGORIAS_PLANO,0)),"Não classificado"))</f>
        <v/>
      </c>
      <c r="AI365" s="24">
        <f>IF(OR($C365="",$X365="Pago",$X365="Recebido",$X365="Cancelado"),"",$C365-TODAY())</f>
        <v/>
      </c>
      <c r="AJ365" s="24">
        <f>IF(OR($C365="",$X365="Pago",$X365="Recebido",$X365="Cancelado"),0,MAX(0,TODAY()-$C365))</f>
        <v/>
      </c>
      <c r="AK365" s="24">
        <f>IF($D365="","",$D365-$B365)</f>
        <v/>
      </c>
      <c r="AL365" s="18">
        <f>IF(OR($D365="",$B365=""),"",ROUND(N($R365)*($D365-$B365),2))</f>
        <v/>
      </c>
      <c r="AM365" s="17">
        <f>IF(AND($E365="Saída",$W365&gt;0,$C365&lt;&gt;""),$C365+ROW()/1000000,"")</f>
        <v/>
      </c>
      <c r="AN365" s="17">
        <f>IF(AND($E365="Entrada",$W365&gt;0,$C365&lt;&gt;""),$C365+ROW()/1000000,"")</f>
        <v/>
      </c>
      <c r="AO365" s="9">
        <f>IF(COUNTA($B365:$R365)=0,"",IF(AND($I365&lt;&gt;"",COUNTIF(CLIENTES_NOMES,$I365)+COUNTIF(CLIENTES_FANTASIA,$I365)+COUNTIF(FORNECEDORES_NOMES,$I365)+COUNTIF(FORNECEDORES_FANTASIA,$I365)=0),"⚠ Cliente/Fornecedor não cadastrado",IF(AND($G365&lt;&gt;"",COUNTIF(SUBCATEGORIAS_PLANO,$G365)=0),"⚠ Subcategoria fora do plano de contas",IF(OR($Q365="",N($Q365)=0),"⚠ Valor previsto não informado",IF(AND(OR($X365="Pago",$X365="Recebido"),$D365=""),"⚠ Status pago/recebido sem data",IF(AND($D365&lt;&gt;"",N($R365)=0),"⚠ Data de pagamento sem valor realizado",IF(AND(N($P365)&gt;1,N($O365)&gt;N($P365)),"⚠ Nº da parcela maior que o total",IF(AND($C365&lt;&gt;"",$B365&lt;&gt;"",$C365&lt;$B365),"⚠ Vencimento anterior à competência","OK"))))))))</f>
        <v/>
      </c>
    </row>
    <row r="366">
      <c r="A366" s="14" t="inlineStr">
        <is>
          <t>L0361</t>
        </is>
      </c>
      <c r="B366" s="36" t="n">
        <v>46249</v>
      </c>
      <c r="C366" s="36" t="n">
        <v>46249</v>
      </c>
      <c r="D366" s="36" t="n">
        <v>46249</v>
      </c>
      <c r="E366" s="14" t="inlineStr">
        <is>
          <t>Saída</t>
        </is>
      </c>
      <c r="F366" s="29" t="inlineStr">
        <is>
          <t>Despesas Financeiras</t>
        </is>
      </c>
      <c r="G366" s="29" t="inlineStr">
        <is>
          <t>Juros de Empréstimos e Financiamentos</t>
        </is>
      </c>
      <c r="H366" s="29" t="inlineStr">
        <is>
          <t>Financeiro</t>
        </is>
      </c>
      <c r="I366" s="29" t="inlineStr">
        <is>
          <t>BNDES / Banco do Brasil</t>
        </is>
      </c>
      <c r="J366" s="29" t="inlineStr">
        <is>
          <t>Financiamento de Máquinas — parcela 6/36 (juros)</t>
        </is>
      </c>
      <c r="K366" s="14" t="inlineStr">
        <is>
          <t>FIN-2026-1198-P06</t>
        </is>
      </c>
      <c r="L366" s="29" t="inlineStr">
        <is>
          <t>Banco do Brasil — C/C 12345-6</t>
        </is>
      </c>
      <c r="M366" s="14" t="inlineStr">
        <is>
          <t>Débito automático</t>
        </is>
      </c>
      <c r="N366" s="29" t="n"/>
      <c r="O366" s="13" t="n">
        <v>6</v>
      </c>
      <c r="P366" s="13" t="n">
        <v>36</v>
      </c>
      <c r="Q366" s="35" t="n">
        <v>1136.67</v>
      </c>
      <c r="R366" s="35" t="n">
        <v>1136.67</v>
      </c>
      <c r="S366" s="35" t="n"/>
      <c r="T366" s="35" t="n"/>
      <c r="U366" s="35" t="n"/>
      <c r="V366" s="18">
        <f>IF(COUNTA($B366:$R366)=0,"",ROUND(N($R366)+N($S366)+N($T366)-N($U366),2))</f>
        <v/>
      </c>
      <c r="W366" s="18">
        <f>IF(COUNTA($B366:$R366)=0,"",IF(OR($X366="Pago",$X366="Recebido",$X366="Cancelado"),0,ROUND(N($Q366)+N($S366)+N($T366)-N($U366)-N($R366),2)))</f>
        <v/>
      </c>
      <c r="X366" s="14" t="inlineStr">
        <is>
          <t>Pago</t>
        </is>
      </c>
      <c r="Y366" s="17">
        <f>IF(COUNTA($B366:$R366)=0,"",IF($X366="Cancelado","Cancelado",IF(OR($X366="Pago",$X366="Recebido"),$X366,IF(OR($X366="Parcial",N($R366)&gt;0),"Parcial",IF($C366="","Sem vencimento",IF($C366&lt;TODAY(),"Vencido",IF($C366=TODAY(),"Vence hoje",IF($C366&lt;=TODAY()+7,"Vence em 7 dias",IF($C366&lt;=TODAY()+30,"Vence em 30 dias","Futuro")))))))))</f>
        <v/>
      </c>
      <c r="Z366" s="24">
        <f>IF($B366="","",MONTH($B366))</f>
        <v/>
      </c>
      <c r="AA366" s="24">
        <f>IF($B366="","",YEAR($B366))</f>
        <v/>
      </c>
      <c r="AB366" s="24">
        <f>IF($B366="","",ISOWEEKNUM($B366))</f>
        <v/>
      </c>
      <c r="AC366" s="17">
        <f>IF($B366="","",CHOOSE(WEEKDAY($B366,2),"Segunda","Terça","Quarta","Quinta","Sexta","Sábado","Domingo"))</f>
        <v/>
      </c>
      <c r="AD366" s="17">
        <f>IF($B366="","",TEXT($B366,"MM/AAAA"))</f>
        <v/>
      </c>
      <c r="AE366" s="18">
        <f>IF(COUNTA($B366:$R366)=0,"",IF($X366="Cancelado",0,ROUND(N($Q366)+N($S366)+N($T366)-N($U366),2)))</f>
        <v/>
      </c>
      <c r="AF366" s="9">
        <f>IF($G366="","",IFERROR(INDEX(LINHAS_DRE_PLANO,MATCH($G366,SUBCATEGORIAS_PLANO,0)),"Não classificado"))</f>
        <v/>
      </c>
      <c r="AG366" s="17">
        <f>IF($G366="","",IFERROR(INDEX(TIPOS_FLUXO_PLANO,MATCH($G366,SUBCATEGORIAS_PLANO,0)),"Não classificado"))</f>
        <v/>
      </c>
      <c r="AH366" s="9">
        <f>IF($G366="","",IFERROR(INDEX(GRUPOS_PLANO,MATCH($G366,SUBCATEGORIAS_PLANO,0)),"Não classificado"))</f>
        <v/>
      </c>
      <c r="AI366" s="24">
        <f>IF(OR($C366="",$X366="Pago",$X366="Recebido",$X366="Cancelado"),"",$C366-TODAY())</f>
        <v/>
      </c>
      <c r="AJ366" s="24">
        <f>IF(OR($C366="",$X366="Pago",$X366="Recebido",$X366="Cancelado"),0,MAX(0,TODAY()-$C366))</f>
        <v/>
      </c>
      <c r="AK366" s="24">
        <f>IF($D366="","",$D366-$B366)</f>
        <v/>
      </c>
      <c r="AL366" s="18">
        <f>IF(OR($D366="",$B366=""),"",ROUND(N($R366)*($D366-$B366),2))</f>
        <v/>
      </c>
      <c r="AM366" s="17">
        <f>IF(AND($E366="Saída",$W366&gt;0,$C366&lt;&gt;""),$C366+ROW()/1000000,"")</f>
        <v/>
      </c>
      <c r="AN366" s="17">
        <f>IF(AND($E366="Entrada",$W366&gt;0,$C366&lt;&gt;""),$C366+ROW()/1000000,"")</f>
        <v/>
      </c>
      <c r="AO366" s="9">
        <f>IF(COUNTA($B366:$R366)=0,"",IF(AND($I366&lt;&gt;"",COUNTIF(CLIENTES_NOMES,$I366)+COUNTIF(CLIENTES_FANTASIA,$I366)+COUNTIF(FORNECEDORES_NOMES,$I366)+COUNTIF(FORNECEDORES_FANTASIA,$I366)=0),"⚠ Cliente/Fornecedor não cadastrado",IF(AND($G366&lt;&gt;"",COUNTIF(SUBCATEGORIAS_PLANO,$G366)=0),"⚠ Subcategoria fora do plano de contas",IF(OR($Q366="",N($Q366)=0),"⚠ Valor previsto não informado",IF(AND(OR($X366="Pago",$X366="Recebido"),$D366=""),"⚠ Status pago/recebido sem data",IF(AND($D366&lt;&gt;"",N($R366)=0),"⚠ Data de pagamento sem valor realizado",IF(AND(N($P366)&gt;1,N($O366)&gt;N($P366)),"⚠ Nº da parcela maior que o total",IF(AND($C366&lt;&gt;"",$B366&lt;&gt;"",$C366&lt;$B366),"⚠ Vencimento anterior à competência","OK"))))))))</f>
        <v/>
      </c>
    </row>
    <row r="367">
      <c r="A367" s="14" t="inlineStr">
        <is>
          <t>L0362</t>
        </is>
      </c>
      <c r="B367" s="36" t="n">
        <v>46250</v>
      </c>
      <c r="C367" s="36" t="n">
        <v>46280</v>
      </c>
      <c r="D367" s="36" t="n">
        <v>46282</v>
      </c>
      <c r="E367" s="14" t="inlineStr">
        <is>
          <t>Saída</t>
        </is>
      </c>
      <c r="F367" s="29" t="inlineStr">
        <is>
          <t>Custos Variáveis</t>
        </is>
      </c>
      <c r="G367" s="29" t="inlineStr">
        <is>
          <t>Mercadorias para Revenda</t>
        </is>
      </c>
      <c r="H367" s="29" t="inlineStr">
        <is>
          <t>Logística</t>
        </is>
      </c>
      <c r="I367" s="29" t="inlineStr">
        <is>
          <t>DISTRIBUIDORA CENTRAL DE ALIMENTOS S/A</t>
        </is>
      </c>
      <c r="J367" s="29" t="inlineStr">
        <is>
          <t>Compra de mercadorias para revenda — NF 5081</t>
        </is>
      </c>
      <c r="K367" s="14" t="inlineStr">
        <is>
          <t>NF 5081</t>
        </is>
      </c>
      <c r="L367" s="29" t="inlineStr">
        <is>
          <t>Nubank PJ — C/C 9876543-2</t>
        </is>
      </c>
      <c r="M367" s="14" t="inlineStr">
        <is>
          <t>Boleto</t>
        </is>
      </c>
      <c r="N367" s="29" t="n"/>
      <c r="O367" s="13" t="n">
        <v>1</v>
      </c>
      <c r="P367" s="13" t="n">
        <v>1</v>
      </c>
      <c r="Q367" s="35" t="n">
        <v>62967.91</v>
      </c>
      <c r="R367" s="35" t="n">
        <v>62967.91</v>
      </c>
      <c r="S367" s="35" t="n"/>
      <c r="T367" s="35" t="n"/>
      <c r="U367" s="35" t="n"/>
      <c r="V367" s="18">
        <f>IF(COUNTA($B367:$R367)=0,"",ROUND(N($R367)+N($S367)+N($T367)-N($U367),2))</f>
        <v/>
      </c>
      <c r="W367" s="18">
        <f>IF(COUNTA($B367:$R367)=0,"",IF(OR($X367="Pago",$X367="Recebido",$X367="Cancelado"),0,ROUND(N($Q367)+N($S367)+N($T367)-N($U367)-N($R367),2)))</f>
        <v/>
      </c>
      <c r="X367" s="14" t="inlineStr">
        <is>
          <t>Pago</t>
        </is>
      </c>
      <c r="Y367" s="17">
        <f>IF(COUNTA($B367:$R367)=0,"",IF($X367="Cancelado","Cancelado",IF(OR($X367="Pago",$X367="Recebido"),$X367,IF(OR($X367="Parcial",N($R367)&gt;0),"Parcial",IF($C367="","Sem vencimento",IF($C367&lt;TODAY(),"Vencido",IF($C367=TODAY(),"Vence hoje",IF($C367&lt;=TODAY()+7,"Vence em 7 dias",IF($C367&lt;=TODAY()+30,"Vence em 30 dias","Futuro")))))))))</f>
        <v/>
      </c>
      <c r="Z367" s="24">
        <f>IF($B367="","",MONTH($B367))</f>
        <v/>
      </c>
      <c r="AA367" s="24">
        <f>IF($B367="","",YEAR($B367))</f>
        <v/>
      </c>
      <c r="AB367" s="24">
        <f>IF($B367="","",ISOWEEKNUM($B367))</f>
        <v/>
      </c>
      <c r="AC367" s="17">
        <f>IF($B367="","",CHOOSE(WEEKDAY($B367,2),"Segunda","Terça","Quarta","Quinta","Sexta","Sábado","Domingo"))</f>
        <v/>
      </c>
      <c r="AD367" s="17">
        <f>IF($B367="","",TEXT($B367,"MM/AAAA"))</f>
        <v/>
      </c>
      <c r="AE367" s="18">
        <f>IF(COUNTA($B367:$R367)=0,"",IF($X367="Cancelado",0,ROUND(N($Q367)+N($S367)+N($T367)-N($U367),2)))</f>
        <v/>
      </c>
      <c r="AF367" s="9">
        <f>IF($G367="","",IFERROR(INDEX(LINHAS_DRE_PLANO,MATCH($G367,SUBCATEGORIAS_PLANO,0)),"Não classificado"))</f>
        <v/>
      </c>
      <c r="AG367" s="17">
        <f>IF($G367="","",IFERROR(INDEX(TIPOS_FLUXO_PLANO,MATCH($G367,SUBCATEGORIAS_PLANO,0)),"Não classificado"))</f>
        <v/>
      </c>
      <c r="AH367" s="9">
        <f>IF($G367="","",IFERROR(INDEX(GRUPOS_PLANO,MATCH($G367,SUBCATEGORIAS_PLANO,0)),"Não classificado"))</f>
        <v/>
      </c>
      <c r="AI367" s="24">
        <f>IF(OR($C367="",$X367="Pago",$X367="Recebido",$X367="Cancelado"),"",$C367-TODAY())</f>
        <v/>
      </c>
      <c r="AJ367" s="24">
        <f>IF(OR($C367="",$X367="Pago",$X367="Recebido",$X367="Cancelado"),0,MAX(0,TODAY()-$C367))</f>
        <v/>
      </c>
      <c r="AK367" s="24">
        <f>IF($D367="","",$D367-$B367)</f>
        <v/>
      </c>
      <c r="AL367" s="18">
        <f>IF(OR($D367="",$B367=""),"",ROUND(N($R367)*($D367-$B367),2))</f>
        <v/>
      </c>
      <c r="AM367" s="17">
        <f>IF(AND($E367="Saída",$W367&gt;0,$C367&lt;&gt;""),$C367+ROW()/1000000,"")</f>
        <v/>
      </c>
      <c r="AN367" s="17">
        <f>IF(AND($E367="Entrada",$W367&gt;0,$C367&lt;&gt;""),$C367+ROW()/1000000,"")</f>
        <v/>
      </c>
      <c r="AO367" s="9">
        <f>IF(COUNTA($B367:$R367)=0,"",IF(AND($I367&lt;&gt;"",COUNTIF(CLIENTES_NOMES,$I367)+COUNTIF(CLIENTES_FANTASIA,$I367)+COUNTIF(FORNECEDORES_NOMES,$I367)+COUNTIF(FORNECEDORES_FANTASIA,$I367)=0),"⚠ Cliente/Fornecedor não cadastrado",IF(AND($G367&lt;&gt;"",COUNTIF(SUBCATEGORIAS_PLANO,$G367)=0),"⚠ Subcategoria fora do plano de contas",IF(OR($Q367="",N($Q367)=0),"⚠ Valor previsto não informado",IF(AND(OR($X367="Pago",$X367="Recebido"),$D367=""),"⚠ Status pago/recebido sem data",IF(AND($D367&lt;&gt;"",N($R367)=0),"⚠ Data de pagamento sem valor realizado",IF(AND(N($P367)&gt;1,N($O367)&gt;N($P367)),"⚠ Nº da parcela maior que o total",IF(AND($C367&lt;&gt;"",$B367&lt;&gt;"",$C367&lt;$B367),"⚠ Vencimento anterior à competência","OK"))))))))</f>
        <v/>
      </c>
    </row>
    <row r="368">
      <c r="A368" s="14" t="inlineStr">
        <is>
          <t>L0363</t>
        </is>
      </c>
      <c r="B368" s="36" t="n">
        <v>46252</v>
      </c>
      <c r="C368" s="36" t="n">
        <v>46262</v>
      </c>
      <c r="D368" s="36" t="n">
        <v>46263</v>
      </c>
      <c r="E368" s="14" t="inlineStr">
        <is>
          <t>Saída</t>
        </is>
      </c>
      <c r="F368" s="29" t="inlineStr">
        <is>
          <t>Despesas Comerciais</t>
        </is>
      </c>
      <c r="G368" s="29" t="inlineStr">
        <is>
          <t>Publicidade e Anúncios</t>
        </is>
      </c>
      <c r="H368" s="29" t="inlineStr">
        <is>
          <t>Marketing</t>
        </is>
      </c>
      <c r="I368" s="29" t="inlineStr">
        <is>
          <t>GOOGLE BRASIL INTERNET LTDA</t>
        </is>
      </c>
      <c r="J368" s="29" t="inlineStr">
        <is>
          <t>Anúncios e campanhas digitais</t>
        </is>
      </c>
      <c r="K368" s="14" t="inlineStr">
        <is>
          <t>DOC 8391</t>
        </is>
      </c>
      <c r="L368" s="29" t="inlineStr">
        <is>
          <t>Nubank PJ — C/C 9876543-2</t>
        </is>
      </c>
      <c r="M368" s="14" t="inlineStr">
        <is>
          <t>Cartão de crédito</t>
        </is>
      </c>
      <c r="N368" s="29" t="inlineStr">
        <is>
          <t>Cartão Mastercard Nubank PJ</t>
        </is>
      </c>
      <c r="O368" s="13" t="n">
        <v>1</v>
      </c>
      <c r="P368" s="13" t="n">
        <v>1</v>
      </c>
      <c r="Q368" s="35" t="n">
        <v>1488.18</v>
      </c>
      <c r="R368" s="35" t="n">
        <v>1488.18</v>
      </c>
      <c r="S368" s="35" t="n"/>
      <c r="T368" s="35" t="n"/>
      <c r="U368" s="35" t="n"/>
      <c r="V368" s="18">
        <f>IF(COUNTA($B368:$R368)=0,"",ROUND(N($R368)+N($S368)+N($T368)-N($U368),2))</f>
        <v/>
      </c>
      <c r="W368" s="18">
        <f>IF(COUNTA($B368:$R368)=0,"",IF(OR($X368="Pago",$X368="Recebido",$X368="Cancelado"),0,ROUND(N($Q368)+N($S368)+N($T368)-N($U368)-N($R368),2)))</f>
        <v/>
      </c>
      <c r="X368" s="14" t="inlineStr">
        <is>
          <t>Pago</t>
        </is>
      </c>
      <c r="Y368" s="17">
        <f>IF(COUNTA($B368:$R368)=0,"",IF($X368="Cancelado","Cancelado",IF(OR($X368="Pago",$X368="Recebido"),$X368,IF(OR($X368="Parcial",N($R368)&gt;0),"Parcial",IF($C368="","Sem vencimento",IF($C368&lt;TODAY(),"Vencido",IF($C368=TODAY(),"Vence hoje",IF($C368&lt;=TODAY()+7,"Vence em 7 dias",IF($C368&lt;=TODAY()+30,"Vence em 30 dias","Futuro")))))))))</f>
        <v/>
      </c>
      <c r="Z368" s="24">
        <f>IF($B368="","",MONTH($B368))</f>
        <v/>
      </c>
      <c r="AA368" s="24">
        <f>IF($B368="","",YEAR($B368))</f>
        <v/>
      </c>
      <c r="AB368" s="24">
        <f>IF($B368="","",ISOWEEKNUM($B368))</f>
        <v/>
      </c>
      <c r="AC368" s="17">
        <f>IF($B368="","",CHOOSE(WEEKDAY($B368,2),"Segunda","Terça","Quarta","Quinta","Sexta","Sábado","Domingo"))</f>
        <v/>
      </c>
      <c r="AD368" s="17">
        <f>IF($B368="","",TEXT($B368,"MM/AAAA"))</f>
        <v/>
      </c>
      <c r="AE368" s="18">
        <f>IF(COUNTA($B368:$R368)=0,"",IF($X368="Cancelado",0,ROUND(N($Q368)+N($S368)+N($T368)-N($U368),2)))</f>
        <v/>
      </c>
      <c r="AF368" s="9">
        <f>IF($G368="","",IFERROR(INDEX(LINHAS_DRE_PLANO,MATCH($G368,SUBCATEGORIAS_PLANO,0)),"Não classificado"))</f>
        <v/>
      </c>
      <c r="AG368" s="17">
        <f>IF($G368="","",IFERROR(INDEX(TIPOS_FLUXO_PLANO,MATCH($G368,SUBCATEGORIAS_PLANO,0)),"Não classificado"))</f>
        <v/>
      </c>
      <c r="AH368" s="9">
        <f>IF($G368="","",IFERROR(INDEX(GRUPOS_PLANO,MATCH($G368,SUBCATEGORIAS_PLANO,0)),"Não classificado"))</f>
        <v/>
      </c>
      <c r="AI368" s="24">
        <f>IF(OR($C368="",$X368="Pago",$X368="Recebido",$X368="Cancelado"),"",$C368-TODAY())</f>
        <v/>
      </c>
      <c r="AJ368" s="24">
        <f>IF(OR($C368="",$X368="Pago",$X368="Recebido",$X368="Cancelado"),0,MAX(0,TODAY()-$C368))</f>
        <v/>
      </c>
      <c r="AK368" s="24">
        <f>IF($D368="","",$D368-$B368)</f>
        <v/>
      </c>
      <c r="AL368" s="18">
        <f>IF(OR($D368="",$B368=""),"",ROUND(N($R368)*($D368-$B368),2))</f>
        <v/>
      </c>
      <c r="AM368" s="17">
        <f>IF(AND($E368="Saída",$W368&gt;0,$C368&lt;&gt;""),$C368+ROW()/1000000,"")</f>
        <v/>
      </c>
      <c r="AN368" s="17">
        <f>IF(AND($E368="Entrada",$W368&gt;0,$C368&lt;&gt;""),$C368+ROW()/1000000,"")</f>
        <v/>
      </c>
      <c r="AO368" s="9">
        <f>IF(COUNTA($B368:$R368)=0,"",IF(AND($I368&lt;&gt;"",COUNTIF(CLIENTES_NOMES,$I368)+COUNTIF(CLIENTES_FANTASIA,$I368)+COUNTIF(FORNECEDORES_NOMES,$I368)+COUNTIF(FORNECEDORES_FANTASIA,$I368)=0),"⚠ Cliente/Fornecedor não cadastrado",IF(AND($G368&lt;&gt;"",COUNTIF(SUBCATEGORIAS_PLANO,$G368)=0),"⚠ Subcategoria fora do plano de contas",IF(OR($Q368="",N($Q368)=0),"⚠ Valor previsto não informado",IF(AND(OR($X368="Pago",$X368="Recebido"),$D368=""),"⚠ Status pago/recebido sem data",IF(AND($D368&lt;&gt;"",N($R368)=0),"⚠ Data de pagamento sem valor realizado",IF(AND(N($P368)&gt;1,N($O368)&gt;N($P368)),"⚠ Nº da parcela maior que o total",IF(AND($C368&lt;&gt;"",$B368&lt;&gt;"",$C368&lt;$B368),"⚠ Vencimento anterior à competência","OK"))))))))</f>
        <v/>
      </c>
    </row>
    <row r="369">
      <c r="A369" s="14" t="inlineStr">
        <is>
          <t>L0364</t>
        </is>
      </c>
      <c r="B369" s="36" t="n">
        <v>46253</v>
      </c>
      <c r="C369" s="36" t="n">
        <v>46283</v>
      </c>
      <c r="D369" s="36" t="n">
        <v>46283</v>
      </c>
      <c r="E369" s="14" t="inlineStr">
        <is>
          <t>Entrada</t>
        </is>
      </c>
      <c r="F369" s="29" t="inlineStr">
        <is>
          <t>Vendas</t>
        </is>
      </c>
      <c r="G369" s="29" t="inlineStr">
        <is>
          <t>Vendas de Produtos</t>
        </is>
      </c>
      <c r="H369" s="29" t="inlineStr">
        <is>
          <t>Comercial</t>
        </is>
      </c>
      <c r="I369" s="29" t="inlineStr">
        <is>
          <t>MERCADO BOA COMPRA LTDA</t>
        </is>
      </c>
      <c r="J369" s="29" t="inlineStr">
        <is>
          <t>Venda de mercadorias para revenda</t>
        </is>
      </c>
      <c r="K369" s="14" t="inlineStr">
        <is>
          <t>NF-e 2084</t>
        </is>
      </c>
      <c r="L369" s="29" t="inlineStr">
        <is>
          <t>Banco do Brasil — C/C 12345-6</t>
        </is>
      </c>
      <c r="M369" s="14" t="inlineStr">
        <is>
          <t>Boleto</t>
        </is>
      </c>
      <c r="N369" s="29" t="n"/>
      <c r="O369" s="13" t="n">
        <v>1</v>
      </c>
      <c r="P369" s="13" t="n">
        <v>1</v>
      </c>
      <c r="Q369" s="35" t="n">
        <v>30152.06</v>
      </c>
      <c r="R369" s="35" t="n">
        <v>30152.06</v>
      </c>
      <c r="S369" s="35" t="n"/>
      <c r="T369" s="35" t="n"/>
      <c r="U369" s="35" t="n"/>
      <c r="V369" s="18">
        <f>IF(COUNTA($B369:$R369)=0,"",ROUND(N($R369)+N($S369)+N($T369)-N($U369),2))</f>
        <v/>
      </c>
      <c r="W369" s="18">
        <f>IF(COUNTA($B369:$R369)=0,"",IF(OR($X369="Pago",$X369="Recebido",$X369="Cancelado"),0,ROUND(N($Q369)+N($S369)+N($T369)-N($U369)-N($R369),2)))</f>
        <v/>
      </c>
      <c r="X369" s="14" t="inlineStr">
        <is>
          <t>Pago</t>
        </is>
      </c>
      <c r="Y369" s="17">
        <f>IF(COUNTA($B369:$R369)=0,"",IF($X369="Cancelado","Cancelado",IF(OR($X369="Pago",$X369="Recebido"),$X369,IF(OR($X369="Parcial",N($R369)&gt;0),"Parcial",IF($C369="","Sem vencimento",IF($C369&lt;TODAY(),"Vencido",IF($C369=TODAY(),"Vence hoje",IF($C369&lt;=TODAY()+7,"Vence em 7 dias",IF($C369&lt;=TODAY()+30,"Vence em 30 dias","Futuro")))))))))</f>
        <v/>
      </c>
      <c r="Z369" s="24">
        <f>IF($B369="","",MONTH($B369))</f>
        <v/>
      </c>
      <c r="AA369" s="24">
        <f>IF($B369="","",YEAR($B369))</f>
        <v/>
      </c>
      <c r="AB369" s="24">
        <f>IF($B369="","",ISOWEEKNUM($B369))</f>
        <v/>
      </c>
      <c r="AC369" s="17">
        <f>IF($B369="","",CHOOSE(WEEKDAY($B369,2),"Segunda","Terça","Quarta","Quinta","Sexta","Sábado","Domingo"))</f>
        <v/>
      </c>
      <c r="AD369" s="17">
        <f>IF($B369="","",TEXT($B369,"MM/AAAA"))</f>
        <v/>
      </c>
      <c r="AE369" s="18">
        <f>IF(COUNTA($B369:$R369)=0,"",IF($X369="Cancelado",0,ROUND(N($Q369)+N($S369)+N($T369)-N($U369),2)))</f>
        <v/>
      </c>
      <c r="AF369" s="9">
        <f>IF($G369="","",IFERROR(INDEX(LINHAS_DRE_PLANO,MATCH($G369,SUBCATEGORIAS_PLANO,0)),"Não classificado"))</f>
        <v/>
      </c>
      <c r="AG369" s="17">
        <f>IF($G369="","",IFERROR(INDEX(TIPOS_FLUXO_PLANO,MATCH($G369,SUBCATEGORIAS_PLANO,0)),"Não classificado"))</f>
        <v/>
      </c>
      <c r="AH369" s="9">
        <f>IF($G369="","",IFERROR(INDEX(GRUPOS_PLANO,MATCH($G369,SUBCATEGORIAS_PLANO,0)),"Não classificado"))</f>
        <v/>
      </c>
      <c r="AI369" s="24">
        <f>IF(OR($C369="",$X369="Pago",$X369="Recebido",$X369="Cancelado"),"",$C369-TODAY())</f>
        <v/>
      </c>
      <c r="AJ369" s="24">
        <f>IF(OR($C369="",$X369="Pago",$X369="Recebido",$X369="Cancelado"),0,MAX(0,TODAY()-$C369))</f>
        <v/>
      </c>
      <c r="AK369" s="24">
        <f>IF($D369="","",$D369-$B369)</f>
        <v/>
      </c>
      <c r="AL369" s="18">
        <f>IF(OR($D369="",$B369=""),"",ROUND(N($R369)*($D369-$B369),2))</f>
        <v/>
      </c>
      <c r="AM369" s="17">
        <f>IF(AND($E369="Saída",$W369&gt;0,$C369&lt;&gt;""),$C369+ROW()/1000000,"")</f>
        <v/>
      </c>
      <c r="AN369" s="17">
        <f>IF(AND($E369="Entrada",$W369&gt;0,$C369&lt;&gt;""),$C369+ROW()/1000000,"")</f>
        <v/>
      </c>
      <c r="AO369" s="9">
        <f>IF(COUNTA($B369:$R369)=0,"",IF(AND($I369&lt;&gt;"",COUNTIF(CLIENTES_NOMES,$I369)+COUNTIF(CLIENTES_FANTASIA,$I369)+COUNTIF(FORNECEDORES_NOMES,$I369)+COUNTIF(FORNECEDORES_FANTASIA,$I369)=0),"⚠ Cliente/Fornecedor não cadastrado",IF(AND($G369&lt;&gt;"",COUNTIF(SUBCATEGORIAS_PLANO,$G369)=0),"⚠ Subcategoria fora do plano de contas",IF(OR($Q369="",N($Q369)=0),"⚠ Valor previsto não informado",IF(AND(OR($X369="Pago",$X369="Recebido"),$D369=""),"⚠ Status pago/recebido sem data",IF(AND($D369&lt;&gt;"",N($R369)=0),"⚠ Data de pagamento sem valor realizado",IF(AND(N($P369)&gt;1,N($O369)&gt;N($P369)),"⚠ Nº da parcela maior que o total",IF(AND($C369&lt;&gt;"",$B369&lt;&gt;"",$C369&lt;$B369),"⚠ Vencimento anterior à competência","OK"))))))))</f>
        <v/>
      </c>
    </row>
    <row r="370">
      <c r="A370" s="14" t="inlineStr">
        <is>
          <t>L0365</t>
        </is>
      </c>
      <c r="B370" s="36" t="n">
        <v>46253</v>
      </c>
      <c r="C370" s="36" t="n">
        <v>46268</v>
      </c>
      <c r="D370" s="36" t="n"/>
      <c r="E370" s="14" t="inlineStr">
        <is>
          <t>Entrada</t>
        </is>
      </c>
      <c r="F370" s="29" t="inlineStr">
        <is>
          <t>Vendas</t>
        </is>
      </c>
      <c r="G370" s="29" t="inlineStr">
        <is>
          <t>Vendas de Produtos</t>
        </is>
      </c>
      <c r="H370" s="29" t="inlineStr">
        <is>
          <t>Comercial</t>
        </is>
      </c>
      <c r="I370" s="29" t="inlineStr">
        <is>
          <t>RESTAURANTE SABOR CASEIRO LTDA</t>
        </is>
      </c>
      <c r="J370" s="29" t="inlineStr">
        <is>
          <t>Venda de mercadorias para revenda</t>
        </is>
      </c>
      <c r="K370" s="14" t="inlineStr">
        <is>
          <t>NF-e 2088</t>
        </is>
      </c>
      <c r="L370" s="29" t="inlineStr">
        <is>
          <t>Itaú Unibanco — C/C 45678-9</t>
        </is>
      </c>
      <c r="M370" s="14" t="inlineStr">
        <is>
          <t>Boleto</t>
        </is>
      </c>
      <c r="N370" s="29" t="n"/>
      <c r="O370" s="13" t="n">
        <v>1</v>
      </c>
      <c r="P370" s="13" t="n">
        <v>1</v>
      </c>
      <c r="Q370" s="35" t="n">
        <v>13852.01</v>
      </c>
      <c r="R370" s="35" t="n"/>
      <c r="S370" s="35" t="n"/>
      <c r="T370" s="35" t="n"/>
      <c r="U370" s="35" t="n"/>
      <c r="V370" s="18">
        <f>IF(COUNTA($B370:$R370)=0,"",ROUND(N($R370)+N($S370)+N($T370)-N($U370),2))</f>
        <v/>
      </c>
      <c r="W370" s="18">
        <f>IF(COUNTA($B370:$R370)=0,"",IF(OR($X370="Pago",$X370="Recebido",$X370="Cancelado"),0,ROUND(N($Q370)+N($S370)+N($T370)-N($U370)-N($R370),2)))</f>
        <v/>
      </c>
      <c r="X370" s="14" t="inlineStr">
        <is>
          <t>Previsto</t>
        </is>
      </c>
      <c r="Y370" s="17">
        <f>IF(COUNTA($B370:$R370)=0,"",IF($X370="Cancelado","Cancelado",IF(OR($X370="Pago",$X370="Recebido"),$X370,IF(OR($X370="Parcial",N($R370)&gt;0),"Parcial",IF($C370="","Sem vencimento",IF($C370&lt;TODAY(),"Vencido",IF($C370=TODAY(),"Vence hoje",IF($C370&lt;=TODAY()+7,"Vence em 7 dias",IF($C370&lt;=TODAY()+30,"Vence em 30 dias","Futuro")))))))))</f>
        <v/>
      </c>
      <c r="Z370" s="24">
        <f>IF($B370="","",MONTH($B370))</f>
        <v/>
      </c>
      <c r="AA370" s="24">
        <f>IF($B370="","",YEAR($B370))</f>
        <v/>
      </c>
      <c r="AB370" s="24">
        <f>IF($B370="","",ISOWEEKNUM($B370))</f>
        <v/>
      </c>
      <c r="AC370" s="17">
        <f>IF($B370="","",CHOOSE(WEEKDAY($B370,2),"Segunda","Terça","Quarta","Quinta","Sexta","Sábado","Domingo"))</f>
        <v/>
      </c>
      <c r="AD370" s="17">
        <f>IF($B370="","",TEXT($B370,"MM/AAAA"))</f>
        <v/>
      </c>
      <c r="AE370" s="18">
        <f>IF(COUNTA($B370:$R370)=0,"",IF($X370="Cancelado",0,ROUND(N($Q370)+N($S370)+N($T370)-N($U370),2)))</f>
        <v/>
      </c>
      <c r="AF370" s="9">
        <f>IF($G370="","",IFERROR(INDEX(LINHAS_DRE_PLANO,MATCH($G370,SUBCATEGORIAS_PLANO,0)),"Não classificado"))</f>
        <v/>
      </c>
      <c r="AG370" s="17">
        <f>IF($G370="","",IFERROR(INDEX(TIPOS_FLUXO_PLANO,MATCH($G370,SUBCATEGORIAS_PLANO,0)),"Não classificado"))</f>
        <v/>
      </c>
      <c r="AH370" s="9">
        <f>IF($G370="","",IFERROR(INDEX(GRUPOS_PLANO,MATCH($G370,SUBCATEGORIAS_PLANO,0)),"Não classificado"))</f>
        <v/>
      </c>
      <c r="AI370" s="24">
        <f>IF(OR($C370="",$X370="Pago",$X370="Recebido",$X370="Cancelado"),"",$C370-TODAY())</f>
        <v/>
      </c>
      <c r="AJ370" s="24">
        <f>IF(OR($C370="",$X370="Pago",$X370="Recebido",$X370="Cancelado"),0,MAX(0,TODAY()-$C370))</f>
        <v/>
      </c>
      <c r="AK370" s="24">
        <f>IF($D370="","",$D370-$B370)</f>
        <v/>
      </c>
      <c r="AL370" s="18">
        <f>IF(OR($D370="",$B370=""),"",ROUND(N($R370)*($D370-$B370),2))</f>
        <v/>
      </c>
      <c r="AM370" s="17">
        <f>IF(AND($E370="Saída",$W370&gt;0,$C370&lt;&gt;""),$C370+ROW()/1000000,"")</f>
        <v/>
      </c>
      <c r="AN370" s="17">
        <f>IF(AND($E370="Entrada",$W370&gt;0,$C370&lt;&gt;""),$C370+ROW()/1000000,"")</f>
        <v/>
      </c>
      <c r="AO370" s="9">
        <f>IF(COUNTA($B370:$R370)=0,"",IF(AND($I370&lt;&gt;"",COUNTIF(CLIENTES_NOMES,$I370)+COUNTIF(CLIENTES_FANTASIA,$I370)+COUNTIF(FORNECEDORES_NOMES,$I370)+COUNTIF(FORNECEDORES_FANTASIA,$I370)=0),"⚠ Cliente/Fornecedor não cadastrado",IF(AND($G370&lt;&gt;"",COUNTIF(SUBCATEGORIAS_PLANO,$G370)=0),"⚠ Subcategoria fora do plano de contas",IF(OR($Q370="",N($Q370)=0),"⚠ Valor previsto não informado",IF(AND(OR($X370="Pago",$X370="Recebido"),$D370=""),"⚠ Status pago/recebido sem data",IF(AND($D370&lt;&gt;"",N($R370)=0),"⚠ Data de pagamento sem valor realizado",IF(AND(N($P370)&gt;1,N($O370)&gt;N($P370)),"⚠ Nº da parcela maior que o total",IF(AND($C370&lt;&gt;"",$B370&lt;&gt;"",$C370&lt;$B370),"⚠ Vencimento anterior à competência","OK"))))))))</f>
        <v/>
      </c>
    </row>
    <row r="371">
      <c r="A371" s="14" t="inlineStr">
        <is>
          <t>L0366</t>
        </is>
      </c>
      <c r="B371" s="36" t="n">
        <v>46253</v>
      </c>
      <c r="C371" s="36" t="n">
        <v>46274</v>
      </c>
      <c r="D371" s="36" t="n">
        <v>46276</v>
      </c>
      <c r="E371" s="14" t="inlineStr">
        <is>
          <t>Entrada</t>
        </is>
      </c>
      <c r="F371" s="29" t="inlineStr">
        <is>
          <t>Vendas</t>
        </is>
      </c>
      <c r="G371" s="29" t="inlineStr">
        <is>
          <t>Vendas de Produtos</t>
        </is>
      </c>
      <c r="H371" s="29" t="inlineStr">
        <is>
          <t>Comercial</t>
        </is>
      </c>
      <c r="I371" s="29" t="inlineStr">
        <is>
          <t>EMPÓRIO NATURAL COMÉRCIO LTDA</t>
        </is>
      </c>
      <c r="J371" s="29" t="inlineStr">
        <is>
          <t>Venda de mercadorias para revenda</t>
        </is>
      </c>
      <c r="K371" s="14" t="inlineStr">
        <is>
          <t>NF-e 2094</t>
        </is>
      </c>
      <c r="L371" s="29" t="inlineStr">
        <is>
          <t>Itaú Unibanco — C/C 45678-9</t>
        </is>
      </c>
      <c r="M371" s="14" t="inlineStr">
        <is>
          <t>Boleto</t>
        </is>
      </c>
      <c r="N371" s="29" t="n"/>
      <c r="O371" s="13" t="n">
        <v>1</v>
      </c>
      <c r="P371" s="13" t="n">
        <v>1</v>
      </c>
      <c r="Q371" s="35" t="n">
        <v>19770.56</v>
      </c>
      <c r="R371" s="35" t="n">
        <v>19770.56</v>
      </c>
      <c r="S371" s="35" t="n"/>
      <c r="T371" s="35" t="n"/>
      <c r="U371" s="35" t="n"/>
      <c r="V371" s="18">
        <f>IF(COUNTA($B371:$R371)=0,"",ROUND(N($R371)+N($S371)+N($T371)-N($U371),2))</f>
        <v/>
      </c>
      <c r="W371" s="18">
        <f>IF(COUNTA($B371:$R371)=0,"",IF(OR($X371="Pago",$X371="Recebido",$X371="Cancelado"),0,ROUND(N($Q371)+N($S371)+N($T371)-N($U371)-N($R371),2)))</f>
        <v/>
      </c>
      <c r="X371" s="14" t="inlineStr">
        <is>
          <t>Pago</t>
        </is>
      </c>
      <c r="Y371" s="17">
        <f>IF(COUNTA($B371:$R371)=0,"",IF($X371="Cancelado","Cancelado",IF(OR($X371="Pago",$X371="Recebido"),$X371,IF(OR($X371="Parcial",N($R371)&gt;0),"Parcial",IF($C371="","Sem vencimento",IF($C371&lt;TODAY(),"Vencido",IF($C371=TODAY(),"Vence hoje",IF($C371&lt;=TODAY()+7,"Vence em 7 dias",IF($C371&lt;=TODAY()+30,"Vence em 30 dias","Futuro")))))))))</f>
        <v/>
      </c>
      <c r="Z371" s="24">
        <f>IF($B371="","",MONTH($B371))</f>
        <v/>
      </c>
      <c r="AA371" s="24">
        <f>IF($B371="","",YEAR($B371))</f>
        <v/>
      </c>
      <c r="AB371" s="24">
        <f>IF($B371="","",ISOWEEKNUM($B371))</f>
        <v/>
      </c>
      <c r="AC371" s="17">
        <f>IF($B371="","",CHOOSE(WEEKDAY($B371,2),"Segunda","Terça","Quarta","Quinta","Sexta","Sábado","Domingo"))</f>
        <v/>
      </c>
      <c r="AD371" s="17">
        <f>IF($B371="","",TEXT($B371,"MM/AAAA"))</f>
        <v/>
      </c>
      <c r="AE371" s="18">
        <f>IF(COUNTA($B371:$R371)=0,"",IF($X371="Cancelado",0,ROUND(N($Q371)+N($S371)+N($T371)-N($U371),2)))</f>
        <v/>
      </c>
      <c r="AF371" s="9">
        <f>IF($G371="","",IFERROR(INDEX(LINHAS_DRE_PLANO,MATCH($G371,SUBCATEGORIAS_PLANO,0)),"Não classificado"))</f>
        <v/>
      </c>
      <c r="AG371" s="17">
        <f>IF($G371="","",IFERROR(INDEX(TIPOS_FLUXO_PLANO,MATCH($G371,SUBCATEGORIAS_PLANO,0)),"Não classificado"))</f>
        <v/>
      </c>
      <c r="AH371" s="9">
        <f>IF($G371="","",IFERROR(INDEX(GRUPOS_PLANO,MATCH($G371,SUBCATEGORIAS_PLANO,0)),"Não classificado"))</f>
        <v/>
      </c>
      <c r="AI371" s="24">
        <f>IF(OR($C371="",$X371="Pago",$X371="Recebido",$X371="Cancelado"),"",$C371-TODAY())</f>
        <v/>
      </c>
      <c r="AJ371" s="24">
        <f>IF(OR($C371="",$X371="Pago",$X371="Recebido",$X371="Cancelado"),0,MAX(0,TODAY()-$C371))</f>
        <v/>
      </c>
      <c r="AK371" s="24">
        <f>IF($D371="","",$D371-$B371)</f>
        <v/>
      </c>
      <c r="AL371" s="18">
        <f>IF(OR($D371="",$B371=""),"",ROUND(N($R371)*($D371-$B371),2))</f>
        <v/>
      </c>
      <c r="AM371" s="17">
        <f>IF(AND($E371="Saída",$W371&gt;0,$C371&lt;&gt;""),$C371+ROW()/1000000,"")</f>
        <v/>
      </c>
      <c r="AN371" s="17">
        <f>IF(AND($E371="Entrada",$W371&gt;0,$C371&lt;&gt;""),$C371+ROW()/1000000,"")</f>
        <v/>
      </c>
      <c r="AO371" s="9">
        <f>IF(COUNTA($B371:$R371)=0,"",IF(AND($I371&lt;&gt;"",COUNTIF(CLIENTES_NOMES,$I371)+COUNTIF(CLIENTES_FANTASIA,$I371)+COUNTIF(FORNECEDORES_NOMES,$I371)+COUNTIF(FORNECEDORES_FANTASIA,$I371)=0),"⚠ Cliente/Fornecedor não cadastrado",IF(AND($G371&lt;&gt;"",COUNTIF(SUBCATEGORIAS_PLANO,$G371)=0),"⚠ Subcategoria fora do plano de contas",IF(OR($Q371="",N($Q371)=0),"⚠ Valor previsto não informado",IF(AND(OR($X371="Pago",$X371="Recebido"),$D371=""),"⚠ Status pago/recebido sem data",IF(AND($D371&lt;&gt;"",N($R371)=0),"⚠ Data de pagamento sem valor realizado",IF(AND(N($P371)&gt;1,N($O371)&gt;N($P371)),"⚠ Nº da parcela maior que o total",IF(AND($C371&lt;&gt;"",$B371&lt;&gt;"",$C371&lt;$B371),"⚠ Vencimento anterior à competência","OK"))))))))</f>
        <v/>
      </c>
    </row>
    <row r="372">
      <c r="A372" s="14" t="inlineStr">
        <is>
          <t>L0367</t>
        </is>
      </c>
      <c r="B372" s="36" t="n">
        <v>46254</v>
      </c>
      <c r="C372" s="36" t="n">
        <v>46264</v>
      </c>
      <c r="D372" s="36" t="n">
        <v>46265</v>
      </c>
      <c r="E372" s="14" t="inlineStr">
        <is>
          <t>Saída</t>
        </is>
      </c>
      <c r="F372" s="29" t="inlineStr">
        <is>
          <t>Custos Variáveis</t>
        </is>
      </c>
      <c r="G372" s="29" t="inlineStr">
        <is>
          <t>Outros Custos Diretos</t>
        </is>
      </c>
      <c r="H372" s="29" t="inlineStr">
        <is>
          <t>Produção</t>
        </is>
      </c>
      <c r="I372" s="29" t="inlineStr">
        <is>
          <t>APOIO OPERACIONAL SERVIÇOS LTDA</t>
        </is>
      </c>
      <c r="J372" s="29" t="inlineStr">
        <is>
          <t>Serviços de apoio à operação e expedição</t>
        </is>
      </c>
      <c r="K372" s="14" t="inlineStr">
        <is>
          <t>DOC 7228</t>
        </is>
      </c>
      <c r="L372" s="29" t="inlineStr">
        <is>
          <t>Itaú Unibanco — C/C 45678-9</t>
        </is>
      </c>
      <c r="M372" s="14" t="inlineStr">
        <is>
          <t>PIX</t>
        </is>
      </c>
      <c r="N372" s="29" t="n"/>
      <c r="O372" s="13" t="n">
        <v>1</v>
      </c>
      <c r="P372" s="13" t="n">
        <v>1</v>
      </c>
      <c r="Q372" s="35" t="n">
        <v>1028.07</v>
      </c>
      <c r="R372" s="35" t="n">
        <v>1028.07</v>
      </c>
      <c r="S372" s="35" t="n"/>
      <c r="T372" s="35" t="n"/>
      <c r="U372" s="35" t="n"/>
      <c r="V372" s="18">
        <f>IF(COUNTA($B372:$R372)=0,"",ROUND(N($R372)+N($S372)+N($T372)-N($U372),2))</f>
        <v/>
      </c>
      <c r="W372" s="18">
        <f>IF(COUNTA($B372:$R372)=0,"",IF(OR($X372="Pago",$X372="Recebido",$X372="Cancelado"),0,ROUND(N($Q372)+N($S372)+N($T372)-N($U372)-N($R372),2)))</f>
        <v/>
      </c>
      <c r="X372" s="14" t="inlineStr">
        <is>
          <t>Pago</t>
        </is>
      </c>
      <c r="Y372" s="17">
        <f>IF(COUNTA($B372:$R372)=0,"",IF($X372="Cancelado","Cancelado",IF(OR($X372="Pago",$X372="Recebido"),$X372,IF(OR($X372="Parcial",N($R372)&gt;0),"Parcial",IF($C372="","Sem vencimento",IF($C372&lt;TODAY(),"Vencido",IF($C372=TODAY(),"Vence hoje",IF($C372&lt;=TODAY()+7,"Vence em 7 dias",IF($C372&lt;=TODAY()+30,"Vence em 30 dias","Futuro")))))))))</f>
        <v/>
      </c>
      <c r="Z372" s="24">
        <f>IF($B372="","",MONTH($B372))</f>
        <v/>
      </c>
      <c r="AA372" s="24">
        <f>IF($B372="","",YEAR($B372))</f>
        <v/>
      </c>
      <c r="AB372" s="24">
        <f>IF($B372="","",ISOWEEKNUM($B372))</f>
        <v/>
      </c>
      <c r="AC372" s="17">
        <f>IF($B372="","",CHOOSE(WEEKDAY($B372,2),"Segunda","Terça","Quarta","Quinta","Sexta","Sábado","Domingo"))</f>
        <v/>
      </c>
      <c r="AD372" s="17">
        <f>IF($B372="","",TEXT($B372,"MM/AAAA"))</f>
        <v/>
      </c>
      <c r="AE372" s="18">
        <f>IF(COUNTA($B372:$R372)=0,"",IF($X372="Cancelado",0,ROUND(N($Q372)+N($S372)+N($T372)-N($U372),2)))</f>
        <v/>
      </c>
      <c r="AF372" s="9">
        <f>IF($G372="","",IFERROR(INDEX(LINHAS_DRE_PLANO,MATCH($G372,SUBCATEGORIAS_PLANO,0)),"Não classificado"))</f>
        <v/>
      </c>
      <c r="AG372" s="17">
        <f>IF($G372="","",IFERROR(INDEX(TIPOS_FLUXO_PLANO,MATCH($G372,SUBCATEGORIAS_PLANO,0)),"Não classificado"))</f>
        <v/>
      </c>
      <c r="AH372" s="9">
        <f>IF($G372="","",IFERROR(INDEX(GRUPOS_PLANO,MATCH($G372,SUBCATEGORIAS_PLANO,0)),"Não classificado"))</f>
        <v/>
      </c>
      <c r="AI372" s="24">
        <f>IF(OR($C372="",$X372="Pago",$X372="Recebido",$X372="Cancelado"),"",$C372-TODAY())</f>
        <v/>
      </c>
      <c r="AJ372" s="24">
        <f>IF(OR($C372="",$X372="Pago",$X372="Recebido",$X372="Cancelado"),0,MAX(0,TODAY()-$C372))</f>
        <v/>
      </c>
      <c r="AK372" s="24">
        <f>IF($D372="","",$D372-$B372)</f>
        <v/>
      </c>
      <c r="AL372" s="18">
        <f>IF(OR($D372="",$B372=""),"",ROUND(N($R372)*($D372-$B372),2))</f>
        <v/>
      </c>
      <c r="AM372" s="17">
        <f>IF(AND($E372="Saída",$W372&gt;0,$C372&lt;&gt;""),$C372+ROW()/1000000,"")</f>
        <v/>
      </c>
      <c r="AN372" s="17">
        <f>IF(AND($E372="Entrada",$W372&gt;0,$C372&lt;&gt;""),$C372+ROW()/1000000,"")</f>
        <v/>
      </c>
      <c r="AO372" s="9">
        <f>IF(COUNTA($B372:$R372)=0,"",IF(AND($I372&lt;&gt;"",COUNTIF(CLIENTES_NOMES,$I372)+COUNTIF(CLIENTES_FANTASIA,$I372)+COUNTIF(FORNECEDORES_NOMES,$I372)+COUNTIF(FORNECEDORES_FANTASIA,$I372)=0),"⚠ Cliente/Fornecedor não cadastrado",IF(AND($G372&lt;&gt;"",COUNTIF(SUBCATEGORIAS_PLANO,$G372)=0),"⚠ Subcategoria fora do plano de contas",IF(OR($Q372="",N($Q372)=0),"⚠ Valor previsto não informado",IF(AND(OR($X372="Pago",$X372="Recebido"),$D372=""),"⚠ Status pago/recebido sem data",IF(AND($D372&lt;&gt;"",N($R372)=0),"⚠ Data de pagamento sem valor realizado",IF(AND(N($P372)&gt;1,N($O372)&gt;N($P372)),"⚠ Nº da parcela maior que o total",IF(AND($C372&lt;&gt;"",$B372&lt;&gt;"",$C372&lt;$B372),"⚠ Vencimento anterior à competência","OK"))))))))</f>
        <v/>
      </c>
    </row>
    <row r="373">
      <c r="A373" s="14" t="inlineStr">
        <is>
          <t>L0368</t>
        </is>
      </c>
      <c r="B373" s="36" t="n">
        <v>46254</v>
      </c>
      <c r="C373" s="36" t="n">
        <v>46285</v>
      </c>
      <c r="D373" s="36" t="n"/>
      <c r="E373" s="14" t="inlineStr">
        <is>
          <t>Saída</t>
        </is>
      </c>
      <c r="F373" s="29" t="inlineStr">
        <is>
          <t>Tributos</t>
        </is>
      </c>
      <c r="G373" s="29" t="inlineStr">
        <is>
          <t>Simples Nacional</t>
        </is>
      </c>
      <c r="H373" s="29" t="inlineStr">
        <is>
          <t>Financeiro</t>
        </is>
      </c>
      <c r="I373" s="29" t="inlineStr">
        <is>
          <t>RECEITA FEDERAL DO BRASIL</t>
        </is>
      </c>
      <c r="J373" s="29" t="inlineStr">
        <is>
          <t>Simples Nacional — competência 08/2026</t>
        </is>
      </c>
      <c r="K373" s="14" t="inlineStr">
        <is>
          <t>DAS 08/2026</t>
        </is>
      </c>
      <c r="L373" s="29" t="inlineStr">
        <is>
          <t>Banco do Brasil — C/C 12345-6</t>
        </is>
      </c>
      <c r="M373" s="14" t="inlineStr">
        <is>
          <t>Transferência</t>
        </is>
      </c>
      <c r="N373" s="29" t="n"/>
      <c r="O373" s="13" t="n">
        <v>1</v>
      </c>
      <c r="P373" s="13" t="n">
        <v>1</v>
      </c>
      <c r="Q373" s="35" t="n">
        <v>22077.12</v>
      </c>
      <c r="R373" s="35" t="n"/>
      <c r="S373" s="35" t="n"/>
      <c r="T373" s="35" t="n"/>
      <c r="U373" s="35" t="n"/>
      <c r="V373" s="18">
        <f>IF(COUNTA($B373:$R373)=0,"",ROUND(N($R373)+N($S373)+N($T373)-N($U373),2))</f>
        <v/>
      </c>
      <c r="W373" s="18">
        <f>IF(COUNTA($B373:$R373)=0,"",IF(OR($X373="Pago",$X373="Recebido",$X373="Cancelado"),0,ROUND(N($Q373)+N($S373)+N($T373)-N($U373)-N($R373),2)))</f>
        <v/>
      </c>
      <c r="X373" s="14" t="inlineStr">
        <is>
          <t>Previsto</t>
        </is>
      </c>
      <c r="Y373" s="17">
        <f>IF(COUNTA($B373:$R373)=0,"",IF($X373="Cancelado","Cancelado",IF(OR($X373="Pago",$X373="Recebido"),$X373,IF(OR($X373="Parcial",N($R373)&gt;0),"Parcial",IF($C373="","Sem vencimento",IF($C373&lt;TODAY(),"Vencido",IF($C373=TODAY(),"Vence hoje",IF($C373&lt;=TODAY()+7,"Vence em 7 dias",IF($C373&lt;=TODAY()+30,"Vence em 30 dias","Futuro")))))))))</f>
        <v/>
      </c>
      <c r="Z373" s="24">
        <f>IF($B373="","",MONTH($B373))</f>
        <v/>
      </c>
      <c r="AA373" s="24">
        <f>IF($B373="","",YEAR($B373))</f>
        <v/>
      </c>
      <c r="AB373" s="24">
        <f>IF($B373="","",ISOWEEKNUM($B373))</f>
        <v/>
      </c>
      <c r="AC373" s="17">
        <f>IF($B373="","",CHOOSE(WEEKDAY($B373,2),"Segunda","Terça","Quarta","Quinta","Sexta","Sábado","Domingo"))</f>
        <v/>
      </c>
      <c r="AD373" s="17">
        <f>IF($B373="","",TEXT($B373,"MM/AAAA"))</f>
        <v/>
      </c>
      <c r="AE373" s="18">
        <f>IF(COUNTA($B373:$R373)=0,"",IF($X373="Cancelado",0,ROUND(N($Q373)+N($S373)+N($T373)-N($U373),2)))</f>
        <v/>
      </c>
      <c r="AF373" s="9">
        <f>IF($G373="","",IFERROR(INDEX(LINHAS_DRE_PLANO,MATCH($G373,SUBCATEGORIAS_PLANO,0)),"Não classificado"))</f>
        <v/>
      </c>
      <c r="AG373" s="17">
        <f>IF($G373="","",IFERROR(INDEX(TIPOS_FLUXO_PLANO,MATCH($G373,SUBCATEGORIAS_PLANO,0)),"Não classificado"))</f>
        <v/>
      </c>
      <c r="AH373" s="9">
        <f>IF($G373="","",IFERROR(INDEX(GRUPOS_PLANO,MATCH($G373,SUBCATEGORIAS_PLANO,0)),"Não classificado"))</f>
        <v/>
      </c>
      <c r="AI373" s="24">
        <f>IF(OR($C373="",$X373="Pago",$X373="Recebido",$X373="Cancelado"),"",$C373-TODAY())</f>
        <v/>
      </c>
      <c r="AJ373" s="24">
        <f>IF(OR($C373="",$X373="Pago",$X373="Recebido",$X373="Cancelado"),0,MAX(0,TODAY()-$C373))</f>
        <v/>
      </c>
      <c r="AK373" s="24">
        <f>IF($D373="","",$D373-$B373)</f>
        <v/>
      </c>
      <c r="AL373" s="18">
        <f>IF(OR($D373="",$B373=""),"",ROUND(N($R373)*($D373-$B373),2))</f>
        <v/>
      </c>
      <c r="AM373" s="17">
        <f>IF(AND($E373="Saída",$W373&gt;0,$C373&lt;&gt;""),$C373+ROW()/1000000,"")</f>
        <v/>
      </c>
      <c r="AN373" s="17">
        <f>IF(AND($E373="Entrada",$W373&gt;0,$C373&lt;&gt;""),$C373+ROW()/1000000,"")</f>
        <v/>
      </c>
      <c r="AO373" s="9">
        <f>IF(COUNTA($B373:$R373)=0,"",IF(AND($I373&lt;&gt;"",COUNTIF(CLIENTES_NOMES,$I373)+COUNTIF(CLIENTES_FANTASIA,$I373)+COUNTIF(FORNECEDORES_NOMES,$I373)+COUNTIF(FORNECEDORES_FANTASIA,$I373)=0),"⚠ Cliente/Fornecedor não cadastrado",IF(AND($G373&lt;&gt;"",COUNTIF(SUBCATEGORIAS_PLANO,$G373)=0),"⚠ Subcategoria fora do plano de contas",IF(OR($Q373="",N($Q373)=0),"⚠ Valor previsto não informado",IF(AND(OR($X373="Pago",$X373="Recebido"),$D373=""),"⚠ Status pago/recebido sem data",IF(AND($D373&lt;&gt;"",N($R373)=0),"⚠ Data de pagamento sem valor realizado",IF(AND(N($P373)&gt;1,N($O373)&gt;N($P373)),"⚠ Nº da parcela maior que o total",IF(AND($C373&lt;&gt;"",$B373&lt;&gt;"",$C373&lt;$B373),"⚠ Vencimento anterior à competência","OK"))))))))</f>
        <v/>
      </c>
    </row>
    <row r="374">
      <c r="A374" s="14" t="inlineStr">
        <is>
          <t>L0369</t>
        </is>
      </c>
      <c r="B374" s="36" t="n">
        <v>46254</v>
      </c>
      <c r="C374" s="36" t="n">
        <v>46254</v>
      </c>
      <c r="D374" s="36" t="n">
        <v>46254</v>
      </c>
      <c r="E374" s="14" t="inlineStr">
        <is>
          <t>Saída</t>
        </is>
      </c>
      <c r="F374" s="29" t="inlineStr">
        <is>
          <t>Empréstimos e Financiamentos</t>
        </is>
      </c>
      <c r="G374" s="29" t="inlineStr">
        <is>
          <t>Pagamento de Principal de Empréstimos</t>
        </is>
      </c>
      <c r="H374" s="29" t="inlineStr">
        <is>
          <t>Diretoria</t>
        </is>
      </c>
      <c r="I374" s="29" t="inlineStr">
        <is>
          <t>Banco Santander</t>
        </is>
      </c>
      <c r="J374" s="29" t="inlineStr">
        <is>
          <t>Financiamento de Veículo — parcela 7/48 (principal)</t>
        </is>
      </c>
      <c r="K374" s="14" t="inlineStr">
        <is>
          <t>VEI-2026-0088-P07</t>
        </is>
      </c>
      <c r="L374" s="29" t="inlineStr">
        <is>
          <t>Itaú Unibanco — C/C 45678-9</t>
        </is>
      </c>
      <c r="M374" s="14" t="inlineStr">
        <is>
          <t>Débito automático</t>
        </is>
      </c>
      <c r="N374" s="29" t="n"/>
      <c r="O374" s="13" t="n">
        <v>7</v>
      </c>
      <c r="P374" s="13" t="n">
        <v>48</v>
      </c>
      <c r="Q374" s="35" t="n">
        <v>1321.37</v>
      </c>
      <c r="R374" s="35" t="n">
        <v>1321.37</v>
      </c>
      <c r="S374" s="35" t="n"/>
      <c r="T374" s="35" t="n"/>
      <c r="U374" s="35" t="n"/>
      <c r="V374" s="18">
        <f>IF(COUNTA($B374:$R374)=0,"",ROUND(N($R374)+N($S374)+N($T374)-N($U374),2))</f>
        <v/>
      </c>
      <c r="W374" s="18">
        <f>IF(COUNTA($B374:$R374)=0,"",IF(OR($X374="Pago",$X374="Recebido",$X374="Cancelado"),0,ROUND(N($Q374)+N($S374)+N($T374)-N($U374)-N($R374),2)))</f>
        <v/>
      </c>
      <c r="X374" s="14" t="inlineStr">
        <is>
          <t>Pago</t>
        </is>
      </c>
      <c r="Y374" s="17">
        <f>IF(COUNTA($B374:$R374)=0,"",IF($X374="Cancelado","Cancelado",IF(OR($X374="Pago",$X374="Recebido"),$X374,IF(OR($X374="Parcial",N($R374)&gt;0),"Parcial",IF($C374="","Sem vencimento",IF($C374&lt;TODAY(),"Vencido",IF($C374=TODAY(),"Vence hoje",IF($C374&lt;=TODAY()+7,"Vence em 7 dias",IF($C374&lt;=TODAY()+30,"Vence em 30 dias","Futuro")))))))))</f>
        <v/>
      </c>
      <c r="Z374" s="24">
        <f>IF($B374="","",MONTH($B374))</f>
        <v/>
      </c>
      <c r="AA374" s="24">
        <f>IF($B374="","",YEAR($B374))</f>
        <v/>
      </c>
      <c r="AB374" s="24">
        <f>IF($B374="","",ISOWEEKNUM($B374))</f>
        <v/>
      </c>
      <c r="AC374" s="17">
        <f>IF($B374="","",CHOOSE(WEEKDAY($B374,2),"Segunda","Terça","Quarta","Quinta","Sexta","Sábado","Domingo"))</f>
        <v/>
      </c>
      <c r="AD374" s="17">
        <f>IF($B374="","",TEXT($B374,"MM/AAAA"))</f>
        <v/>
      </c>
      <c r="AE374" s="18">
        <f>IF(COUNTA($B374:$R374)=0,"",IF($X374="Cancelado",0,ROUND(N($Q374)+N($S374)+N($T374)-N($U374),2)))</f>
        <v/>
      </c>
      <c r="AF374" s="9">
        <f>IF($G374="","",IFERROR(INDEX(LINHAS_DRE_PLANO,MATCH($G374,SUBCATEGORIAS_PLANO,0)),"Não classificado"))</f>
        <v/>
      </c>
      <c r="AG374" s="17">
        <f>IF($G374="","",IFERROR(INDEX(TIPOS_FLUXO_PLANO,MATCH($G374,SUBCATEGORIAS_PLANO,0)),"Não classificado"))</f>
        <v/>
      </c>
      <c r="AH374" s="9">
        <f>IF($G374="","",IFERROR(INDEX(GRUPOS_PLANO,MATCH($G374,SUBCATEGORIAS_PLANO,0)),"Não classificado"))</f>
        <v/>
      </c>
      <c r="AI374" s="24">
        <f>IF(OR($C374="",$X374="Pago",$X374="Recebido",$X374="Cancelado"),"",$C374-TODAY())</f>
        <v/>
      </c>
      <c r="AJ374" s="24">
        <f>IF(OR($C374="",$X374="Pago",$X374="Recebido",$X374="Cancelado"),0,MAX(0,TODAY()-$C374))</f>
        <v/>
      </c>
      <c r="AK374" s="24">
        <f>IF($D374="","",$D374-$B374)</f>
        <v/>
      </c>
      <c r="AL374" s="18">
        <f>IF(OR($D374="",$B374=""),"",ROUND(N($R374)*($D374-$B374),2))</f>
        <v/>
      </c>
      <c r="AM374" s="17">
        <f>IF(AND($E374="Saída",$W374&gt;0,$C374&lt;&gt;""),$C374+ROW()/1000000,"")</f>
        <v/>
      </c>
      <c r="AN374" s="17">
        <f>IF(AND($E374="Entrada",$W374&gt;0,$C374&lt;&gt;""),$C374+ROW()/1000000,"")</f>
        <v/>
      </c>
      <c r="AO374" s="9">
        <f>IF(COUNTA($B374:$R374)=0,"",IF(AND($I374&lt;&gt;"",COUNTIF(CLIENTES_NOMES,$I374)+COUNTIF(CLIENTES_FANTASIA,$I374)+COUNTIF(FORNECEDORES_NOMES,$I374)+COUNTIF(FORNECEDORES_FANTASIA,$I374)=0),"⚠ Cliente/Fornecedor não cadastrado",IF(AND($G374&lt;&gt;"",COUNTIF(SUBCATEGORIAS_PLANO,$G374)=0),"⚠ Subcategoria fora do plano de contas",IF(OR($Q374="",N($Q374)=0),"⚠ Valor previsto não informado",IF(AND(OR($X374="Pago",$X374="Recebido"),$D374=""),"⚠ Status pago/recebido sem data",IF(AND($D374&lt;&gt;"",N($R374)=0),"⚠ Data de pagamento sem valor realizado",IF(AND(N($P374)&gt;1,N($O374)&gt;N($P374)),"⚠ Nº da parcela maior que o total",IF(AND($C374&lt;&gt;"",$B374&lt;&gt;"",$C374&lt;$B374),"⚠ Vencimento anterior à competência","OK"))))))))</f>
        <v/>
      </c>
    </row>
    <row r="375">
      <c r="A375" s="14" t="inlineStr">
        <is>
          <t>L0370</t>
        </is>
      </c>
      <c r="B375" s="36" t="n">
        <v>46254</v>
      </c>
      <c r="C375" s="36" t="n">
        <v>46254</v>
      </c>
      <c r="D375" s="36" t="n">
        <v>46254</v>
      </c>
      <c r="E375" s="14" t="inlineStr">
        <is>
          <t>Saída</t>
        </is>
      </c>
      <c r="F375" s="29" t="inlineStr">
        <is>
          <t>Despesas Financeiras</t>
        </is>
      </c>
      <c r="G375" s="29" t="inlineStr">
        <is>
          <t>Juros de Empréstimos e Financiamentos</t>
        </is>
      </c>
      <c r="H375" s="29" t="inlineStr">
        <is>
          <t>Diretoria</t>
        </is>
      </c>
      <c r="I375" s="29" t="inlineStr">
        <is>
          <t>Banco Santander</t>
        </is>
      </c>
      <c r="J375" s="29" t="inlineStr">
        <is>
          <t>Financiamento de Veículo — parcela 7/48 (juros)</t>
        </is>
      </c>
      <c r="K375" s="14" t="inlineStr">
        <is>
          <t>VEI-2026-0088-P07</t>
        </is>
      </c>
      <c r="L375" s="29" t="inlineStr">
        <is>
          <t>Itaú Unibanco — C/C 45678-9</t>
        </is>
      </c>
      <c r="M375" s="14" t="inlineStr">
        <is>
          <t>Débito automático</t>
        </is>
      </c>
      <c r="N375" s="29" t="n"/>
      <c r="O375" s="13" t="n">
        <v>7</v>
      </c>
      <c r="P375" s="13" t="n">
        <v>48</v>
      </c>
      <c r="Q375" s="35" t="n">
        <v>905.09</v>
      </c>
      <c r="R375" s="35" t="n">
        <v>905.09</v>
      </c>
      <c r="S375" s="35" t="n"/>
      <c r="T375" s="35" t="n"/>
      <c r="U375" s="35" t="n"/>
      <c r="V375" s="18">
        <f>IF(COUNTA($B375:$R375)=0,"",ROUND(N($R375)+N($S375)+N($T375)-N($U375),2))</f>
        <v/>
      </c>
      <c r="W375" s="18">
        <f>IF(COUNTA($B375:$R375)=0,"",IF(OR($X375="Pago",$X375="Recebido",$X375="Cancelado"),0,ROUND(N($Q375)+N($S375)+N($T375)-N($U375)-N($R375),2)))</f>
        <v/>
      </c>
      <c r="X375" s="14" t="inlineStr">
        <is>
          <t>Pago</t>
        </is>
      </c>
      <c r="Y375" s="17">
        <f>IF(COUNTA($B375:$R375)=0,"",IF($X375="Cancelado","Cancelado",IF(OR($X375="Pago",$X375="Recebido"),$X375,IF(OR($X375="Parcial",N($R375)&gt;0),"Parcial",IF($C375="","Sem vencimento",IF($C375&lt;TODAY(),"Vencido",IF($C375=TODAY(),"Vence hoje",IF($C375&lt;=TODAY()+7,"Vence em 7 dias",IF($C375&lt;=TODAY()+30,"Vence em 30 dias","Futuro")))))))))</f>
        <v/>
      </c>
      <c r="Z375" s="24">
        <f>IF($B375="","",MONTH($B375))</f>
        <v/>
      </c>
      <c r="AA375" s="24">
        <f>IF($B375="","",YEAR($B375))</f>
        <v/>
      </c>
      <c r="AB375" s="24">
        <f>IF($B375="","",ISOWEEKNUM($B375))</f>
        <v/>
      </c>
      <c r="AC375" s="17">
        <f>IF($B375="","",CHOOSE(WEEKDAY($B375,2),"Segunda","Terça","Quarta","Quinta","Sexta","Sábado","Domingo"))</f>
        <v/>
      </c>
      <c r="AD375" s="17">
        <f>IF($B375="","",TEXT($B375,"MM/AAAA"))</f>
        <v/>
      </c>
      <c r="AE375" s="18">
        <f>IF(COUNTA($B375:$R375)=0,"",IF($X375="Cancelado",0,ROUND(N($Q375)+N($S375)+N($T375)-N($U375),2)))</f>
        <v/>
      </c>
      <c r="AF375" s="9">
        <f>IF($G375="","",IFERROR(INDEX(LINHAS_DRE_PLANO,MATCH($G375,SUBCATEGORIAS_PLANO,0)),"Não classificado"))</f>
        <v/>
      </c>
      <c r="AG375" s="17">
        <f>IF($G375="","",IFERROR(INDEX(TIPOS_FLUXO_PLANO,MATCH($G375,SUBCATEGORIAS_PLANO,0)),"Não classificado"))</f>
        <v/>
      </c>
      <c r="AH375" s="9">
        <f>IF($G375="","",IFERROR(INDEX(GRUPOS_PLANO,MATCH($G375,SUBCATEGORIAS_PLANO,0)),"Não classificado"))</f>
        <v/>
      </c>
      <c r="AI375" s="24">
        <f>IF(OR($C375="",$X375="Pago",$X375="Recebido",$X375="Cancelado"),"",$C375-TODAY())</f>
        <v/>
      </c>
      <c r="AJ375" s="24">
        <f>IF(OR($C375="",$X375="Pago",$X375="Recebido",$X375="Cancelado"),0,MAX(0,TODAY()-$C375))</f>
        <v/>
      </c>
      <c r="AK375" s="24">
        <f>IF($D375="","",$D375-$B375)</f>
        <v/>
      </c>
      <c r="AL375" s="18">
        <f>IF(OR($D375="",$B375=""),"",ROUND(N($R375)*($D375-$B375),2))</f>
        <v/>
      </c>
      <c r="AM375" s="17">
        <f>IF(AND($E375="Saída",$W375&gt;0,$C375&lt;&gt;""),$C375+ROW()/1000000,"")</f>
        <v/>
      </c>
      <c r="AN375" s="17">
        <f>IF(AND($E375="Entrada",$W375&gt;0,$C375&lt;&gt;""),$C375+ROW()/1000000,"")</f>
        <v/>
      </c>
      <c r="AO375" s="9">
        <f>IF(COUNTA($B375:$R375)=0,"",IF(AND($I375&lt;&gt;"",COUNTIF(CLIENTES_NOMES,$I375)+COUNTIF(CLIENTES_FANTASIA,$I375)+COUNTIF(FORNECEDORES_NOMES,$I375)+COUNTIF(FORNECEDORES_FANTASIA,$I375)=0),"⚠ Cliente/Fornecedor não cadastrado",IF(AND($G375&lt;&gt;"",COUNTIF(SUBCATEGORIAS_PLANO,$G375)=0),"⚠ Subcategoria fora do plano de contas",IF(OR($Q375="",N($Q375)=0),"⚠ Valor previsto não informado",IF(AND(OR($X375="Pago",$X375="Recebido"),$D375=""),"⚠ Status pago/recebido sem data",IF(AND($D375&lt;&gt;"",N($R375)=0),"⚠ Data de pagamento sem valor realizado",IF(AND(N($P375)&gt;1,N($O375)&gt;N($P375)),"⚠ Nº da parcela maior que o total",IF(AND($C375&lt;&gt;"",$B375&lt;&gt;"",$C375&lt;$B375),"⚠ Vencimento anterior à competência","OK"))))))))</f>
        <v/>
      </c>
    </row>
    <row r="376">
      <c r="A376" s="14" t="inlineStr">
        <is>
          <t>L0371</t>
        </is>
      </c>
      <c r="B376" s="36" t="n">
        <v>46256</v>
      </c>
      <c r="C376" s="36" t="n">
        <v>46286</v>
      </c>
      <c r="D376" s="36" t="n"/>
      <c r="E376" s="14" t="inlineStr">
        <is>
          <t>Entrada</t>
        </is>
      </c>
      <c r="F376" s="29" t="inlineStr">
        <is>
          <t>Vendas</t>
        </is>
      </c>
      <c r="G376" s="29" t="inlineStr">
        <is>
          <t>Vendas de Serviços</t>
        </is>
      </c>
      <c r="H376" s="29" t="inlineStr">
        <is>
          <t>Comercial</t>
        </is>
      </c>
      <c r="I376" s="29" t="inlineStr">
        <is>
          <t>MERCADO BOA COMPRA LTDA</t>
        </is>
      </c>
      <c r="J376" s="29" t="inlineStr">
        <is>
          <t>Serviços de logística, montagem e reposição</t>
        </is>
      </c>
      <c r="K376" s="14" t="inlineStr">
        <is>
          <t>RPS 3085</t>
        </is>
      </c>
      <c r="L376" s="29" t="inlineStr">
        <is>
          <t>Banco do Brasil — C/C 12345-6</t>
        </is>
      </c>
      <c r="M376" s="14" t="inlineStr">
        <is>
          <t>Boleto</t>
        </is>
      </c>
      <c r="N376" s="29" t="n"/>
      <c r="O376" s="13" t="n">
        <v>1</v>
      </c>
      <c r="P376" s="13" t="n">
        <v>1</v>
      </c>
      <c r="Q376" s="35" t="n">
        <v>12658.96</v>
      </c>
      <c r="R376" s="35" t="n"/>
      <c r="S376" s="35" t="n"/>
      <c r="T376" s="35" t="n"/>
      <c r="U376" s="35" t="n"/>
      <c r="V376" s="18">
        <f>IF(COUNTA($B376:$R376)=0,"",ROUND(N($R376)+N($S376)+N($T376)-N($U376),2))</f>
        <v/>
      </c>
      <c r="W376" s="18">
        <f>IF(COUNTA($B376:$R376)=0,"",IF(OR($X376="Pago",$X376="Recebido",$X376="Cancelado"),0,ROUND(N($Q376)+N($S376)+N($T376)-N($U376)-N($R376),2)))</f>
        <v/>
      </c>
      <c r="X376" s="14" t="inlineStr">
        <is>
          <t>Previsto</t>
        </is>
      </c>
      <c r="Y376" s="17">
        <f>IF(COUNTA($B376:$R376)=0,"",IF($X376="Cancelado","Cancelado",IF(OR($X376="Pago",$X376="Recebido"),$X376,IF(OR($X376="Parcial",N($R376)&gt;0),"Parcial",IF($C376="","Sem vencimento",IF($C376&lt;TODAY(),"Vencido",IF($C376=TODAY(),"Vence hoje",IF($C376&lt;=TODAY()+7,"Vence em 7 dias",IF($C376&lt;=TODAY()+30,"Vence em 30 dias","Futuro")))))))))</f>
        <v/>
      </c>
      <c r="Z376" s="24">
        <f>IF($B376="","",MONTH($B376))</f>
        <v/>
      </c>
      <c r="AA376" s="24">
        <f>IF($B376="","",YEAR($B376))</f>
        <v/>
      </c>
      <c r="AB376" s="24">
        <f>IF($B376="","",ISOWEEKNUM($B376))</f>
        <v/>
      </c>
      <c r="AC376" s="17">
        <f>IF($B376="","",CHOOSE(WEEKDAY($B376,2),"Segunda","Terça","Quarta","Quinta","Sexta","Sábado","Domingo"))</f>
        <v/>
      </c>
      <c r="AD376" s="17">
        <f>IF($B376="","",TEXT($B376,"MM/AAAA"))</f>
        <v/>
      </c>
      <c r="AE376" s="18">
        <f>IF(COUNTA($B376:$R376)=0,"",IF($X376="Cancelado",0,ROUND(N($Q376)+N($S376)+N($T376)-N($U376),2)))</f>
        <v/>
      </c>
      <c r="AF376" s="9">
        <f>IF($G376="","",IFERROR(INDEX(LINHAS_DRE_PLANO,MATCH($G376,SUBCATEGORIAS_PLANO,0)),"Não classificado"))</f>
        <v/>
      </c>
      <c r="AG376" s="17">
        <f>IF($G376="","",IFERROR(INDEX(TIPOS_FLUXO_PLANO,MATCH($G376,SUBCATEGORIAS_PLANO,0)),"Não classificado"))</f>
        <v/>
      </c>
      <c r="AH376" s="9">
        <f>IF($G376="","",IFERROR(INDEX(GRUPOS_PLANO,MATCH($G376,SUBCATEGORIAS_PLANO,0)),"Não classificado"))</f>
        <v/>
      </c>
      <c r="AI376" s="24">
        <f>IF(OR($C376="",$X376="Pago",$X376="Recebido",$X376="Cancelado"),"",$C376-TODAY())</f>
        <v/>
      </c>
      <c r="AJ376" s="24">
        <f>IF(OR($C376="",$X376="Pago",$X376="Recebido",$X376="Cancelado"),0,MAX(0,TODAY()-$C376))</f>
        <v/>
      </c>
      <c r="AK376" s="24">
        <f>IF($D376="","",$D376-$B376)</f>
        <v/>
      </c>
      <c r="AL376" s="18">
        <f>IF(OR($D376="",$B376=""),"",ROUND(N($R376)*($D376-$B376),2))</f>
        <v/>
      </c>
      <c r="AM376" s="17">
        <f>IF(AND($E376="Saída",$W376&gt;0,$C376&lt;&gt;""),$C376+ROW()/1000000,"")</f>
        <v/>
      </c>
      <c r="AN376" s="17">
        <f>IF(AND($E376="Entrada",$W376&gt;0,$C376&lt;&gt;""),$C376+ROW()/1000000,"")</f>
        <v/>
      </c>
      <c r="AO376" s="9">
        <f>IF(COUNTA($B376:$R376)=0,"",IF(AND($I376&lt;&gt;"",COUNTIF(CLIENTES_NOMES,$I376)+COUNTIF(CLIENTES_FANTASIA,$I376)+COUNTIF(FORNECEDORES_NOMES,$I376)+COUNTIF(FORNECEDORES_FANTASIA,$I376)=0),"⚠ Cliente/Fornecedor não cadastrado",IF(AND($G376&lt;&gt;"",COUNTIF(SUBCATEGORIAS_PLANO,$G376)=0),"⚠ Subcategoria fora do plano de contas",IF(OR($Q376="",N($Q376)=0),"⚠ Valor previsto não informado",IF(AND(OR($X376="Pago",$X376="Recebido"),$D376=""),"⚠ Status pago/recebido sem data",IF(AND($D376&lt;&gt;"",N($R376)=0),"⚠ Data de pagamento sem valor realizado",IF(AND(N($P376)&gt;1,N($O376)&gt;N($P376)),"⚠ Nº da parcela maior que o total",IF(AND($C376&lt;&gt;"",$B376&lt;&gt;"",$C376&lt;$B376),"⚠ Vencimento anterior à competência","OK"))))))))</f>
        <v/>
      </c>
    </row>
    <row r="377">
      <c r="A377" s="14" t="inlineStr">
        <is>
          <t>L0372</t>
        </is>
      </c>
      <c r="B377" s="36" t="n">
        <v>46256</v>
      </c>
      <c r="C377" s="36" t="n">
        <v>46272</v>
      </c>
      <c r="D377" s="36" t="n">
        <v>46274</v>
      </c>
      <c r="E377" s="14" t="inlineStr">
        <is>
          <t>Entrada</t>
        </is>
      </c>
      <c r="F377" s="29" t="inlineStr">
        <is>
          <t>Vendas</t>
        </is>
      </c>
      <c r="G377" s="29" t="inlineStr">
        <is>
          <t>Vendas de Serviços</t>
        </is>
      </c>
      <c r="H377" s="29" t="inlineStr">
        <is>
          <t>Comercial</t>
        </is>
      </c>
      <c r="I377" s="29" t="inlineStr">
        <is>
          <t>RESTAURANTE SABOR CASEIRO LTDA</t>
        </is>
      </c>
      <c r="J377" s="29" t="inlineStr">
        <is>
          <t>Serviços de logística, montagem e reposição</t>
        </is>
      </c>
      <c r="K377" s="14" t="inlineStr">
        <is>
          <t>RPS 3089</t>
        </is>
      </c>
      <c r="L377" s="29" t="inlineStr">
        <is>
          <t>Itaú Unibanco — C/C 45678-9</t>
        </is>
      </c>
      <c r="M377" s="14" t="inlineStr">
        <is>
          <t>Boleto</t>
        </is>
      </c>
      <c r="N377" s="29" t="n"/>
      <c r="O377" s="13" t="n">
        <v>1</v>
      </c>
      <c r="P377" s="13" t="n">
        <v>1</v>
      </c>
      <c r="Q377" s="35" t="n">
        <v>8071.41</v>
      </c>
      <c r="R377" s="35" t="n">
        <v>8071.41</v>
      </c>
      <c r="S377" s="35" t="n"/>
      <c r="T377" s="35" t="n"/>
      <c r="U377" s="35" t="n"/>
      <c r="V377" s="18">
        <f>IF(COUNTA($B377:$R377)=0,"",ROUND(N($R377)+N($S377)+N($T377)-N($U377),2))</f>
        <v/>
      </c>
      <c r="W377" s="18">
        <f>IF(COUNTA($B377:$R377)=0,"",IF(OR($X377="Pago",$X377="Recebido",$X377="Cancelado"),0,ROUND(N($Q377)+N($S377)+N($T377)-N($U377)-N($R377),2)))</f>
        <v/>
      </c>
      <c r="X377" s="14" t="inlineStr">
        <is>
          <t>Pago</t>
        </is>
      </c>
      <c r="Y377" s="17">
        <f>IF(COUNTA($B377:$R377)=0,"",IF($X377="Cancelado","Cancelado",IF(OR($X377="Pago",$X377="Recebido"),$X377,IF(OR($X377="Parcial",N($R377)&gt;0),"Parcial",IF($C377="","Sem vencimento",IF($C377&lt;TODAY(),"Vencido",IF($C377=TODAY(),"Vence hoje",IF($C377&lt;=TODAY()+7,"Vence em 7 dias",IF($C377&lt;=TODAY()+30,"Vence em 30 dias","Futuro")))))))))</f>
        <v/>
      </c>
      <c r="Z377" s="24">
        <f>IF($B377="","",MONTH($B377))</f>
        <v/>
      </c>
      <c r="AA377" s="24">
        <f>IF($B377="","",YEAR($B377))</f>
        <v/>
      </c>
      <c r="AB377" s="24">
        <f>IF($B377="","",ISOWEEKNUM($B377))</f>
        <v/>
      </c>
      <c r="AC377" s="17">
        <f>IF($B377="","",CHOOSE(WEEKDAY($B377,2),"Segunda","Terça","Quarta","Quinta","Sexta","Sábado","Domingo"))</f>
        <v/>
      </c>
      <c r="AD377" s="17">
        <f>IF($B377="","",TEXT($B377,"MM/AAAA"))</f>
        <v/>
      </c>
      <c r="AE377" s="18">
        <f>IF(COUNTA($B377:$R377)=0,"",IF($X377="Cancelado",0,ROUND(N($Q377)+N($S377)+N($T377)-N($U377),2)))</f>
        <v/>
      </c>
      <c r="AF377" s="9">
        <f>IF($G377="","",IFERROR(INDEX(LINHAS_DRE_PLANO,MATCH($G377,SUBCATEGORIAS_PLANO,0)),"Não classificado"))</f>
        <v/>
      </c>
      <c r="AG377" s="17">
        <f>IF($G377="","",IFERROR(INDEX(TIPOS_FLUXO_PLANO,MATCH($G377,SUBCATEGORIAS_PLANO,0)),"Não classificado"))</f>
        <v/>
      </c>
      <c r="AH377" s="9">
        <f>IF($G377="","",IFERROR(INDEX(GRUPOS_PLANO,MATCH($G377,SUBCATEGORIAS_PLANO,0)),"Não classificado"))</f>
        <v/>
      </c>
      <c r="AI377" s="24">
        <f>IF(OR($C377="",$X377="Pago",$X377="Recebido",$X377="Cancelado"),"",$C377-TODAY())</f>
        <v/>
      </c>
      <c r="AJ377" s="24">
        <f>IF(OR($C377="",$X377="Pago",$X377="Recebido",$X377="Cancelado"),0,MAX(0,TODAY()-$C377))</f>
        <v/>
      </c>
      <c r="AK377" s="24">
        <f>IF($D377="","",$D377-$B377)</f>
        <v/>
      </c>
      <c r="AL377" s="18">
        <f>IF(OR($D377="",$B377=""),"",ROUND(N($R377)*($D377-$B377),2))</f>
        <v/>
      </c>
      <c r="AM377" s="17">
        <f>IF(AND($E377="Saída",$W377&gt;0,$C377&lt;&gt;""),$C377+ROW()/1000000,"")</f>
        <v/>
      </c>
      <c r="AN377" s="17">
        <f>IF(AND($E377="Entrada",$W377&gt;0,$C377&lt;&gt;""),$C377+ROW()/1000000,"")</f>
        <v/>
      </c>
      <c r="AO377" s="9">
        <f>IF(COUNTA($B377:$R377)=0,"",IF(AND($I377&lt;&gt;"",COUNTIF(CLIENTES_NOMES,$I377)+COUNTIF(CLIENTES_FANTASIA,$I377)+COUNTIF(FORNECEDORES_NOMES,$I377)+COUNTIF(FORNECEDORES_FANTASIA,$I377)=0),"⚠ Cliente/Fornecedor não cadastrado",IF(AND($G377&lt;&gt;"",COUNTIF(SUBCATEGORIAS_PLANO,$G377)=0),"⚠ Subcategoria fora do plano de contas",IF(OR($Q377="",N($Q377)=0),"⚠ Valor previsto não informado",IF(AND(OR($X377="Pago",$X377="Recebido"),$D377=""),"⚠ Status pago/recebido sem data",IF(AND($D377&lt;&gt;"",N($R377)=0),"⚠ Data de pagamento sem valor realizado",IF(AND(N($P377)&gt;1,N($O377)&gt;N($P377)),"⚠ Nº da parcela maior que o total",IF(AND($C377&lt;&gt;"",$B377&lt;&gt;"",$C377&lt;$B377),"⚠ Vencimento anterior à competência","OK"))))))))</f>
        <v/>
      </c>
    </row>
    <row r="378">
      <c r="A378" s="14" t="inlineStr">
        <is>
          <t>L0373</t>
        </is>
      </c>
      <c r="B378" s="36" t="n">
        <v>46256</v>
      </c>
      <c r="C378" s="36" t="n">
        <v>46279</v>
      </c>
      <c r="D378" s="36" t="n">
        <v>46279</v>
      </c>
      <c r="E378" s="14" t="inlineStr">
        <is>
          <t>Entrada</t>
        </is>
      </c>
      <c r="F378" s="29" t="inlineStr">
        <is>
          <t>Vendas</t>
        </is>
      </c>
      <c r="G378" s="29" t="inlineStr">
        <is>
          <t>Vendas de Serviços</t>
        </is>
      </c>
      <c r="H378" s="29" t="inlineStr">
        <is>
          <t>Comercial</t>
        </is>
      </c>
      <c r="I378" s="29" t="inlineStr">
        <is>
          <t>EMPÓRIO NATURAL COMÉRCIO LTDA</t>
        </is>
      </c>
      <c r="J378" s="29" t="inlineStr">
        <is>
          <t>Serviços de logística, montagem e reposição</t>
        </is>
      </c>
      <c r="K378" s="14" t="inlineStr">
        <is>
          <t>RPS 3095</t>
        </is>
      </c>
      <c r="L378" s="29" t="inlineStr">
        <is>
          <t>Itaú Unibanco — C/C 45678-9</t>
        </is>
      </c>
      <c r="M378" s="14" t="inlineStr">
        <is>
          <t>Boleto</t>
        </is>
      </c>
      <c r="N378" s="29" t="n"/>
      <c r="O378" s="13" t="n">
        <v>1</v>
      </c>
      <c r="P378" s="13" t="n">
        <v>1</v>
      </c>
      <c r="Q378" s="35" t="n">
        <v>16220.6</v>
      </c>
      <c r="R378" s="35" t="n">
        <v>16220.6</v>
      </c>
      <c r="S378" s="35" t="n"/>
      <c r="T378" s="35" t="n"/>
      <c r="U378" s="35" t="n"/>
      <c r="V378" s="18">
        <f>IF(COUNTA($B378:$R378)=0,"",ROUND(N($R378)+N($S378)+N($T378)-N($U378),2))</f>
        <v/>
      </c>
      <c r="W378" s="18">
        <f>IF(COUNTA($B378:$R378)=0,"",IF(OR($X378="Pago",$X378="Recebido",$X378="Cancelado"),0,ROUND(N($Q378)+N($S378)+N($T378)-N($U378)-N($R378),2)))</f>
        <v/>
      </c>
      <c r="X378" s="14" t="inlineStr">
        <is>
          <t>Pago</t>
        </is>
      </c>
      <c r="Y378" s="17">
        <f>IF(COUNTA($B378:$R378)=0,"",IF($X378="Cancelado","Cancelado",IF(OR($X378="Pago",$X378="Recebido"),$X378,IF(OR($X378="Parcial",N($R378)&gt;0),"Parcial",IF($C378="","Sem vencimento",IF($C378&lt;TODAY(),"Vencido",IF($C378=TODAY(),"Vence hoje",IF($C378&lt;=TODAY()+7,"Vence em 7 dias",IF($C378&lt;=TODAY()+30,"Vence em 30 dias","Futuro")))))))))</f>
        <v/>
      </c>
      <c r="Z378" s="24">
        <f>IF($B378="","",MONTH($B378))</f>
        <v/>
      </c>
      <c r="AA378" s="24">
        <f>IF($B378="","",YEAR($B378))</f>
        <v/>
      </c>
      <c r="AB378" s="24">
        <f>IF($B378="","",ISOWEEKNUM($B378))</f>
        <v/>
      </c>
      <c r="AC378" s="17">
        <f>IF($B378="","",CHOOSE(WEEKDAY($B378,2),"Segunda","Terça","Quarta","Quinta","Sexta","Sábado","Domingo"))</f>
        <v/>
      </c>
      <c r="AD378" s="17">
        <f>IF($B378="","",TEXT($B378,"MM/AAAA"))</f>
        <v/>
      </c>
      <c r="AE378" s="18">
        <f>IF(COUNTA($B378:$R378)=0,"",IF($X378="Cancelado",0,ROUND(N($Q378)+N($S378)+N($T378)-N($U378),2)))</f>
        <v/>
      </c>
      <c r="AF378" s="9">
        <f>IF($G378="","",IFERROR(INDEX(LINHAS_DRE_PLANO,MATCH($G378,SUBCATEGORIAS_PLANO,0)),"Não classificado"))</f>
        <v/>
      </c>
      <c r="AG378" s="17">
        <f>IF($G378="","",IFERROR(INDEX(TIPOS_FLUXO_PLANO,MATCH($G378,SUBCATEGORIAS_PLANO,0)),"Não classificado"))</f>
        <v/>
      </c>
      <c r="AH378" s="9">
        <f>IF($G378="","",IFERROR(INDEX(GRUPOS_PLANO,MATCH($G378,SUBCATEGORIAS_PLANO,0)),"Não classificado"))</f>
        <v/>
      </c>
      <c r="AI378" s="24">
        <f>IF(OR($C378="",$X378="Pago",$X378="Recebido",$X378="Cancelado"),"",$C378-TODAY())</f>
        <v/>
      </c>
      <c r="AJ378" s="24">
        <f>IF(OR($C378="",$X378="Pago",$X378="Recebido",$X378="Cancelado"),0,MAX(0,TODAY()-$C378))</f>
        <v/>
      </c>
      <c r="AK378" s="24">
        <f>IF($D378="","",$D378-$B378)</f>
        <v/>
      </c>
      <c r="AL378" s="18">
        <f>IF(OR($D378="",$B378=""),"",ROUND(N($R378)*($D378-$B378),2))</f>
        <v/>
      </c>
      <c r="AM378" s="17">
        <f>IF(AND($E378="Saída",$W378&gt;0,$C378&lt;&gt;""),$C378+ROW()/1000000,"")</f>
        <v/>
      </c>
      <c r="AN378" s="17">
        <f>IF(AND($E378="Entrada",$W378&gt;0,$C378&lt;&gt;""),$C378+ROW()/1000000,"")</f>
        <v/>
      </c>
      <c r="AO378" s="9">
        <f>IF(COUNTA($B378:$R378)=0,"",IF(AND($I378&lt;&gt;"",COUNTIF(CLIENTES_NOMES,$I378)+COUNTIF(CLIENTES_FANTASIA,$I378)+COUNTIF(FORNECEDORES_NOMES,$I378)+COUNTIF(FORNECEDORES_FANTASIA,$I378)=0),"⚠ Cliente/Fornecedor não cadastrado",IF(AND($G378&lt;&gt;"",COUNTIF(SUBCATEGORIAS_PLANO,$G378)=0),"⚠ Subcategoria fora do plano de contas",IF(OR($Q378="",N($Q378)=0),"⚠ Valor previsto não informado",IF(AND(OR($X378="Pago",$X378="Recebido"),$D378=""),"⚠ Status pago/recebido sem data",IF(AND($D378&lt;&gt;"",N($R378)=0),"⚠ Data de pagamento sem valor realizado",IF(AND(N($P378)&gt;1,N($O378)&gt;N($P378)),"⚠ Nº da parcela maior que o total",IF(AND($C378&lt;&gt;"",$B378&lt;&gt;"",$C378&lt;$B378),"⚠ Vencimento anterior à competência","OK"))))))))</f>
        <v/>
      </c>
    </row>
    <row r="379">
      <c r="A379" s="14" t="inlineStr">
        <is>
          <t>L0374</t>
        </is>
      </c>
      <c r="B379" s="36" t="n">
        <v>46256</v>
      </c>
      <c r="C379" s="36" t="n">
        <v>46266</v>
      </c>
      <c r="D379" s="36" t="n">
        <v>46269</v>
      </c>
      <c r="E379" s="14" t="inlineStr">
        <is>
          <t>Saída</t>
        </is>
      </c>
      <c r="F379" s="29" t="inlineStr">
        <is>
          <t>Despesas Administrativas</t>
        </is>
      </c>
      <c r="G379" s="29" t="inlineStr">
        <is>
          <t>Manutenção e Conservação</t>
        </is>
      </c>
      <c r="H379" s="29" t="inlineStr">
        <is>
          <t>Administrativo</t>
        </is>
      </c>
      <c r="I379" s="29" t="inlineStr">
        <is>
          <t>MANUTENÇÃO PREDIAL EXPRESSA LTDA</t>
        </is>
      </c>
      <c r="J379" s="29" t="inlineStr">
        <is>
          <t>Manutenção predial, empilhadeira e frota</t>
        </is>
      </c>
      <c r="K379" s="14" t="inlineStr">
        <is>
          <t>DOC 8392</t>
        </is>
      </c>
      <c r="L379" s="29" t="inlineStr">
        <is>
          <t>Banco do Brasil — C/C 12345-6</t>
        </is>
      </c>
      <c r="M379" s="14" t="inlineStr">
        <is>
          <t>PIX</t>
        </is>
      </c>
      <c r="N379" s="29" t="n"/>
      <c r="O379" s="13" t="n">
        <v>1</v>
      </c>
      <c r="P379" s="13" t="n">
        <v>1</v>
      </c>
      <c r="Q379" s="35" t="n">
        <v>890.36</v>
      </c>
      <c r="R379" s="35" t="n">
        <v>890.36</v>
      </c>
      <c r="S379" s="35" t="n"/>
      <c r="T379" s="35" t="n"/>
      <c r="U379" s="35" t="n"/>
      <c r="V379" s="18">
        <f>IF(COUNTA($B379:$R379)=0,"",ROUND(N($R379)+N($S379)+N($T379)-N($U379),2))</f>
        <v/>
      </c>
      <c r="W379" s="18">
        <f>IF(COUNTA($B379:$R379)=0,"",IF(OR($X379="Pago",$X379="Recebido",$X379="Cancelado"),0,ROUND(N($Q379)+N($S379)+N($T379)-N($U379)-N($R379),2)))</f>
        <v/>
      </c>
      <c r="X379" s="14" t="inlineStr">
        <is>
          <t>Pago</t>
        </is>
      </c>
      <c r="Y379" s="17">
        <f>IF(COUNTA($B379:$R379)=0,"",IF($X379="Cancelado","Cancelado",IF(OR($X379="Pago",$X379="Recebido"),$X379,IF(OR($X379="Parcial",N($R379)&gt;0),"Parcial",IF($C379="","Sem vencimento",IF($C379&lt;TODAY(),"Vencido",IF($C379=TODAY(),"Vence hoje",IF($C379&lt;=TODAY()+7,"Vence em 7 dias",IF($C379&lt;=TODAY()+30,"Vence em 30 dias","Futuro")))))))))</f>
        <v/>
      </c>
      <c r="Z379" s="24">
        <f>IF($B379="","",MONTH($B379))</f>
        <v/>
      </c>
      <c r="AA379" s="24">
        <f>IF($B379="","",YEAR($B379))</f>
        <v/>
      </c>
      <c r="AB379" s="24">
        <f>IF($B379="","",ISOWEEKNUM($B379))</f>
        <v/>
      </c>
      <c r="AC379" s="17">
        <f>IF($B379="","",CHOOSE(WEEKDAY($B379,2),"Segunda","Terça","Quarta","Quinta","Sexta","Sábado","Domingo"))</f>
        <v/>
      </c>
      <c r="AD379" s="17">
        <f>IF($B379="","",TEXT($B379,"MM/AAAA"))</f>
        <v/>
      </c>
      <c r="AE379" s="18">
        <f>IF(COUNTA($B379:$R379)=0,"",IF($X379="Cancelado",0,ROUND(N($Q379)+N($S379)+N($T379)-N($U379),2)))</f>
        <v/>
      </c>
      <c r="AF379" s="9">
        <f>IF($G379="","",IFERROR(INDEX(LINHAS_DRE_PLANO,MATCH($G379,SUBCATEGORIAS_PLANO,0)),"Não classificado"))</f>
        <v/>
      </c>
      <c r="AG379" s="17">
        <f>IF($G379="","",IFERROR(INDEX(TIPOS_FLUXO_PLANO,MATCH($G379,SUBCATEGORIAS_PLANO,0)),"Não classificado"))</f>
        <v/>
      </c>
      <c r="AH379" s="9">
        <f>IF($G379="","",IFERROR(INDEX(GRUPOS_PLANO,MATCH($G379,SUBCATEGORIAS_PLANO,0)),"Não classificado"))</f>
        <v/>
      </c>
      <c r="AI379" s="24">
        <f>IF(OR($C379="",$X379="Pago",$X379="Recebido",$X379="Cancelado"),"",$C379-TODAY())</f>
        <v/>
      </c>
      <c r="AJ379" s="24">
        <f>IF(OR($C379="",$X379="Pago",$X379="Recebido",$X379="Cancelado"),0,MAX(0,TODAY()-$C379))</f>
        <v/>
      </c>
      <c r="AK379" s="24">
        <f>IF($D379="","",$D379-$B379)</f>
        <v/>
      </c>
      <c r="AL379" s="18">
        <f>IF(OR($D379="",$B379=""),"",ROUND(N($R379)*($D379-$B379),2))</f>
        <v/>
      </c>
      <c r="AM379" s="17">
        <f>IF(AND($E379="Saída",$W379&gt;0,$C379&lt;&gt;""),$C379+ROW()/1000000,"")</f>
        <v/>
      </c>
      <c r="AN379" s="17">
        <f>IF(AND($E379="Entrada",$W379&gt;0,$C379&lt;&gt;""),$C379+ROW()/1000000,"")</f>
        <v/>
      </c>
      <c r="AO379" s="9">
        <f>IF(COUNTA($B379:$R379)=0,"",IF(AND($I379&lt;&gt;"",COUNTIF(CLIENTES_NOMES,$I379)+COUNTIF(CLIENTES_FANTASIA,$I379)+COUNTIF(FORNECEDORES_NOMES,$I379)+COUNTIF(FORNECEDORES_FANTASIA,$I379)=0),"⚠ Cliente/Fornecedor não cadastrado",IF(AND($G379&lt;&gt;"",COUNTIF(SUBCATEGORIAS_PLANO,$G379)=0),"⚠ Subcategoria fora do plano de contas",IF(OR($Q379="",N($Q379)=0),"⚠ Valor previsto não informado",IF(AND(OR($X379="Pago",$X379="Recebido"),$D379=""),"⚠ Status pago/recebido sem data",IF(AND($D379&lt;&gt;"",N($R379)=0),"⚠ Data de pagamento sem valor realizado",IF(AND(N($P379)&gt;1,N($O379)&gt;N($P379)),"⚠ Nº da parcela maior que o total",IF(AND($C379&lt;&gt;"",$B379&lt;&gt;"",$C379&lt;$B379),"⚠ Vencimento anterior à competência","OK"))))))))</f>
        <v/>
      </c>
    </row>
    <row r="380">
      <c r="A380" s="14" t="inlineStr">
        <is>
          <t>L0375</t>
        </is>
      </c>
      <c r="B380" s="36" t="n">
        <v>46258</v>
      </c>
      <c r="C380" s="36" t="n">
        <v>46270</v>
      </c>
      <c r="D380" s="36" t="n">
        <v>46271</v>
      </c>
      <c r="E380" s="14" t="inlineStr">
        <is>
          <t>Saída</t>
        </is>
      </c>
      <c r="F380" s="29" t="inlineStr">
        <is>
          <t>Despesas Comerciais</t>
        </is>
      </c>
      <c r="G380" s="29" t="inlineStr">
        <is>
          <t>Viagens Comerciais</t>
        </is>
      </c>
      <c r="H380" s="29" t="inlineStr">
        <is>
          <t>Comercial</t>
        </is>
      </c>
      <c r="I380" s="29" t="inlineStr">
        <is>
          <t>AGÊNCIA PULSO DIGITAL LTDA</t>
        </is>
      </c>
      <c r="J380" s="29" t="inlineStr">
        <is>
          <t>Viagens comerciais e visitas a clientes</t>
        </is>
      </c>
      <c r="K380" s="14" t="inlineStr">
        <is>
          <t>DOC 8394</t>
        </is>
      </c>
      <c r="L380" s="29" t="inlineStr">
        <is>
          <t>Itaú Unibanco — C/C 45678-9</t>
        </is>
      </c>
      <c r="M380" s="14" t="inlineStr">
        <is>
          <t>Cartão de crédito</t>
        </is>
      </c>
      <c r="N380" s="29" t="inlineStr">
        <is>
          <t>Cartão Visa Itaú Business</t>
        </is>
      </c>
      <c r="O380" s="13" t="n">
        <v>1</v>
      </c>
      <c r="P380" s="13" t="n">
        <v>1</v>
      </c>
      <c r="Q380" s="35" t="n">
        <v>1887.29</v>
      </c>
      <c r="R380" s="35" t="n">
        <v>1887.29</v>
      </c>
      <c r="S380" s="35" t="n"/>
      <c r="T380" s="35" t="n"/>
      <c r="U380" s="35" t="n"/>
      <c r="V380" s="18">
        <f>IF(COUNTA($B380:$R380)=0,"",ROUND(N($R380)+N($S380)+N($T380)-N($U380),2))</f>
        <v/>
      </c>
      <c r="W380" s="18">
        <f>IF(COUNTA($B380:$R380)=0,"",IF(OR($X380="Pago",$X380="Recebido",$X380="Cancelado"),0,ROUND(N($Q380)+N($S380)+N($T380)-N($U380)-N($R380),2)))</f>
        <v/>
      </c>
      <c r="X380" s="14" t="inlineStr">
        <is>
          <t>Pago</t>
        </is>
      </c>
      <c r="Y380" s="17">
        <f>IF(COUNTA($B380:$R380)=0,"",IF($X380="Cancelado","Cancelado",IF(OR($X380="Pago",$X380="Recebido"),$X380,IF(OR($X380="Parcial",N($R380)&gt;0),"Parcial",IF($C380="","Sem vencimento",IF($C380&lt;TODAY(),"Vencido",IF($C380=TODAY(),"Vence hoje",IF($C380&lt;=TODAY()+7,"Vence em 7 dias",IF($C380&lt;=TODAY()+30,"Vence em 30 dias","Futuro")))))))))</f>
        <v/>
      </c>
      <c r="Z380" s="24">
        <f>IF($B380="","",MONTH($B380))</f>
        <v/>
      </c>
      <c r="AA380" s="24">
        <f>IF($B380="","",YEAR($B380))</f>
        <v/>
      </c>
      <c r="AB380" s="24">
        <f>IF($B380="","",ISOWEEKNUM($B380))</f>
        <v/>
      </c>
      <c r="AC380" s="17">
        <f>IF($B380="","",CHOOSE(WEEKDAY($B380,2),"Segunda","Terça","Quarta","Quinta","Sexta","Sábado","Domingo"))</f>
        <v/>
      </c>
      <c r="AD380" s="17">
        <f>IF($B380="","",TEXT($B380,"MM/AAAA"))</f>
        <v/>
      </c>
      <c r="AE380" s="18">
        <f>IF(COUNTA($B380:$R380)=0,"",IF($X380="Cancelado",0,ROUND(N($Q380)+N($S380)+N($T380)-N($U380),2)))</f>
        <v/>
      </c>
      <c r="AF380" s="9">
        <f>IF($G380="","",IFERROR(INDEX(LINHAS_DRE_PLANO,MATCH($G380,SUBCATEGORIAS_PLANO,0)),"Não classificado"))</f>
        <v/>
      </c>
      <c r="AG380" s="17">
        <f>IF($G380="","",IFERROR(INDEX(TIPOS_FLUXO_PLANO,MATCH($G380,SUBCATEGORIAS_PLANO,0)),"Não classificado"))</f>
        <v/>
      </c>
      <c r="AH380" s="9">
        <f>IF($G380="","",IFERROR(INDEX(GRUPOS_PLANO,MATCH($G380,SUBCATEGORIAS_PLANO,0)),"Não classificado"))</f>
        <v/>
      </c>
      <c r="AI380" s="24">
        <f>IF(OR($C380="",$X380="Pago",$X380="Recebido",$X380="Cancelado"),"",$C380-TODAY())</f>
        <v/>
      </c>
      <c r="AJ380" s="24">
        <f>IF(OR($C380="",$X380="Pago",$X380="Recebido",$X380="Cancelado"),0,MAX(0,TODAY()-$C380))</f>
        <v/>
      </c>
      <c r="AK380" s="24">
        <f>IF($D380="","",$D380-$B380)</f>
        <v/>
      </c>
      <c r="AL380" s="18">
        <f>IF(OR($D380="",$B380=""),"",ROUND(N($R380)*($D380-$B380),2))</f>
        <v/>
      </c>
      <c r="AM380" s="17">
        <f>IF(AND($E380="Saída",$W380&gt;0,$C380&lt;&gt;""),$C380+ROW()/1000000,"")</f>
        <v/>
      </c>
      <c r="AN380" s="17">
        <f>IF(AND($E380="Entrada",$W380&gt;0,$C380&lt;&gt;""),$C380+ROW()/1000000,"")</f>
        <v/>
      </c>
      <c r="AO380" s="9">
        <f>IF(COUNTA($B380:$R380)=0,"",IF(AND($I380&lt;&gt;"",COUNTIF(CLIENTES_NOMES,$I380)+COUNTIF(CLIENTES_FANTASIA,$I380)+COUNTIF(FORNECEDORES_NOMES,$I380)+COUNTIF(FORNECEDORES_FANTASIA,$I380)=0),"⚠ Cliente/Fornecedor não cadastrado",IF(AND($G380&lt;&gt;"",COUNTIF(SUBCATEGORIAS_PLANO,$G380)=0),"⚠ Subcategoria fora do plano de contas",IF(OR($Q380="",N($Q380)=0),"⚠ Valor previsto não informado",IF(AND(OR($X380="Pago",$X380="Recebido"),$D380=""),"⚠ Status pago/recebido sem data",IF(AND($D380&lt;&gt;"",N($R380)=0),"⚠ Data de pagamento sem valor realizado",IF(AND(N($P380)&gt;1,N($O380)&gt;N($P380)),"⚠ Nº da parcela maior que o total",IF(AND($C380&lt;&gt;"",$B380&lt;&gt;"",$C380&lt;$B380),"⚠ Vencimento anterior à competência","OK"))))))))</f>
        <v/>
      </c>
    </row>
    <row r="381">
      <c r="A381" s="14" t="inlineStr">
        <is>
          <t>L0376</t>
        </is>
      </c>
      <c r="B381" s="36" t="n">
        <v>46259</v>
      </c>
      <c r="C381" s="36" t="n">
        <v>46274</v>
      </c>
      <c r="D381" s="36" t="n">
        <v>46276</v>
      </c>
      <c r="E381" s="14" t="inlineStr">
        <is>
          <t>Saída</t>
        </is>
      </c>
      <c r="F381" s="29" t="inlineStr">
        <is>
          <t>Custos Variáveis</t>
        </is>
      </c>
      <c r="G381" s="29" t="inlineStr">
        <is>
          <t>Fretes e Entregas sobre Vendas</t>
        </is>
      </c>
      <c r="H381" s="29" t="inlineStr">
        <is>
          <t>Logística</t>
        </is>
      </c>
      <c r="I381" s="29" t="inlineStr">
        <is>
          <t>TRANSPORTADORA RÁPIDA LOG LTDA</t>
        </is>
      </c>
      <c r="J381" s="29" t="inlineStr">
        <is>
          <t>Fretes de entrega — notas do período</t>
        </is>
      </c>
      <c r="K381" s="14" t="inlineStr">
        <is>
          <t>DOC 7224</t>
        </is>
      </c>
      <c r="L381" s="29" t="inlineStr">
        <is>
          <t>Banco do Brasil — C/C 12345-6</t>
        </is>
      </c>
      <c r="M381" s="14" t="inlineStr">
        <is>
          <t>Boleto</t>
        </is>
      </c>
      <c r="N381" s="29" t="n"/>
      <c r="O381" s="13" t="n">
        <v>1</v>
      </c>
      <c r="P381" s="13" t="n">
        <v>1</v>
      </c>
      <c r="Q381" s="35" t="n">
        <v>4932.33</v>
      </c>
      <c r="R381" s="35" t="n">
        <v>4932.33</v>
      </c>
      <c r="S381" s="35" t="n"/>
      <c r="T381" s="35" t="n"/>
      <c r="U381" s="35" t="n"/>
      <c r="V381" s="18">
        <f>IF(COUNTA($B381:$R381)=0,"",ROUND(N($R381)+N($S381)+N($T381)-N($U381),2))</f>
        <v/>
      </c>
      <c r="W381" s="18">
        <f>IF(COUNTA($B381:$R381)=0,"",IF(OR($X381="Pago",$X381="Recebido",$X381="Cancelado"),0,ROUND(N($Q381)+N($S381)+N($T381)-N($U381)-N($R381),2)))</f>
        <v/>
      </c>
      <c r="X381" s="14" t="inlineStr">
        <is>
          <t>Pago</t>
        </is>
      </c>
      <c r="Y381" s="17">
        <f>IF(COUNTA($B381:$R381)=0,"",IF($X381="Cancelado","Cancelado",IF(OR($X381="Pago",$X381="Recebido"),$X381,IF(OR($X381="Parcial",N($R381)&gt;0),"Parcial",IF($C381="","Sem vencimento",IF($C381&lt;TODAY(),"Vencido",IF($C381=TODAY(),"Vence hoje",IF($C381&lt;=TODAY()+7,"Vence em 7 dias",IF($C381&lt;=TODAY()+30,"Vence em 30 dias","Futuro")))))))))</f>
        <v/>
      </c>
      <c r="Z381" s="24">
        <f>IF($B381="","",MONTH($B381))</f>
        <v/>
      </c>
      <c r="AA381" s="24">
        <f>IF($B381="","",YEAR($B381))</f>
        <v/>
      </c>
      <c r="AB381" s="24">
        <f>IF($B381="","",ISOWEEKNUM($B381))</f>
        <v/>
      </c>
      <c r="AC381" s="17">
        <f>IF($B381="","",CHOOSE(WEEKDAY($B381,2),"Segunda","Terça","Quarta","Quinta","Sexta","Sábado","Domingo"))</f>
        <v/>
      </c>
      <c r="AD381" s="17">
        <f>IF($B381="","",TEXT($B381,"MM/AAAA"))</f>
        <v/>
      </c>
      <c r="AE381" s="18">
        <f>IF(COUNTA($B381:$R381)=0,"",IF($X381="Cancelado",0,ROUND(N($Q381)+N($S381)+N($T381)-N($U381),2)))</f>
        <v/>
      </c>
      <c r="AF381" s="9">
        <f>IF($G381="","",IFERROR(INDEX(LINHAS_DRE_PLANO,MATCH($G381,SUBCATEGORIAS_PLANO,0)),"Não classificado"))</f>
        <v/>
      </c>
      <c r="AG381" s="17">
        <f>IF($G381="","",IFERROR(INDEX(TIPOS_FLUXO_PLANO,MATCH($G381,SUBCATEGORIAS_PLANO,0)),"Não classificado"))</f>
        <v/>
      </c>
      <c r="AH381" s="9">
        <f>IF($G381="","",IFERROR(INDEX(GRUPOS_PLANO,MATCH($G381,SUBCATEGORIAS_PLANO,0)),"Não classificado"))</f>
        <v/>
      </c>
      <c r="AI381" s="24">
        <f>IF(OR($C381="",$X381="Pago",$X381="Recebido",$X381="Cancelado"),"",$C381-TODAY())</f>
        <v/>
      </c>
      <c r="AJ381" s="24">
        <f>IF(OR($C381="",$X381="Pago",$X381="Recebido",$X381="Cancelado"),0,MAX(0,TODAY()-$C381))</f>
        <v/>
      </c>
      <c r="AK381" s="24">
        <f>IF($D381="","",$D381-$B381)</f>
        <v/>
      </c>
      <c r="AL381" s="18">
        <f>IF(OR($D381="",$B381=""),"",ROUND(N($R381)*($D381-$B381),2))</f>
        <v/>
      </c>
      <c r="AM381" s="17">
        <f>IF(AND($E381="Saída",$W381&gt;0,$C381&lt;&gt;""),$C381+ROW()/1000000,"")</f>
        <v/>
      </c>
      <c r="AN381" s="17">
        <f>IF(AND($E381="Entrada",$W381&gt;0,$C381&lt;&gt;""),$C381+ROW()/1000000,"")</f>
        <v/>
      </c>
      <c r="AO381" s="9">
        <f>IF(COUNTA($B381:$R381)=0,"",IF(AND($I381&lt;&gt;"",COUNTIF(CLIENTES_NOMES,$I381)+COUNTIF(CLIENTES_FANTASIA,$I381)+COUNTIF(FORNECEDORES_NOMES,$I381)+COUNTIF(FORNECEDORES_FANTASIA,$I381)=0),"⚠ Cliente/Fornecedor não cadastrado",IF(AND($G381&lt;&gt;"",COUNTIF(SUBCATEGORIAS_PLANO,$G381)=0),"⚠ Subcategoria fora do plano de contas",IF(OR($Q381="",N($Q381)=0),"⚠ Valor previsto não informado",IF(AND(OR($X381="Pago",$X381="Recebido"),$D381=""),"⚠ Status pago/recebido sem data",IF(AND($D381&lt;&gt;"",N($R381)=0),"⚠ Data de pagamento sem valor realizado",IF(AND(N($P381)&gt;1,N($O381)&gt;N($P381)),"⚠ Nº da parcela maior que o total",IF(AND($C381&lt;&gt;"",$B381&lt;&gt;"",$C381&lt;$B381),"⚠ Vencimento anterior à competência","OK"))))))))</f>
        <v/>
      </c>
    </row>
    <row r="382">
      <c r="A382" s="14" t="inlineStr">
        <is>
          <t>L0377</t>
        </is>
      </c>
      <c r="B382" s="36" t="n">
        <v>46260</v>
      </c>
      <c r="C382" s="36" t="n">
        <v>46260</v>
      </c>
      <c r="D382" s="36" t="n">
        <v>46260</v>
      </c>
      <c r="E382" s="14" t="inlineStr">
        <is>
          <t>Saída</t>
        </is>
      </c>
      <c r="F382" s="29" t="inlineStr">
        <is>
          <t>Despesas Administrativas</t>
        </is>
      </c>
      <c r="G382" s="29" t="inlineStr">
        <is>
          <t>Outras Despesas Administrativas</t>
        </is>
      </c>
      <c r="H382" s="29" t="inlineStr">
        <is>
          <t>Administrativo</t>
        </is>
      </c>
      <c r="I382" s="29" t="inlineStr">
        <is>
          <t>MANUTENÇÃO PREDIAL EXPRESSA LTDA</t>
        </is>
      </c>
      <c r="J382" s="29" t="inlineStr">
        <is>
          <t>Despesas administrativas diversas</t>
        </is>
      </c>
      <c r="K382" s="14" t="inlineStr">
        <is>
          <t>DOC 8395</t>
        </is>
      </c>
      <c r="L382" s="29" t="inlineStr">
        <is>
          <t>Banco do Brasil — C/C 12345-6</t>
        </is>
      </c>
      <c r="M382" s="14" t="inlineStr">
        <is>
          <t>PIX</t>
        </is>
      </c>
      <c r="N382" s="29" t="n"/>
      <c r="O382" s="13" t="n">
        <v>1</v>
      </c>
      <c r="P382" s="13" t="n">
        <v>1</v>
      </c>
      <c r="Q382" s="35" t="n">
        <v>639.5599999999999</v>
      </c>
      <c r="R382" s="35" t="n">
        <v>639.5599999999999</v>
      </c>
      <c r="S382" s="35" t="n"/>
      <c r="T382" s="35" t="n"/>
      <c r="U382" s="35" t="n"/>
      <c r="V382" s="18">
        <f>IF(COUNTA($B382:$R382)=0,"",ROUND(N($R382)+N($S382)+N($T382)-N($U382),2))</f>
        <v/>
      </c>
      <c r="W382" s="18">
        <f>IF(COUNTA($B382:$R382)=0,"",IF(OR($X382="Pago",$X382="Recebido",$X382="Cancelado"),0,ROUND(N($Q382)+N($S382)+N($T382)-N($U382)-N($R382),2)))</f>
        <v/>
      </c>
      <c r="X382" s="14" t="inlineStr">
        <is>
          <t>Pago</t>
        </is>
      </c>
      <c r="Y382" s="17">
        <f>IF(COUNTA($B382:$R382)=0,"",IF($X382="Cancelado","Cancelado",IF(OR($X382="Pago",$X382="Recebido"),$X382,IF(OR($X382="Parcial",N($R382)&gt;0),"Parcial",IF($C382="","Sem vencimento",IF($C382&lt;TODAY(),"Vencido",IF($C382=TODAY(),"Vence hoje",IF($C382&lt;=TODAY()+7,"Vence em 7 dias",IF($C382&lt;=TODAY()+30,"Vence em 30 dias","Futuro")))))))))</f>
        <v/>
      </c>
      <c r="Z382" s="24">
        <f>IF($B382="","",MONTH($B382))</f>
        <v/>
      </c>
      <c r="AA382" s="24">
        <f>IF($B382="","",YEAR($B382))</f>
        <v/>
      </c>
      <c r="AB382" s="24">
        <f>IF($B382="","",ISOWEEKNUM($B382))</f>
        <v/>
      </c>
      <c r="AC382" s="17">
        <f>IF($B382="","",CHOOSE(WEEKDAY($B382,2),"Segunda","Terça","Quarta","Quinta","Sexta","Sábado","Domingo"))</f>
        <v/>
      </c>
      <c r="AD382" s="17">
        <f>IF($B382="","",TEXT($B382,"MM/AAAA"))</f>
        <v/>
      </c>
      <c r="AE382" s="18">
        <f>IF(COUNTA($B382:$R382)=0,"",IF($X382="Cancelado",0,ROUND(N($Q382)+N($S382)+N($T382)-N($U382),2)))</f>
        <v/>
      </c>
      <c r="AF382" s="9">
        <f>IF($G382="","",IFERROR(INDEX(LINHAS_DRE_PLANO,MATCH($G382,SUBCATEGORIAS_PLANO,0)),"Não classificado"))</f>
        <v/>
      </c>
      <c r="AG382" s="17">
        <f>IF($G382="","",IFERROR(INDEX(TIPOS_FLUXO_PLANO,MATCH($G382,SUBCATEGORIAS_PLANO,0)),"Não classificado"))</f>
        <v/>
      </c>
      <c r="AH382" s="9">
        <f>IF($G382="","",IFERROR(INDEX(GRUPOS_PLANO,MATCH($G382,SUBCATEGORIAS_PLANO,0)),"Não classificado"))</f>
        <v/>
      </c>
      <c r="AI382" s="24">
        <f>IF(OR($C382="",$X382="Pago",$X382="Recebido",$X382="Cancelado"),"",$C382-TODAY())</f>
        <v/>
      </c>
      <c r="AJ382" s="24">
        <f>IF(OR($C382="",$X382="Pago",$X382="Recebido",$X382="Cancelado"),0,MAX(0,TODAY()-$C382))</f>
        <v/>
      </c>
      <c r="AK382" s="24">
        <f>IF($D382="","",$D382-$B382)</f>
        <v/>
      </c>
      <c r="AL382" s="18">
        <f>IF(OR($D382="",$B382=""),"",ROUND(N($R382)*($D382-$B382),2))</f>
        <v/>
      </c>
      <c r="AM382" s="17">
        <f>IF(AND($E382="Saída",$W382&gt;0,$C382&lt;&gt;""),$C382+ROW()/1000000,"")</f>
        <v/>
      </c>
      <c r="AN382" s="17">
        <f>IF(AND($E382="Entrada",$W382&gt;0,$C382&lt;&gt;""),$C382+ROW()/1000000,"")</f>
        <v/>
      </c>
      <c r="AO382" s="9">
        <f>IF(COUNTA($B382:$R382)=0,"",IF(AND($I382&lt;&gt;"",COUNTIF(CLIENTES_NOMES,$I382)+COUNTIF(CLIENTES_FANTASIA,$I382)+COUNTIF(FORNECEDORES_NOMES,$I382)+COUNTIF(FORNECEDORES_FANTASIA,$I382)=0),"⚠ Cliente/Fornecedor não cadastrado",IF(AND($G382&lt;&gt;"",COUNTIF(SUBCATEGORIAS_PLANO,$G382)=0),"⚠ Subcategoria fora do plano de contas",IF(OR($Q382="",N($Q382)=0),"⚠ Valor previsto não informado",IF(AND(OR($X382="Pago",$X382="Recebido"),$D382=""),"⚠ Status pago/recebido sem data",IF(AND($D382&lt;&gt;"",N($R382)=0),"⚠ Data de pagamento sem valor realizado",IF(AND(N($P382)&gt;1,N($O382)&gt;N($P382)),"⚠ Nº da parcela maior que o total",IF(AND($C382&lt;&gt;"",$B382&lt;&gt;"",$C382&lt;$B382),"⚠ Vencimento anterior à competência","OK"))))))))</f>
        <v/>
      </c>
    </row>
    <row r="383">
      <c r="A383" s="14" t="inlineStr">
        <is>
          <t>L0378</t>
        </is>
      </c>
      <c r="B383" s="36" t="n">
        <v>46262</v>
      </c>
      <c r="C383" s="36" t="n">
        <v>46262</v>
      </c>
      <c r="D383" s="36" t="n">
        <v>46262</v>
      </c>
      <c r="E383" s="14" t="inlineStr">
        <is>
          <t>Entrada</t>
        </is>
      </c>
      <c r="F383" s="29" t="inlineStr">
        <is>
          <t>Receitas Financeiras</t>
        </is>
      </c>
      <c r="G383" s="29" t="inlineStr">
        <is>
          <t>Rendimentos de Aplicações Financeiras</t>
        </is>
      </c>
      <c r="H383" s="29" t="inlineStr">
        <is>
          <t>Financeiro</t>
        </is>
      </c>
      <c r="I383" s="29" t="inlineStr">
        <is>
          <t>Itaú Unibanco</t>
        </is>
      </c>
      <c r="J383" s="29" t="inlineStr">
        <is>
          <t>Rendimento de aplicação financeira — 08/2026</t>
        </is>
      </c>
      <c r="K383" s="14" t="inlineStr">
        <is>
          <t>REND-APL</t>
        </is>
      </c>
      <c r="L383" s="29" t="inlineStr">
        <is>
          <t>Itaú Unibanco — C/C 45678-9</t>
        </is>
      </c>
      <c r="M383" s="14" t="inlineStr">
        <is>
          <t>Transferência</t>
        </is>
      </c>
      <c r="N383" s="29" t="n"/>
      <c r="O383" s="13" t="n">
        <v>1</v>
      </c>
      <c r="P383" s="13" t="n">
        <v>1</v>
      </c>
      <c r="Q383" s="35" t="n">
        <v>902.65</v>
      </c>
      <c r="R383" s="35" t="n">
        <v>902.65</v>
      </c>
      <c r="S383" s="35" t="n"/>
      <c r="T383" s="35" t="n"/>
      <c r="U383" s="35" t="n"/>
      <c r="V383" s="18">
        <f>IF(COUNTA($B383:$R383)=0,"",ROUND(N($R383)+N($S383)+N($T383)-N($U383),2))</f>
        <v/>
      </c>
      <c r="W383" s="18">
        <f>IF(COUNTA($B383:$R383)=0,"",IF(OR($X383="Pago",$X383="Recebido",$X383="Cancelado"),0,ROUND(N($Q383)+N($S383)+N($T383)-N($U383)-N($R383),2)))</f>
        <v/>
      </c>
      <c r="X383" s="14" t="inlineStr">
        <is>
          <t>Recebido</t>
        </is>
      </c>
      <c r="Y383" s="17">
        <f>IF(COUNTA($B383:$R383)=0,"",IF($X383="Cancelado","Cancelado",IF(OR($X383="Pago",$X383="Recebido"),$X383,IF(OR($X383="Parcial",N($R383)&gt;0),"Parcial",IF($C383="","Sem vencimento",IF($C383&lt;TODAY(),"Vencido",IF($C383=TODAY(),"Vence hoje",IF($C383&lt;=TODAY()+7,"Vence em 7 dias",IF($C383&lt;=TODAY()+30,"Vence em 30 dias","Futuro")))))))))</f>
        <v/>
      </c>
      <c r="Z383" s="24">
        <f>IF($B383="","",MONTH($B383))</f>
        <v/>
      </c>
      <c r="AA383" s="24">
        <f>IF($B383="","",YEAR($B383))</f>
        <v/>
      </c>
      <c r="AB383" s="24">
        <f>IF($B383="","",ISOWEEKNUM($B383))</f>
        <v/>
      </c>
      <c r="AC383" s="17">
        <f>IF($B383="","",CHOOSE(WEEKDAY($B383,2),"Segunda","Terça","Quarta","Quinta","Sexta","Sábado","Domingo"))</f>
        <v/>
      </c>
      <c r="AD383" s="17">
        <f>IF($B383="","",TEXT($B383,"MM/AAAA"))</f>
        <v/>
      </c>
      <c r="AE383" s="18">
        <f>IF(COUNTA($B383:$R383)=0,"",IF($X383="Cancelado",0,ROUND(N($Q383)+N($S383)+N($T383)-N($U383),2)))</f>
        <v/>
      </c>
      <c r="AF383" s="9">
        <f>IF($G383="","",IFERROR(INDEX(LINHAS_DRE_PLANO,MATCH($G383,SUBCATEGORIAS_PLANO,0)),"Não classificado"))</f>
        <v/>
      </c>
      <c r="AG383" s="17">
        <f>IF($G383="","",IFERROR(INDEX(TIPOS_FLUXO_PLANO,MATCH($G383,SUBCATEGORIAS_PLANO,0)),"Não classificado"))</f>
        <v/>
      </c>
      <c r="AH383" s="9">
        <f>IF($G383="","",IFERROR(INDEX(GRUPOS_PLANO,MATCH($G383,SUBCATEGORIAS_PLANO,0)),"Não classificado"))</f>
        <v/>
      </c>
      <c r="AI383" s="24">
        <f>IF(OR($C383="",$X383="Pago",$X383="Recebido",$X383="Cancelado"),"",$C383-TODAY())</f>
        <v/>
      </c>
      <c r="AJ383" s="24">
        <f>IF(OR($C383="",$X383="Pago",$X383="Recebido",$X383="Cancelado"),0,MAX(0,TODAY()-$C383))</f>
        <v/>
      </c>
      <c r="AK383" s="24">
        <f>IF($D383="","",$D383-$B383)</f>
        <v/>
      </c>
      <c r="AL383" s="18">
        <f>IF(OR($D383="",$B383=""),"",ROUND(N($R383)*($D383-$B383),2))</f>
        <v/>
      </c>
      <c r="AM383" s="17">
        <f>IF(AND($E383="Saída",$W383&gt;0,$C383&lt;&gt;""),$C383+ROW()/1000000,"")</f>
        <v/>
      </c>
      <c r="AN383" s="17">
        <f>IF(AND($E383="Entrada",$W383&gt;0,$C383&lt;&gt;""),$C383+ROW()/1000000,"")</f>
        <v/>
      </c>
      <c r="AO383" s="9">
        <f>IF(COUNTA($B383:$R383)=0,"",IF(AND($I383&lt;&gt;"",COUNTIF(CLIENTES_NOMES,$I383)+COUNTIF(CLIENTES_FANTASIA,$I383)+COUNTIF(FORNECEDORES_NOMES,$I383)+COUNTIF(FORNECEDORES_FANTASIA,$I383)=0),"⚠ Cliente/Fornecedor não cadastrado",IF(AND($G383&lt;&gt;"",COUNTIF(SUBCATEGORIAS_PLANO,$G383)=0),"⚠ Subcategoria fora do plano de contas",IF(OR($Q383="",N($Q383)=0),"⚠ Valor previsto não informado",IF(AND(OR($X383="Pago",$X383="Recebido"),$D383=""),"⚠ Status pago/recebido sem data",IF(AND($D383&lt;&gt;"",N($R383)=0),"⚠ Data de pagamento sem valor realizado",IF(AND(N($P383)&gt;1,N($O383)&gt;N($P383)),"⚠ Nº da parcela maior que o total",IF(AND($C383&lt;&gt;"",$B383&lt;&gt;"",$C383&lt;$B383),"⚠ Vencimento anterior à competência","OK"))))))))</f>
        <v/>
      </c>
    </row>
    <row r="384">
      <c r="A384" s="14" t="inlineStr">
        <is>
          <t>L0379</t>
        </is>
      </c>
      <c r="B384" s="36" t="n">
        <v>46262</v>
      </c>
      <c r="C384" s="36" t="n">
        <v>46267</v>
      </c>
      <c r="D384" s="36" t="n">
        <v>46267</v>
      </c>
      <c r="E384" s="14" t="inlineStr">
        <is>
          <t>Saída</t>
        </is>
      </c>
      <c r="F384" s="29" t="inlineStr">
        <is>
          <t>Custos Variáveis</t>
        </is>
      </c>
      <c r="G384" s="29" t="inlineStr">
        <is>
          <t>Comissões sobre Vendas</t>
        </is>
      </c>
      <c r="H384" s="29" t="inlineStr">
        <is>
          <t>Comercial</t>
        </is>
      </c>
      <c r="I384" s="29" t="inlineStr">
        <is>
          <t>EQUIPE COMERCIAL — COMISSÕES</t>
        </is>
      </c>
      <c r="J384" s="29" t="inlineStr">
        <is>
          <t>Comissões sobre vendas do período</t>
        </is>
      </c>
      <c r="K384" s="14" t="inlineStr">
        <is>
          <t>DOC 7225</t>
        </is>
      </c>
      <c r="L384" s="29" t="inlineStr">
        <is>
          <t>Itaú Unibanco — C/C 45678-9</t>
        </is>
      </c>
      <c r="M384" s="14" t="inlineStr">
        <is>
          <t>Transferência</t>
        </is>
      </c>
      <c r="N384" s="29" t="n"/>
      <c r="O384" s="13" t="n">
        <v>1</v>
      </c>
      <c r="P384" s="13" t="n">
        <v>1</v>
      </c>
      <c r="Q384" s="35" t="n">
        <v>3546.06</v>
      </c>
      <c r="R384" s="35" t="n">
        <v>3546.06</v>
      </c>
      <c r="S384" s="35" t="n"/>
      <c r="T384" s="35" t="n"/>
      <c r="U384" s="35" t="n"/>
      <c r="V384" s="18">
        <f>IF(COUNTA($B384:$R384)=0,"",ROUND(N($R384)+N($S384)+N($T384)-N($U384),2))</f>
        <v/>
      </c>
      <c r="W384" s="18">
        <f>IF(COUNTA($B384:$R384)=0,"",IF(OR($X384="Pago",$X384="Recebido",$X384="Cancelado"),0,ROUND(N($Q384)+N($S384)+N($T384)-N($U384)-N($R384),2)))</f>
        <v/>
      </c>
      <c r="X384" s="14" t="inlineStr">
        <is>
          <t>Pago</t>
        </is>
      </c>
      <c r="Y384" s="17">
        <f>IF(COUNTA($B384:$R384)=0,"",IF($X384="Cancelado","Cancelado",IF(OR($X384="Pago",$X384="Recebido"),$X384,IF(OR($X384="Parcial",N($R384)&gt;0),"Parcial",IF($C384="","Sem vencimento",IF($C384&lt;TODAY(),"Vencido",IF($C384=TODAY(),"Vence hoje",IF($C384&lt;=TODAY()+7,"Vence em 7 dias",IF($C384&lt;=TODAY()+30,"Vence em 30 dias","Futuro")))))))))</f>
        <v/>
      </c>
      <c r="Z384" s="24">
        <f>IF($B384="","",MONTH($B384))</f>
        <v/>
      </c>
      <c r="AA384" s="24">
        <f>IF($B384="","",YEAR($B384))</f>
        <v/>
      </c>
      <c r="AB384" s="24">
        <f>IF($B384="","",ISOWEEKNUM($B384))</f>
        <v/>
      </c>
      <c r="AC384" s="17">
        <f>IF($B384="","",CHOOSE(WEEKDAY($B384,2),"Segunda","Terça","Quarta","Quinta","Sexta","Sábado","Domingo"))</f>
        <v/>
      </c>
      <c r="AD384" s="17">
        <f>IF($B384="","",TEXT($B384,"MM/AAAA"))</f>
        <v/>
      </c>
      <c r="AE384" s="18">
        <f>IF(COUNTA($B384:$R384)=0,"",IF($X384="Cancelado",0,ROUND(N($Q384)+N($S384)+N($T384)-N($U384),2)))</f>
        <v/>
      </c>
      <c r="AF384" s="9">
        <f>IF($G384="","",IFERROR(INDEX(LINHAS_DRE_PLANO,MATCH($G384,SUBCATEGORIAS_PLANO,0)),"Não classificado"))</f>
        <v/>
      </c>
      <c r="AG384" s="17">
        <f>IF($G384="","",IFERROR(INDEX(TIPOS_FLUXO_PLANO,MATCH($G384,SUBCATEGORIAS_PLANO,0)),"Não classificado"))</f>
        <v/>
      </c>
      <c r="AH384" s="9">
        <f>IF($G384="","",IFERROR(INDEX(GRUPOS_PLANO,MATCH($G384,SUBCATEGORIAS_PLANO,0)),"Não classificado"))</f>
        <v/>
      </c>
      <c r="AI384" s="24">
        <f>IF(OR($C384="",$X384="Pago",$X384="Recebido",$X384="Cancelado"),"",$C384-TODAY())</f>
        <v/>
      </c>
      <c r="AJ384" s="24">
        <f>IF(OR($C384="",$X384="Pago",$X384="Recebido",$X384="Cancelado"),0,MAX(0,TODAY()-$C384))</f>
        <v/>
      </c>
      <c r="AK384" s="24">
        <f>IF($D384="","",$D384-$B384)</f>
        <v/>
      </c>
      <c r="AL384" s="18">
        <f>IF(OR($D384="",$B384=""),"",ROUND(N($R384)*($D384-$B384),2))</f>
        <v/>
      </c>
      <c r="AM384" s="17">
        <f>IF(AND($E384="Saída",$W384&gt;0,$C384&lt;&gt;""),$C384+ROW()/1000000,"")</f>
        <v/>
      </c>
      <c r="AN384" s="17">
        <f>IF(AND($E384="Entrada",$W384&gt;0,$C384&lt;&gt;""),$C384+ROW()/1000000,"")</f>
        <v/>
      </c>
      <c r="AO384" s="9">
        <f>IF(COUNTA($B384:$R384)=0,"",IF(AND($I384&lt;&gt;"",COUNTIF(CLIENTES_NOMES,$I384)+COUNTIF(CLIENTES_FANTASIA,$I384)+COUNTIF(FORNECEDORES_NOMES,$I384)+COUNTIF(FORNECEDORES_FANTASIA,$I384)=0),"⚠ Cliente/Fornecedor não cadastrado",IF(AND($G384&lt;&gt;"",COUNTIF(SUBCATEGORIAS_PLANO,$G384)=0),"⚠ Subcategoria fora do plano de contas",IF(OR($Q384="",N($Q384)=0),"⚠ Valor previsto não informado",IF(AND(OR($X384="Pago",$X384="Recebido"),$D384=""),"⚠ Status pago/recebido sem data",IF(AND($D384&lt;&gt;"",N($R384)=0),"⚠ Data de pagamento sem valor realizado",IF(AND(N($P384)&gt;1,N($O384)&gt;N($P384)),"⚠ Nº da parcela maior que o total",IF(AND($C384&lt;&gt;"",$B384&lt;&gt;"",$C384&lt;$B384),"⚠ Vencimento anterior à competência","OK"))))))))</f>
        <v/>
      </c>
    </row>
    <row r="385">
      <c r="A385" s="14" t="inlineStr">
        <is>
          <t>L0380</t>
        </is>
      </c>
      <c r="B385" s="36" t="n">
        <v>46262</v>
      </c>
      <c r="C385" s="36" t="n">
        <v>46272</v>
      </c>
      <c r="D385" s="36" t="n">
        <v>46275</v>
      </c>
      <c r="E385" s="14" t="inlineStr">
        <is>
          <t>Saída</t>
        </is>
      </c>
      <c r="F385" s="29" t="inlineStr">
        <is>
          <t>Custos Variáveis</t>
        </is>
      </c>
      <c r="G385" s="29" t="inlineStr">
        <is>
          <t>Taxas de Marketplace</t>
        </is>
      </c>
      <c r="H385" s="29" t="inlineStr">
        <is>
          <t>Comercial</t>
        </is>
      </c>
      <c r="I385" s="29" t="inlineStr">
        <is>
          <t>MARKETPLACE FOODB2B LTDA</t>
        </is>
      </c>
      <c r="J385" s="29" t="inlineStr">
        <is>
          <t>Taxas de intermediação do marketplace</t>
        </is>
      </c>
      <c r="K385" s="14" t="inlineStr">
        <is>
          <t>DOC 7226</t>
        </is>
      </c>
      <c r="L385" s="29" t="inlineStr">
        <is>
          <t>Banco do Brasil — C/C 12345-6</t>
        </is>
      </c>
      <c r="M385" s="14" t="inlineStr">
        <is>
          <t>PIX</t>
        </is>
      </c>
      <c r="N385" s="29" t="n"/>
      <c r="O385" s="13" t="n">
        <v>1</v>
      </c>
      <c r="P385" s="13" t="n">
        <v>1</v>
      </c>
      <c r="Q385" s="35" t="n">
        <v>1950.87</v>
      </c>
      <c r="R385" s="35" t="n">
        <v>1950.87</v>
      </c>
      <c r="S385" s="35" t="n"/>
      <c r="T385" s="35" t="n"/>
      <c r="U385" s="35" t="n"/>
      <c r="V385" s="18">
        <f>IF(COUNTA($B385:$R385)=0,"",ROUND(N($R385)+N($S385)+N($T385)-N($U385),2))</f>
        <v/>
      </c>
      <c r="W385" s="18">
        <f>IF(COUNTA($B385:$R385)=0,"",IF(OR($X385="Pago",$X385="Recebido",$X385="Cancelado"),0,ROUND(N($Q385)+N($S385)+N($T385)-N($U385)-N($R385),2)))</f>
        <v/>
      </c>
      <c r="X385" s="14" t="inlineStr">
        <is>
          <t>Pago</t>
        </is>
      </c>
      <c r="Y385" s="17">
        <f>IF(COUNTA($B385:$R385)=0,"",IF($X385="Cancelado","Cancelado",IF(OR($X385="Pago",$X385="Recebido"),$X385,IF(OR($X385="Parcial",N($R385)&gt;0),"Parcial",IF($C385="","Sem vencimento",IF($C385&lt;TODAY(),"Vencido",IF($C385=TODAY(),"Vence hoje",IF($C385&lt;=TODAY()+7,"Vence em 7 dias",IF($C385&lt;=TODAY()+30,"Vence em 30 dias","Futuro")))))))))</f>
        <v/>
      </c>
      <c r="Z385" s="24">
        <f>IF($B385="","",MONTH($B385))</f>
        <v/>
      </c>
      <c r="AA385" s="24">
        <f>IF($B385="","",YEAR($B385))</f>
        <v/>
      </c>
      <c r="AB385" s="24">
        <f>IF($B385="","",ISOWEEKNUM($B385))</f>
        <v/>
      </c>
      <c r="AC385" s="17">
        <f>IF($B385="","",CHOOSE(WEEKDAY($B385,2),"Segunda","Terça","Quarta","Quinta","Sexta","Sábado","Domingo"))</f>
        <v/>
      </c>
      <c r="AD385" s="17">
        <f>IF($B385="","",TEXT($B385,"MM/AAAA"))</f>
        <v/>
      </c>
      <c r="AE385" s="18">
        <f>IF(COUNTA($B385:$R385)=0,"",IF($X385="Cancelado",0,ROUND(N($Q385)+N($S385)+N($T385)-N($U385),2)))</f>
        <v/>
      </c>
      <c r="AF385" s="9">
        <f>IF($G385="","",IFERROR(INDEX(LINHAS_DRE_PLANO,MATCH($G385,SUBCATEGORIAS_PLANO,0)),"Não classificado"))</f>
        <v/>
      </c>
      <c r="AG385" s="17">
        <f>IF($G385="","",IFERROR(INDEX(TIPOS_FLUXO_PLANO,MATCH($G385,SUBCATEGORIAS_PLANO,0)),"Não classificado"))</f>
        <v/>
      </c>
      <c r="AH385" s="9">
        <f>IF($G385="","",IFERROR(INDEX(GRUPOS_PLANO,MATCH($G385,SUBCATEGORIAS_PLANO,0)),"Não classificado"))</f>
        <v/>
      </c>
      <c r="AI385" s="24">
        <f>IF(OR($C385="",$X385="Pago",$X385="Recebido",$X385="Cancelado"),"",$C385-TODAY())</f>
        <v/>
      </c>
      <c r="AJ385" s="24">
        <f>IF(OR($C385="",$X385="Pago",$X385="Recebido",$X385="Cancelado"),0,MAX(0,TODAY()-$C385))</f>
        <v/>
      </c>
      <c r="AK385" s="24">
        <f>IF($D385="","",$D385-$B385)</f>
        <v/>
      </c>
      <c r="AL385" s="18">
        <f>IF(OR($D385="",$B385=""),"",ROUND(N($R385)*($D385-$B385),2))</f>
        <v/>
      </c>
      <c r="AM385" s="17">
        <f>IF(AND($E385="Saída",$W385&gt;0,$C385&lt;&gt;""),$C385+ROW()/1000000,"")</f>
        <v/>
      </c>
      <c r="AN385" s="17">
        <f>IF(AND($E385="Entrada",$W385&gt;0,$C385&lt;&gt;""),$C385+ROW()/1000000,"")</f>
        <v/>
      </c>
      <c r="AO385" s="9">
        <f>IF(COUNTA($B385:$R385)=0,"",IF(AND($I385&lt;&gt;"",COUNTIF(CLIENTES_NOMES,$I385)+COUNTIF(CLIENTES_FANTASIA,$I385)+COUNTIF(FORNECEDORES_NOMES,$I385)+COUNTIF(FORNECEDORES_FANTASIA,$I385)=0),"⚠ Cliente/Fornecedor não cadastrado",IF(AND($G385&lt;&gt;"",COUNTIF(SUBCATEGORIAS_PLANO,$G385)=0),"⚠ Subcategoria fora do plano de contas",IF(OR($Q385="",N($Q385)=0),"⚠ Valor previsto não informado",IF(AND(OR($X385="Pago",$X385="Recebido"),$D385=""),"⚠ Status pago/recebido sem data",IF(AND($D385&lt;&gt;"",N($R385)=0),"⚠ Data de pagamento sem valor realizado",IF(AND(N($P385)&gt;1,N($O385)&gt;N($P385)),"⚠ Nº da parcela maior que o total",IF(AND($C385&lt;&gt;"",$B385&lt;&gt;"",$C385&lt;$B385),"⚠ Vencimento anterior à competência","OK"))))))))</f>
        <v/>
      </c>
    </row>
    <row r="386">
      <c r="A386" s="14" t="inlineStr">
        <is>
          <t>L0381</t>
        </is>
      </c>
      <c r="B386" s="36" t="n">
        <v>46262</v>
      </c>
      <c r="C386" s="36" t="n">
        <v>46267</v>
      </c>
      <c r="D386" s="36" t="n">
        <v>46268</v>
      </c>
      <c r="E386" s="14" t="inlineStr">
        <is>
          <t>Saída</t>
        </is>
      </c>
      <c r="F386" s="29" t="inlineStr">
        <is>
          <t>Custos Variáveis</t>
        </is>
      </c>
      <c r="G386" s="29" t="inlineStr">
        <is>
          <t>Taxas de Cartão e Maquininha</t>
        </is>
      </c>
      <c r="H386" s="29" t="inlineStr">
        <is>
          <t>Financeiro</t>
        </is>
      </c>
      <c r="I386" s="29" t="inlineStr">
        <is>
          <t>CIELO S.A. — INSTITUIÇÃO DE PAGAMENTO</t>
        </is>
      </c>
      <c r="J386" s="29" t="inlineStr">
        <is>
          <t>Taxas de cartão e antecipação de recebíveis</t>
        </is>
      </c>
      <c r="K386" s="14" t="inlineStr">
        <is>
          <t>DOC 7227</t>
        </is>
      </c>
      <c r="L386" s="29" t="inlineStr">
        <is>
          <t>Itaú Unibanco — C/C 45678-9</t>
        </is>
      </c>
      <c r="M386" s="14" t="inlineStr">
        <is>
          <t>Transferência</t>
        </is>
      </c>
      <c r="N386" s="29" t="n"/>
      <c r="O386" s="13" t="n">
        <v>1</v>
      </c>
      <c r="P386" s="13" t="n">
        <v>1</v>
      </c>
      <c r="Q386" s="35" t="n">
        <v>2868.87</v>
      </c>
      <c r="R386" s="35" t="n">
        <v>2868.87</v>
      </c>
      <c r="S386" s="35" t="n"/>
      <c r="T386" s="35" t="n"/>
      <c r="U386" s="35" t="n"/>
      <c r="V386" s="18">
        <f>IF(COUNTA($B386:$R386)=0,"",ROUND(N($R386)+N($S386)+N($T386)-N($U386),2))</f>
        <v/>
      </c>
      <c r="W386" s="18">
        <f>IF(COUNTA($B386:$R386)=0,"",IF(OR($X386="Pago",$X386="Recebido",$X386="Cancelado"),0,ROUND(N($Q386)+N($S386)+N($T386)-N($U386)-N($R386),2)))</f>
        <v/>
      </c>
      <c r="X386" s="14" t="inlineStr">
        <is>
          <t>Pago</t>
        </is>
      </c>
      <c r="Y386" s="17">
        <f>IF(COUNTA($B386:$R386)=0,"",IF($X386="Cancelado","Cancelado",IF(OR($X386="Pago",$X386="Recebido"),$X386,IF(OR($X386="Parcial",N($R386)&gt;0),"Parcial",IF($C386="","Sem vencimento",IF($C386&lt;TODAY(),"Vencido",IF($C386=TODAY(),"Vence hoje",IF($C386&lt;=TODAY()+7,"Vence em 7 dias",IF($C386&lt;=TODAY()+30,"Vence em 30 dias","Futuro")))))))))</f>
        <v/>
      </c>
      <c r="Z386" s="24">
        <f>IF($B386="","",MONTH($B386))</f>
        <v/>
      </c>
      <c r="AA386" s="24">
        <f>IF($B386="","",YEAR($B386))</f>
        <v/>
      </c>
      <c r="AB386" s="24">
        <f>IF($B386="","",ISOWEEKNUM($B386))</f>
        <v/>
      </c>
      <c r="AC386" s="17">
        <f>IF($B386="","",CHOOSE(WEEKDAY($B386,2),"Segunda","Terça","Quarta","Quinta","Sexta","Sábado","Domingo"))</f>
        <v/>
      </c>
      <c r="AD386" s="17">
        <f>IF($B386="","",TEXT($B386,"MM/AAAA"))</f>
        <v/>
      </c>
      <c r="AE386" s="18">
        <f>IF(COUNTA($B386:$R386)=0,"",IF($X386="Cancelado",0,ROUND(N($Q386)+N($S386)+N($T386)-N($U386),2)))</f>
        <v/>
      </c>
      <c r="AF386" s="9">
        <f>IF($G386="","",IFERROR(INDEX(LINHAS_DRE_PLANO,MATCH($G386,SUBCATEGORIAS_PLANO,0)),"Não classificado"))</f>
        <v/>
      </c>
      <c r="AG386" s="17">
        <f>IF($G386="","",IFERROR(INDEX(TIPOS_FLUXO_PLANO,MATCH($G386,SUBCATEGORIAS_PLANO,0)),"Não classificado"))</f>
        <v/>
      </c>
      <c r="AH386" s="9">
        <f>IF($G386="","",IFERROR(INDEX(GRUPOS_PLANO,MATCH($G386,SUBCATEGORIAS_PLANO,0)),"Não classificado"))</f>
        <v/>
      </c>
      <c r="AI386" s="24">
        <f>IF(OR($C386="",$X386="Pago",$X386="Recebido",$X386="Cancelado"),"",$C386-TODAY())</f>
        <v/>
      </c>
      <c r="AJ386" s="24">
        <f>IF(OR($C386="",$X386="Pago",$X386="Recebido",$X386="Cancelado"),0,MAX(0,TODAY()-$C386))</f>
        <v/>
      </c>
      <c r="AK386" s="24">
        <f>IF($D386="","",$D386-$B386)</f>
        <v/>
      </c>
      <c r="AL386" s="18">
        <f>IF(OR($D386="",$B386=""),"",ROUND(N($R386)*($D386-$B386),2))</f>
        <v/>
      </c>
      <c r="AM386" s="17">
        <f>IF(AND($E386="Saída",$W386&gt;0,$C386&lt;&gt;""),$C386+ROW()/1000000,"")</f>
        <v/>
      </c>
      <c r="AN386" s="17">
        <f>IF(AND($E386="Entrada",$W386&gt;0,$C386&lt;&gt;""),$C386+ROW()/1000000,"")</f>
        <v/>
      </c>
      <c r="AO386" s="9">
        <f>IF(COUNTA($B386:$R386)=0,"",IF(AND($I386&lt;&gt;"",COUNTIF(CLIENTES_NOMES,$I386)+COUNTIF(CLIENTES_FANTASIA,$I386)+COUNTIF(FORNECEDORES_NOMES,$I386)+COUNTIF(FORNECEDORES_FANTASIA,$I386)=0),"⚠ Cliente/Fornecedor não cadastrado",IF(AND($G386&lt;&gt;"",COUNTIF(SUBCATEGORIAS_PLANO,$G386)=0),"⚠ Subcategoria fora do plano de contas",IF(OR($Q386="",N($Q386)=0),"⚠ Valor previsto não informado",IF(AND(OR($X386="Pago",$X386="Recebido"),$D386=""),"⚠ Status pago/recebido sem data",IF(AND($D386&lt;&gt;"",N($R386)=0),"⚠ Data de pagamento sem valor realizado",IF(AND(N($P386)&gt;1,N($O386)&gt;N($P386)),"⚠ Nº da parcela maior que o total",IF(AND($C386&lt;&gt;"",$B386&lt;&gt;"",$C386&lt;$B386),"⚠ Vencimento anterior à competência","OK"))))))))</f>
        <v/>
      </c>
    </row>
    <row r="387">
      <c r="A387" s="14" t="inlineStr">
        <is>
          <t>L0382</t>
        </is>
      </c>
      <c r="B387" s="36" t="n">
        <v>46262</v>
      </c>
      <c r="C387" s="36" t="n">
        <v>46262</v>
      </c>
      <c r="D387" s="36" t="n">
        <v>46265</v>
      </c>
      <c r="E387" s="14" t="inlineStr">
        <is>
          <t>Saída</t>
        </is>
      </c>
      <c r="F387" s="29" t="inlineStr">
        <is>
          <t>Despesas Financeiras</t>
        </is>
      </c>
      <c r="G387" s="29" t="inlineStr">
        <is>
          <t>Tarifas Bancárias</t>
        </is>
      </c>
      <c r="H387" s="29" t="inlineStr">
        <is>
          <t>Financeiro</t>
        </is>
      </c>
      <c r="I387" s="29" t="inlineStr">
        <is>
          <t>CONTABILIDADE AURORA ASSESSORIA CONTÁBIL LTDA</t>
        </is>
      </c>
      <c r="J387" s="29" t="inlineStr">
        <is>
          <t>Tarifas e pacote de serviços bancários</t>
        </is>
      </c>
      <c r="K387" s="14" t="inlineStr">
        <is>
          <t>DOC 8396</t>
        </is>
      </c>
      <c r="L387" s="29" t="inlineStr">
        <is>
          <t>Itaú Unibanco — C/C 45678-9</t>
        </is>
      </c>
      <c r="M387" s="14" t="inlineStr">
        <is>
          <t>Transferência</t>
        </is>
      </c>
      <c r="N387" s="29" t="n"/>
      <c r="O387" s="13" t="n">
        <v>1</v>
      </c>
      <c r="P387" s="13" t="n">
        <v>1</v>
      </c>
      <c r="Q387" s="35" t="n">
        <v>190</v>
      </c>
      <c r="R387" s="35" t="n">
        <v>190</v>
      </c>
      <c r="S387" s="35" t="n"/>
      <c r="T387" s="35" t="n"/>
      <c r="U387" s="35" t="n"/>
      <c r="V387" s="18">
        <f>IF(COUNTA($B387:$R387)=0,"",ROUND(N($R387)+N($S387)+N($T387)-N($U387),2))</f>
        <v/>
      </c>
      <c r="W387" s="18">
        <f>IF(COUNTA($B387:$R387)=0,"",IF(OR($X387="Pago",$X387="Recebido",$X387="Cancelado"),0,ROUND(N($Q387)+N($S387)+N($T387)-N($U387)-N($R387),2)))</f>
        <v/>
      </c>
      <c r="X387" s="14" t="inlineStr">
        <is>
          <t>Pago</t>
        </is>
      </c>
      <c r="Y387" s="17">
        <f>IF(COUNTA($B387:$R387)=0,"",IF($X387="Cancelado","Cancelado",IF(OR($X387="Pago",$X387="Recebido"),$X387,IF(OR($X387="Parcial",N($R387)&gt;0),"Parcial",IF($C387="","Sem vencimento",IF($C387&lt;TODAY(),"Vencido",IF($C387=TODAY(),"Vence hoje",IF($C387&lt;=TODAY()+7,"Vence em 7 dias",IF($C387&lt;=TODAY()+30,"Vence em 30 dias","Futuro")))))))))</f>
        <v/>
      </c>
      <c r="Z387" s="24">
        <f>IF($B387="","",MONTH($B387))</f>
        <v/>
      </c>
      <c r="AA387" s="24">
        <f>IF($B387="","",YEAR($B387))</f>
        <v/>
      </c>
      <c r="AB387" s="24">
        <f>IF($B387="","",ISOWEEKNUM($B387))</f>
        <v/>
      </c>
      <c r="AC387" s="17">
        <f>IF($B387="","",CHOOSE(WEEKDAY($B387,2),"Segunda","Terça","Quarta","Quinta","Sexta","Sábado","Domingo"))</f>
        <v/>
      </c>
      <c r="AD387" s="17">
        <f>IF($B387="","",TEXT($B387,"MM/AAAA"))</f>
        <v/>
      </c>
      <c r="AE387" s="18">
        <f>IF(COUNTA($B387:$R387)=0,"",IF($X387="Cancelado",0,ROUND(N($Q387)+N($S387)+N($T387)-N($U387),2)))</f>
        <v/>
      </c>
      <c r="AF387" s="9">
        <f>IF($G387="","",IFERROR(INDEX(LINHAS_DRE_PLANO,MATCH($G387,SUBCATEGORIAS_PLANO,0)),"Não classificado"))</f>
        <v/>
      </c>
      <c r="AG387" s="17">
        <f>IF($G387="","",IFERROR(INDEX(TIPOS_FLUXO_PLANO,MATCH($G387,SUBCATEGORIAS_PLANO,0)),"Não classificado"))</f>
        <v/>
      </c>
      <c r="AH387" s="9">
        <f>IF($G387="","",IFERROR(INDEX(GRUPOS_PLANO,MATCH($G387,SUBCATEGORIAS_PLANO,0)),"Não classificado"))</f>
        <v/>
      </c>
      <c r="AI387" s="24">
        <f>IF(OR($C387="",$X387="Pago",$X387="Recebido",$X387="Cancelado"),"",$C387-TODAY())</f>
        <v/>
      </c>
      <c r="AJ387" s="24">
        <f>IF(OR($C387="",$X387="Pago",$X387="Recebido",$X387="Cancelado"),0,MAX(0,TODAY()-$C387))</f>
        <v/>
      </c>
      <c r="AK387" s="24">
        <f>IF($D387="","",$D387-$B387)</f>
        <v/>
      </c>
      <c r="AL387" s="18">
        <f>IF(OR($D387="",$B387=""),"",ROUND(N($R387)*($D387-$B387),2))</f>
        <v/>
      </c>
      <c r="AM387" s="17">
        <f>IF(AND($E387="Saída",$W387&gt;0,$C387&lt;&gt;""),$C387+ROW()/1000000,"")</f>
        <v/>
      </c>
      <c r="AN387" s="17">
        <f>IF(AND($E387="Entrada",$W387&gt;0,$C387&lt;&gt;""),$C387+ROW()/1000000,"")</f>
        <v/>
      </c>
      <c r="AO387" s="9">
        <f>IF(COUNTA($B387:$R387)=0,"",IF(AND($I387&lt;&gt;"",COUNTIF(CLIENTES_NOMES,$I387)+COUNTIF(CLIENTES_FANTASIA,$I387)+COUNTIF(FORNECEDORES_NOMES,$I387)+COUNTIF(FORNECEDORES_FANTASIA,$I387)=0),"⚠ Cliente/Fornecedor não cadastrado",IF(AND($G387&lt;&gt;"",COUNTIF(SUBCATEGORIAS_PLANO,$G387)=0),"⚠ Subcategoria fora do plano de contas",IF(OR($Q387="",N($Q387)=0),"⚠ Valor previsto não informado",IF(AND(OR($X387="Pago",$X387="Recebido"),$D387=""),"⚠ Status pago/recebido sem data",IF(AND($D387&lt;&gt;"",N($R387)=0),"⚠ Data de pagamento sem valor realizado",IF(AND(N($P387)&gt;1,N($O387)&gt;N($P387)),"⚠ Nº da parcela maior que o total",IF(AND($C387&lt;&gt;"",$B387&lt;&gt;"",$C387&lt;$B387),"⚠ Vencimento anterior à competência","OK"))))))))</f>
        <v/>
      </c>
    </row>
    <row r="388">
      <c r="A388" s="14" t="inlineStr">
        <is>
          <t>L0383</t>
        </is>
      </c>
      <c r="B388" s="36" t="n">
        <v>46266</v>
      </c>
      <c r="C388" s="36" t="n">
        <v>46278</v>
      </c>
      <c r="D388" s="36" t="n"/>
      <c r="E388" s="14" t="inlineStr">
        <is>
          <t>Saída</t>
        </is>
      </c>
      <c r="F388" s="29" t="inlineStr">
        <is>
          <t>Custos Variáveis</t>
        </is>
      </c>
      <c r="G388" s="29" t="inlineStr">
        <is>
          <t>Embalagens</t>
        </is>
      </c>
      <c r="H388" s="29" t="inlineStr">
        <is>
          <t>Logística</t>
        </is>
      </c>
      <c r="I388" s="29" t="inlineStr">
        <is>
          <t>EMBALAGENS PAULISTA LTDA</t>
        </is>
      </c>
      <c r="J388" s="29" t="inlineStr">
        <is>
          <t>Compra de embalagens — NF 6210 (VENCIDA, em aberto)</t>
        </is>
      </c>
      <c r="K388" s="14" t="inlineStr">
        <is>
          <t>NF 6210</t>
        </is>
      </c>
      <c r="L388" s="29" t="inlineStr">
        <is>
          <t>Banco do Brasil — C/C 12345-6</t>
        </is>
      </c>
      <c r="M388" s="14" t="inlineStr">
        <is>
          <t>Boleto</t>
        </is>
      </c>
      <c r="N388" s="29" t="n"/>
      <c r="O388" s="13" t="n">
        <v>1</v>
      </c>
      <c r="P388" s="13" t="n">
        <v>1</v>
      </c>
      <c r="Q388" s="35" t="n">
        <v>3180</v>
      </c>
      <c r="R388" s="35" t="n"/>
      <c r="S388" s="35" t="n"/>
      <c r="T388" s="35" t="n"/>
      <c r="U388" s="35" t="n"/>
      <c r="V388" s="18">
        <f>IF(COUNTA($B388:$R388)=0,"",ROUND(N($R388)+N($S388)+N($T388)-N($U388),2))</f>
        <v/>
      </c>
      <c r="W388" s="18">
        <f>IF(COUNTA($B388:$R388)=0,"",IF(OR($X388="Pago",$X388="Recebido",$X388="Cancelado"),0,ROUND(N($Q388)+N($S388)+N($T388)-N($U388)-N($R388),2)))</f>
        <v/>
      </c>
      <c r="X388" s="14" t="inlineStr">
        <is>
          <t>Previsto</t>
        </is>
      </c>
      <c r="Y388" s="17">
        <f>IF(COUNTA($B388:$R388)=0,"",IF($X388="Cancelado","Cancelado",IF(OR($X388="Pago",$X388="Recebido"),$X388,IF(OR($X388="Parcial",N($R388)&gt;0),"Parcial",IF($C388="","Sem vencimento",IF($C388&lt;TODAY(),"Vencido",IF($C388=TODAY(),"Vence hoje",IF($C388&lt;=TODAY()+7,"Vence em 7 dias",IF($C388&lt;=TODAY()+30,"Vence em 30 dias","Futuro")))))))))</f>
        <v/>
      </c>
      <c r="Z388" s="24">
        <f>IF($B388="","",MONTH($B388))</f>
        <v/>
      </c>
      <c r="AA388" s="24">
        <f>IF($B388="","",YEAR($B388))</f>
        <v/>
      </c>
      <c r="AB388" s="24">
        <f>IF($B388="","",ISOWEEKNUM($B388))</f>
        <v/>
      </c>
      <c r="AC388" s="17">
        <f>IF($B388="","",CHOOSE(WEEKDAY($B388,2),"Segunda","Terça","Quarta","Quinta","Sexta","Sábado","Domingo"))</f>
        <v/>
      </c>
      <c r="AD388" s="17">
        <f>IF($B388="","",TEXT($B388,"MM/AAAA"))</f>
        <v/>
      </c>
      <c r="AE388" s="18">
        <f>IF(COUNTA($B388:$R388)=0,"",IF($X388="Cancelado",0,ROUND(N($Q388)+N($S388)+N($T388)-N($U388),2)))</f>
        <v/>
      </c>
      <c r="AF388" s="9">
        <f>IF($G388="","",IFERROR(INDEX(LINHAS_DRE_PLANO,MATCH($G388,SUBCATEGORIAS_PLANO,0)),"Não classificado"))</f>
        <v/>
      </c>
      <c r="AG388" s="17">
        <f>IF($G388="","",IFERROR(INDEX(TIPOS_FLUXO_PLANO,MATCH($G388,SUBCATEGORIAS_PLANO,0)),"Não classificado"))</f>
        <v/>
      </c>
      <c r="AH388" s="9">
        <f>IF($G388="","",IFERROR(INDEX(GRUPOS_PLANO,MATCH($G388,SUBCATEGORIAS_PLANO,0)),"Não classificado"))</f>
        <v/>
      </c>
      <c r="AI388" s="24">
        <f>IF(OR($C388="",$X388="Pago",$X388="Recebido",$X388="Cancelado"),"",$C388-TODAY())</f>
        <v/>
      </c>
      <c r="AJ388" s="24">
        <f>IF(OR($C388="",$X388="Pago",$X388="Recebido",$X388="Cancelado"),0,MAX(0,TODAY()-$C388))</f>
        <v/>
      </c>
      <c r="AK388" s="24">
        <f>IF($D388="","",$D388-$B388)</f>
        <v/>
      </c>
      <c r="AL388" s="18">
        <f>IF(OR($D388="",$B388=""),"",ROUND(N($R388)*($D388-$B388),2))</f>
        <v/>
      </c>
      <c r="AM388" s="17">
        <f>IF(AND($E388="Saída",$W388&gt;0,$C388&lt;&gt;""),$C388+ROW()/1000000,"")</f>
        <v/>
      </c>
      <c r="AN388" s="17">
        <f>IF(AND($E388="Entrada",$W388&gt;0,$C388&lt;&gt;""),$C388+ROW()/1000000,"")</f>
        <v/>
      </c>
      <c r="AO388" s="9">
        <f>IF(COUNTA($B388:$R388)=0,"",IF(AND($I388&lt;&gt;"",COUNTIF(CLIENTES_NOMES,$I388)+COUNTIF(CLIENTES_FANTASIA,$I388)+COUNTIF(FORNECEDORES_NOMES,$I388)+COUNTIF(FORNECEDORES_FANTASIA,$I388)=0),"⚠ Cliente/Fornecedor não cadastrado",IF(AND($G388&lt;&gt;"",COUNTIF(SUBCATEGORIAS_PLANO,$G388)=0),"⚠ Subcategoria fora do plano de contas",IF(OR($Q388="",N($Q388)=0),"⚠ Valor previsto não informado",IF(AND(OR($X388="Pago",$X388="Recebido"),$D388=""),"⚠ Status pago/recebido sem data",IF(AND($D388&lt;&gt;"",N($R388)=0),"⚠ Data de pagamento sem valor realizado",IF(AND(N($P388)&gt;1,N($O388)&gt;N($P388)),"⚠ Nº da parcela maior que o total",IF(AND($C388&lt;&gt;"",$B388&lt;&gt;"",$C388&lt;$B388),"⚠ Vencimento anterior à competência","OK"))))))))</f>
        <v/>
      </c>
    </row>
    <row r="389">
      <c r="A389" s="14" t="inlineStr">
        <is>
          <t>L0384</t>
        </is>
      </c>
      <c r="B389" s="36" t="n">
        <v>46267</v>
      </c>
      <c r="C389" s="36" t="n">
        <v>46275</v>
      </c>
      <c r="D389" s="36" t="n"/>
      <c r="E389" s="14" t="inlineStr">
        <is>
          <t>Saída</t>
        </is>
      </c>
      <c r="F389" s="29" t="inlineStr">
        <is>
          <t>Despesas Administrativas</t>
        </is>
      </c>
      <c r="G389" s="29" t="inlineStr">
        <is>
          <t>Energia Elétrica</t>
        </is>
      </c>
      <c r="H389" s="29" t="inlineStr">
        <is>
          <t>Administrativo</t>
        </is>
      </c>
      <c r="I389" s="29" t="inlineStr">
        <is>
          <t>ENEL DISTRIBUIÇÃO SÃO PAULO</t>
        </is>
      </c>
      <c r="J389" s="29" t="inlineStr">
        <is>
          <t>Energia elétrica — fatura vencida em aberto</t>
        </is>
      </c>
      <c r="K389" s="14" t="inlineStr">
        <is>
          <t>FAT 884512</t>
        </is>
      </c>
      <c r="L389" s="29" t="inlineStr">
        <is>
          <t>Itaú Unibanco — C/C 45678-9</t>
        </is>
      </c>
      <c r="M389" s="14" t="inlineStr">
        <is>
          <t>Débito automático</t>
        </is>
      </c>
      <c r="N389" s="29" t="n"/>
      <c r="O389" s="13" t="n">
        <v>1</v>
      </c>
      <c r="P389" s="13" t="n">
        <v>1</v>
      </c>
      <c r="Q389" s="35" t="n">
        <v>2488.75</v>
      </c>
      <c r="R389" s="35" t="n"/>
      <c r="S389" s="35" t="n"/>
      <c r="T389" s="35" t="n"/>
      <c r="U389" s="35" t="n"/>
      <c r="V389" s="18">
        <f>IF(COUNTA($B389:$R389)=0,"",ROUND(N($R389)+N($S389)+N($T389)-N($U389),2))</f>
        <v/>
      </c>
      <c r="W389" s="18">
        <f>IF(COUNTA($B389:$R389)=0,"",IF(OR($X389="Pago",$X389="Recebido",$X389="Cancelado"),0,ROUND(N($Q389)+N($S389)+N($T389)-N($U389)-N($R389),2)))</f>
        <v/>
      </c>
      <c r="X389" s="14" t="inlineStr">
        <is>
          <t>Previsto</t>
        </is>
      </c>
      <c r="Y389" s="17">
        <f>IF(COUNTA($B389:$R389)=0,"",IF($X389="Cancelado","Cancelado",IF(OR($X389="Pago",$X389="Recebido"),$X389,IF(OR($X389="Parcial",N($R389)&gt;0),"Parcial",IF($C389="","Sem vencimento",IF($C389&lt;TODAY(),"Vencido",IF($C389=TODAY(),"Vence hoje",IF($C389&lt;=TODAY()+7,"Vence em 7 dias",IF($C389&lt;=TODAY()+30,"Vence em 30 dias","Futuro")))))))))</f>
        <v/>
      </c>
      <c r="Z389" s="24">
        <f>IF($B389="","",MONTH($B389))</f>
        <v/>
      </c>
      <c r="AA389" s="24">
        <f>IF($B389="","",YEAR($B389))</f>
        <v/>
      </c>
      <c r="AB389" s="24">
        <f>IF($B389="","",ISOWEEKNUM($B389))</f>
        <v/>
      </c>
      <c r="AC389" s="17">
        <f>IF($B389="","",CHOOSE(WEEKDAY($B389,2),"Segunda","Terça","Quarta","Quinta","Sexta","Sábado","Domingo"))</f>
        <v/>
      </c>
      <c r="AD389" s="17">
        <f>IF($B389="","",TEXT($B389,"MM/AAAA"))</f>
        <v/>
      </c>
      <c r="AE389" s="18">
        <f>IF(COUNTA($B389:$R389)=0,"",IF($X389="Cancelado",0,ROUND(N($Q389)+N($S389)+N($T389)-N($U389),2)))</f>
        <v/>
      </c>
      <c r="AF389" s="9">
        <f>IF($G389="","",IFERROR(INDEX(LINHAS_DRE_PLANO,MATCH($G389,SUBCATEGORIAS_PLANO,0)),"Não classificado"))</f>
        <v/>
      </c>
      <c r="AG389" s="17">
        <f>IF($G389="","",IFERROR(INDEX(TIPOS_FLUXO_PLANO,MATCH($G389,SUBCATEGORIAS_PLANO,0)),"Não classificado"))</f>
        <v/>
      </c>
      <c r="AH389" s="9">
        <f>IF($G389="","",IFERROR(INDEX(GRUPOS_PLANO,MATCH($G389,SUBCATEGORIAS_PLANO,0)),"Não classificado"))</f>
        <v/>
      </c>
      <c r="AI389" s="24">
        <f>IF(OR($C389="",$X389="Pago",$X389="Recebido",$X389="Cancelado"),"",$C389-TODAY())</f>
        <v/>
      </c>
      <c r="AJ389" s="24">
        <f>IF(OR($C389="",$X389="Pago",$X389="Recebido",$X389="Cancelado"),0,MAX(0,TODAY()-$C389))</f>
        <v/>
      </c>
      <c r="AK389" s="24">
        <f>IF($D389="","",$D389-$B389)</f>
        <v/>
      </c>
      <c r="AL389" s="18">
        <f>IF(OR($D389="",$B389=""),"",ROUND(N($R389)*($D389-$B389),2))</f>
        <v/>
      </c>
      <c r="AM389" s="17">
        <f>IF(AND($E389="Saída",$W389&gt;0,$C389&lt;&gt;""),$C389+ROW()/1000000,"")</f>
        <v/>
      </c>
      <c r="AN389" s="17">
        <f>IF(AND($E389="Entrada",$W389&gt;0,$C389&lt;&gt;""),$C389+ROW()/1000000,"")</f>
        <v/>
      </c>
      <c r="AO389" s="9">
        <f>IF(COUNTA($B389:$R389)=0,"",IF(AND($I389&lt;&gt;"",COUNTIF(CLIENTES_NOMES,$I389)+COUNTIF(CLIENTES_FANTASIA,$I389)+COUNTIF(FORNECEDORES_NOMES,$I389)+COUNTIF(FORNECEDORES_FANTASIA,$I389)=0),"⚠ Cliente/Fornecedor não cadastrado",IF(AND($G389&lt;&gt;"",COUNTIF(SUBCATEGORIAS_PLANO,$G389)=0),"⚠ Subcategoria fora do plano de contas",IF(OR($Q389="",N($Q389)=0),"⚠ Valor previsto não informado",IF(AND(OR($X389="Pago",$X389="Recebido"),$D389=""),"⚠ Status pago/recebido sem data",IF(AND($D389&lt;&gt;"",N($R389)=0),"⚠ Data de pagamento sem valor realizado",IF(AND(N($P389)&gt;1,N($O389)&gt;N($P389)),"⚠ Nº da parcela maior que o total",IF(AND($C389&lt;&gt;"",$B389&lt;&gt;"",$C389&lt;$B389),"⚠ Vencimento anterior à competência","OK"))))))))</f>
        <v/>
      </c>
    </row>
    <row r="390">
      <c r="A390" s="14" t="inlineStr">
        <is>
          <t>L0385</t>
        </is>
      </c>
      <c r="B390" s="36" t="n">
        <v>46269</v>
      </c>
      <c r="C390" s="36" t="n">
        <v>46299</v>
      </c>
      <c r="D390" s="36" t="n"/>
      <c r="E390" s="14" t="inlineStr">
        <is>
          <t>Saída</t>
        </is>
      </c>
      <c r="F390" s="29" t="inlineStr">
        <is>
          <t>Custos Variáveis</t>
        </is>
      </c>
      <c r="G390" s="29" t="inlineStr">
        <is>
          <t>Mercadorias para Revenda</t>
        </is>
      </c>
      <c r="H390" s="29" t="inlineStr">
        <is>
          <t>Logística</t>
        </is>
      </c>
      <c r="I390" s="29" t="inlineStr">
        <is>
          <t>DISTRIBUIDORA CENTRAL DE ALIMENTOS S/A</t>
        </is>
      </c>
      <c r="J390" s="29" t="inlineStr">
        <is>
          <t>Compra de mercadorias para revenda — NF 5090</t>
        </is>
      </c>
      <c r="K390" s="14" t="inlineStr">
        <is>
          <t>NF 5090</t>
        </is>
      </c>
      <c r="L390" s="29" t="inlineStr">
        <is>
          <t>Banco do Brasil — C/C 12345-6</t>
        </is>
      </c>
      <c r="M390" s="14" t="inlineStr">
        <is>
          <t>Boleto</t>
        </is>
      </c>
      <c r="N390" s="29" t="n"/>
      <c r="O390" s="13" t="n">
        <v>1</v>
      </c>
      <c r="P390" s="13" t="n">
        <v>1</v>
      </c>
      <c r="Q390" s="35" t="n">
        <v>67778.48</v>
      </c>
      <c r="R390" s="35" t="n"/>
      <c r="S390" s="35" t="n"/>
      <c r="T390" s="35" t="n"/>
      <c r="U390" s="35" t="n"/>
      <c r="V390" s="18">
        <f>IF(COUNTA($B390:$R390)=0,"",ROUND(N($R390)+N($S390)+N($T390)-N($U390),2))</f>
        <v/>
      </c>
      <c r="W390" s="18">
        <f>IF(COUNTA($B390:$R390)=0,"",IF(OR($X390="Pago",$X390="Recebido",$X390="Cancelado"),0,ROUND(N($Q390)+N($S390)+N($T390)-N($U390)-N($R390),2)))</f>
        <v/>
      </c>
      <c r="X390" s="14" t="inlineStr">
        <is>
          <t>Previsto</t>
        </is>
      </c>
      <c r="Y390" s="17">
        <f>IF(COUNTA($B390:$R390)=0,"",IF($X390="Cancelado","Cancelado",IF(OR($X390="Pago",$X390="Recebido"),$X390,IF(OR($X390="Parcial",N($R390)&gt;0),"Parcial",IF($C390="","Sem vencimento",IF($C390&lt;TODAY(),"Vencido",IF($C390=TODAY(),"Vence hoje",IF($C390&lt;=TODAY()+7,"Vence em 7 dias",IF($C390&lt;=TODAY()+30,"Vence em 30 dias","Futuro")))))))))</f>
        <v/>
      </c>
      <c r="Z390" s="24">
        <f>IF($B390="","",MONTH($B390))</f>
        <v/>
      </c>
      <c r="AA390" s="24">
        <f>IF($B390="","",YEAR($B390))</f>
        <v/>
      </c>
      <c r="AB390" s="24">
        <f>IF($B390="","",ISOWEEKNUM($B390))</f>
        <v/>
      </c>
      <c r="AC390" s="17">
        <f>IF($B390="","",CHOOSE(WEEKDAY($B390,2),"Segunda","Terça","Quarta","Quinta","Sexta","Sábado","Domingo"))</f>
        <v/>
      </c>
      <c r="AD390" s="17">
        <f>IF($B390="","",TEXT($B390,"MM/AAAA"))</f>
        <v/>
      </c>
      <c r="AE390" s="18">
        <f>IF(COUNTA($B390:$R390)=0,"",IF($X390="Cancelado",0,ROUND(N($Q390)+N($S390)+N($T390)-N($U390),2)))</f>
        <v/>
      </c>
      <c r="AF390" s="9">
        <f>IF($G390="","",IFERROR(INDEX(LINHAS_DRE_PLANO,MATCH($G390,SUBCATEGORIAS_PLANO,0)),"Não classificado"))</f>
        <v/>
      </c>
      <c r="AG390" s="17">
        <f>IF($G390="","",IFERROR(INDEX(TIPOS_FLUXO_PLANO,MATCH($G390,SUBCATEGORIAS_PLANO,0)),"Não classificado"))</f>
        <v/>
      </c>
      <c r="AH390" s="9">
        <f>IF($G390="","",IFERROR(INDEX(GRUPOS_PLANO,MATCH($G390,SUBCATEGORIAS_PLANO,0)),"Não classificado"))</f>
        <v/>
      </c>
      <c r="AI390" s="24">
        <f>IF(OR($C390="",$X390="Pago",$X390="Recebido",$X390="Cancelado"),"",$C390-TODAY())</f>
        <v/>
      </c>
      <c r="AJ390" s="24">
        <f>IF(OR($C390="",$X390="Pago",$X390="Recebido",$X390="Cancelado"),0,MAX(0,TODAY()-$C390))</f>
        <v/>
      </c>
      <c r="AK390" s="24">
        <f>IF($D390="","",$D390-$B390)</f>
        <v/>
      </c>
      <c r="AL390" s="18">
        <f>IF(OR($D390="",$B390=""),"",ROUND(N($R390)*($D390-$B390),2))</f>
        <v/>
      </c>
      <c r="AM390" s="17">
        <f>IF(AND($E390="Saída",$W390&gt;0,$C390&lt;&gt;""),$C390+ROW()/1000000,"")</f>
        <v/>
      </c>
      <c r="AN390" s="17">
        <f>IF(AND($E390="Entrada",$W390&gt;0,$C390&lt;&gt;""),$C390+ROW()/1000000,"")</f>
        <v/>
      </c>
      <c r="AO390" s="9">
        <f>IF(COUNTA($B390:$R390)=0,"",IF(AND($I390&lt;&gt;"",COUNTIF(CLIENTES_NOMES,$I390)+COUNTIF(CLIENTES_FANTASIA,$I390)+COUNTIF(FORNECEDORES_NOMES,$I390)+COUNTIF(FORNECEDORES_FANTASIA,$I390)=0),"⚠ Cliente/Fornecedor não cadastrado",IF(AND($G390&lt;&gt;"",COUNTIF(SUBCATEGORIAS_PLANO,$G390)=0),"⚠ Subcategoria fora do plano de contas",IF(OR($Q390="",N($Q390)=0),"⚠ Valor previsto não informado",IF(AND(OR($X390="Pago",$X390="Recebido"),$D390=""),"⚠ Status pago/recebido sem data",IF(AND($D390&lt;&gt;"",N($R390)=0),"⚠ Data de pagamento sem valor realizado",IF(AND(N($P390)&gt;1,N($O390)&gt;N($P390)),"⚠ Nº da parcela maior que o total",IF(AND($C390&lt;&gt;"",$B390&lt;&gt;"",$C390&lt;$B390),"⚠ Vencimento anterior à competência","OK"))))))))</f>
        <v/>
      </c>
    </row>
    <row r="391">
      <c r="A391" s="14" t="inlineStr">
        <is>
          <t>L0386</t>
        </is>
      </c>
      <c r="B391" s="36" t="n">
        <v>46270</v>
      </c>
      <c r="C391" s="36" t="n">
        <v>46275</v>
      </c>
      <c r="D391" s="36" t="n">
        <v>46278</v>
      </c>
      <c r="E391" s="14" t="inlineStr">
        <is>
          <t>Saída</t>
        </is>
      </c>
      <c r="F391" s="29" t="inlineStr">
        <is>
          <t>Despesas Administrativas</t>
        </is>
      </c>
      <c r="G391" s="29" t="inlineStr">
        <is>
          <t>Aluguel</t>
        </is>
      </c>
      <c r="H391" s="29" t="inlineStr">
        <is>
          <t>Administrativo</t>
        </is>
      </c>
      <c r="I391" s="29" t="inlineStr">
        <is>
          <t>IMÓVEIS E LOCAÇÕES PINHEIROS LTDA</t>
        </is>
      </c>
      <c r="J391" s="29" t="inlineStr">
        <is>
          <t>Aluguel do galpão — competência 09/2026</t>
        </is>
      </c>
      <c r="K391" s="14" t="inlineStr">
        <is>
          <t>DOC 8397</t>
        </is>
      </c>
      <c r="L391" s="29" t="inlineStr">
        <is>
          <t>Banco do Brasil — C/C 12345-6</t>
        </is>
      </c>
      <c r="M391" s="14" t="inlineStr">
        <is>
          <t>Boleto</t>
        </is>
      </c>
      <c r="N391" s="29" t="n"/>
      <c r="O391" s="13" t="n">
        <v>1</v>
      </c>
      <c r="P391" s="13" t="n">
        <v>1</v>
      </c>
      <c r="Q391" s="35" t="n">
        <v>7500</v>
      </c>
      <c r="R391" s="35" t="n">
        <v>7500</v>
      </c>
      <c r="S391" s="35" t="n"/>
      <c r="T391" s="35" t="n"/>
      <c r="U391" s="35" t="n"/>
      <c r="V391" s="18">
        <f>IF(COUNTA($B391:$R391)=0,"",ROUND(N($R391)+N($S391)+N($T391)-N($U391),2))</f>
        <v/>
      </c>
      <c r="W391" s="18">
        <f>IF(COUNTA($B391:$R391)=0,"",IF(OR($X391="Pago",$X391="Recebido",$X391="Cancelado"),0,ROUND(N($Q391)+N($S391)+N($T391)-N($U391)-N($R391),2)))</f>
        <v/>
      </c>
      <c r="X391" s="14" t="inlineStr">
        <is>
          <t>Pago</t>
        </is>
      </c>
      <c r="Y391" s="17">
        <f>IF(COUNTA($B391:$R391)=0,"",IF($X391="Cancelado","Cancelado",IF(OR($X391="Pago",$X391="Recebido"),$X391,IF(OR($X391="Parcial",N($R391)&gt;0),"Parcial",IF($C391="","Sem vencimento",IF($C391&lt;TODAY(),"Vencido",IF($C391=TODAY(),"Vence hoje",IF($C391&lt;=TODAY()+7,"Vence em 7 dias",IF($C391&lt;=TODAY()+30,"Vence em 30 dias","Futuro")))))))))</f>
        <v/>
      </c>
      <c r="Z391" s="24">
        <f>IF($B391="","",MONTH($B391))</f>
        <v/>
      </c>
      <c r="AA391" s="24">
        <f>IF($B391="","",YEAR($B391))</f>
        <v/>
      </c>
      <c r="AB391" s="24">
        <f>IF($B391="","",ISOWEEKNUM($B391))</f>
        <v/>
      </c>
      <c r="AC391" s="17">
        <f>IF($B391="","",CHOOSE(WEEKDAY($B391,2),"Segunda","Terça","Quarta","Quinta","Sexta","Sábado","Domingo"))</f>
        <v/>
      </c>
      <c r="AD391" s="17">
        <f>IF($B391="","",TEXT($B391,"MM/AAAA"))</f>
        <v/>
      </c>
      <c r="AE391" s="18">
        <f>IF(COUNTA($B391:$R391)=0,"",IF($X391="Cancelado",0,ROUND(N($Q391)+N($S391)+N($T391)-N($U391),2)))</f>
        <v/>
      </c>
      <c r="AF391" s="9">
        <f>IF($G391="","",IFERROR(INDEX(LINHAS_DRE_PLANO,MATCH($G391,SUBCATEGORIAS_PLANO,0)),"Não classificado"))</f>
        <v/>
      </c>
      <c r="AG391" s="17">
        <f>IF($G391="","",IFERROR(INDEX(TIPOS_FLUXO_PLANO,MATCH($G391,SUBCATEGORIAS_PLANO,0)),"Não classificado"))</f>
        <v/>
      </c>
      <c r="AH391" s="9">
        <f>IF($G391="","",IFERROR(INDEX(GRUPOS_PLANO,MATCH($G391,SUBCATEGORIAS_PLANO,0)),"Não classificado"))</f>
        <v/>
      </c>
      <c r="AI391" s="24">
        <f>IF(OR($C391="",$X391="Pago",$X391="Recebido",$X391="Cancelado"),"",$C391-TODAY())</f>
        <v/>
      </c>
      <c r="AJ391" s="24">
        <f>IF(OR($C391="",$X391="Pago",$X391="Recebido",$X391="Cancelado"),0,MAX(0,TODAY()-$C391))</f>
        <v/>
      </c>
      <c r="AK391" s="24">
        <f>IF($D391="","",$D391-$B391)</f>
        <v/>
      </c>
      <c r="AL391" s="18">
        <f>IF(OR($D391="",$B391=""),"",ROUND(N($R391)*($D391-$B391),2))</f>
        <v/>
      </c>
      <c r="AM391" s="17">
        <f>IF(AND($E391="Saída",$W391&gt;0,$C391&lt;&gt;""),$C391+ROW()/1000000,"")</f>
        <v/>
      </c>
      <c r="AN391" s="17">
        <f>IF(AND($E391="Entrada",$W391&gt;0,$C391&lt;&gt;""),$C391+ROW()/1000000,"")</f>
        <v/>
      </c>
      <c r="AO391" s="9">
        <f>IF(COUNTA($B391:$R391)=0,"",IF(AND($I391&lt;&gt;"",COUNTIF(CLIENTES_NOMES,$I391)+COUNTIF(CLIENTES_FANTASIA,$I391)+COUNTIF(FORNECEDORES_NOMES,$I391)+COUNTIF(FORNECEDORES_FANTASIA,$I391)=0),"⚠ Cliente/Fornecedor não cadastrado",IF(AND($G391&lt;&gt;"",COUNTIF(SUBCATEGORIAS_PLANO,$G391)=0),"⚠ Subcategoria fora do plano de contas",IF(OR($Q391="",N($Q391)=0),"⚠ Valor previsto não informado",IF(AND(OR($X391="Pago",$X391="Recebido"),$D391=""),"⚠ Status pago/recebido sem data",IF(AND($D391&lt;&gt;"",N($R391)=0),"⚠ Data de pagamento sem valor realizado",IF(AND(N($P391)&gt;1,N($O391)&gt;N($P391)),"⚠ Nº da parcela maior que o total",IF(AND($C391&lt;&gt;"",$B391&lt;&gt;"",$C391&lt;$B391),"⚠ Vencimento anterior à competência","OK"))))))))</f>
        <v/>
      </c>
    </row>
    <row r="392">
      <c r="A392" s="14" t="inlineStr">
        <is>
          <t>L0387</t>
        </is>
      </c>
      <c r="B392" s="36" t="n">
        <v>46270</v>
      </c>
      <c r="C392" s="36" t="n">
        <v>46275</v>
      </c>
      <c r="D392" s="36" t="n">
        <v>46276</v>
      </c>
      <c r="E392" s="14" t="inlineStr">
        <is>
          <t>Saída</t>
        </is>
      </c>
      <c r="F392" s="29" t="inlineStr">
        <is>
          <t>Despesas com Pessoal</t>
        </is>
      </c>
      <c r="G392" s="29" t="inlineStr">
        <is>
          <t>Salários</t>
        </is>
      </c>
      <c r="H392" s="29" t="inlineStr">
        <is>
          <t>Administrativo</t>
        </is>
      </c>
      <c r="I392" s="29" t="inlineStr">
        <is>
          <t>COLABORADORES — FOLHA DE PAGAMENTO</t>
        </is>
      </c>
      <c r="J392" s="29" t="inlineStr">
        <is>
          <t>Folha de pagamento — 09/2026</t>
        </is>
      </c>
      <c r="K392" s="14" t="inlineStr">
        <is>
          <t>DOC 8403</t>
        </is>
      </c>
      <c r="L392" s="29" t="inlineStr">
        <is>
          <t>Banco do Brasil — C/C 12345-6</t>
        </is>
      </c>
      <c r="M392" s="14" t="inlineStr">
        <is>
          <t>Transferência</t>
        </is>
      </c>
      <c r="N392" s="29" t="n"/>
      <c r="O392" s="13" t="n">
        <v>1</v>
      </c>
      <c r="P392" s="13" t="n">
        <v>1</v>
      </c>
      <c r="Q392" s="35" t="n">
        <v>16000</v>
      </c>
      <c r="R392" s="35" t="n">
        <v>16000</v>
      </c>
      <c r="S392" s="35" t="n"/>
      <c r="T392" s="35" t="n"/>
      <c r="U392" s="35" t="n"/>
      <c r="V392" s="18">
        <f>IF(COUNTA($B392:$R392)=0,"",ROUND(N($R392)+N($S392)+N($T392)-N($U392),2))</f>
        <v/>
      </c>
      <c r="W392" s="18">
        <f>IF(COUNTA($B392:$R392)=0,"",IF(OR($X392="Pago",$X392="Recebido",$X392="Cancelado"),0,ROUND(N($Q392)+N($S392)+N($T392)-N($U392)-N($R392),2)))</f>
        <v/>
      </c>
      <c r="X392" s="14" t="inlineStr">
        <is>
          <t>Pago</t>
        </is>
      </c>
      <c r="Y392" s="17">
        <f>IF(COUNTA($B392:$R392)=0,"",IF($X392="Cancelado","Cancelado",IF(OR($X392="Pago",$X392="Recebido"),$X392,IF(OR($X392="Parcial",N($R392)&gt;0),"Parcial",IF($C392="","Sem vencimento",IF($C392&lt;TODAY(),"Vencido",IF($C392=TODAY(),"Vence hoje",IF($C392&lt;=TODAY()+7,"Vence em 7 dias",IF($C392&lt;=TODAY()+30,"Vence em 30 dias","Futuro")))))))))</f>
        <v/>
      </c>
      <c r="Z392" s="24">
        <f>IF($B392="","",MONTH($B392))</f>
        <v/>
      </c>
      <c r="AA392" s="24">
        <f>IF($B392="","",YEAR($B392))</f>
        <v/>
      </c>
      <c r="AB392" s="24">
        <f>IF($B392="","",ISOWEEKNUM($B392))</f>
        <v/>
      </c>
      <c r="AC392" s="17">
        <f>IF($B392="","",CHOOSE(WEEKDAY($B392,2),"Segunda","Terça","Quarta","Quinta","Sexta","Sábado","Domingo"))</f>
        <v/>
      </c>
      <c r="AD392" s="17">
        <f>IF($B392="","",TEXT($B392,"MM/AAAA"))</f>
        <v/>
      </c>
      <c r="AE392" s="18">
        <f>IF(COUNTA($B392:$R392)=0,"",IF($X392="Cancelado",0,ROUND(N($Q392)+N($S392)+N($T392)-N($U392),2)))</f>
        <v/>
      </c>
      <c r="AF392" s="9">
        <f>IF($G392="","",IFERROR(INDEX(LINHAS_DRE_PLANO,MATCH($G392,SUBCATEGORIAS_PLANO,0)),"Não classificado"))</f>
        <v/>
      </c>
      <c r="AG392" s="17">
        <f>IF($G392="","",IFERROR(INDEX(TIPOS_FLUXO_PLANO,MATCH($G392,SUBCATEGORIAS_PLANO,0)),"Não classificado"))</f>
        <v/>
      </c>
      <c r="AH392" s="9">
        <f>IF($G392="","",IFERROR(INDEX(GRUPOS_PLANO,MATCH($G392,SUBCATEGORIAS_PLANO,0)),"Não classificado"))</f>
        <v/>
      </c>
      <c r="AI392" s="24">
        <f>IF(OR($C392="",$X392="Pago",$X392="Recebido",$X392="Cancelado"),"",$C392-TODAY())</f>
        <v/>
      </c>
      <c r="AJ392" s="24">
        <f>IF(OR($C392="",$X392="Pago",$X392="Recebido",$X392="Cancelado"),0,MAX(0,TODAY()-$C392))</f>
        <v/>
      </c>
      <c r="AK392" s="24">
        <f>IF($D392="","",$D392-$B392)</f>
        <v/>
      </c>
      <c r="AL392" s="18">
        <f>IF(OR($D392="",$B392=""),"",ROUND(N($R392)*($D392-$B392),2))</f>
        <v/>
      </c>
      <c r="AM392" s="17">
        <f>IF(AND($E392="Saída",$W392&gt;0,$C392&lt;&gt;""),$C392+ROW()/1000000,"")</f>
        <v/>
      </c>
      <c r="AN392" s="17">
        <f>IF(AND($E392="Entrada",$W392&gt;0,$C392&lt;&gt;""),$C392+ROW()/1000000,"")</f>
        <v/>
      </c>
      <c r="AO392" s="9">
        <f>IF(COUNTA($B392:$R392)=0,"",IF(AND($I392&lt;&gt;"",COUNTIF(CLIENTES_NOMES,$I392)+COUNTIF(CLIENTES_FANTASIA,$I392)+COUNTIF(FORNECEDORES_NOMES,$I392)+COUNTIF(FORNECEDORES_FANTASIA,$I392)=0),"⚠ Cliente/Fornecedor não cadastrado",IF(AND($G392&lt;&gt;"",COUNTIF(SUBCATEGORIAS_PLANO,$G392)=0),"⚠ Subcategoria fora do plano de contas",IF(OR($Q392="",N($Q392)=0),"⚠ Valor previsto não informado",IF(AND(OR($X392="Pago",$X392="Recebido"),$D392=""),"⚠ Status pago/recebido sem data",IF(AND($D392&lt;&gt;"",N($R392)=0),"⚠ Data de pagamento sem valor realizado",IF(AND(N($P392)&gt;1,N($O392)&gt;N($P392)),"⚠ Nº da parcela maior que o total",IF(AND($C392&lt;&gt;"",$B392&lt;&gt;"",$C392&lt;$B392),"⚠ Vencimento anterior à competência","OK"))))))))</f>
        <v/>
      </c>
    </row>
    <row r="393">
      <c r="A393" s="14" t="inlineStr">
        <is>
          <t>L0388</t>
        </is>
      </c>
      <c r="B393" s="36" t="n">
        <v>46270</v>
      </c>
      <c r="C393" s="36" t="n">
        <v>46275</v>
      </c>
      <c r="D393" s="36" t="n">
        <v>46278</v>
      </c>
      <c r="E393" s="14" t="inlineStr">
        <is>
          <t>Saída</t>
        </is>
      </c>
      <c r="F393" s="29" t="inlineStr">
        <is>
          <t>Despesas com Pessoal</t>
        </is>
      </c>
      <c r="G393" s="29" t="inlineStr">
        <is>
          <t>Benefícios (VT/VA/Plano de Saúde)</t>
        </is>
      </c>
      <c r="H393" s="29" t="inlineStr">
        <is>
          <t>Administrativo</t>
        </is>
      </c>
      <c r="I393" s="29" t="inlineStr">
        <is>
          <t>BENEFÍCIOS BRASIL ADMINISTRADORA LTDA</t>
        </is>
      </c>
      <c r="J393" s="29" t="inlineStr">
        <is>
          <t>Vale-transporte, alimentação e saúde</t>
        </is>
      </c>
      <c r="K393" s="14" t="inlineStr">
        <is>
          <t>DOC 8405</t>
        </is>
      </c>
      <c r="L393" s="29" t="inlineStr">
        <is>
          <t>Banco do Brasil — C/C 12345-6</t>
        </is>
      </c>
      <c r="M393" s="14" t="inlineStr">
        <is>
          <t>Transferência</t>
        </is>
      </c>
      <c r="N393" s="29" t="n"/>
      <c r="O393" s="13" t="n">
        <v>1</v>
      </c>
      <c r="P393" s="13" t="n">
        <v>1</v>
      </c>
      <c r="Q393" s="35" t="n">
        <v>1900</v>
      </c>
      <c r="R393" s="35" t="n">
        <v>1900</v>
      </c>
      <c r="S393" s="35" t="n"/>
      <c r="T393" s="35" t="n"/>
      <c r="U393" s="35" t="n"/>
      <c r="V393" s="18">
        <f>IF(COUNTA($B393:$R393)=0,"",ROUND(N($R393)+N($S393)+N($T393)-N($U393),2))</f>
        <v/>
      </c>
      <c r="W393" s="18">
        <f>IF(COUNTA($B393:$R393)=0,"",IF(OR($X393="Pago",$X393="Recebido",$X393="Cancelado"),0,ROUND(N($Q393)+N($S393)+N($T393)-N($U393)-N($R393),2)))</f>
        <v/>
      </c>
      <c r="X393" s="14" t="inlineStr">
        <is>
          <t>Pago</t>
        </is>
      </c>
      <c r="Y393" s="17">
        <f>IF(COUNTA($B393:$R393)=0,"",IF($X393="Cancelado","Cancelado",IF(OR($X393="Pago",$X393="Recebido"),$X393,IF(OR($X393="Parcial",N($R393)&gt;0),"Parcial",IF($C393="","Sem vencimento",IF($C393&lt;TODAY(),"Vencido",IF($C393=TODAY(),"Vence hoje",IF($C393&lt;=TODAY()+7,"Vence em 7 dias",IF($C393&lt;=TODAY()+30,"Vence em 30 dias","Futuro")))))))))</f>
        <v/>
      </c>
      <c r="Z393" s="24">
        <f>IF($B393="","",MONTH($B393))</f>
        <v/>
      </c>
      <c r="AA393" s="24">
        <f>IF($B393="","",YEAR($B393))</f>
        <v/>
      </c>
      <c r="AB393" s="24">
        <f>IF($B393="","",ISOWEEKNUM($B393))</f>
        <v/>
      </c>
      <c r="AC393" s="17">
        <f>IF($B393="","",CHOOSE(WEEKDAY($B393,2),"Segunda","Terça","Quarta","Quinta","Sexta","Sábado","Domingo"))</f>
        <v/>
      </c>
      <c r="AD393" s="17">
        <f>IF($B393="","",TEXT($B393,"MM/AAAA"))</f>
        <v/>
      </c>
      <c r="AE393" s="18">
        <f>IF(COUNTA($B393:$R393)=0,"",IF($X393="Cancelado",0,ROUND(N($Q393)+N($S393)+N($T393)-N($U393),2)))</f>
        <v/>
      </c>
      <c r="AF393" s="9">
        <f>IF($G393="","",IFERROR(INDEX(LINHAS_DRE_PLANO,MATCH($G393,SUBCATEGORIAS_PLANO,0)),"Não classificado"))</f>
        <v/>
      </c>
      <c r="AG393" s="17">
        <f>IF($G393="","",IFERROR(INDEX(TIPOS_FLUXO_PLANO,MATCH($G393,SUBCATEGORIAS_PLANO,0)),"Não classificado"))</f>
        <v/>
      </c>
      <c r="AH393" s="9">
        <f>IF($G393="","",IFERROR(INDEX(GRUPOS_PLANO,MATCH($G393,SUBCATEGORIAS_PLANO,0)),"Não classificado"))</f>
        <v/>
      </c>
      <c r="AI393" s="24">
        <f>IF(OR($C393="",$X393="Pago",$X393="Recebido",$X393="Cancelado"),"",$C393-TODAY())</f>
        <v/>
      </c>
      <c r="AJ393" s="24">
        <f>IF(OR($C393="",$X393="Pago",$X393="Recebido",$X393="Cancelado"),0,MAX(0,TODAY()-$C393))</f>
        <v/>
      </c>
      <c r="AK393" s="24">
        <f>IF($D393="","",$D393-$B393)</f>
        <v/>
      </c>
      <c r="AL393" s="18">
        <f>IF(OR($D393="",$B393=""),"",ROUND(N($R393)*($D393-$B393),2))</f>
        <v/>
      </c>
      <c r="AM393" s="17">
        <f>IF(AND($E393="Saída",$W393&gt;0,$C393&lt;&gt;""),$C393+ROW()/1000000,"")</f>
        <v/>
      </c>
      <c r="AN393" s="17">
        <f>IF(AND($E393="Entrada",$W393&gt;0,$C393&lt;&gt;""),$C393+ROW()/1000000,"")</f>
        <v/>
      </c>
      <c r="AO393" s="9">
        <f>IF(COUNTA($B393:$R393)=0,"",IF(AND($I393&lt;&gt;"",COUNTIF(CLIENTES_NOMES,$I393)+COUNTIF(CLIENTES_FANTASIA,$I393)+COUNTIF(FORNECEDORES_NOMES,$I393)+COUNTIF(FORNECEDORES_FANTASIA,$I393)=0),"⚠ Cliente/Fornecedor não cadastrado",IF(AND($G393&lt;&gt;"",COUNTIF(SUBCATEGORIAS_PLANO,$G393)=0),"⚠ Subcategoria fora do plano de contas",IF(OR($Q393="",N($Q393)=0),"⚠ Valor previsto não informado",IF(AND(OR($X393="Pago",$X393="Recebido"),$D393=""),"⚠ Status pago/recebido sem data",IF(AND($D393&lt;&gt;"",N($R393)=0),"⚠ Data de pagamento sem valor realizado",IF(AND(N($P393)&gt;1,N($O393)&gt;N($P393)),"⚠ Nº da parcela maior que o total",IF(AND($C393&lt;&gt;"",$B393&lt;&gt;"",$C393&lt;$B393),"⚠ Vencimento anterior à competência","OK"))))))))</f>
        <v/>
      </c>
    </row>
    <row r="394">
      <c r="A394" s="14" t="inlineStr">
        <is>
          <t>L0389</t>
        </is>
      </c>
      <c r="B394" s="36" t="n">
        <v>46270</v>
      </c>
      <c r="C394" s="36" t="n">
        <v>46275</v>
      </c>
      <c r="D394" s="36" t="n">
        <v>46276</v>
      </c>
      <c r="E394" s="14" t="inlineStr">
        <is>
          <t>Saída</t>
        </is>
      </c>
      <c r="F394" s="29" t="inlineStr">
        <is>
          <t>Despesas com Pessoal</t>
        </is>
      </c>
      <c r="G394" s="29" t="inlineStr">
        <is>
          <t>Pró-labore</t>
        </is>
      </c>
      <c r="H394" s="29" t="inlineStr">
        <is>
          <t>Diretoria</t>
        </is>
      </c>
      <c r="I394" s="29" t="inlineStr">
        <is>
          <t>SÓCIOS — PRÓ-LABORE E DISTRIBUIÇÕES</t>
        </is>
      </c>
      <c r="J394" s="29" t="inlineStr">
        <is>
          <t>Pró-labore dos sócios — 09/2026</t>
        </is>
      </c>
      <c r="K394" s="14" t="inlineStr">
        <is>
          <t>DOC 8406</t>
        </is>
      </c>
      <c r="L394" s="29" t="inlineStr">
        <is>
          <t>Banco do Brasil — C/C 12345-6</t>
        </is>
      </c>
      <c r="M394" s="14" t="inlineStr">
        <is>
          <t>Transferência</t>
        </is>
      </c>
      <c r="N394" s="29" t="n"/>
      <c r="O394" s="13" t="n">
        <v>1</v>
      </c>
      <c r="P394" s="13" t="n">
        <v>1</v>
      </c>
      <c r="Q394" s="35" t="n">
        <v>9500</v>
      </c>
      <c r="R394" s="35" t="n">
        <v>9500</v>
      </c>
      <c r="S394" s="35" t="n"/>
      <c r="T394" s="35" t="n"/>
      <c r="U394" s="35" t="n"/>
      <c r="V394" s="18">
        <f>IF(COUNTA($B394:$R394)=0,"",ROUND(N($R394)+N($S394)+N($T394)-N($U394),2))</f>
        <v/>
      </c>
      <c r="W394" s="18">
        <f>IF(COUNTA($B394:$R394)=0,"",IF(OR($X394="Pago",$X394="Recebido",$X394="Cancelado"),0,ROUND(N($Q394)+N($S394)+N($T394)-N($U394)-N($R394),2)))</f>
        <v/>
      </c>
      <c r="X394" s="14" t="inlineStr">
        <is>
          <t>Pago</t>
        </is>
      </c>
      <c r="Y394" s="17">
        <f>IF(COUNTA($B394:$R394)=0,"",IF($X394="Cancelado","Cancelado",IF(OR($X394="Pago",$X394="Recebido"),$X394,IF(OR($X394="Parcial",N($R394)&gt;0),"Parcial",IF($C394="","Sem vencimento",IF($C394&lt;TODAY(),"Vencido",IF($C394=TODAY(),"Vence hoje",IF($C394&lt;=TODAY()+7,"Vence em 7 dias",IF($C394&lt;=TODAY()+30,"Vence em 30 dias","Futuro")))))))))</f>
        <v/>
      </c>
      <c r="Z394" s="24">
        <f>IF($B394="","",MONTH($B394))</f>
        <v/>
      </c>
      <c r="AA394" s="24">
        <f>IF($B394="","",YEAR($B394))</f>
        <v/>
      </c>
      <c r="AB394" s="24">
        <f>IF($B394="","",ISOWEEKNUM($B394))</f>
        <v/>
      </c>
      <c r="AC394" s="17">
        <f>IF($B394="","",CHOOSE(WEEKDAY($B394,2),"Segunda","Terça","Quarta","Quinta","Sexta","Sábado","Domingo"))</f>
        <v/>
      </c>
      <c r="AD394" s="17">
        <f>IF($B394="","",TEXT($B394,"MM/AAAA"))</f>
        <v/>
      </c>
      <c r="AE394" s="18">
        <f>IF(COUNTA($B394:$R394)=0,"",IF($X394="Cancelado",0,ROUND(N($Q394)+N($S394)+N($T394)-N($U394),2)))</f>
        <v/>
      </c>
      <c r="AF394" s="9">
        <f>IF($G394="","",IFERROR(INDEX(LINHAS_DRE_PLANO,MATCH($G394,SUBCATEGORIAS_PLANO,0)),"Não classificado"))</f>
        <v/>
      </c>
      <c r="AG394" s="17">
        <f>IF($G394="","",IFERROR(INDEX(TIPOS_FLUXO_PLANO,MATCH($G394,SUBCATEGORIAS_PLANO,0)),"Não classificado"))</f>
        <v/>
      </c>
      <c r="AH394" s="9">
        <f>IF($G394="","",IFERROR(INDEX(GRUPOS_PLANO,MATCH($G394,SUBCATEGORIAS_PLANO,0)),"Não classificado"))</f>
        <v/>
      </c>
      <c r="AI394" s="24">
        <f>IF(OR($C394="",$X394="Pago",$X394="Recebido",$X394="Cancelado"),"",$C394-TODAY())</f>
        <v/>
      </c>
      <c r="AJ394" s="24">
        <f>IF(OR($C394="",$X394="Pago",$X394="Recebido",$X394="Cancelado"),0,MAX(0,TODAY()-$C394))</f>
        <v/>
      </c>
      <c r="AK394" s="24">
        <f>IF($D394="","",$D394-$B394)</f>
        <v/>
      </c>
      <c r="AL394" s="18">
        <f>IF(OR($D394="",$B394=""),"",ROUND(N($R394)*($D394-$B394),2))</f>
        <v/>
      </c>
      <c r="AM394" s="17">
        <f>IF(AND($E394="Saída",$W394&gt;0,$C394&lt;&gt;""),$C394+ROW()/1000000,"")</f>
        <v/>
      </c>
      <c r="AN394" s="17">
        <f>IF(AND($E394="Entrada",$W394&gt;0,$C394&lt;&gt;""),$C394+ROW()/1000000,"")</f>
        <v/>
      </c>
      <c r="AO394" s="9">
        <f>IF(COUNTA($B394:$R394)=0,"",IF(AND($I394&lt;&gt;"",COUNTIF(CLIENTES_NOMES,$I394)+COUNTIF(CLIENTES_FANTASIA,$I394)+COUNTIF(FORNECEDORES_NOMES,$I394)+COUNTIF(FORNECEDORES_FANTASIA,$I394)=0),"⚠ Cliente/Fornecedor não cadastrado",IF(AND($G394&lt;&gt;"",COUNTIF(SUBCATEGORIAS_PLANO,$G394)=0),"⚠ Subcategoria fora do plano de contas",IF(OR($Q394="",N($Q394)=0),"⚠ Valor previsto não informado",IF(AND(OR($X394="Pago",$X394="Recebido"),$D394=""),"⚠ Status pago/recebido sem data",IF(AND($D394&lt;&gt;"",N($R394)=0),"⚠ Data de pagamento sem valor realizado",IF(AND(N($P394)&gt;1,N($O394)&gt;N($P394)),"⚠ Nº da parcela maior que o total",IF(AND($C394&lt;&gt;"",$B394&lt;&gt;"",$C394&lt;$B394),"⚠ Vencimento anterior à competência","OK"))))))))</f>
        <v/>
      </c>
    </row>
    <row r="395">
      <c r="A395" s="14" t="inlineStr">
        <is>
          <t>L0390</t>
        </is>
      </c>
      <c r="B395" s="36" t="n">
        <v>46272</v>
      </c>
      <c r="C395" s="36" t="n">
        <v>46279</v>
      </c>
      <c r="D395" s="36" t="n">
        <v>46280</v>
      </c>
      <c r="E395" s="14" t="inlineStr">
        <is>
          <t>Saída</t>
        </is>
      </c>
      <c r="F395" s="29" t="inlineStr">
        <is>
          <t>Despesas com Pessoal</t>
        </is>
      </c>
      <c r="G395" s="29" t="inlineStr">
        <is>
          <t>Encargos Sociais (FGTS/INSS)</t>
        </is>
      </c>
      <c r="H395" s="29" t="inlineStr">
        <is>
          <t>Administrativo</t>
        </is>
      </c>
      <c r="I395" s="29" t="inlineStr">
        <is>
          <t>RECEITA FEDERAL DO BRASIL</t>
        </is>
      </c>
      <c r="J395" s="29" t="inlineStr">
        <is>
          <t>FGTS e INSS — competência 09/2026</t>
        </is>
      </c>
      <c r="K395" s="14" t="inlineStr">
        <is>
          <t>DOC 8404</t>
        </is>
      </c>
      <c r="L395" s="29" t="inlineStr">
        <is>
          <t>Itaú Unibanco — C/C 45678-9</t>
        </is>
      </c>
      <c r="M395" s="14" t="inlineStr">
        <is>
          <t>Transferência</t>
        </is>
      </c>
      <c r="N395" s="29" t="n"/>
      <c r="O395" s="13" t="n">
        <v>1</v>
      </c>
      <c r="P395" s="13" t="n">
        <v>1</v>
      </c>
      <c r="Q395" s="35" t="n">
        <v>5600</v>
      </c>
      <c r="R395" s="35" t="n">
        <v>5600</v>
      </c>
      <c r="S395" s="35" t="n"/>
      <c r="T395" s="35" t="n"/>
      <c r="U395" s="35" t="n"/>
      <c r="V395" s="18">
        <f>IF(COUNTA($B395:$R395)=0,"",ROUND(N($R395)+N($S395)+N($T395)-N($U395),2))</f>
        <v/>
      </c>
      <c r="W395" s="18">
        <f>IF(COUNTA($B395:$R395)=0,"",IF(OR($X395="Pago",$X395="Recebido",$X395="Cancelado"),0,ROUND(N($Q395)+N($S395)+N($T395)-N($U395)-N($R395),2)))</f>
        <v/>
      </c>
      <c r="X395" s="14" t="inlineStr">
        <is>
          <t>Pago</t>
        </is>
      </c>
      <c r="Y395" s="17">
        <f>IF(COUNTA($B395:$R395)=0,"",IF($X395="Cancelado","Cancelado",IF(OR($X395="Pago",$X395="Recebido"),$X395,IF(OR($X395="Parcial",N($R395)&gt;0),"Parcial",IF($C395="","Sem vencimento",IF($C395&lt;TODAY(),"Vencido",IF($C395=TODAY(),"Vence hoje",IF($C395&lt;=TODAY()+7,"Vence em 7 dias",IF($C395&lt;=TODAY()+30,"Vence em 30 dias","Futuro")))))))))</f>
        <v/>
      </c>
      <c r="Z395" s="24">
        <f>IF($B395="","",MONTH($B395))</f>
        <v/>
      </c>
      <c r="AA395" s="24">
        <f>IF($B395="","",YEAR($B395))</f>
        <v/>
      </c>
      <c r="AB395" s="24">
        <f>IF($B395="","",ISOWEEKNUM($B395))</f>
        <v/>
      </c>
      <c r="AC395" s="17">
        <f>IF($B395="","",CHOOSE(WEEKDAY($B395,2),"Segunda","Terça","Quarta","Quinta","Sexta","Sábado","Domingo"))</f>
        <v/>
      </c>
      <c r="AD395" s="17">
        <f>IF($B395="","",TEXT($B395,"MM/AAAA"))</f>
        <v/>
      </c>
      <c r="AE395" s="18">
        <f>IF(COUNTA($B395:$R395)=0,"",IF($X395="Cancelado",0,ROUND(N($Q395)+N($S395)+N($T395)-N($U395),2)))</f>
        <v/>
      </c>
      <c r="AF395" s="9">
        <f>IF($G395="","",IFERROR(INDEX(LINHAS_DRE_PLANO,MATCH($G395,SUBCATEGORIAS_PLANO,0)),"Não classificado"))</f>
        <v/>
      </c>
      <c r="AG395" s="17">
        <f>IF($G395="","",IFERROR(INDEX(TIPOS_FLUXO_PLANO,MATCH($G395,SUBCATEGORIAS_PLANO,0)),"Não classificado"))</f>
        <v/>
      </c>
      <c r="AH395" s="9">
        <f>IF($G395="","",IFERROR(INDEX(GRUPOS_PLANO,MATCH($G395,SUBCATEGORIAS_PLANO,0)),"Não classificado"))</f>
        <v/>
      </c>
      <c r="AI395" s="24">
        <f>IF(OR($C395="",$X395="Pago",$X395="Recebido",$X395="Cancelado"),"",$C395-TODAY())</f>
        <v/>
      </c>
      <c r="AJ395" s="24">
        <f>IF(OR($C395="",$X395="Pago",$X395="Recebido",$X395="Cancelado"),0,MAX(0,TODAY()-$C395))</f>
        <v/>
      </c>
      <c r="AK395" s="24">
        <f>IF($D395="","",$D395-$B395)</f>
        <v/>
      </c>
      <c r="AL395" s="18">
        <f>IF(OR($D395="",$B395=""),"",ROUND(N($R395)*($D395-$B395),2))</f>
        <v/>
      </c>
      <c r="AM395" s="17">
        <f>IF(AND($E395="Saída",$W395&gt;0,$C395&lt;&gt;""),$C395+ROW()/1000000,"")</f>
        <v/>
      </c>
      <c r="AN395" s="17">
        <f>IF(AND($E395="Entrada",$W395&gt;0,$C395&lt;&gt;""),$C395+ROW()/1000000,"")</f>
        <v/>
      </c>
      <c r="AO395" s="9">
        <f>IF(COUNTA($B395:$R395)=0,"",IF(AND($I395&lt;&gt;"",COUNTIF(CLIENTES_NOMES,$I395)+COUNTIF(CLIENTES_FANTASIA,$I395)+COUNTIF(FORNECEDORES_NOMES,$I395)+COUNTIF(FORNECEDORES_FANTASIA,$I395)=0),"⚠ Cliente/Fornecedor não cadastrado",IF(AND($G395&lt;&gt;"",COUNTIF(SUBCATEGORIAS_PLANO,$G395)=0),"⚠ Subcategoria fora do plano de contas",IF(OR($Q395="",N($Q395)=0),"⚠ Valor previsto não informado",IF(AND(OR($X395="Pago",$X395="Recebido"),$D395=""),"⚠ Status pago/recebido sem data",IF(AND($D395&lt;&gt;"",N($R395)=0),"⚠ Data de pagamento sem valor realizado",IF(AND(N($P395)&gt;1,N($O395)&gt;N($P395)),"⚠ Nº da parcela maior que o total",IF(AND($C395&lt;&gt;"",$B395&lt;&gt;"",$C395&lt;$B395),"⚠ Vencimento anterior à competência","OK"))))))))</f>
        <v/>
      </c>
    </row>
    <row r="396">
      <c r="A396" s="14" t="inlineStr">
        <is>
          <t>L0391</t>
        </is>
      </c>
      <c r="B396" s="36" t="n">
        <v>46273</v>
      </c>
      <c r="C396" s="36" t="n">
        <v>46293</v>
      </c>
      <c r="D396" s="36" t="n"/>
      <c r="E396" s="14" t="inlineStr">
        <is>
          <t>Saída</t>
        </is>
      </c>
      <c r="F396" s="29" t="inlineStr">
        <is>
          <t>Despesas Administrativas</t>
        </is>
      </c>
      <c r="G396" s="29" t="inlineStr">
        <is>
          <t>Sistemas e Softwares</t>
        </is>
      </c>
      <c r="H396" s="29" t="inlineStr">
        <is>
          <t>Administrativo</t>
        </is>
      </c>
      <c r="I396" s="29" t="inlineStr">
        <is>
          <t>TECNOLOGIA E SISTEMAS ABC LTDA</t>
        </is>
      </c>
      <c r="J396" s="29" t="inlineStr">
        <is>
          <t>Assinatura ERP, NF-e e BI</t>
        </is>
      </c>
      <c r="K396" s="14" t="inlineStr">
        <is>
          <t>DOC 8402</t>
        </is>
      </c>
      <c r="L396" s="29" t="inlineStr">
        <is>
          <t>Nubank PJ — C/C 9876543-2</t>
        </is>
      </c>
      <c r="M396" s="14" t="inlineStr">
        <is>
          <t>Cartão de crédito</t>
        </is>
      </c>
      <c r="N396" s="29" t="inlineStr">
        <is>
          <t>Cartão Mastercard Nubank PJ</t>
        </is>
      </c>
      <c r="O396" s="13" t="n">
        <v>1</v>
      </c>
      <c r="P396" s="13" t="n">
        <v>1</v>
      </c>
      <c r="Q396" s="35" t="n">
        <v>850</v>
      </c>
      <c r="R396" s="35" t="n"/>
      <c r="S396" s="35" t="n"/>
      <c r="T396" s="35" t="n"/>
      <c r="U396" s="35" t="n"/>
      <c r="V396" s="18">
        <f>IF(COUNTA($B396:$R396)=0,"",ROUND(N($R396)+N($S396)+N($T396)-N($U396),2))</f>
        <v/>
      </c>
      <c r="W396" s="18">
        <f>IF(COUNTA($B396:$R396)=0,"",IF(OR($X396="Pago",$X396="Recebido",$X396="Cancelado"),0,ROUND(N($Q396)+N($S396)+N($T396)-N($U396)-N($R396),2)))</f>
        <v/>
      </c>
      <c r="X396" s="14" t="inlineStr">
        <is>
          <t>Previsto</t>
        </is>
      </c>
      <c r="Y396" s="17">
        <f>IF(COUNTA($B396:$R396)=0,"",IF($X396="Cancelado","Cancelado",IF(OR($X396="Pago",$X396="Recebido"),$X396,IF(OR($X396="Parcial",N($R396)&gt;0),"Parcial",IF($C396="","Sem vencimento",IF($C396&lt;TODAY(),"Vencido",IF($C396=TODAY(),"Vence hoje",IF($C396&lt;=TODAY()+7,"Vence em 7 dias",IF($C396&lt;=TODAY()+30,"Vence em 30 dias","Futuro")))))))))</f>
        <v/>
      </c>
      <c r="Z396" s="24">
        <f>IF($B396="","",MONTH($B396))</f>
        <v/>
      </c>
      <c r="AA396" s="24">
        <f>IF($B396="","",YEAR($B396))</f>
        <v/>
      </c>
      <c r="AB396" s="24">
        <f>IF($B396="","",ISOWEEKNUM($B396))</f>
        <v/>
      </c>
      <c r="AC396" s="17">
        <f>IF($B396="","",CHOOSE(WEEKDAY($B396,2),"Segunda","Terça","Quarta","Quinta","Sexta","Sábado","Domingo"))</f>
        <v/>
      </c>
      <c r="AD396" s="17">
        <f>IF($B396="","",TEXT($B396,"MM/AAAA"))</f>
        <v/>
      </c>
      <c r="AE396" s="18">
        <f>IF(COUNTA($B396:$R396)=0,"",IF($X396="Cancelado",0,ROUND(N($Q396)+N($S396)+N($T396)-N($U396),2)))</f>
        <v/>
      </c>
      <c r="AF396" s="9">
        <f>IF($G396="","",IFERROR(INDEX(LINHAS_DRE_PLANO,MATCH($G396,SUBCATEGORIAS_PLANO,0)),"Não classificado"))</f>
        <v/>
      </c>
      <c r="AG396" s="17">
        <f>IF($G396="","",IFERROR(INDEX(TIPOS_FLUXO_PLANO,MATCH($G396,SUBCATEGORIAS_PLANO,0)),"Não classificado"))</f>
        <v/>
      </c>
      <c r="AH396" s="9">
        <f>IF($G396="","",IFERROR(INDEX(GRUPOS_PLANO,MATCH($G396,SUBCATEGORIAS_PLANO,0)),"Não classificado"))</f>
        <v/>
      </c>
      <c r="AI396" s="24">
        <f>IF(OR($C396="",$X396="Pago",$X396="Recebido",$X396="Cancelado"),"",$C396-TODAY())</f>
        <v/>
      </c>
      <c r="AJ396" s="24">
        <f>IF(OR($C396="",$X396="Pago",$X396="Recebido",$X396="Cancelado"),0,MAX(0,TODAY()-$C396))</f>
        <v/>
      </c>
      <c r="AK396" s="24">
        <f>IF($D396="","",$D396-$B396)</f>
        <v/>
      </c>
      <c r="AL396" s="18">
        <f>IF(OR($D396="",$B396=""),"",ROUND(N($R396)*($D396-$B396),2))</f>
        <v/>
      </c>
      <c r="AM396" s="17">
        <f>IF(AND($E396="Saída",$W396&gt;0,$C396&lt;&gt;""),$C396+ROW()/1000000,"")</f>
        <v/>
      </c>
      <c r="AN396" s="17">
        <f>IF(AND($E396="Entrada",$W396&gt;0,$C396&lt;&gt;""),$C396+ROW()/1000000,"")</f>
        <v/>
      </c>
      <c r="AO396" s="9">
        <f>IF(COUNTA($B396:$R396)=0,"",IF(AND($I396&lt;&gt;"",COUNTIF(CLIENTES_NOMES,$I396)+COUNTIF(CLIENTES_FANTASIA,$I396)+COUNTIF(FORNECEDORES_NOMES,$I396)+COUNTIF(FORNECEDORES_FANTASIA,$I396)=0),"⚠ Cliente/Fornecedor não cadastrado",IF(AND($G396&lt;&gt;"",COUNTIF(SUBCATEGORIAS_PLANO,$G396)=0),"⚠ Subcategoria fora do plano de contas",IF(OR($Q396="",N($Q396)=0),"⚠ Valor previsto não informado",IF(AND(OR($X396="Pago",$X396="Recebido"),$D396=""),"⚠ Status pago/recebido sem data",IF(AND($D396&lt;&gt;"",N($R396)=0),"⚠ Data de pagamento sem valor realizado",IF(AND(N($P396)&gt;1,N($O396)&gt;N($P396)),"⚠ Nº da parcela maior que o total",IF(AND($C396&lt;&gt;"",$B396&lt;&gt;"",$C396&lt;$B396),"⚠ Vencimento anterior à competência","OK"))))))))</f>
        <v/>
      </c>
    </row>
    <row r="397">
      <c r="A397" s="14" t="inlineStr">
        <is>
          <t>L0392</t>
        </is>
      </c>
      <c r="B397" s="36" t="n">
        <v>46274</v>
      </c>
      <c r="C397" s="36" t="n">
        <v>46289</v>
      </c>
      <c r="D397" s="36" t="n"/>
      <c r="E397" s="14" t="inlineStr">
        <is>
          <t>Saída</t>
        </is>
      </c>
      <c r="F397" s="29" t="inlineStr">
        <is>
          <t>Custos Variáveis</t>
        </is>
      </c>
      <c r="G397" s="29" t="inlineStr">
        <is>
          <t>Matéria-prima</t>
        </is>
      </c>
      <c r="H397" s="29" t="inlineStr">
        <is>
          <t>Produção</t>
        </is>
      </c>
      <c r="I397" s="29" t="inlineStr">
        <is>
          <t>DISTRIBUIDORA CENTRAL DE ALIMENTOS S/A</t>
        </is>
      </c>
      <c r="J397" s="29" t="inlineStr">
        <is>
          <t>Insumos e matéria-prima para beneficiamento</t>
        </is>
      </c>
      <c r="K397" s="14" t="inlineStr">
        <is>
          <t>NF 5909</t>
        </is>
      </c>
      <c r="L397" s="29" t="inlineStr">
        <is>
          <t>Banco do Brasil — C/C 12345-6</t>
        </is>
      </c>
      <c r="M397" s="14" t="inlineStr">
        <is>
          <t>Boleto</t>
        </is>
      </c>
      <c r="N397" s="29" t="n"/>
      <c r="O397" s="13" t="n">
        <v>1</v>
      </c>
      <c r="P397" s="13" t="n">
        <v>1</v>
      </c>
      <c r="Q397" s="35" t="n">
        <v>10234.76</v>
      </c>
      <c r="R397" s="35" t="n"/>
      <c r="S397" s="35" t="n"/>
      <c r="T397" s="35" t="n"/>
      <c r="U397" s="35" t="n"/>
      <c r="V397" s="18">
        <f>IF(COUNTA($B397:$R397)=0,"",ROUND(N($R397)+N($S397)+N($T397)-N($U397),2))</f>
        <v/>
      </c>
      <c r="W397" s="18">
        <f>IF(COUNTA($B397:$R397)=0,"",IF(OR($X397="Pago",$X397="Recebido",$X397="Cancelado"),0,ROUND(N($Q397)+N($S397)+N($T397)-N($U397)-N($R397),2)))</f>
        <v/>
      </c>
      <c r="X397" s="14" t="inlineStr">
        <is>
          <t>Previsto</t>
        </is>
      </c>
      <c r="Y397" s="17">
        <f>IF(COUNTA($B397:$R397)=0,"",IF($X397="Cancelado","Cancelado",IF(OR($X397="Pago",$X397="Recebido"),$X397,IF(OR($X397="Parcial",N($R397)&gt;0),"Parcial",IF($C397="","Sem vencimento",IF($C397&lt;TODAY(),"Vencido",IF($C397=TODAY(),"Vence hoje",IF($C397&lt;=TODAY()+7,"Vence em 7 dias",IF($C397&lt;=TODAY()+30,"Vence em 30 dias","Futuro")))))))))</f>
        <v/>
      </c>
      <c r="Z397" s="24">
        <f>IF($B397="","",MONTH($B397))</f>
        <v/>
      </c>
      <c r="AA397" s="24">
        <f>IF($B397="","",YEAR($B397))</f>
        <v/>
      </c>
      <c r="AB397" s="24">
        <f>IF($B397="","",ISOWEEKNUM($B397))</f>
        <v/>
      </c>
      <c r="AC397" s="17">
        <f>IF($B397="","",CHOOSE(WEEKDAY($B397,2),"Segunda","Terça","Quarta","Quinta","Sexta","Sábado","Domingo"))</f>
        <v/>
      </c>
      <c r="AD397" s="17">
        <f>IF($B397="","",TEXT($B397,"MM/AAAA"))</f>
        <v/>
      </c>
      <c r="AE397" s="18">
        <f>IF(COUNTA($B397:$R397)=0,"",IF($X397="Cancelado",0,ROUND(N($Q397)+N($S397)+N($T397)-N($U397),2)))</f>
        <v/>
      </c>
      <c r="AF397" s="9">
        <f>IF($G397="","",IFERROR(INDEX(LINHAS_DRE_PLANO,MATCH($G397,SUBCATEGORIAS_PLANO,0)),"Não classificado"))</f>
        <v/>
      </c>
      <c r="AG397" s="17">
        <f>IF($G397="","",IFERROR(INDEX(TIPOS_FLUXO_PLANO,MATCH($G397,SUBCATEGORIAS_PLANO,0)),"Não classificado"))</f>
        <v/>
      </c>
      <c r="AH397" s="9">
        <f>IF($G397="","",IFERROR(INDEX(GRUPOS_PLANO,MATCH($G397,SUBCATEGORIAS_PLANO,0)),"Não classificado"))</f>
        <v/>
      </c>
      <c r="AI397" s="24">
        <f>IF(OR($C397="",$X397="Pago",$X397="Recebido",$X397="Cancelado"),"",$C397-TODAY())</f>
        <v/>
      </c>
      <c r="AJ397" s="24">
        <f>IF(OR($C397="",$X397="Pago",$X397="Recebido",$X397="Cancelado"),0,MAX(0,TODAY()-$C397))</f>
        <v/>
      </c>
      <c r="AK397" s="24">
        <f>IF($D397="","",$D397-$B397)</f>
        <v/>
      </c>
      <c r="AL397" s="18">
        <f>IF(OR($D397="",$B397=""),"",ROUND(N($R397)*($D397-$B397),2))</f>
        <v/>
      </c>
      <c r="AM397" s="17">
        <f>IF(AND($E397="Saída",$W397&gt;0,$C397&lt;&gt;""),$C397+ROW()/1000000,"")</f>
        <v/>
      </c>
      <c r="AN397" s="17">
        <f>IF(AND($E397="Entrada",$W397&gt;0,$C397&lt;&gt;""),$C397+ROW()/1000000,"")</f>
        <v/>
      </c>
      <c r="AO397" s="9">
        <f>IF(COUNTA($B397:$R397)=0,"",IF(AND($I397&lt;&gt;"",COUNTIF(CLIENTES_NOMES,$I397)+COUNTIF(CLIENTES_FANTASIA,$I397)+COUNTIF(FORNECEDORES_NOMES,$I397)+COUNTIF(FORNECEDORES_FANTASIA,$I397)=0),"⚠ Cliente/Fornecedor não cadastrado",IF(AND($G397&lt;&gt;"",COUNTIF(SUBCATEGORIAS_PLANO,$G397)=0),"⚠ Subcategoria fora do plano de contas",IF(OR($Q397="",N($Q397)=0),"⚠ Valor previsto não informado",IF(AND(OR($X397="Pago",$X397="Recebido"),$D397=""),"⚠ Status pago/recebido sem data",IF(AND($D397&lt;&gt;"",N($R397)=0),"⚠ Data de pagamento sem valor realizado",IF(AND(N($P397)&gt;1,N($O397)&gt;N($P397)),"⚠ Nº da parcela maior que o total",IF(AND($C397&lt;&gt;"",$B397&lt;&gt;"",$C397&lt;$B397),"⚠ Vencimento anterior à competência","OK"))))))))</f>
        <v/>
      </c>
    </row>
    <row r="398">
      <c r="A398" s="14" t="inlineStr">
        <is>
          <t>L0393</t>
        </is>
      </c>
      <c r="B398" s="36" t="n">
        <v>46275</v>
      </c>
      <c r="C398" s="36" t="n">
        <v>46293</v>
      </c>
      <c r="D398" s="36" t="n"/>
      <c r="E398" s="14" t="inlineStr">
        <is>
          <t>Saída</t>
        </is>
      </c>
      <c r="F398" s="29" t="inlineStr">
        <is>
          <t>Despesas Administrativas</t>
        </is>
      </c>
      <c r="G398" s="29" t="inlineStr">
        <is>
          <t>Internet e Telefonia</t>
        </is>
      </c>
      <c r="H398" s="29" t="inlineStr">
        <is>
          <t>Administrativo</t>
        </is>
      </c>
      <c r="I398" s="29" t="inlineStr">
        <is>
          <t>TELEFÔNICA BRASIL S.A. (VIVO EMPRESAS)</t>
        </is>
      </c>
      <c r="J398" s="29" t="inlineStr">
        <is>
          <t>Internet, telefonia e link dedicado</t>
        </is>
      </c>
      <c r="K398" s="14" t="inlineStr">
        <is>
          <t>DOC 8400</t>
        </is>
      </c>
      <c r="L398" s="29" t="inlineStr">
        <is>
          <t>Nubank PJ — C/C 9876543-2</t>
        </is>
      </c>
      <c r="M398" s="14" t="inlineStr">
        <is>
          <t>Cartão de crédito</t>
        </is>
      </c>
      <c r="N398" s="29" t="inlineStr">
        <is>
          <t>Cartão Mastercard Nubank PJ</t>
        </is>
      </c>
      <c r="O398" s="13" t="n">
        <v>1</v>
      </c>
      <c r="P398" s="13" t="n">
        <v>1</v>
      </c>
      <c r="Q398" s="35" t="n">
        <v>780</v>
      </c>
      <c r="R398" s="35" t="n"/>
      <c r="S398" s="35" t="n"/>
      <c r="T398" s="35" t="n"/>
      <c r="U398" s="35" t="n"/>
      <c r="V398" s="18">
        <f>IF(COUNTA($B398:$R398)=0,"",ROUND(N($R398)+N($S398)+N($T398)-N($U398),2))</f>
        <v/>
      </c>
      <c r="W398" s="18">
        <f>IF(COUNTA($B398:$R398)=0,"",IF(OR($X398="Pago",$X398="Recebido",$X398="Cancelado"),0,ROUND(N($Q398)+N($S398)+N($T398)-N($U398)-N($R398),2)))</f>
        <v/>
      </c>
      <c r="X398" s="14" t="inlineStr">
        <is>
          <t>Previsto</t>
        </is>
      </c>
      <c r="Y398" s="17">
        <f>IF(COUNTA($B398:$R398)=0,"",IF($X398="Cancelado","Cancelado",IF(OR($X398="Pago",$X398="Recebido"),$X398,IF(OR($X398="Parcial",N($R398)&gt;0),"Parcial",IF($C398="","Sem vencimento",IF($C398&lt;TODAY(),"Vencido",IF($C398=TODAY(),"Vence hoje",IF($C398&lt;=TODAY()+7,"Vence em 7 dias",IF($C398&lt;=TODAY()+30,"Vence em 30 dias","Futuro")))))))))</f>
        <v/>
      </c>
      <c r="Z398" s="24">
        <f>IF($B398="","",MONTH($B398))</f>
        <v/>
      </c>
      <c r="AA398" s="24">
        <f>IF($B398="","",YEAR($B398))</f>
        <v/>
      </c>
      <c r="AB398" s="24">
        <f>IF($B398="","",ISOWEEKNUM($B398))</f>
        <v/>
      </c>
      <c r="AC398" s="17">
        <f>IF($B398="","",CHOOSE(WEEKDAY($B398,2),"Segunda","Terça","Quarta","Quinta","Sexta","Sábado","Domingo"))</f>
        <v/>
      </c>
      <c r="AD398" s="17">
        <f>IF($B398="","",TEXT($B398,"MM/AAAA"))</f>
        <v/>
      </c>
      <c r="AE398" s="18">
        <f>IF(COUNTA($B398:$R398)=0,"",IF($X398="Cancelado",0,ROUND(N($Q398)+N($S398)+N($T398)-N($U398),2)))</f>
        <v/>
      </c>
      <c r="AF398" s="9">
        <f>IF($G398="","",IFERROR(INDEX(LINHAS_DRE_PLANO,MATCH($G398,SUBCATEGORIAS_PLANO,0)),"Não classificado"))</f>
        <v/>
      </c>
      <c r="AG398" s="17">
        <f>IF($G398="","",IFERROR(INDEX(TIPOS_FLUXO_PLANO,MATCH($G398,SUBCATEGORIAS_PLANO,0)),"Não classificado"))</f>
        <v/>
      </c>
      <c r="AH398" s="9">
        <f>IF($G398="","",IFERROR(INDEX(GRUPOS_PLANO,MATCH($G398,SUBCATEGORIAS_PLANO,0)),"Não classificado"))</f>
        <v/>
      </c>
      <c r="AI398" s="24">
        <f>IF(OR($C398="",$X398="Pago",$X398="Recebido",$X398="Cancelado"),"",$C398-TODAY())</f>
        <v/>
      </c>
      <c r="AJ398" s="24">
        <f>IF(OR($C398="",$X398="Pago",$X398="Recebido",$X398="Cancelado"),0,MAX(0,TODAY()-$C398))</f>
        <v/>
      </c>
      <c r="AK398" s="24">
        <f>IF($D398="","",$D398-$B398)</f>
        <v/>
      </c>
      <c r="AL398" s="18">
        <f>IF(OR($D398="",$B398=""),"",ROUND(N($R398)*($D398-$B398),2))</f>
        <v/>
      </c>
      <c r="AM398" s="17">
        <f>IF(AND($E398="Saída",$W398&gt;0,$C398&lt;&gt;""),$C398+ROW()/1000000,"")</f>
        <v/>
      </c>
      <c r="AN398" s="17">
        <f>IF(AND($E398="Entrada",$W398&gt;0,$C398&lt;&gt;""),$C398+ROW()/1000000,"")</f>
        <v/>
      </c>
      <c r="AO398" s="9">
        <f>IF(COUNTA($B398:$R398)=0,"",IF(AND($I398&lt;&gt;"",COUNTIF(CLIENTES_NOMES,$I398)+COUNTIF(CLIENTES_FANTASIA,$I398)+COUNTIF(FORNECEDORES_NOMES,$I398)+COUNTIF(FORNECEDORES_FANTASIA,$I398)=0),"⚠ Cliente/Fornecedor não cadastrado",IF(AND($G398&lt;&gt;"",COUNTIF(SUBCATEGORIAS_PLANO,$G398)=0),"⚠ Subcategoria fora do plano de contas",IF(OR($Q398="",N($Q398)=0),"⚠ Valor previsto não informado",IF(AND(OR($X398="Pago",$X398="Recebido"),$D398=""),"⚠ Status pago/recebido sem data",IF(AND($D398&lt;&gt;"",N($R398)=0),"⚠ Data de pagamento sem valor realizado",IF(AND(N($P398)&gt;1,N($O398)&gt;N($P398)),"⚠ Nº da parcela maior que o total",IF(AND($C398&lt;&gt;"",$B398&lt;&gt;"",$C398&lt;$B398),"⚠ Vencimento anterior à competência","OK"))))))))</f>
        <v/>
      </c>
    </row>
    <row r="399">
      <c r="A399" s="14" t="inlineStr">
        <is>
          <t>L0394</t>
        </is>
      </c>
      <c r="B399" s="36" t="n">
        <v>46275</v>
      </c>
      <c r="C399" s="36" t="n">
        <v>46275</v>
      </c>
      <c r="D399" s="36" t="n">
        <v>46275</v>
      </c>
      <c r="E399" s="14" t="inlineStr">
        <is>
          <t>Saída</t>
        </is>
      </c>
      <c r="F399" s="29" t="inlineStr">
        <is>
          <t>Despesas Administrativas</t>
        </is>
      </c>
      <c r="G399" s="29" t="inlineStr">
        <is>
          <t>Contabilidade</t>
        </is>
      </c>
      <c r="H399" s="29" t="inlineStr">
        <is>
          <t>Financeiro</t>
        </is>
      </c>
      <c r="I399" s="29" t="inlineStr">
        <is>
          <t>CONTABILIDADE AURORA ASSESSORIA CONTÁBIL LTDA</t>
        </is>
      </c>
      <c r="J399" s="29" t="inlineStr">
        <is>
          <t>Honorários contábeis — competência 09/2026</t>
        </is>
      </c>
      <c r="K399" s="14" t="inlineStr">
        <is>
          <t>DOC 8401</t>
        </is>
      </c>
      <c r="L399" s="29" t="inlineStr">
        <is>
          <t>Itaú Unibanco — C/C 45678-9</t>
        </is>
      </c>
      <c r="M399" s="14" t="inlineStr">
        <is>
          <t>PIX</t>
        </is>
      </c>
      <c r="N399" s="29" t="n"/>
      <c r="O399" s="13" t="n">
        <v>1</v>
      </c>
      <c r="P399" s="13" t="n">
        <v>1</v>
      </c>
      <c r="Q399" s="35" t="n">
        <v>1250</v>
      </c>
      <c r="R399" s="35" t="n">
        <v>1250</v>
      </c>
      <c r="S399" s="35" t="n"/>
      <c r="T399" s="35" t="n"/>
      <c r="U399" s="35" t="n"/>
      <c r="V399" s="18">
        <f>IF(COUNTA($B399:$R399)=0,"",ROUND(N($R399)+N($S399)+N($T399)-N($U399),2))</f>
        <v/>
      </c>
      <c r="W399" s="18">
        <f>IF(COUNTA($B399:$R399)=0,"",IF(OR($X399="Pago",$X399="Recebido",$X399="Cancelado"),0,ROUND(N($Q399)+N($S399)+N($T399)-N($U399)-N($R399),2)))</f>
        <v/>
      </c>
      <c r="X399" s="14" t="inlineStr">
        <is>
          <t>Pago</t>
        </is>
      </c>
      <c r="Y399" s="17">
        <f>IF(COUNTA($B399:$R399)=0,"",IF($X399="Cancelado","Cancelado",IF(OR($X399="Pago",$X399="Recebido"),$X399,IF(OR($X399="Parcial",N($R399)&gt;0),"Parcial",IF($C399="","Sem vencimento",IF($C399&lt;TODAY(),"Vencido",IF($C399=TODAY(),"Vence hoje",IF($C399&lt;=TODAY()+7,"Vence em 7 dias",IF($C399&lt;=TODAY()+30,"Vence em 30 dias","Futuro")))))))))</f>
        <v/>
      </c>
      <c r="Z399" s="24">
        <f>IF($B399="","",MONTH($B399))</f>
        <v/>
      </c>
      <c r="AA399" s="24">
        <f>IF($B399="","",YEAR($B399))</f>
        <v/>
      </c>
      <c r="AB399" s="24">
        <f>IF($B399="","",ISOWEEKNUM($B399))</f>
        <v/>
      </c>
      <c r="AC399" s="17">
        <f>IF($B399="","",CHOOSE(WEEKDAY($B399,2),"Segunda","Terça","Quarta","Quinta","Sexta","Sábado","Domingo"))</f>
        <v/>
      </c>
      <c r="AD399" s="17">
        <f>IF($B399="","",TEXT($B399,"MM/AAAA"))</f>
        <v/>
      </c>
      <c r="AE399" s="18">
        <f>IF(COUNTA($B399:$R399)=0,"",IF($X399="Cancelado",0,ROUND(N($Q399)+N($S399)+N($T399)-N($U399),2)))</f>
        <v/>
      </c>
      <c r="AF399" s="9">
        <f>IF($G399="","",IFERROR(INDEX(LINHAS_DRE_PLANO,MATCH($G399,SUBCATEGORIAS_PLANO,0)),"Não classificado"))</f>
        <v/>
      </c>
      <c r="AG399" s="17">
        <f>IF($G399="","",IFERROR(INDEX(TIPOS_FLUXO_PLANO,MATCH($G399,SUBCATEGORIAS_PLANO,0)),"Não classificado"))</f>
        <v/>
      </c>
      <c r="AH399" s="9">
        <f>IF($G399="","",IFERROR(INDEX(GRUPOS_PLANO,MATCH($G399,SUBCATEGORIAS_PLANO,0)),"Não classificado"))</f>
        <v/>
      </c>
      <c r="AI399" s="24">
        <f>IF(OR($C399="",$X399="Pago",$X399="Recebido",$X399="Cancelado"),"",$C399-TODAY())</f>
        <v/>
      </c>
      <c r="AJ399" s="24">
        <f>IF(OR($C399="",$X399="Pago",$X399="Recebido",$X399="Cancelado"),0,MAX(0,TODAY()-$C399))</f>
        <v/>
      </c>
      <c r="AK399" s="24">
        <f>IF($D399="","",$D399-$B399)</f>
        <v/>
      </c>
      <c r="AL399" s="18">
        <f>IF(OR($D399="",$B399=""),"",ROUND(N($R399)*($D399-$B399),2))</f>
        <v/>
      </c>
      <c r="AM399" s="17">
        <f>IF(AND($E399="Saída",$W399&gt;0,$C399&lt;&gt;""),$C399+ROW()/1000000,"")</f>
        <v/>
      </c>
      <c r="AN399" s="17">
        <f>IF(AND($E399="Entrada",$W399&gt;0,$C399&lt;&gt;""),$C399+ROW()/1000000,"")</f>
        <v/>
      </c>
      <c r="AO399" s="9">
        <f>IF(COUNTA($B399:$R399)=0,"",IF(AND($I399&lt;&gt;"",COUNTIF(CLIENTES_NOMES,$I399)+COUNTIF(CLIENTES_FANTASIA,$I399)+COUNTIF(FORNECEDORES_NOMES,$I399)+COUNTIF(FORNECEDORES_FANTASIA,$I399)=0),"⚠ Cliente/Fornecedor não cadastrado",IF(AND($G399&lt;&gt;"",COUNTIF(SUBCATEGORIAS_PLANO,$G399)=0),"⚠ Subcategoria fora do plano de contas",IF(OR($Q399="",N($Q399)=0),"⚠ Valor previsto não informado",IF(AND(OR($X399="Pago",$X399="Recebido"),$D399=""),"⚠ Status pago/recebido sem data",IF(AND($D399&lt;&gt;"",N($R399)=0),"⚠ Data de pagamento sem valor realizado",IF(AND(N($P399)&gt;1,N($O399)&gt;N($P399)),"⚠ Nº da parcela maior que o total",IF(AND($C399&lt;&gt;"",$B399&lt;&gt;"",$C399&lt;$B399),"⚠ Vencimento anterior à competência","OK"))))))))</f>
        <v/>
      </c>
    </row>
    <row r="400">
      <c r="A400" s="14" t="inlineStr">
        <is>
          <t>L0395</t>
        </is>
      </c>
      <c r="B400" s="36" t="n">
        <v>46275</v>
      </c>
      <c r="C400" s="36" t="n">
        <v>46293</v>
      </c>
      <c r="D400" s="36" t="n"/>
      <c r="E400" s="14" t="inlineStr">
        <is>
          <t>Saída</t>
        </is>
      </c>
      <c r="F400" s="29" t="inlineStr">
        <is>
          <t>Despesas Comerciais</t>
        </is>
      </c>
      <c r="G400" s="29" t="inlineStr">
        <is>
          <t>Marketing Digital</t>
        </is>
      </c>
      <c r="H400" s="29" t="inlineStr">
        <is>
          <t>Marketing</t>
        </is>
      </c>
      <c r="I400" s="29" t="inlineStr">
        <is>
          <t>AGÊNCIA PULSO DIGITAL LTDA</t>
        </is>
      </c>
      <c r="J400" s="29" t="inlineStr">
        <is>
          <t>Gestão de tráfego pago e produção de conteúdo</t>
        </is>
      </c>
      <c r="K400" s="14" t="inlineStr">
        <is>
          <t>DOC 8407</t>
        </is>
      </c>
      <c r="L400" s="29" t="inlineStr">
        <is>
          <t>Nubank PJ — C/C 9876543-2</t>
        </is>
      </c>
      <c r="M400" s="14" t="inlineStr">
        <is>
          <t>Cartão de crédito</t>
        </is>
      </c>
      <c r="N400" s="29" t="inlineStr">
        <is>
          <t>Cartão Mastercard Nubank PJ</t>
        </is>
      </c>
      <c r="O400" s="13" t="n">
        <v>1</v>
      </c>
      <c r="P400" s="13" t="n">
        <v>1</v>
      </c>
      <c r="Q400" s="35" t="n">
        <v>3869.43</v>
      </c>
      <c r="R400" s="35" t="n"/>
      <c r="S400" s="35" t="n"/>
      <c r="T400" s="35" t="n"/>
      <c r="U400" s="35" t="n"/>
      <c r="V400" s="18">
        <f>IF(COUNTA($B400:$R400)=0,"",ROUND(N($R400)+N($S400)+N($T400)-N($U400),2))</f>
        <v/>
      </c>
      <c r="W400" s="18">
        <f>IF(COUNTA($B400:$R400)=0,"",IF(OR($X400="Pago",$X400="Recebido",$X400="Cancelado"),0,ROUND(N($Q400)+N($S400)+N($T400)-N($U400)-N($R400),2)))</f>
        <v/>
      </c>
      <c r="X400" s="14" t="inlineStr">
        <is>
          <t>Previsto</t>
        </is>
      </c>
      <c r="Y400" s="17">
        <f>IF(COUNTA($B400:$R400)=0,"",IF($X400="Cancelado","Cancelado",IF(OR($X400="Pago",$X400="Recebido"),$X400,IF(OR($X400="Parcial",N($R400)&gt;0),"Parcial",IF($C400="","Sem vencimento",IF($C400&lt;TODAY(),"Vencido",IF($C400=TODAY(),"Vence hoje",IF($C400&lt;=TODAY()+7,"Vence em 7 dias",IF($C400&lt;=TODAY()+30,"Vence em 30 dias","Futuro")))))))))</f>
        <v/>
      </c>
      <c r="Z400" s="24">
        <f>IF($B400="","",MONTH($B400))</f>
        <v/>
      </c>
      <c r="AA400" s="24">
        <f>IF($B400="","",YEAR($B400))</f>
        <v/>
      </c>
      <c r="AB400" s="24">
        <f>IF($B400="","",ISOWEEKNUM($B400))</f>
        <v/>
      </c>
      <c r="AC400" s="17">
        <f>IF($B400="","",CHOOSE(WEEKDAY($B400,2),"Segunda","Terça","Quarta","Quinta","Sexta","Sábado","Domingo"))</f>
        <v/>
      </c>
      <c r="AD400" s="17">
        <f>IF($B400="","",TEXT($B400,"MM/AAAA"))</f>
        <v/>
      </c>
      <c r="AE400" s="18">
        <f>IF(COUNTA($B400:$R400)=0,"",IF($X400="Cancelado",0,ROUND(N($Q400)+N($S400)+N($T400)-N($U400),2)))</f>
        <v/>
      </c>
      <c r="AF400" s="9">
        <f>IF($G400="","",IFERROR(INDEX(LINHAS_DRE_PLANO,MATCH($G400,SUBCATEGORIAS_PLANO,0)),"Não classificado"))</f>
        <v/>
      </c>
      <c r="AG400" s="17">
        <f>IF($G400="","",IFERROR(INDEX(TIPOS_FLUXO_PLANO,MATCH($G400,SUBCATEGORIAS_PLANO,0)),"Não classificado"))</f>
        <v/>
      </c>
      <c r="AH400" s="9">
        <f>IF($G400="","",IFERROR(INDEX(GRUPOS_PLANO,MATCH($G400,SUBCATEGORIAS_PLANO,0)),"Não classificado"))</f>
        <v/>
      </c>
      <c r="AI400" s="24">
        <f>IF(OR($C400="",$X400="Pago",$X400="Recebido",$X400="Cancelado"),"",$C400-TODAY())</f>
        <v/>
      </c>
      <c r="AJ400" s="24">
        <f>IF(OR($C400="",$X400="Pago",$X400="Recebido",$X400="Cancelado"),0,MAX(0,TODAY()-$C400))</f>
        <v/>
      </c>
      <c r="AK400" s="24">
        <f>IF($D400="","",$D400-$B400)</f>
        <v/>
      </c>
      <c r="AL400" s="18">
        <f>IF(OR($D400="",$B400=""),"",ROUND(N($R400)*($D400-$B400),2))</f>
        <v/>
      </c>
      <c r="AM400" s="17">
        <f>IF(AND($E400="Saída",$W400&gt;0,$C400&lt;&gt;""),$C400+ROW()/1000000,"")</f>
        <v/>
      </c>
      <c r="AN400" s="17">
        <f>IF(AND($E400="Entrada",$W400&gt;0,$C400&lt;&gt;""),$C400+ROW()/1000000,"")</f>
        <v/>
      </c>
      <c r="AO400" s="9">
        <f>IF(COUNTA($B400:$R400)=0,"",IF(AND($I400&lt;&gt;"",COUNTIF(CLIENTES_NOMES,$I400)+COUNTIF(CLIENTES_FANTASIA,$I400)+COUNTIF(FORNECEDORES_NOMES,$I400)+COUNTIF(FORNECEDORES_FANTASIA,$I400)=0),"⚠ Cliente/Fornecedor não cadastrado",IF(AND($G400&lt;&gt;"",COUNTIF(SUBCATEGORIAS_PLANO,$G400)=0),"⚠ Subcategoria fora do plano de contas",IF(OR($Q400="",N($Q400)=0),"⚠ Valor previsto não informado",IF(AND(OR($X400="Pago",$X400="Recebido"),$D400=""),"⚠ Status pago/recebido sem data",IF(AND($D400&lt;&gt;"",N($R400)=0),"⚠ Data de pagamento sem valor realizado",IF(AND(N($P400)&gt;1,N($O400)&gt;N($P400)),"⚠ Nº da parcela maior que o total",IF(AND($C400&lt;&gt;"",$B400&lt;&gt;"",$C400&lt;$B400),"⚠ Vencimento anterior à competência","OK"))))))))</f>
        <v/>
      </c>
    </row>
    <row r="401">
      <c r="A401" s="14" t="inlineStr">
        <is>
          <t>L0396</t>
        </is>
      </c>
      <c r="B401" s="36" t="n">
        <v>46275</v>
      </c>
      <c r="C401" s="36" t="n">
        <v>46275</v>
      </c>
      <c r="D401" s="36" t="n">
        <v>46275</v>
      </c>
      <c r="E401" s="14" t="inlineStr">
        <is>
          <t>Saída</t>
        </is>
      </c>
      <c r="F401" s="29" t="inlineStr">
        <is>
          <t>Empréstimos e Financiamentos</t>
        </is>
      </c>
      <c r="G401" s="29" t="inlineStr">
        <is>
          <t>Pagamento de Principal de Empréstimos</t>
        </is>
      </c>
      <c r="H401" s="29" t="inlineStr">
        <is>
          <t>Financeiro</t>
        </is>
      </c>
      <c r="I401" s="29" t="inlineStr">
        <is>
          <t>Banco do Brasil</t>
        </is>
      </c>
      <c r="J401" s="29" t="inlineStr">
        <is>
          <t>Capital de Giro — parcela 8/24 (principal)</t>
        </is>
      </c>
      <c r="K401" s="14" t="inlineStr">
        <is>
          <t>CG-2026-0417-P08</t>
        </is>
      </c>
      <c r="L401" s="29" t="inlineStr">
        <is>
          <t>Banco do Brasil — C/C 12345-6</t>
        </is>
      </c>
      <c r="M401" s="14" t="inlineStr">
        <is>
          <t>Débito automático</t>
        </is>
      </c>
      <c r="N401" s="29" t="n"/>
      <c r="O401" s="13" t="n">
        <v>8</v>
      </c>
      <c r="P401" s="13" t="n">
        <v>24</v>
      </c>
      <c r="Q401" s="35" t="n">
        <v>2325.62</v>
      </c>
      <c r="R401" s="35" t="n">
        <v>2325.62</v>
      </c>
      <c r="S401" s="35" t="n"/>
      <c r="T401" s="35" t="n"/>
      <c r="U401" s="35" t="n"/>
      <c r="V401" s="18">
        <f>IF(COUNTA($B401:$R401)=0,"",ROUND(N($R401)+N($S401)+N($T401)-N($U401),2))</f>
        <v/>
      </c>
      <c r="W401" s="18">
        <f>IF(COUNTA($B401:$R401)=0,"",IF(OR($X401="Pago",$X401="Recebido",$X401="Cancelado"),0,ROUND(N($Q401)+N($S401)+N($T401)-N($U401)-N($R401),2)))</f>
        <v/>
      </c>
      <c r="X401" s="14" t="inlineStr">
        <is>
          <t>Pago</t>
        </is>
      </c>
      <c r="Y401" s="17">
        <f>IF(COUNTA($B401:$R401)=0,"",IF($X401="Cancelado","Cancelado",IF(OR($X401="Pago",$X401="Recebido"),$X401,IF(OR($X401="Parcial",N($R401)&gt;0),"Parcial",IF($C401="","Sem vencimento",IF($C401&lt;TODAY(),"Vencido",IF($C401=TODAY(),"Vence hoje",IF($C401&lt;=TODAY()+7,"Vence em 7 dias",IF($C401&lt;=TODAY()+30,"Vence em 30 dias","Futuro")))))))))</f>
        <v/>
      </c>
      <c r="Z401" s="24">
        <f>IF($B401="","",MONTH($B401))</f>
        <v/>
      </c>
      <c r="AA401" s="24">
        <f>IF($B401="","",YEAR($B401))</f>
        <v/>
      </c>
      <c r="AB401" s="24">
        <f>IF($B401="","",ISOWEEKNUM($B401))</f>
        <v/>
      </c>
      <c r="AC401" s="17">
        <f>IF($B401="","",CHOOSE(WEEKDAY($B401,2),"Segunda","Terça","Quarta","Quinta","Sexta","Sábado","Domingo"))</f>
        <v/>
      </c>
      <c r="AD401" s="17">
        <f>IF($B401="","",TEXT($B401,"MM/AAAA"))</f>
        <v/>
      </c>
      <c r="AE401" s="18">
        <f>IF(COUNTA($B401:$R401)=0,"",IF($X401="Cancelado",0,ROUND(N($Q401)+N($S401)+N($T401)-N($U401),2)))</f>
        <v/>
      </c>
      <c r="AF401" s="9">
        <f>IF($G401="","",IFERROR(INDEX(LINHAS_DRE_PLANO,MATCH($G401,SUBCATEGORIAS_PLANO,0)),"Não classificado"))</f>
        <v/>
      </c>
      <c r="AG401" s="17">
        <f>IF($G401="","",IFERROR(INDEX(TIPOS_FLUXO_PLANO,MATCH($G401,SUBCATEGORIAS_PLANO,0)),"Não classificado"))</f>
        <v/>
      </c>
      <c r="AH401" s="9">
        <f>IF($G401="","",IFERROR(INDEX(GRUPOS_PLANO,MATCH($G401,SUBCATEGORIAS_PLANO,0)),"Não classificado"))</f>
        <v/>
      </c>
      <c r="AI401" s="24">
        <f>IF(OR($C401="",$X401="Pago",$X401="Recebido",$X401="Cancelado"),"",$C401-TODAY())</f>
        <v/>
      </c>
      <c r="AJ401" s="24">
        <f>IF(OR($C401="",$X401="Pago",$X401="Recebido",$X401="Cancelado"),0,MAX(0,TODAY()-$C401))</f>
        <v/>
      </c>
      <c r="AK401" s="24">
        <f>IF($D401="","",$D401-$B401)</f>
        <v/>
      </c>
      <c r="AL401" s="18">
        <f>IF(OR($D401="",$B401=""),"",ROUND(N($R401)*($D401-$B401),2))</f>
        <v/>
      </c>
      <c r="AM401" s="17">
        <f>IF(AND($E401="Saída",$W401&gt;0,$C401&lt;&gt;""),$C401+ROW()/1000000,"")</f>
        <v/>
      </c>
      <c r="AN401" s="17">
        <f>IF(AND($E401="Entrada",$W401&gt;0,$C401&lt;&gt;""),$C401+ROW()/1000000,"")</f>
        <v/>
      </c>
      <c r="AO401" s="9">
        <f>IF(COUNTA($B401:$R401)=0,"",IF(AND($I401&lt;&gt;"",COUNTIF(CLIENTES_NOMES,$I401)+COUNTIF(CLIENTES_FANTASIA,$I401)+COUNTIF(FORNECEDORES_NOMES,$I401)+COUNTIF(FORNECEDORES_FANTASIA,$I401)=0),"⚠ Cliente/Fornecedor não cadastrado",IF(AND($G401&lt;&gt;"",COUNTIF(SUBCATEGORIAS_PLANO,$G401)=0),"⚠ Subcategoria fora do plano de contas",IF(OR($Q401="",N($Q401)=0),"⚠ Valor previsto não informado",IF(AND(OR($X401="Pago",$X401="Recebido"),$D401=""),"⚠ Status pago/recebido sem data",IF(AND($D401&lt;&gt;"",N($R401)=0),"⚠ Data de pagamento sem valor realizado",IF(AND(N($P401)&gt;1,N($O401)&gt;N($P401)),"⚠ Nº da parcela maior que o total",IF(AND($C401&lt;&gt;"",$B401&lt;&gt;"",$C401&lt;$B401),"⚠ Vencimento anterior à competência","OK"))))))))</f>
        <v/>
      </c>
    </row>
    <row r="402">
      <c r="A402" s="14" t="inlineStr">
        <is>
          <t>L0397</t>
        </is>
      </c>
      <c r="B402" s="36" t="n">
        <v>46275</v>
      </c>
      <c r="C402" s="36" t="n">
        <v>46275</v>
      </c>
      <c r="D402" s="36" t="n">
        <v>46275</v>
      </c>
      <c r="E402" s="14" t="inlineStr">
        <is>
          <t>Saída</t>
        </is>
      </c>
      <c r="F402" s="29" t="inlineStr">
        <is>
          <t>Despesas Financeiras</t>
        </is>
      </c>
      <c r="G402" s="29" t="inlineStr">
        <is>
          <t>Juros de Empréstimos e Financiamentos</t>
        </is>
      </c>
      <c r="H402" s="29" t="inlineStr">
        <is>
          <t>Financeiro</t>
        </is>
      </c>
      <c r="I402" s="29" t="inlineStr">
        <is>
          <t>Banco do Brasil</t>
        </is>
      </c>
      <c r="J402" s="29" t="inlineStr">
        <is>
          <t>Capital de Giro — parcela 8/24 (juros)</t>
        </is>
      </c>
      <c r="K402" s="14" t="inlineStr">
        <is>
          <t>CG-2026-0417-P08</t>
        </is>
      </c>
      <c r="L402" s="29" t="inlineStr">
        <is>
          <t>Banco do Brasil — C/C 12345-6</t>
        </is>
      </c>
      <c r="M402" s="14" t="inlineStr">
        <is>
          <t>Débito automático</t>
        </is>
      </c>
      <c r="N402" s="29" t="n"/>
      <c r="O402" s="13" t="n">
        <v>8</v>
      </c>
      <c r="P402" s="13" t="n">
        <v>24</v>
      </c>
      <c r="Q402" s="35" t="n">
        <v>669.83</v>
      </c>
      <c r="R402" s="35" t="n">
        <v>669.83</v>
      </c>
      <c r="S402" s="35" t="n"/>
      <c r="T402" s="35" t="n"/>
      <c r="U402" s="35" t="n"/>
      <c r="V402" s="18">
        <f>IF(COUNTA($B402:$R402)=0,"",ROUND(N($R402)+N($S402)+N($T402)-N($U402),2))</f>
        <v/>
      </c>
      <c r="W402" s="18">
        <f>IF(COUNTA($B402:$R402)=0,"",IF(OR($X402="Pago",$X402="Recebido",$X402="Cancelado"),0,ROUND(N($Q402)+N($S402)+N($T402)-N($U402)-N($R402),2)))</f>
        <v/>
      </c>
      <c r="X402" s="14" t="inlineStr">
        <is>
          <t>Pago</t>
        </is>
      </c>
      <c r="Y402" s="17">
        <f>IF(COUNTA($B402:$R402)=0,"",IF($X402="Cancelado","Cancelado",IF(OR($X402="Pago",$X402="Recebido"),$X402,IF(OR($X402="Parcial",N($R402)&gt;0),"Parcial",IF($C402="","Sem vencimento",IF($C402&lt;TODAY(),"Vencido",IF($C402=TODAY(),"Vence hoje",IF($C402&lt;=TODAY()+7,"Vence em 7 dias",IF($C402&lt;=TODAY()+30,"Vence em 30 dias","Futuro")))))))))</f>
        <v/>
      </c>
      <c r="Z402" s="24">
        <f>IF($B402="","",MONTH($B402))</f>
        <v/>
      </c>
      <c r="AA402" s="24">
        <f>IF($B402="","",YEAR($B402))</f>
        <v/>
      </c>
      <c r="AB402" s="24">
        <f>IF($B402="","",ISOWEEKNUM($B402))</f>
        <v/>
      </c>
      <c r="AC402" s="17">
        <f>IF($B402="","",CHOOSE(WEEKDAY($B402,2),"Segunda","Terça","Quarta","Quinta","Sexta","Sábado","Domingo"))</f>
        <v/>
      </c>
      <c r="AD402" s="17">
        <f>IF($B402="","",TEXT($B402,"MM/AAAA"))</f>
        <v/>
      </c>
      <c r="AE402" s="18">
        <f>IF(COUNTA($B402:$R402)=0,"",IF($X402="Cancelado",0,ROUND(N($Q402)+N($S402)+N($T402)-N($U402),2)))</f>
        <v/>
      </c>
      <c r="AF402" s="9">
        <f>IF($G402="","",IFERROR(INDEX(LINHAS_DRE_PLANO,MATCH($G402,SUBCATEGORIAS_PLANO,0)),"Não classificado"))</f>
        <v/>
      </c>
      <c r="AG402" s="17">
        <f>IF($G402="","",IFERROR(INDEX(TIPOS_FLUXO_PLANO,MATCH($G402,SUBCATEGORIAS_PLANO,0)),"Não classificado"))</f>
        <v/>
      </c>
      <c r="AH402" s="9">
        <f>IF($G402="","",IFERROR(INDEX(GRUPOS_PLANO,MATCH($G402,SUBCATEGORIAS_PLANO,0)),"Não classificado"))</f>
        <v/>
      </c>
      <c r="AI402" s="24">
        <f>IF(OR($C402="",$X402="Pago",$X402="Recebido",$X402="Cancelado"),"",$C402-TODAY())</f>
        <v/>
      </c>
      <c r="AJ402" s="24">
        <f>IF(OR($C402="",$X402="Pago",$X402="Recebido",$X402="Cancelado"),0,MAX(0,TODAY()-$C402))</f>
        <v/>
      </c>
      <c r="AK402" s="24">
        <f>IF($D402="","",$D402-$B402)</f>
        <v/>
      </c>
      <c r="AL402" s="18">
        <f>IF(OR($D402="",$B402=""),"",ROUND(N($R402)*($D402-$B402),2))</f>
        <v/>
      </c>
      <c r="AM402" s="17">
        <f>IF(AND($E402="Saída",$W402&gt;0,$C402&lt;&gt;""),$C402+ROW()/1000000,"")</f>
        <v/>
      </c>
      <c r="AN402" s="17">
        <f>IF(AND($E402="Entrada",$W402&gt;0,$C402&lt;&gt;""),$C402+ROW()/1000000,"")</f>
        <v/>
      </c>
      <c r="AO402" s="9">
        <f>IF(COUNTA($B402:$R402)=0,"",IF(AND($I402&lt;&gt;"",COUNTIF(CLIENTES_NOMES,$I402)+COUNTIF(CLIENTES_FANTASIA,$I402)+COUNTIF(FORNECEDORES_NOMES,$I402)+COUNTIF(FORNECEDORES_FANTASIA,$I402)=0),"⚠ Cliente/Fornecedor não cadastrado",IF(AND($G402&lt;&gt;"",COUNTIF(SUBCATEGORIAS_PLANO,$G402)=0),"⚠ Subcategoria fora do plano de contas",IF(OR($Q402="",N($Q402)=0),"⚠ Valor previsto não informado",IF(AND(OR($X402="Pago",$X402="Recebido"),$D402=""),"⚠ Status pago/recebido sem data",IF(AND($D402&lt;&gt;"",N($R402)=0),"⚠ Data de pagamento sem valor realizado",IF(AND(N($P402)&gt;1,N($O402)&gt;N($P402)),"⚠ Nº da parcela maior que o total",IF(AND($C402&lt;&gt;"",$B402&lt;&gt;"",$C402&lt;$B402),"⚠ Vencimento anterior à competência","OK"))))))))</f>
        <v/>
      </c>
    </row>
    <row r="403">
      <c r="A403" s="14" t="inlineStr">
        <is>
          <t>L0398</t>
        </is>
      </c>
      <c r="B403" s="36" t="n">
        <v>46276</v>
      </c>
      <c r="C403" s="36" t="n">
        <v>46307</v>
      </c>
      <c r="D403" s="36" t="n"/>
      <c r="E403" s="14" t="inlineStr">
        <is>
          <t>Entrada</t>
        </is>
      </c>
      <c r="F403" s="29" t="inlineStr">
        <is>
          <t>Vendas</t>
        </is>
      </c>
      <c r="G403" s="29" t="inlineStr">
        <is>
          <t>Vendas de Produtos</t>
        </is>
      </c>
      <c r="H403" s="29" t="inlineStr">
        <is>
          <t>Comercial</t>
        </is>
      </c>
      <c r="I403" s="29" t="inlineStr">
        <is>
          <t>MERCADO BOA COMPRA LTDA</t>
        </is>
      </c>
      <c r="J403" s="29" t="inlineStr">
        <is>
          <t>Venda de mercadorias (parcela 1/2)</t>
        </is>
      </c>
      <c r="K403" s="14" t="inlineStr">
        <is>
          <t>NF-e 2096</t>
        </is>
      </c>
      <c r="L403" s="29" t="inlineStr">
        <is>
          <t>Banco do Brasil — C/C 12345-6</t>
        </is>
      </c>
      <c r="M403" s="14" t="inlineStr">
        <is>
          <t>Crédito parcelado</t>
        </is>
      </c>
      <c r="N403" s="29" t="n"/>
      <c r="O403" s="13" t="n">
        <v>1</v>
      </c>
      <c r="P403" s="13" t="n">
        <v>2</v>
      </c>
      <c r="Q403" s="35" t="n">
        <v>20647.99</v>
      </c>
      <c r="R403" s="35" t="n"/>
      <c r="S403" s="35" t="n"/>
      <c r="T403" s="35" t="n"/>
      <c r="U403" s="35" t="n"/>
      <c r="V403" s="18">
        <f>IF(COUNTA($B403:$R403)=0,"",ROUND(N($R403)+N($S403)+N($T403)-N($U403),2))</f>
        <v/>
      </c>
      <c r="W403" s="18">
        <f>IF(COUNTA($B403:$R403)=0,"",IF(OR($X403="Pago",$X403="Recebido",$X403="Cancelado"),0,ROUND(N($Q403)+N($S403)+N($T403)-N($U403)-N($R403),2)))</f>
        <v/>
      </c>
      <c r="X403" s="14" t="inlineStr">
        <is>
          <t>Previsto</t>
        </is>
      </c>
      <c r="Y403" s="17">
        <f>IF(COUNTA($B403:$R403)=0,"",IF($X403="Cancelado","Cancelado",IF(OR($X403="Pago",$X403="Recebido"),$X403,IF(OR($X403="Parcial",N($R403)&gt;0),"Parcial",IF($C403="","Sem vencimento",IF($C403&lt;TODAY(),"Vencido",IF($C403=TODAY(),"Vence hoje",IF($C403&lt;=TODAY()+7,"Vence em 7 dias",IF($C403&lt;=TODAY()+30,"Vence em 30 dias","Futuro")))))))))</f>
        <v/>
      </c>
      <c r="Z403" s="24">
        <f>IF($B403="","",MONTH($B403))</f>
        <v/>
      </c>
      <c r="AA403" s="24">
        <f>IF($B403="","",YEAR($B403))</f>
        <v/>
      </c>
      <c r="AB403" s="24">
        <f>IF($B403="","",ISOWEEKNUM($B403))</f>
        <v/>
      </c>
      <c r="AC403" s="17">
        <f>IF($B403="","",CHOOSE(WEEKDAY($B403,2),"Segunda","Terça","Quarta","Quinta","Sexta","Sábado","Domingo"))</f>
        <v/>
      </c>
      <c r="AD403" s="17">
        <f>IF($B403="","",TEXT($B403,"MM/AAAA"))</f>
        <v/>
      </c>
      <c r="AE403" s="18">
        <f>IF(COUNTA($B403:$R403)=0,"",IF($X403="Cancelado",0,ROUND(N($Q403)+N($S403)+N($T403)-N($U403),2)))</f>
        <v/>
      </c>
      <c r="AF403" s="9">
        <f>IF($G403="","",IFERROR(INDEX(LINHAS_DRE_PLANO,MATCH($G403,SUBCATEGORIAS_PLANO,0)),"Não classificado"))</f>
        <v/>
      </c>
      <c r="AG403" s="17">
        <f>IF($G403="","",IFERROR(INDEX(TIPOS_FLUXO_PLANO,MATCH($G403,SUBCATEGORIAS_PLANO,0)),"Não classificado"))</f>
        <v/>
      </c>
      <c r="AH403" s="9">
        <f>IF($G403="","",IFERROR(INDEX(GRUPOS_PLANO,MATCH($G403,SUBCATEGORIAS_PLANO,0)),"Não classificado"))</f>
        <v/>
      </c>
      <c r="AI403" s="24">
        <f>IF(OR($C403="",$X403="Pago",$X403="Recebido",$X403="Cancelado"),"",$C403-TODAY())</f>
        <v/>
      </c>
      <c r="AJ403" s="24">
        <f>IF(OR($C403="",$X403="Pago",$X403="Recebido",$X403="Cancelado"),0,MAX(0,TODAY()-$C403))</f>
        <v/>
      </c>
      <c r="AK403" s="24">
        <f>IF($D403="","",$D403-$B403)</f>
        <v/>
      </c>
      <c r="AL403" s="18">
        <f>IF(OR($D403="",$B403=""),"",ROUND(N($R403)*($D403-$B403),2))</f>
        <v/>
      </c>
      <c r="AM403" s="17">
        <f>IF(AND($E403="Saída",$W403&gt;0,$C403&lt;&gt;""),$C403+ROW()/1000000,"")</f>
        <v/>
      </c>
      <c r="AN403" s="17">
        <f>IF(AND($E403="Entrada",$W403&gt;0,$C403&lt;&gt;""),$C403+ROW()/1000000,"")</f>
        <v/>
      </c>
      <c r="AO403" s="9">
        <f>IF(COUNTA($B403:$R403)=0,"",IF(AND($I403&lt;&gt;"",COUNTIF(CLIENTES_NOMES,$I403)+COUNTIF(CLIENTES_FANTASIA,$I403)+COUNTIF(FORNECEDORES_NOMES,$I403)+COUNTIF(FORNECEDORES_FANTASIA,$I403)=0),"⚠ Cliente/Fornecedor não cadastrado",IF(AND($G403&lt;&gt;"",COUNTIF(SUBCATEGORIAS_PLANO,$G403)=0),"⚠ Subcategoria fora do plano de contas",IF(OR($Q403="",N($Q403)=0),"⚠ Valor previsto não informado",IF(AND(OR($X403="Pago",$X403="Recebido"),$D403=""),"⚠ Status pago/recebido sem data",IF(AND($D403&lt;&gt;"",N($R403)=0),"⚠ Data de pagamento sem valor realizado",IF(AND(N($P403)&gt;1,N($O403)&gt;N($P403)),"⚠ Nº da parcela maior que o total",IF(AND($C403&lt;&gt;"",$B403&lt;&gt;"",$C403&lt;$B403),"⚠ Vencimento anterior à competência","OK"))))))))</f>
        <v/>
      </c>
    </row>
    <row r="404">
      <c r="A404" s="14" t="inlineStr">
        <is>
          <t>L0399</t>
        </is>
      </c>
      <c r="B404" s="36" t="n">
        <v>46276</v>
      </c>
      <c r="C404" s="36" t="n">
        <v>46337</v>
      </c>
      <c r="D404" s="36" t="n"/>
      <c r="E404" s="14" t="inlineStr">
        <is>
          <t>Entrada</t>
        </is>
      </c>
      <c r="F404" s="29" t="inlineStr">
        <is>
          <t>Vendas</t>
        </is>
      </c>
      <c r="G404" s="29" t="inlineStr">
        <is>
          <t>Vendas de Produtos</t>
        </is>
      </c>
      <c r="H404" s="29" t="inlineStr">
        <is>
          <t>Comercial</t>
        </is>
      </c>
      <c r="I404" s="29" t="inlineStr">
        <is>
          <t>MERCADO BOA COMPRA LTDA</t>
        </is>
      </c>
      <c r="J404" s="29" t="inlineStr">
        <is>
          <t>Venda de mercadorias (parcela 2/2)</t>
        </is>
      </c>
      <c r="K404" s="14" t="inlineStr">
        <is>
          <t>NF-e 2097</t>
        </is>
      </c>
      <c r="L404" s="29" t="inlineStr">
        <is>
          <t>Banco do Brasil — C/C 12345-6</t>
        </is>
      </c>
      <c r="M404" s="14" t="inlineStr">
        <is>
          <t>Crédito parcelado</t>
        </is>
      </c>
      <c r="N404" s="29" t="n"/>
      <c r="O404" s="13" t="n">
        <v>2</v>
      </c>
      <c r="P404" s="13" t="n">
        <v>2</v>
      </c>
      <c r="Q404" s="35" t="n">
        <v>20647.99</v>
      </c>
      <c r="R404" s="35" t="n"/>
      <c r="S404" s="35" t="n"/>
      <c r="T404" s="35" t="n"/>
      <c r="U404" s="35" t="n"/>
      <c r="V404" s="18">
        <f>IF(COUNTA($B404:$R404)=0,"",ROUND(N($R404)+N($S404)+N($T404)-N($U404),2))</f>
        <v/>
      </c>
      <c r="W404" s="18">
        <f>IF(COUNTA($B404:$R404)=0,"",IF(OR($X404="Pago",$X404="Recebido",$X404="Cancelado"),0,ROUND(N($Q404)+N($S404)+N($T404)-N($U404)-N($R404),2)))</f>
        <v/>
      </c>
      <c r="X404" s="14" t="inlineStr">
        <is>
          <t>Previsto</t>
        </is>
      </c>
      <c r="Y404" s="17">
        <f>IF(COUNTA($B404:$R404)=0,"",IF($X404="Cancelado","Cancelado",IF(OR($X404="Pago",$X404="Recebido"),$X404,IF(OR($X404="Parcial",N($R404)&gt;0),"Parcial",IF($C404="","Sem vencimento",IF($C404&lt;TODAY(),"Vencido",IF($C404=TODAY(),"Vence hoje",IF($C404&lt;=TODAY()+7,"Vence em 7 dias",IF($C404&lt;=TODAY()+30,"Vence em 30 dias","Futuro")))))))))</f>
        <v/>
      </c>
      <c r="Z404" s="24">
        <f>IF($B404="","",MONTH($B404))</f>
        <v/>
      </c>
      <c r="AA404" s="24">
        <f>IF($B404="","",YEAR($B404))</f>
        <v/>
      </c>
      <c r="AB404" s="24">
        <f>IF($B404="","",ISOWEEKNUM($B404))</f>
        <v/>
      </c>
      <c r="AC404" s="17">
        <f>IF($B404="","",CHOOSE(WEEKDAY($B404,2),"Segunda","Terça","Quarta","Quinta","Sexta","Sábado","Domingo"))</f>
        <v/>
      </c>
      <c r="AD404" s="17">
        <f>IF($B404="","",TEXT($B404,"MM/AAAA"))</f>
        <v/>
      </c>
      <c r="AE404" s="18">
        <f>IF(COUNTA($B404:$R404)=0,"",IF($X404="Cancelado",0,ROUND(N($Q404)+N($S404)+N($T404)-N($U404),2)))</f>
        <v/>
      </c>
      <c r="AF404" s="9">
        <f>IF($G404="","",IFERROR(INDEX(LINHAS_DRE_PLANO,MATCH($G404,SUBCATEGORIAS_PLANO,0)),"Não classificado"))</f>
        <v/>
      </c>
      <c r="AG404" s="17">
        <f>IF($G404="","",IFERROR(INDEX(TIPOS_FLUXO_PLANO,MATCH($G404,SUBCATEGORIAS_PLANO,0)),"Não classificado"))</f>
        <v/>
      </c>
      <c r="AH404" s="9">
        <f>IF($G404="","",IFERROR(INDEX(GRUPOS_PLANO,MATCH($G404,SUBCATEGORIAS_PLANO,0)),"Não classificado"))</f>
        <v/>
      </c>
      <c r="AI404" s="24">
        <f>IF(OR($C404="",$X404="Pago",$X404="Recebido",$X404="Cancelado"),"",$C404-TODAY())</f>
        <v/>
      </c>
      <c r="AJ404" s="24">
        <f>IF(OR($C404="",$X404="Pago",$X404="Recebido",$X404="Cancelado"),0,MAX(0,TODAY()-$C404))</f>
        <v/>
      </c>
      <c r="AK404" s="24">
        <f>IF($D404="","",$D404-$B404)</f>
        <v/>
      </c>
      <c r="AL404" s="18">
        <f>IF(OR($D404="",$B404=""),"",ROUND(N($R404)*($D404-$B404),2))</f>
        <v/>
      </c>
      <c r="AM404" s="17">
        <f>IF(AND($E404="Saída",$W404&gt;0,$C404&lt;&gt;""),$C404+ROW()/1000000,"")</f>
        <v/>
      </c>
      <c r="AN404" s="17">
        <f>IF(AND($E404="Entrada",$W404&gt;0,$C404&lt;&gt;""),$C404+ROW()/1000000,"")</f>
        <v/>
      </c>
      <c r="AO404" s="9">
        <f>IF(COUNTA($B404:$R404)=0,"",IF(AND($I404&lt;&gt;"",COUNTIF(CLIENTES_NOMES,$I404)+COUNTIF(CLIENTES_FANTASIA,$I404)+COUNTIF(FORNECEDORES_NOMES,$I404)+COUNTIF(FORNECEDORES_FANTASIA,$I404)=0),"⚠ Cliente/Fornecedor não cadastrado",IF(AND($G404&lt;&gt;"",COUNTIF(SUBCATEGORIAS_PLANO,$G404)=0),"⚠ Subcategoria fora do plano de contas",IF(OR($Q404="",N($Q404)=0),"⚠ Valor previsto não informado",IF(AND(OR($X404="Pago",$X404="Recebido"),$D404=""),"⚠ Status pago/recebido sem data",IF(AND($D404&lt;&gt;"",N($R404)=0),"⚠ Data de pagamento sem valor realizado",IF(AND(N($P404)&gt;1,N($O404)&gt;N($P404)),"⚠ Nº da parcela maior que o total",IF(AND($C404&lt;&gt;"",$B404&lt;&gt;"",$C404&lt;$B404),"⚠ Vencimento anterior à competência","OK"))))))))</f>
        <v/>
      </c>
    </row>
    <row r="405">
      <c r="A405" s="14" t="inlineStr">
        <is>
          <t>L0400</t>
        </is>
      </c>
      <c r="B405" s="36" t="n">
        <v>46276</v>
      </c>
      <c r="C405" s="36" t="n">
        <v>46276</v>
      </c>
      <c r="D405" s="36" t="n">
        <v>46279</v>
      </c>
      <c r="E405" s="14" t="inlineStr">
        <is>
          <t>Entrada</t>
        </is>
      </c>
      <c r="F405" s="29" t="inlineStr">
        <is>
          <t>Vendas</t>
        </is>
      </c>
      <c r="G405" s="29" t="inlineStr">
        <is>
          <t>Vendas de Produtos</t>
        </is>
      </c>
      <c r="H405" s="29" t="inlineStr">
        <is>
          <t>Comercial</t>
        </is>
      </c>
      <c r="I405" s="29" t="inlineStr">
        <is>
          <t>PADARIA PÃO DOURADO ME</t>
        </is>
      </c>
      <c r="J405" s="29" t="inlineStr">
        <is>
          <t>Venda de mercadorias para revenda</t>
        </is>
      </c>
      <c r="K405" s="14" t="inlineStr">
        <is>
          <t>NF-e 2100</t>
        </is>
      </c>
      <c r="L405" s="29" t="inlineStr">
        <is>
          <t>Nubank PJ — C/C 9876543-2</t>
        </is>
      </c>
      <c r="M405" s="14" t="inlineStr">
        <is>
          <t>PIX</t>
        </is>
      </c>
      <c r="N405" s="29" t="n"/>
      <c r="O405" s="13" t="n">
        <v>1</v>
      </c>
      <c r="P405" s="13" t="n">
        <v>1</v>
      </c>
      <c r="Q405" s="35" t="n">
        <v>27910.35</v>
      </c>
      <c r="R405" s="35" t="n">
        <v>27910.35</v>
      </c>
      <c r="S405" s="35" t="n"/>
      <c r="T405" s="35" t="n"/>
      <c r="U405" s="35" t="n"/>
      <c r="V405" s="18">
        <f>IF(COUNTA($B405:$R405)=0,"",ROUND(N($R405)+N($S405)+N($T405)-N($U405),2))</f>
        <v/>
      </c>
      <c r="W405" s="18">
        <f>IF(COUNTA($B405:$R405)=0,"",IF(OR($X405="Pago",$X405="Recebido",$X405="Cancelado"),0,ROUND(N($Q405)+N($S405)+N($T405)-N($U405)-N($R405),2)))</f>
        <v/>
      </c>
      <c r="X405" s="14" t="inlineStr">
        <is>
          <t>Pago</t>
        </is>
      </c>
      <c r="Y405" s="17">
        <f>IF(COUNTA($B405:$R405)=0,"",IF($X405="Cancelado","Cancelado",IF(OR($X405="Pago",$X405="Recebido"),$X405,IF(OR($X405="Parcial",N($R405)&gt;0),"Parcial",IF($C405="","Sem vencimento",IF($C405&lt;TODAY(),"Vencido",IF($C405=TODAY(),"Vence hoje",IF($C405&lt;=TODAY()+7,"Vence em 7 dias",IF($C405&lt;=TODAY()+30,"Vence em 30 dias","Futuro")))))))))</f>
        <v/>
      </c>
      <c r="Z405" s="24">
        <f>IF($B405="","",MONTH($B405))</f>
        <v/>
      </c>
      <c r="AA405" s="24">
        <f>IF($B405="","",YEAR($B405))</f>
        <v/>
      </c>
      <c r="AB405" s="24">
        <f>IF($B405="","",ISOWEEKNUM($B405))</f>
        <v/>
      </c>
      <c r="AC405" s="17">
        <f>IF($B405="","",CHOOSE(WEEKDAY($B405,2),"Segunda","Terça","Quarta","Quinta","Sexta","Sábado","Domingo"))</f>
        <v/>
      </c>
      <c r="AD405" s="17">
        <f>IF($B405="","",TEXT($B405,"MM/AAAA"))</f>
        <v/>
      </c>
      <c r="AE405" s="18">
        <f>IF(COUNTA($B405:$R405)=0,"",IF($X405="Cancelado",0,ROUND(N($Q405)+N($S405)+N($T405)-N($U405),2)))</f>
        <v/>
      </c>
      <c r="AF405" s="9">
        <f>IF($G405="","",IFERROR(INDEX(LINHAS_DRE_PLANO,MATCH($G405,SUBCATEGORIAS_PLANO,0)),"Não classificado"))</f>
        <v/>
      </c>
      <c r="AG405" s="17">
        <f>IF($G405="","",IFERROR(INDEX(TIPOS_FLUXO_PLANO,MATCH($G405,SUBCATEGORIAS_PLANO,0)),"Não classificado"))</f>
        <v/>
      </c>
      <c r="AH405" s="9">
        <f>IF($G405="","",IFERROR(INDEX(GRUPOS_PLANO,MATCH($G405,SUBCATEGORIAS_PLANO,0)),"Não classificado"))</f>
        <v/>
      </c>
      <c r="AI405" s="24">
        <f>IF(OR($C405="",$X405="Pago",$X405="Recebido",$X405="Cancelado"),"",$C405-TODAY())</f>
        <v/>
      </c>
      <c r="AJ405" s="24">
        <f>IF(OR($C405="",$X405="Pago",$X405="Recebido",$X405="Cancelado"),0,MAX(0,TODAY()-$C405))</f>
        <v/>
      </c>
      <c r="AK405" s="24">
        <f>IF($D405="","",$D405-$B405)</f>
        <v/>
      </c>
      <c r="AL405" s="18">
        <f>IF(OR($D405="",$B405=""),"",ROUND(N($R405)*($D405-$B405),2))</f>
        <v/>
      </c>
      <c r="AM405" s="17">
        <f>IF(AND($E405="Saída",$W405&gt;0,$C405&lt;&gt;""),$C405+ROW()/1000000,"")</f>
        <v/>
      </c>
      <c r="AN405" s="17">
        <f>IF(AND($E405="Entrada",$W405&gt;0,$C405&lt;&gt;""),$C405+ROW()/1000000,"")</f>
        <v/>
      </c>
      <c r="AO405" s="9">
        <f>IF(COUNTA($B405:$R405)=0,"",IF(AND($I405&lt;&gt;"",COUNTIF(CLIENTES_NOMES,$I405)+COUNTIF(CLIENTES_FANTASIA,$I405)+COUNTIF(FORNECEDORES_NOMES,$I405)+COUNTIF(FORNECEDORES_FANTASIA,$I405)=0),"⚠ Cliente/Fornecedor não cadastrado",IF(AND($G405&lt;&gt;"",COUNTIF(SUBCATEGORIAS_PLANO,$G405)=0),"⚠ Subcategoria fora do plano de contas",IF(OR($Q405="",N($Q405)=0),"⚠ Valor previsto não informado",IF(AND(OR($X405="Pago",$X405="Recebido"),$D405=""),"⚠ Status pago/recebido sem data",IF(AND($D405&lt;&gt;"",N($R405)=0),"⚠ Data de pagamento sem valor realizado",IF(AND(N($P405)&gt;1,N($O405)&gt;N($P405)),"⚠ Nº da parcela maior que o total",IF(AND($C405&lt;&gt;"",$B405&lt;&gt;"",$C405&lt;$B405),"⚠ Vencimento anterior à competência","OK"))))))))</f>
        <v/>
      </c>
    </row>
    <row r="406">
      <c r="A406" s="14" t="inlineStr">
        <is>
          <t>L0401</t>
        </is>
      </c>
      <c r="B406" s="36" t="n">
        <v>46276</v>
      </c>
      <c r="C406" s="36" t="n">
        <v>46293</v>
      </c>
      <c r="D406" s="36" t="n"/>
      <c r="E406" s="14" t="inlineStr">
        <is>
          <t>Entrada</t>
        </is>
      </c>
      <c r="F406" s="29" t="inlineStr">
        <is>
          <t>Vendas</t>
        </is>
      </c>
      <c r="G406" s="29" t="inlineStr">
        <is>
          <t>Vendas de Produtos</t>
        </is>
      </c>
      <c r="H406" s="29" t="inlineStr">
        <is>
          <t>Comercial</t>
        </is>
      </c>
      <c r="I406" s="29" t="inlineStr">
        <is>
          <t>RESTAURANTE SABOR CASEIRO LTDA</t>
        </is>
      </c>
      <c r="J406" s="29" t="inlineStr">
        <is>
          <t>Venda de mercadorias para revenda</t>
        </is>
      </c>
      <c r="K406" s="14" t="inlineStr">
        <is>
          <t>NF-e 2101</t>
        </is>
      </c>
      <c r="L406" s="29" t="inlineStr">
        <is>
          <t>Itaú Unibanco — C/C 45678-9</t>
        </is>
      </c>
      <c r="M406" s="14" t="inlineStr">
        <is>
          <t>Boleto</t>
        </is>
      </c>
      <c r="N406" s="29" t="n"/>
      <c r="O406" s="13" t="n">
        <v>1</v>
      </c>
      <c r="P406" s="13" t="n">
        <v>1</v>
      </c>
      <c r="Q406" s="35" t="n">
        <v>19585.08</v>
      </c>
      <c r="R406" s="35" t="n"/>
      <c r="S406" s="35" t="n"/>
      <c r="T406" s="35" t="n"/>
      <c r="U406" s="35" t="n"/>
      <c r="V406" s="18">
        <f>IF(COUNTA($B406:$R406)=0,"",ROUND(N($R406)+N($S406)+N($T406)-N($U406),2))</f>
        <v/>
      </c>
      <c r="W406" s="18">
        <f>IF(COUNTA($B406:$R406)=0,"",IF(OR($X406="Pago",$X406="Recebido",$X406="Cancelado"),0,ROUND(N($Q406)+N($S406)+N($T406)-N($U406)-N($R406),2)))</f>
        <v/>
      </c>
      <c r="X406" s="14" t="inlineStr">
        <is>
          <t>Previsto</t>
        </is>
      </c>
      <c r="Y406" s="17">
        <f>IF(COUNTA($B406:$R406)=0,"",IF($X406="Cancelado","Cancelado",IF(OR($X406="Pago",$X406="Recebido"),$X406,IF(OR($X406="Parcial",N($R406)&gt;0),"Parcial",IF($C406="","Sem vencimento",IF($C406&lt;TODAY(),"Vencido",IF($C406=TODAY(),"Vence hoje",IF($C406&lt;=TODAY()+7,"Vence em 7 dias",IF($C406&lt;=TODAY()+30,"Vence em 30 dias","Futuro")))))))))</f>
        <v/>
      </c>
      <c r="Z406" s="24">
        <f>IF($B406="","",MONTH($B406))</f>
        <v/>
      </c>
      <c r="AA406" s="24">
        <f>IF($B406="","",YEAR($B406))</f>
        <v/>
      </c>
      <c r="AB406" s="24">
        <f>IF($B406="","",ISOWEEKNUM($B406))</f>
        <v/>
      </c>
      <c r="AC406" s="17">
        <f>IF($B406="","",CHOOSE(WEEKDAY($B406,2),"Segunda","Terça","Quarta","Quinta","Sexta","Sábado","Domingo"))</f>
        <v/>
      </c>
      <c r="AD406" s="17">
        <f>IF($B406="","",TEXT($B406,"MM/AAAA"))</f>
        <v/>
      </c>
      <c r="AE406" s="18">
        <f>IF(COUNTA($B406:$R406)=0,"",IF($X406="Cancelado",0,ROUND(N($Q406)+N($S406)+N($T406)-N($U406),2)))</f>
        <v/>
      </c>
      <c r="AF406" s="9">
        <f>IF($G406="","",IFERROR(INDEX(LINHAS_DRE_PLANO,MATCH($G406,SUBCATEGORIAS_PLANO,0)),"Não classificado"))</f>
        <v/>
      </c>
      <c r="AG406" s="17">
        <f>IF($G406="","",IFERROR(INDEX(TIPOS_FLUXO_PLANO,MATCH($G406,SUBCATEGORIAS_PLANO,0)),"Não classificado"))</f>
        <v/>
      </c>
      <c r="AH406" s="9">
        <f>IF($G406="","",IFERROR(INDEX(GRUPOS_PLANO,MATCH($G406,SUBCATEGORIAS_PLANO,0)),"Não classificado"))</f>
        <v/>
      </c>
      <c r="AI406" s="24">
        <f>IF(OR($C406="",$X406="Pago",$X406="Recebido",$X406="Cancelado"),"",$C406-TODAY())</f>
        <v/>
      </c>
      <c r="AJ406" s="24">
        <f>IF(OR($C406="",$X406="Pago",$X406="Recebido",$X406="Cancelado"),0,MAX(0,TODAY()-$C406))</f>
        <v/>
      </c>
      <c r="AK406" s="24">
        <f>IF($D406="","",$D406-$B406)</f>
        <v/>
      </c>
      <c r="AL406" s="18">
        <f>IF(OR($D406="",$B406=""),"",ROUND(N($R406)*($D406-$B406),2))</f>
        <v/>
      </c>
      <c r="AM406" s="17">
        <f>IF(AND($E406="Saída",$W406&gt;0,$C406&lt;&gt;""),$C406+ROW()/1000000,"")</f>
        <v/>
      </c>
      <c r="AN406" s="17">
        <f>IF(AND($E406="Entrada",$W406&gt;0,$C406&lt;&gt;""),$C406+ROW()/1000000,"")</f>
        <v/>
      </c>
      <c r="AO406" s="9">
        <f>IF(COUNTA($B406:$R406)=0,"",IF(AND($I406&lt;&gt;"",COUNTIF(CLIENTES_NOMES,$I406)+COUNTIF(CLIENTES_FANTASIA,$I406)+COUNTIF(FORNECEDORES_NOMES,$I406)+COUNTIF(FORNECEDORES_FANTASIA,$I406)=0),"⚠ Cliente/Fornecedor não cadastrado",IF(AND($G406&lt;&gt;"",COUNTIF(SUBCATEGORIAS_PLANO,$G406)=0),"⚠ Subcategoria fora do plano de contas",IF(OR($Q406="",N($Q406)=0),"⚠ Valor previsto não informado",IF(AND(OR($X406="Pago",$X406="Recebido"),$D406=""),"⚠ Status pago/recebido sem data",IF(AND($D406&lt;&gt;"",N($R406)=0),"⚠ Data de pagamento sem valor realizado",IF(AND(N($P406)&gt;1,N($O406)&gt;N($P406)),"⚠ Nº da parcela maior que o total",IF(AND($C406&lt;&gt;"",$B406&lt;&gt;"",$C406&lt;$B406),"⚠ Vencimento anterior à competência","OK"))))))))</f>
        <v/>
      </c>
    </row>
    <row r="407">
      <c r="A407" s="14" t="inlineStr">
        <is>
          <t>L0402</t>
        </is>
      </c>
      <c r="B407" s="36" t="n">
        <v>46276</v>
      </c>
      <c r="C407" s="36" t="n">
        <v>46307</v>
      </c>
      <c r="D407" s="36" t="n"/>
      <c r="E407" s="14" t="inlineStr">
        <is>
          <t>Entrada</t>
        </is>
      </c>
      <c r="F407" s="29" t="inlineStr">
        <is>
          <t>Vendas</t>
        </is>
      </c>
      <c r="G407" s="29" t="inlineStr">
        <is>
          <t>Vendas de Produtos</t>
        </is>
      </c>
      <c r="H407" s="29" t="inlineStr">
        <is>
          <t>Comercial</t>
        </is>
      </c>
      <c r="I407" s="29" t="inlineStr">
        <is>
          <t>HOTEL VISTA ALEGRE LTDA</t>
        </is>
      </c>
      <c r="J407" s="29" t="inlineStr">
        <is>
          <t>Venda de mercadorias para revenda</t>
        </is>
      </c>
      <c r="K407" s="14" t="inlineStr">
        <is>
          <t>NF-e 2104</t>
        </is>
      </c>
      <c r="L407" s="29" t="inlineStr">
        <is>
          <t>Itaú Unibanco — C/C 45678-9</t>
        </is>
      </c>
      <c r="M407" s="14" t="inlineStr">
        <is>
          <t>Boleto</t>
        </is>
      </c>
      <c r="N407" s="29" t="n"/>
      <c r="O407" s="13" t="n">
        <v>1</v>
      </c>
      <c r="P407" s="13" t="n">
        <v>1</v>
      </c>
      <c r="Q407" s="35" t="n">
        <v>39056.74</v>
      </c>
      <c r="R407" s="35" t="n"/>
      <c r="S407" s="35" t="n"/>
      <c r="T407" s="35" t="n"/>
      <c r="U407" s="35" t="n"/>
      <c r="V407" s="18">
        <f>IF(COUNTA($B407:$R407)=0,"",ROUND(N($R407)+N($S407)+N($T407)-N($U407),2))</f>
        <v/>
      </c>
      <c r="W407" s="18">
        <f>IF(COUNTA($B407:$R407)=0,"",IF(OR($X407="Pago",$X407="Recebido",$X407="Cancelado"),0,ROUND(N($Q407)+N($S407)+N($T407)-N($U407)-N($R407),2)))</f>
        <v/>
      </c>
      <c r="X407" s="14" t="inlineStr">
        <is>
          <t>Previsto</t>
        </is>
      </c>
      <c r="Y407" s="17">
        <f>IF(COUNTA($B407:$R407)=0,"",IF($X407="Cancelado","Cancelado",IF(OR($X407="Pago",$X407="Recebido"),$X407,IF(OR($X407="Parcial",N($R407)&gt;0),"Parcial",IF($C407="","Sem vencimento",IF($C407&lt;TODAY(),"Vencido",IF($C407=TODAY(),"Vence hoje",IF($C407&lt;=TODAY()+7,"Vence em 7 dias",IF($C407&lt;=TODAY()+30,"Vence em 30 dias","Futuro")))))))))</f>
        <v/>
      </c>
      <c r="Z407" s="24">
        <f>IF($B407="","",MONTH($B407))</f>
        <v/>
      </c>
      <c r="AA407" s="24">
        <f>IF($B407="","",YEAR($B407))</f>
        <v/>
      </c>
      <c r="AB407" s="24">
        <f>IF($B407="","",ISOWEEKNUM($B407))</f>
        <v/>
      </c>
      <c r="AC407" s="17">
        <f>IF($B407="","",CHOOSE(WEEKDAY($B407,2),"Segunda","Terça","Quarta","Quinta","Sexta","Sábado","Domingo"))</f>
        <v/>
      </c>
      <c r="AD407" s="17">
        <f>IF($B407="","",TEXT($B407,"MM/AAAA"))</f>
        <v/>
      </c>
      <c r="AE407" s="18">
        <f>IF(COUNTA($B407:$R407)=0,"",IF($X407="Cancelado",0,ROUND(N($Q407)+N($S407)+N($T407)-N($U407),2)))</f>
        <v/>
      </c>
      <c r="AF407" s="9">
        <f>IF($G407="","",IFERROR(INDEX(LINHAS_DRE_PLANO,MATCH($G407,SUBCATEGORIAS_PLANO,0)),"Não classificado"))</f>
        <v/>
      </c>
      <c r="AG407" s="17">
        <f>IF($G407="","",IFERROR(INDEX(TIPOS_FLUXO_PLANO,MATCH($G407,SUBCATEGORIAS_PLANO,0)),"Não classificado"))</f>
        <v/>
      </c>
      <c r="AH407" s="9">
        <f>IF($G407="","",IFERROR(INDEX(GRUPOS_PLANO,MATCH($G407,SUBCATEGORIAS_PLANO,0)),"Não classificado"))</f>
        <v/>
      </c>
      <c r="AI407" s="24">
        <f>IF(OR($C407="",$X407="Pago",$X407="Recebido",$X407="Cancelado"),"",$C407-TODAY())</f>
        <v/>
      </c>
      <c r="AJ407" s="24">
        <f>IF(OR($C407="",$X407="Pago",$X407="Recebido",$X407="Cancelado"),0,MAX(0,TODAY()-$C407))</f>
        <v/>
      </c>
      <c r="AK407" s="24">
        <f>IF($D407="","",$D407-$B407)</f>
        <v/>
      </c>
      <c r="AL407" s="18">
        <f>IF(OR($D407="",$B407=""),"",ROUND(N($R407)*($D407-$B407),2))</f>
        <v/>
      </c>
      <c r="AM407" s="17">
        <f>IF(AND($E407="Saída",$W407&gt;0,$C407&lt;&gt;""),$C407+ROW()/1000000,"")</f>
        <v/>
      </c>
      <c r="AN407" s="17">
        <f>IF(AND($E407="Entrada",$W407&gt;0,$C407&lt;&gt;""),$C407+ROW()/1000000,"")</f>
        <v/>
      </c>
      <c r="AO407" s="9">
        <f>IF(COUNTA($B407:$R407)=0,"",IF(AND($I407&lt;&gt;"",COUNTIF(CLIENTES_NOMES,$I407)+COUNTIF(CLIENTES_FANTASIA,$I407)+COUNTIF(FORNECEDORES_NOMES,$I407)+COUNTIF(FORNECEDORES_FANTASIA,$I407)=0),"⚠ Cliente/Fornecedor não cadastrado",IF(AND($G407&lt;&gt;"",COUNTIF(SUBCATEGORIAS_PLANO,$G407)=0),"⚠ Subcategoria fora do plano de contas",IF(OR($Q407="",N($Q407)=0),"⚠ Valor previsto não informado",IF(AND(OR($X407="Pago",$X407="Recebido"),$D407=""),"⚠ Status pago/recebido sem data",IF(AND($D407&lt;&gt;"",N($R407)=0),"⚠ Data de pagamento sem valor realizado",IF(AND(N($P407)&gt;1,N($O407)&gt;N($P407)),"⚠ Nº da parcela maior que o total",IF(AND($C407&lt;&gt;"",$B407&lt;&gt;"",$C407&lt;$B407),"⚠ Vencimento anterior à competência","OK"))))))))</f>
        <v/>
      </c>
    </row>
    <row r="408">
      <c r="A408" s="14" t="inlineStr">
        <is>
          <t>L0403</t>
        </is>
      </c>
      <c r="B408" s="36" t="n">
        <v>46276</v>
      </c>
      <c r="C408" s="36" t="n">
        <v>46297</v>
      </c>
      <c r="D408" s="36" t="n"/>
      <c r="E408" s="14" t="inlineStr">
        <is>
          <t>Entrada</t>
        </is>
      </c>
      <c r="F408" s="29" t="inlineStr">
        <is>
          <t>Vendas</t>
        </is>
      </c>
      <c r="G408" s="29" t="inlineStr">
        <is>
          <t>Vendas de Produtos</t>
        </is>
      </c>
      <c r="H408" s="29" t="inlineStr">
        <is>
          <t>Comercial</t>
        </is>
      </c>
      <c r="I408" s="29" t="inlineStr">
        <is>
          <t>EMPÓRIO NATURAL COMÉRCIO LTDA</t>
        </is>
      </c>
      <c r="J408" s="29" t="inlineStr">
        <is>
          <t>Venda de mercadorias para revenda</t>
        </is>
      </c>
      <c r="K408" s="14" t="inlineStr">
        <is>
          <t>NF-e 2105</t>
        </is>
      </c>
      <c r="L408" s="29" t="inlineStr">
        <is>
          <t>Itaú Unibanco — C/C 45678-9</t>
        </is>
      </c>
      <c r="M408" s="14" t="inlineStr">
        <is>
          <t>Boleto</t>
        </is>
      </c>
      <c r="N408" s="29" t="n"/>
      <c r="O408" s="13" t="n">
        <v>1</v>
      </c>
      <c r="P408" s="13" t="n">
        <v>1</v>
      </c>
      <c r="Q408" s="35" t="n">
        <v>26220.59</v>
      </c>
      <c r="R408" s="35" t="n"/>
      <c r="S408" s="35" t="n"/>
      <c r="T408" s="35" t="n"/>
      <c r="U408" s="35" t="n"/>
      <c r="V408" s="18">
        <f>IF(COUNTA($B408:$R408)=0,"",ROUND(N($R408)+N($S408)+N($T408)-N($U408),2))</f>
        <v/>
      </c>
      <c r="W408" s="18">
        <f>IF(COUNTA($B408:$R408)=0,"",IF(OR($X408="Pago",$X408="Recebido",$X408="Cancelado"),0,ROUND(N($Q408)+N($S408)+N($T408)-N($U408)-N($R408),2)))</f>
        <v/>
      </c>
      <c r="X408" s="14" t="inlineStr">
        <is>
          <t>Previsto</t>
        </is>
      </c>
      <c r="Y408" s="17">
        <f>IF(COUNTA($B408:$R408)=0,"",IF($X408="Cancelado","Cancelado",IF(OR($X408="Pago",$X408="Recebido"),$X408,IF(OR($X408="Parcial",N($R408)&gt;0),"Parcial",IF($C408="","Sem vencimento",IF($C408&lt;TODAY(),"Vencido",IF($C408=TODAY(),"Vence hoje",IF($C408&lt;=TODAY()+7,"Vence em 7 dias",IF($C408&lt;=TODAY()+30,"Vence em 30 dias","Futuro")))))))))</f>
        <v/>
      </c>
      <c r="Z408" s="24">
        <f>IF($B408="","",MONTH($B408))</f>
        <v/>
      </c>
      <c r="AA408" s="24">
        <f>IF($B408="","",YEAR($B408))</f>
        <v/>
      </c>
      <c r="AB408" s="24">
        <f>IF($B408="","",ISOWEEKNUM($B408))</f>
        <v/>
      </c>
      <c r="AC408" s="17">
        <f>IF($B408="","",CHOOSE(WEEKDAY($B408,2),"Segunda","Terça","Quarta","Quinta","Sexta","Sábado","Domingo"))</f>
        <v/>
      </c>
      <c r="AD408" s="17">
        <f>IF($B408="","",TEXT($B408,"MM/AAAA"))</f>
        <v/>
      </c>
      <c r="AE408" s="18">
        <f>IF(COUNTA($B408:$R408)=0,"",IF($X408="Cancelado",0,ROUND(N($Q408)+N($S408)+N($T408)-N($U408),2)))</f>
        <v/>
      </c>
      <c r="AF408" s="9">
        <f>IF($G408="","",IFERROR(INDEX(LINHAS_DRE_PLANO,MATCH($G408,SUBCATEGORIAS_PLANO,0)),"Não classificado"))</f>
        <v/>
      </c>
      <c r="AG408" s="17">
        <f>IF($G408="","",IFERROR(INDEX(TIPOS_FLUXO_PLANO,MATCH($G408,SUBCATEGORIAS_PLANO,0)),"Não classificado"))</f>
        <v/>
      </c>
      <c r="AH408" s="9">
        <f>IF($G408="","",IFERROR(INDEX(GRUPOS_PLANO,MATCH($G408,SUBCATEGORIAS_PLANO,0)),"Não classificado"))</f>
        <v/>
      </c>
      <c r="AI408" s="24">
        <f>IF(OR($C408="",$X408="Pago",$X408="Recebido",$X408="Cancelado"),"",$C408-TODAY())</f>
        <v/>
      </c>
      <c r="AJ408" s="24">
        <f>IF(OR($C408="",$X408="Pago",$X408="Recebido",$X408="Cancelado"),0,MAX(0,TODAY()-$C408))</f>
        <v/>
      </c>
      <c r="AK408" s="24">
        <f>IF($D408="","",$D408-$B408)</f>
        <v/>
      </c>
      <c r="AL408" s="18">
        <f>IF(OR($D408="",$B408=""),"",ROUND(N($R408)*($D408-$B408),2))</f>
        <v/>
      </c>
      <c r="AM408" s="17">
        <f>IF(AND($E408="Saída",$W408&gt;0,$C408&lt;&gt;""),$C408+ROW()/1000000,"")</f>
        <v/>
      </c>
      <c r="AN408" s="17">
        <f>IF(AND($E408="Entrada",$W408&gt;0,$C408&lt;&gt;""),$C408+ROW()/1000000,"")</f>
        <v/>
      </c>
      <c r="AO408" s="9">
        <f>IF(COUNTA($B408:$R408)=0,"",IF(AND($I408&lt;&gt;"",COUNTIF(CLIENTES_NOMES,$I408)+COUNTIF(CLIENTES_FANTASIA,$I408)+COUNTIF(FORNECEDORES_NOMES,$I408)+COUNTIF(FORNECEDORES_FANTASIA,$I408)=0),"⚠ Cliente/Fornecedor não cadastrado",IF(AND($G408&lt;&gt;"",COUNTIF(SUBCATEGORIAS_PLANO,$G408)=0),"⚠ Subcategoria fora do plano de contas",IF(OR($Q408="",N($Q408)=0),"⚠ Valor previsto não informado",IF(AND(OR($X408="Pago",$X408="Recebido"),$D408=""),"⚠ Status pago/recebido sem data",IF(AND($D408&lt;&gt;"",N($R408)=0),"⚠ Data de pagamento sem valor realizado",IF(AND(N($P408)&gt;1,N($O408)&gt;N($P408)),"⚠ Nº da parcela maior que o total",IF(AND($C408&lt;&gt;"",$B408&lt;&gt;"",$C408&lt;$B408),"⚠ Vencimento anterior à competência","OK"))))))))</f>
        <v/>
      </c>
    </row>
    <row r="409">
      <c r="A409" s="14" t="inlineStr">
        <is>
          <t>L0404</t>
        </is>
      </c>
      <c r="B409" s="36" t="n">
        <v>46277</v>
      </c>
      <c r="C409" s="36" t="n">
        <v>46292</v>
      </c>
      <c r="D409" s="36" t="n"/>
      <c r="E409" s="14" t="inlineStr">
        <is>
          <t>Saída</t>
        </is>
      </c>
      <c r="F409" s="29" t="inlineStr">
        <is>
          <t>Custos Variáveis</t>
        </is>
      </c>
      <c r="G409" s="29" t="inlineStr">
        <is>
          <t>Embalagens</t>
        </is>
      </c>
      <c r="H409" s="29" t="inlineStr">
        <is>
          <t>Logística</t>
        </is>
      </c>
      <c r="I409" s="29" t="inlineStr">
        <is>
          <t>EMBALAGENS PAULISTA LTDA</t>
        </is>
      </c>
      <c r="J409" s="29" t="inlineStr">
        <is>
          <t>Compra de embalagens e etiquetas</t>
        </is>
      </c>
      <c r="K409" s="14" t="inlineStr">
        <is>
          <t>DOC 7232</t>
        </is>
      </c>
      <c r="L409" s="29" t="inlineStr">
        <is>
          <t>Banco do Brasil — C/C 12345-6</t>
        </is>
      </c>
      <c r="M409" s="14" t="inlineStr">
        <is>
          <t>Boleto</t>
        </is>
      </c>
      <c r="N409" s="29" t="n"/>
      <c r="O409" s="13" t="n">
        <v>1</v>
      </c>
      <c r="P409" s="13" t="n">
        <v>1</v>
      </c>
      <c r="Q409" s="35" t="n">
        <v>2701.98</v>
      </c>
      <c r="R409" s="35" t="n"/>
      <c r="S409" s="35" t="n"/>
      <c r="T409" s="35" t="n"/>
      <c r="U409" s="35" t="n"/>
      <c r="V409" s="18">
        <f>IF(COUNTA($B409:$R409)=0,"",ROUND(N($R409)+N($S409)+N($T409)-N($U409),2))</f>
        <v/>
      </c>
      <c r="W409" s="18">
        <f>IF(COUNTA($B409:$R409)=0,"",IF(OR($X409="Pago",$X409="Recebido",$X409="Cancelado"),0,ROUND(N($Q409)+N($S409)+N($T409)-N($U409)-N($R409),2)))</f>
        <v/>
      </c>
      <c r="X409" s="14" t="inlineStr">
        <is>
          <t>Previsto</t>
        </is>
      </c>
      <c r="Y409" s="17">
        <f>IF(COUNTA($B409:$R409)=0,"",IF($X409="Cancelado","Cancelado",IF(OR($X409="Pago",$X409="Recebido"),$X409,IF(OR($X409="Parcial",N($R409)&gt;0),"Parcial",IF($C409="","Sem vencimento",IF($C409&lt;TODAY(),"Vencido",IF($C409=TODAY(),"Vence hoje",IF($C409&lt;=TODAY()+7,"Vence em 7 dias",IF($C409&lt;=TODAY()+30,"Vence em 30 dias","Futuro")))))))))</f>
        <v/>
      </c>
      <c r="Z409" s="24">
        <f>IF($B409="","",MONTH($B409))</f>
        <v/>
      </c>
      <c r="AA409" s="24">
        <f>IF($B409="","",YEAR($B409))</f>
        <v/>
      </c>
      <c r="AB409" s="24">
        <f>IF($B409="","",ISOWEEKNUM($B409))</f>
        <v/>
      </c>
      <c r="AC409" s="17">
        <f>IF($B409="","",CHOOSE(WEEKDAY($B409,2),"Segunda","Terça","Quarta","Quinta","Sexta","Sábado","Domingo"))</f>
        <v/>
      </c>
      <c r="AD409" s="17">
        <f>IF($B409="","",TEXT($B409,"MM/AAAA"))</f>
        <v/>
      </c>
      <c r="AE409" s="18">
        <f>IF(COUNTA($B409:$R409)=0,"",IF($X409="Cancelado",0,ROUND(N($Q409)+N($S409)+N($T409)-N($U409),2)))</f>
        <v/>
      </c>
      <c r="AF409" s="9">
        <f>IF($G409="","",IFERROR(INDEX(LINHAS_DRE_PLANO,MATCH($G409,SUBCATEGORIAS_PLANO,0)),"Não classificado"))</f>
        <v/>
      </c>
      <c r="AG409" s="17">
        <f>IF($G409="","",IFERROR(INDEX(TIPOS_FLUXO_PLANO,MATCH($G409,SUBCATEGORIAS_PLANO,0)),"Não classificado"))</f>
        <v/>
      </c>
      <c r="AH409" s="9">
        <f>IF($G409="","",IFERROR(INDEX(GRUPOS_PLANO,MATCH($G409,SUBCATEGORIAS_PLANO,0)),"Não classificado"))</f>
        <v/>
      </c>
      <c r="AI409" s="24">
        <f>IF(OR($C409="",$X409="Pago",$X409="Recebido",$X409="Cancelado"),"",$C409-TODAY())</f>
        <v/>
      </c>
      <c r="AJ409" s="24">
        <f>IF(OR($C409="",$X409="Pago",$X409="Recebido",$X409="Cancelado"),0,MAX(0,TODAY()-$C409))</f>
        <v/>
      </c>
      <c r="AK409" s="24">
        <f>IF($D409="","",$D409-$B409)</f>
        <v/>
      </c>
      <c r="AL409" s="18">
        <f>IF(OR($D409="",$B409=""),"",ROUND(N($R409)*($D409-$B409),2))</f>
        <v/>
      </c>
      <c r="AM409" s="17">
        <f>IF(AND($E409="Saída",$W409&gt;0,$C409&lt;&gt;""),$C409+ROW()/1000000,"")</f>
        <v/>
      </c>
      <c r="AN409" s="17">
        <f>IF(AND($E409="Entrada",$W409&gt;0,$C409&lt;&gt;""),$C409+ROW()/1000000,"")</f>
        <v/>
      </c>
      <c r="AO409" s="9">
        <f>IF(COUNTA($B409:$R409)=0,"",IF(AND($I409&lt;&gt;"",COUNTIF(CLIENTES_NOMES,$I409)+COUNTIF(CLIENTES_FANTASIA,$I409)+COUNTIF(FORNECEDORES_NOMES,$I409)+COUNTIF(FORNECEDORES_FANTASIA,$I409)=0),"⚠ Cliente/Fornecedor não cadastrado",IF(AND($G409&lt;&gt;"",COUNTIF(SUBCATEGORIAS_PLANO,$G409)=0),"⚠ Subcategoria fora do plano de contas",IF(OR($Q409="",N($Q409)=0),"⚠ Valor previsto não informado",IF(AND(OR($X409="Pago",$X409="Recebido"),$D409=""),"⚠ Status pago/recebido sem data",IF(AND($D409&lt;&gt;"",N($R409)=0),"⚠ Data de pagamento sem valor realizado",IF(AND(N($P409)&gt;1,N($O409)&gt;N($P409)),"⚠ Nº da parcela maior que o total",IF(AND($C409&lt;&gt;"",$B409&lt;&gt;"",$C409&lt;$B409),"⚠ Vencimento anterior à competência","OK"))))))))</f>
        <v/>
      </c>
    </row>
    <row r="410">
      <c r="A410" s="14" t="inlineStr">
        <is>
          <t>L0405</t>
        </is>
      </c>
      <c r="B410" s="36" t="n">
        <v>46277</v>
      </c>
      <c r="C410" s="36" t="n">
        <v>46287</v>
      </c>
      <c r="D410" s="36" t="n"/>
      <c r="E410" s="14" t="inlineStr">
        <is>
          <t>Saída</t>
        </is>
      </c>
      <c r="F410" s="29" t="inlineStr">
        <is>
          <t>Despesas Administrativas</t>
        </is>
      </c>
      <c r="G410" s="29" t="inlineStr">
        <is>
          <t>Energia Elétrica</t>
        </is>
      </c>
      <c r="H410" s="29" t="inlineStr">
        <is>
          <t>Administrativo</t>
        </is>
      </c>
      <c r="I410" s="29" t="inlineStr">
        <is>
          <t>ENEL DISTRIBUIÇÃO SÃO PAULO</t>
        </is>
      </c>
      <c r="J410" s="29" t="inlineStr">
        <is>
          <t>Energia elétrica — fatura 09/2026</t>
        </is>
      </c>
      <c r="K410" s="14" t="inlineStr">
        <is>
          <t>DOC 8398</t>
        </is>
      </c>
      <c r="L410" s="29" t="inlineStr">
        <is>
          <t>Itaú Unibanco — C/C 45678-9</t>
        </is>
      </c>
      <c r="M410" s="14" t="inlineStr">
        <is>
          <t>Débito automático</t>
        </is>
      </c>
      <c r="N410" s="29" t="n"/>
      <c r="O410" s="13" t="n">
        <v>1</v>
      </c>
      <c r="P410" s="13" t="n">
        <v>1</v>
      </c>
      <c r="Q410" s="35" t="n">
        <v>2324.35</v>
      </c>
      <c r="R410" s="35" t="n"/>
      <c r="S410" s="35" t="n"/>
      <c r="T410" s="35" t="n"/>
      <c r="U410" s="35" t="n"/>
      <c r="V410" s="18">
        <f>IF(COUNTA($B410:$R410)=0,"",ROUND(N($R410)+N($S410)+N($T410)-N($U410),2))</f>
        <v/>
      </c>
      <c r="W410" s="18">
        <f>IF(COUNTA($B410:$R410)=0,"",IF(OR($X410="Pago",$X410="Recebido",$X410="Cancelado"),0,ROUND(N($Q410)+N($S410)+N($T410)-N($U410)-N($R410),2)))</f>
        <v/>
      </c>
      <c r="X410" s="14" t="inlineStr">
        <is>
          <t>Previsto</t>
        </is>
      </c>
      <c r="Y410" s="17">
        <f>IF(COUNTA($B410:$R410)=0,"",IF($X410="Cancelado","Cancelado",IF(OR($X410="Pago",$X410="Recebido"),$X410,IF(OR($X410="Parcial",N($R410)&gt;0),"Parcial",IF($C410="","Sem vencimento",IF($C410&lt;TODAY(),"Vencido",IF($C410=TODAY(),"Vence hoje",IF($C410&lt;=TODAY()+7,"Vence em 7 dias",IF($C410&lt;=TODAY()+30,"Vence em 30 dias","Futuro")))))))))</f>
        <v/>
      </c>
      <c r="Z410" s="24">
        <f>IF($B410="","",MONTH($B410))</f>
        <v/>
      </c>
      <c r="AA410" s="24">
        <f>IF($B410="","",YEAR($B410))</f>
        <v/>
      </c>
      <c r="AB410" s="24">
        <f>IF($B410="","",ISOWEEKNUM($B410))</f>
        <v/>
      </c>
      <c r="AC410" s="17">
        <f>IF($B410="","",CHOOSE(WEEKDAY($B410,2),"Segunda","Terça","Quarta","Quinta","Sexta","Sábado","Domingo"))</f>
        <v/>
      </c>
      <c r="AD410" s="17">
        <f>IF($B410="","",TEXT($B410,"MM/AAAA"))</f>
        <v/>
      </c>
      <c r="AE410" s="18">
        <f>IF(COUNTA($B410:$R410)=0,"",IF($X410="Cancelado",0,ROUND(N($Q410)+N($S410)+N($T410)-N($U410),2)))</f>
        <v/>
      </c>
      <c r="AF410" s="9">
        <f>IF($G410="","",IFERROR(INDEX(LINHAS_DRE_PLANO,MATCH($G410,SUBCATEGORIAS_PLANO,0)),"Não classificado"))</f>
        <v/>
      </c>
      <c r="AG410" s="17">
        <f>IF($G410="","",IFERROR(INDEX(TIPOS_FLUXO_PLANO,MATCH($G410,SUBCATEGORIAS_PLANO,0)),"Não classificado"))</f>
        <v/>
      </c>
      <c r="AH410" s="9">
        <f>IF($G410="","",IFERROR(INDEX(GRUPOS_PLANO,MATCH($G410,SUBCATEGORIAS_PLANO,0)),"Não classificado"))</f>
        <v/>
      </c>
      <c r="AI410" s="24">
        <f>IF(OR($C410="",$X410="Pago",$X410="Recebido",$X410="Cancelado"),"",$C410-TODAY())</f>
        <v/>
      </c>
      <c r="AJ410" s="24">
        <f>IF(OR($C410="",$X410="Pago",$X410="Recebido",$X410="Cancelado"),0,MAX(0,TODAY()-$C410))</f>
        <v/>
      </c>
      <c r="AK410" s="24">
        <f>IF($D410="","",$D410-$B410)</f>
        <v/>
      </c>
      <c r="AL410" s="18">
        <f>IF(OR($D410="",$B410=""),"",ROUND(N($R410)*($D410-$B410),2))</f>
        <v/>
      </c>
      <c r="AM410" s="17">
        <f>IF(AND($E410="Saída",$W410&gt;0,$C410&lt;&gt;""),$C410+ROW()/1000000,"")</f>
        <v/>
      </c>
      <c r="AN410" s="17">
        <f>IF(AND($E410="Entrada",$W410&gt;0,$C410&lt;&gt;""),$C410+ROW()/1000000,"")</f>
        <v/>
      </c>
      <c r="AO410" s="9">
        <f>IF(COUNTA($B410:$R410)=0,"",IF(AND($I410&lt;&gt;"",COUNTIF(CLIENTES_NOMES,$I410)+COUNTIF(CLIENTES_FANTASIA,$I410)+COUNTIF(FORNECEDORES_NOMES,$I410)+COUNTIF(FORNECEDORES_FANTASIA,$I410)=0),"⚠ Cliente/Fornecedor não cadastrado",IF(AND($G410&lt;&gt;"",COUNTIF(SUBCATEGORIAS_PLANO,$G410)=0),"⚠ Subcategoria fora do plano de contas",IF(OR($Q410="",N($Q410)=0),"⚠ Valor previsto não informado",IF(AND(OR($X410="Pago",$X410="Recebido"),$D410=""),"⚠ Status pago/recebido sem data",IF(AND($D410&lt;&gt;"",N($R410)=0),"⚠ Data de pagamento sem valor realizado",IF(AND(N($P410)&gt;1,N($O410)&gt;N($P410)),"⚠ Nº da parcela maior que o total",IF(AND($C410&lt;&gt;"",$B410&lt;&gt;"",$C410&lt;$B410),"⚠ Vencimento anterior à competência","OK"))))))))</f>
        <v/>
      </c>
    </row>
    <row r="411">
      <c r="A411" s="14" t="inlineStr">
        <is>
          <t>L0406</t>
        </is>
      </c>
      <c r="B411" s="36" t="n">
        <v>46280</v>
      </c>
      <c r="C411" s="36" t="n">
        <v>46292</v>
      </c>
      <c r="D411" s="36" t="n"/>
      <c r="E411" s="14" t="inlineStr">
        <is>
          <t>Saída</t>
        </is>
      </c>
      <c r="F411" s="29" t="inlineStr">
        <is>
          <t>Despesas Administrativas</t>
        </is>
      </c>
      <c r="G411" s="29" t="inlineStr">
        <is>
          <t>Água e Saneamento</t>
        </is>
      </c>
      <c r="H411" s="29" t="inlineStr">
        <is>
          <t>Administrativo</t>
        </is>
      </c>
      <c r="I411" s="29" t="inlineStr">
        <is>
          <t>SABESP — SANEAMENTO BÁSICO DO ESTADO DE SÃO PAULO</t>
        </is>
      </c>
      <c r="J411" s="29" t="inlineStr">
        <is>
          <t>Água e saneamento — fatura 09/2026</t>
        </is>
      </c>
      <c r="K411" s="14" t="inlineStr">
        <is>
          <t>DOC 8399</t>
        </is>
      </c>
      <c r="L411" s="29" t="inlineStr">
        <is>
          <t>Itaú Unibanco — C/C 45678-9</t>
        </is>
      </c>
      <c r="M411" s="14" t="inlineStr">
        <is>
          <t>Débito automático</t>
        </is>
      </c>
      <c r="N411" s="29" t="n"/>
      <c r="O411" s="13" t="n">
        <v>1</v>
      </c>
      <c r="P411" s="13" t="n">
        <v>1</v>
      </c>
      <c r="Q411" s="35" t="n">
        <v>508.66</v>
      </c>
      <c r="R411" s="35" t="n"/>
      <c r="S411" s="35" t="n"/>
      <c r="T411" s="35" t="n"/>
      <c r="U411" s="35" t="n"/>
      <c r="V411" s="18">
        <f>IF(COUNTA($B411:$R411)=0,"",ROUND(N($R411)+N($S411)+N($T411)-N($U411),2))</f>
        <v/>
      </c>
      <c r="W411" s="18">
        <f>IF(COUNTA($B411:$R411)=0,"",IF(OR($X411="Pago",$X411="Recebido",$X411="Cancelado"),0,ROUND(N($Q411)+N($S411)+N($T411)-N($U411)-N($R411),2)))</f>
        <v/>
      </c>
      <c r="X411" s="14" t="inlineStr">
        <is>
          <t>Previsto</t>
        </is>
      </c>
      <c r="Y411" s="17">
        <f>IF(COUNTA($B411:$R411)=0,"",IF($X411="Cancelado","Cancelado",IF(OR($X411="Pago",$X411="Recebido"),$X411,IF(OR($X411="Parcial",N($R411)&gt;0),"Parcial",IF($C411="","Sem vencimento",IF($C411&lt;TODAY(),"Vencido",IF($C411=TODAY(),"Vence hoje",IF($C411&lt;=TODAY()+7,"Vence em 7 dias",IF($C411&lt;=TODAY()+30,"Vence em 30 dias","Futuro")))))))))</f>
        <v/>
      </c>
      <c r="Z411" s="24">
        <f>IF($B411="","",MONTH($B411))</f>
        <v/>
      </c>
      <c r="AA411" s="24">
        <f>IF($B411="","",YEAR($B411))</f>
        <v/>
      </c>
      <c r="AB411" s="24">
        <f>IF($B411="","",ISOWEEKNUM($B411))</f>
        <v/>
      </c>
      <c r="AC411" s="17">
        <f>IF($B411="","",CHOOSE(WEEKDAY($B411,2),"Segunda","Terça","Quarta","Quinta","Sexta","Sábado","Domingo"))</f>
        <v/>
      </c>
      <c r="AD411" s="17">
        <f>IF($B411="","",TEXT($B411,"MM/AAAA"))</f>
        <v/>
      </c>
      <c r="AE411" s="18">
        <f>IF(COUNTA($B411:$R411)=0,"",IF($X411="Cancelado",0,ROUND(N($Q411)+N($S411)+N($T411)-N($U411),2)))</f>
        <v/>
      </c>
      <c r="AF411" s="9">
        <f>IF($G411="","",IFERROR(INDEX(LINHAS_DRE_PLANO,MATCH($G411,SUBCATEGORIAS_PLANO,0)),"Não classificado"))</f>
        <v/>
      </c>
      <c r="AG411" s="17">
        <f>IF($G411="","",IFERROR(INDEX(TIPOS_FLUXO_PLANO,MATCH($G411,SUBCATEGORIAS_PLANO,0)),"Não classificado"))</f>
        <v/>
      </c>
      <c r="AH411" s="9">
        <f>IF($G411="","",IFERROR(INDEX(GRUPOS_PLANO,MATCH($G411,SUBCATEGORIAS_PLANO,0)),"Não classificado"))</f>
        <v/>
      </c>
      <c r="AI411" s="24">
        <f>IF(OR($C411="",$X411="Pago",$X411="Recebido",$X411="Cancelado"),"",$C411-TODAY())</f>
        <v/>
      </c>
      <c r="AJ411" s="24">
        <f>IF(OR($C411="",$X411="Pago",$X411="Recebido",$X411="Cancelado"),0,MAX(0,TODAY()-$C411))</f>
        <v/>
      </c>
      <c r="AK411" s="24">
        <f>IF($D411="","",$D411-$B411)</f>
        <v/>
      </c>
      <c r="AL411" s="18">
        <f>IF(OR($D411="",$B411=""),"",ROUND(N($R411)*($D411-$B411),2))</f>
        <v/>
      </c>
      <c r="AM411" s="17">
        <f>IF(AND($E411="Saída",$W411&gt;0,$C411&lt;&gt;""),$C411+ROW()/1000000,"")</f>
        <v/>
      </c>
      <c r="AN411" s="17">
        <f>IF(AND($E411="Entrada",$W411&gt;0,$C411&lt;&gt;""),$C411+ROW()/1000000,"")</f>
        <v/>
      </c>
      <c r="AO411" s="9">
        <f>IF(COUNTA($B411:$R411)=0,"",IF(AND($I411&lt;&gt;"",COUNTIF(CLIENTES_NOMES,$I411)+COUNTIF(CLIENTES_FANTASIA,$I411)+COUNTIF(FORNECEDORES_NOMES,$I411)+COUNTIF(FORNECEDORES_FANTASIA,$I411)=0),"⚠ Cliente/Fornecedor não cadastrado",IF(AND($G411&lt;&gt;"",COUNTIF(SUBCATEGORIAS_PLANO,$G411)=0),"⚠ Subcategoria fora do plano de contas",IF(OR($Q411="",N($Q411)=0),"⚠ Valor previsto não informado",IF(AND(OR($X411="Pago",$X411="Recebido"),$D411=""),"⚠ Status pago/recebido sem data",IF(AND($D411&lt;&gt;"",N($R411)=0),"⚠ Data de pagamento sem valor realizado",IF(AND(N($P411)&gt;1,N($O411)&gt;N($P411)),"⚠ Nº da parcela maior que o total",IF(AND($C411&lt;&gt;"",$B411&lt;&gt;"",$C411&lt;$B411),"⚠ Vencimento anterior à competência","OK"))))))))</f>
        <v/>
      </c>
    </row>
    <row r="412">
      <c r="A412" s="14" t="inlineStr">
        <is>
          <t>L0407</t>
        </is>
      </c>
      <c r="B412" s="36" t="n">
        <v>46280</v>
      </c>
      <c r="C412" s="36" t="n">
        <v>46290</v>
      </c>
      <c r="D412" s="36" t="n"/>
      <c r="E412" s="14" t="inlineStr">
        <is>
          <t>Saída</t>
        </is>
      </c>
      <c r="F412" s="29" t="inlineStr">
        <is>
          <t>Despesas com Pessoal</t>
        </is>
      </c>
      <c r="G412" s="29" t="inlineStr">
        <is>
          <t>Serviços Terceirizados (PJ)</t>
        </is>
      </c>
      <c r="H412" s="29" t="inlineStr">
        <is>
          <t>Produção</t>
        </is>
      </c>
      <c r="I412" s="29" t="inlineStr">
        <is>
          <t>APOIO OPERACIONAL SERVIÇOS LTDA</t>
        </is>
      </c>
      <c r="J412" s="29" t="inlineStr">
        <is>
          <t>Equipe terceirizada de separação e expedição</t>
        </is>
      </c>
      <c r="K412" s="14" t="inlineStr">
        <is>
          <t>DOC 8410</t>
        </is>
      </c>
      <c r="L412" s="29" t="inlineStr">
        <is>
          <t>Banco do Brasil — C/C 12345-6</t>
        </is>
      </c>
      <c r="M412" s="14" t="inlineStr">
        <is>
          <t>PIX</t>
        </is>
      </c>
      <c r="N412" s="29" t="n"/>
      <c r="O412" s="13" t="n">
        <v>1</v>
      </c>
      <c r="P412" s="13" t="n">
        <v>1</v>
      </c>
      <c r="Q412" s="35" t="n">
        <v>1800</v>
      </c>
      <c r="R412" s="35" t="n"/>
      <c r="S412" s="35" t="n"/>
      <c r="T412" s="35" t="n"/>
      <c r="U412" s="35" t="n"/>
      <c r="V412" s="18">
        <f>IF(COUNTA($B412:$R412)=0,"",ROUND(N($R412)+N($S412)+N($T412)-N($U412),2))</f>
        <v/>
      </c>
      <c r="W412" s="18">
        <f>IF(COUNTA($B412:$R412)=0,"",IF(OR($X412="Pago",$X412="Recebido",$X412="Cancelado"),0,ROUND(N($Q412)+N($S412)+N($T412)-N($U412)-N($R412),2)))</f>
        <v/>
      </c>
      <c r="X412" s="14" t="inlineStr">
        <is>
          <t>Previsto</t>
        </is>
      </c>
      <c r="Y412" s="17">
        <f>IF(COUNTA($B412:$R412)=0,"",IF($X412="Cancelado","Cancelado",IF(OR($X412="Pago",$X412="Recebido"),$X412,IF(OR($X412="Parcial",N($R412)&gt;0),"Parcial",IF($C412="","Sem vencimento",IF($C412&lt;TODAY(),"Vencido",IF($C412=TODAY(),"Vence hoje",IF($C412&lt;=TODAY()+7,"Vence em 7 dias",IF($C412&lt;=TODAY()+30,"Vence em 30 dias","Futuro")))))))))</f>
        <v/>
      </c>
      <c r="Z412" s="24">
        <f>IF($B412="","",MONTH($B412))</f>
        <v/>
      </c>
      <c r="AA412" s="24">
        <f>IF($B412="","",YEAR($B412))</f>
        <v/>
      </c>
      <c r="AB412" s="24">
        <f>IF($B412="","",ISOWEEKNUM($B412))</f>
        <v/>
      </c>
      <c r="AC412" s="17">
        <f>IF($B412="","",CHOOSE(WEEKDAY($B412,2),"Segunda","Terça","Quarta","Quinta","Sexta","Sábado","Domingo"))</f>
        <v/>
      </c>
      <c r="AD412" s="17">
        <f>IF($B412="","",TEXT($B412,"MM/AAAA"))</f>
        <v/>
      </c>
      <c r="AE412" s="18">
        <f>IF(COUNTA($B412:$R412)=0,"",IF($X412="Cancelado",0,ROUND(N($Q412)+N($S412)+N($T412)-N($U412),2)))</f>
        <v/>
      </c>
      <c r="AF412" s="9">
        <f>IF($G412="","",IFERROR(INDEX(LINHAS_DRE_PLANO,MATCH($G412,SUBCATEGORIAS_PLANO,0)),"Não classificado"))</f>
        <v/>
      </c>
      <c r="AG412" s="17">
        <f>IF($G412="","",IFERROR(INDEX(TIPOS_FLUXO_PLANO,MATCH($G412,SUBCATEGORIAS_PLANO,0)),"Não classificado"))</f>
        <v/>
      </c>
      <c r="AH412" s="9">
        <f>IF($G412="","",IFERROR(INDEX(GRUPOS_PLANO,MATCH($G412,SUBCATEGORIAS_PLANO,0)),"Não classificado"))</f>
        <v/>
      </c>
      <c r="AI412" s="24">
        <f>IF(OR($C412="",$X412="Pago",$X412="Recebido",$X412="Cancelado"),"",$C412-TODAY())</f>
        <v/>
      </c>
      <c r="AJ412" s="24">
        <f>IF(OR($C412="",$X412="Pago",$X412="Recebido",$X412="Cancelado"),0,MAX(0,TODAY()-$C412))</f>
        <v/>
      </c>
      <c r="AK412" s="24">
        <f>IF($D412="","",$D412-$B412)</f>
        <v/>
      </c>
      <c r="AL412" s="18">
        <f>IF(OR($D412="",$B412=""),"",ROUND(N($R412)*($D412-$B412),2))</f>
        <v/>
      </c>
      <c r="AM412" s="17">
        <f>IF(AND($E412="Saída",$W412&gt;0,$C412&lt;&gt;""),$C412+ROW()/1000000,"")</f>
        <v/>
      </c>
      <c r="AN412" s="17">
        <f>IF(AND($E412="Entrada",$W412&gt;0,$C412&lt;&gt;""),$C412+ROW()/1000000,"")</f>
        <v/>
      </c>
      <c r="AO412" s="9">
        <f>IF(COUNTA($B412:$R412)=0,"",IF(AND($I412&lt;&gt;"",COUNTIF(CLIENTES_NOMES,$I412)+COUNTIF(CLIENTES_FANTASIA,$I412)+COUNTIF(FORNECEDORES_NOMES,$I412)+COUNTIF(FORNECEDORES_FANTASIA,$I412)=0),"⚠ Cliente/Fornecedor não cadastrado",IF(AND($G412&lt;&gt;"",COUNTIF(SUBCATEGORIAS_PLANO,$G412)=0),"⚠ Subcategoria fora do plano de contas",IF(OR($Q412="",N($Q412)=0),"⚠ Valor previsto não informado",IF(AND(OR($X412="Pago",$X412="Recebido"),$D412=""),"⚠ Status pago/recebido sem data",IF(AND($D412&lt;&gt;"",N($R412)=0),"⚠ Data de pagamento sem valor realizado",IF(AND(N($P412)&gt;1,N($O412)&gt;N($P412)),"⚠ Nº da parcela maior que o total",IF(AND($C412&lt;&gt;"",$B412&lt;&gt;"",$C412&lt;$B412),"⚠ Vencimento anterior à competência","OK"))))))))</f>
        <v/>
      </c>
    </row>
    <row r="413">
      <c r="A413" s="14" t="inlineStr">
        <is>
          <t>L0408</t>
        </is>
      </c>
      <c r="B413" s="36" t="n">
        <v>46280</v>
      </c>
      <c r="C413" s="36" t="n">
        <v>46280</v>
      </c>
      <c r="D413" s="36" t="n">
        <v>46280</v>
      </c>
      <c r="E413" s="14" t="inlineStr">
        <is>
          <t>Saída</t>
        </is>
      </c>
      <c r="F413" s="29" t="inlineStr">
        <is>
          <t>Empréstimos e Financiamentos</t>
        </is>
      </c>
      <c r="G413" s="29" t="inlineStr">
        <is>
          <t>Pagamento de Principal de Empréstimos</t>
        </is>
      </c>
      <c r="H413" s="29" t="inlineStr">
        <is>
          <t>Financeiro</t>
        </is>
      </c>
      <c r="I413" s="29" t="inlineStr">
        <is>
          <t>BNDES / Banco do Brasil</t>
        </is>
      </c>
      <c r="J413" s="29" t="inlineStr">
        <is>
          <t>Financiamento de Máquinas — parcela 7/36 (principal)</t>
        </is>
      </c>
      <c r="K413" s="14" t="inlineStr">
        <is>
          <t>FIN-2026-1198-P07</t>
        </is>
      </c>
      <c r="L413" s="29" t="inlineStr">
        <is>
          <t>Banco do Brasil — C/C 12345-6</t>
        </is>
      </c>
      <c r="M413" s="14" t="inlineStr">
        <is>
          <t>Débito automático</t>
        </is>
      </c>
      <c r="N413" s="29" t="n"/>
      <c r="O413" s="13" t="n">
        <v>7</v>
      </c>
      <c r="P413" s="13" t="n">
        <v>36</v>
      </c>
      <c r="Q413" s="35" t="n">
        <v>3333.33</v>
      </c>
      <c r="R413" s="35" t="n">
        <v>3333.33</v>
      </c>
      <c r="S413" s="35" t="n"/>
      <c r="T413" s="35" t="n"/>
      <c r="U413" s="35" t="n"/>
      <c r="V413" s="18">
        <f>IF(COUNTA($B413:$R413)=0,"",ROUND(N($R413)+N($S413)+N($T413)-N($U413),2))</f>
        <v/>
      </c>
      <c r="W413" s="18">
        <f>IF(COUNTA($B413:$R413)=0,"",IF(OR($X413="Pago",$X413="Recebido",$X413="Cancelado"),0,ROUND(N($Q413)+N($S413)+N($T413)-N($U413)-N($R413),2)))</f>
        <v/>
      </c>
      <c r="X413" s="14" t="inlineStr">
        <is>
          <t>Pago</t>
        </is>
      </c>
      <c r="Y413" s="17">
        <f>IF(COUNTA($B413:$R413)=0,"",IF($X413="Cancelado","Cancelado",IF(OR($X413="Pago",$X413="Recebido"),$X413,IF(OR($X413="Parcial",N($R413)&gt;0),"Parcial",IF($C413="","Sem vencimento",IF($C413&lt;TODAY(),"Vencido",IF($C413=TODAY(),"Vence hoje",IF($C413&lt;=TODAY()+7,"Vence em 7 dias",IF($C413&lt;=TODAY()+30,"Vence em 30 dias","Futuro")))))))))</f>
        <v/>
      </c>
      <c r="Z413" s="24">
        <f>IF($B413="","",MONTH($B413))</f>
        <v/>
      </c>
      <c r="AA413" s="24">
        <f>IF($B413="","",YEAR($B413))</f>
        <v/>
      </c>
      <c r="AB413" s="24">
        <f>IF($B413="","",ISOWEEKNUM($B413))</f>
        <v/>
      </c>
      <c r="AC413" s="17">
        <f>IF($B413="","",CHOOSE(WEEKDAY($B413,2),"Segunda","Terça","Quarta","Quinta","Sexta","Sábado","Domingo"))</f>
        <v/>
      </c>
      <c r="AD413" s="17">
        <f>IF($B413="","",TEXT($B413,"MM/AAAA"))</f>
        <v/>
      </c>
      <c r="AE413" s="18">
        <f>IF(COUNTA($B413:$R413)=0,"",IF($X413="Cancelado",0,ROUND(N($Q413)+N($S413)+N($T413)-N($U413),2)))</f>
        <v/>
      </c>
      <c r="AF413" s="9">
        <f>IF($G413="","",IFERROR(INDEX(LINHAS_DRE_PLANO,MATCH($G413,SUBCATEGORIAS_PLANO,0)),"Não classificado"))</f>
        <v/>
      </c>
      <c r="AG413" s="17">
        <f>IF($G413="","",IFERROR(INDEX(TIPOS_FLUXO_PLANO,MATCH($G413,SUBCATEGORIAS_PLANO,0)),"Não classificado"))</f>
        <v/>
      </c>
      <c r="AH413" s="9">
        <f>IF($G413="","",IFERROR(INDEX(GRUPOS_PLANO,MATCH($G413,SUBCATEGORIAS_PLANO,0)),"Não classificado"))</f>
        <v/>
      </c>
      <c r="AI413" s="24">
        <f>IF(OR($C413="",$X413="Pago",$X413="Recebido",$X413="Cancelado"),"",$C413-TODAY())</f>
        <v/>
      </c>
      <c r="AJ413" s="24">
        <f>IF(OR($C413="",$X413="Pago",$X413="Recebido",$X413="Cancelado"),0,MAX(0,TODAY()-$C413))</f>
        <v/>
      </c>
      <c r="AK413" s="24">
        <f>IF($D413="","",$D413-$B413)</f>
        <v/>
      </c>
      <c r="AL413" s="18">
        <f>IF(OR($D413="",$B413=""),"",ROUND(N($R413)*($D413-$B413),2))</f>
        <v/>
      </c>
      <c r="AM413" s="17">
        <f>IF(AND($E413="Saída",$W413&gt;0,$C413&lt;&gt;""),$C413+ROW()/1000000,"")</f>
        <v/>
      </c>
      <c r="AN413" s="17">
        <f>IF(AND($E413="Entrada",$W413&gt;0,$C413&lt;&gt;""),$C413+ROW()/1000000,"")</f>
        <v/>
      </c>
      <c r="AO413" s="9">
        <f>IF(COUNTA($B413:$R413)=0,"",IF(AND($I413&lt;&gt;"",COUNTIF(CLIENTES_NOMES,$I413)+COUNTIF(CLIENTES_FANTASIA,$I413)+COUNTIF(FORNECEDORES_NOMES,$I413)+COUNTIF(FORNECEDORES_FANTASIA,$I413)=0),"⚠ Cliente/Fornecedor não cadastrado",IF(AND($G413&lt;&gt;"",COUNTIF(SUBCATEGORIAS_PLANO,$G413)=0),"⚠ Subcategoria fora do plano de contas",IF(OR($Q413="",N($Q413)=0),"⚠ Valor previsto não informado",IF(AND(OR($X413="Pago",$X413="Recebido"),$D413=""),"⚠ Status pago/recebido sem data",IF(AND($D413&lt;&gt;"",N($R413)=0),"⚠ Data de pagamento sem valor realizado",IF(AND(N($P413)&gt;1,N($O413)&gt;N($P413)),"⚠ Nº da parcela maior que o total",IF(AND($C413&lt;&gt;"",$B413&lt;&gt;"",$C413&lt;$B413),"⚠ Vencimento anterior à competência","OK"))))))))</f>
        <v/>
      </c>
    </row>
    <row r="414">
      <c r="A414" s="14" t="inlineStr">
        <is>
          <t>L0409</t>
        </is>
      </c>
      <c r="B414" s="36" t="n">
        <v>46280</v>
      </c>
      <c r="C414" s="36" t="n">
        <v>46280</v>
      </c>
      <c r="D414" s="36" t="n">
        <v>46280</v>
      </c>
      <c r="E414" s="14" t="inlineStr">
        <is>
          <t>Saída</t>
        </is>
      </c>
      <c r="F414" s="29" t="inlineStr">
        <is>
          <t>Despesas Financeiras</t>
        </is>
      </c>
      <c r="G414" s="29" t="inlineStr">
        <is>
          <t>Juros de Empréstimos e Financiamentos</t>
        </is>
      </c>
      <c r="H414" s="29" t="inlineStr">
        <is>
          <t>Financeiro</t>
        </is>
      </c>
      <c r="I414" s="29" t="inlineStr">
        <is>
          <t>BNDES / Banco do Brasil</t>
        </is>
      </c>
      <c r="J414" s="29" t="inlineStr">
        <is>
          <t>Financiamento de Máquinas — parcela 7/36 (juros)</t>
        </is>
      </c>
      <c r="K414" s="14" t="inlineStr">
        <is>
          <t>FIN-2026-1198-P07</t>
        </is>
      </c>
      <c r="L414" s="29" t="inlineStr">
        <is>
          <t>Banco do Brasil — C/C 12345-6</t>
        </is>
      </c>
      <c r="M414" s="14" t="inlineStr">
        <is>
          <t>Débito automático</t>
        </is>
      </c>
      <c r="N414" s="29" t="n"/>
      <c r="O414" s="13" t="n">
        <v>7</v>
      </c>
      <c r="P414" s="13" t="n">
        <v>36</v>
      </c>
      <c r="Q414" s="35" t="n">
        <v>1100</v>
      </c>
      <c r="R414" s="35" t="n">
        <v>1100</v>
      </c>
      <c r="S414" s="35" t="n"/>
      <c r="T414" s="35" t="n"/>
      <c r="U414" s="35" t="n"/>
      <c r="V414" s="18">
        <f>IF(COUNTA($B414:$R414)=0,"",ROUND(N($R414)+N($S414)+N($T414)-N($U414),2))</f>
        <v/>
      </c>
      <c r="W414" s="18">
        <f>IF(COUNTA($B414:$R414)=0,"",IF(OR($X414="Pago",$X414="Recebido",$X414="Cancelado"),0,ROUND(N($Q414)+N($S414)+N($T414)-N($U414)-N($R414),2)))</f>
        <v/>
      </c>
      <c r="X414" s="14" t="inlineStr">
        <is>
          <t>Pago</t>
        </is>
      </c>
      <c r="Y414" s="17">
        <f>IF(COUNTA($B414:$R414)=0,"",IF($X414="Cancelado","Cancelado",IF(OR($X414="Pago",$X414="Recebido"),$X414,IF(OR($X414="Parcial",N($R414)&gt;0),"Parcial",IF($C414="","Sem vencimento",IF($C414&lt;TODAY(),"Vencido",IF($C414=TODAY(),"Vence hoje",IF($C414&lt;=TODAY()+7,"Vence em 7 dias",IF($C414&lt;=TODAY()+30,"Vence em 30 dias","Futuro")))))))))</f>
        <v/>
      </c>
      <c r="Z414" s="24">
        <f>IF($B414="","",MONTH($B414))</f>
        <v/>
      </c>
      <c r="AA414" s="24">
        <f>IF($B414="","",YEAR($B414))</f>
        <v/>
      </c>
      <c r="AB414" s="24">
        <f>IF($B414="","",ISOWEEKNUM($B414))</f>
        <v/>
      </c>
      <c r="AC414" s="17">
        <f>IF($B414="","",CHOOSE(WEEKDAY($B414,2),"Segunda","Terça","Quarta","Quinta","Sexta","Sábado","Domingo"))</f>
        <v/>
      </c>
      <c r="AD414" s="17">
        <f>IF($B414="","",TEXT($B414,"MM/AAAA"))</f>
        <v/>
      </c>
      <c r="AE414" s="18">
        <f>IF(COUNTA($B414:$R414)=0,"",IF($X414="Cancelado",0,ROUND(N($Q414)+N($S414)+N($T414)-N($U414),2)))</f>
        <v/>
      </c>
      <c r="AF414" s="9">
        <f>IF($G414="","",IFERROR(INDEX(LINHAS_DRE_PLANO,MATCH($G414,SUBCATEGORIAS_PLANO,0)),"Não classificado"))</f>
        <v/>
      </c>
      <c r="AG414" s="17">
        <f>IF($G414="","",IFERROR(INDEX(TIPOS_FLUXO_PLANO,MATCH($G414,SUBCATEGORIAS_PLANO,0)),"Não classificado"))</f>
        <v/>
      </c>
      <c r="AH414" s="9">
        <f>IF($G414="","",IFERROR(INDEX(GRUPOS_PLANO,MATCH($G414,SUBCATEGORIAS_PLANO,0)),"Não classificado"))</f>
        <v/>
      </c>
      <c r="AI414" s="24">
        <f>IF(OR($C414="",$X414="Pago",$X414="Recebido",$X414="Cancelado"),"",$C414-TODAY())</f>
        <v/>
      </c>
      <c r="AJ414" s="24">
        <f>IF(OR($C414="",$X414="Pago",$X414="Recebido",$X414="Cancelado"),0,MAX(0,TODAY()-$C414))</f>
        <v/>
      </c>
      <c r="AK414" s="24">
        <f>IF($D414="","",$D414-$B414)</f>
        <v/>
      </c>
      <c r="AL414" s="18">
        <f>IF(OR($D414="",$B414=""),"",ROUND(N($R414)*($D414-$B414),2))</f>
        <v/>
      </c>
      <c r="AM414" s="17">
        <f>IF(AND($E414="Saída",$W414&gt;0,$C414&lt;&gt;""),$C414+ROW()/1000000,"")</f>
        <v/>
      </c>
      <c r="AN414" s="17">
        <f>IF(AND($E414="Entrada",$W414&gt;0,$C414&lt;&gt;""),$C414+ROW()/1000000,"")</f>
        <v/>
      </c>
      <c r="AO414" s="9">
        <f>IF(COUNTA($B414:$R414)=0,"",IF(AND($I414&lt;&gt;"",COUNTIF(CLIENTES_NOMES,$I414)+COUNTIF(CLIENTES_FANTASIA,$I414)+COUNTIF(FORNECEDORES_NOMES,$I414)+COUNTIF(FORNECEDORES_FANTASIA,$I414)=0),"⚠ Cliente/Fornecedor não cadastrado",IF(AND($G414&lt;&gt;"",COUNTIF(SUBCATEGORIAS_PLANO,$G414)=0),"⚠ Subcategoria fora do plano de contas",IF(OR($Q414="",N($Q414)=0),"⚠ Valor previsto não informado",IF(AND(OR($X414="Pago",$X414="Recebido"),$D414=""),"⚠ Status pago/recebido sem data",IF(AND($D414&lt;&gt;"",N($R414)=0),"⚠ Data de pagamento sem valor realizado",IF(AND(N($P414)&gt;1,N($O414)&gt;N($P414)),"⚠ Nº da parcela maior que o total",IF(AND($C414&lt;&gt;"",$B414&lt;&gt;"",$C414&lt;$B414),"⚠ Vencimento anterior à competência","OK"))))))))</f>
        <v/>
      </c>
    </row>
    <row r="415">
      <c r="A415" s="14" t="inlineStr">
        <is>
          <t>L0410</t>
        </is>
      </c>
      <c r="B415" s="36" t="n">
        <v>46281</v>
      </c>
      <c r="C415" s="36" t="n">
        <v>46311</v>
      </c>
      <c r="D415" s="36" t="n"/>
      <c r="E415" s="14" t="inlineStr">
        <is>
          <t>Saída</t>
        </is>
      </c>
      <c r="F415" s="29" t="inlineStr">
        <is>
          <t>Custos Variáveis</t>
        </is>
      </c>
      <c r="G415" s="29" t="inlineStr">
        <is>
          <t>Mercadorias para Revenda</t>
        </is>
      </c>
      <c r="H415" s="29" t="inlineStr">
        <is>
          <t>Logística</t>
        </is>
      </c>
      <c r="I415" s="29" t="inlineStr">
        <is>
          <t>DISTRIBUIDORA CENTRAL DE ALIMENTOS S/A</t>
        </is>
      </c>
      <c r="J415" s="29" t="inlineStr">
        <is>
          <t>Compra de mercadorias para revenda — NF 5091</t>
        </is>
      </c>
      <c r="K415" s="14" t="inlineStr">
        <is>
          <t>NF 5091</t>
        </is>
      </c>
      <c r="L415" s="29" t="inlineStr">
        <is>
          <t>Banco do Brasil — C/C 12345-6</t>
        </is>
      </c>
      <c r="M415" s="14" t="inlineStr">
        <is>
          <t>Boleto</t>
        </is>
      </c>
      <c r="N415" s="29" t="n"/>
      <c r="O415" s="13" t="n">
        <v>1</v>
      </c>
      <c r="P415" s="13" t="n">
        <v>1</v>
      </c>
      <c r="Q415" s="35" t="n">
        <v>57340.5</v>
      </c>
      <c r="R415" s="35" t="n"/>
      <c r="S415" s="35" t="n"/>
      <c r="T415" s="35" t="n"/>
      <c r="U415" s="35" t="n"/>
      <c r="V415" s="18">
        <f>IF(COUNTA($B415:$R415)=0,"",ROUND(N($R415)+N($S415)+N($T415)-N($U415),2))</f>
        <v/>
      </c>
      <c r="W415" s="18">
        <f>IF(COUNTA($B415:$R415)=0,"",IF(OR($X415="Pago",$X415="Recebido",$X415="Cancelado"),0,ROUND(N($Q415)+N($S415)+N($T415)-N($U415)-N($R415),2)))</f>
        <v/>
      </c>
      <c r="X415" s="14" t="inlineStr">
        <is>
          <t>Previsto</t>
        </is>
      </c>
      <c r="Y415" s="17">
        <f>IF(COUNTA($B415:$R415)=0,"",IF($X415="Cancelado","Cancelado",IF(OR($X415="Pago",$X415="Recebido"),$X415,IF(OR($X415="Parcial",N($R415)&gt;0),"Parcial",IF($C415="","Sem vencimento",IF($C415&lt;TODAY(),"Vencido",IF($C415=TODAY(),"Vence hoje",IF($C415&lt;=TODAY()+7,"Vence em 7 dias",IF($C415&lt;=TODAY()+30,"Vence em 30 dias","Futuro")))))))))</f>
        <v/>
      </c>
      <c r="Z415" s="24">
        <f>IF($B415="","",MONTH($B415))</f>
        <v/>
      </c>
      <c r="AA415" s="24">
        <f>IF($B415="","",YEAR($B415))</f>
        <v/>
      </c>
      <c r="AB415" s="24">
        <f>IF($B415="","",ISOWEEKNUM($B415))</f>
        <v/>
      </c>
      <c r="AC415" s="17">
        <f>IF($B415="","",CHOOSE(WEEKDAY($B415,2),"Segunda","Terça","Quarta","Quinta","Sexta","Sábado","Domingo"))</f>
        <v/>
      </c>
      <c r="AD415" s="17">
        <f>IF($B415="","",TEXT($B415,"MM/AAAA"))</f>
        <v/>
      </c>
      <c r="AE415" s="18">
        <f>IF(COUNTA($B415:$R415)=0,"",IF($X415="Cancelado",0,ROUND(N($Q415)+N($S415)+N($T415)-N($U415),2)))</f>
        <v/>
      </c>
      <c r="AF415" s="9">
        <f>IF($G415="","",IFERROR(INDEX(LINHAS_DRE_PLANO,MATCH($G415,SUBCATEGORIAS_PLANO,0)),"Não classificado"))</f>
        <v/>
      </c>
      <c r="AG415" s="17">
        <f>IF($G415="","",IFERROR(INDEX(TIPOS_FLUXO_PLANO,MATCH($G415,SUBCATEGORIAS_PLANO,0)),"Não classificado"))</f>
        <v/>
      </c>
      <c r="AH415" s="9">
        <f>IF($G415="","",IFERROR(INDEX(GRUPOS_PLANO,MATCH($G415,SUBCATEGORIAS_PLANO,0)),"Não classificado"))</f>
        <v/>
      </c>
      <c r="AI415" s="24">
        <f>IF(OR($C415="",$X415="Pago",$X415="Recebido",$X415="Cancelado"),"",$C415-TODAY())</f>
        <v/>
      </c>
      <c r="AJ415" s="24">
        <f>IF(OR($C415="",$X415="Pago",$X415="Recebido",$X415="Cancelado"),0,MAX(0,TODAY()-$C415))</f>
        <v/>
      </c>
      <c r="AK415" s="24">
        <f>IF($D415="","",$D415-$B415)</f>
        <v/>
      </c>
      <c r="AL415" s="18">
        <f>IF(OR($D415="",$B415=""),"",ROUND(N($R415)*($D415-$B415),2))</f>
        <v/>
      </c>
      <c r="AM415" s="17">
        <f>IF(AND($E415="Saída",$W415&gt;0,$C415&lt;&gt;""),$C415+ROW()/1000000,"")</f>
        <v/>
      </c>
      <c r="AN415" s="17">
        <f>IF(AND($E415="Entrada",$W415&gt;0,$C415&lt;&gt;""),$C415+ROW()/1000000,"")</f>
        <v/>
      </c>
      <c r="AO415" s="9">
        <f>IF(COUNTA($B415:$R415)=0,"",IF(AND($I415&lt;&gt;"",COUNTIF(CLIENTES_NOMES,$I415)+COUNTIF(CLIENTES_FANTASIA,$I415)+COUNTIF(FORNECEDORES_NOMES,$I415)+COUNTIF(FORNECEDORES_FANTASIA,$I415)=0),"⚠ Cliente/Fornecedor não cadastrado",IF(AND($G415&lt;&gt;"",COUNTIF(SUBCATEGORIAS_PLANO,$G415)=0),"⚠ Subcategoria fora do plano de contas",IF(OR($Q415="",N($Q415)=0),"⚠ Valor previsto não informado",IF(AND(OR($X415="Pago",$X415="Recebido"),$D415=""),"⚠ Status pago/recebido sem data",IF(AND($D415&lt;&gt;"",N($R415)=0),"⚠ Data de pagamento sem valor realizado",IF(AND(N($P415)&gt;1,N($O415)&gt;N($P415)),"⚠ Nº da parcela maior que o total",IF(AND($C415&lt;&gt;"",$B415&lt;&gt;"",$C415&lt;$B415),"⚠ Vencimento anterior à competência","OK"))))))))</f>
        <v/>
      </c>
    </row>
    <row r="416">
      <c r="A416" s="14" t="inlineStr">
        <is>
          <t>L0411</t>
        </is>
      </c>
      <c r="B416" s="36" t="n">
        <v>46281</v>
      </c>
      <c r="C416" s="36" t="n">
        <v>46300</v>
      </c>
      <c r="D416" s="36" t="n"/>
      <c r="E416" s="14" t="inlineStr">
        <is>
          <t>Saída</t>
        </is>
      </c>
      <c r="F416" s="29" t="inlineStr">
        <is>
          <t>Despesas Administrativas</t>
        </is>
      </c>
      <c r="G416" s="29" t="inlineStr">
        <is>
          <t>Material de Escritório</t>
        </is>
      </c>
      <c r="H416" s="29" t="inlineStr">
        <is>
          <t>Administrativo</t>
        </is>
      </c>
      <c r="I416" s="29" t="inlineStr">
        <is>
          <t>PAPELARIA CENTRAL LTDA</t>
        </is>
      </c>
      <c r="J416" s="29" t="inlineStr">
        <is>
          <t>Material de escritório e itens de consumo</t>
        </is>
      </c>
      <c r="K416" s="14" t="inlineStr">
        <is>
          <t>DOC 8409</t>
        </is>
      </c>
      <c r="L416" s="29" t="inlineStr">
        <is>
          <t>Itaú Unibanco — C/C 45678-9</t>
        </is>
      </c>
      <c r="M416" s="14" t="inlineStr">
        <is>
          <t>Cartão de crédito</t>
        </is>
      </c>
      <c r="N416" s="29" t="inlineStr">
        <is>
          <t>Cartão Visa Itaú Business</t>
        </is>
      </c>
      <c r="O416" s="13" t="n">
        <v>1</v>
      </c>
      <c r="P416" s="13" t="n">
        <v>1</v>
      </c>
      <c r="Q416" s="35" t="n">
        <v>446.29</v>
      </c>
      <c r="R416" s="35" t="n"/>
      <c r="S416" s="35" t="n"/>
      <c r="T416" s="35" t="n"/>
      <c r="U416" s="35" t="n"/>
      <c r="V416" s="18">
        <f>IF(COUNTA($B416:$R416)=0,"",ROUND(N($R416)+N($S416)+N($T416)-N($U416),2))</f>
        <v/>
      </c>
      <c r="W416" s="18">
        <f>IF(COUNTA($B416:$R416)=0,"",IF(OR($X416="Pago",$X416="Recebido",$X416="Cancelado"),0,ROUND(N($Q416)+N($S416)+N($T416)-N($U416)-N($R416),2)))</f>
        <v/>
      </c>
      <c r="X416" s="14" t="inlineStr">
        <is>
          <t>Previsto</t>
        </is>
      </c>
      <c r="Y416" s="17">
        <f>IF(COUNTA($B416:$R416)=0,"",IF($X416="Cancelado","Cancelado",IF(OR($X416="Pago",$X416="Recebido"),$X416,IF(OR($X416="Parcial",N($R416)&gt;0),"Parcial",IF($C416="","Sem vencimento",IF($C416&lt;TODAY(),"Vencido",IF($C416=TODAY(),"Vence hoje",IF($C416&lt;=TODAY()+7,"Vence em 7 dias",IF($C416&lt;=TODAY()+30,"Vence em 30 dias","Futuro")))))))))</f>
        <v/>
      </c>
      <c r="Z416" s="24">
        <f>IF($B416="","",MONTH($B416))</f>
        <v/>
      </c>
      <c r="AA416" s="24">
        <f>IF($B416="","",YEAR($B416))</f>
        <v/>
      </c>
      <c r="AB416" s="24">
        <f>IF($B416="","",ISOWEEKNUM($B416))</f>
        <v/>
      </c>
      <c r="AC416" s="17">
        <f>IF($B416="","",CHOOSE(WEEKDAY($B416,2),"Segunda","Terça","Quarta","Quinta","Sexta","Sábado","Domingo"))</f>
        <v/>
      </c>
      <c r="AD416" s="17">
        <f>IF($B416="","",TEXT($B416,"MM/AAAA"))</f>
        <v/>
      </c>
      <c r="AE416" s="18">
        <f>IF(COUNTA($B416:$R416)=0,"",IF($X416="Cancelado",0,ROUND(N($Q416)+N($S416)+N($T416)-N($U416),2)))</f>
        <v/>
      </c>
      <c r="AF416" s="9">
        <f>IF($G416="","",IFERROR(INDEX(LINHAS_DRE_PLANO,MATCH($G416,SUBCATEGORIAS_PLANO,0)),"Não classificado"))</f>
        <v/>
      </c>
      <c r="AG416" s="17">
        <f>IF($G416="","",IFERROR(INDEX(TIPOS_FLUXO_PLANO,MATCH($G416,SUBCATEGORIAS_PLANO,0)),"Não classificado"))</f>
        <v/>
      </c>
      <c r="AH416" s="9">
        <f>IF($G416="","",IFERROR(INDEX(GRUPOS_PLANO,MATCH($G416,SUBCATEGORIAS_PLANO,0)),"Não classificado"))</f>
        <v/>
      </c>
      <c r="AI416" s="24">
        <f>IF(OR($C416="",$X416="Pago",$X416="Recebido",$X416="Cancelado"),"",$C416-TODAY())</f>
        <v/>
      </c>
      <c r="AJ416" s="24">
        <f>IF(OR($C416="",$X416="Pago",$X416="Recebido",$X416="Cancelado"),0,MAX(0,TODAY()-$C416))</f>
        <v/>
      </c>
      <c r="AK416" s="24">
        <f>IF($D416="","",$D416-$B416)</f>
        <v/>
      </c>
      <c r="AL416" s="18">
        <f>IF(OR($D416="",$B416=""),"",ROUND(N($R416)*($D416-$B416),2))</f>
        <v/>
      </c>
      <c r="AM416" s="17">
        <f>IF(AND($E416="Saída",$W416&gt;0,$C416&lt;&gt;""),$C416+ROW()/1000000,"")</f>
        <v/>
      </c>
      <c r="AN416" s="17">
        <f>IF(AND($E416="Entrada",$W416&gt;0,$C416&lt;&gt;""),$C416+ROW()/1000000,"")</f>
        <v/>
      </c>
      <c r="AO416" s="9">
        <f>IF(COUNTA($B416:$R416)=0,"",IF(AND($I416&lt;&gt;"",COUNTIF(CLIENTES_NOMES,$I416)+COUNTIF(CLIENTES_FANTASIA,$I416)+COUNTIF(FORNECEDORES_NOMES,$I416)+COUNTIF(FORNECEDORES_FANTASIA,$I416)=0),"⚠ Cliente/Fornecedor não cadastrado",IF(AND($G416&lt;&gt;"",COUNTIF(SUBCATEGORIAS_PLANO,$G416)=0),"⚠ Subcategoria fora do plano de contas",IF(OR($Q416="",N($Q416)=0),"⚠ Valor previsto não informado",IF(AND(OR($X416="Pago",$X416="Recebido"),$D416=""),"⚠ Status pago/recebido sem data",IF(AND($D416&lt;&gt;"",N($R416)=0),"⚠ Data de pagamento sem valor realizado",IF(AND(N($P416)&gt;1,N($O416)&gt;N($P416)),"⚠ Nº da parcela maior que o total",IF(AND($C416&lt;&gt;"",$B416&lt;&gt;"",$C416&lt;$B416),"⚠ Vencimento anterior à competência","OK"))))))))</f>
        <v/>
      </c>
    </row>
    <row r="417">
      <c r="A417" s="14" t="inlineStr">
        <is>
          <t>L0412</t>
        </is>
      </c>
      <c r="B417" s="36" t="n">
        <v>46283</v>
      </c>
      <c r="C417" s="36" t="n">
        <v>46283</v>
      </c>
      <c r="D417" s="36" t="n">
        <v>46283</v>
      </c>
      <c r="E417" s="14" t="inlineStr">
        <is>
          <t>Entrada</t>
        </is>
      </c>
      <c r="F417" s="29" t="inlineStr">
        <is>
          <t>Receitas Financeiras</t>
        </is>
      </c>
      <c r="G417" s="29" t="inlineStr">
        <is>
          <t>Rendimentos de Aplicações Financeiras</t>
        </is>
      </c>
      <c r="H417" s="29" t="inlineStr">
        <is>
          <t>Financeiro</t>
        </is>
      </c>
      <c r="I417" s="29" t="inlineStr">
        <is>
          <t>Itaú Unibanco</t>
        </is>
      </c>
      <c r="J417" s="29" t="inlineStr">
        <is>
          <t>Rendimento de aplicação financeira — 09/2026</t>
        </is>
      </c>
      <c r="K417" s="14" t="inlineStr">
        <is>
          <t>REND-APL</t>
        </is>
      </c>
      <c r="L417" s="29" t="inlineStr">
        <is>
          <t>Itaú Unibanco — C/C 45678-9</t>
        </is>
      </c>
      <c r="M417" s="14" t="inlineStr">
        <is>
          <t>Transferência</t>
        </is>
      </c>
      <c r="N417" s="29" t="n"/>
      <c r="O417" s="13" t="n">
        <v>1</v>
      </c>
      <c r="P417" s="13" t="n">
        <v>1</v>
      </c>
      <c r="Q417" s="35" t="n">
        <v>810.71</v>
      </c>
      <c r="R417" s="35" t="n">
        <v>810.71</v>
      </c>
      <c r="S417" s="35" t="n"/>
      <c r="T417" s="35" t="n"/>
      <c r="U417" s="35" t="n"/>
      <c r="V417" s="18">
        <f>IF(COUNTA($B417:$R417)=0,"",ROUND(N($R417)+N($S417)+N($T417)-N($U417),2))</f>
        <v/>
      </c>
      <c r="W417" s="18">
        <f>IF(COUNTA($B417:$R417)=0,"",IF(OR($X417="Pago",$X417="Recebido",$X417="Cancelado"),0,ROUND(N($Q417)+N($S417)+N($T417)-N($U417)-N($R417),2)))</f>
        <v/>
      </c>
      <c r="X417" s="14" t="inlineStr">
        <is>
          <t>Recebido</t>
        </is>
      </c>
      <c r="Y417" s="17">
        <f>IF(COUNTA($B417:$R417)=0,"",IF($X417="Cancelado","Cancelado",IF(OR($X417="Pago",$X417="Recebido"),$X417,IF(OR($X417="Parcial",N($R417)&gt;0),"Parcial",IF($C417="","Sem vencimento",IF($C417&lt;TODAY(),"Vencido",IF($C417=TODAY(),"Vence hoje",IF($C417&lt;=TODAY()+7,"Vence em 7 dias",IF($C417&lt;=TODAY()+30,"Vence em 30 dias","Futuro")))))))))</f>
        <v/>
      </c>
      <c r="Z417" s="24">
        <f>IF($B417="","",MONTH($B417))</f>
        <v/>
      </c>
      <c r="AA417" s="24">
        <f>IF($B417="","",YEAR($B417))</f>
        <v/>
      </c>
      <c r="AB417" s="24">
        <f>IF($B417="","",ISOWEEKNUM($B417))</f>
        <v/>
      </c>
      <c r="AC417" s="17">
        <f>IF($B417="","",CHOOSE(WEEKDAY($B417,2),"Segunda","Terça","Quarta","Quinta","Sexta","Sábado","Domingo"))</f>
        <v/>
      </c>
      <c r="AD417" s="17">
        <f>IF($B417="","",TEXT($B417,"MM/AAAA"))</f>
        <v/>
      </c>
      <c r="AE417" s="18">
        <f>IF(COUNTA($B417:$R417)=0,"",IF($X417="Cancelado",0,ROUND(N($Q417)+N($S417)+N($T417)-N($U417),2)))</f>
        <v/>
      </c>
      <c r="AF417" s="9">
        <f>IF($G417="","",IFERROR(INDEX(LINHAS_DRE_PLANO,MATCH($G417,SUBCATEGORIAS_PLANO,0)),"Não classificado"))</f>
        <v/>
      </c>
      <c r="AG417" s="17">
        <f>IF($G417="","",IFERROR(INDEX(TIPOS_FLUXO_PLANO,MATCH($G417,SUBCATEGORIAS_PLANO,0)),"Não classificado"))</f>
        <v/>
      </c>
      <c r="AH417" s="9">
        <f>IF($G417="","",IFERROR(INDEX(GRUPOS_PLANO,MATCH($G417,SUBCATEGORIAS_PLANO,0)),"Não classificado"))</f>
        <v/>
      </c>
      <c r="AI417" s="24">
        <f>IF(OR($C417="",$X417="Pago",$X417="Recebido",$X417="Cancelado"),"",$C417-TODAY())</f>
        <v/>
      </c>
      <c r="AJ417" s="24">
        <f>IF(OR($C417="",$X417="Pago",$X417="Recebido",$X417="Cancelado"),0,MAX(0,TODAY()-$C417))</f>
        <v/>
      </c>
      <c r="AK417" s="24">
        <f>IF($D417="","",$D417-$B417)</f>
        <v/>
      </c>
      <c r="AL417" s="18">
        <f>IF(OR($D417="",$B417=""),"",ROUND(N($R417)*($D417-$B417),2))</f>
        <v/>
      </c>
      <c r="AM417" s="17">
        <f>IF(AND($E417="Saída",$W417&gt;0,$C417&lt;&gt;""),$C417+ROW()/1000000,"")</f>
        <v/>
      </c>
      <c r="AN417" s="17">
        <f>IF(AND($E417="Entrada",$W417&gt;0,$C417&lt;&gt;""),$C417+ROW()/1000000,"")</f>
        <v/>
      </c>
      <c r="AO417" s="9">
        <f>IF(COUNTA($B417:$R417)=0,"",IF(AND($I417&lt;&gt;"",COUNTIF(CLIENTES_NOMES,$I417)+COUNTIF(CLIENTES_FANTASIA,$I417)+COUNTIF(FORNECEDORES_NOMES,$I417)+COUNTIF(FORNECEDORES_FANTASIA,$I417)=0),"⚠ Cliente/Fornecedor não cadastrado",IF(AND($G417&lt;&gt;"",COUNTIF(SUBCATEGORIAS_PLANO,$G417)=0),"⚠ Subcategoria fora do plano de contas",IF(OR($Q417="",N($Q417)=0),"⚠ Valor previsto não informado",IF(AND(OR($X417="Pago",$X417="Recebido"),$D417=""),"⚠ Status pago/recebido sem data",IF(AND($D417&lt;&gt;"",N($R417)=0),"⚠ Data de pagamento sem valor realizado",IF(AND(N($P417)&gt;1,N($O417)&gt;N($P417)),"⚠ Nº da parcela maior que o total",IF(AND($C417&lt;&gt;"",$B417&lt;&gt;"",$C417&lt;$B417),"⚠ Vencimento anterior à competência","OK"))))))))</f>
        <v/>
      </c>
    </row>
    <row r="418">
      <c r="A418" s="14" t="inlineStr">
        <is>
          <t>L0413</t>
        </is>
      </c>
      <c r="B418" s="36" t="n">
        <v>46283</v>
      </c>
      <c r="C418" s="36" t="n">
        <v>46293</v>
      </c>
      <c r="D418" s="36" t="n"/>
      <c r="E418" s="14" t="inlineStr">
        <is>
          <t>Saída</t>
        </is>
      </c>
      <c r="F418" s="29" t="inlineStr">
        <is>
          <t>Despesas Comerciais</t>
        </is>
      </c>
      <c r="G418" s="29" t="inlineStr">
        <is>
          <t>Publicidade e Anúncios</t>
        </is>
      </c>
      <c r="H418" s="29" t="inlineStr">
        <is>
          <t>Marketing</t>
        </is>
      </c>
      <c r="I418" s="29" t="inlineStr">
        <is>
          <t>GOOGLE BRASIL INTERNET LTDA</t>
        </is>
      </c>
      <c r="J418" s="29" t="inlineStr">
        <is>
          <t>Anúncios e campanhas digitais</t>
        </is>
      </c>
      <c r="K418" s="14" t="inlineStr">
        <is>
          <t>DOC 8408</t>
        </is>
      </c>
      <c r="L418" s="29" t="inlineStr">
        <is>
          <t>Nubank PJ — C/C 9876543-2</t>
        </is>
      </c>
      <c r="M418" s="14" t="inlineStr">
        <is>
          <t>Cartão de crédito</t>
        </is>
      </c>
      <c r="N418" s="29" t="inlineStr">
        <is>
          <t>Cartão Mastercard Nubank PJ</t>
        </is>
      </c>
      <c r="O418" s="13" t="n">
        <v>1</v>
      </c>
      <c r="P418" s="13" t="n">
        <v>1</v>
      </c>
      <c r="Q418" s="35" t="n">
        <v>1406.68</v>
      </c>
      <c r="R418" s="35" t="n"/>
      <c r="S418" s="35" t="n"/>
      <c r="T418" s="35" t="n"/>
      <c r="U418" s="35" t="n"/>
      <c r="V418" s="18">
        <f>IF(COUNTA($B418:$R418)=0,"",ROUND(N($R418)+N($S418)+N($T418)-N($U418),2))</f>
        <v/>
      </c>
      <c r="W418" s="18">
        <f>IF(COUNTA($B418:$R418)=0,"",IF(OR($X418="Pago",$X418="Recebido",$X418="Cancelado"),0,ROUND(N($Q418)+N($S418)+N($T418)-N($U418)-N($R418),2)))</f>
        <v/>
      </c>
      <c r="X418" s="14" t="inlineStr">
        <is>
          <t>Previsto</t>
        </is>
      </c>
      <c r="Y418" s="17">
        <f>IF(COUNTA($B418:$R418)=0,"",IF($X418="Cancelado","Cancelado",IF(OR($X418="Pago",$X418="Recebido"),$X418,IF(OR($X418="Parcial",N($R418)&gt;0),"Parcial",IF($C418="","Sem vencimento",IF($C418&lt;TODAY(),"Vencido",IF($C418=TODAY(),"Vence hoje",IF($C418&lt;=TODAY()+7,"Vence em 7 dias",IF($C418&lt;=TODAY()+30,"Vence em 30 dias","Futuro")))))))))</f>
        <v/>
      </c>
      <c r="Z418" s="24">
        <f>IF($B418="","",MONTH($B418))</f>
        <v/>
      </c>
      <c r="AA418" s="24">
        <f>IF($B418="","",YEAR($B418))</f>
        <v/>
      </c>
      <c r="AB418" s="24">
        <f>IF($B418="","",ISOWEEKNUM($B418))</f>
        <v/>
      </c>
      <c r="AC418" s="17">
        <f>IF($B418="","",CHOOSE(WEEKDAY($B418,2),"Segunda","Terça","Quarta","Quinta","Sexta","Sábado","Domingo"))</f>
        <v/>
      </c>
      <c r="AD418" s="17">
        <f>IF($B418="","",TEXT($B418,"MM/AAAA"))</f>
        <v/>
      </c>
      <c r="AE418" s="18">
        <f>IF(COUNTA($B418:$R418)=0,"",IF($X418="Cancelado",0,ROUND(N($Q418)+N($S418)+N($T418)-N($U418),2)))</f>
        <v/>
      </c>
      <c r="AF418" s="9">
        <f>IF($G418="","",IFERROR(INDEX(LINHAS_DRE_PLANO,MATCH($G418,SUBCATEGORIAS_PLANO,0)),"Não classificado"))</f>
        <v/>
      </c>
      <c r="AG418" s="17">
        <f>IF($G418="","",IFERROR(INDEX(TIPOS_FLUXO_PLANO,MATCH($G418,SUBCATEGORIAS_PLANO,0)),"Não classificado"))</f>
        <v/>
      </c>
      <c r="AH418" s="9">
        <f>IF($G418="","",IFERROR(INDEX(GRUPOS_PLANO,MATCH($G418,SUBCATEGORIAS_PLANO,0)),"Não classificado"))</f>
        <v/>
      </c>
      <c r="AI418" s="24">
        <f>IF(OR($C418="",$X418="Pago",$X418="Recebido",$X418="Cancelado"),"",$C418-TODAY())</f>
        <v/>
      </c>
      <c r="AJ418" s="24">
        <f>IF(OR($C418="",$X418="Pago",$X418="Recebido",$X418="Cancelado"),0,MAX(0,TODAY()-$C418))</f>
        <v/>
      </c>
      <c r="AK418" s="24">
        <f>IF($D418="","",$D418-$B418)</f>
        <v/>
      </c>
      <c r="AL418" s="18">
        <f>IF(OR($D418="",$B418=""),"",ROUND(N($R418)*($D418-$B418),2))</f>
        <v/>
      </c>
      <c r="AM418" s="17">
        <f>IF(AND($E418="Saída",$W418&gt;0,$C418&lt;&gt;""),$C418+ROW()/1000000,"")</f>
        <v/>
      </c>
      <c r="AN418" s="17">
        <f>IF(AND($E418="Entrada",$W418&gt;0,$C418&lt;&gt;""),$C418+ROW()/1000000,"")</f>
        <v/>
      </c>
      <c r="AO418" s="9">
        <f>IF(COUNTA($B418:$R418)=0,"",IF(AND($I418&lt;&gt;"",COUNTIF(CLIENTES_NOMES,$I418)+COUNTIF(CLIENTES_FANTASIA,$I418)+COUNTIF(FORNECEDORES_NOMES,$I418)+COUNTIF(FORNECEDORES_FANTASIA,$I418)=0),"⚠ Cliente/Fornecedor não cadastrado",IF(AND($G418&lt;&gt;"",COUNTIF(SUBCATEGORIAS_PLANO,$G418)=0),"⚠ Subcategoria fora do plano de contas",IF(OR($Q418="",N($Q418)=0),"⚠ Valor previsto não informado",IF(AND(OR($X418="Pago",$X418="Recebido"),$D418=""),"⚠ Status pago/recebido sem data",IF(AND($D418&lt;&gt;"",N($R418)=0),"⚠ Data de pagamento sem valor realizado",IF(AND(N($P418)&gt;1,N($O418)&gt;N($P418)),"⚠ Nº da parcela maior que o total",IF(AND($C418&lt;&gt;"",$B418&lt;&gt;"",$C418&lt;$B418),"⚠ Vencimento anterior à competência","OK"))))))))</f>
        <v/>
      </c>
    </row>
    <row r="419">
      <c r="A419" s="14" t="inlineStr">
        <is>
          <t>L0414</t>
        </is>
      </c>
      <c r="B419" s="36" t="n">
        <v>46283</v>
      </c>
      <c r="C419" s="36" t="n">
        <v>46320</v>
      </c>
      <c r="D419" s="36" t="n"/>
      <c r="E419" s="14" t="inlineStr">
        <is>
          <t>Saída</t>
        </is>
      </c>
      <c r="F419" s="29" t="inlineStr">
        <is>
          <t>Despesas Administrativas</t>
        </is>
      </c>
      <c r="G419" s="29" t="inlineStr">
        <is>
          <t>Manutenção e Conservação</t>
        </is>
      </c>
      <c r="H419" s="29" t="inlineStr">
        <is>
          <t>Logística</t>
        </is>
      </c>
      <c r="I419" s="29" t="inlineStr">
        <is>
          <t>Posto e oficina credenciados</t>
        </is>
      </c>
      <c r="J419" s="29" t="inlineStr">
        <is>
          <t>Combustível e manutenção da frota</t>
        </is>
      </c>
      <c r="K419" s="14" t="inlineStr">
        <is>
          <t>FROTA 09</t>
        </is>
      </c>
      <c r="L419" s="29" t="inlineStr">
        <is>
          <t>Banco do Brasil — C/C 12345-6</t>
        </is>
      </c>
      <c r="M419" s="14" t="inlineStr">
        <is>
          <t>Cartão de crédito</t>
        </is>
      </c>
      <c r="N419" s="29" t="inlineStr">
        <is>
          <t>Cartão Elo Banco do Brasil PJ</t>
        </is>
      </c>
      <c r="O419" s="13" t="n">
        <v>1</v>
      </c>
      <c r="P419" s="13" t="n">
        <v>1</v>
      </c>
      <c r="Q419" s="35" t="n">
        <v>943.79</v>
      </c>
      <c r="R419" s="35" t="n"/>
      <c r="S419" s="35" t="n"/>
      <c r="T419" s="35" t="n"/>
      <c r="U419" s="35" t="n"/>
      <c r="V419" s="18">
        <f>IF(COUNTA($B419:$R419)=0,"",ROUND(N($R419)+N($S419)+N($T419)-N($U419),2))</f>
        <v/>
      </c>
      <c r="W419" s="18">
        <f>IF(COUNTA($B419:$R419)=0,"",IF(OR($X419="Pago",$X419="Recebido",$X419="Cancelado"),0,ROUND(N($Q419)+N($S419)+N($T419)-N($U419)-N($R419),2)))</f>
        <v/>
      </c>
      <c r="X419" s="14" t="inlineStr">
        <is>
          <t>Previsto</t>
        </is>
      </c>
      <c r="Y419" s="17">
        <f>IF(COUNTA($B419:$R419)=0,"",IF($X419="Cancelado","Cancelado",IF(OR($X419="Pago",$X419="Recebido"),$X419,IF(OR($X419="Parcial",N($R419)&gt;0),"Parcial",IF($C419="","Sem vencimento",IF($C419&lt;TODAY(),"Vencido",IF($C419=TODAY(),"Vence hoje",IF($C419&lt;=TODAY()+7,"Vence em 7 dias",IF($C419&lt;=TODAY()+30,"Vence em 30 dias","Futuro")))))))))</f>
        <v/>
      </c>
      <c r="Z419" s="24">
        <f>IF($B419="","",MONTH($B419))</f>
        <v/>
      </c>
      <c r="AA419" s="24">
        <f>IF($B419="","",YEAR($B419))</f>
        <v/>
      </c>
      <c r="AB419" s="24">
        <f>IF($B419="","",ISOWEEKNUM($B419))</f>
        <v/>
      </c>
      <c r="AC419" s="17">
        <f>IF($B419="","",CHOOSE(WEEKDAY($B419,2),"Segunda","Terça","Quarta","Quinta","Sexta","Sábado","Domingo"))</f>
        <v/>
      </c>
      <c r="AD419" s="17">
        <f>IF($B419="","",TEXT($B419,"MM/AAAA"))</f>
        <v/>
      </c>
      <c r="AE419" s="18">
        <f>IF(COUNTA($B419:$R419)=0,"",IF($X419="Cancelado",0,ROUND(N($Q419)+N($S419)+N($T419)-N($U419),2)))</f>
        <v/>
      </c>
      <c r="AF419" s="9">
        <f>IF($G419="","",IFERROR(INDEX(LINHAS_DRE_PLANO,MATCH($G419,SUBCATEGORIAS_PLANO,0)),"Não classificado"))</f>
        <v/>
      </c>
      <c r="AG419" s="17">
        <f>IF($G419="","",IFERROR(INDEX(TIPOS_FLUXO_PLANO,MATCH($G419,SUBCATEGORIAS_PLANO,0)),"Não classificado"))</f>
        <v/>
      </c>
      <c r="AH419" s="9">
        <f>IF($G419="","",IFERROR(INDEX(GRUPOS_PLANO,MATCH($G419,SUBCATEGORIAS_PLANO,0)),"Não classificado"))</f>
        <v/>
      </c>
      <c r="AI419" s="24">
        <f>IF(OR($C419="",$X419="Pago",$X419="Recebido",$X419="Cancelado"),"",$C419-TODAY())</f>
        <v/>
      </c>
      <c r="AJ419" s="24">
        <f>IF(OR($C419="",$X419="Pago",$X419="Recebido",$X419="Cancelado"),0,MAX(0,TODAY()-$C419))</f>
        <v/>
      </c>
      <c r="AK419" s="24">
        <f>IF($D419="","",$D419-$B419)</f>
        <v/>
      </c>
      <c r="AL419" s="18">
        <f>IF(OR($D419="",$B419=""),"",ROUND(N($R419)*($D419-$B419),2))</f>
        <v/>
      </c>
      <c r="AM419" s="17">
        <f>IF(AND($E419="Saída",$W419&gt;0,$C419&lt;&gt;""),$C419+ROW()/1000000,"")</f>
        <v/>
      </c>
      <c r="AN419" s="17">
        <f>IF(AND($E419="Entrada",$W419&gt;0,$C419&lt;&gt;""),$C419+ROW()/1000000,"")</f>
        <v/>
      </c>
      <c r="AO419" s="9">
        <f>IF(COUNTA($B419:$R419)=0,"",IF(AND($I419&lt;&gt;"",COUNTIF(CLIENTES_NOMES,$I419)+COUNTIF(CLIENTES_FANTASIA,$I419)+COUNTIF(FORNECEDORES_NOMES,$I419)+COUNTIF(FORNECEDORES_FANTASIA,$I419)=0),"⚠ Cliente/Fornecedor não cadastrado",IF(AND($G419&lt;&gt;"",COUNTIF(SUBCATEGORIAS_PLANO,$G419)=0),"⚠ Subcategoria fora do plano de contas",IF(OR($Q419="",N($Q419)=0),"⚠ Valor previsto não informado",IF(AND(OR($X419="Pago",$X419="Recebido"),$D419=""),"⚠ Status pago/recebido sem data",IF(AND($D419&lt;&gt;"",N($R419)=0),"⚠ Data de pagamento sem valor realizado",IF(AND(N($P419)&gt;1,N($O419)&gt;N($P419)),"⚠ Nº da parcela maior que o total",IF(AND($C419&lt;&gt;"",$B419&lt;&gt;"",$C419&lt;$B419),"⚠ Vencimento anterior à competência","OK"))))))))</f>
        <v/>
      </c>
    </row>
    <row r="420">
      <c r="A420" s="14" t="inlineStr">
        <is>
          <t>L0415</t>
        </is>
      </c>
      <c r="B420" s="36" t="n">
        <v>46283</v>
      </c>
      <c r="C420" s="36" t="n">
        <v>46283</v>
      </c>
      <c r="D420" s="36" t="n">
        <v>46283</v>
      </c>
      <c r="E420" s="14" t="inlineStr">
        <is>
          <t>Saída</t>
        </is>
      </c>
      <c r="F420" s="29" t="inlineStr">
        <is>
          <t>Patrimônio Líquido</t>
        </is>
      </c>
      <c r="G420" s="29" t="inlineStr">
        <is>
          <t>Distribuição de Lucros aos Sócios</t>
        </is>
      </c>
      <c r="H420" s="29" t="inlineStr">
        <is>
          <t>Diretoria</t>
        </is>
      </c>
      <c r="I420" s="29" t="inlineStr">
        <is>
          <t>SÓCIOS — PRÓ-LABORE E DISTRIBUIÇÕES</t>
        </is>
      </c>
      <c r="J420" s="29" t="inlineStr">
        <is>
          <t>Distribuição de lucros do trimestre — 09/2026</t>
        </is>
      </c>
      <c r="K420" s="14" t="inlineStr">
        <is>
          <t>DIST-09</t>
        </is>
      </c>
      <c r="L420" s="29" t="inlineStr">
        <is>
          <t>Banco do Brasil — C/C 12345-6</t>
        </is>
      </c>
      <c r="M420" s="14" t="inlineStr">
        <is>
          <t>Transferência</t>
        </is>
      </c>
      <c r="N420" s="29" t="n"/>
      <c r="O420" s="13" t="n">
        <v>1</v>
      </c>
      <c r="P420" s="13" t="n">
        <v>1</v>
      </c>
      <c r="Q420" s="35" t="n">
        <v>12000</v>
      </c>
      <c r="R420" s="35" t="n">
        <v>12000</v>
      </c>
      <c r="S420" s="35" t="n"/>
      <c r="T420" s="35" t="n"/>
      <c r="U420" s="35" t="n"/>
      <c r="V420" s="18">
        <f>IF(COUNTA($B420:$R420)=0,"",ROUND(N($R420)+N($S420)+N($T420)-N($U420),2))</f>
        <v/>
      </c>
      <c r="W420" s="18">
        <f>IF(COUNTA($B420:$R420)=0,"",IF(OR($X420="Pago",$X420="Recebido",$X420="Cancelado"),0,ROUND(N($Q420)+N($S420)+N($T420)-N($U420)-N($R420),2)))</f>
        <v/>
      </c>
      <c r="X420" s="14" t="inlineStr">
        <is>
          <t>Pago</t>
        </is>
      </c>
      <c r="Y420" s="17">
        <f>IF(COUNTA($B420:$R420)=0,"",IF($X420="Cancelado","Cancelado",IF(OR($X420="Pago",$X420="Recebido"),$X420,IF(OR($X420="Parcial",N($R420)&gt;0),"Parcial",IF($C420="","Sem vencimento",IF($C420&lt;TODAY(),"Vencido",IF($C420=TODAY(),"Vence hoje",IF($C420&lt;=TODAY()+7,"Vence em 7 dias",IF($C420&lt;=TODAY()+30,"Vence em 30 dias","Futuro")))))))))</f>
        <v/>
      </c>
      <c r="Z420" s="24">
        <f>IF($B420="","",MONTH($B420))</f>
        <v/>
      </c>
      <c r="AA420" s="24">
        <f>IF($B420="","",YEAR($B420))</f>
        <v/>
      </c>
      <c r="AB420" s="24">
        <f>IF($B420="","",ISOWEEKNUM($B420))</f>
        <v/>
      </c>
      <c r="AC420" s="17">
        <f>IF($B420="","",CHOOSE(WEEKDAY($B420,2),"Segunda","Terça","Quarta","Quinta","Sexta","Sábado","Domingo"))</f>
        <v/>
      </c>
      <c r="AD420" s="17">
        <f>IF($B420="","",TEXT($B420,"MM/AAAA"))</f>
        <v/>
      </c>
      <c r="AE420" s="18">
        <f>IF(COUNTA($B420:$R420)=0,"",IF($X420="Cancelado",0,ROUND(N($Q420)+N($S420)+N($T420)-N($U420),2)))</f>
        <v/>
      </c>
      <c r="AF420" s="9">
        <f>IF($G420="","",IFERROR(INDEX(LINHAS_DRE_PLANO,MATCH($G420,SUBCATEGORIAS_PLANO,0)),"Não classificado"))</f>
        <v/>
      </c>
      <c r="AG420" s="17">
        <f>IF($G420="","",IFERROR(INDEX(TIPOS_FLUXO_PLANO,MATCH($G420,SUBCATEGORIAS_PLANO,0)),"Não classificado"))</f>
        <v/>
      </c>
      <c r="AH420" s="9">
        <f>IF($G420="","",IFERROR(INDEX(GRUPOS_PLANO,MATCH($G420,SUBCATEGORIAS_PLANO,0)),"Não classificado"))</f>
        <v/>
      </c>
      <c r="AI420" s="24">
        <f>IF(OR($C420="",$X420="Pago",$X420="Recebido",$X420="Cancelado"),"",$C420-TODAY())</f>
        <v/>
      </c>
      <c r="AJ420" s="24">
        <f>IF(OR($C420="",$X420="Pago",$X420="Recebido",$X420="Cancelado"),0,MAX(0,TODAY()-$C420))</f>
        <v/>
      </c>
      <c r="AK420" s="24">
        <f>IF($D420="","",$D420-$B420)</f>
        <v/>
      </c>
      <c r="AL420" s="18">
        <f>IF(OR($D420="",$B420=""),"",ROUND(N($R420)*($D420-$B420),2))</f>
        <v/>
      </c>
      <c r="AM420" s="17">
        <f>IF(AND($E420="Saída",$W420&gt;0,$C420&lt;&gt;""),$C420+ROW()/1000000,"")</f>
        <v/>
      </c>
      <c r="AN420" s="17">
        <f>IF(AND($E420="Entrada",$W420&gt;0,$C420&lt;&gt;""),$C420+ROW()/1000000,"")</f>
        <v/>
      </c>
      <c r="AO420" s="9">
        <f>IF(COUNTA($B420:$R420)=0,"",IF(AND($I420&lt;&gt;"",COUNTIF(CLIENTES_NOMES,$I420)+COUNTIF(CLIENTES_FANTASIA,$I420)+COUNTIF(FORNECEDORES_NOMES,$I420)+COUNTIF(FORNECEDORES_FANTASIA,$I420)=0),"⚠ Cliente/Fornecedor não cadastrado",IF(AND($G420&lt;&gt;"",COUNTIF(SUBCATEGORIAS_PLANO,$G420)=0),"⚠ Subcategoria fora do plano de contas",IF(OR($Q420="",N($Q420)=0),"⚠ Valor previsto não informado",IF(AND(OR($X420="Pago",$X420="Recebido"),$D420=""),"⚠ Status pago/recebido sem data",IF(AND($D420&lt;&gt;"",N($R420)=0),"⚠ Data de pagamento sem valor realizado",IF(AND(N($P420)&gt;1,N($O420)&gt;N($P420)),"⚠ Nº da parcela maior que o total",IF(AND($C420&lt;&gt;"",$B420&lt;&gt;"",$C420&lt;$B420),"⚠ Vencimento anterior à competência","OK"))))))))</f>
        <v/>
      </c>
    </row>
    <row r="421">
      <c r="A421" s="14" t="inlineStr">
        <is>
          <t>L0416</t>
        </is>
      </c>
      <c r="B421" s="36" t="n">
        <v>46284</v>
      </c>
      <c r="C421" s="36" t="n">
        <v>46314</v>
      </c>
      <c r="D421" s="36" t="n"/>
      <c r="E421" s="14" t="inlineStr">
        <is>
          <t>Entrada</t>
        </is>
      </c>
      <c r="F421" s="29" t="inlineStr">
        <is>
          <t>Vendas</t>
        </is>
      </c>
      <c r="G421" s="29" t="inlineStr">
        <is>
          <t>Vendas de Produtos</t>
        </is>
      </c>
      <c r="H421" s="29" t="inlineStr">
        <is>
          <t>Comercial</t>
        </is>
      </c>
      <c r="I421" s="29" t="inlineStr">
        <is>
          <t>MERCADO BOA COMPRA LTDA</t>
        </is>
      </c>
      <c r="J421" s="29" t="inlineStr">
        <is>
          <t>Venda de mercadorias para revenda</t>
        </is>
      </c>
      <c r="K421" s="14" t="inlineStr">
        <is>
          <t>NF-e 2098</t>
        </is>
      </c>
      <c r="L421" s="29" t="inlineStr">
        <is>
          <t>Banco do Brasil — C/C 12345-6</t>
        </is>
      </c>
      <c r="M421" s="14" t="inlineStr">
        <is>
          <t>Boleto</t>
        </is>
      </c>
      <c r="N421" s="29" t="n"/>
      <c r="O421" s="13" t="n">
        <v>1</v>
      </c>
      <c r="P421" s="13" t="n">
        <v>1</v>
      </c>
      <c r="Q421" s="35" t="n">
        <v>29378.41</v>
      </c>
      <c r="R421" s="35" t="n"/>
      <c r="S421" s="35" t="n"/>
      <c r="T421" s="35" t="n"/>
      <c r="U421" s="35" t="n"/>
      <c r="V421" s="18">
        <f>IF(COUNTA($B421:$R421)=0,"",ROUND(N($R421)+N($S421)+N($T421)-N($U421),2))</f>
        <v/>
      </c>
      <c r="W421" s="18">
        <f>IF(COUNTA($B421:$R421)=0,"",IF(OR($X421="Pago",$X421="Recebido",$X421="Cancelado"),0,ROUND(N($Q421)+N($S421)+N($T421)-N($U421)-N($R421),2)))</f>
        <v/>
      </c>
      <c r="X421" s="14" t="inlineStr">
        <is>
          <t>Previsto</t>
        </is>
      </c>
      <c r="Y421" s="17">
        <f>IF(COUNTA($B421:$R421)=0,"",IF($X421="Cancelado","Cancelado",IF(OR($X421="Pago",$X421="Recebido"),$X421,IF(OR($X421="Parcial",N($R421)&gt;0),"Parcial",IF($C421="","Sem vencimento",IF($C421&lt;TODAY(),"Vencido",IF($C421=TODAY(),"Vence hoje",IF($C421&lt;=TODAY()+7,"Vence em 7 dias",IF($C421&lt;=TODAY()+30,"Vence em 30 dias","Futuro")))))))))</f>
        <v/>
      </c>
      <c r="Z421" s="24">
        <f>IF($B421="","",MONTH($B421))</f>
        <v/>
      </c>
      <c r="AA421" s="24">
        <f>IF($B421="","",YEAR($B421))</f>
        <v/>
      </c>
      <c r="AB421" s="24">
        <f>IF($B421="","",ISOWEEKNUM($B421))</f>
        <v/>
      </c>
      <c r="AC421" s="17">
        <f>IF($B421="","",CHOOSE(WEEKDAY($B421,2),"Segunda","Terça","Quarta","Quinta","Sexta","Sábado","Domingo"))</f>
        <v/>
      </c>
      <c r="AD421" s="17">
        <f>IF($B421="","",TEXT($B421,"MM/AAAA"))</f>
        <v/>
      </c>
      <c r="AE421" s="18">
        <f>IF(COUNTA($B421:$R421)=0,"",IF($X421="Cancelado",0,ROUND(N($Q421)+N($S421)+N($T421)-N($U421),2)))</f>
        <v/>
      </c>
      <c r="AF421" s="9">
        <f>IF($G421="","",IFERROR(INDEX(LINHAS_DRE_PLANO,MATCH($G421,SUBCATEGORIAS_PLANO,0)),"Não classificado"))</f>
        <v/>
      </c>
      <c r="AG421" s="17">
        <f>IF($G421="","",IFERROR(INDEX(TIPOS_FLUXO_PLANO,MATCH($G421,SUBCATEGORIAS_PLANO,0)),"Não classificado"))</f>
        <v/>
      </c>
      <c r="AH421" s="9">
        <f>IF($G421="","",IFERROR(INDEX(GRUPOS_PLANO,MATCH($G421,SUBCATEGORIAS_PLANO,0)),"Não classificado"))</f>
        <v/>
      </c>
      <c r="AI421" s="24">
        <f>IF(OR($C421="",$X421="Pago",$X421="Recebido",$X421="Cancelado"),"",$C421-TODAY())</f>
        <v/>
      </c>
      <c r="AJ421" s="24">
        <f>IF(OR($C421="",$X421="Pago",$X421="Recebido",$X421="Cancelado"),0,MAX(0,TODAY()-$C421))</f>
        <v/>
      </c>
      <c r="AK421" s="24">
        <f>IF($D421="","",$D421-$B421)</f>
        <v/>
      </c>
      <c r="AL421" s="18">
        <f>IF(OR($D421="",$B421=""),"",ROUND(N($R421)*($D421-$B421),2))</f>
        <v/>
      </c>
      <c r="AM421" s="17">
        <f>IF(AND($E421="Saída",$W421&gt;0,$C421&lt;&gt;""),$C421+ROW()/1000000,"")</f>
        <v/>
      </c>
      <c r="AN421" s="17">
        <f>IF(AND($E421="Entrada",$W421&gt;0,$C421&lt;&gt;""),$C421+ROW()/1000000,"")</f>
        <v/>
      </c>
      <c r="AO421" s="9">
        <f>IF(COUNTA($B421:$R421)=0,"",IF(AND($I421&lt;&gt;"",COUNTIF(CLIENTES_NOMES,$I421)+COUNTIF(CLIENTES_FANTASIA,$I421)+COUNTIF(FORNECEDORES_NOMES,$I421)+COUNTIF(FORNECEDORES_FANTASIA,$I421)=0),"⚠ Cliente/Fornecedor não cadastrado",IF(AND($G421&lt;&gt;"",COUNTIF(SUBCATEGORIAS_PLANO,$G421)=0),"⚠ Subcategoria fora do plano de contas",IF(OR($Q421="",N($Q421)=0),"⚠ Valor previsto não informado",IF(AND(OR($X421="Pago",$X421="Recebido"),$D421=""),"⚠ Status pago/recebido sem data",IF(AND($D421&lt;&gt;"",N($R421)=0),"⚠ Data de pagamento sem valor realizado",IF(AND(N($P421)&gt;1,N($O421)&gt;N($P421)),"⚠ Nº da parcela maior que o total",IF(AND($C421&lt;&gt;"",$B421&lt;&gt;"",$C421&lt;$B421),"⚠ Vencimento anterior à competência","OK"))))))))</f>
        <v/>
      </c>
    </row>
    <row r="422">
      <c r="A422" s="14" t="inlineStr">
        <is>
          <t>L0417</t>
        </is>
      </c>
      <c r="B422" s="36" t="n">
        <v>46284</v>
      </c>
      <c r="C422" s="36" t="n">
        <v>46300</v>
      </c>
      <c r="D422" s="36" t="n"/>
      <c r="E422" s="14" t="inlineStr">
        <is>
          <t>Entrada</t>
        </is>
      </c>
      <c r="F422" s="29" t="inlineStr">
        <is>
          <t>Vendas</t>
        </is>
      </c>
      <c r="G422" s="29" t="inlineStr">
        <is>
          <t>Vendas de Produtos</t>
        </is>
      </c>
      <c r="H422" s="29" t="inlineStr">
        <is>
          <t>Comercial</t>
        </is>
      </c>
      <c r="I422" s="29" t="inlineStr">
        <is>
          <t>RESTAURANTE SABOR CASEIRO LTDA</t>
        </is>
      </c>
      <c r="J422" s="29" t="inlineStr">
        <is>
          <t>Venda de mercadorias para revenda</t>
        </is>
      </c>
      <c r="K422" s="14" t="inlineStr">
        <is>
          <t>NF-e 2102</t>
        </is>
      </c>
      <c r="L422" s="29" t="inlineStr">
        <is>
          <t>Itaú Unibanco — C/C 45678-9</t>
        </is>
      </c>
      <c r="M422" s="14" t="inlineStr">
        <is>
          <t>Boleto</t>
        </is>
      </c>
      <c r="N422" s="29" t="n"/>
      <c r="O422" s="13" t="n">
        <v>1</v>
      </c>
      <c r="P422" s="13" t="n">
        <v>1</v>
      </c>
      <c r="Q422" s="35" t="n">
        <v>13265.7</v>
      </c>
      <c r="R422" s="35" t="n"/>
      <c r="S422" s="35" t="n"/>
      <c r="T422" s="35" t="n"/>
      <c r="U422" s="35" t="n"/>
      <c r="V422" s="18">
        <f>IF(COUNTA($B422:$R422)=0,"",ROUND(N($R422)+N($S422)+N($T422)-N($U422),2))</f>
        <v/>
      </c>
      <c r="W422" s="18">
        <f>IF(COUNTA($B422:$R422)=0,"",IF(OR($X422="Pago",$X422="Recebido",$X422="Cancelado"),0,ROUND(N($Q422)+N($S422)+N($T422)-N($U422)-N($R422),2)))</f>
        <v/>
      </c>
      <c r="X422" s="14" t="inlineStr">
        <is>
          <t>Previsto</t>
        </is>
      </c>
      <c r="Y422" s="17">
        <f>IF(COUNTA($B422:$R422)=0,"",IF($X422="Cancelado","Cancelado",IF(OR($X422="Pago",$X422="Recebido"),$X422,IF(OR($X422="Parcial",N($R422)&gt;0),"Parcial",IF($C422="","Sem vencimento",IF($C422&lt;TODAY(),"Vencido",IF($C422=TODAY(),"Vence hoje",IF($C422&lt;=TODAY()+7,"Vence em 7 dias",IF($C422&lt;=TODAY()+30,"Vence em 30 dias","Futuro")))))))))</f>
        <v/>
      </c>
      <c r="Z422" s="24">
        <f>IF($B422="","",MONTH($B422))</f>
        <v/>
      </c>
      <c r="AA422" s="24">
        <f>IF($B422="","",YEAR($B422))</f>
        <v/>
      </c>
      <c r="AB422" s="24">
        <f>IF($B422="","",ISOWEEKNUM($B422))</f>
        <v/>
      </c>
      <c r="AC422" s="17">
        <f>IF($B422="","",CHOOSE(WEEKDAY($B422,2),"Segunda","Terça","Quarta","Quinta","Sexta","Sábado","Domingo"))</f>
        <v/>
      </c>
      <c r="AD422" s="17">
        <f>IF($B422="","",TEXT($B422,"MM/AAAA"))</f>
        <v/>
      </c>
      <c r="AE422" s="18">
        <f>IF(COUNTA($B422:$R422)=0,"",IF($X422="Cancelado",0,ROUND(N($Q422)+N($S422)+N($T422)-N($U422),2)))</f>
        <v/>
      </c>
      <c r="AF422" s="9">
        <f>IF($G422="","",IFERROR(INDEX(LINHAS_DRE_PLANO,MATCH($G422,SUBCATEGORIAS_PLANO,0)),"Não classificado"))</f>
        <v/>
      </c>
      <c r="AG422" s="17">
        <f>IF($G422="","",IFERROR(INDEX(TIPOS_FLUXO_PLANO,MATCH($G422,SUBCATEGORIAS_PLANO,0)),"Não classificado"))</f>
        <v/>
      </c>
      <c r="AH422" s="9">
        <f>IF($G422="","",IFERROR(INDEX(GRUPOS_PLANO,MATCH($G422,SUBCATEGORIAS_PLANO,0)),"Não classificado"))</f>
        <v/>
      </c>
      <c r="AI422" s="24">
        <f>IF(OR($C422="",$X422="Pago",$X422="Recebido",$X422="Cancelado"),"",$C422-TODAY())</f>
        <v/>
      </c>
      <c r="AJ422" s="24">
        <f>IF(OR($C422="",$X422="Pago",$X422="Recebido",$X422="Cancelado"),0,MAX(0,TODAY()-$C422))</f>
        <v/>
      </c>
      <c r="AK422" s="24">
        <f>IF($D422="","",$D422-$B422)</f>
        <v/>
      </c>
      <c r="AL422" s="18">
        <f>IF(OR($D422="",$B422=""),"",ROUND(N($R422)*($D422-$B422),2))</f>
        <v/>
      </c>
      <c r="AM422" s="17">
        <f>IF(AND($E422="Saída",$W422&gt;0,$C422&lt;&gt;""),$C422+ROW()/1000000,"")</f>
        <v/>
      </c>
      <c r="AN422" s="17">
        <f>IF(AND($E422="Entrada",$W422&gt;0,$C422&lt;&gt;""),$C422+ROW()/1000000,"")</f>
        <v/>
      </c>
      <c r="AO422" s="9">
        <f>IF(COUNTA($B422:$R422)=0,"",IF(AND($I422&lt;&gt;"",COUNTIF(CLIENTES_NOMES,$I422)+COUNTIF(CLIENTES_FANTASIA,$I422)+COUNTIF(FORNECEDORES_NOMES,$I422)+COUNTIF(FORNECEDORES_FANTASIA,$I422)=0),"⚠ Cliente/Fornecedor não cadastrado",IF(AND($G422&lt;&gt;"",COUNTIF(SUBCATEGORIAS_PLANO,$G422)=0),"⚠ Subcategoria fora do plano de contas",IF(OR($Q422="",N($Q422)=0),"⚠ Valor previsto não informado",IF(AND(OR($X422="Pago",$X422="Recebido"),$D422=""),"⚠ Status pago/recebido sem data",IF(AND($D422&lt;&gt;"",N($R422)=0),"⚠ Data de pagamento sem valor realizado",IF(AND(N($P422)&gt;1,N($O422)&gt;N($P422)),"⚠ Nº da parcela maior que o total",IF(AND($C422&lt;&gt;"",$B422&lt;&gt;"",$C422&lt;$B422),"⚠ Vencimento anterior à competência","OK"))))))))</f>
        <v/>
      </c>
    </row>
    <row r="423">
      <c r="A423" s="14" t="inlineStr">
        <is>
          <t>L0418</t>
        </is>
      </c>
      <c r="B423" s="36" t="n">
        <v>46284</v>
      </c>
      <c r="C423" s="36" t="n">
        <v>46307</v>
      </c>
      <c r="D423" s="36" t="n"/>
      <c r="E423" s="14" t="inlineStr">
        <is>
          <t>Entrada</t>
        </is>
      </c>
      <c r="F423" s="29" t="inlineStr">
        <is>
          <t>Vendas</t>
        </is>
      </c>
      <c r="G423" s="29" t="inlineStr">
        <is>
          <t>Vendas de Produtos</t>
        </is>
      </c>
      <c r="H423" s="29" t="inlineStr">
        <is>
          <t>Comercial</t>
        </is>
      </c>
      <c r="I423" s="29" t="inlineStr">
        <is>
          <t>EMPÓRIO NATURAL COMÉRCIO LTDA</t>
        </is>
      </c>
      <c r="J423" s="29" t="inlineStr">
        <is>
          <t>Venda de mercadorias para revenda</t>
        </is>
      </c>
      <c r="K423" s="14" t="inlineStr">
        <is>
          <t>NF-e 2106</t>
        </is>
      </c>
      <c r="L423" s="29" t="inlineStr">
        <is>
          <t>Itaú Unibanco — C/C 45678-9</t>
        </is>
      </c>
      <c r="M423" s="14" t="inlineStr">
        <is>
          <t>Boleto</t>
        </is>
      </c>
      <c r="N423" s="29" t="n"/>
      <c r="O423" s="13" t="n">
        <v>1</v>
      </c>
      <c r="P423" s="13" t="n">
        <v>1</v>
      </c>
      <c r="Q423" s="35" t="n">
        <v>18643.03</v>
      </c>
      <c r="R423" s="35" t="n"/>
      <c r="S423" s="35" t="n"/>
      <c r="T423" s="35" t="n"/>
      <c r="U423" s="35" t="n"/>
      <c r="V423" s="18">
        <f>IF(COUNTA($B423:$R423)=0,"",ROUND(N($R423)+N($S423)+N($T423)-N($U423),2))</f>
        <v/>
      </c>
      <c r="W423" s="18">
        <f>IF(COUNTA($B423:$R423)=0,"",IF(OR($X423="Pago",$X423="Recebido",$X423="Cancelado"),0,ROUND(N($Q423)+N($S423)+N($T423)-N($U423)-N($R423),2)))</f>
        <v/>
      </c>
      <c r="X423" s="14" t="inlineStr">
        <is>
          <t>Previsto</t>
        </is>
      </c>
      <c r="Y423" s="17">
        <f>IF(COUNTA($B423:$R423)=0,"",IF($X423="Cancelado","Cancelado",IF(OR($X423="Pago",$X423="Recebido"),$X423,IF(OR($X423="Parcial",N($R423)&gt;0),"Parcial",IF($C423="","Sem vencimento",IF($C423&lt;TODAY(),"Vencido",IF($C423=TODAY(),"Vence hoje",IF($C423&lt;=TODAY()+7,"Vence em 7 dias",IF($C423&lt;=TODAY()+30,"Vence em 30 dias","Futuro")))))))))</f>
        <v/>
      </c>
      <c r="Z423" s="24">
        <f>IF($B423="","",MONTH($B423))</f>
        <v/>
      </c>
      <c r="AA423" s="24">
        <f>IF($B423="","",YEAR($B423))</f>
        <v/>
      </c>
      <c r="AB423" s="24">
        <f>IF($B423="","",ISOWEEKNUM($B423))</f>
        <v/>
      </c>
      <c r="AC423" s="17">
        <f>IF($B423="","",CHOOSE(WEEKDAY($B423,2),"Segunda","Terça","Quarta","Quinta","Sexta","Sábado","Domingo"))</f>
        <v/>
      </c>
      <c r="AD423" s="17">
        <f>IF($B423="","",TEXT($B423,"MM/AAAA"))</f>
        <v/>
      </c>
      <c r="AE423" s="18">
        <f>IF(COUNTA($B423:$R423)=0,"",IF($X423="Cancelado",0,ROUND(N($Q423)+N($S423)+N($T423)-N($U423),2)))</f>
        <v/>
      </c>
      <c r="AF423" s="9">
        <f>IF($G423="","",IFERROR(INDEX(LINHAS_DRE_PLANO,MATCH($G423,SUBCATEGORIAS_PLANO,0)),"Não classificado"))</f>
        <v/>
      </c>
      <c r="AG423" s="17">
        <f>IF($G423="","",IFERROR(INDEX(TIPOS_FLUXO_PLANO,MATCH($G423,SUBCATEGORIAS_PLANO,0)),"Não classificado"))</f>
        <v/>
      </c>
      <c r="AH423" s="9">
        <f>IF($G423="","",IFERROR(INDEX(GRUPOS_PLANO,MATCH($G423,SUBCATEGORIAS_PLANO,0)),"Não classificado"))</f>
        <v/>
      </c>
      <c r="AI423" s="24">
        <f>IF(OR($C423="",$X423="Pago",$X423="Recebido",$X423="Cancelado"),"",$C423-TODAY())</f>
        <v/>
      </c>
      <c r="AJ423" s="24">
        <f>IF(OR($C423="",$X423="Pago",$X423="Recebido",$X423="Cancelado"),0,MAX(0,TODAY()-$C423))</f>
        <v/>
      </c>
      <c r="AK423" s="24">
        <f>IF($D423="","",$D423-$B423)</f>
        <v/>
      </c>
      <c r="AL423" s="18">
        <f>IF(OR($D423="",$B423=""),"",ROUND(N($R423)*($D423-$B423),2))</f>
        <v/>
      </c>
      <c r="AM423" s="17">
        <f>IF(AND($E423="Saída",$W423&gt;0,$C423&lt;&gt;""),$C423+ROW()/1000000,"")</f>
        <v/>
      </c>
      <c r="AN423" s="17">
        <f>IF(AND($E423="Entrada",$W423&gt;0,$C423&lt;&gt;""),$C423+ROW()/1000000,"")</f>
        <v/>
      </c>
      <c r="AO423" s="9">
        <f>IF(COUNTA($B423:$R423)=0,"",IF(AND($I423&lt;&gt;"",COUNTIF(CLIENTES_NOMES,$I423)+COUNTIF(CLIENTES_FANTASIA,$I423)+COUNTIF(FORNECEDORES_NOMES,$I423)+COUNTIF(FORNECEDORES_FANTASIA,$I423)=0),"⚠ Cliente/Fornecedor não cadastrado",IF(AND($G423&lt;&gt;"",COUNTIF(SUBCATEGORIAS_PLANO,$G423)=0),"⚠ Subcategoria fora do plano de contas",IF(OR($Q423="",N($Q423)=0),"⚠ Valor previsto não informado",IF(AND(OR($X423="Pago",$X423="Recebido"),$D423=""),"⚠ Status pago/recebido sem data",IF(AND($D423&lt;&gt;"",N($R423)=0),"⚠ Data de pagamento sem valor realizado",IF(AND(N($P423)&gt;1,N($O423)&gt;N($P423)),"⚠ Nº da parcela maior que o total",IF(AND($C423&lt;&gt;"",$B423&lt;&gt;"",$C423&lt;$B423),"⚠ Vencimento anterior à competência","OK"))))))))</f>
        <v/>
      </c>
    </row>
    <row r="424">
      <c r="A424" s="14" t="inlineStr">
        <is>
          <t>L0419</t>
        </is>
      </c>
      <c r="B424" s="36" t="n">
        <v>46285</v>
      </c>
      <c r="C424" s="36" t="n">
        <v>46295</v>
      </c>
      <c r="D424" s="36" t="n"/>
      <c r="E424" s="14" t="inlineStr">
        <is>
          <t>Saída</t>
        </is>
      </c>
      <c r="F424" s="29" t="inlineStr">
        <is>
          <t>Custos Variáveis</t>
        </is>
      </c>
      <c r="G424" s="29" t="inlineStr">
        <is>
          <t>Outros Custos Diretos</t>
        </is>
      </c>
      <c r="H424" s="29" t="inlineStr">
        <is>
          <t>Produção</t>
        </is>
      </c>
      <c r="I424" s="29" t="inlineStr">
        <is>
          <t>APOIO OPERACIONAL SERVIÇOS LTDA</t>
        </is>
      </c>
      <c r="J424" s="29" t="inlineStr">
        <is>
          <t>Serviços de apoio à operação e expedição</t>
        </is>
      </c>
      <c r="K424" s="14" t="inlineStr">
        <is>
          <t>DOC 7237</t>
        </is>
      </c>
      <c r="L424" s="29" t="inlineStr">
        <is>
          <t>Banco do Brasil — C/C 12345-6</t>
        </is>
      </c>
      <c r="M424" s="14" t="inlineStr">
        <is>
          <t>PIX</t>
        </is>
      </c>
      <c r="N424" s="29" t="n"/>
      <c r="O424" s="13" t="n">
        <v>1</v>
      </c>
      <c r="P424" s="13" t="n">
        <v>1</v>
      </c>
      <c r="Q424" s="35" t="n">
        <v>1003.03</v>
      </c>
      <c r="R424" s="35" t="n"/>
      <c r="S424" s="35" t="n"/>
      <c r="T424" s="35" t="n"/>
      <c r="U424" s="35" t="n"/>
      <c r="V424" s="18">
        <f>IF(COUNTA($B424:$R424)=0,"",ROUND(N($R424)+N($S424)+N($T424)-N($U424),2))</f>
        <v/>
      </c>
      <c r="W424" s="18">
        <f>IF(COUNTA($B424:$R424)=0,"",IF(OR($X424="Pago",$X424="Recebido",$X424="Cancelado"),0,ROUND(N($Q424)+N($S424)+N($T424)-N($U424)-N($R424),2)))</f>
        <v/>
      </c>
      <c r="X424" s="14" t="inlineStr">
        <is>
          <t>Previsto</t>
        </is>
      </c>
      <c r="Y424" s="17">
        <f>IF(COUNTA($B424:$R424)=0,"",IF($X424="Cancelado","Cancelado",IF(OR($X424="Pago",$X424="Recebido"),$X424,IF(OR($X424="Parcial",N($R424)&gt;0),"Parcial",IF($C424="","Sem vencimento",IF($C424&lt;TODAY(),"Vencido",IF($C424=TODAY(),"Vence hoje",IF($C424&lt;=TODAY()+7,"Vence em 7 dias",IF($C424&lt;=TODAY()+30,"Vence em 30 dias","Futuro")))))))))</f>
        <v/>
      </c>
      <c r="Z424" s="24">
        <f>IF($B424="","",MONTH($B424))</f>
        <v/>
      </c>
      <c r="AA424" s="24">
        <f>IF($B424="","",YEAR($B424))</f>
        <v/>
      </c>
      <c r="AB424" s="24">
        <f>IF($B424="","",ISOWEEKNUM($B424))</f>
        <v/>
      </c>
      <c r="AC424" s="17">
        <f>IF($B424="","",CHOOSE(WEEKDAY($B424,2),"Segunda","Terça","Quarta","Quinta","Sexta","Sábado","Domingo"))</f>
        <v/>
      </c>
      <c r="AD424" s="17">
        <f>IF($B424="","",TEXT($B424,"MM/AAAA"))</f>
        <v/>
      </c>
      <c r="AE424" s="18">
        <f>IF(COUNTA($B424:$R424)=0,"",IF($X424="Cancelado",0,ROUND(N($Q424)+N($S424)+N($T424)-N($U424),2)))</f>
        <v/>
      </c>
      <c r="AF424" s="9">
        <f>IF($G424="","",IFERROR(INDEX(LINHAS_DRE_PLANO,MATCH($G424,SUBCATEGORIAS_PLANO,0)),"Não classificado"))</f>
        <v/>
      </c>
      <c r="AG424" s="17">
        <f>IF($G424="","",IFERROR(INDEX(TIPOS_FLUXO_PLANO,MATCH($G424,SUBCATEGORIAS_PLANO,0)),"Não classificado"))</f>
        <v/>
      </c>
      <c r="AH424" s="9">
        <f>IF($G424="","",IFERROR(INDEX(GRUPOS_PLANO,MATCH($G424,SUBCATEGORIAS_PLANO,0)),"Não classificado"))</f>
        <v/>
      </c>
      <c r="AI424" s="24">
        <f>IF(OR($C424="",$X424="Pago",$X424="Recebido",$X424="Cancelado"),"",$C424-TODAY())</f>
        <v/>
      </c>
      <c r="AJ424" s="24">
        <f>IF(OR($C424="",$X424="Pago",$X424="Recebido",$X424="Cancelado"),0,MAX(0,TODAY()-$C424))</f>
        <v/>
      </c>
      <c r="AK424" s="24">
        <f>IF($D424="","",$D424-$B424)</f>
        <v/>
      </c>
      <c r="AL424" s="18">
        <f>IF(OR($D424="",$B424=""),"",ROUND(N($R424)*($D424-$B424),2))</f>
        <v/>
      </c>
      <c r="AM424" s="17">
        <f>IF(AND($E424="Saída",$W424&gt;0,$C424&lt;&gt;""),$C424+ROW()/1000000,"")</f>
        <v/>
      </c>
      <c r="AN424" s="17">
        <f>IF(AND($E424="Entrada",$W424&gt;0,$C424&lt;&gt;""),$C424+ROW()/1000000,"")</f>
        <v/>
      </c>
      <c r="AO424" s="9">
        <f>IF(COUNTA($B424:$R424)=0,"",IF(AND($I424&lt;&gt;"",COUNTIF(CLIENTES_NOMES,$I424)+COUNTIF(CLIENTES_FANTASIA,$I424)+COUNTIF(FORNECEDORES_NOMES,$I424)+COUNTIF(FORNECEDORES_FANTASIA,$I424)=0),"⚠ Cliente/Fornecedor não cadastrado",IF(AND($G424&lt;&gt;"",COUNTIF(SUBCATEGORIAS_PLANO,$G424)=0),"⚠ Subcategoria fora do plano de contas",IF(OR($Q424="",N($Q424)=0),"⚠ Valor previsto não informado",IF(AND(OR($X424="Pago",$X424="Recebido"),$D424=""),"⚠ Status pago/recebido sem data",IF(AND($D424&lt;&gt;"",N($R424)=0),"⚠ Data de pagamento sem valor realizado",IF(AND(N($P424)&gt;1,N($O424)&gt;N($P424)),"⚠ Nº da parcela maior que o total",IF(AND($C424&lt;&gt;"",$B424&lt;&gt;"",$C424&lt;$B424),"⚠ Vencimento anterior à competência","OK"))))))))</f>
        <v/>
      </c>
    </row>
    <row r="425">
      <c r="A425" s="14" t="inlineStr">
        <is>
          <t>L0420</t>
        </is>
      </c>
      <c r="B425" s="36" t="n">
        <v>46285</v>
      </c>
      <c r="C425" s="36" t="n">
        <v>46315</v>
      </c>
      <c r="D425" s="36" t="n"/>
      <c r="E425" s="14" t="inlineStr">
        <is>
          <t>Saída</t>
        </is>
      </c>
      <c r="F425" s="29" t="inlineStr">
        <is>
          <t>Tributos</t>
        </is>
      </c>
      <c r="G425" s="29" t="inlineStr">
        <is>
          <t>Simples Nacional</t>
        </is>
      </c>
      <c r="H425" s="29" t="inlineStr">
        <is>
          <t>Financeiro</t>
        </is>
      </c>
      <c r="I425" s="29" t="inlineStr">
        <is>
          <t>RECEITA FEDERAL DO BRASIL</t>
        </is>
      </c>
      <c r="J425" s="29" t="inlineStr">
        <is>
          <t>Simples Nacional — competência 09/2026</t>
        </is>
      </c>
      <c r="K425" s="14" t="inlineStr">
        <is>
          <t>DAS 09/2026</t>
        </is>
      </c>
      <c r="L425" s="29" t="inlineStr">
        <is>
          <t>Banco do Brasil — C/C 12345-6</t>
        </is>
      </c>
      <c r="M425" s="14" t="inlineStr">
        <is>
          <t>Transferência</t>
        </is>
      </c>
      <c r="N425" s="29" t="n"/>
      <c r="O425" s="13" t="n">
        <v>1</v>
      </c>
      <c r="P425" s="13" t="n">
        <v>1</v>
      </c>
      <c r="Q425" s="35" t="n">
        <v>21348.71</v>
      </c>
      <c r="R425" s="35" t="n"/>
      <c r="S425" s="35" t="n"/>
      <c r="T425" s="35" t="n"/>
      <c r="U425" s="35" t="n"/>
      <c r="V425" s="18">
        <f>IF(COUNTA($B425:$R425)=0,"",ROUND(N($R425)+N($S425)+N($T425)-N($U425),2))</f>
        <v/>
      </c>
      <c r="W425" s="18">
        <f>IF(COUNTA($B425:$R425)=0,"",IF(OR($X425="Pago",$X425="Recebido",$X425="Cancelado"),0,ROUND(N($Q425)+N($S425)+N($T425)-N($U425)-N($R425),2)))</f>
        <v/>
      </c>
      <c r="X425" s="14" t="inlineStr">
        <is>
          <t>Previsto</t>
        </is>
      </c>
      <c r="Y425" s="17">
        <f>IF(COUNTA($B425:$R425)=0,"",IF($X425="Cancelado","Cancelado",IF(OR($X425="Pago",$X425="Recebido"),$X425,IF(OR($X425="Parcial",N($R425)&gt;0),"Parcial",IF($C425="","Sem vencimento",IF($C425&lt;TODAY(),"Vencido",IF($C425=TODAY(),"Vence hoje",IF($C425&lt;=TODAY()+7,"Vence em 7 dias",IF($C425&lt;=TODAY()+30,"Vence em 30 dias","Futuro")))))))))</f>
        <v/>
      </c>
      <c r="Z425" s="24">
        <f>IF($B425="","",MONTH($B425))</f>
        <v/>
      </c>
      <c r="AA425" s="24">
        <f>IF($B425="","",YEAR($B425))</f>
        <v/>
      </c>
      <c r="AB425" s="24">
        <f>IF($B425="","",ISOWEEKNUM($B425))</f>
        <v/>
      </c>
      <c r="AC425" s="17">
        <f>IF($B425="","",CHOOSE(WEEKDAY($B425,2),"Segunda","Terça","Quarta","Quinta","Sexta","Sábado","Domingo"))</f>
        <v/>
      </c>
      <c r="AD425" s="17">
        <f>IF($B425="","",TEXT($B425,"MM/AAAA"))</f>
        <v/>
      </c>
      <c r="AE425" s="18">
        <f>IF(COUNTA($B425:$R425)=0,"",IF($X425="Cancelado",0,ROUND(N($Q425)+N($S425)+N($T425)-N($U425),2)))</f>
        <v/>
      </c>
      <c r="AF425" s="9">
        <f>IF($G425="","",IFERROR(INDEX(LINHAS_DRE_PLANO,MATCH($G425,SUBCATEGORIAS_PLANO,0)),"Não classificado"))</f>
        <v/>
      </c>
      <c r="AG425" s="17">
        <f>IF($G425="","",IFERROR(INDEX(TIPOS_FLUXO_PLANO,MATCH($G425,SUBCATEGORIAS_PLANO,0)),"Não classificado"))</f>
        <v/>
      </c>
      <c r="AH425" s="9">
        <f>IF($G425="","",IFERROR(INDEX(GRUPOS_PLANO,MATCH($G425,SUBCATEGORIAS_PLANO,0)),"Não classificado"))</f>
        <v/>
      </c>
      <c r="AI425" s="24">
        <f>IF(OR($C425="",$X425="Pago",$X425="Recebido",$X425="Cancelado"),"",$C425-TODAY())</f>
        <v/>
      </c>
      <c r="AJ425" s="24">
        <f>IF(OR($C425="",$X425="Pago",$X425="Recebido",$X425="Cancelado"),0,MAX(0,TODAY()-$C425))</f>
        <v/>
      </c>
      <c r="AK425" s="24">
        <f>IF($D425="","",$D425-$B425)</f>
        <v/>
      </c>
      <c r="AL425" s="18">
        <f>IF(OR($D425="",$B425=""),"",ROUND(N($R425)*($D425-$B425),2))</f>
        <v/>
      </c>
      <c r="AM425" s="17">
        <f>IF(AND($E425="Saída",$W425&gt;0,$C425&lt;&gt;""),$C425+ROW()/1000000,"")</f>
        <v/>
      </c>
      <c r="AN425" s="17">
        <f>IF(AND($E425="Entrada",$W425&gt;0,$C425&lt;&gt;""),$C425+ROW()/1000000,"")</f>
        <v/>
      </c>
      <c r="AO425" s="9">
        <f>IF(COUNTA($B425:$R425)=0,"",IF(AND($I425&lt;&gt;"",COUNTIF(CLIENTES_NOMES,$I425)+COUNTIF(CLIENTES_FANTASIA,$I425)+COUNTIF(FORNECEDORES_NOMES,$I425)+COUNTIF(FORNECEDORES_FANTASIA,$I425)=0),"⚠ Cliente/Fornecedor não cadastrado",IF(AND($G425&lt;&gt;"",COUNTIF(SUBCATEGORIAS_PLANO,$G425)=0),"⚠ Subcategoria fora do plano de contas",IF(OR($Q425="",N($Q425)=0),"⚠ Valor previsto não informado",IF(AND(OR($X425="Pago",$X425="Recebido"),$D425=""),"⚠ Status pago/recebido sem data",IF(AND($D425&lt;&gt;"",N($R425)=0),"⚠ Data de pagamento sem valor realizado",IF(AND(N($P425)&gt;1,N($O425)&gt;N($P425)),"⚠ Nº da parcela maior que o total",IF(AND($C425&lt;&gt;"",$B425&lt;&gt;"",$C425&lt;$B425),"⚠ Vencimento anterior à competência","OK"))))))))</f>
        <v/>
      </c>
    </row>
    <row r="426">
      <c r="A426" s="14" t="inlineStr">
        <is>
          <t>L0421</t>
        </is>
      </c>
      <c r="B426" s="36" t="n">
        <v>46285</v>
      </c>
      <c r="C426" s="36" t="n">
        <v>46285</v>
      </c>
      <c r="D426" s="36" t="n"/>
      <c r="E426" s="14" t="inlineStr">
        <is>
          <t>Saída</t>
        </is>
      </c>
      <c r="F426" s="29" t="inlineStr">
        <is>
          <t>Empréstimos e Financiamentos</t>
        </is>
      </c>
      <c r="G426" s="29" t="inlineStr">
        <is>
          <t>Pagamento de Principal de Empréstimos</t>
        </is>
      </c>
      <c r="H426" s="29" t="inlineStr">
        <is>
          <t>Diretoria</t>
        </is>
      </c>
      <c r="I426" s="29" t="inlineStr">
        <is>
          <t>Banco Santander</t>
        </is>
      </c>
      <c r="J426" s="29" t="inlineStr">
        <is>
          <t>Financiamento de Veículo — parcela 8/48 (principal)</t>
        </is>
      </c>
      <c r="K426" s="14" t="inlineStr">
        <is>
          <t>VEI-2026-0088-P08</t>
        </is>
      </c>
      <c r="L426" s="29" t="inlineStr">
        <is>
          <t>Itaú Unibanco — C/C 45678-9</t>
        </is>
      </c>
      <c r="M426" s="14" t="inlineStr">
        <is>
          <t>Débito automático</t>
        </is>
      </c>
      <c r="N426" s="29" t="n"/>
      <c r="O426" s="13" t="n">
        <v>8</v>
      </c>
      <c r="P426" s="13" t="n">
        <v>48</v>
      </c>
      <c r="Q426" s="35" t="n">
        <v>1337.88</v>
      </c>
      <c r="R426" s="35" t="n"/>
      <c r="S426" s="35" t="n"/>
      <c r="T426" s="35" t="n"/>
      <c r="U426" s="35" t="n"/>
      <c r="V426" s="18">
        <f>IF(COUNTA($B426:$R426)=0,"",ROUND(N($R426)+N($S426)+N($T426)-N($U426),2))</f>
        <v/>
      </c>
      <c r="W426" s="18">
        <f>IF(COUNTA($B426:$R426)=0,"",IF(OR($X426="Pago",$X426="Recebido",$X426="Cancelado"),0,ROUND(N($Q426)+N($S426)+N($T426)-N($U426)-N($R426),2)))</f>
        <v/>
      </c>
      <c r="X426" s="14" t="inlineStr">
        <is>
          <t>Previsto</t>
        </is>
      </c>
      <c r="Y426" s="17">
        <f>IF(COUNTA($B426:$R426)=0,"",IF($X426="Cancelado","Cancelado",IF(OR($X426="Pago",$X426="Recebido"),$X426,IF(OR($X426="Parcial",N($R426)&gt;0),"Parcial",IF($C426="","Sem vencimento",IF($C426&lt;TODAY(),"Vencido",IF($C426=TODAY(),"Vence hoje",IF($C426&lt;=TODAY()+7,"Vence em 7 dias",IF($C426&lt;=TODAY()+30,"Vence em 30 dias","Futuro")))))))))</f>
        <v/>
      </c>
      <c r="Z426" s="24">
        <f>IF($B426="","",MONTH($B426))</f>
        <v/>
      </c>
      <c r="AA426" s="24">
        <f>IF($B426="","",YEAR($B426))</f>
        <v/>
      </c>
      <c r="AB426" s="24">
        <f>IF($B426="","",ISOWEEKNUM($B426))</f>
        <v/>
      </c>
      <c r="AC426" s="17">
        <f>IF($B426="","",CHOOSE(WEEKDAY($B426,2),"Segunda","Terça","Quarta","Quinta","Sexta","Sábado","Domingo"))</f>
        <v/>
      </c>
      <c r="AD426" s="17">
        <f>IF($B426="","",TEXT($B426,"MM/AAAA"))</f>
        <v/>
      </c>
      <c r="AE426" s="18">
        <f>IF(COUNTA($B426:$R426)=0,"",IF($X426="Cancelado",0,ROUND(N($Q426)+N($S426)+N($T426)-N($U426),2)))</f>
        <v/>
      </c>
      <c r="AF426" s="9">
        <f>IF($G426="","",IFERROR(INDEX(LINHAS_DRE_PLANO,MATCH($G426,SUBCATEGORIAS_PLANO,0)),"Não classificado"))</f>
        <v/>
      </c>
      <c r="AG426" s="17">
        <f>IF($G426="","",IFERROR(INDEX(TIPOS_FLUXO_PLANO,MATCH($G426,SUBCATEGORIAS_PLANO,0)),"Não classificado"))</f>
        <v/>
      </c>
      <c r="AH426" s="9">
        <f>IF($G426="","",IFERROR(INDEX(GRUPOS_PLANO,MATCH($G426,SUBCATEGORIAS_PLANO,0)),"Não classificado"))</f>
        <v/>
      </c>
      <c r="AI426" s="24">
        <f>IF(OR($C426="",$X426="Pago",$X426="Recebido",$X426="Cancelado"),"",$C426-TODAY())</f>
        <v/>
      </c>
      <c r="AJ426" s="24">
        <f>IF(OR($C426="",$X426="Pago",$X426="Recebido",$X426="Cancelado"),0,MAX(0,TODAY()-$C426))</f>
        <v/>
      </c>
      <c r="AK426" s="24">
        <f>IF($D426="","",$D426-$B426)</f>
        <v/>
      </c>
      <c r="AL426" s="18">
        <f>IF(OR($D426="",$B426=""),"",ROUND(N($R426)*($D426-$B426),2))</f>
        <v/>
      </c>
      <c r="AM426" s="17">
        <f>IF(AND($E426="Saída",$W426&gt;0,$C426&lt;&gt;""),$C426+ROW()/1000000,"")</f>
        <v/>
      </c>
      <c r="AN426" s="17">
        <f>IF(AND($E426="Entrada",$W426&gt;0,$C426&lt;&gt;""),$C426+ROW()/1000000,"")</f>
        <v/>
      </c>
      <c r="AO426" s="9">
        <f>IF(COUNTA($B426:$R426)=0,"",IF(AND($I426&lt;&gt;"",COUNTIF(CLIENTES_NOMES,$I426)+COUNTIF(CLIENTES_FANTASIA,$I426)+COUNTIF(FORNECEDORES_NOMES,$I426)+COUNTIF(FORNECEDORES_FANTASIA,$I426)=0),"⚠ Cliente/Fornecedor não cadastrado",IF(AND($G426&lt;&gt;"",COUNTIF(SUBCATEGORIAS_PLANO,$G426)=0),"⚠ Subcategoria fora do plano de contas",IF(OR($Q426="",N($Q426)=0),"⚠ Valor previsto não informado",IF(AND(OR($X426="Pago",$X426="Recebido"),$D426=""),"⚠ Status pago/recebido sem data",IF(AND($D426&lt;&gt;"",N($R426)=0),"⚠ Data de pagamento sem valor realizado",IF(AND(N($P426)&gt;1,N($O426)&gt;N($P426)),"⚠ Nº da parcela maior que o total",IF(AND($C426&lt;&gt;"",$B426&lt;&gt;"",$C426&lt;$B426),"⚠ Vencimento anterior à competência","OK"))))))))</f>
        <v/>
      </c>
    </row>
    <row r="427">
      <c r="A427" s="14" t="inlineStr">
        <is>
          <t>L0422</t>
        </is>
      </c>
      <c r="B427" s="36" t="n">
        <v>46285</v>
      </c>
      <c r="C427" s="36" t="n">
        <v>46285</v>
      </c>
      <c r="D427" s="36" t="n"/>
      <c r="E427" s="14" t="inlineStr">
        <is>
          <t>Saída</t>
        </is>
      </c>
      <c r="F427" s="29" t="inlineStr">
        <is>
          <t>Despesas Financeiras</t>
        </is>
      </c>
      <c r="G427" s="29" t="inlineStr">
        <is>
          <t>Juros de Empréstimos e Financiamentos</t>
        </is>
      </c>
      <c r="H427" s="29" t="inlineStr">
        <is>
          <t>Diretoria</t>
        </is>
      </c>
      <c r="I427" s="29" t="inlineStr">
        <is>
          <t>Banco Santander</t>
        </is>
      </c>
      <c r="J427" s="29" t="inlineStr">
        <is>
          <t>Financiamento de Veículo — parcela 8/48 (juros)</t>
        </is>
      </c>
      <c r="K427" s="14" t="inlineStr">
        <is>
          <t>VEI-2026-0088-P08</t>
        </is>
      </c>
      <c r="L427" s="29" t="inlineStr">
        <is>
          <t>Itaú Unibanco — C/C 45678-9</t>
        </is>
      </c>
      <c r="M427" s="14" t="inlineStr">
        <is>
          <t>Débito automático</t>
        </is>
      </c>
      <c r="N427" s="29" t="n"/>
      <c r="O427" s="13" t="n">
        <v>8</v>
      </c>
      <c r="P427" s="13" t="n">
        <v>48</v>
      </c>
      <c r="Q427" s="35" t="n">
        <v>888.58</v>
      </c>
      <c r="R427" s="35" t="n"/>
      <c r="S427" s="35" t="n"/>
      <c r="T427" s="35" t="n"/>
      <c r="U427" s="35" t="n"/>
      <c r="V427" s="18">
        <f>IF(COUNTA($B427:$R427)=0,"",ROUND(N($R427)+N($S427)+N($T427)-N($U427),2))</f>
        <v/>
      </c>
      <c r="W427" s="18">
        <f>IF(COUNTA($B427:$R427)=0,"",IF(OR($X427="Pago",$X427="Recebido",$X427="Cancelado"),0,ROUND(N($Q427)+N($S427)+N($T427)-N($U427)-N($R427),2)))</f>
        <v/>
      </c>
      <c r="X427" s="14" t="inlineStr">
        <is>
          <t>Previsto</t>
        </is>
      </c>
      <c r="Y427" s="17">
        <f>IF(COUNTA($B427:$R427)=0,"",IF($X427="Cancelado","Cancelado",IF(OR($X427="Pago",$X427="Recebido"),$X427,IF(OR($X427="Parcial",N($R427)&gt;0),"Parcial",IF($C427="","Sem vencimento",IF($C427&lt;TODAY(),"Vencido",IF($C427=TODAY(),"Vence hoje",IF($C427&lt;=TODAY()+7,"Vence em 7 dias",IF($C427&lt;=TODAY()+30,"Vence em 30 dias","Futuro")))))))))</f>
        <v/>
      </c>
      <c r="Z427" s="24">
        <f>IF($B427="","",MONTH($B427))</f>
        <v/>
      </c>
      <c r="AA427" s="24">
        <f>IF($B427="","",YEAR($B427))</f>
        <v/>
      </c>
      <c r="AB427" s="24">
        <f>IF($B427="","",ISOWEEKNUM($B427))</f>
        <v/>
      </c>
      <c r="AC427" s="17">
        <f>IF($B427="","",CHOOSE(WEEKDAY($B427,2),"Segunda","Terça","Quarta","Quinta","Sexta","Sábado","Domingo"))</f>
        <v/>
      </c>
      <c r="AD427" s="17">
        <f>IF($B427="","",TEXT($B427,"MM/AAAA"))</f>
        <v/>
      </c>
      <c r="AE427" s="18">
        <f>IF(COUNTA($B427:$R427)=0,"",IF($X427="Cancelado",0,ROUND(N($Q427)+N($S427)+N($T427)-N($U427),2)))</f>
        <v/>
      </c>
      <c r="AF427" s="9">
        <f>IF($G427="","",IFERROR(INDEX(LINHAS_DRE_PLANO,MATCH($G427,SUBCATEGORIAS_PLANO,0)),"Não classificado"))</f>
        <v/>
      </c>
      <c r="AG427" s="17">
        <f>IF($G427="","",IFERROR(INDEX(TIPOS_FLUXO_PLANO,MATCH($G427,SUBCATEGORIAS_PLANO,0)),"Não classificado"))</f>
        <v/>
      </c>
      <c r="AH427" s="9">
        <f>IF($G427="","",IFERROR(INDEX(GRUPOS_PLANO,MATCH($G427,SUBCATEGORIAS_PLANO,0)),"Não classificado"))</f>
        <v/>
      </c>
      <c r="AI427" s="24">
        <f>IF(OR($C427="",$X427="Pago",$X427="Recebido",$X427="Cancelado"),"",$C427-TODAY())</f>
        <v/>
      </c>
      <c r="AJ427" s="24">
        <f>IF(OR($C427="",$X427="Pago",$X427="Recebido",$X427="Cancelado"),0,MAX(0,TODAY()-$C427))</f>
        <v/>
      </c>
      <c r="AK427" s="24">
        <f>IF($D427="","",$D427-$B427)</f>
        <v/>
      </c>
      <c r="AL427" s="18">
        <f>IF(OR($D427="",$B427=""),"",ROUND(N($R427)*($D427-$B427),2))</f>
        <v/>
      </c>
      <c r="AM427" s="17">
        <f>IF(AND($E427="Saída",$W427&gt;0,$C427&lt;&gt;""),$C427+ROW()/1000000,"")</f>
        <v/>
      </c>
      <c r="AN427" s="17">
        <f>IF(AND($E427="Entrada",$W427&gt;0,$C427&lt;&gt;""),$C427+ROW()/1000000,"")</f>
        <v/>
      </c>
      <c r="AO427" s="9">
        <f>IF(COUNTA($B427:$R427)=0,"",IF(AND($I427&lt;&gt;"",COUNTIF(CLIENTES_NOMES,$I427)+COUNTIF(CLIENTES_FANTASIA,$I427)+COUNTIF(FORNECEDORES_NOMES,$I427)+COUNTIF(FORNECEDORES_FANTASIA,$I427)=0),"⚠ Cliente/Fornecedor não cadastrado",IF(AND($G427&lt;&gt;"",COUNTIF(SUBCATEGORIAS_PLANO,$G427)=0),"⚠ Subcategoria fora do plano de contas",IF(OR($Q427="",N($Q427)=0),"⚠ Valor previsto não informado",IF(AND(OR($X427="Pago",$X427="Recebido"),$D427=""),"⚠ Status pago/recebido sem data",IF(AND($D427&lt;&gt;"",N($R427)=0),"⚠ Data de pagamento sem valor realizado",IF(AND(N($P427)&gt;1,N($O427)&gt;N($P427)),"⚠ Nº da parcela maior que o total",IF(AND($C427&lt;&gt;"",$B427&lt;&gt;"",$C427&lt;$B427),"⚠ Vencimento anterior à competência","OK"))))))))</f>
        <v/>
      </c>
    </row>
    <row r="428">
      <c r="A428" s="14" t="inlineStr">
        <is>
          <t>L0423</t>
        </is>
      </c>
      <c r="B428" s="36" t="n">
        <v>46287</v>
      </c>
      <c r="C428" s="36" t="n">
        <v>46317</v>
      </c>
      <c r="D428" s="36" t="n"/>
      <c r="E428" s="14" t="inlineStr">
        <is>
          <t>Entrada</t>
        </is>
      </c>
      <c r="F428" s="29" t="inlineStr">
        <is>
          <t>Vendas</t>
        </is>
      </c>
      <c r="G428" s="29" t="inlineStr">
        <is>
          <t>Vendas de Serviços</t>
        </is>
      </c>
      <c r="H428" s="29" t="inlineStr">
        <is>
          <t>Comercial</t>
        </is>
      </c>
      <c r="I428" s="29" t="inlineStr">
        <is>
          <t>MERCADO BOA COMPRA LTDA</t>
        </is>
      </c>
      <c r="J428" s="29" t="inlineStr">
        <is>
          <t>Serviços de logística, montagem e reposição</t>
        </is>
      </c>
      <c r="K428" s="14" t="inlineStr">
        <is>
          <t>RPS 3099</t>
        </is>
      </c>
      <c r="L428" s="29" t="inlineStr">
        <is>
          <t>Banco do Brasil — C/C 12345-6</t>
        </is>
      </c>
      <c r="M428" s="14" t="inlineStr">
        <is>
          <t>Boleto</t>
        </is>
      </c>
      <c r="N428" s="29" t="n"/>
      <c r="O428" s="13" t="n">
        <v>1</v>
      </c>
      <c r="P428" s="13" t="n">
        <v>1</v>
      </c>
      <c r="Q428" s="35" t="n">
        <v>12579.01</v>
      </c>
      <c r="R428" s="35" t="n"/>
      <c r="S428" s="35" t="n"/>
      <c r="T428" s="35" t="n"/>
      <c r="U428" s="35" t="n"/>
      <c r="V428" s="18">
        <f>IF(COUNTA($B428:$R428)=0,"",ROUND(N($R428)+N($S428)+N($T428)-N($U428),2))</f>
        <v/>
      </c>
      <c r="W428" s="18">
        <f>IF(COUNTA($B428:$R428)=0,"",IF(OR($X428="Pago",$X428="Recebido",$X428="Cancelado"),0,ROUND(N($Q428)+N($S428)+N($T428)-N($U428)-N($R428),2)))</f>
        <v/>
      </c>
      <c r="X428" s="14" t="inlineStr">
        <is>
          <t>Previsto</t>
        </is>
      </c>
      <c r="Y428" s="17">
        <f>IF(COUNTA($B428:$R428)=0,"",IF($X428="Cancelado","Cancelado",IF(OR($X428="Pago",$X428="Recebido"),$X428,IF(OR($X428="Parcial",N($R428)&gt;0),"Parcial",IF($C428="","Sem vencimento",IF($C428&lt;TODAY(),"Vencido",IF($C428=TODAY(),"Vence hoje",IF($C428&lt;=TODAY()+7,"Vence em 7 dias",IF($C428&lt;=TODAY()+30,"Vence em 30 dias","Futuro")))))))))</f>
        <v/>
      </c>
      <c r="Z428" s="24">
        <f>IF($B428="","",MONTH($B428))</f>
        <v/>
      </c>
      <c r="AA428" s="24">
        <f>IF($B428="","",YEAR($B428))</f>
        <v/>
      </c>
      <c r="AB428" s="24">
        <f>IF($B428="","",ISOWEEKNUM($B428))</f>
        <v/>
      </c>
      <c r="AC428" s="17">
        <f>IF($B428="","",CHOOSE(WEEKDAY($B428,2),"Segunda","Terça","Quarta","Quinta","Sexta","Sábado","Domingo"))</f>
        <v/>
      </c>
      <c r="AD428" s="17">
        <f>IF($B428="","",TEXT($B428,"MM/AAAA"))</f>
        <v/>
      </c>
      <c r="AE428" s="18">
        <f>IF(COUNTA($B428:$R428)=0,"",IF($X428="Cancelado",0,ROUND(N($Q428)+N($S428)+N($T428)-N($U428),2)))</f>
        <v/>
      </c>
      <c r="AF428" s="9">
        <f>IF($G428="","",IFERROR(INDEX(LINHAS_DRE_PLANO,MATCH($G428,SUBCATEGORIAS_PLANO,0)),"Não classificado"))</f>
        <v/>
      </c>
      <c r="AG428" s="17">
        <f>IF($G428="","",IFERROR(INDEX(TIPOS_FLUXO_PLANO,MATCH($G428,SUBCATEGORIAS_PLANO,0)),"Não classificado"))</f>
        <v/>
      </c>
      <c r="AH428" s="9">
        <f>IF($G428="","",IFERROR(INDEX(GRUPOS_PLANO,MATCH($G428,SUBCATEGORIAS_PLANO,0)),"Não classificado"))</f>
        <v/>
      </c>
      <c r="AI428" s="24">
        <f>IF(OR($C428="",$X428="Pago",$X428="Recebido",$X428="Cancelado"),"",$C428-TODAY())</f>
        <v/>
      </c>
      <c r="AJ428" s="24">
        <f>IF(OR($C428="",$X428="Pago",$X428="Recebido",$X428="Cancelado"),0,MAX(0,TODAY()-$C428))</f>
        <v/>
      </c>
      <c r="AK428" s="24">
        <f>IF($D428="","",$D428-$B428)</f>
        <v/>
      </c>
      <c r="AL428" s="18">
        <f>IF(OR($D428="",$B428=""),"",ROUND(N($R428)*($D428-$B428),2))</f>
        <v/>
      </c>
      <c r="AM428" s="17">
        <f>IF(AND($E428="Saída",$W428&gt;0,$C428&lt;&gt;""),$C428+ROW()/1000000,"")</f>
        <v/>
      </c>
      <c r="AN428" s="17">
        <f>IF(AND($E428="Entrada",$W428&gt;0,$C428&lt;&gt;""),$C428+ROW()/1000000,"")</f>
        <v/>
      </c>
      <c r="AO428" s="9">
        <f>IF(COUNTA($B428:$R428)=0,"",IF(AND($I428&lt;&gt;"",COUNTIF(CLIENTES_NOMES,$I428)+COUNTIF(CLIENTES_FANTASIA,$I428)+COUNTIF(FORNECEDORES_NOMES,$I428)+COUNTIF(FORNECEDORES_FANTASIA,$I428)=0),"⚠ Cliente/Fornecedor não cadastrado",IF(AND($G428&lt;&gt;"",COUNTIF(SUBCATEGORIAS_PLANO,$G428)=0),"⚠ Subcategoria fora do plano de contas",IF(OR($Q428="",N($Q428)=0),"⚠ Valor previsto não informado",IF(AND(OR($X428="Pago",$X428="Recebido"),$D428=""),"⚠ Status pago/recebido sem data",IF(AND($D428&lt;&gt;"",N($R428)=0),"⚠ Data de pagamento sem valor realizado",IF(AND(N($P428)&gt;1,N($O428)&gt;N($P428)),"⚠ Nº da parcela maior que o total",IF(AND($C428&lt;&gt;"",$B428&lt;&gt;"",$C428&lt;$B428),"⚠ Vencimento anterior à competência","OK"))))))))</f>
        <v/>
      </c>
    </row>
    <row r="429">
      <c r="A429" s="14" t="inlineStr">
        <is>
          <t>L0424</t>
        </is>
      </c>
      <c r="B429" s="36" t="n">
        <v>46287</v>
      </c>
      <c r="C429" s="36" t="n">
        <v>46302</v>
      </c>
      <c r="D429" s="36" t="n"/>
      <c r="E429" s="14" t="inlineStr">
        <is>
          <t>Entrada</t>
        </is>
      </c>
      <c r="F429" s="29" t="inlineStr">
        <is>
          <t>Vendas</t>
        </is>
      </c>
      <c r="G429" s="29" t="inlineStr">
        <is>
          <t>Vendas de Serviços</t>
        </is>
      </c>
      <c r="H429" s="29" t="inlineStr">
        <is>
          <t>Comercial</t>
        </is>
      </c>
      <c r="I429" s="29" t="inlineStr">
        <is>
          <t>RESTAURANTE SABOR CASEIRO LTDA</t>
        </is>
      </c>
      <c r="J429" s="29" t="inlineStr">
        <is>
          <t>Serviços de logística, montagem e reposição</t>
        </is>
      </c>
      <c r="K429" s="14" t="inlineStr">
        <is>
          <t>RPS 3103</t>
        </is>
      </c>
      <c r="L429" s="29" t="inlineStr">
        <is>
          <t>Itaú Unibanco — C/C 45678-9</t>
        </is>
      </c>
      <c r="M429" s="14" t="inlineStr">
        <is>
          <t>Boleto</t>
        </is>
      </c>
      <c r="N429" s="29" t="n"/>
      <c r="O429" s="13" t="n">
        <v>1</v>
      </c>
      <c r="P429" s="13" t="n">
        <v>1</v>
      </c>
      <c r="Q429" s="35" t="n">
        <v>8009.23</v>
      </c>
      <c r="R429" s="35" t="n"/>
      <c r="S429" s="35" t="n"/>
      <c r="T429" s="35" t="n"/>
      <c r="U429" s="35" t="n"/>
      <c r="V429" s="18">
        <f>IF(COUNTA($B429:$R429)=0,"",ROUND(N($R429)+N($S429)+N($T429)-N($U429),2))</f>
        <v/>
      </c>
      <c r="W429" s="18">
        <f>IF(COUNTA($B429:$R429)=0,"",IF(OR($X429="Pago",$X429="Recebido",$X429="Cancelado"),0,ROUND(N($Q429)+N($S429)+N($T429)-N($U429)-N($R429),2)))</f>
        <v/>
      </c>
      <c r="X429" s="14" t="inlineStr">
        <is>
          <t>Previsto</t>
        </is>
      </c>
      <c r="Y429" s="17">
        <f>IF(COUNTA($B429:$R429)=0,"",IF($X429="Cancelado","Cancelado",IF(OR($X429="Pago",$X429="Recebido"),$X429,IF(OR($X429="Parcial",N($R429)&gt;0),"Parcial",IF($C429="","Sem vencimento",IF($C429&lt;TODAY(),"Vencido",IF($C429=TODAY(),"Vence hoje",IF($C429&lt;=TODAY()+7,"Vence em 7 dias",IF($C429&lt;=TODAY()+30,"Vence em 30 dias","Futuro")))))))))</f>
        <v/>
      </c>
      <c r="Z429" s="24">
        <f>IF($B429="","",MONTH($B429))</f>
        <v/>
      </c>
      <c r="AA429" s="24">
        <f>IF($B429="","",YEAR($B429))</f>
        <v/>
      </c>
      <c r="AB429" s="24">
        <f>IF($B429="","",ISOWEEKNUM($B429))</f>
        <v/>
      </c>
      <c r="AC429" s="17">
        <f>IF($B429="","",CHOOSE(WEEKDAY($B429,2),"Segunda","Terça","Quarta","Quinta","Sexta","Sábado","Domingo"))</f>
        <v/>
      </c>
      <c r="AD429" s="17">
        <f>IF($B429="","",TEXT($B429,"MM/AAAA"))</f>
        <v/>
      </c>
      <c r="AE429" s="18">
        <f>IF(COUNTA($B429:$R429)=0,"",IF($X429="Cancelado",0,ROUND(N($Q429)+N($S429)+N($T429)-N($U429),2)))</f>
        <v/>
      </c>
      <c r="AF429" s="9">
        <f>IF($G429="","",IFERROR(INDEX(LINHAS_DRE_PLANO,MATCH($G429,SUBCATEGORIAS_PLANO,0)),"Não classificado"))</f>
        <v/>
      </c>
      <c r="AG429" s="17">
        <f>IF($G429="","",IFERROR(INDEX(TIPOS_FLUXO_PLANO,MATCH($G429,SUBCATEGORIAS_PLANO,0)),"Não classificado"))</f>
        <v/>
      </c>
      <c r="AH429" s="9">
        <f>IF($G429="","",IFERROR(INDEX(GRUPOS_PLANO,MATCH($G429,SUBCATEGORIAS_PLANO,0)),"Não classificado"))</f>
        <v/>
      </c>
      <c r="AI429" s="24">
        <f>IF(OR($C429="",$X429="Pago",$X429="Recebido",$X429="Cancelado"),"",$C429-TODAY())</f>
        <v/>
      </c>
      <c r="AJ429" s="24">
        <f>IF(OR($C429="",$X429="Pago",$X429="Recebido",$X429="Cancelado"),0,MAX(0,TODAY()-$C429))</f>
        <v/>
      </c>
      <c r="AK429" s="24">
        <f>IF($D429="","",$D429-$B429)</f>
        <v/>
      </c>
      <c r="AL429" s="18">
        <f>IF(OR($D429="",$B429=""),"",ROUND(N($R429)*($D429-$B429),2))</f>
        <v/>
      </c>
      <c r="AM429" s="17">
        <f>IF(AND($E429="Saída",$W429&gt;0,$C429&lt;&gt;""),$C429+ROW()/1000000,"")</f>
        <v/>
      </c>
      <c r="AN429" s="17">
        <f>IF(AND($E429="Entrada",$W429&gt;0,$C429&lt;&gt;""),$C429+ROW()/1000000,"")</f>
        <v/>
      </c>
      <c r="AO429" s="9">
        <f>IF(COUNTA($B429:$R429)=0,"",IF(AND($I429&lt;&gt;"",COUNTIF(CLIENTES_NOMES,$I429)+COUNTIF(CLIENTES_FANTASIA,$I429)+COUNTIF(FORNECEDORES_NOMES,$I429)+COUNTIF(FORNECEDORES_FANTASIA,$I429)=0),"⚠ Cliente/Fornecedor não cadastrado",IF(AND($G429&lt;&gt;"",COUNTIF(SUBCATEGORIAS_PLANO,$G429)=0),"⚠ Subcategoria fora do plano de contas",IF(OR($Q429="",N($Q429)=0),"⚠ Valor previsto não informado",IF(AND(OR($X429="Pago",$X429="Recebido"),$D429=""),"⚠ Status pago/recebido sem data",IF(AND($D429&lt;&gt;"",N($R429)=0),"⚠ Data de pagamento sem valor realizado",IF(AND(N($P429)&gt;1,N($O429)&gt;N($P429)),"⚠ Nº da parcela maior que o total",IF(AND($C429&lt;&gt;"",$B429&lt;&gt;"",$C429&lt;$B429),"⚠ Vencimento anterior à competência","OK"))))))))</f>
        <v/>
      </c>
    </row>
    <row r="430">
      <c r="A430" s="14" t="inlineStr">
        <is>
          <t>L0425</t>
        </is>
      </c>
      <c r="B430" s="36" t="n">
        <v>46287</v>
      </c>
      <c r="C430" s="36" t="n">
        <v>46308</v>
      </c>
      <c r="D430" s="36" t="n"/>
      <c r="E430" s="14" t="inlineStr">
        <is>
          <t>Entrada</t>
        </is>
      </c>
      <c r="F430" s="29" t="inlineStr">
        <is>
          <t>Vendas</t>
        </is>
      </c>
      <c r="G430" s="29" t="inlineStr">
        <is>
          <t>Vendas de Serviços</t>
        </is>
      </c>
      <c r="H430" s="29" t="inlineStr">
        <is>
          <t>Comercial</t>
        </is>
      </c>
      <c r="I430" s="29" t="inlineStr">
        <is>
          <t>EMPÓRIO NATURAL COMÉRCIO LTDA</t>
        </is>
      </c>
      <c r="J430" s="29" t="inlineStr">
        <is>
          <t>Serviços de logística, montagem e reposição</t>
        </is>
      </c>
      <c r="K430" s="14" t="inlineStr">
        <is>
          <t>RPS 3107</t>
        </is>
      </c>
      <c r="L430" s="29" t="inlineStr">
        <is>
          <t>Itaú Unibanco — C/C 45678-9</t>
        </is>
      </c>
      <c r="M430" s="14" t="inlineStr">
        <is>
          <t>Boleto</t>
        </is>
      </c>
      <c r="N430" s="29" t="n"/>
      <c r="O430" s="13" t="n">
        <v>1</v>
      </c>
      <c r="P430" s="13" t="n">
        <v>1</v>
      </c>
      <c r="Q430" s="35" t="n">
        <v>15217.13</v>
      </c>
      <c r="R430" s="35" t="n"/>
      <c r="S430" s="35" t="n"/>
      <c r="T430" s="35" t="n"/>
      <c r="U430" s="35" t="n"/>
      <c r="V430" s="18">
        <f>IF(COUNTA($B430:$R430)=0,"",ROUND(N($R430)+N($S430)+N($T430)-N($U430),2))</f>
        <v/>
      </c>
      <c r="W430" s="18">
        <f>IF(COUNTA($B430:$R430)=0,"",IF(OR($X430="Pago",$X430="Recebido",$X430="Cancelado"),0,ROUND(N($Q430)+N($S430)+N($T430)-N($U430)-N($R430),2)))</f>
        <v/>
      </c>
      <c r="X430" s="14" t="inlineStr">
        <is>
          <t>Previsto</t>
        </is>
      </c>
      <c r="Y430" s="17">
        <f>IF(COUNTA($B430:$R430)=0,"",IF($X430="Cancelado","Cancelado",IF(OR($X430="Pago",$X430="Recebido"),$X430,IF(OR($X430="Parcial",N($R430)&gt;0),"Parcial",IF($C430="","Sem vencimento",IF($C430&lt;TODAY(),"Vencido",IF($C430=TODAY(),"Vence hoje",IF($C430&lt;=TODAY()+7,"Vence em 7 dias",IF($C430&lt;=TODAY()+30,"Vence em 30 dias","Futuro")))))))))</f>
        <v/>
      </c>
      <c r="Z430" s="24">
        <f>IF($B430="","",MONTH($B430))</f>
        <v/>
      </c>
      <c r="AA430" s="24">
        <f>IF($B430="","",YEAR($B430))</f>
        <v/>
      </c>
      <c r="AB430" s="24">
        <f>IF($B430="","",ISOWEEKNUM($B430))</f>
        <v/>
      </c>
      <c r="AC430" s="17">
        <f>IF($B430="","",CHOOSE(WEEKDAY($B430,2),"Segunda","Terça","Quarta","Quinta","Sexta","Sábado","Domingo"))</f>
        <v/>
      </c>
      <c r="AD430" s="17">
        <f>IF($B430="","",TEXT($B430,"MM/AAAA"))</f>
        <v/>
      </c>
      <c r="AE430" s="18">
        <f>IF(COUNTA($B430:$R430)=0,"",IF($X430="Cancelado",0,ROUND(N($Q430)+N($S430)+N($T430)-N($U430),2)))</f>
        <v/>
      </c>
      <c r="AF430" s="9">
        <f>IF($G430="","",IFERROR(INDEX(LINHAS_DRE_PLANO,MATCH($G430,SUBCATEGORIAS_PLANO,0)),"Não classificado"))</f>
        <v/>
      </c>
      <c r="AG430" s="17">
        <f>IF($G430="","",IFERROR(INDEX(TIPOS_FLUXO_PLANO,MATCH($G430,SUBCATEGORIAS_PLANO,0)),"Não classificado"))</f>
        <v/>
      </c>
      <c r="AH430" s="9">
        <f>IF($G430="","",IFERROR(INDEX(GRUPOS_PLANO,MATCH($G430,SUBCATEGORIAS_PLANO,0)),"Não classificado"))</f>
        <v/>
      </c>
      <c r="AI430" s="24">
        <f>IF(OR($C430="",$X430="Pago",$X430="Recebido",$X430="Cancelado"),"",$C430-TODAY())</f>
        <v/>
      </c>
      <c r="AJ430" s="24">
        <f>IF(OR($C430="",$X430="Pago",$X430="Recebido",$X430="Cancelado"),0,MAX(0,TODAY()-$C430))</f>
        <v/>
      </c>
      <c r="AK430" s="24">
        <f>IF($D430="","",$D430-$B430)</f>
        <v/>
      </c>
      <c r="AL430" s="18">
        <f>IF(OR($D430="",$B430=""),"",ROUND(N($R430)*($D430-$B430),2))</f>
        <v/>
      </c>
      <c r="AM430" s="17">
        <f>IF(AND($E430="Saída",$W430&gt;0,$C430&lt;&gt;""),$C430+ROW()/1000000,"")</f>
        <v/>
      </c>
      <c r="AN430" s="17">
        <f>IF(AND($E430="Entrada",$W430&gt;0,$C430&lt;&gt;""),$C430+ROW()/1000000,"")</f>
        <v/>
      </c>
      <c r="AO430" s="9">
        <f>IF(COUNTA($B430:$R430)=0,"",IF(AND($I430&lt;&gt;"",COUNTIF(CLIENTES_NOMES,$I430)+COUNTIF(CLIENTES_FANTASIA,$I430)+COUNTIF(FORNECEDORES_NOMES,$I430)+COUNTIF(FORNECEDORES_FANTASIA,$I430)=0),"⚠ Cliente/Fornecedor não cadastrado",IF(AND($G430&lt;&gt;"",COUNTIF(SUBCATEGORIAS_PLANO,$G430)=0),"⚠ Subcategoria fora do plano de contas",IF(OR($Q430="",N($Q430)=0),"⚠ Valor previsto não informado",IF(AND(OR($X430="Pago",$X430="Recebido"),$D430=""),"⚠ Status pago/recebido sem data",IF(AND($D430&lt;&gt;"",N($R430)=0),"⚠ Data de pagamento sem valor realizado",IF(AND(N($P430)&gt;1,N($O430)&gt;N($P430)),"⚠ Nº da parcela maior que o total",IF(AND($C430&lt;&gt;"",$B430&lt;&gt;"",$C430&lt;$B430),"⚠ Vencimento anterior à competência","OK"))))))))</f>
        <v/>
      </c>
    </row>
    <row r="431">
      <c r="A431" s="14" t="inlineStr">
        <is>
          <t>L0426</t>
        </is>
      </c>
      <c r="B431" s="36" t="n">
        <v>46289</v>
      </c>
      <c r="C431" s="36" t="n">
        <v>46300</v>
      </c>
      <c r="D431" s="36" t="n"/>
      <c r="E431" s="14" t="inlineStr">
        <is>
          <t>Saída</t>
        </is>
      </c>
      <c r="F431" s="29" t="inlineStr">
        <is>
          <t>Despesas Comerciais</t>
        </is>
      </c>
      <c r="G431" s="29" t="inlineStr">
        <is>
          <t>Viagens Comerciais</t>
        </is>
      </c>
      <c r="H431" s="29" t="inlineStr">
        <is>
          <t>Comercial</t>
        </is>
      </c>
      <c r="I431" s="29" t="inlineStr">
        <is>
          <t>AGÊNCIA PULSO DIGITAL LTDA</t>
        </is>
      </c>
      <c r="J431" s="29" t="inlineStr">
        <is>
          <t>Viagens comerciais e visitas a clientes</t>
        </is>
      </c>
      <c r="K431" s="14" t="inlineStr">
        <is>
          <t>DOC 8411</t>
        </is>
      </c>
      <c r="L431" s="29" t="inlineStr">
        <is>
          <t>Itaú Unibanco — C/C 45678-9</t>
        </is>
      </c>
      <c r="M431" s="14" t="inlineStr">
        <is>
          <t>Cartão de crédito</t>
        </is>
      </c>
      <c r="N431" s="29" t="inlineStr">
        <is>
          <t>Cartão Visa Itaú Business</t>
        </is>
      </c>
      <c r="O431" s="13" t="n">
        <v>1</v>
      </c>
      <c r="P431" s="13" t="n">
        <v>1</v>
      </c>
      <c r="Q431" s="35" t="n">
        <v>1838.3</v>
      </c>
      <c r="R431" s="35" t="n"/>
      <c r="S431" s="35" t="n"/>
      <c r="T431" s="35" t="n"/>
      <c r="U431" s="35" t="n"/>
      <c r="V431" s="18">
        <f>IF(COUNTA($B431:$R431)=0,"",ROUND(N($R431)+N($S431)+N($T431)-N($U431),2))</f>
        <v/>
      </c>
      <c r="W431" s="18">
        <f>IF(COUNTA($B431:$R431)=0,"",IF(OR($X431="Pago",$X431="Recebido",$X431="Cancelado"),0,ROUND(N($Q431)+N($S431)+N($T431)-N($U431)-N($R431),2)))</f>
        <v/>
      </c>
      <c r="X431" s="14" t="inlineStr">
        <is>
          <t>Previsto</t>
        </is>
      </c>
      <c r="Y431" s="17">
        <f>IF(COUNTA($B431:$R431)=0,"",IF($X431="Cancelado","Cancelado",IF(OR($X431="Pago",$X431="Recebido"),$X431,IF(OR($X431="Parcial",N($R431)&gt;0),"Parcial",IF($C431="","Sem vencimento",IF($C431&lt;TODAY(),"Vencido",IF($C431=TODAY(),"Vence hoje",IF($C431&lt;=TODAY()+7,"Vence em 7 dias",IF($C431&lt;=TODAY()+30,"Vence em 30 dias","Futuro")))))))))</f>
        <v/>
      </c>
      <c r="Z431" s="24">
        <f>IF($B431="","",MONTH($B431))</f>
        <v/>
      </c>
      <c r="AA431" s="24">
        <f>IF($B431="","",YEAR($B431))</f>
        <v/>
      </c>
      <c r="AB431" s="24">
        <f>IF($B431="","",ISOWEEKNUM($B431))</f>
        <v/>
      </c>
      <c r="AC431" s="17">
        <f>IF($B431="","",CHOOSE(WEEKDAY($B431,2),"Segunda","Terça","Quarta","Quinta","Sexta","Sábado","Domingo"))</f>
        <v/>
      </c>
      <c r="AD431" s="17">
        <f>IF($B431="","",TEXT($B431,"MM/AAAA"))</f>
        <v/>
      </c>
      <c r="AE431" s="18">
        <f>IF(COUNTA($B431:$R431)=0,"",IF($X431="Cancelado",0,ROUND(N($Q431)+N($S431)+N($T431)-N($U431),2)))</f>
        <v/>
      </c>
      <c r="AF431" s="9">
        <f>IF($G431="","",IFERROR(INDEX(LINHAS_DRE_PLANO,MATCH($G431,SUBCATEGORIAS_PLANO,0)),"Não classificado"))</f>
        <v/>
      </c>
      <c r="AG431" s="17">
        <f>IF($G431="","",IFERROR(INDEX(TIPOS_FLUXO_PLANO,MATCH($G431,SUBCATEGORIAS_PLANO,0)),"Não classificado"))</f>
        <v/>
      </c>
      <c r="AH431" s="9">
        <f>IF($G431="","",IFERROR(INDEX(GRUPOS_PLANO,MATCH($G431,SUBCATEGORIAS_PLANO,0)),"Não classificado"))</f>
        <v/>
      </c>
      <c r="AI431" s="24">
        <f>IF(OR($C431="",$X431="Pago",$X431="Recebido",$X431="Cancelado"),"",$C431-TODAY())</f>
        <v/>
      </c>
      <c r="AJ431" s="24">
        <f>IF(OR($C431="",$X431="Pago",$X431="Recebido",$X431="Cancelado"),0,MAX(0,TODAY()-$C431))</f>
        <v/>
      </c>
      <c r="AK431" s="24">
        <f>IF($D431="","",$D431-$B431)</f>
        <v/>
      </c>
      <c r="AL431" s="18">
        <f>IF(OR($D431="",$B431=""),"",ROUND(N($R431)*($D431-$B431),2))</f>
        <v/>
      </c>
      <c r="AM431" s="17">
        <f>IF(AND($E431="Saída",$W431&gt;0,$C431&lt;&gt;""),$C431+ROW()/1000000,"")</f>
        <v/>
      </c>
      <c r="AN431" s="17">
        <f>IF(AND($E431="Entrada",$W431&gt;0,$C431&lt;&gt;""),$C431+ROW()/1000000,"")</f>
        <v/>
      </c>
      <c r="AO431" s="9">
        <f>IF(COUNTA($B431:$R431)=0,"",IF(AND($I431&lt;&gt;"",COUNTIF(CLIENTES_NOMES,$I431)+COUNTIF(CLIENTES_FANTASIA,$I431)+COUNTIF(FORNECEDORES_NOMES,$I431)+COUNTIF(FORNECEDORES_FANTASIA,$I431)=0),"⚠ Cliente/Fornecedor não cadastrado",IF(AND($G431&lt;&gt;"",COUNTIF(SUBCATEGORIAS_PLANO,$G431)=0),"⚠ Subcategoria fora do plano de contas",IF(OR($Q431="",N($Q431)=0),"⚠ Valor previsto não informado",IF(AND(OR($X431="Pago",$X431="Recebido"),$D431=""),"⚠ Status pago/recebido sem data",IF(AND($D431&lt;&gt;"",N($R431)=0),"⚠ Data de pagamento sem valor realizado",IF(AND(N($P431)&gt;1,N($O431)&gt;N($P431)),"⚠ Nº da parcela maior que o total",IF(AND($C431&lt;&gt;"",$B431&lt;&gt;"",$C431&lt;$B431),"⚠ Vencimento anterior à competência","OK"))))))))</f>
        <v/>
      </c>
    </row>
    <row r="432">
      <c r="A432" s="14" t="inlineStr">
        <is>
          <t>L0427</t>
        </is>
      </c>
      <c r="B432" s="36" t="n">
        <v>46290</v>
      </c>
      <c r="C432" s="36" t="n">
        <v>46305</v>
      </c>
      <c r="D432" s="36" t="n"/>
      <c r="E432" s="14" t="inlineStr">
        <is>
          <t>Saída</t>
        </is>
      </c>
      <c r="F432" s="29" t="inlineStr">
        <is>
          <t>Custos Variáveis</t>
        </is>
      </c>
      <c r="G432" s="29" t="inlineStr">
        <is>
          <t>Fretes e Entregas sobre Vendas</t>
        </is>
      </c>
      <c r="H432" s="29" t="inlineStr">
        <is>
          <t>Logística</t>
        </is>
      </c>
      <c r="I432" s="29" t="inlineStr">
        <is>
          <t>TRANSPORTADORA RÁPIDA LOG LTDA</t>
        </is>
      </c>
      <c r="J432" s="29" t="inlineStr">
        <is>
          <t>Fretes de entrega — notas do período</t>
        </is>
      </c>
      <c r="K432" s="14" t="inlineStr">
        <is>
          <t>DOC 7233</t>
        </is>
      </c>
      <c r="L432" s="29" t="inlineStr">
        <is>
          <t>Banco do Brasil — C/C 12345-6</t>
        </is>
      </c>
      <c r="M432" s="14" t="inlineStr">
        <is>
          <t>Boleto</t>
        </is>
      </c>
      <c r="N432" s="29" t="n"/>
      <c r="O432" s="13" t="n">
        <v>1</v>
      </c>
      <c r="P432" s="13" t="n">
        <v>1</v>
      </c>
      <c r="Q432" s="35" t="n">
        <v>4637.11</v>
      </c>
      <c r="R432" s="35" t="n"/>
      <c r="S432" s="35" t="n"/>
      <c r="T432" s="35" t="n"/>
      <c r="U432" s="35" t="n"/>
      <c r="V432" s="18">
        <f>IF(COUNTA($B432:$R432)=0,"",ROUND(N($R432)+N($S432)+N($T432)-N($U432),2))</f>
        <v/>
      </c>
      <c r="W432" s="18">
        <f>IF(COUNTA($B432:$R432)=0,"",IF(OR($X432="Pago",$X432="Recebido",$X432="Cancelado"),0,ROUND(N($Q432)+N($S432)+N($T432)-N($U432)-N($R432),2)))</f>
        <v/>
      </c>
      <c r="X432" s="14" t="inlineStr">
        <is>
          <t>Previsto</t>
        </is>
      </c>
      <c r="Y432" s="17">
        <f>IF(COUNTA($B432:$R432)=0,"",IF($X432="Cancelado","Cancelado",IF(OR($X432="Pago",$X432="Recebido"),$X432,IF(OR($X432="Parcial",N($R432)&gt;0),"Parcial",IF($C432="","Sem vencimento",IF($C432&lt;TODAY(),"Vencido",IF($C432=TODAY(),"Vence hoje",IF($C432&lt;=TODAY()+7,"Vence em 7 dias",IF($C432&lt;=TODAY()+30,"Vence em 30 dias","Futuro")))))))))</f>
        <v/>
      </c>
      <c r="Z432" s="24">
        <f>IF($B432="","",MONTH($B432))</f>
        <v/>
      </c>
      <c r="AA432" s="24">
        <f>IF($B432="","",YEAR($B432))</f>
        <v/>
      </c>
      <c r="AB432" s="24">
        <f>IF($B432="","",ISOWEEKNUM($B432))</f>
        <v/>
      </c>
      <c r="AC432" s="17">
        <f>IF($B432="","",CHOOSE(WEEKDAY($B432,2),"Segunda","Terça","Quarta","Quinta","Sexta","Sábado","Domingo"))</f>
        <v/>
      </c>
      <c r="AD432" s="17">
        <f>IF($B432="","",TEXT($B432,"MM/AAAA"))</f>
        <v/>
      </c>
      <c r="AE432" s="18">
        <f>IF(COUNTA($B432:$R432)=0,"",IF($X432="Cancelado",0,ROUND(N($Q432)+N($S432)+N($T432)-N($U432),2)))</f>
        <v/>
      </c>
      <c r="AF432" s="9">
        <f>IF($G432="","",IFERROR(INDEX(LINHAS_DRE_PLANO,MATCH($G432,SUBCATEGORIAS_PLANO,0)),"Não classificado"))</f>
        <v/>
      </c>
      <c r="AG432" s="17">
        <f>IF($G432="","",IFERROR(INDEX(TIPOS_FLUXO_PLANO,MATCH($G432,SUBCATEGORIAS_PLANO,0)),"Não classificado"))</f>
        <v/>
      </c>
      <c r="AH432" s="9">
        <f>IF($G432="","",IFERROR(INDEX(GRUPOS_PLANO,MATCH($G432,SUBCATEGORIAS_PLANO,0)),"Não classificado"))</f>
        <v/>
      </c>
      <c r="AI432" s="24">
        <f>IF(OR($C432="",$X432="Pago",$X432="Recebido",$X432="Cancelado"),"",$C432-TODAY())</f>
        <v/>
      </c>
      <c r="AJ432" s="24">
        <f>IF(OR($C432="",$X432="Pago",$X432="Recebido",$X432="Cancelado"),0,MAX(0,TODAY()-$C432))</f>
        <v/>
      </c>
      <c r="AK432" s="24">
        <f>IF($D432="","",$D432-$B432)</f>
        <v/>
      </c>
      <c r="AL432" s="18">
        <f>IF(OR($D432="",$B432=""),"",ROUND(N($R432)*($D432-$B432),2))</f>
        <v/>
      </c>
      <c r="AM432" s="17">
        <f>IF(AND($E432="Saída",$W432&gt;0,$C432&lt;&gt;""),$C432+ROW()/1000000,"")</f>
        <v/>
      </c>
      <c r="AN432" s="17">
        <f>IF(AND($E432="Entrada",$W432&gt;0,$C432&lt;&gt;""),$C432+ROW()/1000000,"")</f>
        <v/>
      </c>
      <c r="AO432" s="9">
        <f>IF(COUNTA($B432:$R432)=0,"",IF(AND($I432&lt;&gt;"",COUNTIF(CLIENTES_NOMES,$I432)+COUNTIF(CLIENTES_FANTASIA,$I432)+COUNTIF(FORNECEDORES_NOMES,$I432)+COUNTIF(FORNECEDORES_FANTASIA,$I432)=0),"⚠ Cliente/Fornecedor não cadastrado",IF(AND($G432&lt;&gt;"",COUNTIF(SUBCATEGORIAS_PLANO,$G432)=0),"⚠ Subcategoria fora do plano de contas",IF(OR($Q432="",N($Q432)=0),"⚠ Valor previsto não informado",IF(AND(OR($X432="Pago",$X432="Recebido"),$D432=""),"⚠ Status pago/recebido sem data",IF(AND($D432&lt;&gt;"",N($R432)=0),"⚠ Data de pagamento sem valor realizado",IF(AND(N($P432)&gt;1,N($O432)&gt;N($P432)),"⚠ Nº da parcela maior que o total",IF(AND($C432&lt;&gt;"",$B432&lt;&gt;"",$C432&lt;$B432),"⚠ Vencimento anterior à competência","OK"))))))))</f>
        <v/>
      </c>
    </row>
    <row r="433">
      <c r="A433" s="14" t="inlineStr">
        <is>
          <t>L0428</t>
        </is>
      </c>
      <c r="B433" s="36" t="n">
        <v>46290</v>
      </c>
      <c r="C433" s="36" t="n">
        <v>46300</v>
      </c>
      <c r="D433" s="36" t="n"/>
      <c r="E433" s="14" t="inlineStr">
        <is>
          <t>Saída</t>
        </is>
      </c>
      <c r="F433" s="29" t="inlineStr">
        <is>
          <t>Tributos</t>
        </is>
      </c>
      <c r="G433" s="29" t="inlineStr">
        <is>
          <t>Outros Impostos e Taxas</t>
        </is>
      </c>
      <c r="H433" s="29" t="inlineStr">
        <is>
          <t>Financeiro</t>
        </is>
      </c>
      <c r="I433" s="29" t="inlineStr">
        <is>
          <t>PREFEITURA DE SÃO PAULO</t>
        </is>
      </c>
      <c r="J433" s="29" t="inlineStr">
        <is>
          <t>Taxas municipais e alvará — 09/2026</t>
        </is>
      </c>
      <c r="K433" s="14" t="inlineStr"/>
      <c r="L433" s="29" t="inlineStr">
        <is>
          <t>Banco do Brasil — C/C 12345-6</t>
        </is>
      </c>
      <c r="M433" s="14" t="inlineStr">
        <is>
          <t>Transferência</t>
        </is>
      </c>
      <c r="N433" s="29" t="n"/>
      <c r="O433" s="13" t="n">
        <v>1</v>
      </c>
      <c r="P433" s="13" t="n">
        <v>1</v>
      </c>
      <c r="Q433" s="35" t="n">
        <v>294.57</v>
      </c>
      <c r="R433" s="35" t="n"/>
      <c r="S433" s="35" t="n"/>
      <c r="T433" s="35" t="n"/>
      <c r="U433" s="35" t="n"/>
      <c r="V433" s="18">
        <f>IF(COUNTA($B433:$R433)=0,"",ROUND(N($R433)+N($S433)+N($T433)-N($U433),2))</f>
        <v/>
      </c>
      <c r="W433" s="18">
        <f>IF(COUNTA($B433:$R433)=0,"",IF(OR($X433="Pago",$X433="Recebido",$X433="Cancelado"),0,ROUND(N($Q433)+N($S433)+N($T433)-N($U433)-N($R433),2)))</f>
        <v/>
      </c>
      <c r="X433" s="14" t="inlineStr">
        <is>
          <t>Previsto</t>
        </is>
      </c>
      <c r="Y433" s="17">
        <f>IF(COUNTA($B433:$R433)=0,"",IF($X433="Cancelado","Cancelado",IF(OR($X433="Pago",$X433="Recebido"),$X433,IF(OR($X433="Parcial",N($R433)&gt;0),"Parcial",IF($C433="","Sem vencimento",IF($C433&lt;TODAY(),"Vencido",IF($C433=TODAY(),"Vence hoje",IF($C433&lt;=TODAY()+7,"Vence em 7 dias",IF($C433&lt;=TODAY()+30,"Vence em 30 dias","Futuro")))))))))</f>
        <v/>
      </c>
      <c r="Z433" s="24">
        <f>IF($B433="","",MONTH($B433))</f>
        <v/>
      </c>
      <c r="AA433" s="24">
        <f>IF($B433="","",YEAR($B433))</f>
        <v/>
      </c>
      <c r="AB433" s="24">
        <f>IF($B433="","",ISOWEEKNUM($B433))</f>
        <v/>
      </c>
      <c r="AC433" s="17">
        <f>IF($B433="","",CHOOSE(WEEKDAY($B433,2),"Segunda","Terça","Quarta","Quinta","Sexta","Sábado","Domingo"))</f>
        <v/>
      </c>
      <c r="AD433" s="17">
        <f>IF($B433="","",TEXT($B433,"MM/AAAA"))</f>
        <v/>
      </c>
      <c r="AE433" s="18">
        <f>IF(COUNTA($B433:$R433)=0,"",IF($X433="Cancelado",0,ROUND(N($Q433)+N($S433)+N($T433)-N($U433),2)))</f>
        <v/>
      </c>
      <c r="AF433" s="9">
        <f>IF($G433="","",IFERROR(INDEX(LINHAS_DRE_PLANO,MATCH($G433,SUBCATEGORIAS_PLANO,0)),"Não classificado"))</f>
        <v/>
      </c>
      <c r="AG433" s="17">
        <f>IF($G433="","",IFERROR(INDEX(TIPOS_FLUXO_PLANO,MATCH($G433,SUBCATEGORIAS_PLANO,0)),"Não classificado"))</f>
        <v/>
      </c>
      <c r="AH433" s="9">
        <f>IF($G433="","",IFERROR(INDEX(GRUPOS_PLANO,MATCH($G433,SUBCATEGORIAS_PLANO,0)),"Não classificado"))</f>
        <v/>
      </c>
      <c r="AI433" s="24">
        <f>IF(OR($C433="",$X433="Pago",$X433="Recebido",$X433="Cancelado"),"",$C433-TODAY())</f>
        <v/>
      </c>
      <c r="AJ433" s="24">
        <f>IF(OR($C433="",$X433="Pago",$X433="Recebido",$X433="Cancelado"),0,MAX(0,TODAY()-$C433))</f>
        <v/>
      </c>
      <c r="AK433" s="24">
        <f>IF($D433="","",$D433-$B433)</f>
        <v/>
      </c>
      <c r="AL433" s="18">
        <f>IF(OR($D433="",$B433=""),"",ROUND(N($R433)*($D433-$B433),2))</f>
        <v/>
      </c>
      <c r="AM433" s="17">
        <f>IF(AND($E433="Saída",$W433&gt;0,$C433&lt;&gt;""),$C433+ROW()/1000000,"")</f>
        <v/>
      </c>
      <c r="AN433" s="17">
        <f>IF(AND($E433="Entrada",$W433&gt;0,$C433&lt;&gt;""),$C433+ROW()/1000000,"")</f>
        <v/>
      </c>
      <c r="AO433" s="9">
        <f>IF(COUNTA($B433:$R433)=0,"",IF(AND($I433&lt;&gt;"",COUNTIF(CLIENTES_NOMES,$I433)+COUNTIF(CLIENTES_FANTASIA,$I433)+COUNTIF(FORNECEDORES_NOMES,$I433)+COUNTIF(FORNECEDORES_FANTASIA,$I433)=0),"⚠ Cliente/Fornecedor não cadastrado",IF(AND($G433&lt;&gt;"",COUNTIF(SUBCATEGORIAS_PLANO,$G433)=0),"⚠ Subcategoria fora do plano de contas",IF(OR($Q433="",N($Q433)=0),"⚠ Valor previsto não informado",IF(AND(OR($X433="Pago",$X433="Recebido"),$D433=""),"⚠ Status pago/recebido sem data",IF(AND($D433&lt;&gt;"",N($R433)=0),"⚠ Data de pagamento sem valor realizado",IF(AND(N($P433)&gt;1,N($O433)&gt;N($P433)),"⚠ Nº da parcela maior que o total",IF(AND($C433&lt;&gt;"",$B433&lt;&gt;"",$C433&lt;$B433),"⚠ Vencimento anterior à competência","OK"))))))))</f>
        <v/>
      </c>
    </row>
    <row r="434">
      <c r="A434" s="14" t="inlineStr">
        <is>
          <t>L0429</t>
        </is>
      </c>
      <c r="B434" s="36" t="n">
        <v>46291</v>
      </c>
      <c r="C434" s="36" t="n">
        <v>46291</v>
      </c>
      <c r="D434" s="36" t="n"/>
      <c r="E434" s="14" t="inlineStr">
        <is>
          <t>Saída</t>
        </is>
      </c>
      <c r="F434" s="29" t="inlineStr">
        <is>
          <t>Despesas Administrativas</t>
        </is>
      </c>
      <c r="G434" s="29" t="inlineStr">
        <is>
          <t>Outras Despesas Administrativas</t>
        </is>
      </c>
      <c r="H434" s="29" t="inlineStr">
        <is>
          <t>Administrativo</t>
        </is>
      </c>
      <c r="I434" s="29" t="inlineStr">
        <is>
          <t>MANUTENÇÃO PREDIAL EXPRESSA LTDA</t>
        </is>
      </c>
      <c r="J434" s="29" t="inlineStr">
        <is>
          <t>Despesas administrativas diversas</t>
        </is>
      </c>
      <c r="K434" s="14" t="inlineStr">
        <is>
          <t>DOC 8412</t>
        </is>
      </c>
      <c r="L434" s="29" t="inlineStr">
        <is>
          <t>Banco do Brasil — C/C 12345-6</t>
        </is>
      </c>
      <c r="M434" s="14" t="inlineStr">
        <is>
          <t>PIX</t>
        </is>
      </c>
      <c r="N434" s="29" t="n"/>
      <c r="O434" s="13" t="n">
        <v>1</v>
      </c>
      <c r="P434" s="13" t="n">
        <v>1</v>
      </c>
      <c r="Q434" s="35" t="n">
        <v>514.66</v>
      </c>
      <c r="R434" s="35" t="n"/>
      <c r="S434" s="35" t="n"/>
      <c r="T434" s="35" t="n"/>
      <c r="U434" s="35" t="n"/>
      <c r="V434" s="18">
        <f>IF(COUNTA($B434:$R434)=0,"",ROUND(N($R434)+N($S434)+N($T434)-N($U434),2))</f>
        <v/>
      </c>
      <c r="W434" s="18">
        <f>IF(COUNTA($B434:$R434)=0,"",IF(OR($X434="Pago",$X434="Recebido",$X434="Cancelado"),0,ROUND(N($Q434)+N($S434)+N($T434)-N($U434)-N($R434),2)))</f>
        <v/>
      </c>
      <c r="X434" s="14" t="inlineStr">
        <is>
          <t>Previsto</t>
        </is>
      </c>
      <c r="Y434" s="17">
        <f>IF(COUNTA($B434:$R434)=0,"",IF($X434="Cancelado","Cancelado",IF(OR($X434="Pago",$X434="Recebido"),$X434,IF(OR($X434="Parcial",N($R434)&gt;0),"Parcial",IF($C434="","Sem vencimento",IF($C434&lt;TODAY(),"Vencido",IF($C434=TODAY(),"Vence hoje",IF($C434&lt;=TODAY()+7,"Vence em 7 dias",IF($C434&lt;=TODAY()+30,"Vence em 30 dias","Futuro")))))))))</f>
        <v/>
      </c>
      <c r="Z434" s="24">
        <f>IF($B434="","",MONTH($B434))</f>
        <v/>
      </c>
      <c r="AA434" s="24">
        <f>IF($B434="","",YEAR($B434))</f>
        <v/>
      </c>
      <c r="AB434" s="24">
        <f>IF($B434="","",ISOWEEKNUM($B434))</f>
        <v/>
      </c>
      <c r="AC434" s="17">
        <f>IF($B434="","",CHOOSE(WEEKDAY($B434,2),"Segunda","Terça","Quarta","Quinta","Sexta","Sábado","Domingo"))</f>
        <v/>
      </c>
      <c r="AD434" s="17">
        <f>IF($B434="","",TEXT($B434,"MM/AAAA"))</f>
        <v/>
      </c>
      <c r="AE434" s="18">
        <f>IF(COUNTA($B434:$R434)=0,"",IF($X434="Cancelado",0,ROUND(N($Q434)+N($S434)+N($T434)-N($U434),2)))</f>
        <v/>
      </c>
      <c r="AF434" s="9">
        <f>IF($G434="","",IFERROR(INDEX(LINHAS_DRE_PLANO,MATCH($G434,SUBCATEGORIAS_PLANO,0)),"Não classificado"))</f>
        <v/>
      </c>
      <c r="AG434" s="17">
        <f>IF($G434="","",IFERROR(INDEX(TIPOS_FLUXO_PLANO,MATCH($G434,SUBCATEGORIAS_PLANO,0)),"Não classificado"))</f>
        <v/>
      </c>
      <c r="AH434" s="9">
        <f>IF($G434="","",IFERROR(INDEX(GRUPOS_PLANO,MATCH($G434,SUBCATEGORIAS_PLANO,0)),"Não classificado"))</f>
        <v/>
      </c>
      <c r="AI434" s="24">
        <f>IF(OR($C434="",$X434="Pago",$X434="Recebido",$X434="Cancelado"),"",$C434-TODAY())</f>
        <v/>
      </c>
      <c r="AJ434" s="24">
        <f>IF(OR($C434="",$X434="Pago",$X434="Recebido",$X434="Cancelado"),0,MAX(0,TODAY()-$C434))</f>
        <v/>
      </c>
      <c r="AK434" s="24">
        <f>IF($D434="","",$D434-$B434)</f>
        <v/>
      </c>
      <c r="AL434" s="18">
        <f>IF(OR($D434="",$B434=""),"",ROUND(N($R434)*($D434-$B434),2))</f>
        <v/>
      </c>
      <c r="AM434" s="17">
        <f>IF(AND($E434="Saída",$W434&gt;0,$C434&lt;&gt;""),$C434+ROW()/1000000,"")</f>
        <v/>
      </c>
      <c r="AN434" s="17">
        <f>IF(AND($E434="Entrada",$W434&gt;0,$C434&lt;&gt;""),$C434+ROW()/1000000,"")</f>
        <v/>
      </c>
      <c r="AO434" s="9">
        <f>IF(COUNTA($B434:$R434)=0,"",IF(AND($I434&lt;&gt;"",COUNTIF(CLIENTES_NOMES,$I434)+COUNTIF(CLIENTES_FANTASIA,$I434)+COUNTIF(FORNECEDORES_NOMES,$I434)+COUNTIF(FORNECEDORES_FANTASIA,$I434)=0),"⚠ Cliente/Fornecedor não cadastrado",IF(AND($G434&lt;&gt;"",COUNTIF(SUBCATEGORIAS_PLANO,$G434)=0),"⚠ Subcategoria fora do plano de contas",IF(OR($Q434="",N($Q434)=0),"⚠ Valor previsto não informado",IF(AND(OR($X434="Pago",$X434="Recebido"),$D434=""),"⚠ Status pago/recebido sem data",IF(AND($D434&lt;&gt;"",N($R434)=0),"⚠ Data de pagamento sem valor realizado",IF(AND(N($P434)&gt;1,N($O434)&gt;N($P434)),"⚠ Nº da parcela maior que o total",IF(AND($C434&lt;&gt;"",$B434&lt;&gt;"",$C434&lt;$B434),"⚠ Vencimento anterior à competência","OK"))))))))</f>
        <v/>
      </c>
    </row>
    <row r="435">
      <c r="A435" s="14" t="inlineStr">
        <is>
          <t>L0430</t>
        </is>
      </c>
      <c r="B435" s="36" t="n">
        <v>46293</v>
      </c>
      <c r="C435" s="36" t="n">
        <v>46298</v>
      </c>
      <c r="D435" s="36" t="n"/>
      <c r="E435" s="14" t="inlineStr">
        <is>
          <t>Saída</t>
        </is>
      </c>
      <c r="F435" s="29" t="inlineStr">
        <is>
          <t>Custos Variáveis</t>
        </is>
      </c>
      <c r="G435" s="29" t="inlineStr">
        <is>
          <t>Comissões sobre Vendas</t>
        </is>
      </c>
      <c r="H435" s="29" t="inlineStr">
        <is>
          <t>Comercial</t>
        </is>
      </c>
      <c r="I435" s="29" t="inlineStr">
        <is>
          <t>EQUIPE COMERCIAL — COMISSÕES</t>
        </is>
      </c>
      <c r="J435" s="29" t="inlineStr">
        <is>
          <t>Comissões sobre vendas do período</t>
        </is>
      </c>
      <c r="K435" s="14" t="inlineStr">
        <is>
          <t>DOC 7234</t>
        </is>
      </c>
      <c r="L435" s="29" t="inlineStr">
        <is>
          <t>Banco do Brasil — C/C 12345-6</t>
        </is>
      </c>
      <c r="M435" s="14" t="inlineStr">
        <is>
          <t>Transferência</t>
        </is>
      </c>
      <c r="N435" s="29" t="n"/>
      <c r="O435" s="13" t="n">
        <v>1</v>
      </c>
      <c r="P435" s="13" t="n">
        <v>1</v>
      </c>
      <c r="Q435" s="35" t="n">
        <v>3583.14</v>
      </c>
      <c r="R435" s="35" t="n"/>
      <c r="S435" s="35" t="n"/>
      <c r="T435" s="35" t="n"/>
      <c r="U435" s="35" t="n"/>
      <c r="V435" s="18">
        <f>IF(COUNTA($B435:$R435)=0,"",ROUND(N($R435)+N($S435)+N($T435)-N($U435),2))</f>
        <v/>
      </c>
      <c r="W435" s="18">
        <f>IF(COUNTA($B435:$R435)=0,"",IF(OR($X435="Pago",$X435="Recebido",$X435="Cancelado"),0,ROUND(N($Q435)+N($S435)+N($T435)-N($U435)-N($R435),2)))</f>
        <v/>
      </c>
      <c r="X435" s="14" t="inlineStr">
        <is>
          <t>Previsto</t>
        </is>
      </c>
      <c r="Y435" s="17">
        <f>IF(COUNTA($B435:$R435)=0,"",IF($X435="Cancelado","Cancelado",IF(OR($X435="Pago",$X435="Recebido"),$X435,IF(OR($X435="Parcial",N($R435)&gt;0),"Parcial",IF($C435="","Sem vencimento",IF($C435&lt;TODAY(),"Vencido",IF($C435=TODAY(),"Vence hoje",IF($C435&lt;=TODAY()+7,"Vence em 7 dias",IF($C435&lt;=TODAY()+30,"Vence em 30 dias","Futuro")))))))))</f>
        <v/>
      </c>
      <c r="Z435" s="24">
        <f>IF($B435="","",MONTH($B435))</f>
        <v/>
      </c>
      <c r="AA435" s="24">
        <f>IF($B435="","",YEAR($B435))</f>
        <v/>
      </c>
      <c r="AB435" s="24">
        <f>IF($B435="","",ISOWEEKNUM($B435))</f>
        <v/>
      </c>
      <c r="AC435" s="17">
        <f>IF($B435="","",CHOOSE(WEEKDAY($B435,2),"Segunda","Terça","Quarta","Quinta","Sexta","Sábado","Domingo"))</f>
        <v/>
      </c>
      <c r="AD435" s="17">
        <f>IF($B435="","",TEXT($B435,"MM/AAAA"))</f>
        <v/>
      </c>
      <c r="AE435" s="18">
        <f>IF(COUNTA($B435:$R435)=0,"",IF($X435="Cancelado",0,ROUND(N($Q435)+N($S435)+N($T435)-N($U435),2)))</f>
        <v/>
      </c>
      <c r="AF435" s="9">
        <f>IF($G435="","",IFERROR(INDEX(LINHAS_DRE_PLANO,MATCH($G435,SUBCATEGORIAS_PLANO,0)),"Não classificado"))</f>
        <v/>
      </c>
      <c r="AG435" s="17">
        <f>IF($G435="","",IFERROR(INDEX(TIPOS_FLUXO_PLANO,MATCH($G435,SUBCATEGORIAS_PLANO,0)),"Não classificado"))</f>
        <v/>
      </c>
      <c r="AH435" s="9">
        <f>IF($G435="","",IFERROR(INDEX(GRUPOS_PLANO,MATCH($G435,SUBCATEGORIAS_PLANO,0)),"Não classificado"))</f>
        <v/>
      </c>
      <c r="AI435" s="24">
        <f>IF(OR($C435="",$X435="Pago",$X435="Recebido",$X435="Cancelado"),"",$C435-TODAY())</f>
        <v/>
      </c>
      <c r="AJ435" s="24">
        <f>IF(OR($C435="",$X435="Pago",$X435="Recebido",$X435="Cancelado"),0,MAX(0,TODAY()-$C435))</f>
        <v/>
      </c>
      <c r="AK435" s="24">
        <f>IF($D435="","",$D435-$B435)</f>
        <v/>
      </c>
      <c r="AL435" s="18">
        <f>IF(OR($D435="",$B435=""),"",ROUND(N($R435)*($D435-$B435),2))</f>
        <v/>
      </c>
      <c r="AM435" s="17">
        <f>IF(AND($E435="Saída",$W435&gt;0,$C435&lt;&gt;""),$C435+ROW()/1000000,"")</f>
        <v/>
      </c>
      <c r="AN435" s="17">
        <f>IF(AND($E435="Entrada",$W435&gt;0,$C435&lt;&gt;""),$C435+ROW()/1000000,"")</f>
        <v/>
      </c>
      <c r="AO435" s="9">
        <f>IF(COUNTA($B435:$R435)=0,"",IF(AND($I435&lt;&gt;"",COUNTIF(CLIENTES_NOMES,$I435)+COUNTIF(CLIENTES_FANTASIA,$I435)+COUNTIF(FORNECEDORES_NOMES,$I435)+COUNTIF(FORNECEDORES_FANTASIA,$I435)=0),"⚠ Cliente/Fornecedor não cadastrado",IF(AND($G435&lt;&gt;"",COUNTIF(SUBCATEGORIAS_PLANO,$G435)=0),"⚠ Subcategoria fora do plano de contas",IF(OR($Q435="",N($Q435)=0),"⚠ Valor previsto não informado",IF(AND(OR($X435="Pago",$X435="Recebido"),$D435=""),"⚠ Status pago/recebido sem data",IF(AND($D435&lt;&gt;"",N($R435)=0),"⚠ Data de pagamento sem valor realizado",IF(AND(N($P435)&gt;1,N($O435)&gt;N($P435)),"⚠ Nº da parcela maior que o total",IF(AND($C435&lt;&gt;"",$B435&lt;&gt;"",$C435&lt;$B435),"⚠ Vencimento anterior à competência","OK"))))))))</f>
        <v/>
      </c>
    </row>
    <row r="436">
      <c r="A436" s="14" t="inlineStr">
        <is>
          <t>L0431</t>
        </is>
      </c>
      <c r="B436" s="36" t="n">
        <v>46293</v>
      </c>
      <c r="C436" s="36" t="n">
        <v>46303</v>
      </c>
      <c r="D436" s="36" t="n"/>
      <c r="E436" s="14" t="inlineStr">
        <is>
          <t>Saída</t>
        </is>
      </c>
      <c r="F436" s="29" t="inlineStr">
        <is>
          <t>Custos Variáveis</t>
        </is>
      </c>
      <c r="G436" s="29" t="inlineStr">
        <is>
          <t>Taxas de Marketplace</t>
        </is>
      </c>
      <c r="H436" s="29" t="inlineStr">
        <is>
          <t>Comercial</t>
        </is>
      </c>
      <c r="I436" s="29" t="inlineStr">
        <is>
          <t>MARKETPLACE FOODB2B LTDA</t>
        </is>
      </c>
      <c r="J436" s="29" t="inlineStr">
        <is>
          <t>Taxas de intermediação do marketplace</t>
        </is>
      </c>
      <c r="K436" s="14" t="inlineStr">
        <is>
          <t>DOC 7235</t>
        </is>
      </c>
      <c r="L436" s="29" t="inlineStr">
        <is>
          <t>Banco do Brasil — C/C 12345-6</t>
        </is>
      </c>
      <c r="M436" s="14" t="inlineStr">
        <is>
          <t>PIX</t>
        </is>
      </c>
      <c r="N436" s="29" t="n"/>
      <c r="O436" s="13" t="n">
        <v>1</v>
      </c>
      <c r="P436" s="13" t="n">
        <v>1</v>
      </c>
      <c r="Q436" s="35" t="n">
        <v>1817.32</v>
      </c>
      <c r="R436" s="35" t="n"/>
      <c r="S436" s="35" t="n"/>
      <c r="T436" s="35" t="n"/>
      <c r="U436" s="35" t="n"/>
      <c r="V436" s="18">
        <f>IF(COUNTA($B436:$R436)=0,"",ROUND(N($R436)+N($S436)+N($T436)-N($U436),2))</f>
        <v/>
      </c>
      <c r="W436" s="18">
        <f>IF(COUNTA($B436:$R436)=0,"",IF(OR($X436="Pago",$X436="Recebido",$X436="Cancelado"),0,ROUND(N($Q436)+N($S436)+N($T436)-N($U436)-N($R436),2)))</f>
        <v/>
      </c>
      <c r="X436" s="14" t="inlineStr">
        <is>
          <t>Previsto</t>
        </is>
      </c>
      <c r="Y436" s="17">
        <f>IF(COUNTA($B436:$R436)=0,"",IF($X436="Cancelado","Cancelado",IF(OR($X436="Pago",$X436="Recebido"),$X436,IF(OR($X436="Parcial",N($R436)&gt;0),"Parcial",IF($C436="","Sem vencimento",IF($C436&lt;TODAY(),"Vencido",IF($C436=TODAY(),"Vence hoje",IF($C436&lt;=TODAY()+7,"Vence em 7 dias",IF($C436&lt;=TODAY()+30,"Vence em 30 dias","Futuro")))))))))</f>
        <v/>
      </c>
      <c r="Z436" s="24">
        <f>IF($B436="","",MONTH($B436))</f>
        <v/>
      </c>
      <c r="AA436" s="24">
        <f>IF($B436="","",YEAR($B436))</f>
        <v/>
      </c>
      <c r="AB436" s="24">
        <f>IF($B436="","",ISOWEEKNUM($B436))</f>
        <v/>
      </c>
      <c r="AC436" s="17">
        <f>IF($B436="","",CHOOSE(WEEKDAY($B436,2),"Segunda","Terça","Quarta","Quinta","Sexta","Sábado","Domingo"))</f>
        <v/>
      </c>
      <c r="AD436" s="17">
        <f>IF($B436="","",TEXT($B436,"MM/AAAA"))</f>
        <v/>
      </c>
      <c r="AE436" s="18">
        <f>IF(COUNTA($B436:$R436)=0,"",IF($X436="Cancelado",0,ROUND(N($Q436)+N($S436)+N($T436)-N($U436),2)))</f>
        <v/>
      </c>
      <c r="AF436" s="9">
        <f>IF($G436="","",IFERROR(INDEX(LINHAS_DRE_PLANO,MATCH($G436,SUBCATEGORIAS_PLANO,0)),"Não classificado"))</f>
        <v/>
      </c>
      <c r="AG436" s="17">
        <f>IF($G436="","",IFERROR(INDEX(TIPOS_FLUXO_PLANO,MATCH($G436,SUBCATEGORIAS_PLANO,0)),"Não classificado"))</f>
        <v/>
      </c>
      <c r="AH436" s="9">
        <f>IF($G436="","",IFERROR(INDEX(GRUPOS_PLANO,MATCH($G436,SUBCATEGORIAS_PLANO,0)),"Não classificado"))</f>
        <v/>
      </c>
      <c r="AI436" s="24">
        <f>IF(OR($C436="",$X436="Pago",$X436="Recebido",$X436="Cancelado"),"",$C436-TODAY())</f>
        <v/>
      </c>
      <c r="AJ436" s="24">
        <f>IF(OR($C436="",$X436="Pago",$X436="Recebido",$X436="Cancelado"),0,MAX(0,TODAY()-$C436))</f>
        <v/>
      </c>
      <c r="AK436" s="24">
        <f>IF($D436="","",$D436-$B436)</f>
        <v/>
      </c>
      <c r="AL436" s="18">
        <f>IF(OR($D436="",$B436=""),"",ROUND(N($R436)*($D436-$B436),2))</f>
        <v/>
      </c>
      <c r="AM436" s="17">
        <f>IF(AND($E436="Saída",$W436&gt;0,$C436&lt;&gt;""),$C436+ROW()/1000000,"")</f>
        <v/>
      </c>
      <c r="AN436" s="17">
        <f>IF(AND($E436="Entrada",$W436&gt;0,$C436&lt;&gt;""),$C436+ROW()/1000000,"")</f>
        <v/>
      </c>
      <c r="AO436" s="9">
        <f>IF(COUNTA($B436:$R436)=0,"",IF(AND($I436&lt;&gt;"",COUNTIF(CLIENTES_NOMES,$I436)+COUNTIF(CLIENTES_FANTASIA,$I436)+COUNTIF(FORNECEDORES_NOMES,$I436)+COUNTIF(FORNECEDORES_FANTASIA,$I436)=0),"⚠ Cliente/Fornecedor não cadastrado",IF(AND($G436&lt;&gt;"",COUNTIF(SUBCATEGORIAS_PLANO,$G436)=0),"⚠ Subcategoria fora do plano de contas",IF(OR($Q436="",N($Q436)=0),"⚠ Valor previsto não informado",IF(AND(OR($X436="Pago",$X436="Recebido"),$D436=""),"⚠ Status pago/recebido sem data",IF(AND($D436&lt;&gt;"",N($R436)=0),"⚠ Data de pagamento sem valor realizado",IF(AND(N($P436)&gt;1,N($O436)&gt;N($P436)),"⚠ Nº da parcela maior que o total",IF(AND($C436&lt;&gt;"",$B436&lt;&gt;"",$C436&lt;$B436),"⚠ Vencimento anterior à competência","OK"))))))))</f>
        <v/>
      </c>
    </row>
    <row r="437">
      <c r="A437" s="14" t="inlineStr">
        <is>
          <t>L0432</t>
        </is>
      </c>
      <c r="B437" s="36" t="n">
        <v>46293</v>
      </c>
      <c r="C437" s="36" t="n">
        <v>46298</v>
      </c>
      <c r="D437" s="36" t="n"/>
      <c r="E437" s="14" t="inlineStr">
        <is>
          <t>Saída</t>
        </is>
      </c>
      <c r="F437" s="29" t="inlineStr">
        <is>
          <t>Custos Variáveis</t>
        </is>
      </c>
      <c r="G437" s="29" t="inlineStr">
        <is>
          <t>Taxas de Cartão e Maquininha</t>
        </is>
      </c>
      <c r="H437" s="29" t="inlineStr">
        <is>
          <t>Financeiro</t>
        </is>
      </c>
      <c r="I437" s="29" t="inlineStr">
        <is>
          <t>CIELO S.A. — INSTITUIÇÃO DE PAGAMENTO</t>
        </is>
      </c>
      <c r="J437" s="29" t="inlineStr">
        <is>
          <t>Taxas de cartão e antecipação de recebíveis</t>
        </is>
      </c>
      <c r="K437" s="14" t="inlineStr">
        <is>
          <t>DOC 7236</t>
        </is>
      </c>
      <c r="L437" s="29" t="inlineStr">
        <is>
          <t>Banco do Brasil — C/C 12345-6</t>
        </is>
      </c>
      <c r="M437" s="14" t="inlineStr">
        <is>
          <t>Transferência</t>
        </is>
      </c>
      <c r="N437" s="29" t="n"/>
      <c r="O437" s="13" t="n">
        <v>1</v>
      </c>
      <c r="P437" s="13" t="n">
        <v>1</v>
      </c>
      <c r="Q437" s="35" t="n">
        <v>2677.5</v>
      </c>
      <c r="R437" s="35" t="n"/>
      <c r="S437" s="35" t="n"/>
      <c r="T437" s="35" t="n"/>
      <c r="U437" s="35" t="n"/>
      <c r="V437" s="18">
        <f>IF(COUNTA($B437:$R437)=0,"",ROUND(N($R437)+N($S437)+N($T437)-N($U437),2))</f>
        <v/>
      </c>
      <c r="W437" s="18">
        <f>IF(COUNTA($B437:$R437)=0,"",IF(OR($X437="Pago",$X437="Recebido",$X437="Cancelado"),0,ROUND(N($Q437)+N($S437)+N($T437)-N($U437)-N($R437),2)))</f>
        <v/>
      </c>
      <c r="X437" s="14" t="inlineStr">
        <is>
          <t>Previsto</t>
        </is>
      </c>
      <c r="Y437" s="17">
        <f>IF(COUNTA($B437:$R437)=0,"",IF($X437="Cancelado","Cancelado",IF(OR($X437="Pago",$X437="Recebido"),$X437,IF(OR($X437="Parcial",N($R437)&gt;0),"Parcial",IF($C437="","Sem vencimento",IF($C437&lt;TODAY(),"Vencido",IF($C437=TODAY(),"Vence hoje",IF($C437&lt;=TODAY()+7,"Vence em 7 dias",IF($C437&lt;=TODAY()+30,"Vence em 30 dias","Futuro")))))))))</f>
        <v/>
      </c>
      <c r="Z437" s="24">
        <f>IF($B437="","",MONTH($B437))</f>
        <v/>
      </c>
      <c r="AA437" s="24">
        <f>IF($B437="","",YEAR($B437))</f>
        <v/>
      </c>
      <c r="AB437" s="24">
        <f>IF($B437="","",ISOWEEKNUM($B437))</f>
        <v/>
      </c>
      <c r="AC437" s="17">
        <f>IF($B437="","",CHOOSE(WEEKDAY($B437,2),"Segunda","Terça","Quarta","Quinta","Sexta","Sábado","Domingo"))</f>
        <v/>
      </c>
      <c r="AD437" s="17">
        <f>IF($B437="","",TEXT($B437,"MM/AAAA"))</f>
        <v/>
      </c>
      <c r="AE437" s="18">
        <f>IF(COUNTA($B437:$R437)=0,"",IF($X437="Cancelado",0,ROUND(N($Q437)+N($S437)+N($T437)-N($U437),2)))</f>
        <v/>
      </c>
      <c r="AF437" s="9">
        <f>IF($G437="","",IFERROR(INDEX(LINHAS_DRE_PLANO,MATCH($G437,SUBCATEGORIAS_PLANO,0)),"Não classificado"))</f>
        <v/>
      </c>
      <c r="AG437" s="17">
        <f>IF($G437="","",IFERROR(INDEX(TIPOS_FLUXO_PLANO,MATCH($G437,SUBCATEGORIAS_PLANO,0)),"Não classificado"))</f>
        <v/>
      </c>
      <c r="AH437" s="9">
        <f>IF($G437="","",IFERROR(INDEX(GRUPOS_PLANO,MATCH($G437,SUBCATEGORIAS_PLANO,0)),"Não classificado"))</f>
        <v/>
      </c>
      <c r="AI437" s="24">
        <f>IF(OR($C437="",$X437="Pago",$X437="Recebido",$X437="Cancelado"),"",$C437-TODAY())</f>
        <v/>
      </c>
      <c r="AJ437" s="24">
        <f>IF(OR($C437="",$X437="Pago",$X437="Recebido",$X437="Cancelado"),0,MAX(0,TODAY()-$C437))</f>
        <v/>
      </c>
      <c r="AK437" s="24">
        <f>IF($D437="","",$D437-$B437)</f>
        <v/>
      </c>
      <c r="AL437" s="18">
        <f>IF(OR($D437="",$B437=""),"",ROUND(N($R437)*($D437-$B437),2))</f>
        <v/>
      </c>
      <c r="AM437" s="17">
        <f>IF(AND($E437="Saída",$W437&gt;0,$C437&lt;&gt;""),$C437+ROW()/1000000,"")</f>
        <v/>
      </c>
      <c r="AN437" s="17">
        <f>IF(AND($E437="Entrada",$W437&gt;0,$C437&lt;&gt;""),$C437+ROW()/1000000,"")</f>
        <v/>
      </c>
      <c r="AO437" s="9">
        <f>IF(COUNTA($B437:$R437)=0,"",IF(AND($I437&lt;&gt;"",COUNTIF(CLIENTES_NOMES,$I437)+COUNTIF(CLIENTES_FANTASIA,$I437)+COUNTIF(FORNECEDORES_NOMES,$I437)+COUNTIF(FORNECEDORES_FANTASIA,$I437)=0),"⚠ Cliente/Fornecedor não cadastrado",IF(AND($G437&lt;&gt;"",COUNTIF(SUBCATEGORIAS_PLANO,$G437)=0),"⚠ Subcategoria fora do plano de contas",IF(OR($Q437="",N($Q437)=0),"⚠ Valor previsto não informado",IF(AND(OR($X437="Pago",$X437="Recebido"),$D437=""),"⚠ Status pago/recebido sem data",IF(AND($D437&lt;&gt;"",N($R437)=0),"⚠ Data de pagamento sem valor realizado",IF(AND(N($P437)&gt;1,N($O437)&gt;N($P437)),"⚠ Nº da parcela maior que o total",IF(AND($C437&lt;&gt;"",$B437&lt;&gt;"",$C437&lt;$B437),"⚠ Vencimento anterior à competência","OK"))))))))</f>
        <v/>
      </c>
    </row>
    <row r="438">
      <c r="A438" s="14" t="inlineStr">
        <is>
          <t>L0433</t>
        </is>
      </c>
      <c r="B438" s="36" t="n">
        <v>46293</v>
      </c>
      <c r="C438" s="36" t="n">
        <v>46293</v>
      </c>
      <c r="D438" s="36" t="n"/>
      <c r="E438" s="14" t="inlineStr">
        <is>
          <t>Saída</t>
        </is>
      </c>
      <c r="F438" s="29" t="inlineStr">
        <is>
          <t>Despesas Financeiras</t>
        </is>
      </c>
      <c r="G438" s="29" t="inlineStr">
        <is>
          <t>Tarifas Bancárias</t>
        </is>
      </c>
      <c r="H438" s="29" t="inlineStr">
        <is>
          <t>Financeiro</t>
        </is>
      </c>
      <c r="I438" s="29" t="inlineStr">
        <is>
          <t>CONTABILIDADE AURORA ASSESSORIA CONTÁBIL LTDA</t>
        </is>
      </c>
      <c r="J438" s="29" t="inlineStr">
        <is>
          <t>Tarifas e pacote de serviços bancários</t>
        </is>
      </c>
      <c r="K438" s="14" t="inlineStr">
        <is>
          <t>DOC 8413</t>
        </is>
      </c>
      <c r="L438" s="29" t="inlineStr">
        <is>
          <t>Itaú Unibanco — C/C 45678-9</t>
        </is>
      </c>
      <c r="M438" s="14" t="inlineStr">
        <is>
          <t>Transferência</t>
        </is>
      </c>
      <c r="N438" s="29" t="n"/>
      <c r="O438" s="13" t="n">
        <v>1</v>
      </c>
      <c r="P438" s="13" t="n">
        <v>1</v>
      </c>
      <c r="Q438" s="35" t="n">
        <v>190</v>
      </c>
      <c r="R438" s="35" t="n"/>
      <c r="S438" s="35" t="n"/>
      <c r="T438" s="35" t="n"/>
      <c r="U438" s="35" t="n"/>
      <c r="V438" s="18">
        <f>IF(COUNTA($B438:$R438)=0,"",ROUND(N($R438)+N($S438)+N($T438)-N($U438),2))</f>
        <v/>
      </c>
      <c r="W438" s="18">
        <f>IF(COUNTA($B438:$R438)=0,"",IF(OR($X438="Pago",$X438="Recebido",$X438="Cancelado"),0,ROUND(N($Q438)+N($S438)+N($T438)-N($U438)-N($R438),2)))</f>
        <v/>
      </c>
      <c r="X438" s="14" t="inlineStr">
        <is>
          <t>Previsto</t>
        </is>
      </c>
      <c r="Y438" s="17">
        <f>IF(COUNTA($B438:$R438)=0,"",IF($X438="Cancelado","Cancelado",IF(OR($X438="Pago",$X438="Recebido"),$X438,IF(OR($X438="Parcial",N($R438)&gt;0),"Parcial",IF($C438="","Sem vencimento",IF($C438&lt;TODAY(),"Vencido",IF($C438=TODAY(),"Vence hoje",IF($C438&lt;=TODAY()+7,"Vence em 7 dias",IF($C438&lt;=TODAY()+30,"Vence em 30 dias","Futuro")))))))))</f>
        <v/>
      </c>
      <c r="Z438" s="24">
        <f>IF($B438="","",MONTH($B438))</f>
        <v/>
      </c>
      <c r="AA438" s="24">
        <f>IF($B438="","",YEAR($B438))</f>
        <v/>
      </c>
      <c r="AB438" s="24">
        <f>IF($B438="","",ISOWEEKNUM($B438))</f>
        <v/>
      </c>
      <c r="AC438" s="17">
        <f>IF($B438="","",CHOOSE(WEEKDAY($B438,2),"Segunda","Terça","Quarta","Quinta","Sexta","Sábado","Domingo"))</f>
        <v/>
      </c>
      <c r="AD438" s="17">
        <f>IF($B438="","",TEXT($B438,"MM/AAAA"))</f>
        <v/>
      </c>
      <c r="AE438" s="18">
        <f>IF(COUNTA($B438:$R438)=0,"",IF($X438="Cancelado",0,ROUND(N($Q438)+N($S438)+N($T438)-N($U438),2)))</f>
        <v/>
      </c>
      <c r="AF438" s="9">
        <f>IF($G438="","",IFERROR(INDEX(LINHAS_DRE_PLANO,MATCH($G438,SUBCATEGORIAS_PLANO,0)),"Não classificado"))</f>
        <v/>
      </c>
      <c r="AG438" s="17">
        <f>IF($G438="","",IFERROR(INDEX(TIPOS_FLUXO_PLANO,MATCH($G438,SUBCATEGORIAS_PLANO,0)),"Não classificado"))</f>
        <v/>
      </c>
      <c r="AH438" s="9">
        <f>IF($G438="","",IFERROR(INDEX(GRUPOS_PLANO,MATCH($G438,SUBCATEGORIAS_PLANO,0)),"Não classificado"))</f>
        <v/>
      </c>
      <c r="AI438" s="24">
        <f>IF(OR($C438="",$X438="Pago",$X438="Recebido",$X438="Cancelado"),"",$C438-TODAY())</f>
        <v/>
      </c>
      <c r="AJ438" s="24">
        <f>IF(OR($C438="",$X438="Pago",$X438="Recebido",$X438="Cancelado"),0,MAX(0,TODAY()-$C438))</f>
        <v/>
      </c>
      <c r="AK438" s="24">
        <f>IF($D438="","",$D438-$B438)</f>
        <v/>
      </c>
      <c r="AL438" s="18">
        <f>IF(OR($D438="",$B438=""),"",ROUND(N($R438)*($D438-$B438),2))</f>
        <v/>
      </c>
      <c r="AM438" s="17">
        <f>IF(AND($E438="Saída",$W438&gt;0,$C438&lt;&gt;""),$C438+ROW()/1000000,"")</f>
        <v/>
      </c>
      <c r="AN438" s="17">
        <f>IF(AND($E438="Entrada",$W438&gt;0,$C438&lt;&gt;""),$C438+ROW()/1000000,"")</f>
        <v/>
      </c>
      <c r="AO438" s="9">
        <f>IF(COUNTA($B438:$R438)=0,"",IF(AND($I438&lt;&gt;"",COUNTIF(CLIENTES_NOMES,$I438)+COUNTIF(CLIENTES_FANTASIA,$I438)+COUNTIF(FORNECEDORES_NOMES,$I438)+COUNTIF(FORNECEDORES_FANTASIA,$I438)=0),"⚠ Cliente/Fornecedor não cadastrado",IF(AND($G438&lt;&gt;"",COUNTIF(SUBCATEGORIAS_PLANO,$G438)=0),"⚠ Subcategoria fora do plano de contas",IF(OR($Q438="",N($Q438)=0),"⚠ Valor previsto não informado",IF(AND(OR($X438="Pago",$X438="Recebido"),$D438=""),"⚠ Status pago/recebido sem data",IF(AND($D438&lt;&gt;"",N($R438)=0),"⚠ Data de pagamento sem valor realizado",IF(AND(N($P438)&gt;1,N($O438)&gt;N($P438)),"⚠ Nº da parcela maior que o total",IF(AND($C438&lt;&gt;"",$B438&lt;&gt;"",$C438&lt;$B438),"⚠ Vencimento anterior à competência","OK"))))))))</f>
        <v/>
      </c>
    </row>
    <row r="439">
      <c r="A439" s="14" t="inlineStr">
        <is>
          <t>L0434</t>
        </is>
      </c>
      <c r="B439" s="36" t="n">
        <v>46299</v>
      </c>
      <c r="C439" s="36" t="n">
        <v>46329</v>
      </c>
      <c r="D439" s="36" t="n"/>
      <c r="E439" s="14" t="inlineStr">
        <is>
          <t>Saída</t>
        </is>
      </c>
      <c r="F439" s="29" t="inlineStr">
        <is>
          <t>Custos Variáveis</t>
        </is>
      </c>
      <c r="G439" s="29" t="inlineStr">
        <is>
          <t>Mercadorias para Revenda</t>
        </is>
      </c>
      <c r="H439" s="29" t="inlineStr">
        <is>
          <t>Logística</t>
        </is>
      </c>
      <c r="I439" s="29" t="inlineStr">
        <is>
          <t>DISTRIBUIDORA CENTRAL DE ALIMENTOS S/A</t>
        </is>
      </c>
      <c r="J439" s="29" t="inlineStr">
        <is>
          <t>Compra de mercadorias para revenda — NF 5100</t>
        </is>
      </c>
      <c r="K439" s="14" t="inlineStr">
        <is>
          <t>NF 5100</t>
        </is>
      </c>
      <c r="L439" s="29" t="inlineStr">
        <is>
          <t>Banco do Brasil — C/C 12345-6</t>
        </is>
      </c>
      <c r="M439" s="14" t="inlineStr">
        <is>
          <t>Boleto</t>
        </is>
      </c>
      <c r="N439" s="29" t="n"/>
      <c r="O439" s="13" t="n">
        <v>1</v>
      </c>
      <c r="P439" s="13" t="n">
        <v>1</v>
      </c>
      <c r="Q439" s="35" t="n">
        <v>67284.39999999999</v>
      </c>
      <c r="R439" s="35" t="n"/>
      <c r="S439" s="35" t="n"/>
      <c r="T439" s="35" t="n"/>
      <c r="U439" s="35" t="n"/>
      <c r="V439" s="18">
        <f>IF(COUNTA($B439:$R439)=0,"",ROUND(N($R439)+N($S439)+N($T439)-N($U439),2))</f>
        <v/>
      </c>
      <c r="W439" s="18">
        <f>IF(COUNTA($B439:$R439)=0,"",IF(OR($X439="Pago",$X439="Recebido",$X439="Cancelado"),0,ROUND(N($Q439)+N($S439)+N($T439)-N($U439)-N($R439),2)))</f>
        <v/>
      </c>
      <c r="X439" s="14" t="inlineStr">
        <is>
          <t>Previsto</t>
        </is>
      </c>
      <c r="Y439" s="17">
        <f>IF(COUNTA($B439:$R439)=0,"",IF($X439="Cancelado","Cancelado",IF(OR($X439="Pago",$X439="Recebido"),$X439,IF(OR($X439="Parcial",N($R439)&gt;0),"Parcial",IF($C439="","Sem vencimento",IF($C439&lt;TODAY(),"Vencido",IF($C439=TODAY(),"Vence hoje",IF($C439&lt;=TODAY()+7,"Vence em 7 dias",IF($C439&lt;=TODAY()+30,"Vence em 30 dias","Futuro")))))))))</f>
        <v/>
      </c>
      <c r="Z439" s="24">
        <f>IF($B439="","",MONTH($B439))</f>
        <v/>
      </c>
      <c r="AA439" s="24">
        <f>IF($B439="","",YEAR($B439))</f>
        <v/>
      </c>
      <c r="AB439" s="24">
        <f>IF($B439="","",ISOWEEKNUM($B439))</f>
        <v/>
      </c>
      <c r="AC439" s="17">
        <f>IF($B439="","",CHOOSE(WEEKDAY($B439,2),"Segunda","Terça","Quarta","Quinta","Sexta","Sábado","Domingo"))</f>
        <v/>
      </c>
      <c r="AD439" s="17">
        <f>IF($B439="","",TEXT($B439,"MM/AAAA"))</f>
        <v/>
      </c>
      <c r="AE439" s="18">
        <f>IF(COUNTA($B439:$R439)=0,"",IF($X439="Cancelado",0,ROUND(N($Q439)+N($S439)+N($T439)-N($U439),2)))</f>
        <v/>
      </c>
      <c r="AF439" s="9">
        <f>IF($G439="","",IFERROR(INDEX(LINHAS_DRE_PLANO,MATCH($G439,SUBCATEGORIAS_PLANO,0)),"Não classificado"))</f>
        <v/>
      </c>
      <c r="AG439" s="17">
        <f>IF($G439="","",IFERROR(INDEX(TIPOS_FLUXO_PLANO,MATCH($G439,SUBCATEGORIAS_PLANO,0)),"Não classificado"))</f>
        <v/>
      </c>
      <c r="AH439" s="9">
        <f>IF($G439="","",IFERROR(INDEX(GRUPOS_PLANO,MATCH($G439,SUBCATEGORIAS_PLANO,0)),"Não classificado"))</f>
        <v/>
      </c>
      <c r="AI439" s="24">
        <f>IF(OR($C439="",$X439="Pago",$X439="Recebido",$X439="Cancelado"),"",$C439-TODAY())</f>
        <v/>
      </c>
      <c r="AJ439" s="24">
        <f>IF(OR($C439="",$X439="Pago",$X439="Recebido",$X439="Cancelado"),0,MAX(0,TODAY()-$C439))</f>
        <v/>
      </c>
      <c r="AK439" s="24">
        <f>IF($D439="","",$D439-$B439)</f>
        <v/>
      </c>
      <c r="AL439" s="18">
        <f>IF(OR($D439="",$B439=""),"",ROUND(N($R439)*($D439-$B439),2))</f>
        <v/>
      </c>
      <c r="AM439" s="17">
        <f>IF(AND($E439="Saída",$W439&gt;0,$C439&lt;&gt;""),$C439+ROW()/1000000,"")</f>
        <v/>
      </c>
      <c r="AN439" s="17">
        <f>IF(AND($E439="Entrada",$W439&gt;0,$C439&lt;&gt;""),$C439+ROW()/1000000,"")</f>
        <v/>
      </c>
      <c r="AO439" s="9">
        <f>IF(COUNTA($B439:$R439)=0,"",IF(AND($I439&lt;&gt;"",COUNTIF(CLIENTES_NOMES,$I439)+COUNTIF(CLIENTES_FANTASIA,$I439)+COUNTIF(FORNECEDORES_NOMES,$I439)+COUNTIF(FORNECEDORES_FANTASIA,$I439)=0),"⚠ Cliente/Fornecedor não cadastrado",IF(AND($G439&lt;&gt;"",COUNTIF(SUBCATEGORIAS_PLANO,$G439)=0),"⚠ Subcategoria fora do plano de contas",IF(OR($Q439="",N($Q439)=0),"⚠ Valor previsto não informado",IF(AND(OR($X439="Pago",$X439="Recebido"),$D439=""),"⚠ Status pago/recebido sem data",IF(AND($D439&lt;&gt;"",N($R439)=0),"⚠ Data de pagamento sem valor realizado",IF(AND(N($P439)&gt;1,N($O439)&gt;N($P439)),"⚠ Nº da parcela maior que o total",IF(AND($C439&lt;&gt;"",$B439&lt;&gt;"",$C439&lt;$B439),"⚠ Vencimento anterior à competência","OK"))))))))</f>
        <v/>
      </c>
    </row>
    <row r="440">
      <c r="A440" s="14" t="inlineStr">
        <is>
          <t>L0435</t>
        </is>
      </c>
      <c r="B440" s="36" t="n">
        <v>46300</v>
      </c>
      <c r="C440" s="36" t="n">
        <v>46305</v>
      </c>
      <c r="D440" s="36" t="n"/>
      <c r="E440" s="14" t="inlineStr">
        <is>
          <t>Saída</t>
        </is>
      </c>
      <c r="F440" s="29" t="inlineStr">
        <is>
          <t>Despesas Administrativas</t>
        </is>
      </c>
      <c r="G440" s="29" t="inlineStr">
        <is>
          <t>Aluguel</t>
        </is>
      </c>
      <c r="H440" s="29" t="inlineStr">
        <is>
          <t>Administrativo</t>
        </is>
      </c>
      <c r="I440" s="29" t="inlineStr">
        <is>
          <t>IMÓVEIS E LOCAÇÕES PINHEIROS LTDA</t>
        </is>
      </c>
      <c r="J440" s="29" t="inlineStr">
        <is>
          <t>Aluguel do galpão — competência 10/2026</t>
        </is>
      </c>
      <c r="K440" s="14" t="inlineStr">
        <is>
          <t>DOC 8414</t>
        </is>
      </c>
      <c r="L440" s="29" t="inlineStr">
        <is>
          <t>Banco do Brasil — C/C 12345-6</t>
        </is>
      </c>
      <c r="M440" s="14" t="inlineStr">
        <is>
          <t>Boleto</t>
        </is>
      </c>
      <c r="N440" s="29" t="n"/>
      <c r="O440" s="13" t="n">
        <v>1</v>
      </c>
      <c r="P440" s="13" t="n">
        <v>1</v>
      </c>
      <c r="Q440" s="35" t="n">
        <v>7500</v>
      </c>
      <c r="R440" s="35" t="n"/>
      <c r="S440" s="35" t="n"/>
      <c r="T440" s="35" t="n"/>
      <c r="U440" s="35" t="n"/>
      <c r="V440" s="18">
        <f>IF(COUNTA($B440:$R440)=0,"",ROUND(N($R440)+N($S440)+N($T440)-N($U440),2))</f>
        <v/>
      </c>
      <c r="W440" s="18">
        <f>IF(COUNTA($B440:$R440)=0,"",IF(OR($X440="Pago",$X440="Recebido",$X440="Cancelado"),0,ROUND(N($Q440)+N($S440)+N($T440)-N($U440)-N($R440),2)))</f>
        <v/>
      </c>
      <c r="X440" s="14" t="inlineStr">
        <is>
          <t>Previsto</t>
        </is>
      </c>
      <c r="Y440" s="17">
        <f>IF(COUNTA($B440:$R440)=0,"",IF($X440="Cancelado","Cancelado",IF(OR($X440="Pago",$X440="Recebido"),$X440,IF(OR($X440="Parcial",N($R440)&gt;0),"Parcial",IF($C440="","Sem vencimento",IF($C440&lt;TODAY(),"Vencido",IF($C440=TODAY(),"Vence hoje",IF($C440&lt;=TODAY()+7,"Vence em 7 dias",IF($C440&lt;=TODAY()+30,"Vence em 30 dias","Futuro")))))))))</f>
        <v/>
      </c>
      <c r="Z440" s="24">
        <f>IF($B440="","",MONTH($B440))</f>
        <v/>
      </c>
      <c r="AA440" s="24">
        <f>IF($B440="","",YEAR($B440))</f>
        <v/>
      </c>
      <c r="AB440" s="24">
        <f>IF($B440="","",ISOWEEKNUM($B440))</f>
        <v/>
      </c>
      <c r="AC440" s="17">
        <f>IF($B440="","",CHOOSE(WEEKDAY($B440,2),"Segunda","Terça","Quarta","Quinta","Sexta","Sábado","Domingo"))</f>
        <v/>
      </c>
      <c r="AD440" s="17">
        <f>IF($B440="","",TEXT($B440,"MM/AAAA"))</f>
        <v/>
      </c>
      <c r="AE440" s="18">
        <f>IF(COUNTA($B440:$R440)=0,"",IF($X440="Cancelado",0,ROUND(N($Q440)+N($S440)+N($T440)-N($U440),2)))</f>
        <v/>
      </c>
      <c r="AF440" s="9">
        <f>IF($G440="","",IFERROR(INDEX(LINHAS_DRE_PLANO,MATCH($G440,SUBCATEGORIAS_PLANO,0)),"Não classificado"))</f>
        <v/>
      </c>
      <c r="AG440" s="17">
        <f>IF($G440="","",IFERROR(INDEX(TIPOS_FLUXO_PLANO,MATCH($G440,SUBCATEGORIAS_PLANO,0)),"Não classificado"))</f>
        <v/>
      </c>
      <c r="AH440" s="9">
        <f>IF($G440="","",IFERROR(INDEX(GRUPOS_PLANO,MATCH($G440,SUBCATEGORIAS_PLANO,0)),"Não classificado"))</f>
        <v/>
      </c>
      <c r="AI440" s="24">
        <f>IF(OR($C440="",$X440="Pago",$X440="Recebido",$X440="Cancelado"),"",$C440-TODAY())</f>
        <v/>
      </c>
      <c r="AJ440" s="24">
        <f>IF(OR($C440="",$X440="Pago",$X440="Recebido",$X440="Cancelado"),0,MAX(0,TODAY()-$C440))</f>
        <v/>
      </c>
      <c r="AK440" s="24">
        <f>IF($D440="","",$D440-$B440)</f>
        <v/>
      </c>
      <c r="AL440" s="18">
        <f>IF(OR($D440="",$B440=""),"",ROUND(N($R440)*($D440-$B440),2))</f>
        <v/>
      </c>
      <c r="AM440" s="17">
        <f>IF(AND($E440="Saída",$W440&gt;0,$C440&lt;&gt;""),$C440+ROW()/1000000,"")</f>
        <v/>
      </c>
      <c r="AN440" s="17">
        <f>IF(AND($E440="Entrada",$W440&gt;0,$C440&lt;&gt;""),$C440+ROW()/1000000,"")</f>
        <v/>
      </c>
      <c r="AO440" s="9">
        <f>IF(COUNTA($B440:$R440)=0,"",IF(AND($I440&lt;&gt;"",COUNTIF(CLIENTES_NOMES,$I440)+COUNTIF(CLIENTES_FANTASIA,$I440)+COUNTIF(FORNECEDORES_NOMES,$I440)+COUNTIF(FORNECEDORES_FANTASIA,$I440)=0),"⚠ Cliente/Fornecedor não cadastrado",IF(AND($G440&lt;&gt;"",COUNTIF(SUBCATEGORIAS_PLANO,$G440)=0),"⚠ Subcategoria fora do plano de contas",IF(OR($Q440="",N($Q440)=0),"⚠ Valor previsto não informado",IF(AND(OR($X440="Pago",$X440="Recebido"),$D440=""),"⚠ Status pago/recebido sem data",IF(AND($D440&lt;&gt;"",N($R440)=0),"⚠ Data de pagamento sem valor realizado",IF(AND(N($P440)&gt;1,N($O440)&gt;N($P440)),"⚠ Nº da parcela maior que o total",IF(AND($C440&lt;&gt;"",$B440&lt;&gt;"",$C440&lt;$B440),"⚠ Vencimento anterior à competência","OK"))))))))</f>
        <v/>
      </c>
    </row>
    <row r="441">
      <c r="A441" s="14" t="inlineStr">
        <is>
          <t>L0436</t>
        </is>
      </c>
      <c r="B441" s="36" t="n">
        <v>46300</v>
      </c>
      <c r="C441" s="36" t="n">
        <v>46305</v>
      </c>
      <c r="D441" s="36" t="n"/>
      <c r="E441" s="14" t="inlineStr">
        <is>
          <t>Saída</t>
        </is>
      </c>
      <c r="F441" s="29" t="inlineStr">
        <is>
          <t>Despesas com Pessoal</t>
        </is>
      </c>
      <c r="G441" s="29" t="inlineStr">
        <is>
          <t>Salários</t>
        </is>
      </c>
      <c r="H441" s="29" t="inlineStr">
        <is>
          <t>Administrativo</t>
        </is>
      </c>
      <c r="I441" s="29" t="inlineStr">
        <is>
          <t>COLABORADORES — FOLHA DE PAGAMENTO</t>
        </is>
      </c>
      <c r="J441" s="29" t="inlineStr">
        <is>
          <t>Folha de pagamento — 10/2026</t>
        </is>
      </c>
      <c r="K441" s="14" t="inlineStr">
        <is>
          <t>DOC 8420</t>
        </is>
      </c>
      <c r="L441" s="29" t="inlineStr">
        <is>
          <t>Banco do Brasil — C/C 12345-6</t>
        </is>
      </c>
      <c r="M441" s="14" t="inlineStr">
        <is>
          <t>Transferência</t>
        </is>
      </c>
      <c r="N441" s="29" t="n"/>
      <c r="O441" s="13" t="n">
        <v>1</v>
      </c>
      <c r="P441" s="13" t="n">
        <v>1</v>
      </c>
      <c r="Q441" s="35" t="n">
        <v>16000</v>
      </c>
      <c r="R441" s="35" t="n"/>
      <c r="S441" s="35" t="n"/>
      <c r="T441" s="35" t="n"/>
      <c r="U441" s="35" t="n"/>
      <c r="V441" s="18">
        <f>IF(COUNTA($B441:$R441)=0,"",ROUND(N($R441)+N($S441)+N($T441)-N($U441),2))</f>
        <v/>
      </c>
      <c r="W441" s="18">
        <f>IF(COUNTA($B441:$R441)=0,"",IF(OR($X441="Pago",$X441="Recebido",$X441="Cancelado"),0,ROUND(N($Q441)+N($S441)+N($T441)-N($U441)-N($R441),2)))</f>
        <v/>
      </c>
      <c r="X441" s="14" t="inlineStr">
        <is>
          <t>Previsto</t>
        </is>
      </c>
      <c r="Y441" s="17">
        <f>IF(COUNTA($B441:$R441)=0,"",IF($X441="Cancelado","Cancelado",IF(OR($X441="Pago",$X441="Recebido"),$X441,IF(OR($X441="Parcial",N($R441)&gt;0),"Parcial",IF($C441="","Sem vencimento",IF($C441&lt;TODAY(),"Vencido",IF($C441=TODAY(),"Vence hoje",IF($C441&lt;=TODAY()+7,"Vence em 7 dias",IF($C441&lt;=TODAY()+30,"Vence em 30 dias","Futuro")))))))))</f>
        <v/>
      </c>
      <c r="Z441" s="24">
        <f>IF($B441="","",MONTH($B441))</f>
        <v/>
      </c>
      <c r="AA441" s="24">
        <f>IF($B441="","",YEAR($B441))</f>
        <v/>
      </c>
      <c r="AB441" s="24">
        <f>IF($B441="","",ISOWEEKNUM($B441))</f>
        <v/>
      </c>
      <c r="AC441" s="17">
        <f>IF($B441="","",CHOOSE(WEEKDAY($B441,2),"Segunda","Terça","Quarta","Quinta","Sexta","Sábado","Domingo"))</f>
        <v/>
      </c>
      <c r="AD441" s="17">
        <f>IF($B441="","",TEXT($B441,"MM/AAAA"))</f>
        <v/>
      </c>
      <c r="AE441" s="18">
        <f>IF(COUNTA($B441:$R441)=0,"",IF($X441="Cancelado",0,ROUND(N($Q441)+N($S441)+N($T441)-N($U441),2)))</f>
        <v/>
      </c>
      <c r="AF441" s="9">
        <f>IF($G441="","",IFERROR(INDEX(LINHAS_DRE_PLANO,MATCH($G441,SUBCATEGORIAS_PLANO,0)),"Não classificado"))</f>
        <v/>
      </c>
      <c r="AG441" s="17">
        <f>IF($G441="","",IFERROR(INDEX(TIPOS_FLUXO_PLANO,MATCH($G441,SUBCATEGORIAS_PLANO,0)),"Não classificado"))</f>
        <v/>
      </c>
      <c r="AH441" s="9">
        <f>IF($G441="","",IFERROR(INDEX(GRUPOS_PLANO,MATCH($G441,SUBCATEGORIAS_PLANO,0)),"Não classificado"))</f>
        <v/>
      </c>
      <c r="AI441" s="24">
        <f>IF(OR($C441="",$X441="Pago",$X441="Recebido",$X441="Cancelado"),"",$C441-TODAY())</f>
        <v/>
      </c>
      <c r="AJ441" s="24">
        <f>IF(OR($C441="",$X441="Pago",$X441="Recebido",$X441="Cancelado"),0,MAX(0,TODAY()-$C441))</f>
        <v/>
      </c>
      <c r="AK441" s="24">
        <f>IF($D441="","",$D441-$B441)</f>
        <v/>
      </c>
      <c r="AL441" s="18">
        <f>IF(OR($D441="",$B441=""),"",ROUND(N($R441)*($D441-$B441),2))</f>
        <v/>
      </c>
      <c r="AM441" s="17">
        <f>IF(AND($E441="Saída",$W441&gt;0,$C441&lt;&gt;""),$C441+ROW()/1000000,"")</f>
        <v/>
      </c>
      <c r="AN441" s="17">
        <f>IF(AND($E441="Entrada",$W441&gt;0,$C441&lt;&gt;""),$C441+ROW()/1000000,"")</f>
        <v/>
      </c>
      <c r="AO441" s="9">
        <f>IF(COUNTA($B441:$R441)=0,"",IF(AND($I441&lt;&gt;"",COUNTIF(CLIENTES_NOMES,$I441)+COUNTIF(CLIENTES_FANTASIA,$I441)+COUNTIF(FORNECEDORES_NOMES,$I441)+COUNTIF(FORNECEDORES_FANTASIA,$I441)=0),"⚠ Cliente/Fornecedor não cadastrado",IF(AND($G441&lt;&gt;"",COUNTIF(SUBCATEGORIAS_PLANO,$G441)=0),"⚠ Subcategoria fora do plano de contas",IF(OR($Q441="",N($Q441)=0),"⚠ Valor previsto não informado",IF(AND(OR($X441="Pago",$X441="Recebido"),$D441=""),"⚠ Status pago/recebido sem data",IF(AND($D441&lt;&gt;"",N($R441)=0),"⚠ Data de pagamento sem valor realizado",IF(AND(N($P441)&gt;1,N($O441)&gt;N($P441)),"⚠ Nº da parcela maior que o total",IF(AND($C441&lt;&gt;"",$B441&lt;&gt;"",$C441&lt;$B441),"⚠ Vencimento anterior à competência","OK"))))))))</f>
        <v/>
      </c>
    </row>
    <row r="442">
      <c r="A442" s="14" t="inlineStr">
        <is>
          <t>L0437</t>
        </is>
      </c>
      <c r="B442" s="36" t="n">
        <v>46300</v>
      </c>
      <c r="C442" s="36" t="n">
        <v>46305</v>
      </c>
      <c r="D442" s="36" t="n"/>
      <c r="E442" s="14" t="inlineStr">
        <is>
          <t>Saída</t>
        </is>
      </c>
      <c r="F442" s="29" t="inlineStr">
        <is>
          <t>Despesas com Pessoal</t>
        </is>
      </c>
      <c r="G442" s="29" t="inlineStr">
        <is>
          <t>Benefícios (VT/VA/Plano de Saúde)</t>
        </is>
      </c>
      <c r="H442" s="29" t="inlineStr">
        <is>
          <t>Administrativo</t>
        </is>
      </c>
      <c r="I442" s="29" t="inlineStr">
        <is>
          <t>BENEFÍCIOS BRASIL ADMINISTRADORA LTDA</t>
        </is>
      </c>
      <c r="J442" s="29" t="inlineStr">
        <is>
          <t>Vale-transporte, alimentação e saúde</t>
        </is>
      </c>
      <c r="K442" s="14" t="inlineStr">
        <is>
          <t>DOC 8422</t>
        </is>
      </c>
      <c r="L442" s="29" t="inlineStr">
        <is>
          <t>Banco do Brasil — C/C 12345-6</t>
        </is>
      </c>
      <c r="M442" s="14" t="inlineStr">
        <is>
          <t>Transferência</t>
        </is>
      </c>
      <c r="N442" s="29" t="n"/>
      <c r="O442" s="13" t="n">
        <v>1</v>
      </c>
      <c r="P442" s="13" t="n">
        <v>1</v>
      </c>
      <c r="Q442" s="35" t="n">
        <v>1900</v>
      </c>
      <c r="R442" s="35" t="n"/>
      <c r="S442" s="35" t="n"/>
      <c r="T442" s="35" t="n"/>
      <c r="U442" s="35" t="n"/>
      <c r="V442" s="18">
        <f>IF(COUNTA($B442:$R442)=0,"",ROUND(N($R442)+N($S442)+N($T442)-N($U442),2))</f>
        <v/>
      </c>
      <c r="W442" s="18">
        <f>IF(COUNTA($B442:$R442)=0,"",IF(OR($X442="Pago",$X442="Recebido",$X442="Cancelado"),0,ROUND(N($Q442)+N($S442)+N($T442)-N($U442)-N($R442),2)))</f>
        <v/>
      </c>
      <c r="X442" s="14" t="inlineStr">
        <is>
          <t>Previsto</t>
        </is>
      </c>
      <c r="Y442" s="17">
        <f>IF(COUNTA($B442:$R442)=0,"",IF($X442="Cancelado","Cancelado",IF(OR($X442="Pago",$X442="Recebido"),$X442,IF(OR($X442="Parcial",N($R442)&gt;0),"Parcial",IF($C442="","Sem vencimento",IF($C442&lt;TODAY(),"Vencido",IF($C442=TODAY(),"Vence hoje",IF($C442&lt;=TODAY()+7,"Vence em 7 dias",IF($C442&lt;=TODAY()+30,"Vence em 30 dias","Futuro")))))))))</f>
        <v/>
      </c>
      <c r="Z442" s="24">
        <f>IF($B442="","",MONTH($B442))</f>
        <v/>
      </c>
      <c r="AA442" s="24">
        <f>IF($B442="","",YEAR($B442))</f>
        <v/>
      </c>
      <c r="AB442" s="24">
        <f>IF($B442="","",ISOWEEKNUM($B442))</f>
        <v/>
      </c>
      <c r="AC442" s="17">
        <f>IF($B442="","",CHOOSE(WEEKDAY($B442,2),"Segunda","Terça","Quarta","Quinta","Sexta","Sábado","Domingo"))</f>
        <v/>
      </c>
      <c r="AD442" s="17">
        <f>IF($B442="","",TEXT($B442,"MM/AAAA"))</f>
        <v/>
      </c>
      <c r="AE442" s="18">
        <f>IF(COUNTA($B442:$R442)=0,"",IF($X442="Cancelado",0,ROUND(N($Q442)+N($S442)+N($T442)-N($U442),2)))</f>
        <v/>
      </c>
      <c r="AF442" s="9">
        <f>IF($G442="","",IFERROR(INDEX(LINHAS_DRE_PLANO,MATCH($G442,SUBCATEGORIAS_PLANO,0)),"Não classificado"))</f>
        <v/>
      </c>
      <c r="AG442" s="17">
        <f>IF($G442="","",IFERROR(INDEX(TIPOS_FLUXO_PLANO,MATCH($G442,SUBCATEGORIAS_PLANO,0)),"Não classificado"))</f>
        <v/>
      </c>
      <c r="AH442" s="9">
        <f>IF($G442="","",IFERROR(INDEX(GRUPOS_PLANO,MATCH($G442,SUBCATEGORIAS_PLANO,0)),"Não classificado"))</f>
        <v/>
      </c>
      <c r="AI442" s="24">
        <f>IF(OR($C442="",$X442="Pago",$X442="Recebido",$X442="Cancelado"),"",$C442-TODAY())</f>
        <v/>
      </c>
      <c r="AJ442" s="24">
        <f>IF(OR($C442="",$X442="Pago",$X442="Recebido",$X442="Cancelado"),0,MAX(0,TODAY()-$C442))</f>
        <v/>
      </c>
      <c r="AK442" s="24">
        <f>IF($D442="","",$D442-$B442)</f>
        <v/>
      </c>
      <c r="AL442" s="18">
        <f>IF(OR($D442="",$B442=""),"",ROUND(N($R442)*($D442-$B442),2))</f>
        <v/>
      </c>
      <c r="AM442" s="17">
        <f>IF(AND($E442="Saída",$W442&gt;0,$C442&lt;&gt;""),$C442+ROW()/1000000,"")</f>
        <v/>
      </c>
      <c r="AN442" s="17">
        <f>IF(AND($E442="Entrada",$W442&gt;0,$C442&lt;&gt;""),$C442+ROW()/1000000,"")</f>
        <v/>
      </c>
      <c r="AO442" s="9">
        <f>IF(COUNTA($B442:$R442)=0,"",IF(AND($I442&lt;&gt;"",COUNTIF(CLIENTES_NOMES,$I442)+COUNTIF(CLIENTES_FANTASIA,$I442)+COUNTIF(FORNECEDORES_NOMES,$I442)+COUNTIF(FORNECEDORES_FANTASIA,$I442)=0),"⚠ Cliente/Fornecedor não cadastrado",IF(AND($G442&lt;&gt;"",COUNTIF(SUBCATEGORIAS_PLANO,$G442)=0),"⚠ Subcategoria fora do plano de contas",IF(OR($Q442="",N($Q442)=0),"⚠ Valor previsto não informado",IF(AND(OR($X442="Pago",$X442="Recebido"),$D442=""),"⚠ Status pago/recebido sem data",IF(AND($D442&lt;&gt;"",N($R442)=0),"⚠ Data de pagamento sem valor realizado",IF(AND(N($P442)&gt;1,N($O442)&gt;N($P442)),"⚠ Nº da parcela maior que o total",IF(AND($C442&lt;&gt;"",$B442&lt;&gt;"",$C442&lt;$B442),"⚠ Vencimento anterior à competência","OK"))))))))</f>
        <v/>
      </c>
    </row>
    <row r="443">
      <c r="A443" s="14" t="inlineStr">
        <is>
          <t>L0438</t>
        </is>
      </c>
      <c r="B443" s="36" t="n">
        <v>46300</v>
      </c>
      <c r="C443" s="36" t="n">
        <v>46305</v>
      </c>
      <c r="D443" s="36" t="n"/>
      <c r="E443" s="14" t="inlineStr">
        <is>
          <t>Saída</t>
        </is>
      </c>
      <c r="F443" s="29" t="inlineStr">
        <is>
          <t>Despesas com Pessoal</t>
        </is>
      </c>
      <c r="G443" s="29" t="inlineStr">
        <is>
          <t>Pró-labore</t>
        </is>
      </c>
      <c r="H443" s="29" t="inlineStr">
        <is>
          <t>Diretoria</t>
        </is>
      </c>
      <c r="I443" s="29" t="inlineStr">
        <is>
          <t>SÓCIOS — PRÓ-LABORE E DISTRIBUIÇÕES</t>
        </is>
      </c>
      <c r="J443" s="29" t="inlineStr">
        <is>
          <t>Pró-labore dos sócios — 10/2026</t>
        </is>
      </c>
      <c r="K443" s="14" t="inlineStr">
        <is>
          <t>DOC 8423</t>
        </is>
      </c>
      <c r="L443" s="29" t="inlineStr">
        <is>
          <t>Banco do Brasil — C/C 12345-6</t>
        </is>
      </c>
      <c r="M443" s="14" t="inlineStr">
        <is>
          <t>Transferência</t>
        </is>
      </c>
      <c r="N443" s="29" t="n"/>
      <c r="O443" s="13" t="n">
        <v>1</v>
      </c>
      <c r="P443" s="13" t="n">
        <v>1</v>
      </c>
      <c r="Q443" s="35" t="n">
        <v>9500</v>
      </c>
      <c r="R443" s="35" t="n"/>
      <c r="S443" s="35" t="n"/>
      <c r="T443" s="35" t="n"/>
      <c r="U443" s="35" t="n"/>
      <c r="V443" s="18">
        <f>IF(COUNTA($B443:$R443)=0,"",ROUND(N($R443)+N($S443)+N($T443)-N($U443),2))</f>
        <v/>
      </c>
      <c r="W443" s="18">
        <f>IF(COUNTA($B443:$R443)=0,"",IF(OR($X443="Pago",$X443="Recebido",$X443="Cancelado"),0,ROUND(N($Q443)+N($S443)+N($T443)-N($U443)-N($R443),2)))</f>
        <v/>
      </c>
      <c r="X443" s="14" t="inlineStr">
        <is>
          <t>Previsto</t>
        </is>
      </c>
      <c r="Y443" s="17">
        <f>IF(COUNTA($B443:$R443)=0,"",IF($X443="Cancelado","Cancelado",IF(OR($X443="Pago",$X443="Recebido"),$X443,IF(OR($X443="Parcial",N($R443)&gt;0),"Parcial",IF($C443="","Sem vencimento",IF($C443&lt;TODAY(),"Vencido",IF($C443=TODAY(),"Vence hoje",IF($C443&lt;=TODAY()+7,"Vence em 7 dias",IF($C443&lt;=TODAY()+30,"Vence em 30 dias","Futuro")))))))))</f>
        <v/>
      </c>
      <c r="Z443" s="24">
        <f>IF($B443="","",MONTH($B443))</f>
        <v/>
      </c>
      <c r="AA443" s="24">
        <f>IF($B443="","",YEAR($B443))</f>
        <v/>
      </c>
      <c r="AB443" s="24">
        <f>IF($B443="","",ISOWEEKNUM($B443))</f>
        <v/>
      </c>
      <c r="AC443" s="17">
        <f>IF($B443="","",CHOOSE(WEEKDAY($B443,2),"Segunda","Terça","Quarta","Quinta","Sexta","Sábado","Domingo"))</f>
        <v/>
      </c>
      <c r="AD443" s="17">
        <f>IF($B443="","",TEXT($B443,"MM/AAAA"))</f>
        <v/>
      </c>
      <c r="AE443" s="18">
        <f>IF(COUNTA($B443:$R443)=0,"",IF($X443="Cancelado",0,ROUND(N($Q443)+N($S443)+N($T443)-N($U443),2)))</f>
        <v/>
      </c>
      <c r="AF443" s="9">
        <f>IF($G443="","",IFERROR(INDEX(LINHAS_DRE_PLANO,MATCH($G443,SUBCATEGORIAS_PLANO,0)),"Não classificado"))</f>
        <v/>
      </c>
      <c r="AG443" s="17">
        <f>IF($G443="","",IFERROR(INDEX(TIPOS_FLUXO_PLANO,MATCH($G443,SUBCATEGORIAS_PLANO,0)),"Não classificado"))</f>
        <v/>
      </c>
      <c r="AH443" s="9">
        <f>IF($G443="","",IFERROR(INDEX(GRUPOS_PLANO,MATCH($G443,SUBCATEGORIAS_PLANO,0)),"Não classificado"))</f>
        <v/>
      </c>
      <c r="AI443" s="24">
        <f>IF(OR($C443="",$X443="Pago",$X443="Recebido",$X443="Cancelado"),"",$C443-TODAY())</f>
        <v/>
      </c>
      <c r="AJ443" s="24">
        <f>IF(OR($C443="",$X443="Pago",$X443="Recebido",$X443="Cancelado"),0,MAX(0,TODAY()-$C443))</f>
        <v/>
      </c>
      <c r="AK443" s="24">
        <f>IF($D443="","",$D443-$B443)</f>
        <v/>
      </c>
      <c r="AL443" s="18">
        <f>IF(OR($D443="",$B443=""),"",ROUND(N($R443)*($D443-$B443),2))</f>
        <v/>
      </c>
      <c r="AM443" s="17">
        <f>IF(AND($E443="Saída",$W443&gt;0,$C443&lt;&gt;""),$C443+ROW()/1000000,"")</f>
        <v/>
      </c>
      <c r="AN443" s="17">
        <f>IF(AND($E443="Entrada",$W443&gt;0,$C443&lt;&gt;""),$C443+ROW()/1000000,"")</f>
        <v/>
      </c>
      <c r="AO443" s="9">
        <f>IF(COUNTA($B443:$R443)=0,"",IF(AND($I443&lt;&gt;"",COUNTIF(CLIENTES_NOMES,$I443)+COUNTIF(CLIENTES_FANTASIA,$I443)+COUNTIF(FORNECEDORES_NOMES,$I443)+COUNTIF(FORNECEDORES_FANTASIA,$I443)=0),"⚠ Cliente/Fornecedor não cadastrado",IF(AND($G443&lt;&gt;"",COUNTIF(SUBCATEGORIAS_PLANO,$G443)=0),"⚠ Subcategoria fora do plano de contas",IF(OR($Q443="",N($Q443)=0),"⚠ Valor previsto não informado",IF(AND(OR($X443="Pago",$X443="Recebido"),$D443=""),"⚠ Status pago/recebido sem data",IF(AND($D443&lt;&gt;"",N($R443)=0),"⚠ Data de pagamento sem valor realizado",IF(AND(N($P443)&gt;1,N($O443)&gt;N($P443)),"⚠ Nº da parcela maior que o total",IF(AND($C443&lt;&gt;"",$B443&lt;&gt;"",$C443&lt;$B443),"⚠ Vencimento anterior à competência","OK"))))))))</f>
        <v/>
      </c>
    </row>
    <row r="444">
      <c r="A444" s="14" t="inlineStr">
        <is>
          <t>L0439</t>
        </is>
      </c>
      <c r="B444" s="36" t="n">
        <v>46302</v>
      </c>
      <c r="C444" s="36" t="n">
        <v>46309</v>
      </c>
      <c r="D444" s="36" t="n"/>
      <c r="E444" s="14" t="inlineStr">
        <is>
          <t>Saída</t>
        </is>
      </c>
      <c r="F444" s="29" t="inlineStr">
        <is>
          <t>Despesas com Pessoal</t>
        </is>
      </c>
      <c r="G444" s="29" t="inlineStr">
        <is>
          <t>Encargos Sociais (FGTS/INSS)</t>
        </is>
      </c>
      <c r="H444" s="29" t="inlineStr">
        <is>
          <t>Administrativo</t>
        </is>
      </c>
      <c r="I444" s="29" t="inlineStr">
        <is>
          <t>RECEITA FEDERAL DO BRASIL</t>
        </is>
      </c>
      <c r="J444" s="29" t="inlineStr">
        <is>
          <t>FGTS e INSS — competência 10/2026</t>
        </is>
      </c>
      <c r="K444" s="14" t="inlineStr">
        <is>
          <t>DOC 8421</t>
        </is>
      </c>
      <c r="L444" s="29" t="inlineStr">
        <is>
          <t>Itaú Unibanco — C/C 45678-9</t>
        </is>
      </c>
      <c r="M444" s="14" t="inlineStr">
        <is>
          <t>Transferência</t>
        </is>
      </c>
      <c r="N444" s="29" t="n"/>
      <c r="O444" s="13" t="n">
        <v>1</v>
      </c>
      <c r="P444" s="13" t="n">
        <v>1</v>
      </c>
      <c r="Q444" s="35" t="n">
        <v>5600</v>
      </c>
      <c r="R444" s="35" t="n"/>
      <c r="S444" s="35" t="n"/>
      <c r="T444" s="35" t="n"/>
      <c r="U444" s="35" t="n"/>
      <c r="V444" s="18">
        <f>IF(COUNTA($B444:$R444)=0,"",ROUND(N($R444)+N($S444)+N($T444)-N($U444),2))</f>
        <v/>
      </c>
      <c r="W444" s="18">
        <f>IF(COUNTA($B444:$R444)=0,"",IF(OR($X444="Pago",$X444="Recebido",$X444="Cancelado"),0,ROUND(N($Q444)+N($S444)+N($T444)-N($U444)-N($R444),2)))</f>
        <v/>
      </c>
      <c r="X444" s="14" t="inlineStr">
        <is>
          <t>Previsto</t>
        </is>
      </c>
      <c r="Y444" s="17">
        <f>IF(COUNTA($B444:$R444)=0,"",IF($X444="Cancelado","Cancelado",IF(OR($X444="Pago",$X444="Recebido"),$X444,IF(OR($X444="Parcial",N($R444)&gt;0),"Parcial",IF($C444="","Sem vencimento",IF($C444&lt;TODAY(),"Vencido",IF($C444=TODAY(),"Vence hoje",IF($C444&lt;=TODAY()+7,"Vence em 7 dias",IF($C444&lt;=TODAY()+30,"Vence em 30 dias","Futuro")))))))))</f>
        <v/>
      </c>
      <c r="Z444" s="24">
        <f>IF($B444="","",MONTH($B444))</f>
        <v/>
      </c>
      <c r="AA444" s="24">
        <f>IF($B444="","",YEAR($B444))</f>
        <v/>
      </c>
      <c r="AB444" s="24">
        <f>IF($B444="","",ISOWEEKNUM($B444))</f>
        <v/>
      </c>
      <c r="AC444" s="17">
        <f>IF($B444="","",CHOOSE(WEEKDAY($B444,2),"Segunda","Terça","Quarta","Quinta","Sexta","Sábado","Domingo"))</f>
        <v/>
      </c>
      <c r="AD444" s="17">
        <f>IF($B444="","",TEXT($B444,"MM/AAAA"))</f>
        <v/>
      </c>
      <c r="AE444" s="18">
        <f>IF(COUNTA($B444:$R444)=0,"",IF($X444="Cancelado",0,ROUND(N($Q444)+N($S444)+N($T444)-N($U444),2)))</f>
        <v/>
      </c>
      <c r="AF444" s="9">
        <f>IF($G444="","",IFERROR(INDEX(LINHAS_DRE_PLANO,MATCH($G444,SUBCATEGORIAS_PLANO,0)),"Não classificado"))</f>
        <v/>
      </c>
      <c r="AG444" s="17">
        <f>IF($G444="","",IFERROR(INDEX(TIPOS_FLUXO_PLANO,MATCH($G444,SUBCATEGORIAS_PLANO,0)),"Não classificado"))</f>
        <v/>
      </c>
      <c r="AH444" s="9">
        <f>IF($G444="","",IFERROR(INDEX(GRUPOS_PLANO,MATCH($G444,SUBCATEGORIAS_PLANO,0)),"Não classificado"))</f>
        <v/>
      </c>
      <c r="AI444" s="24">
        <f>IF(OR($C444="",$X444="Pago",$X444="Recebido",$X444="Cancelado"),"",$C444-TODAY())</f>
        <v/>
      </c>
      <c r="AJ444" s="24">
        <f>IF(OR($C444="",$X444="Pago",$X444="Recebido",$X444="Cancelado"),0,MAX(0,TODAY()-$C444))</f>
        <v/>
      </c>
      <c r="AK444" s="24">
        <f>IF($D444="","",$D444-$B444)</f>
        <v/>
      </c>
      <c r="AL444" s="18">
        <f>IF(OR($D444="",$B444=""),"",ROUND(N($R444)*($D444-$B444),2))</f>
        <v/>
      </c>
      <c r="AM444" s="17">
        <f>IF(AND($E444="Saída",$W444&gt;0,$C444&lt;&gt;""),$C444+ROW()/1000000,"")</f>
        <v/>
      </c>
      <c r="AN444" s="17">
        <f>IF(AND($E444="Entrada",$W444&gt;0,$C444&lt;&gt;""),$C444+ROW()/1000000,"")</f>
        <v/>
      </c>
      <c r="AO444" s="9">
        <f>IF(COUNTA($B444:$R444)=0,"",IF(AND($I444&lt;&gt;"",COUNTIF(CLIENTES_NOMES,$I444)+COUNTIF(CLIENTES_FANTASIA,$I444)+COUNTIF(FORNECEDORES_NOMES,$I444)+COUNTIF(FORNECEDORES_FANTASIA,$I444)=0),"⚠ Cliente/Fornecedor não cadastrado",IF(AND($G444&lt;&gt;"",COUNTIF(SUBCATEGORIAS_PLANO,$G444)=0),"⚠ Subcategoria fora do plano de contas",IF(OR($Q444="",N($Q444)=0),"⚠ Valor previsto não informado",IF(AND(OR($X444="Pago",$X444="Recebido"),$D444=""),"⚠ Status pago/recebido sem data",IF(AND($D444&lt;&gt;"",N($R444)=0),"⚠ Data de pagamento sem valor realizado",IF(AND(N($P444)&gt;1,N($O444)&gt;N($P444)),"⚠ Nº da parcela maior que o total",IF(AND($C444&lt;&gt;"",$B444&lt;&gt;"",$C444&lt;$B444),"⚠ Vencimento anterior à competência","OK"))))))))</f>
        <v/>
      </c>
    </row>
    <row r="445">
      <c r="A445" s="14" t="inlineStr">
        <is>
          <t>L0440</t>
        </is>
      </c>
      <c r="B445" s="36" t="n">
        <v>46303</v>
      </c>
      <c r="C445" s="36" t="n">
        <v>46323</v>
      </c>
      <c r="D445" s="36" t="n"/>
      <c r="E445" s="14" t="inlineStr">
        <is>
          <t>Saída</t>
        </is>
      </c>
      <c r="F445" s="29" t="inlineStr">
        <is>
          <t>Despesas Administrativas</t>
        </is>
      </c>
      <c r="G445" s="29" t="inlineStr">
        <is>
          <t>Sistemas e Softwares</t>
        </is>
      </c>
      <c r="H445" s="29" t="inlineStr">
        <is>
          <t>Administrativo</t>
        </is>
      </c>
      <c r="I445" s="29" t="inlineStr">
        <is>
          <t>TECNOLOGIA E SISTEMAS ABC LTDA</t>
        </is>
      </c>
      <c r="J445" s="29" t="inlineStr">
        <is>
          <t>Assinatura ERP, NF-e e BI</t>
        </is>
      </c>
      <c r="K445" s="14" t="inlineStr">
        <is>
          <t>DOC 8419</t>
        </is>
      </c>
      <c r="L445" s="29" t="inlineStr">
        <is>
          <t>Nubank PJ — C/C 9876543-2</t>
        </is>
      </c>
      <c r="M445" s="14" t="inlineStr">
        <is>
          <t>Cartão de crédito</t>
        </is>
      </c>
      <c r="N445" s="29" t="inlineStr">
        <is>
          <t>Cartão Mastercard Nubank PJ</t>
        </is>
      </c>
      <c r="O445" s="13" t="n">
        <v>1</v>
      </c>
      <c r="P445" s="13" t="n">
        <v>1</v>
      </c>
      <c r="Q445" s="35" t="n">
        <v>850</v>
      </c>
      <c r="R445" s="35" t="n"/>
      <c r="S445" s="35" t="n"/>
      <c r="T445" s="35" t="n"/>
      <c r="U445" s="35" t="n"/>
      <c r="V445" s="18">
        <f>IF(COUNTA($B445:$R445)=0,"",ROUND(N($R445)+N($S445)+N($T445)-N($U445),2))</f>
        <v/>
      </c>
      <c r="W445" s="18">
        <f>IF(COUNTA($B445:$R445)=0,"",IF(OR($X445="Pago",$X445="Recebido",$X445="Cancelado"),0,ROUND(N($Q445)+N($S445)+N($T445)-N($U445)-N($R445),2)))</f>
        <v/>
      </c>
      <c r="X445" s="14" t="inlineStr">
        <is>
          <t>Previsto</t>
        </is>
      </c>
      <c r="Y445" s="17">
        <f>IF(COUNTA($B445:$R445)=0,"",IF($X445="Cancelado","Cancelado",IF(OR($X445="Pago",$X445="Recebido"),$X445,IF(OR($X445="Parcial",N($R445)&gt;0),"Parcial",IF($C445="","Sem vencimento",IF($C445&lt;TODAY(),"Vencido",IF($C445=TODAY(),"Vence hoje",IF($C445&lt;=TODAY()+7,"Vence em 7 dias",IF($C445&lt;=TODAY()+30,"Vence em 30 dias","Futuro")))))))))</f>
        <v/>
      </c>
      <c r="Z445" s="24">
        <f>IF($B445="","",MONTH($B445))</f>
        <v/>
      </c>
      <c r="AA445" s="24">
        <f>IF($B445="","",YEAR($B445))</f>
        <v/>
      </c>
      <c r="AB445" s="24">
        <f>IF($B445="","",ISOWEEKNUM($B445))</f>
        <v/>
      </c>
      <c r="AC445" s="17">
        <f>IF($B445="","",CHOOSE(WEEKDAY($B445,2),"Segunda","Terça","Quarta","Quinta","Sexta","Sábado","Domingo"))</f>
        <v/>
      </c>
      <c r="AD445" s="17">
        <f>IF($B445="","",TEXT($B445,"MM/AAAA"))</f>
        <v/>
      </c>
      <c r="AE445" s="18">
        <f>IF(COUNTA($B445:$R445)=0,"",IF($X445="Cancelado",0,ROUND(N($Q445)+N($S445)+N($T445)-N($U445),2)))</f>
        <v/>
      </c>
      <c r="AF445" s="9">
        <f>IF($G445="","",IFERROR(INDEX(LINHAS_DRE_PLANO,MATCH($G445,SUBCATEGORIAS_PLANO,0)),"Não classificado"))</f>
        <v/>
      </c>
      <c r="AG445" s="17">
        <f>IF($G445="","",IFERROR(INDEX(TIPOS_FLUXO_PLANO,MATCH($G445,SUBCATEGORIAS_PLANO,0)),"Não classificado"))</f>
        <v/>
      </c>
      <c r="AH445" s="9">
        <f>IF($G445="","",IFERROR(INDEX(GRUPOS_PLANO,MATCH($G445,SUBCATEGORIAS_PLANO,0)),"Não classificado"))</f>
        <v/>
      </c>
      <c r="AI445" s="24">
        <f>IF(OR($C445="",$X445="Pago",$X445="Recebido",$X445="Cancelado"),"",$C445-TODAY())</f>
        <v/>
      </c>
      <c r="AJ445" s="24">
        <f>IF(OR($C445="",$X445="Pago",$X445="Recebido",$X445="Cancelado"),0,MAX(0,TODAY()-$C445))</f>
        <v/>
      </c>
      <c r="AK445" s="24">
        <f>IF($D445="","",$D445-$B445)</f>
        <v/>
      </c>
      <c r="AL445" s="18">
        <f>IF(OR($D445="",$B445=""),"",ROUND(N($R445)*($D445-$B445),2))</f>
        <v/>
      </c>
      <c r="AM445" s="17">
        <f>IF(AND($E445="Saída",$W445&gt;0,$C445&lt;&gt;""),$C445+ROW()/1000000,"")</f>
        <v/>
      </c>
      <c r="AN445" s="17">
        <f>IF(AND($E445="Entrada",$W445&gt;0,$C445&lt;&gt;""),$C445+ROW()/1000000,"")</f>
        <v/>
      </c>
      <c r="AO445" s="9">
        <f>IF(COUNTA($B445:$R445)=0,"",IF(AND($I445&lt;&gt;"",COUNTIF(CLIENTES_NOMES,$I445)+COUNTIF(CLIENTES_FANTASIA,$I445)+COUNTIF(FORNECEDORES_NOMES,$I445)+COUNTIF(FORNECEDORES_FANTASIA,$I445)=0),"⚠ Cliente/Fornecedor não cadastrado",IF(AND($G445&lt;&gt;"",COUNTIF(SUBCATEGORIAS_PLANO,$G445)=0),"⚠ Subcategoria fora do plano de contas",IF(OR($Q445="",N($Q445)=0),"⚠ Valor previsto não informado",IF(AND(OR($X445="Pago",$X445="Recebido"),$D445=""),"⚠ Status pago/recebido sem data",IF(AND($D445&lt;&gt;"",N($R445)=0),"⚠ Data de pagamento sem valor realizado",IF(AND(N($P445)&gt;1,N($O445)&gt;N($P445)),"⚠ Nº da parcela maior que o total",IF(AND($C445&lt;&gt;"",$B445&lt;&gt;"",$C445&lt;$B445),"⚠ Vencimento anterior à competência","OK"))))))))</f>
        <v/>
      </c>
    </row>
    <row r="446">
      <c r="A446" s="14" t="inlineStr">
        <is>
          <t>L0441</t>
        </is>
      </c>
      <c r="B446" s="36" t="n">
        <v>46304</v>
      </c>
      <c r="C446" s="36" t="n">
        <v>46319</v>
      </c>
      <c r="D446" s="36" t="n"/>
      <c r="E446" s="14" t="inlineStr">
        <is>
          <t>Saída</t>
        </is>
      </c>
      <c r="F446" s="29" t="inlineStr">
        <is>
          <t>Custos Variáveis</t>
        </is>
      </c>
      <c r="G446" s="29" t="inlineStr">
        <is>
          <t>Matéria-prima</t>
        </is>
      </c>
      <c r="H446" s="29" t="inlineStr">
        <is>
          <t>Produção</t>
        </is>
      </c>
      <c r="I446" s="29" t="inlineStr">
        <is>
          <t>DISTRIBUIDORA CENTRAL DE ALIMENTOS S/A</t>
        </is>
      </c>
      <c r="J446" s="29" t="inlineStr">
        <is>
          <t>Insumos e matéria-prima para beneficiamento</t>
        </is>
      </c>
      <c r="K446" s="14" t="inlineStr">
        <is>
          <t>NF 5910</t>
        </is>
      </c>
      <c r="L446" s="29" t="inlineStr">
        <is>
          <t>Banco do Brasil — C/C 12345-6</t>
        </is>
      </c>
      <c r="M446" s="14" t="inlineStr">
        <is>
          <t>Boleto</t>
        </is>
      </c>
      <c r="N446" s="29" t="n"/>
      <c r="O446" s="13" t="n">
        <v>1</v>
      </c>
      <c r="P446" s="13" t="n">
        <v>1</v>
      </c>
      <c r="Q446" s="35" t="n">
        <v>10490.39</v>
      </c>
      <c r="R446" s="35" t="n"/>
      <c r="S446" s="35" t="n"/>
      <c r="T446" s="35" t="n"/>
      <c r="U446" s="35" t="n"/>
      <c r="V446" s="18">
        <f>IF(COUNTA($B446:$R446)=0,"",ROUND(N($R446)+N($S446)+N($T446)-N($U446),2))</f>
        <v/>
      </c>
      <c r="W446" s="18">
        <f>IF(COUNTA($B446:$R446)=0,"",IF(OR($X446="Pago",$X446="Recebido",$X446="Cancelado"),0,ROUND(N($Q446)+N($S446)+N($T446)-N($U446)-N($R446),2)))</f>
        <v/>
      </c>
      <c r="X446" s="14" t="inlineStr">
        <is>
          <t>Previsto</t>
        </is>
      </c>
      <c r="Y446" s="17">
        <f>IF(COUNTA($B446:$R446)=0,"",IF($X446="Cancelado","Cancelado",IF(OR($X446="Pago",$X446="Recebido"),$X446,IF(OR($X446="Parcial",N($R446)&gt;0),"Parcial",IF($C446="","Sem vencimento",IF($C446&lt;TODAY(),"Vencido",IF($C446=TODAY(),"Vence hoje",IF($C446&lt;=TODAY()+7,"Vence em 7 dias",IF($C446&lt;=TODAY()+30,"Vence em 30 dias","Futuro")))))))))</f>
        <v/>
      </c>
      <c r="Z446" s="24">
        <f>IF($B446="","",MONTH($B446))</f>
        <v/>
      </c>
      <c r="AA446" s="24">
        <f>IF($B446="","",YEAR($B446))</f>
        <v/>
      </c>
      <c r="AB446" s="24">
        <f>IF($B446="","",ISOWEEKNUM($B446))</f>
        <v/>
      </c>
      <c r="AC446" s="17">
        <f>IF($B446="","",CHOOSE(WEEKDAY($B446,2),"Segunda","Terça","Quarta","Quinta","Sexta","Sábado","Domingo"))</f>
        <v/>
      </c>
      <c r="AD446" s="17">
        <f>IF($B446="","",TEXT($B446,"MM/AAAA"))</f>
        <v/>
      </c>
      <c r="AE446" s="18">
        <f>IF(COUNTA($B446:$R446)=0,"",IF($X446="Cancelado",0,ROUND(N($Q446)+N($S446)+N($T446)-N($U446),2)))</f>
        <v/>
      </c>
      <c r="AF446" s="9">
        <f>IF($G446="","",IFERROR(INDEX(LINHAS_DRE_PLANO,MATCH($G446,SUBCATEGORIAS_PLANO,0)),"Não classificado"))</f>
        <v/>
      </c>
      <c r="AG446" s="17">
        <f>IF($G446="","",IFERROR(INDEX(TIPOS_FLUXO_PLANO,MATCH($G446,SUBCATEGORIAS_PLANO,0)),"Não classificado"))</f>
        <v/>
      </c>
      <c r="AH446" s="9">
        <f>IF($G446="","",IFERROR(INDEX(GRUPOS_PLANO,MATCH($G446,SUBCATEGORIAS_PLANO,0)),"Não classificado"))</f>
        <v/>
      </c>
      <c r="AI446" s="24">
        <f>IF(OR($C446="",$X446="Pago",$X446="Recebido",$X446="Cancelado"),"",$C446-TODAY())</f>
        <v/>
      </c>
      <c r="AJ446" s="24">
        <f>IF(OR($C446="",$X446="Pago",$X446="Recebido",$X446="Cancelado"),0,MAX(0,TODAY()-$C446))</f>
        <v/>
      </c>
      <c r="AK446" s="24">
        <f>IF($D446="","",$D446-$B446)</f>
        <v/>
      </c>
      <c r="AL446" s="18">
        <f>IF(OR($D446="",$B446=""),"",ROUND(N($R446)*($D446-$B446),2))</f>
        <v/>
      </c>
      <c r="AM446" s="17">
        <f>IF(AND($E446="Saída",$W446&gt;0,$C446&lt;&gt;""),$C446+ROW()/1000000,"")</f>
        <v/>
      </c>
      <c r="AN446" s="17">
        <f>IF(AND($E446="Entrada",$W446&gt;0,$C446&lt;&gt;""),$C446+ROW()/1000000,"")</f>
        <v/>
      </c>
      <c r="AO446" s="9">
        <f>IF(COUNTA($B446:$R446)=0,"",IF(AND($I446&lt;&gt;"",COUNTIF(CLIENTES_NOMES,$I446)+COUNTIF(CLIENTES_FANTASIA,$I446)+COUNTIF(FORNECEDORES_NOMES,$I446)+COUNTIF(FORNECEDORES_FANTASIA,$I446)=0),"⚠ Cliente/Fornecedor não cadastrado",IF(AND($G446&lt;&gt;"",COUNTIF(SUBCATEGORIAS_PLANO,$G446)=0),"⚠ Subcategoria fora do plano de contas",IF(OR($Q446="",N($Q446)=0),"⚠ Valor previsto não informado",IF(AND(OR($X446="Pago",$X446="Recebido"),$D446=""),"⚠ Status pago/recebido sem data",IF(AND($D446&lt;&gt;"",N($R446)=0),"⚠ Data de pagamento sem valor realizado",IF(AND(N($P446)&gt;1,N($O446)&gt;N($P446)),"⚠ Nº da parcela maior que o total",IF(AND($C446&lt;&gt;"",$B446&lt;&gt;"",$C446&lt;$B446),"⚠ Vencimento anterior à competência","OK"))))))))</f>
        <v/>
      </c>
    </row>
    <row r="447">
      <c r="A447" s="14" t="inlineStr">
        <is>
          <t>L0442</t>
        </is>
      </c>
      <c r="B447" s="36" t="n">
        <v>46305</v>
      </c>
      <c r="C447" s="36" t="n">
        <v>46323</v>
      </c>
      <c r="D447" s="36" t="n"/>
      <c r="E447" s="14" t="inlineStr">
        <is>
          <t>Saída</t>
        </is>
      </c>
      <c r="F447" s="29" t="inlineStr">
        <is>
          <t>Despesas Administrativas</t>
        </is>
      </c>
      <c r="G447" s="29" t="inlineStr">
        <is>
          <t>Internet e Telefonia</t>
        </is>
      </c>
      <c r="H447" s="29" t="inlineStr">
        <is>
          <t>Administrativo</t>
        </is>
      </c>
      <c r="I447" s="29" t="inlineStr">
        <is>
          <t>TELEFÔNICA BRASIL S.A. (VIVO EMPRESAS)</t>
        </is>
      </c>
      <c r="J447" s="29" t="inlineStr">
        <is>
          <t>Internet, telefonia e link dedicado</t>
        </is>
      </c>
      <c r="K447" s="14" t="inlineStr">
        <is>
          <t>DOC 8417</t>
        </is>
      </c>
      <c r="L447" s="29" t="inlineStr">
        <is>
          <t>Nubank PJ — C/C 9876543-2</t>
        </is>
      </c>
      <c r="M447" s="14" t="inlineStr">
        <is>
          <t>Cartão de crédito</t>
        </is>
      </c>
      <c r="N447" s="29" t="inlineStr">
        <is>
          <t>Cartão Mastercard Nubank PJ</t>
        </is>
      </c>
      <c r="O447" s="13" t="n">
        <v>1</v>
      </c>
      <c r="P447" s="13" t="n">
        <v>1</v>
      </c>
      <c r="Q447" s="35" t="n">
        <v>780</v>
      </c>
      <c r="R447" s="35" t="n"/>
      <c r="S447" s="35" t="n"/>
      <c r="T447" s="35" t="n"/>
      <c r="U447" s="35" t="n"/>
      <c r="V447" s="18">
        <f>IF(COUNTA($B447:$R447)=0,"",ROUND(N($R447)+N($S447)+N($T447)-N($U447),2))</f>
        <v/>
      </c>
      <c r="W447" s="18">
        <f>IF(COUNTA($B447:$R447)=0,"",IF(OR($X447="Pago",$X447="Recebido",$X447="Cancelado"),0,ROUND(N($Q447)+N($S447)+N($T447)-N($U447)-N($R447),2)))</f>
        <v/>
      </c>
      <c r="X447" s="14" t="inlineStr">
        <is>
          <t>Previsto</t>
        </is>
      </c>
      <c r="Y447" s="17">
        <f>IF(COUNTA($B447:$R447)=0,"",IF($X447="Cancelado","Cancelado",IF(OR($X447="Pago",$X447="Recebido"),$X447,IF(OR($X447="Parcial",N($R447)&gt;0),"Parcial",IF($C447="","Sem vencimento",IF($C447&lt;TODAY(),"Vencido",IF($C447=TODAY(),"Vence hoje",IF($C447&lt;=TODAY()+7,"Vence em 7 dias",IF($C447&lt;=TODAY()+30,"Vence em 30 dias","Futuro")))))))))</f>
        <v/>
      </c>
      <c r="Z447" s="24">
        <f>IF($B447="","",MONTH($B447))</f>
        <v/>
      </c>
      <c r="AA447" s="24">
        <f>IF($B447="","",YEAR($B447))</f>
        <v/>
      </c>
      <c r="AB447" s="24">
        <f>IF($B447="","",ISOWEEKNUM($B447))</f>
        <v/>
      </c>
      <c r="AC447" s="17">
        <f>IF($B447="","",CHOOSE(WEEKDAY($B447,2),"Segunda","Terça","Quarta","Quinta","Sexta","Sábado","Domingo"))</f>
        <v/>
      </c>
      <c r="AD447" s="17">
        <f>IF($B447="","",TEXT($B447,"MM/AAAA"))</f>
        <v/>
      </c>
      <c r="AE447" s="18">
        <f>IF(COUNTA($B447:$R447)=0,"",IF($X447="Cancelado",0,ROUND(N($Q447)+N($S447)+N($T447)-N($U447),2)))</f>
        <v/>
      </c>
      <c r="AF447" s="9">
        <f>IF($G447="","",IFERROR(INDEX(LINHAS_DRE_PLANO,MATCH($G447,SUBCATEGORIAS_PLANO,0)),"Não classificado"))</f>
        <v/>
      </c>
      <c r="AG447" s="17">
        <f>IF($G447="","",IFERROR(INDEX(TIPOS_FLUXO_PLANO,MATCH($G447,SUBCATEGORIAS_PLANO,0)),"Não classificado"))</f>
        <v/>
      </c>
      <c r="AH447" s="9">
        <f>IF($G447="","",IFERROR(INDEX(GRUPOS_PLANO,MATCH($G447,SUBCATEGORIAS_PLANO,0)),"Não classificado"))</f>
        <v/>
      </c>
      <c r="AI447" s="24">
        <f>IF(OR($C447="",$X447="Pago",$X447="Recebido",$X447="Cancelado"),"",$C447-TODAY())</f>
        <v/>
      </c>
      <c r="AJ447" s="24">
        <f>IF(OR($C447="",$X447="Pago",$X447="Recebido",$X447="Cancelado"),0,MAX(0,TODAY()-$C447))</f>
        <v/>
      </c>
      <c r="AK447" s="24">
        <f>IF($D447="","",$D447-$B447)</f>
        <v/>
      </c>
      <c r="AL447" s="18">
        <f>IF(OR($D447="",$B447=""),"",ROUND(N($R447)*($D447-$B447),2))</f>
        <v/>
      </c>
      <c r="AM447" s="17">
        <f>IF(AND($E447="Saída",$W447&gt;0,$C447&lt;&gt;""),$C447+ROW()/1000000,"")</f>
        <v/>
      </c>
      <c r="AN447" s="17">
        <f>IF(AND($E447="Entrada",$W447&gt;0,$C447&lt;&gt;""),$C447+ROW()/1000000,"")</f>
        <v/>
      </c>
      <c r="AO447" s="9">
        <f>IF(COUNTA($B447:$R447)=0,"",IF(AND($I447&lt;&gt;"",COUNTIF(CLIENTES_NOMES,$I447)+COUNTIF(CLIENTES_FANTASIA,$I447)+COUNTIF(FORNECEDORES_NOMES,$I447)+COUNTIF(FORNECEDORES_FANTASIA,$I447)=0),"⚠ Cliente/Fornecedor não cadastrado",IF(AND($G447&lt;&gt;"",COUNTIF(SUBCATEGORIAS_PLANO,$G447)=0),"⚠ Subcategoria fora do plano de contas",IF(OR($Q447="",N($Q447)=0),"⚠ Valor previsto não informado",IF(AND(OR($X447="Pago",$X447="Recebido"),$D447=""),"⚠ Status pago/recebido sem data",IF(AND($D447&lt;&gt;"",N($R447)=0),"⚠ Data de pagamento sem valor realizado",IF(AND(N($P447)&gt;1,N($O447)&gt;N($P447)),"⚠ Nº da parcela maior que o total",IF(AND($C447&lt;&gt;"",$B447&lt;&gt;"",$C447&lt;$B447),"⚠ Vencimento anterior à competência","OK"))))))))</f>
        <v/>
      </c>
    </row>
    <row r="448">
      <c r="A448" s="14" t="inlineStr">
        <is>
          <t>L0443</t>
        </is>
      </c>
      <c r="B448" s="36" t="n">
        <v>46305</v>
      </c>
      <c r="C448" s="36" t="n">
        <v>46305</v>
      </c>
      <c r="D448" s="36" t="n"/>
      <c r="E448" s="14" t="inlineStr">
        <is>
          <t>Saída</t>
        </is>
      </c>
      <c r="F448" s="29" t="inlineStr">
        <is>
          <t>Despesas Administrativas</t>
        </is>
      </c>
      <c r="G448" s="29" t="inlineStr">
        <is>
          <t>Contabilidade</t>
        </is>
      </c>
      <c r="H448" s="29" t="inlineStr">
        <is>
          <t>Financeiro</t>
        </is>
      </c>
      <c r="I448" s="29" t="inlineStr">
        <is>
          <t>CONTABILIDADE AURORA ASSESSORIA CONTÁBIL LTDA</t>
        </is>
      </c>
      <c r="J448" s="29" t="inlineStr">
        <is>
          <t>Honorários contábeis — competência 10/2026</t>
        </is>
      </c>
      <c r="K448" s="14" t="inlineStr">
        <is>
          <t>DOC 8418</t>
        </is>
      </c>
      <c r="L448" s="29" t="inlineStr">
        <is>
          <t>Itaú Unibanco — C/C 45678-9</t>
        </is>
      </c>
      <c r="M448" s="14" t="inlineStr">
        <is>
          <t>PIX</t>
        </is>
      </c>
      <c r="N448" s="29" t="n"/>
      <c r="O448" s="13" t="n">
        <v>1</v>
      </c>
      <c r="P448" s="13" t="n">
        <v>1</v>
      </c>
      <c r="Q448" s="35" t="n">
        <v>1250</v>
      </c>
      <c r="R448" s="35" t="n"/>
      <c r="S448" s="35" t="n"/>
      <c r="T448" s="35" t="n"/>
      <c r="U448" s="35" t="n"/>
      <c r="V448" s="18">
        <f>IF(COUNTA($B448:$R448)=0,"",ROUND(N($R448)+N($S448)+N($T448)-N($U448),2))</f>
        <v/>
      </c>
      <c r="W448" s="18">
        <f>IF(COUNTA($B448:$R448)=0,"",IF(OR($X448="Pago",$X448="Recebido",$X448="Cancelado"),0,ROUND(N($Q448)+N($S448)+N($T448)-N($U448)-N($R448),2)))</f>
        <v/>
      </c>
      <c r="X448" s="14" t="inlineStr">
        <is>
          <t>Previsto</t>
        </is>
      </c>
      <c r="Y448" s="17">
        <f>IF(COUNTA($B448:$R448)=0,"",IF($X448="Cancelado","Cancelado",IF(OR($X448="Pago",$X448="Recebido"),$X448,IF(OR($X448="Parcial",N($R448)&gt;0),"Parcial",IF($C448="","Sem vencimento",IF($C448&lt;TODAY(),"Vencido",IF($C448=TODAY(),"Vence hoje",IF($C448&lt;=TODAY()+7,"Vence em 7 dias",IF($C448&lt;=TODAY()+30,"Vence em 30 dias","Futuro")))))))))</f>
        <v/>
      </c>
      <c r="Z448" s="24">
        <f>IF($B448="","",MONTH($B448))</f>
        <v/>
      </c>
      <c r="AA448" s="24">
        <f>IF($B448="","",YEAR($B448))</f>
        <v/>
      </c>
      <c r="AB448" s="24">
        <f>IF($B448="","",ISOWEEKNUM($B448))</f>
        <v/>
      </c>
      <c r="AC448" s="17">
        <f>IF($B448="","",CHOOSE(WEEKDAY($B448,2),"Segunda","Terça","Quarta","Quinta","Sexta","Sábado","Domingo"))</f>
        <v/>
      </c>
      <c r="AD448" s="17">
        <f>IF($B448="","",TEXT($B448,"MM/AAAA"))</f>
        <v/>
      </c>
      <c r="AE448" s="18">
        <f>IF(COUNTA($B448:$R448)=0,"",IF($X448="Cancelado",0,ROUND(N($Q448)+N($S448)+N($T448)-N($U448),2)))</f>
        <v/>
      </c>
      <c r="AF448" s="9">
        <f>IF($G448="","",IFERROR(INDEX(LINHAS_DRE_PLANO,MATCH($G448,SUBCATEGORIAS_PLANO,0)),"Não classificado"))</f>
        <v/>
      </c>
      <c r="AG448" s="17">
        <f>IF($G448="","",IFERROR(INDEX(TIPOS_FLUXO_PLANO,MATCH($G448,SUBCATEGORIAS_PLANO,0)),"Não classificado"))</f>
        <v/>
      </c>
      <c r="AH448" s="9">
        <f>IF($G448="","",IFERROR(INDEX(GRUPOS_PLANO,MATCH($G448,SUBCATEGORIAS_PLANO,0)),"Não classificado"))</f>
        <v/>
      </c>
      <c r="AI448" s="24">
        <f>IF(OR($C448="",$X448="Pago",$X448="Recebido",$X448="Cancelado"),"",$C448-TODAY())</f>
        <v/>
      </c>
      <c r="AJ448" s="24">
        <f>IF(OR($C448="",$X448="Pago",$X448="Recebido",$X448="Cancelado"),0,MAX(0,TODAY()-$C448))</f>
        <v/>
      </c>
      <c r="AK448" s="24">
        <f>IF($D448="","",$D448-$B448)</f>
        <v/>
      </c>
      <c r="AL448" s="18">
        <f>IF(OR($D448="",$B448=""),"",ROUND(N($R448)*($D448-$B448),2))</f>
        <v/>
      </c>
      <c r="AM448" s="17">
        <f>IF(AND($E448="Saída",$W448&gt;0,$C448&lt;&gt;""),$C448+ROW()/1000000,"")</f>
        <v/>
      </c>
      <c r="AN448" s="17">
        <f>IF(AND($E448="Entrada",$W448&gt;0,$C448&lt;&gt;""),$C448+ROW()/1000000,"")</f>
        <v/>
      </c>
      <c r="AO448" s="9">
        <f>IF(COUNTA($B448:$R448)=0,"",IF(AND($I448&lt;&gt;"",COUNTIF(CLIENTES_NOMES,$I448)+COUNTIF(CLIENTES_FANTASIA,$I448)+COUNTIF(FORNECEDORES_NOMES,$I448)+COUNTIF(FORNECEDORES_FANTASIA,$I448)=0),"⚠ Cliente/Fornecedor não cadastrado",IF(AND($G448&lt;&gt;"",COUNTIF(SUBCATEGORIAS_PLANO,$G448)=0),"⚠ Subcategoria fora do plano de contas",IF(OR($Q448="",N($Q448)=0),"⚠ Valor previsto não informado",IF(AND(OR($X448="Pago",$X448="Recebido"),$D448=""),"⚠ Status pago/recebido sem data",IF(AND($D448&lt;&gt;"",N($R448)=0),"⚠ Data de pagamento sem valor realizado",IF(AND(N($P448)&gt;1,N($O448)&gt;N($P448)),"⚠ Nº da parcela maior que o total",IF(AND($C448&lt;&gt;"",$B448&lt;&gt;"",$C448&lt;$B448),"⚠ Vencimento anterior à competência","OK"))))))))</f>
        <v/>
      </c>
    </row>
    <row r="449">
      <c r="A449" s="14" t="inlineStr">
        <is>
          <t>L0444</t>
        </is>
      </c>
      <c r="B449" s="36" t="n">
        <v>46305</v>
      </c>
      <c r="C449" s="36" t="n">
        <v>46323</v>
      </c>
      <c r="D449" s="36" t="n"/>
      <c r="E449" s="14" t="inlineStr">
        <is>
          <t>Saída</t>
        </is>
      </c>
      <c r="F449" s="29" t="inlineStr">
        <is>
          <t>Despesas Comerciais</t>
        </is>
      </c>
      <c r="G449" s="29" t="inlineStr">
        <is>
          <t>Marketing Digital</t>
        </is>
      </c>
      <c r="H449" s="29" t="inlineStr">
        <is>
          <t>Marketing</t>
        </is>
      </c>
      <c r="I449" s="29" t="inlineStr">
        <is>
          <t>AGÊNCIA PULSO DIGITAL LTDA</t>
        </is>
      </c>
      <c r="J449" s="29" t="inlineStr">
        <is>
          <t>Gestão de tráfego pago e produção de conteúdo</t>
        </is>
      </c>
      <c r="K449" s="14" t="inlineStr">
        <is>
          <t>DOC 8424</t>
        </is>
      </c>
      <c r="L449" s="29" t="inlineStr">
        <is>
          <t>Nubank PJ — C/C 9876543-2</t>
        </is>
      </c>
      <c r="M449" s="14" t="inlineStr">
        <is>
          <t>Cartão de crédito</t>
        </is>
      </c>
      <c r="N449" s="29" t="inlineStr">
        <is>
          <t>Cartão Mastercard Nubank PJ</t>
        </is>
      </c>
      <c r="O449" s="13" t="n">
        <v>1</v>
      </c>
      <c r="P449" s="13" t="n">
        <v>1</v>
      </c>
      <c r="Q449" s="35" t="n">
        <v>4010.35</v>
      </c>
      <c r="R449" s="35" t="n"/>
      <c r="S449" s="35" t="n"/>
      <c r="T449" s="35" t="n"/>
      <c r="U449" s="35" t="n"/>
      <c r="V449" s="18">
        <f>IF(COUNTA($B449:$R449)=0,"",ROUND(N($R449)+N($S449)+N($T449)-N($U449),2))</f>
        <v/>
      </c>
      <c r="W449" s="18">
        <f>IF(COUNTA($B449:$R449)=0,"",IF(OR($X449="Pago",$X449="Recebido",$X449="Cancelado"),0,ROUND(N($Q449)+N($S449)+N($T449)-N($U449)-N($R449),2)))</f>
        <v/>
      </c>
      <c r="X449" s="14" t="inlineStr">
        <is>
          <t>Previsto</t>
        </is>
      </c>
      <c r="Y449" s="17">
        <f>IF(COUNTA($B449:$R449)=0,"",IF($X449="Cancelado","Cancelado",IF(OR($X449="Pago",$X449="Recebido"),$X449,IF(OR($X449="Parcial",N($R449)&gt;0),"Parcial",IF($C449="","Sem vencimento",IF($C449&lt;TODAY(),"Vencido",IF($C449=TODAY(),"Vence hoje",IF($C449&lt;=TODAY()+7,"Vence em 7 dias",IF($C449&lt;=TODAY()+30,"Vence em 30 dias","Futuro")))))))))</f>
        <v/>
      </c>
      <c r="Z449" s="24">
        <f>IF($B449="","",MONTH($B449))</f>
        <v/>
      </c>
      <c r="AA449" s="24">
        <f>IF($B449="","",YEAR($B449))</f>
        <v/>
      </c>
      <c r="AB449" s="24">
        <f>IF($B449="","",ISOWEEKNUM($B449))</f>
        <v/>
      </c>
      <c r="AC449" s="17">
        <f>IF($B449="","",CHOOSE(WEEKDAY($B449,2),"Segunda","Terça","Quarta","Quinta","Sexta","Sábado","Domingo"))</f>
        <v/>
      </c>
      <c r="AD449" s="17">
        <f>IF($B449="","",TEXT($B449,"MM/AAAA"))</f>
        <v/>
      </c>
      <c r="AE449" s="18">
        <f>IF(COUNTA($B449:$R449)=0,"",IF($X449="Cancelado",0,ROUND(N($Q449)+N($S449)+N($T449)-N($U449),2)))</f>
        <v/>
      </c>
      <c r="AF449" s="9">
        <f>IF($G449="","",IFERROR(INDEX(LINHAS_DRE_PLANO,MATCH($G449,SUBCATEGORIAS_PLANO,0)),"Não classificado"))</f>
        <v/>
      </c>
      <c r="AG449" s="17">
        <f>IF($G449="","",IFERROR(INDEX(TIPOS_FLUXO_PLANO,MATCH($G449,SUBCATEGORIAS_PLANO,0)),"Não classificado"))</f>
        <v/>
      </c>
      <c r="AH449" s="9">
        <f>IF($G449="","",IFERROR(INDEX(GRUPOS_PLANO,MATCH($G449,SUBCATEGORIAS_PLANO,0)),"Não classificado"))</f>
        <v/>
      </c>
      <c r="AI449" s="24">
        <f>IF(OR($C449="",$X449="Pago",$X449="Recebido",$X449="Cancelado"),"",$C449-TODAY())</f>
        <v/>
      </c>
      <c r="AJ449" s="24">
        <f>IF(OR($C449="",$X449="Pago",$X449="Recebido",$X449="Cancelado"),0,MAX(0,TODAY()-$C449))</f>
        <v/>
      </c>
      <c r="AK449" s="24">
        <f>IF($D449="","",$D449-$B449)</f>
        <v/>
      </c>
      <c r="AL449" s="18">
        <f>IF(OR($D449="",$B449=""),"",ROUND(N($R449)*($D449-$B449),2))</f>
        <v/>
      </c>
      <c r="AM449" s="17">
        <f>IF(AND($E449="Saída",$W449&gt;0,$C449&lt;&gt;""),$C449+ROW()/1000000,"")</f>
        <v/>
      </c>
      <c r="AN449" s="17">
        <f>IF(AND($E449="Entrada",$W449&gt;0,$C449&lt;&gt;""),$C449+ROW()/1000000,"")</f>
        <v/>
      </c>
      <c r="AO449" s="9">
        <f>IF(COUNTA($B449:$R449)=0,"",IF(AND($I449&lt;&gt;"",COUNTIF(CLIENTES_NOMES,$I449)+COUNTIF(CLIENTES_FANTASIA,$I449)+COUNTIF(FORNECEDORES_NOMES,$I449)+COUNTIF(FORNECEDORES_FANTASIA,$I449)=0),"⚠ Cliente/Fornecedor não cadastrado",IF(AND($G449&lt;&gt;"",COUNTIF(SUBCATEGORIAS_PLANO,$G449)=0),"⚠ Subcategoria fora do plano de contas",IF(OR($Q449="",N($Q449)=0),"⚠ Valor previsto não informado",IF(AND(OR($X449="Pago",$X449="Recebido"),$D449=""),"⚠ Status pago/recebido sem data",IF(AND($D449&lt;&gt;"",N($R449)=0),"⚠ Data de pagamento sem valor realizado",IF(AND(N($P449)&gt;1,N($O449)&gt;N($P449)),"⚠ Nº da parcela maior que o total",IF(AND($C449&lt;&gt;"",$B449&lt;&gt;"",$C449&lt;$B449),"⚠ Vencimento anterior à competência","OK"))))))))</f>
        <v/>
      </c>
    </row>
    <row r="450">
      <c r="A450" s="14" t="inlineStr">
        <is>
          <t>L0445</t>
        </is>
      </c>
      <c r="B450" s="36" t="n">
        <v>46305</v>
      </c>
      <c r="C450" s="36" t="n">
        <v>46305</v>
      </c>
      <c r="D450" s="36" t="n"/>
      <c r="E450" s="14" t="inlineStr">
        <is>
          <t>Saída</t>
        </is>
      </c>
      <c r="F450" s="29" t="inlineStr">
        <is>
          <t>Empréstimos e Financiamentos</t>
        </is>
      </c>
      <c r="G450" s="29" t="inlineStr">
        <is>
          <t>Pagamento de Principal de Empréstimos</t>
        </is>
      </c>
      <c r="H450" s="29" t="inlineStr">
        <is>
          <t>Financeiro</t>
        </is>
      </c>
      <c r="I450" s="29" t="inlineStr">
        <is>
          <t>Banco do Brasil</t>
        </is>
      </c>
      <c r="J450" s="29" t="inlineStr">
        <is>
          <t>Capital de Giro — parcela 9/24 (principal)</t>
        </is>
      </c>
      <c r="K450" s="14" t="inlineStr">
        <is>
          <t>CG-2026-0417-P09</t>
        </is>
      </c>
      <c r="L450" s="29" t="inlineStr">
        <is>
          <t>Banco do Brasil — C/C 12345-6</t>
        </is>
      </c>
      <c r="M450" s="14" t="inlineStr">
        <is>
          <t>Débito automático</t>
        </is>
      </c>
      <c r="N450" s="29" t="n"/>
      <c r="O450" s="13" t="n">
        <v>9</v>
      </c>
      <c r="P450" s="13" t="n">
        <v>24</v>
      </c>
      <c r="Q450" s="35" t="n">
        <v>2360.51</v>
      </c>
      <c r="R450" s="35" t="n"/>
      <c r="S450" s="35" t="n"/>
      <c r="T450" s="35" t="n"/>
      <c r="U450" s="35" t="n"/>
      <c r="V450" s="18">
        <f>IF(COUNTA($B450:$R450)=0,"",ROUND(N($R450)+N($S450)+N($T450)-N($U450),2))</f>
        <v/>
      </c>
      <c r="W450" s="18">
        <f>IF(COUNTA($B450:$R450)=0,"",IF(OR($X450="Pago",$X450="Recebido",$X450="Cancelado"),0,ROUND(N($Q450)+N($S450)+N($T450)-N($U450)-N($R450),2)))</f>
        <v/>
      </c>
      <c r="X450" s="14" t="inlineStr">
        <is>
          <t>Previsto</t>
        </is>
      </c>
      <c r="Y450" s="17">
        <f>IF(COUNTA($B450:$R450)=0,"",IF($X450="Cancelado","Cancelado",IF(OR($X450="Pago",$X450="Recebido"),$X450,IF(OR($X450="Parcial",N($R450)&gt;0),"Parcial",IF($C450="","Sem vencimento",IF($C450&lt;TODAY(),"Vencido",IF($C450=TODAY(),"Vence hoje",IF($C450&lt;=TODAY()+7,"Vence em 7 dias",IF($C450&lt;=TODAY()+30,"Vence em 30 dias","Futuro")))))))))</f>
        <v/>
      </c>
      <c r="Z450" s="24">
        <f>IF($B450="","",MONTH($B450))</f>
        <v/>
      </c>
      <c r="AA450" s="24">
        <f>IF($B450="","",YEAR($B450))</f>
        <v/>
      </c>
      <c r="AB450" s="24">
        <f>IF($B450="","",ISOWEEKNUM($B450))</f>
        <v/>
      </c>
      <c r="AC450" s="17">
        <f>IF($B450="","",CHOOSE(WEEKDAY($B450,2),"Segunda","Terça","Quarta","Quinta","Sexta","Sábado","Domingo"))</f>
        <v/>
      </c>
      <c r="AD450" s="17">
        <f>IF($B450="","",TEXT($B450,"MM/AAAA"))</f>
        <v/>
      </c>
      <c r="AE450" s="18">
        <f>IF(COUNTA($B450:$R450)=0,"",IF($X450="Cancelado",0,ROUND(N($Q450)+N($S450)+N($T450)-N($U450),2)))</f>
        <v/>
      </c>
      <c r="AF450" s="9">
        <f>IF($G450="","",IFERROR(INDEX(LINHAS_DRE_PLANO,MATCH($G450,SUBCATEGORIAS_PLANO,0)),"Não classificado"))</f>
        <v/>
      </c>
      <c r="AG450" s="17">
        <f>IF($G450="","",IFERROR(INDEX(TIPOS_FLUXO_PLANO,MATCH($G450,SUBCATEGORIAS_PLANO,0)),"Não classificado"))</f>
        <v/>
      </c>
      <c r="AH450" s="9">
        <f>IF($G450="","",IFERROR(INDEX(GRUPOS_PLANO,MATCH($G450,SUBCATEGORIAS_PLANO,0)),"Não classificado"))</f>
        <v/>
      </c>
      <c r="AI450" s="24">
        <f>IF(OR($C450="",$X450="Pago",$X450="Recebido",$X450="Cancelado"),"",$C450-TODAY())</f>
        <v/>
      </c>
      <c r="AJ450" s="24">
        <f>IF(OR($C450="",$X450="Pago",$X450="Recebido",$X450="Cancelado"),0,MAX(0,TODAY()-$C450))</f>
        <v/>
      </c>
      <c r="AK450" s="24">
        <f>IF($D450="","",$D450-$B450)</f>
        <v/>
      </c>
      <c r="AL450" s="18">
        <f>IF(OR($D450="",$B450=""),"",ROUND(N($R450)*($D450-$B450),2))</f>
        <v/>
      </c>
      <c r="AM450" s="17">
        <f>IF(AND($E450="Saída",$W450&gt;0,$C450&lt;&gt;""),$C450+ROW()/1000000,"")</f>
        <v/>
      </c>
      <c r="AN450" s="17">
        <f>IF(AND($E450="Entrada",$W450&gt;0,$C450&lt;&gt;""),$C450+ROW()/1000000,"")</f>
        <v/>
      </c>
      <c r="AO450" s="9">
        <f>IF(COUNTA($B450:$R450)=0,"",IF(AND($I450&lt;&gt;"",COUNTIF(CLIENTES_NOMES,$I450)+COUNTIF(CLIENTES_FANTASIA,$I450)+COUNTIF(FORNECEDORES_NOMES,$I450)+COUNTIF(FORNECEDORES_FANTASIA,$I450)=0),"⚠ Cliente/Fornecedor não cadastrado",IF(AND($G450&lt;&gt;"",COUNTIF(SUBCATEGORIAS_PLANO,$G450)=0),"⚠ Subcategoria fora do plano de contas",IF(OR($Q450="",N($Q450)=0),"⚠ Valor previsto não informado",IF(AND(OR($X450="Pago",$X450="Recebido"),$D450=""),"⚠ Status pago/recebido sem data",IF(AND($D450&lt;&gt;"",N($R450)=0),"⚠ Data de pagamento sem valor realizado",IF(AND(N($P450)&gt;1,N($O450)&gt;N($P450)),"⚠ Nº da parcela maior que o total",IF(AND($C450&lt;&gt;"",$B450&lt;&gt;"",$C450&lt;$B450),"⚠ Vencimento anterior à competência","OK"))))))))</f>
        <v/>
      </c>
    </row>
    <row r="451">
      <c r="A451" s="14" t="inlineStr">
        <is>
          <t>L0446</t>
        </is>
      </c>
      <c r="B451" s="36" t="n">
        <v>46305</v>
      </c>
      <c r="C451" s="36" t="n">
        <v>46305</v>
      </c>
      <c r="D451" s="36" t="n"/>
      <c r="E451" s="14" t="inlineStr">
        <is>
          <t>Saída</t>
        </is>
      </c>
      <c r="F451" s="29" t="inlineStr">
        <is>
          <t>Despesas Financeiras</t>
        </is>
      </c>
      <c r="G451" s="29" t="inlineStr">
        <is>
          <t>Juros de Empréstimos e Financiamentos</t>
        </is>
      </c>
      <c r="H451" s="29" t="inlineStr">
        <is>
          <t>Financeiro</t>
        </is>
      </c>
      <c r="I451" s="29" t="inlineStr">
        <is>
          <t>Banco do Brasil</t>
        </is>
      </c>
      <c r="J451" s="29" t="inlineStr">
        <is>
          <t>Capital de Giro — parcela 9/24 (juros)</t>
        </is>
      </c>
      <c r="K451" s="14" t="inlineStr">
        <is>
          <t>CG-2026-0417-P09</t>
        </is>
      </c>
      <c r="L451" s="29" t="inlineStr">
        <is>
          <t>Banco do Brasil — C/C 12345-6</t>
        </is>
      </c>
      <c r="M451" s="14" t="inlineStr">
        <is>
          <t>Débito automático</t>
        </is>
      </c>
      <c r="N451" s="29" t="n"/>
      <c r="O451" s="13" t="n">
        <v>9</v>
      </c>
      <c r="P451" s="13" t="n">
        <v>24</v>
      </c>
      <c r="Q451" s="35" t="n">
        <v>634.9400000000001</v>
      </c>
      <c r="R451" s="35" t="n"/>
      <c r="S451" s="35" t="n"/>
      <c r="T451" s="35" t="n"/>
      <c r="U451" s="35" t="n"/>
      <c r="V451" s="18">
        <f>IF(COUNTA($B451:$R451)=0,"",ROUND(N($R451)+N($S451)+N($T451)-N($U451),2))</f>
        <v/>
      </c>
      <c r="W451" s="18">
        <f>IF(COUNTA($B451:$R451)=0,"",IF(OR($X451="Pago",$X451="Recebido",$X451="Cancelado"),0,ROUND(N($Q451)+N($S451)+N($T451)-N($U451)-N($R451),2)))</f>
        <v/>
      </c>
      <c r="X451" s="14" t="inlineStr">
        <is>
          <t>Previsto</t>
        </is>
      </c>
      <c r="Y451" s="17">
        <f>IF(COUNTA($B451:$R451)=0,"",IF($X451="Cancelado","Cancelado",IF(OR($X451="Pago",$X451="Recebido"),$X451,IF(OR($X451="Parcial",N($R451)&gt;0),"Parcial",IF($C451="","Sem vencimento",IF($C451&lt;TODAY(),"Vencido",IF($C451=TODAY(),"Vence hoje",IF($C451&lt;=TODAY()+7,"Vence em 7 dias",IF($C451&lt;=TODAY()+30,"Vence em 30 dias","Futuro")))))))))</f>
        <v/>
      </c>
      <c r="Z451" s="24">
        <f>IF($B451="","",MONTH($B451))</f>
        <v/>
      </c>
      <c r="AA451" s="24">
        <f>IF($B451="","",YEAR($B451))</f>
        <v/>
      </c>
      <c r="AB451" s="24">
        <f>IF($B451="","",ISOWEEKNUM($B451))</f>
        <v/>
      </c>
      <c r="AC451" s="17">
        <f>IF($B451="","",CHOOSE(WEEKDAY($B451,2),"Segunda","Terça","Quarta","Quinta","Sexta","Sábado","Domingo"))</f>
        <v/>
      </c>
      <c r="AD451" s="17">
        <f>IF($B451="","",TEXT($B451,"MM/AAAA"))</f>
        <v/>
      </c>
      <c r="AE451" s="18">
        <f>IF(COUNTA($B451:$R451)=0,"",IF($X451="Cancelado",0,ROUND(N($Q451)+N($S451)+N($T451)-N($U451),2)))</f>
        <v/>
      </c>
      <c r="AF451" s="9">
        <f>IF($G451="","",IFERROR(INDEX(LINHAS_DRE_PLANO,MATCH($G451,SUBCATEGORIAS_PLANO,0)),"Não classificado"))</f>
        <v/>
      </c>
      <c r="AG451" s="17">
        <f>IF($G451="","",IFERROR(INDEX(TIPOS_FLUXO_PLANO,MATCH($G451,SUBCATEGORIAS_PLANO,0)),"Não classificado"))</f>
        <v/>
      </c>
      <c r="AH451" s="9">
        <f>IF($G451="","",IFERROR(INDEX(GRUPOS_PLANO,MATCH($G451,SUBCATEGORIAS_PLANO,0)),"Não classificado"))</f>
        <v/>
      </c>
      <c r="AI451" s="24">
        <f>IF(OR($C451="",$X451="Pago",$X451="Recebido",$X451="Cancelado"),"",$C451-TODAY())</f>
        <v/>
      </c>
      <c r="AJ451" s="24">
        <f>IF(OR($C451="",$X451="Pago",$X451="Recebido",$X451="Cancelado"),0,MAX(0,TODAY()-$C451))</f>
        <v/>
      </c>
      <c r="AK451" s="24">
        <f>IF($D451="","",$D451-$B451)</f>
        <v/>
      </c>
      <c r="AL451" s="18">
        <f>IF(OR($D451="",$B451=""),"",ROUND(N($R451)*($D451-$B451),2))</f>
        <v/>
      </c>
      <c r="AM451" s="17">
        <f>IF(AND($E451="Saída",$W451&gt;0,$C451&lt;&gt;""),$C451+ROW()/1000000,"")</f>
        <v/>
      </c>
      <c r="AN451" s="17">
        <f>IF(AND($E451="Entrada",$W451&gt;0,$C451&lt;&gt;""),$C451+ROW()/1000000,"")</f>
        <v/>
      </c>
      <c r="AO451" s="9">
        <f>IF(COUNTA($B451:$R451)=0,"",IF(AND($I451&lt;&gt;"",COUNTIF(CLIENTES_NOMES,$I451)+COUNTIF(CLIENTES_FANTASIA,$I451)+COUNTIF(FORNECEDORES_NOMES,$I451)+COUNTIF(FORNECEDORES_FANTASIA,$I451)=0),"⚠ Cliente/Fornecedor não cadastrado",IF(AND($G451&lt;&gt;"",COUNTIF(SUBCATEGORIAS_PLANO,$G451)=0),"⚠ Subcategoria fora do plano de contas",IF(OR($Q451="",N($Q451)=0),"⚠ Valor previsto não informado",IF(AND(OR($X451="Pago",$X451="Recebido"),$D451=""),"⚠ Status pago/recebido sem data",IF(AND($D451&lt;&gt;"",N($R451)=0),"⚠ Data de pagamento sem valor realizado",IF(AND(N($P451)&gt;1,N($O451)&gt;N($P451)),"⚠ Nº da parcela maior que o total",IF(AND($C451&lt;&gt;"",$B451&lt;&gt;"",$C451&lt;$B451),"⚠ Vencimento anterior à competência","OK"))))))))</f>
        <v/>
      </c>
    </row>
    <row r="452">
      <c r="A452" s="14" t="inlineStr">
        <is>
          <t>L0447</t>
        </is>
      </c>
      <c r="B452" s="36" t="n">
        <v>46306</v>
      </c>
      <c r="C452" s="36" t="n">
        <v>46336</v>
      </c>
      <c r="D452" s="36" t="n"/>
      <c r="E452" s="14" t="inlineStr">
        <is>
          <t>Entrada</t>
        </is>
      </c>
      <c r="F452" s="29" t="inlineStr">
        <is>
          <t>Vendas</t>
        </is>
      </c>
      <c r="G452" s="29" t="inlineStr">
        <is>
          <t>Vendas de Produtos</t>
        </is>
      </c>
      <c r="H452" s="29" t="inlineStr">
        <is>
          <t>Comercial</t>
        </is>
      </c>
      <c r="I452" s="29" t="inlineStr">
        <is>
          <t>MERCADO BOA COMPRA LTDA</t>
        </is>
      </c>
      <c r="J452" s="29" t="inlineStr">
        <is>
          <t>Venda de mercadorias para revenda</t>
        </is>
      </c>
      <c r="K452" s="14" t="inlineStr">
        <is>
          <t>NF-e 2108</t>
        </is>
      </c>
      <c r="L452" s="29" t="inlineStr">
        <is>
          <t>Banco do Brasil — C/C 12345-6</t>
        </is>
      </c>
      <c r="M452" s="14" t="inlineStr">
        <is>
          <t>Boleto</t>
        </is>
      </c>
      <c r="N452" s="29" t="n"/>
      <c r="O452" s="13" t="n">
        <v>1</v>
      </c>
      <c r="P452" s="13" t="n">
        <v>1</v>
      </c>
      <c r="Q452" s="35" t="n">
        <v>44612.81</v>
      </c>
      <c r="R452" s="35" t="n"/>
      <c r="S452" s="35" t="n"/>
      <c r="T452" s="35" t="n"/>
      <c r="U452" s="35" t="n"/>
      <c r="V452" s="18">
        <f>IF(COUNTA($B452:$R452)=0,"",ROUND(N($R452)+N($S452)+N($T452)-N($U452),2))</f>
        <v/>
      </c>
      <c r="W452" s="18">
        <f>IF(COUNTA($B452:$R452)=0,"",IF(OR($X452="Pago",$X452="Recebido",$X452="Cancelado"),0,ROUND(N($Q452)+N($S452)+N($T452)-N($U452)-N($R452),2)))</f>
        <v/>
      </c>
      <c r="X452" s="14" t="inlineStr">
        <is>
          <t>Previsto</t>
        </is>
      </c>
      <c r="Y452" s="17">
        <f>IF(COUNTA($B452:$R452)=0,"",IF($X452="Cancelado","Cancelado",IF(OR($X452="Pago",$X452="Recebido"),$X452,IF(OR($X452="Parcial",N($R452)&gt;0),"Parcial",IF($C452="","Sem vencimento",IF($C452&lt;TODAY(),"Vencido",IF($C452=TODAY(),"Vence hoje",IF($C452&lt;=TODAY()+7,"Vence em 7 dias",IF($C452&lt;=TODAY()+30,"Vence em 30 dias","Futuro")))))))))</f>
        <v/>
      </c>
      <c r="Z452" s="24">
        <f>IF($B452="","",MONTH($B452))</f>
        <v/>
      </c>
      <c r="AA452" s="24">
        <f>IF($B452="","",YEAR($B452))</f>
        <v/>
      </c>
      <c r="AB452" s="24">
        <f>IF($B452="","",ISOWEEKNUM($B452))</f>
        <v/>
      </c>
      <c r="AC452" s="17">
        <f>IF($B452="","",CHOOSE(WEEKDAY($B452,2),"Segunda","Terça","Quarta","Quinta","Sexta","Sábado","Domingo"))</f>
        <v/>
      </c>
      <c r="AD452" s="17">
        <f>IF($B452="","",TEXT($B452,"MM/AAAA"))</f>
        <v/>
      </c>
      <c r="AE452" s="18">
        <f>IF(COUNTA($B452:$R452)=0,"",IF($X452="Cancelado",0,ROUND(N($Q452)+N($S452)+N($T452)-N($U452),2)))</f>
        <v/>
      </c>
      <c r="AF452" s="9">
        <f>IF($G452="","",IFERROR(INDEX(LINHAS_DRE_PLANO,MATCH($G452,SUBCATEGORIAS_PLANO,0)),"Não classificado"))</f>
        <v/>
      </c>
      <c r="AG452" s="17">
        <f>IF($G452="","",IFERROR(INDEX(TIPOS_FLUXO_PLANO,MATCH($G452,SUBCATEGORIAS_PLANO,0)),"Não classificado"))</f>
        <v/>
      </c>
      <c r="AH452" s="9">
        <f>IF($G452="","",IFERROR(INDEX(GRUPOS_PLANO,MATCH($G452,SUBCATEGORIAS_PLANO,0)),"Não classificado"))</f>
        <v/>
      </c>
      <c r="AI452" s="24">
        <f>IF(OR($C452="",$X452="Pago",$X452="Recebido",$X452="Cancelado"),"",$C452-TODAY())</f>
        <v/>
      </c>
      <c r="AJ452" s="24">
        <f>IF(OR($C452="",$X452="Pago",$X452="Recebido",$X452="Cancelado"),0,MAX(0,TODAY()-$C452))</f>
        <v/>
      </c>
      <c r="AK452" s="24">
        <f>IF($D452="","",$D452-$B452)</f>
        <v/>
      </c>
      <c r="AL452" s="18">
        <f>IF(OR($D452="",$B452=""),"",ROUND(N($R452)*($D452-$B452),2))</f>
        <v/>
      </c>
      <c r="AM452" s="17">
        <f>IF(AND($E452="Saída",$W452&gt;0,$C452&lt;&gt;""),$C452+ROW()/1000000,"")</f>
        <v/>
      </c>
      <c r="AN452" s="17">
        <f>IF(AND($E452="Entrada",$W452&gt;0,$C452&lt;&gt;""),$C452+ROW()/1000000,"")</f>
        <v/>
      </c>
      <c r="AO452" s="9">
        <f>IF(COUNTA($B452:$R452)=0,"",IF(AND($I452&lt;&gt;"",COUNTIF(CLIENTES_NOMES,$I452)+COUNTIF(CLIENTES_FANTASIA,$I452)+COUNTIF(FORNECEDORES_NOMES,$I452)+COUNTIF(FORNECEDORES_FANTASIA,$I452)=0),"⚠ Cliente/Fornecedor não cadastrado",IF(AND($G452&lt;&gt;"",COUNTIF(SUBCATEGORIAS_PLANO,$G452)=0),"⚠ Subcategoria fora do plano de contas",IF(OR($Q452="",N($Q452)=0),"⚠ Valor previsto não informado",IF(AND(OR($X452="Pago",$X452="Recebido"),$D452=""),"⚠ Status pago/recebido sem data",IF(AND($D452&lt;&gt;"",N($R452)=0),"⚠ Data de pagamento sem valor realizado",IF(AND(N($P452)&gt;1,N($O452)&gt;N($P452)),"⚠ Nº da parcela maior que o total",IF(AND($C452&lt;&gt;"",$B452&lt;&gt;"",$C452&lt;$B452),"⚠ Vencimento anterior à competência","OK"))))))))</f>
        <v/>
      </c>
    </row>
    <row r="453">
      <c r="A453" s="14" t="inlineStr">
        <is>
          <t>L0448</t>
        </is>
      </c>
      <c r="B453" s="36" t="n">
        <v>46306</v>
      </c>
      <c r="C453" s="36" t="n">
        <v>46307</v>
      </c>
      <c r="D453" s="36" t="n"/>
      <c r="E453" s="14" t="inlineStr">
        <is>
          <t>Entrada</t>
        </is>
      </c>
      <c r="F453" s="29" t="inlineStr">
        <is>
          <t>Vendas</t>
        </is>
      </c>
      <c r="G453" s="29" t="inlineStr">
        <is>
          <t>Vendas de Produtos</t>
        </is>
      </c>
      <c r="H453" s="29" t="inlineStr">
        <is>
          <t>Comercial</t>
        </is>
      </c>
      <c r="I453" s="29" t="inlineStr">
        <is>
          <t>PADARIA PÃO DOURADO ME</t>
        </is>
      </c>
      <c r="J453" s="29" t="inlineStr">
        <is>
          <t>Venda de mercadorias para revenda</t>
        </is>
      </c>
      <c r="K453" s="14" t="inlineStr">
        <is>
          <t>NF-e 2111</t>
        </is>
      </c>
      <c r="L453" s="29" t="inlineStr">
        <is>
          <t>Nubank PJ — C/C 9876543-2</t>
        </is>
      </c>
      <c r="M453" s="14" t="inlineStr">
        <is>
          <t>PIX</t>
        </is>
      </c>
      <c r="N453" s="29" t="n"/>
      <c r="O453" s="13" t="n">
        <v>1</v>
      </c>
      <c r="P453" s="13" t="n">
        <v>1</v>
      </c>
      <c r="Q453" s="35" t="n">
        <v>27352.47</v>
      </c>
      <c r="R453" s="35" t="n"/>
      <c r="S453" s="35" t="n"/>
      <c r="T453" s="35" t="n"/>
      <c r="U453" s="35" t="n"/>
      <c r="V453" s="18">
        <f>IF(COUNTA($B453:$R453)=0,"",ROUND(N($R453)+N($S453)+N($T453)-N($U453),2))</f>
        <v/>
      </c>
      <c r="W453" s="18">
        <f>IF(COUNTA($B453:$R453)=0,"",IF(OR($X453="Pago",$X453="Recebido",$X453="Cancelado"),0,ROUND(N($Q453)+N($S453)+N($T453)-N($U453)-N($R453),2)))</f>
        <v/>
      </c>
      <c r="X453" s="14" t="inlineStr">
        <is>
          <t>Previsto</t>
        </is>
      </c>
      <c r="Y453" s="17">
        <f>IF(COUNTA($B453:$R453)=0,"",IF($X453="Cancelado","Cancelado",IF(OR($X453="Pago",$X453="Recebido"),$X453,IF(OR($X453="Parcial",N($R453)&gt;0),"Parcial",IF($C453="","Sem vencimento",IF($C453&lt;TODAY(),"Vencido",IF($C453=TODAY(),"Vence hoje",IF($C453&lt;=TODAY()+7,"Vence em 7 dias",IF($C453&lt;=TODAY()+30,"Vence em 30 dias","Futuro")))))))))</f>
        <v/>
      </c>
      <c r="Z453" s="24">
        <f>IF($B453="","",MONTH($B453))</f>
        <v/>
      </c>
      <c r="AA453" s="24">
        <f>IF($B453="","",YEAR($B453))</f>
        <v/>
      </c>
      <c r="AB453" s="24">
        <f>IF($B453="","",ISOWEEKNUM($B453))</f>
        <v/>
      </c>
      <c r="AC453" s="17">
        <f>IF($B453="","",CHOOSE(WEEKDAY($B453,2),"Segunda","Terça","Quarta","Quinta","Sexta","Sábado","Domingo"))</f>
        <v/>
      </c>
      <c r="AD453" s="17">
        <f>IF($B453="","",TEXT($B453,"MM/AAAA"))</f>
        <v/>
      </c>
      <c r="AE453" s="18">
        <f>IF(COUNTA($B453:$R453)=0,"",IF($X453="Cancelado",0,ROUND(N($Q453)+N($S453)+N($T453)-N($U453),2)))</f>
        <v/>
      </c>
      <c r="AF453" s="9">
        <f>IF($G453="","",IFERROR(INDEX(LINHAS_DRE_PLANO,MATCH($G453,SUBCATEGORIAS_PLANO,0)),"Não classificado"))</f>
        <v/>
      </c>
      <c r="AG453" s="17">
        <f>IF($G453="","",IFERROR(INDEX(TIPOS_FLUXO_PLANO,MATCH($G453,SUBCATEGORIAS_PLANO,0)),"Não classificado"))</f>
        <v/>
      </c>
      <c r="AH453" s="9">
        <f>IF($G453="","",IFERROR(INDEX(GRUPOS_PLANO,MATCH($G453,SUBCATEGORIAS_PLANO,0)),"Não classificado"))</f>
        <v/>
      </c>
      <c r="AI453" s="24">
        <f>IF(OR($C453="",$X453="Pago",$X453="Recebido",$X453="Cancelado"),"",$C453-TODAY())</f>
        <v/>
      </c>
      <c r="AJ453" s="24">
        <f>IF(OR($C453="",$X453="Pago",$X453="Recebido",$X453="Cancelado"),0,MAX(0,TODAY()-$C453))</f>
        <v/>
      </c>
      <c r="AK453" s="24">
        <f>IF($D453="","",$D453-$B453)</f>
        <v/>
      </c>
      <c r="AL453" s="18">
        <f>IF(OR($D453="",$B453=""),"",ROUND(N($R453)*($D453-$B453),2))</f>
        <v/>
      </c>
      <c r="AM453" s="17">
        <f>IF(AND($E453="Saída",$W453&gt;0,$C453&lt;&gt;""),$C453+ROW()/1000000,"")</f>
        <v/>
      </c>
      <c r="AN453" s="17">
        <f>IF(AND($E453="Entrada",$W453&gt;0,$C453&lt;&gt;""),$C453+ROW()/1000000,"")</f>
        <v/>
      </c>
      <c r="AO453" s="9">
        <f>IF(COUNTA($B453:$R453)=0,"",IF(AND($I453&lt;&gt;"",COUNTIF(CLIENTES_NOMES,$I453)+COUNTIF(CLIENTES_FANTASIA,$I453)+COUNTIF(FORNECEDORES_NOMES,$I453)+COUNTIF(FORNECEDORES_FANTASIA,$I453)=0),"⚠ Cliente/Fornecedor não cadastrado",IF(AND($G453&lt;&gt;"",COUNTIF(SUBCATEGORIAS_PLANO,$G453)=0),"⚠ Subcategoria fora do plano de contas",IF(OR($Q453="",N($Q453)=0),"⚠ Valor previsto não informado",IF(AND(OR($X453="Pago",$X453="Recebido"),$D453=""),"⚠ Status pago/recebido sem data",IF(AND($D453&lt;&gt;"",N($R453)=0),"⚠ Data de pagamento sem valor realizado",IF(AND(N($P453)&gt;1,N($O453)&gt;N($P453)),"⚠ Nº da parcela maior que o total",IF(AND($C453&lt;&gt;"",$B453&lt;&gt;"",$C453&lt;$B453),"⚠ Vencimento anterior à competência","OK"))))))))</f>
        <v/>
      </c>
    </row>
    <row r="454">
      <c r="A454" s="14" t="inlineStr">
        <is>
          <t>L0449</t>
        </is>
      </c>
      <c r="B454" s="36" t="n">
        <v>46306</v>
      </c>
      <c r="C454" s="36" t="n">
        <v>46321</v>
      </c>
      <c r="D454" s="36" t="n"/>
      <c r="E454" s="14" t="inlineStr">
        <is>
          <t>Entrada</t>
        </is>
      </c>
      <c r="F454" s="29" t="inlineStr">
        <is>
          <t>Vendas</t>
        </is>
      </c>
      <c r="G454" s="29" t="inlineStr">
        <is>
          <t>Vendas de Produtos</t>
        </is>
      </c>
      <c r="H454" s="29" t="inlineStr">
        <is>
          <t>Comercial</t>
        </is>
      </c>
      <c r="I454" s="29" t="inlineStr">
        <is>
          <t>RESTAURANTE SABOR CASEIRO LTDA</t>
        </is>
      </c>
      <c r="J454" s="29" t="inlineStr">
        <is>
          <t>Venda de mercadorias para revenda</t>
        </is>
      </c>
      <c r="K454" s="14" t="inlineStr">
        <is>
          <t>NF-e 2112</t>
        </is>
      </c>
      <c r="L454" s="29" t="inlineStr">
        <is>
          <t>Itaú Unibanco — C/C 45678-9</t>
        </is>
      </c>
      <c r="M454" s="14" t="inlineStr">
        <is>
          <t>Boleto</t>
        </is>
      </c>
      <c r="N454" s="29" t="n"/>
      <c r="O454" s="13" t="n">
        <v>1</v>
      </c>
      <c r="P454" s="13" t="n">
        <v>1</v>
      </c>
      <c r="Q454" s="35" t="n">
        <v>20922.92</v>
      </c>
      <c r="R454" s="35" t="n"/>
      <c r="S454" s="35" t="n"/>
      <c r="T454" s="35" t="n"/>
      <c r="U454" s="35" t="n"/>
      <c r="V454" s="18">
        <f>IF(COUNTA($B454:$R454)=0,"",ROUND(N($R454)+N($S454)+N($T454)-N($U454),2))</f>
        <v/>
      </c>
      <c r="W454" s="18">
        <f>IF(COUNTA($B454:$R454)=0,"",IF(OR($X454="Pago",$X454="Recebido",$X454="Cancelado"),0,ROUND(N($Q454)+N($S454)+N($T454)-N($U454)-N($R454),2)))</f>
        <v/>
      </c>
      <c r="X454" s="14" t="inlineStr">
        <is>
          <t>Previsto</t>
        </is>
      </c>
      <c r="Y454" s="17">
        <f>IF(COUNTA($B454:$R454)=0,"",IF($X454="Cancelado","Cancelado",IF(OR($X454="Pago",$X454="Recebido"),$X454,IF(OR($X454="Parcial",N($R454)&gt;0),"Parcial",IF($C454="","Sem vencimento",IF($C454&lt;TODAY(),"Vencido",IF($C454=TODAY(),"Vence hoje",IF($C454&lt;=TODAY()+7,"Vence em 7 dias",IF($C454&lt;=TODAY()+30,"Vence em 30 dias","Futuro")))))))))</f>
        <v/>
      </c>
      <c r="Z454" s="24">
        <f>IF($B454="","",MONTH($B454))</f>
        <v/>
      </c>
      <c r="AA454" s="24">
        <f>IF($B454="","",YEAR($B454))</f>
        <v/>
      </c>
      <c r="AB454" s="24">
        <f>IF($B454="","",ISOWEEKNUM($B454))</f>
        <v/>
      </c>
      <c r="AC454" s="17">
        <f>IF($B454="","",CHOOSE(WEEKDAY($B454,2),"Segunda","Terça","Quarta","Quinta","Sexta","Sábado","Domingo"))</f>
        <v/>
      </c>
      <c r="AD454" s="17">
        <f>IF($B454="","",TEXT($B454,"MM/AAAA"))</f>
        <v/>
      </c>
      <c r="AE454" s="18">
        <f>IF(COUNTA($B454:$R454)=0,"",IF($X454="Cancelado",0,ROUND(N($Q454)+N($S454)+N($T454)-N($U454),2)))</f>
        <v/>
      </c>
      <c r="AF454" s="9">
        <f>IF($G454="","",IFERROR(INDEX(LINHAS_DRE_PLANO,MATCH($G454,SUBCATEGORIAS_PLANO,0)),"Não classificado"))</f>
        <v/>
      </c>
      <c r="AG454" s="17">
        <f>IF($G454="","",IFERROR(INDEX(TIPOS_FLUXO_PLANO,MATCH($G454,SUBCATEGORIAS_PLANO,0)),"Não classificado"))</f>
        <v/>
      </c>
      <c r="AH454" s="9">
        <f>IF($G454="","",IFERROR(INDEX(GRUPOS_PLANO,MATCH($G454,SUBCATEGORIAS_PLANO,0)),"Não classificado"))</f>
        <v/>
      </c>
      <c r="AI454" s="24">
        <f>IF(OR($C454="",$X454="Pago",$X454="Recebido",$X454="Cancelado"),"",$C454-TODAY())</f>
        <v/>
      </c>
      <c r="AJ454" s="24">
        <f>IF(OR($C454="",$X454="Pago",$X454="Recebido",$X454="Cancelado"),0,MAX(0,TODAY()-$C454))</f>
        <v/>
      </c>
      <c r="AK454" s="24">
        <f>IF($D454="","",$D454-$B454)</f>
        <v/>
      </c>
      <c r="AL454" s="18">
        <f>IF(OR($D454="",$B454=""),"",ROUND(N($R454)*($D454-$B454),2))</f>
        <v/>
      </c>
      <c r="AM454" s="17">
        <f>IF(AND($E454="Saída",$W454&gt;0,$C454&lt;&gt;""),$C454+ROW()/1000000,"")</f>
        <v/>
      </c>
      <c r="AN454" s="17">
        <f>IF(AND($E454="Entrada",$W454&gt;0,$C454&lt;&gt;""),$C454+ROW()/1000000,"")</f>
        <v/>
      </c>
      <c r="AO454" s="9">
        <f>IF(COUNTA($B454:$R454)=0,"",IF(AND($I454&lt;&gt;"",COUNTIF(CLIENTES_NOMES,$I454)+COUNTIF(CLIENTES_FANTASIA,$I454)+COUNTIF(FORNECEDORES_NOMES,$I454)+COUNTIF(FORNECEDORES_FANTASIA,$I454)=0),"⚠ Cliente/Fornecedor não cadastrado",IF(AND($G454&lt;&gt;"",COUNTIF(SUBCATEGORIAS_PLANO,$G454)=0),"⚠ Subcategoria fora do plano de contas",IF(OR($Q454="",N($Q454)=0),"⚠ Valor previsto não informado",IF(AND(OR($X454="Pago",$X454="Recebido"),$D454=""),"⚠ Status pago/recebido sem data",IF(AND($D454&lt;&gt;"",N($R454)=0),"⚠ Data de pagamento sem valor realizado",IF(AND(N($P454)&gt;1,N($O454)&gt;N($P454)),"⚠ Nº da parcela maior que o total",IF(AND($C454&lt;&gt;"",$B454&lt;&gt;"",$C454&lt;$B454),"⚠ Vencimento anterior à competência","OK"))))))))</f>
        <v/>
      </c>
    </row>
    <row r="455">
      <c r="A455" s="14" t="inlineStr">
        <is>
          <t>L0450</t>
        </is>
      </c>
      <c r="B455" s="36" t="n">
        <v>46306</v>
      </c>
      <c r="C455" s="36" t="n">
        <v>46336</v>
      </c>
      <c r="D455" s="36" t="n"/>
      <c r="E455" s="14" t="inlineStr">
        <is>
          <t>Entrada</t>
        </is>
      </c>
      <c r="F455" s="29" t="inlineStr">
        <is>
          <t>Vendas</t>
        </is>
      </c>
      <c r="G455" s="29" t="inlineStr">
        <is>
          <t>Vendas de Produtos</t>
        </is>
      </c>
      <c r="H455" s="29" t="inlineStr">
        <is>
          <t>Comercial</t>
        </is>
      </c>
      <c r="I455" s="29" t="inlineStr">
        <is>
          <t>HOTEL VISTA ALEGRE LTDA</t>
        </is>
      </c>
      <c r="J455" s="29" t="inlineStr">
        <is>
          <t>Venda de mercadorias para revenda</t>
        </is>
      </c>
      <c r="K455" s="14" t="inlineStr">
        <is>
          <t>NF-e 2115</t>
        </is>
      </c>
      <c r="L455" s="29" t="inlineStr">
        <is>
          <t>Itaú Unibanco — C/C 45678-9</t>
        </is>
      </c>
      <c r="M455" s="14" t="inlineStr">
        <is>
          <t>Boleto</t>
        </is>
      </c>
      <c r="N455" s="29" t="n"/>
      <c r="O455" s="13" t="n">
        <v>1</v>
      </c>
      <c r="P455" s="13" t="n">
        <v>1</v>
      </c>
      <c r="Q455" s="35" t="n">
        <v>39169.65</v>
      </c>
      <c r="R455" s="35" t="n"/>
      <c r="S455" s="35" t="n"/>
      <c r="T455" s="35" t="n"/>
      <c r="U455" s="35" t="n"/>
      <c r="V455" s="18">
        <f>IF(COUNTA($B455:$R455)=0,"",ROUND(N($R455)+N($S455)+N($T455)-N($U455),2))</f>
        <v/>
      </c>
      <c r="W455" s="18">
        <f>IF(COUNTA($B455:$R455)=0,"",IF(OR($X455="Pago",$X455="Recebido",$X455="Cancelado"),0,ROUND(N($Q455)+N($S455)+N($T455)-N($U455)-N($R455),2)))</f>
        <v/>
      </c>
      <c r="X455" s="14" t="inlineStr">
        <is>
          <t>Previsto</t>
        </is>
      </c>
      <c r="Y455" s="17">
        <f>IF(COUNTA($B455:$R455)=0,"",IF($X455="Cancelado","Cancelado",IF(OR($X455="Pago",$X455="Recebido"),$X455,IF(OR($X455="Parcial",N($R455)&gt;0),"Parcial",IF($C455="","Sem vencimento",IF($C455&lt;TODAY(),"Vencido",IF($C455=TODAY(),"Vence hoje",IF($C455&lt;=TODAY()+7,"Vence em 7 dias",IF($C455&lt;=TODAY()+30,"Vence em 30 dias","Futuro")))))))))</f>
        <v/>
      </c>
      <c r="Z455" s="24">
        <f>IF($B455="","",MONTH($B455))</f>
        <v/>
      </c>
      <c r="AA455" s="24">
        <f>IF($B455="","",YEAR($B455))</f>
        <v/>
      </c>
      <c r="AB455" s="24">
        <f>IF($B455="","",ISOWEEKNUM($B455))</f>
        <v/>
      </c>
      <c r="AC455" s="17">
        <f>IF($B455="","",CHOOSE(WEEKDAY($B455,2),"Segunda","Terça","Quarta","Quinta","Sexta","Sábado","Domingo"))</f>
        <v/>
      </c>
      <c r="AD455" s="17">
        <f>IF($B455="","",TEXT($B455,"MM/AAAA"))</f>
        <v/>
      </c>
      <c r="AE455" s="18">
        <f>IF(COUNTA($B455:$R455)=0,"",IF($X455="Cancelado",0,ROUND(N($Q455)+N($S455)+N($T455)-N($U455),2)))</f>
        <v/>
      </c>
      <c r="AF455" s="9">
        <f>IF($G455="","",IFERROR(INDEX(LINHAS_DRE_PLANO,MATCH($G455,SUBCATEGORIAS_PLANO,0)),"Não classificado"))</f>
        <v/>
      </c>
      <c r="AG455" s="17">
        <f>IF($G455="","",IFERROR(INDEX(TIPOS_FLUXO_PLANO,MATCH($G455,SUBCATEGORIAS_PLANO,0)),"Não classificado"))</f>
        <v/>
      </c>
      <c r="AH455" s="9">
        <f>IF($G455="","",IFERROR(INDEX(GRUPOS_PLANO,MATCH($G455,SUBCATEGORIAS_PLANO,0)),"Não classificado"))</f>
        <v/>
      </c>
      <c r="AI455" s="24">
        <f>IF(OR($C455="",$X455="Pago",$X455="Recebido",$X455="Cancelado"),"",$C455-TODAY())</f>
        <v/>
      </c>
      <c r="AJ455" s="24">
        <f>IF(OR($C455="",$X455="Pago",$X455="Recebido",$X455="Cancelado"),0,MAX(0,TODAY()-$C455))</f>
        <v/>
      </c>
      <c r="AK455" s="24">
        <f>IF($D455="","",$D455-$B455)</f>
        <v/>
      </c>
      <c r="AL455" s="18">
        <f>IF(OR($D455="",$B455=""),"",ROUND(N($R455)*($D455-$B455),2))</f>
        <v/>
      </c>
      <c r="AM455" s="17">
        <f>IF(AND($E455="Saída",$W455&gt;0,$C455&lt;&gt;""),$C455+ROW()/1000000,"")</f>
        <v/>
      </c>
      <c r="AN455" s="17">
        <f>IF(AND($E455="Entrada",$W455&gt;0,$C455&lt;&gt;""),$C455+ROW()/1000000,"")</f>
        <v/>
      </c>
      <c r="AO455" s="9">
        <f>IF(COUNTA($B455:$R455)=0,"",IF(AND($I455&lt;&gt;"",COUNTIF(CLIENTES_NOMES,$I455)+COUNTIF(CLIENTES_FANTASIA,$I455)+COUNTIF(FORNECEDORES_NOMES,$I455)+COUNTIF(FORNECEDORES_FANTASIA,$I455)=0),"⚠ Cliente/Fornecedor não cadastrado",IF(AND($G455&lt;&gt;"",COUNTIF(SUBCATEGORIAS_PLANO,$G455)=0),"⚠ Subcategoria fora do plano de contas",IF(OR($Q455="",N($Q455)=0),"⚠ Valor previsto não informado",IF(AND(OR($X455="Pago",$X455="Recebido"),$D455=""),"⚠ Status pago/recebido sem data",IF(AND($D455&lt;&gt;"",N($R455)=0),"⚠ Data de pagamento sem valor realizado",IF(AND(N($P455)&gt;1,N($O455)&gt;N($P455)),"⚠ Nº da parcela maior que o total",IF(AND($C455&lt;&gt;"",$B455&lt;&gt;"",$C455&lt;$B455),"⚠ Vencimento anterior à competência","OK"))))))))</f>
        <v/>
      </c>
    </row>
    <row r="456">
      <c r="A456" s="14" t="inlineStr">
        <is>
          <t>L0451</t>
        </is>
      </c>
      <c r="B456" s="36" t="n">
        <v>46306</v>
      </c>
      <c r="C456" s="36" t="n">
        <v>46328</v>
      </c>
      <c r="D456" s="36" t="n"/>
      <c r="E456" s="14" t="inlineStr">
        <is>
          <t>Entrada</t>
        </is>
      </c>
      <c r="F456" s="29" t="inlineStr">
        <is>
          <t>Vendas</t>
        </is>
      </c>
      <c r="G456" s="29" t="inlineStr">
        <is>
          <t>Vendas de Produtos</t>
        </is>
      </c>
      <c r="H456" s="29" t="inlineStr">
        <is>
          <t>Comercial</t>
        </is>
      </c>
      <c r="I456" s="29" t="inlineStr">
        <is>
          <t>EMPÓRIO NATURAL COMÉRCIO LTDA</t>
        </is>
      </c>
      <c r="J456" s="29" t="inlineStr">
        <is>
          <t>Venda de mercadorias para revenda</t>
        </is>
      </c>
      <c r="K456" s="14" t="inlineStr">
        <is>
          <t>NF-e 2116</t>
        </is>
      </c>
      <c r="L456" s="29" t="inlineStr">
        <is>
          <t>Itaú Unibanco — C/C 45678-9</t>
        </is>
      </c>
      <c r="M456" s="14" t="inlineStr">
        <is>
          <t>Boleto</t>
        </is>
      </c>
      <c r="N456" s="29" t="n"/>
      <c r="O456" s="13" t="n">
        <v>1</v>
      </c>
      <c r="P456" s="13" t="n">
        <v>1</v>
      </c>
      <c r="Q456" s="35" t="n">
        <v>28604.17</v>
      </c>
      <c r="R456" s="35" t="n"/>
      <c r="S456" s="35" t="n"/>
      <c r="T456" s="35" t="n"/>
      <c r="U456" s="35" t="n"/>
      <c r="V456" s="18">
        <f>IF(COUNTA($B456:$R456)=0,"",ROUND(N($R456)+N($S456)+N($T456)-N($U456),2))</f>
        <v/>
      </c>
      <c r="W456" s="18">
        <f>IF(COUNTA($B456:$R456)=0,"",IF(OR($X456="Pago",$X456="Recebido",$X456="Cancelado"),0,ROUND(N($Q456)+N($S456)+N($T456)-N($U456)-N($R456),2)))</f>
        <v/>
      </c>
      <c r="X456" s="14" t="inlineStr">
        <is>
          <t>Previsto</t>
        </is>
      </c>
      <c r="Y456" s="17">
        <f>IF(COUNTA($B456:$R456)=0,"",IF($X456="Cancelado","Cancelado",IF(OR($X456="Pago",$X456="Recebido"),$X456,IF(OR($X456="Parcial",N($R456)&gt;0),"Parcial",IF($C456="","Sem vencimento",IF($C456&lt;TODAY(),"Vencido",IF($C456=TODAY(),"Vence hoje",IF($C456&lt;=TODAY()+7,"Vence em 7 dias",IF($C456&lt;=TODAY()+30,"Vence em 30 dias","Futuro")))))))))</f>
        <v/>
      </c>
      <c r="Z456" s="24">
        <f>IF($B456="","",MONTH($B456))</f>
        <v/>
      </c>
      <c r="AA456" s="24">
        <f>IF($B456="","",YEAR($B456))</f>
        <v/>
      </c>
      <c r="AB456" s="24">
        <f>IF($B456="","",ISOWEEKNUM($B456))</f>
        <v/>
      </c>
      <c r="AC456" s="17">
        <f>IF($B456="","",CHOOSE(WEEKDAY($B456,2),"Segunda","Terça","Quarta","Quinta","Sexta","Sábado","Domingo"))</f>
        <v/>
      </c>
      <c r="AD456" s="17">
        <f>IF($B456="","",TEXT($B456,"MM/AAAA"))</f>
        <v/>
      </c>
      <c r="AE456" s="18">
        <f>IF(COUNTA($B456:$R456)=0,"",IF($X456="Cancelado",0,ROUND(N($Q456)+N($S456)+N($T456)-N($U456),2)))</f>
        <v/>
      </c>
      <c r="AF456" s="9">
        <f>IF($G456="","",IFERROR(INDEX(LINHAS_DRE_PLANO,MATCH($G456,SUBCATEGORIAS_PLANO,0)),"Não classificado"))</f>
        <v/>
      </c>
      <c r="AG456" s="17">
        <f>IF($G456="","",IFERROR(INDEX(TIPOS_FLUXO_PLANO,MATCH($G456,SUBCATEGORIAS_PLANO,0)),"Não classificado"))</f>
        <v/>
      </c>
      <c r="AH456" s="9">
        <f>IF($G456="","",IFERROR(INDEX(GRUPOS_PLANO,MATCH($G456,SUBCATEGORIAS_PLANO,0)),"Não classificado"))</f>
        <v/>
      </c>
      <c r="AI456" s="24">
        <f>IF(OR($C456="",$X456="Pago",$X456="Recebido",$X456="Cancelado"),"",$C456-TODAY())</f>
        <v/>
      </c>
      <c r="AJ456" s="24">
        <f>IF(OR($C456="",$X456="Pago",$X456="Recebido",$X456="Cancelado"),0,MAX(0,TODAY()-$C456))</f>
        <v/>
      </c>
      <c r="AK456" s="24">
        <f>IF($D456="","",$D456-$B456)</f>
        <v/>
      </c>
      <c r="AL456" s="18">
        <f>IF(OR($D456="",$B456=""),"",ROUND(N($R456)*($D456-$B456),2))</f>
        <v/>
      </c>
      <c r="AM456" s="17">
        <f>IF(AND($E456="Saída",$W456&gt;0,$C456&lt;&gt;""),$C456+ROW()/1000000,"")</f>
        <v/>
      </c>
      <c r="AN456" s="17">
        <f>IF(AND($E456="Entrada",$W456&gt;0,$C456&lt;&gt;""),$C456+ROW()/1000000,"")</f>
        <v/>
      </c>
      <c r="AO456" s="9">
        <f>IF(COUNTA($B456:$R456)=0,"",IF(AND($I456&lt;&gt;"",COUNTIF(CLIENTES_NOMES,$I456)+COUNTIF(CLIENTES_FANTASIA,$I456)+COUNTIF(FORNECEDORES_NOMES,$I456)+COUNTIF(FORNECEDORES_FANTASIA,$I456)=0),"⚠ Cliente/Fornecedor não cadastrado",IF(AND($G456&lt;&gt;"",COUNTIF(SUBCATEGORIAS_PLANO,$G456)=0),"⚠ Subcategoria fora do plano de contas",IF(OR($Q456="",N($Q456)=0),"⚠ Valor previsto não informado",IF(AND(OR($X456="Pago",$X456="Recebido"),$D456=""),"⚠ Status pago/recebido sem data",IF(AND($D456&lt;&gt;"",N($R456)=0),"⚠ Data de pagamento sem valor realizado",IF(AND(N($P456)&gt;1,N($O456)&gt;N($P456)),"⚠ Nº da parcela maior que o total",IF(AND($C456&lt;&gt;"",$B456&lt;&gt;"",$C456&lt;$B456),"⚠ Vencimento anterior à competência","OK"))))))))</f>
        <v/>
      </c>
    </row>
    <row r="457">
      <c r="A457" s="14" t="inlineStr">
        <is>
          <t>L0452</t>
        </is>
      </c>
      <c r="B457" s="36" t="n">
        <v>46307</v>
      </c>
      <c r="C457" s="36" t="n">
        <v>46322</v>
      </c>
      <c r="D457" s="36" t="n"/>
      <c r="E457" s="14" t="inlineStr">
        <is>
          <t>Saída</t>
        </is>
      </c>
      <c r="F457" s="29" t="inlineStr">
        <is>
          <t>Custos Variáveis</t>
        </is>
      </c>
      <c r="G457" s="29" t="inlineStr">
        <is>
          <t>Embalagens</t>
        </is>
      </c>
      <c r="H457" s="29" t="inlineStr">
        <is>
          <t>Logística</t>
        </is>
      </c>
      <c r="I457" s="29" t="inlineStr">
        <is>
          <t>EMBALAGENS PAULISTA LTDA</t>
        </is>
      </c>
      <c r="J457" s="29" t="inlineStr">
        <is>
          <t>Compra de embalagens e etiquetas</t>
        </is>
      </c>
      <c r="K457" s="14" t="inlineStr">
        <is>
          <t>DOC 7241</t>
        </is>
      </c>
      <c r="L457" s="29" t="inlineStr">
        <is>
          <t>Banco do Brasil — C/C 12345-6</t>
        </is>
      </c>
      <c r="M457" s="14" t="inlineStr">
        <is>
          <t>Boleto</t>
        </is>
      </c>
      <c r="N457" s="29" t="n"/>
      <c r="O457" s="13" t="n">
        <v>1</v>
      </c>
      <c r="P457" s="13" t="n">
        <v>1</v>
      </c>
      <c r="Q457" s="35" t="n">
        <v>2831.27</v>
      </c>
      <c r="R457" s="35" t="n"/>
      <c r="S457" s="35" t="n"/>
      <c r="T457" s="35" t="n"/>
      <c r="U457" s="35" t="n"/>
      <c r="V457" s="18">
        <f>IF(COUNTA($B457:$R457)=0,"",ROUND(N($R457)+N($S457)+N($T457)-N($U457),2))</f>
        <v/>
      </c>
      <c r="W457" s="18">
        <f>IF(COUNTA($B457:$R457)=0,"",IF(OR($X457="Pago",$X457="Recebido",$X457="Cancelado"),0,ROUND(N($Q457)+N($S457)+N($T457)-N($U457)-N($R457),2)))</f>
        <v/>
      </c>
      <c r="X457" s="14" t="inlineStr">
        <is>
          <t>Previsto</t>
        </is>
      </c>
      <c r="Y457" s="17">
        <f>IF(COUNTA($B457:$R457)=0,"",IF($X457="Cancelado","Cancelado",IF(OR($X457="Pago",$X457="Recebido"),$X457,IF(OR($X457="Parcial",N($R457)&gt;0),"Parcial",IF($C457="","Sem vencimento",IF($C457&lt;TODAY(),"Vencido",IF($C457=TODAY(),"Vence hoje",IF($C457&lt;=TODAY()+7,"Vence em 7 dias",IF($C457&lt;=TODAY()+30,"Vence em 30 dias","Futuro")))))))))</f>
        <v/>
      </c>
      <c r="Z457" s="24">
        <f>IF($B457="","",MONTH($B457))</f>
        <v/>
      </c>
      <c r="AA457" s="24">
        <f>IF($B457="","",YEAR($B457))</f>
        <v/>
      </c>
      <c r="AB457" s="24">
        <f>IF($B457="","",ISOWEEKNUM($B457))</f>
        <v/>
      </c>
      <c r="AC457" s="17">
        <f>IF($B457="","",CHOOSE(WEEKDAY($B457,2),"Segunda","Terça","Quarta","Quinta","Sexta","Sábado","Domingo"))</f>
        <v/>
      </c>
      <c r="AD457" s="17">
        <f>IF($B457="","",TEXT($B457,"MM/AAAA"))</f>
        <v/>
      </c>
      <c r="AE457" s="18">
        <f>IF(COUNTA($B457:$R457)=0,"",IF($X457="Cancelado",0,ROUND(N($Q457)+N($S457)+N($T457)-N($U457),2)))</f>
        <v/>
      </c>
      <c r="AF457" s="9">
        <f>IF($G457="","",IFERROR(INDEX(LINHAS_DRE_PLANO,MATCH($G457,SUBCATEGORIAS_PLANO,0)),"Não classificado"))</f>
        <v/>
      </c>
      <c r="AG457" s="17">
        <f>IF($G457="","",IFERROR(INDEX(TIPOS_FLUXO_PLANO,MATCH($G457,SUBCATEGORIAS_PLANO,0)),"Não classificado"))</f>
        <v/>
      </c>
      <c r="AH457" s="9">
        <f>IF($G457="","",IFERROR(INDEX(GRUPOS_PLANO,MATCH($G457,SUBCATEGORIAS_PLANO,0)),"Não classificado"))</f>
        <v/>
      </c>
      <c r="AI457" s="24">
        <f>IF(OR($C457="",$X457="Pago",$X457="Recebido",$X457="Cancelado"),"",$C457-TODAY())</f>
        <v/>
      </c>
      <c r="AJ457" s="24">
        <f>IF(OR($C457="",$X457="Pago",$X457="Recebido",$X457="Cancelado"),0,MAX(0,TODAY()-$C457))</f>
        <v/>
      </c>
      <c r="AK457" s="24">
        <f>IF($D457="","",$D457-$B457)</f>
        <v/>
      </c>
      <c r="AL457" s="18">
        <f>IF(OR($D457="",$B457=""),"",ROUND(N($R457)*($D457-$B457),2))</f>
        <v/>
      </c>
      <c r="AM457" s="17">
        <f>IF(AND($E457="Saída",$W457&gt;0,$C457&lt;&gt;""),$C457+ROW()/1000000,"")</f>
        <v/>
      </c>
      <c r="AN457" s="17">
        <f>IF(AND($E457="Entrada",$W457&gt;0,$C457&lt;&gt;""),$C457+ROW()/1000000,"")</f>
        <v/>
      </c>
      <c r="AO457" s="9">
        <f>IF(COUNTA($B457:$R457)=0,"",IF(AND($I457&lt;&gt;"",COUNTIF(CLIENTES_NOMES,$I457)+COUNTIF(CLIENTES_FANTASIA,$I457)+COUNTIF(FORNECEDORES_NOMES,$I457)+COUNTIF(FORNECEDORES_FANTASIA,$I457)=0),"⚠ Cliente/Fornecedor não cadastrado",IF(AND($G457&lt;&gt;"",COUNTIF(SUBCATEGORIAS_PLANO,$G457)=0),"⚠ Subcategoria fora do plano de contas",IF(OR($Q457="",N($Q457)=0),"⚠ Valor previsto não informado",IF(AND(OR($X457="Pago",$X457="Recebido"),$D457=""),"⚠ Status pago/recebido sem data",IF(AND($D457&lt;&gt;"",N($R457)=0),"⚠ Data de pagamento sem valor realizado",IF(AND(N($P457)&gt;1,N($O457)&gt;N($P457)),"⚠ Nº da parcela maior que o total",IF(AND($C457&lt;&gt;"",$B457&lt;&gt;"",$C457&lt;$B457),"⚠ Vencimento anterior à competência","OK"))))))))</f>
        <v/>
      </c>
    </row>
    <row r="458">
      <c r="A458" s="14" t="inlineStr">
        <is>
          <t>L0453</t>
        </is>
      </c>
      <c r="B458" s="36" t="n">
        <v>46307</v>
      </c>
      <c r="C458" s="36" t="n">
        <v>46317</v>
      </c>
      <c r="D458" s="36" t="n"/>
      <c r="E458" s="14" t="inlineStr">
        <is>
          <t>Saída</t>
        </is>
      </c>
      <c r="F458" s="29" t="inlineStr">
        <is>
          <t>Despesas Administrativas</t>
        </is>
      </c>
      <c r="G458" s="29" t="inlineStr">
        <is>
          <t>Energia Elétrica</t>
        </is>
      </c>
      <c r="H458" s="29" t="inlineStr">
        <is>
          <t>Administrativo</t>
        </is>
      </c>
      <c r="I458" s="29" t="inlineStr">
        <is>
          <t>ENEL DISTRIBUIÇÃO SÃO PAULO</t>
        </is>
      </c>
      <c r="J458" s="29" t="inlineStr">
        <is>
          <t>Energia elétrica — fatura 10/2026</t>
        </is>
      </c>
      <c r="K458" s="14" t="inlineStr">
        <is>
          <t>DOC 8415</t>
        </is>
      </c>
      <c r="L458" s="29" t="inlineStr">
        <is>
          <t>Itaú Unibanco — C/C 45678-9</t>
        </is>
      </c>
      <c r="M458" s="14" t="inlineStr">
        <is>
          <t>Débito automático</t>
        </is>
      </c>
      <c r="N458" s="29" t="n"/>
      <c r="O458" s="13" t="n">
        <v>1</v>
      </c>
      <c r="P458" s="13" t="n">
        <v>1</v>
      </c>
      <c r="Q458" s="35" t="n">
        <v>2648.79</v>
      </c>
      <c r="R458" s="35" t="n"/>
      <c r="S458" s="35" t="n"/>
      <c r="T458" s="35" t="n"/>
      <c r="U458" s="35" t="n"/>
      <c r="V458" s="18">
        <f>IF(COUNTA($B458:$R458)=0,"",ROUND(N($R458)+N($S458)+N($T458)-N($U458),2))</f>
        <v/>
      </c>
      <c r="W458" s="18">
        <f>IF(COUNTA($B458:$R458)=0,"",IF(OR($X458="Pago",$X458="Recebido",$X458="Cancelado"),0,ROUND(N($Q458)+N($S458)+N($T458)-N($U458)-N($R458),2)))</f>
        <v/>
      </c>
      <c r="X458" s="14" t="inlineStr">
        <is>
          <t>Previsto</t>
        </is>
      </c>
      <c r="Y458" s="17">
        <f>IF(COUNTA($B458:$R458)=0,"",IF($X458="Cancelado","Cancelado",IF(OR($X458="Pago",$X458="Recebido"),$X458,IF(OR($X458="Parcial",N($R458)&gt;0),"Parcial",IF($C458="","Sem vencimento",IF($C458&lt;TODAY(),"Vencido",IF($C458=TODAY(),"Vence hoje",IF($C458&lt;=TODAY()+7,"Vence em 7 dias",IF($C458&lt;=TODAY()+30,"Vence em 30 dias","Futuro")))))))))</f>
        <v/>
      </c>
      <c r="Z458" s="24">
        <f>IF($B458="","",MONTH($B458))</f>
        <v/>
      </c>
      <c r="AA458" s="24">
        <f>IF($B458="","",YEAR($B458))</f>
        <v/>
      </c>
      <c r="AB458" s="24">
        <f>IF($B458="","",ISOWEEKNUM($B458))</f>
        <v/>
      </c>
      <c r="AC458" s="17">
        <f>IF($B458="","",CHOOSE(WEEKDAY($B458,2),"Segunda","Terça","Quarta","Quinta","Sexta","Sábado","Domingo"))</f>
        <v/>
      </c>
      <c r="AD458" s="17">
        <f>IF($B458="","",TEXT($B458,"MM/AAAA"))</f>
        <v/>
      </c>
      <c r="AE458" s="18">
        <f>IF(COUNTA($B458:$R458)=0,"",IF($X458="Cancelado",0,ROUND(N($Q458)+N($S458)+N($T458)-N($U458),2)))</f>
        <v/>
      </c>
      <c r="AF458" s="9">
        <f>IF($G458="","",IFERROR(INDEX(LINHAS_DRE_PLANO,MATCH($G458,SUBCATEGORIAS_PLANO,0)),"Não classificado"))</f>
        <v/>
      </c>
      <c r="AG458" s="17">
        <f>IF($G458="","",IFERROR(INDEX(TIPOS_FLUXO_PLANO,MATCH($G458,SUBCATEGORIAS_PLANO,0)),"Não classificado"))</f>
        <v/>
      </c>
      <c r="AH458" s="9">
        <f>IF($G458="","",IFERROR(INDEX(GRUPOS_PLANO,MATCH($G458,SUBCATEGORIAS_PLANO,0)),"Não classificado"))</f>
        <v/>
      </c>
      <c r="AI458" s="24">
        <f>IF(OR($C458="",$X458="Pago",$X458="Recebido",$X458="Cancelado"),"",$C458-TODAY())</f>
        <v/>
      </c>
      <c r="AJ458" s="24">
        <f>IF(OR($C458="",$X458="Pago",$X458="Recebido",$X458="Cancelado"),0,MAX(0,TODAY()-$C458))</f>
        <v/>
      </c>
      <c r="AK458" s="24">
        <f>IF($D458="","",$D458-$B458)</f>
        <v/>
      </c>
      <c r="AL458" s="18">
        <f>IF(OR($D458="",$B458=""),"",ROUND(N($R458)*($D458-$B458),2))</f>
        <v/>
      </c>
      <c r="AM458" s="17">
        <f>IF(AND($E458="Saída",$W458&gt;0,$C458&lt;&gt;""),$C458+ROW()/1000000,"")</f>
        <v/>
      </c>
      <c r="AN458" s="17">
        <f>IF(AND($E458="Entrada",$W458&gt;0,$C458&lt;&gt;""),$C458+ROW()/1000000,"")</f>
        <v/>
      </c>
      <c r="AO458" s="9">
        <f>IF(COUNTA($B458:$R458)=0,"",IF(AND($I458&lt;&gt;"",COUNTIF(CLIENTES_NOMES,$I458)+COUNTIF(CLIENTES_FANTASIA,$I458)+COUNTIF(FORNECEDORES_NOMES,$I458)+COUNTIF(FORNECEDORES_FANTASIA,$I458)=0),"⚠ Cliente/Fornecedor não cadastrado",IF(AND($G458&lt;&gt;"",COUNTIF(SUBCATEGORIAS_PLANO,$G458)=0),"⚠ Subcategoria fora do plano de contas",IF(OR($Q458="",N($Q458)=0),"⚠ Valor previsto não informado",IF(AND(OR($X458="Pago",$X458="Recebido"),$D458=""),"⚠ Status pago/recebido sem data",IF(AND($D458&lt;&gt;"",N($R458)=0),"⚠ Data de pagamento sem valor realizado",IF(AND(N($P458)&gt;1,N($O458)&gt;N($P458)),"⚠ Nº da parcela maior que o total",IF(AND($C458&lt;&gt;"",$B458&lt;&gt;"",$C458&lt;$B458),"⚠ Vencimento anterior à competência","OK"))))))))</f>
        <v/>
      </c>
    </row>
    <row r="459">
      <c r="A459" s="14" t="inlineStr">
        <is>
          <t>L0454</t>
        </is>
      </c>
      <c r="B459" s="36" t="n">
        <v>46310</v>
      </c>
      <c r="C459" s="36" t="n">
        <v>46322</v>
      </c>
      <c r="D459" s="36" t="n"/>
      <c r="E459" s="14" t="inlineStr">
        <is>
          <t>Saída</t>
        </is>
      </c>
      <c r="F459" s="29" t="inlineStr">
        <is>
          <t>Despesas Administrativas</t>
        </is>
      </c>
      <c r="G459" s="29" t="inlineStr">
        <is>
          <t>Água e Saneamento</t>
        </is>
      </c>
      <c r="H459" s="29" t="inlineStr">
        <is>
          <t>Administrativo</t>
        </is>
      </c>
      <c r="I459" s="29" t="inlineStr">
        <is>
          <t>SABESP — SANEAMENTO BÁSICO DO ESTADO DE SÃO PAULO</t>
        </is>
      </c>
      <c r="J459" s="29" t="inlineStr">
        <is>
          <t>Água e saneamento — fatura 10/2026</t>
        </is>
      </c>
      <c r="K459" s="14" t="inlineStr">
        <is>
          <t>DOC 8416</t>
        </is>
      </c>
      <c r="L459" s="29" t="inlineStr">
        <is>
          <t>Itaú Unibanco — C/C 45678-9</t>
        </is>
      </c>
      <c r="M459" s="14" t="inlineStr">
        <is>
          <t>Débito automático</t>
        </is>
      </c>
      <c r="N459" s="29" t="n"/>
      <c r="O459" s="13" t="n">
        <v>1</v>
      </c>
      <c r="P459" s="13" t="n">
        <v>1</v>
      </c>
      <c r="Q459" s="35" t="n">
        <v>479.24</v>
      </c>
      <c r="R459" s="35" t="n"/>
      <c r="S459" s="35" t="n"/>
      <c r="T459" s="35" t="n"/>
      <c r="U459" s="35" t="n"/>
      <c r="V459" s="18">
        <f>IF(COUNTA($B459:$R459)=0,"",ROUND(N($R459)+N($S459)+N($T459)-N($U459),2))</f>
        <v/>
      </c>
      <c r="W459" s="18">
        <f>IF(COUNTA($B459:$R459)=0,"",IF(OR($X459="Pago",$X459="Recebido",$X459="Cancelado"),0,ROUND(N($Q459)+N($S459)+N($T459)-N($U459)-N($R459),2)))</f>
        <v/>
      </c>
      <c r="X459" s="14" t="inlineStr">
        <is>
          <t>Previsto</t>
        </is>
      </c>
      <c r="Y459" s="17">
        <f>IF(COUNTA($B459:$R459)=0,"",IF($X459="Cancelado","Cancelado",IF(OR($X459="Pago",$X459="Recebido"),$X459,IF(OR($X459="Parcial",N($R459)&gt;0),"Parcial",IF($C459="","Sem vencimento",IF($C459&lt;TODAY(),"Vencido",IF($C459=TODAY(),"Vence hoje",IF($C459&lt;=TODAY()+7,"Vence em 7 dias",IF($C459&lt;=TODAY()+30,"Vence em 30 dias","Futuro")))))))))</f>
        <v/>
      </c>
      <c r="Z459" s="24">
        <f>IF($B459="","",MONTH($B459))</f>
        <v/>
      </c>
      <c r="AA459" s="24">
        <f>IF($B459="","",YEAR($B459))</f>
        <v/>
      </c>
      <c r="AB459" s="24">
        <f>IF($B459="","",ISOWEEKNUM($B459))</f>
        <v/>
      </c>
      <c r="AC459" s="17">
        <f>IF($B459="","",CHOOSE(WEEKDAY($B459,2),"Segunda","Terça","Quarta","Quinta","Sexta","Sábado","Domingo"))</f>
        <v/>
      </c>
      <c r="AD459" s="17">
        <f>IF($B459="","",TEXT($B459,"MM/AAAA"))</f>
        <v/>
      </c>
      <c r="AE459" s="18">
        <f>IF(COUNTA($B459:$R459)=0,"",IF($X459="Cancelado",0,ROUND(N($Q459)+N($S459)+N($T459)-N($U459),2)))</f>
        <v/>
      </c>
      <c r="AF459" s="9">
        <f>IF($G459="","",IFERROR(INDEX(LINHAS_DRE_PLANO,MATCH($G459,SUBCATEGORIAS_PLANO,0)),"Não classificado"))</f>
        <v/>
      </c>
      <c r="AG459" s="17">
        <f>IF($G459="","",IFERROR(INDEX(TIPOS_FLUXO_PLANO,MATCH($G459,SUBCATEGORIAS_PLANO,0)),"Não classificado"))</f>
        <v/>
      </c>
      <c r="AH459" s="9">
        <f>IF($G459="","",IFERROR(INDEX(GRUPOS_PLANO,MATCH($G459,SUBCATEGORIAS_PLANO,0)),"Não classificado"))</f>
        <v/>
      </c>
      <c r="AI459" s="24">
        <f>IF(OR($C459="",$X459="Pago",$X459="Recebido",$X459="Cancelado"),"",$C459-TODAY())</f>
        <v/>
      </c>
      <c r="AJ459" s="24">
        <f>IF(OR($C459="",$X459="Pago",$X459="Recebido",$X459="Cancelado"),0,MAX(0,TODAY()-$C459))</f>
        <v/>
      </c>
      <c r="AK459" s="24">
        <f>IF($D459="","",$D459-$B459)</f>
        <v/>
      </c>
      <c r="AL459" s="18">
        <f>IF(OR($D459="",$B459=""),"",ROUND(N($R459)*($D459-$B459),2))</f>
        <v/>
      </c>
      <c r="AM459" s="17">
        <f>IF(AND($E459="Saída",$W459&gt;0,$C459&lt;&gt;""),$C459+ROW()/1000000,"")</f>
        <v/>
      </c>
      <c r="AN459" s="17">
        <f>IF(AND($E459="Entrada",$W459&gt;0,$C459&lt;&gt;""),$C459+ROW()/1000000,"")</f>
        <v/>
      </c>
      <c r="AO459" s="9">
        <f>IF(COUNTA($B459:$R459)=0,"",IF(AND($I459&lt;&gt;"",COUNTIF(CLIENTES_NOMES,$I459)+COUNTIF(CLIENTES_FANTASIA,$I459)+COUNTIF(FORNECEDORES_NOMES,$I459)+COUNTIF(FORNECEDORES_FANTASIA,$I459)=0),"⚠ Cliente/Fornecedor não cadastrado",IF(AND($G459&lt;&gt;"",COUNTIF(SUBCATEGORIAS_PLANO,$G459)=0),"⚠ Subcategoria fora do plano de contas",IF(OR($Q459="",N($Q459)=0),"⚠ Valor previsto não informado",IF(AND(OR($X459="Pago",$X459="Recebido"),$D459=""),"⚠ Status pago/recebido sem data",IF(AND($D459&lt;&gt;"",N($R459)=0),"⚠ Data de pagamento sem valor realizado",IF(AND(N($P459)&gt;1,N($O459)&gt;N($P459)),"⚠ Nº da parcela maior que o total",IF(AND($C459&lt;&gt;"",$B459&lt;&gt;"",$C459&lt;$B459),"⚠ Vencimento anterior à competência","OK"))))))))</f>
        <v/>
      </c>
    </row>
    <row r="460">
      <c r="A460" s="14" t="inlineStr">
        <is>
          <t>L0455</t>
        </is>
      </c>
      <c r="B460" s="36" t="n">
        <v>46310</v>
      </c>
      <c r="C460" s="36" t="n">
        <v>46320</v>
      </c>
      <c r="D460" s="36" t="n"/>
      <c r="E460" s="14" t="inlineStr">
        <is>
          <t>Saída</t>
        </is>
      </c>
      <c r="F460" s="29" t="inlineStr">
        <is>
          <t>Despesas com Pessoal</t>
        </is>
      </c>
      <c r="G460" s="29" t="inlineStr">
        <is>
          <t>Serviços Terceirizados (PJ)</t>
        </is>
      </c>
      <c r="H460" s="29" t="inlineStr">
        <is>
          <t>Produção</t>
        </is>
      </c>
      <c r="I460" s="29" t="inlineStr">
        <is>
          <t>APOIO OPERACIONAL SERVIÇOS LTDA</t>
        </is>
      </c>
      <c r="J460" s="29" t="inlineStr">
        <is>
          <t>Equipe terceirizada de separação e expedição</t>
        </is>
      </c>
      <c r="K460" s="14" t="inlineStr">
        <is>
          <t>DOC 8427</t>
        </is>
      </c>
      <c r="L460" s="29" t="inlineStr">
        <is>
          <t>Banco do Brasil — C/C 12345-6</t>
        </is>
      </c>
      <c r="M460" s="14" t="inlineStr">
        <is>
          <t>PIX</t>
        </is>
      </c>
      <c r="N460" s="29" t="n"/>
      <c r="O460" s="13" t="n">
        <v>1</v>
      </c>
      <c r="P460" s="13" t="n">
        <v>1</v>
      </c>
      <c r="Q460" s="35" t="n">
        <v>1800</v>
      </c>
      <c r="R460" s="35" t="n"/>
      <c r="S460" s="35" t="n"/>
      <c r="T460" s="35" t="n"/>
      <c r="U460" s="35" t="n"/>
      <c r="V460" s="18">
        <f>IF(COUNTA($B460:$R460)=0,"",ROUND(N($R460)+N($S460)+N($T460)-N($U460),2))</f>
        <v/>
      </c>
      <c r="W460" s="18">
        <f>IF(COUNTA($B460:$R460)=0,"",IF(OR($X460="Pago",$X460="Recebido",$X460="Cancelado"),0,ROUND(N($Q460)+N($S460)+N($T460)-N($U460)-N($R460),2)))</f>
        <v/>
      </c>
      <c r="X460" s="14" t="inlineStr">
        <is>
          <t>Previsto</t>
        </is>
      </c>
      <c r="Y460" s="17">
        <f>IF(COUNTA($B460:$R460)=0,"",IF($X460="Cancelado","Cancelado",IF(OR($X460="Pago",$X460="Recebido"),$X460,IF(OR($X460="Parcial",N($R460)&gt;0),"Parcial",IF($C460="","Sem vencimento",IF($C460&lt;TODAY(),"Vencido",IF($C460=TODAY(),"Vence hoje",IF($C460&lt;=TODAY()+7,"Vence em 7 dias",IF($C460&lt;=TODAY()+30,"Vence em 30 dias","Futuro")))))))))</f>
        <v/>
      </c>
      <c r="Z460" s="24">
        <f>IF($B460="","",MONTH($B460))</f>
        <v/>
      </c>
      <c r="AA460" s="24">
        <f>IF($B460="","",YEAR($B460))</f>
        <v/>
      </c>
      <c r="AB460" s="24">
        <f>IF($B460="","",ISOWEEKNUM($B460))</f>
        <v/>
      </c>
      <c r="AC460" s="17">
        <f>IF($B460="","",CHOOSE(WEEKDAY($B460,2),"Segunda","Terça","Quarta","Quinta","Sexta","Sábado","Domingo"))</f>
        <v/>
      </c>
      <c r="AD460" s="17">
        <f>IF($B460="","",TEXT($B460,"MM/AAAA"))</f>
        <v/>
      </c>
      <c r="AE460" s="18">
        <f>IF(COUNTA($B460:$R460)=0,"",IF($X460="Cancelado",0,ROUND(N($Q460)+N($S460)+N($T460)-N($U460),2)))</f>
        <v/>
      </c>
      <c r="AF460" s="9">
        <f>IF($G460="","",IFERROR(INDEX(LINHAS_DRE_PLANO,MATCH($G460,SUBCATEGORIAS_PLANO,0)),"Não classificado"))</f>
        <v/>
      </c>
      <c r="AG460" s="17">
        <f>IF($G460="","",IFERROR(INDEX(TIPOS_FLUXO_PLANO,MATCH($G460,SUBCATEGORIAS_PLANO,0)),"Não classificado"))</f>
        <v/>
      </c>
      <c r="AH460" s="9">
        <f>IF($G460="","",IFERROR(INDEX(GRUPOS_PLANO,MATCH($G460,SUBCATEGORIAS_PLANO,0)),"Não classificado"))</f>
        <v/>
      </c>
      <c r="AI460" s="24">
        <f>IF(OR($C460="",$X460="Pago",$X460="Recebido",$X460="Cancelado"),"",$C460-TODAY())</f>
        <v/>
      </c>
      <c r="AJ460" s="24">
        <f>IF(OR($C460="",$X460="Pago",$X460="Recebido",$X460="Cancelado"),0,MAX(0,TODAY()-$C460))</f>
        <v/>
      </c>
      <c r="AK460" s="24">
        <f>IF($D460="","",$D460-$B460)</f>
        <v/>
      </c>
      <c r="AL460" s="18">
        <f>IF(OR($D460="",$B460=""),"",ROUND(N($R460)*($D460-$B460),2))</f>
        <v/>
      </c>
      <c r="AM460" s="17">
        <f>IF(AND($E460="Saída",$W460&gt;0,$C460&lt;&gt;""),$C460+ROW()/1000000,"")</f>
        <v/>
      </c>
      <c r="AN460" s="17">
        <f>IF(AND($E460="Entrada",$W460&gt;0,$C460&lt;&gt;""),$C460+ROW()/1000000,"")</f>
        <v/>
      </c>
      <c r="AO460" s="9">
        <f>IF(COUNTA($B460:$R460)=0,"",IF(AND($I460&lt;&gt;"",COUNTIF(CLIENTES_NOMES,$I460)+COUNTIF(CLIENTES_FANTASIA,$I460)+COUNTIF(FORNECEDORES_NOMES,$I460)+COUNTIF(FORNECEDORES_FANTASIA,$I460)=0),"⚠ Cliente/Fornecedor não cadastrado",IF(AND($G460&lt;&gt;"",COUNTIF(SUBCATEGORIAS_PLANO,$G460)=0),"⚠ Subcategoria fora do plano de contas",IF(OR($Q460="",N($Q460)=0),"⚠ Valor previsto não informado",IF(AND(OR($X460="Pago",$X460="Recebido"),$D460=""),"⚠ Status pago/recebido sem data",IF(AND($D460&lt;&gt;"",N($R460)=0),"⚠ Data de pagamento sem valor realizado",IF(AND(N($P460)&gt;1,N($O460)&gt;N($P460)),"⚠ Nº da parcela maior que o total",IF(AND($C460&lt;&gt;"",$B460&lt;&gt;"",$C460&lt;$B460),"⚠ Vencimento anterior à competência","OK"))))))))</f>
        <v/>
      </c>
    </row>
    <row r="461">
      <c r="A461" s="14" t="inlineStr">
        <is>
          <t>L0456</t>
        </is>
      </c>
      <c r="B461" s="36" t="n">
        <v>46310</v>
      </c>
      <c r="C461" s="36" t="n">
        <v>46310</v>
      </c>
      <c r="D461" s="36" t="n"/>
      <c r="E461" s="14" t="inlineStr">
        <is>
          <t>Saída</t>
        </is>
      </c>
      <c r="F461" s="29" t="inlineStr">
        <is>
          <t>Empréstimos e Financiamentos</t>
        </is>
      </c>
      <c r="G461" s="29" t="inlineStr">
        <is>
          <t>Pagamento de Principal de Empréstimos</t>
        </is>
      </c>
      <c r="H461" s="29" t="inlineStr">
        <is>
          <t>Financeiro</t>
        </is>
      </c>
      <c r="I461" s="29" t="inlineStr">
        <is>
          <t>BNDES / Banco do Brasil</t>
        </is>
      </c>
      <c r="J461" s="29" t="inlineStr">
        <is>
          <t>Financiamento de Máquinas — parcela 8/36 (principal)</t>
        </is>
      </c>
      <c r="K461" s="14" t="inlineStr">
        <is>
          <t>FIN-2026-1198-P08</t>
        </is>
      </c>
      <c r="L461" s="29" t="inlineStr">
        <is>
          <t>Banco do Brasil — C/C 12345-6</t>
        </is>
      </c>
      <c r="M461" s="14" t="inlineStr">
        <is>
          <t>Débito automático</t>
        </is>
      </c>
      <c r="N461" s="29" t="n"/>
      <c r="O461" s="13" t="n">
        <v>8</v>
      </c>
      <c r="P461" s="13" t="n">
        <v>36</v>
      </c>
      <c r="Q461" s="35" t="n">
        <v>3333.33</v>
      </c>
      <c r="R461" s="35" t="n"/>
      <c r="S461" s="35" t="n"/>
      <c r="T461" s="35" t="n"/>
      <c r="U461" s="35" t="n"/>
      <c r="V461" s="18">
        <f>IF(COUNTA($B461:$R461)=0,"",ROUND(N($R461)+N($S461)+N($T461)-N($U461),2))</f>
        <v/>
      </c>
      <c r="W461" s="18">
        <f>IF(COUNTA($B461:$R461)=0,"",IF(OR($X461="Pago",$X461="Recebido",$X461="Cancelado"),0,ROUND(N($Q461)+N($S461)+N($T461)-N($U461)-N($R461),2)))</f>
        <v/>
      </c>
      <c r="X461" s="14" t="inlineStr">
        <is>
          <t>Previsto</t>
        </is>
      </c>
      <c r="Y461" s="17">
        <f>IF(COUNTA($B461:$R461)=0,"",IF($X461="Cancelado","Cancelado",IF(OR($X461="Pago",$X461="Recebido"),$X461,IF(OR($X461="Parcial",N($R461)&gt;0),"Parcial",IF($C461="","Sem vencimento",IF($C461&lt;TODAY(),"Vencido",IF($C461=TODAY(),"Vence hoje",IF($C461&lt;=TODAY()+7,"Vence em 7 dias",IF($C461&lt;=TODAY()+30,"Vence em 30 dias","Futuro")))))))))</f>
        <v/>
      </c>
      <c r="Z461" s="24">
        <f>IF($B461="","",MONTH($B461))</f>
        <v/>
      </c>
      <c r="AA461" s="24">
        <f>IF($B461="","",YEAR($B461))</f>
        <v/>
      </c>
      <c r="AB461" s="24">
        <f>IF($B461="","",ISOWEEKNUM($B461))</f>
        <v/>
      </c>
      <c r="AC461" s="17">
        <f>IF($B461="","",CHOOSE(WEEKDAY($B461,2),"Segunda","Terça","Quarta","Quinta","Sexta","Sábado","Domingo"))</f>
        <v/>
      </c>
      <c r="AD461" s="17">
        <f>IF($B461="","",TEXT($B461,"MM/AAAA"))</f>
        <v/>
      </c>
      <c r="AE461" s="18">
        <f>IF(COUNTA($B461:$R461)=0,"",IF($X461="Cancelado",0,ROUND(N($Q461)+N($S461)+N($T461)-N($U461),2)))</f>
        <v/>
      </c>
      <c r="AF461" s="9">
        <f>IF($G461="","",IFERROR(INDEX(LINHAS_DRE_PLANO,MATCH($G461,SUBCATEGORIAS_PLANO,0)),"Não classificado"))</f>
        <v/>
      </c>
      <c r="AG461" s="17">
        <f>IF($G461="","",IFERROR(INDEX(TIPOS_FLUXO_PLANO,MATCH($G461,SUBCATEGORIAS_PLANO,0)),"Não classificado"))</f>
        <v/>
      </c>
      <c r="AH461" s="9">
        <f>IF($G461="","",IFERROR(INDEX(GRUPOS_PLANO,MATCH($G461,SUBCATEGORIAS_PLANO,0)),"Não classificado"))</f>
        <v/>
      </c>
      <c r="AI461" s="24">
        <f>IF(OR($C461="",$X461="Pago",$X461="Recebido",$X461="Cancelado"),"",$C461-TODAY())</f>
        <v/>
      </c>
      <c r="AJ461" s="24">
        <f>IF(OR($C461="",$X461="Pago",$X461="Recebido",$X461="Cancelado"),0,MAX(0,TODAY()-$C461))</f>
        <v/>
      </c>
      <c r="AK461" s="24">
        <f>IF($D461="","",$D461-$B461)</f>
        <v/>
      </c>
      <c r="AL461" s="18">
        <f>IF(OR($D461="",$B461=""),"",ROUND(N($R461)*($D461-$B461),2))</f>
        <v/>
      </c>
      <c r="AM461" s="17">
        <f>IF(AND($E461="Saída",$W461&gt;0,$C461&lt;&gt;""),$C461+ROW()/1000000,"")</f>
        <v/>
      </c>
      <c r="AN461" s="17">
        <f>IF(AND($E461="Entrada",$W461&gt;0,$C461&lt;&gt;""),$C461+ROW()/1000000,"")</f>
        <v/>
      </c>
      <c r="AO461" s="9">
        <f>IF(COUNTA($B461:$R461)=0,"",IF(AND($I461&lt;&gt;"",COUNTIF(CLIENTES_NOMES,$I461)+COUNTIF(CLIENTES_FANTASIA,$I461)+COUNTIF(FORNECEDORES_NOMES,$I461)+COUNTIF(FORNECEDORES_FANTASIA,$I461)=0),"⚠ Cliente/Fornecedor não cadastrado",IF(AND($G461&lt;&gt;"",COUNTIF(SUBCATEGORIAS_PLANO,$G461)=0),"⚠ Subcategoria fora do plano de contas",IF(OR($Q461="",N($Q461)=0),"⚠ Valor previsto não informado",IF(AND(OR($X461="Pago",$X461="Recebido"),$D461=""),"⚠ Status pago/recebido sem data",IF(AND($D461&lt;&gt;"",N($R461)=0),"⚠ Data de pagamento sem valor realizado",IF(AND(N($P461)&gt;1,N($O461)&gt;N($P461)),"⚠ Nº da parcela maior que o total",IF(AND($C461&lt;&gt;"",$B461&lt;&gt;"",$C461&lt;$B461),"⚠ Vencimento anterior à competência","OK"))))))))</f>
        <v/>
      </c>
    </row>
    <row r="462">
      <c r="A462" s="14" t="inlineStr">
        <is>
          <t>L0457</t>
        </is>
      </c>
      <c r="B462" s="36" t="n">
        <v>46310</v>
      </c>
      <c r="C462" s="36" t="n">
        <v>46310</v>
      </c>
      <c r="D462" s="36" t="n"/>
      <c r="E462" s="14" t="inlineStr">
        <is>
          <t>Saída</t>
        </is>
      </c>
      <c r="F462" s="29" t="inlineStr">
        <is>
          <t>Despesas Financeiras</t>
        </is>
      </c>
      <c r="G462" s="29" t="inlineStr">
        <is>
          <t>Juros de Empréstimos e Financiamentos</t>
        </is>
      </c>
      <c r="H462" s="29" t="inlineStr">
        <is>
          <t>Financeiro</t>
        </is>
      </c>
      <c r="I462" s="29" t="inlineStr">
        <is>
          <t>BNDES / Banco do Brasil</t>
        </is>
      </c>
      <c r="J462" s="29" t="inlineStr">
        <is>
          <t>Financiamento de Máquinas — parcela 8/36 (juros)</t>
        </is>
      </c>
      <c r="K462" s="14" t="inlineStr">
        <is>
          <t>FIN-2026-1198-P08</t>
        </is>
      </c>
      <c r="L462" s="29" t="inlineStr">
        <is>
          <t>Banco do Brasil — C/C 12345-6</t>
        </is>
      </c>
      <c r="M462" s="14" t="inlineStr">
        <is>
          <t>Débito automático</t>
        </is>
      </c>
      <c r="N462" s="29" t="n"/>
      <c r="O462" s="13" t="n">
        <v>8</v>
      </c>
      <c r="P462" s="13" t="n">
        <v>36</v>
      </c>
      <c r="Q462" s="35" t="n">
        <v>1063.33</v>
      </c>
      <c r="R462" s="35" t="n"/>
      <c r="S462" s="35" t="n"/>
      <c r="T462" s="35" t="n"/>
      <c r="U462" s="35" t="n"/>
      <c r="V462" s="18">
        <f>IF(COUNTA($B462:$R462)=0,"",ROUND(N($R462)+N($S462)+N($T462)-N($U462),2))</f>
        <v/>
      </c>
      <c r="W462" s="18">
        <f>IF(COUNTA($B462:$R462)=0,"",IF(OR($X462="Pago",$X462="Recebido",$X462="Cancelado"),0,ROUND(N($Q462)+N($S462)+N($T462)-N($U462)-N($R462),2)))</f>
        <v/>
      </c>
      <c r="X462" s="14" t="inlineStr">
        <is>
          <t>Previsto</t>
        </is>
      </c>
      <c r="Y462" s="17">
        <f>IF(COUNTA($B462:$R462)=0,"",IF($X462="Cancelado","Cancelado",IF(OR($X462="Pago",$X462="Recebido"),$X462,IF(OR($X462="Parcial",N($R462)&gt;0),"Parcial",IF($C462="","Sem vencimento",IF($C462&lt;TODAY(),"Vencido",IF($C462=TODAY(),"Vence hoje",IF($C462&lt;=TODAY()+7,"Vence em 7 dias",IF($C462&lt;=TODAY()+30,"Vence em 30 dias","Futuro")))))))))</f>
        <v/>
      </c>
      <c r="Z462" s="24">
        <f>IF($B462="","",MONTH($B462))</f>
        <v/>
      </c>
      <c r="AA462" s="24">
        <f>IF($B462="","",YEAR($B462))</f>
        <v/>
      </c>
      <c r="AB462" s="24">
        <f>IF($B462="","",ISOWEEKNUM($B462))</f>
        <v/>
      </c>
      <c r="AC462" s="17">
        <f>IF($B462="","",CHOOSE(WEEKDAY($B462,2),"Segunda","Terça","Quarta","Quinta","Sexta","Sábado","Domingo"))</f>
        <v/>
      </c>
      <c r="AD462" s="17">
        <f>IF($B462="","",TEXT($B462,"MM/AAAA"))</f>
        <v/>
      </c>
      <c r="AE462" s="18">
        <f>IF(COUNTA($B462:$R462)=0,"",IF($X462="Cancelado",0,ROUND(N($Q462)+N($S462)+N($T462)-N($U462),2)))</f>
        <v/>
      </c>
      <c r="AF462" s="9">
        <f>IF($G462="","",IFERROR(INDEX(LINHAS_DRE_PLANO,MATCH($G462,SUBCATEGORIAS_PLANO,0)),"Não classificado"))</f>
        <v/>
      </c>
      <c r="AG462" s="17">
        <f>IF($G462="","",IFERROR(INDEX(TIPOS_FLUXO_PLANO,MATCH($G462,SUBCATEGORIAS_PLANO,0)),"Não classificado"))</f>
        <v/>
      </c>
      <c r="AH462" s="9">
        <f>IF($G462="","",IFERROR(INDEX(GRUPOS_PLANO,MATCH($G462,SUBCATEGORIAS_PLANO,0)),"Não classificado"))</f>
        <v/>
      </c>
      <c r="AI462" s="24">
        <f>IF(OR($C462="",$X462="Pago",$X462="Recebido",$X462="Cancelado"),"",$C462-TODAY())</f>
        <v/>
      </c>
      <c r="AJ462" s="24">
        <f>IF(OR($C462="",$X462="Pago",$X462="Recebido",$X462="Cancelado"),0,MAX(0,TODAY()-$C462))</f>
        <v/>
      </c>
      <c r="AK462" s="24">
        <f>IF($D462="","",$D462-$B462)</f>
        <v/>
      </c>
      <c r="AL462" s="18">
        <f>IF(OR($D462="",$B462=""),"",ROUND(N($R462)*($D462-$B462),2))</f>
        <v/>
      </c>
      <c r="AM462" s="17">
        <f>IF(AND($E462="Saída",$W462&gt;0,$C462&lt;&gt;""),$C462+ROW()/1000000,"")</f>
        <v/>
      </c>
      <c r="AN462" s="17">
        <f>IF(AND($E462="Entrada",$W462&gt;0,$C462&lt;&gt;""),$C462+ROW()/1000000,"")</f>
        <v/>
      </c>
      <c r="AO462" s="9">
        <f>IF(COUNTA($B462:$R462)=0,"",IF(AND($I462&lt;&gt;"",COUNTIF(CLIENTES_NOMES,$I462)+COUNTIF(CLIENTES_FANTASIA,$I462)+COUNTIF(FORNECEDORES_NOMES,$I462)+COUNTIF(FORNECEDORES_FANTASIA,$I462)=0),"⚠ Cliente/Fornecedor não cadastrado",IF(AND($G462&lt;&gt;"",COUNTIF(SUBCATEGORIAS_PLANO,$G462)=0),"⚠ Subcategoria fora do plano de contas",IF(OR($Q462="",N($Q462)=0),"⚠ Valor previsto não informado",IF(AND(OR($X462="Pago",$X462="Recebido"),$D462=""),"⚠ Status pago/recebido sem data",IF(AND($D462&lt;&gt;"",N($R462)=0),"⚠ Data de pagamento sem valor realizado",IF(AND(N($P462)&gt;1,N($O462)&gt;N($P462)),"⚠ Nº da parcela maior que o total",IF(AND($C462&lt;&gt;"",$B462&lt;&gt;"",$C462&lt;$B462),"⚠ Vencimento anterior à competência","OK"))))))))</f>
        <v/>
      </c>
    </row>
    <row r="463">
      <c r="A463" s="14" t="inlineStr">
        <is>
          <t>L0458</t>
        </is>
      </c>
      <c r="B463" s="36" t="n">
        <v>46311</v>
      </c>
      <c r="C463" s="36" t="n">
        <v>46341</v>
      </c>
      <c r="D463" s="36" t="n"/>
      <c r="E463" s="14" t="inlineStr">
        <is>
          <t>Saída</t>
        </is>
      </c>
      <c r="F463" s="29" t="inlineStr">
        <is>
          <t>Custos Variáveis</t>
        </is>
      </c>
      <c r="G463" s="29" t="inlineStr">
        <is>
          <t>Mercadorias para Revenda</t>
        </is>
      </c>
      <c r="H463" s="29" t="inlineStr">
        <is>
          <t>Logística</t>
        </is>
      </c>
      <c r="I463" s="29" t="inlineStr">
        <is>
          <t>DISTRIBUIDORA CENTRAL DE ALIMENTOS S/A</t>
        </is>
      </c>
      <c r="J463" s="29" t="inlineStr">
        <is>
          <t>Compra de mercadorias para revenda — NF 5101</t>
        </is>
      </c>
      <c r="K463" s="14" t="inlineStr">
        <is>
          <t>NF 5101</t>
        </is>
      </c>
      <c r="L463" s="29" t="inlineStr">
        <is>
          <t>Banco do Brasil — C/C 12345-6</t>
        </is>
      </c>
      <c r="M463" s="14" t="inlineStr">
        <is>
          <t>Boleto</t>
        </is>
      </c>
      <c r="N463" s="29" t="n"/>
      <c r="O463" s="13" t="n">
        <v>1</v>
      </c>
      <c r="P463" s="13" t="n">
        <v>1</v>
      </c>
      <c r="Q463" s="35" t="n">
        <v>60509.37</v>
      </c>
      <c r="R463" s="35" t="n"/>
      <c r="S463" s="35" t="n"/>
      <c r="T463" s="35" t="n"/>
      <c r="U463" s="35" t="n"/>
      <c r="V463" s="18">
        <f>IF(COUNTA($B463:$R463)=0,"",ROUND(N($R463)+N($S463)+N($T463)-N($U463),2))</f>
        <v/>
      </c>
      <c r="W463" s="18">
        <f>IF(COUNTA($B463:$R463)=0,"",IF(OR($X463="Pago",$X463="Recebido",$X463="Cancelado"),0,ROUND(N($Q463)+N($S463)+N($T463)-N($U463)-N($R463),2)))</f>
        <v/>
      </c>
      <c r="X463" s="14" t="inlineStr">
        <is>
          <t>Previsto</t>
        </is>
      </c>
      <c r="Y463" s="17">
        <f>IF(COUNTA($B463:$R463)=0,"",IF($X463="Cancelado","Cancelado",IF(OR($X463="Pago",$X463="Recebido"),$X463,IF(OR($X463="Parcial",N($R463)&gt;0),"Parcial",IF($C463="","Sem vencimento",IF($C463&lt;TODAY(),"Vencido",IF($C463=TODAY(),"Vence hoje",IF($C463&lt;=TODAY()+7,"Vence em 7 dias",IF($C463&lt;=TODAY()+30,"Vence em 30 dias","Futuro")))))))))</f>
        <v/>
      </c>
      <c r="Z463" s="24">
        <f>IF($B463="","",MONTH($B463))</f>
        <v/>
      </c>
      <c r="AA463" s="24">
        <f>IF($B463="","",YEAR($B463))</f>
        <v/>
      </c>
      <c r="AB463" s="24">
        <f>IF($B463="","",ISOWEEKNUM($B463))</f>
        <v/>
      </c>
      <c r="AC463" s="17">
        <f>IF($B463="","",CHOOSE(WEEKDAY($B463,2),"Segunda","Terça","Quarta","Quinta","Sexta","Sábado","Domingo"))</f>
        <v/>
      </c>
      <c r="AD463" s="17">
        <f>IF($B463="","",TEXT($B463,"MM/AAAA"))</f>
        <v/>
      </c>
      <c r="AE463" s="18">
        <f>IF(COUNTA($B463:$R463)=0,"",IF($X463="Cancelado",0,ROUND(N($Q463)+N($S463)+N($T463)-N($U463),2)))</f>
        <v/>
      </c>
      <c r="AF463" s="9">
        <f>IF($G463="","",IFERROR(INDEX(LINHAS_DRE_PLANO,MATCH($G463,SUBCATEGORIAS_PLANO,0)),"Não classificado"))</f>
        <v/>
      </c>
      <c r="AG463" s="17">
        <f>IF($G463="","",IFERROR(INDEX(TIPOS_FLUXO_PLANO,MATCH($G463,SUBCATEGORIAS_PLANO,0)),"Não classificado"))</f>
        <v/>
      </c>
      <c r="AH463" s="9">
        <f>IF($G463="","",IFERROR(INDEX(GRUPOS_PLANO,MATCH($G463,SUBCATEGORIAS_PLANO,0)),"Não classificado"))</f>
        <v/>
      </c>
      <c r="AI463" s="24">
        <f>IF(OR($C463="",$X463="Pago",$X463="Recebido",$X463="Cancelado"),"",$C463-TODAY())</f>
        <v/>
      </c>
      <c r="AJ463" s="24">
        <f>IF(OR($C463="",$X463="Pago",$X463="Recebido",$X463="Cancelado"),0,MAX(0,TODAY()-$C463))</f>
        <v/>
      </c>
      <c r="AK463" s="24">
        <f>IF($D463="","",$D463-$B463)</f>
        <v/>
      </c>
      <c r="AL463" s="18">
        <f>IF(OR($D463="",$B463=""),"",ROUND(N($R463)*($D463-$B463),2))</f>
        <v/>
      </c>
      <c r="AM463" s="17">
        <f>IF(AND($E463="Saída",$W463&gt;0,$C463&lt;&gt;""),$C463+ROW()/1000000,"")</f>
        <v/>
      </c>
      <c r="AN463" s="17">
        <f>IF(AND($E463="Entrada",$W463&gt;0,$C463&lt;&gt;""),$C463+ROW()/1000000,"")</f>
        <v/>
      </c>
      <c r="AO463" s="9">
        <f>IF(COUNTA($B463:$R463)=0,"",IF(AND($I463&lt;&gt;"",COUNTIF(CLIENTES_NOMES,$I463)+COUNTIF(CLIENTES_FANTASIA,$I463)+COUNTIF(FORNECEDORES_NOMES,$I463)+COUNTIF(FORNECEDORES_FANTASIA,$I463)=0),"⚠ Cliente/Fornecedor não cadastrado",IF(AND($G463&lt;&gt;"",COUNTIF(SUBCATEGORIAS_PLANO,$G463)=0),"⚠ Subcategoria fora do plano de contas",IF(OR($Q463="",N($Q463)=0),"⚠ Valor previsto não informado",IF(AND(OR($X463="Pago",$X463="Recebido"),$D463=""),"⚠ Status pago/recebido sem data",IF(AND($D463&lt;&gt;"",N($R463)=0),"⚠ Data de pagamento sem valor realizado",IF(AND(N($P463)&gt;1,N($O463)&gt;N($P463)),"⚠ Nº da parcela maior que o total",IF(AND($C463&lt;&gt;"",$B463&lt;&gt;"",$C463&lt;$B463),"⚠ Vencimento anterior à competência","OK"))))))))</f>
        <v/>
      </c>
    </row>
    <row r="464">
      <c r="A464" s="14" t="inlineStr">
        <is>
          <t>L0459</t>
        </is>
      </c>
      <c r="B464" s="36" t="n">
        <v>46313</v>
      </c>
      <c r="C464" s="36" t="n">
        <v>46323</v>
      </c>
      <c r="D464" s="36" t="n"/>
      <c r="E464" s="14" t="inlineStr">
        <is>
          <t>Saída</t>
        </is>
      </c>
      <c r="F464" s="29" t="inlineStr">
        <is>
          <t>Despesas Comerciais</t>
        </is>
      </c>
      <c r="G464" s="29" t="inlineStr">
        <is>
          <t>Publicidade e Anúncios</t>
        </is>
      </c>
      <c r="H464" s="29" t="inlineStr">
        <is>
          <t>Marketing</t>
        </is>
      </c>
      <c r="I464" s="29" t="inlineStr">
        <is>
          <t>GOOGLE BRASIL INTERNET LTDA</t>
        </is>
      </c>
      <c r="J464" s="29" t="inlineStr">
        <is>
          <t>Anúncios e campanhas digitais</t>
        </is>
      </c>
      <c r="K464" s="14" t="inlineStr">
        <is>
          <t>DOC 8425</t>
        </is>
      </c>
      <c r="L464" s="29" t="inlineStr">
        <is>
          <t>Nubank PJ — C/C 9876543-2</t>
        </is>
      </c>
      <c r="M464" s="14" t="inlineStr">
        <is>
          <t>Cartão de crédito</t>
        </is>
      </c>
      <c r="N464" s="29" t="inlineStr">
        <is>
          <t>Cartão Mastercard Nubank PJ</t>
        </is>
      </c>
      <c r="O464" s="13" t="n">
        <v>1</v>
      </c>
      <c r="P464" s="13" t="n">
        <v>1</v>
      </c>
      <c r="Q464" s="35" t="n">
        <v>1486.56</v>
      </c>
      <c r="R464" s="35" t="n"/>
      <c r="S464" s="35" t="n"/>
      <c r="T464" s="35" t="n"/>
      <c r="U464" s="35" t="n"/>
      <c r="V464" s="18">
        <f>IF(COUNTA($B464:$R464)=0,"",ROUND(N($R464)+N($S464)+N($T464)-N($U464),2))</f>
        <v/>
      </c>
      <c r="W464" s="18">
        <f>IF(COUNTA($B464:$R464)=0,"",IF(OR($X464="Pago",$X464="Recebido",$X464="Cancelado"),0,ROUND(N($Q464)+N($S464)+N($T464)-N($U464)-N($R464),2)))</f>
        <v/>
      </c>
      <c r="X464" s="14" t="inlineStr">
        <is>
          <t>Previsto</t>
        </is>
      </c>
      <c r="Y464" s="17">
        <f>IF(COUNTA($B464:$R464)=0,"",IF($X464="Cancelado","Cancelado",IF(OR($X464="Pago",$X464="Recebido"),$X464,IF(OR($X464="Parcial",N($R464)&gt;0),"Parcial",IF($C464="","Sem vencimento",IF($C464&lt;TODAY(),"Vencido",IF($C464=TODAY(),"Vence hoje",IF($C464&lt;=TODAY()+7,"Vence em 7 dias",IF($C464&lt;=TODAY()+30,"Vence em 30 dias","Futuro")))))))))</f>
        <v/>
      </c>
      <c r="Z464" s="24">
        <f>IF($B464="","",MONTH($B464))</f>
        <v/>
      </c>
      <c r="AA464" s="24">
        <f>IF($B464="","",YEAR($B464))</f>
        <v/>
      </c>
      <c r="AB464" s="24">
        <f>IF($B464="","",ISOWEEKNUM($B464))</f>
        <v/>
      </c>
      <c r="AC464" s="17">
        <f>IF($B464="","",CHOOSE(WEEKDAY($B464,2),"Segunda","Terça","Quarta","Quinta","Sexta","Sábado","Domingo"))</f>
        <v/>
      </c>
      <c r="AD464" s="17">
        <f>IF($B464="","",TEXT($B464,"MM/AAAA"))</f>
        <v/>
      </c>
      <c r="AE464" s="18">
        <f>IF(COUNTA($B464:$R464)=0,"",IF($X464="Cancelado",0,ROUND(N($Q464)+N($S464)+N($T464)-N($U464),2)))</f>
        <v/>
      </c>
      <c r="AF464" s="9">
        <f>IF($G464="","",IFERROR(INDEX(LINHAS_DRE_PLANO,MATCH($G464,SUBCATEGORIAS_PLANO,0)),"Não classificado"))</f>
        <v/>
      </c>
      <c r="AG464" s="17">
        <f>IF($G464="","",IFERROR(INDEX(TIPOS_FLUXO_PLANO,MATCH($G464,SUBCATEGORIAS_PLANO,0)),"Não classificado"))</f>
        <v/>
      </c>
      <c r="AH464" s="9">
        <f>IF($G464="","",IFERROR(INDEX(GRUPOS_PLANO,MATCH($G464,SUBCATEGORIAS_PLANO,0)),"Não classificado"))</f>
        <v/>
      </c>
      <c r="AI464" s="24">
        <f>IF(OR($C464="",$X464="Pago",$X464="Recebido",$X464="Cancelado"),"",$C464-TODAY())</f>
        <v/>
      </c>
      <c r="AJ464" s="24">
        <f>IF(OR($C464="",$X464="Pago",$X464="Recebido",$X464="Cancelado"),0,MAX(0,TODAY()-$C464))</f>
        <v/>
      </c>
      <c r="AK464" s="24">
        <f>IF($D464="","",$D464-$B464)</f>
        <v/>
      </c>
      <c r="AL464" s="18">
        <f>IF(OR($D464="",$B464=""),"",ROUND(N($R464)*($D464-$B464),2))</f>
        <v/>
      </c>
      <c r="AM464" s="17">
        <f>IF(AND($E464="Saída",$W464&gt;0,$C464&lt;&gt;""),$C464+ROW()/1000000,"")</f>
        <v/>
      </c>
      <c r="AN464" s="17">
        <f>IF(AND($E464="Entrada",$W464&gt;0,$C464&lt;&gt;""),$C464+ROW()/1000000,"")</f>
        <v/>
      </c>
      <c r="AO464" s="9">
        <f>IF(COUNTA($B464:$R464)=0,"",IF(AND($I464&lt;&gt;"",COUNTIF(CLIENTES_NOMES,$I464)+COUNTIF(CLIENTES_FANTASIA,$I464)+COUNTIF(FORNECEDORES_NOMES,$I464)+COUNTIF(FORNECEDORES_FANTASIA,$I464)=0),"⚠ Cliente/Fornecedor não cadastrado",IF(AND($G464&lt;&gt;"",COUNTIF(SUBCATEGORIAS_PLANO,$G464)=0),"⚠ Subcategoria fora do plano de contas",IF(OR($Q464="",N($Q464)=0),"⚠ Valor previsto não informado",IF(AND(OR($X464="Pago",$X464="Recebido"),$D464=""),"⚠ Status pago/recebido sem data",IF(AND($D464&lt;&gt;"",N($R464)=0),"⚠ Data de pagamento sem valor realizado",IF(AND(N($P464)&gt;1,N($O464)&gt;N($P464)),"⚠ Nº da parcela maior que o total",IF(AND($C464&lt;&gt;"",$B464&lt;&gt;"",$C464&lt;$B464),"⚠ Vencimento anterior à competência","OK"))))))))</f>
        <v/>
      </c>
    </row>
    <row r="465">
      <c r="A465" s="14" t="inlineStr">
        <is>
          <t>L0460</t>
        </is>
      </c>
      <c r="B465" s="36" t="n">
        <v>46314</v>
      </c>
      <c r="C465" s="36" t="n">
        <v>46344</v>
      </c>
      <c r="D465" s="36" t="n"/>
      <c r="E465" s="14" t="inlineStr">
        <is>
          <t>Entrada</t>
        </is>
      </c>
      <c r="F465" s="29" t="inlineStr">
        <is>
          <t>Vendas</t>
        </is>
      </c>
      <c r="G465" s="29" t="inlineStr">
        <is>
          <t>Vendas de Produtos</t>
        </is>
      </c>
      <c r="H465" s="29" t="inlineStr">
        <is>
          <t>Comercial</t>
        </is>
      </c>
      <c r="I465" s="29" t="inlineStr">
        <is>
          <t>MERCADO BOA COMPRA LTDA</t>
        </is>
      </c>
      <c r="J465" s="29" t="inlineStr">
        <is>
          <t>Venda de mercadorias para revenda</t>
        </is>
      </c>
      <c r="K465" s="14" t="inlineStr">
        <is>
          <t>NF-e 2109</t>
        </is>
      </c>
      <c r="L465" s="29" t="inlineStr">
        <is>
          <t>Banco do Brasil — C/C 12345-6</t>
        </is>
      </c>
      <c r="M465" s="14" t="inlineStr">
        <is>
          <t>Boleto</t>
        </is>
      </c>
      <c r="N465" s="29" t="n"/>
      <c r="O465" s="13" t="n">
        <v>1</v>
      </c>
      <c r="P465" s="13" t="n">
        <v>1</v>
      </c>
      <c r="Q465" s="35" t="n">
        <v>28977.02</v>
      </c>
      <c r="R465" s="35" t="n"/>
      <c r="S465" s="35" t="n"/>
      <c r="T465" s="35" t="n"/>
      <c r="U465" s="35" t="n"/>
      <c r="V465" s="18">
        <f>IF(COUNTA($B465:$R465)=0,"",ROUND(N($R465)+N($S465)+N($T465)-N($U465),2))</f>
        <v/>
      </c>
      <c r="W465" s="18">
        <f>IF(COUNTA($B465:$R465)=0,"",IF(OR($X465="Pago",$X465="Recebido",$X465="Cancelado"),0,ROUND(N($Q465)+N($S465)+N($T465)-N($U465)-N($R465),2)))</f>
        <v/>
      </c>
      <c r="X465" s="14" t="inlineStr">
        <is>
          <t>Previsto</t>
        </is>
      </c>
      <c r="Y465" s="17">
        <f>IF(COUNTA($B465:$R465)=0,"",IF($X465="Cancelado","Cancelado",IF(OR($X465="Pago",$X465="Recebido"),$X465,IF(OR($X465="Parcial",N($R465)&gt;0),"Parcial",IF($C465="","Sem vencimento",IF($C465&lt;TODAY(),"Vencido",IF($C465=TODAY(),"Vence hoje",IF($C465&lt;=TODAY()+7,"Vence em 7 dias",IF($C465&lt;=TODAY()+30,"Vence em 30 dias","Futuro")))))))))</f>
        <v/>
      </c>
      <c r="Z465" s="24">
        <f>IF($B465="","",MONTH($B465))</f>
        <v/>
      </c>
      <c r="AA465" s="24">
        <f>IF($B465="","",YEAR($B465))</f>
        <v/>
      </c>
      <c r="AB465" s="24">
        <f>IF($B465="","",ISOWEEKNUM($B465))</f>
        <v/>
      </c>
      <c r="AC465" s="17">
        <f>IF($B465="","",CHOOSE(WEEKDAY($B465,2),"Segunda","Terça","Quarta","Quinta","Sexta","Sábado","Domingo"))</f>
        <v/>
      </c>
      <c r="AD465" s="17">
        <f>IF($B465="","",TEXT($B465,"MM/AAAA"))</f>
        <v/>
      </c>
      <c r="AE465" s="18">
        <f>IF(COUNTA($B465:$R465)=0,"",IF($X465="Cancelado",0,ROUND(N($Q465)+N($S465)+N($T465)-N($U465),2)))</f>
        <v/>
      </c>
      <c r="AF465" s="9">
        <f>IF($G465="","",IFERROR(INDEX(LINHAS_DRE_PLANO,MATCH($G465,SUBCATEGORIAS_PLANO,0)),"Não classificado"))</f>
        <v/>
      </c>
      <c r="AG465" s="17">
        <f>IF($G465="","",IFERROR(INDEX(TIPOS_FLUXO_PLANO,MATCH($G465,SUBCATEGORIAS_PLANO,0)),"Não classificado"))</f>
        <v/>
      </c>
      <c r="AH465" s="9">
        <f>IF($G465="","",IFERROR(INDEX(GRUPOS_PLANO,MATCH($G465,SUBCATEGORIAS_PLANO,0)),"Não classificado"))</f>
        <v/>
      </c>
      <c r="AI465" s="24">
        <f>IF(OR($C465="",$X465="Pago",$X465="Recebido",$X465="Cancelado"),"",$C465-TODAY())</f>
        <v/>
      </c>
      <c r="AJ465" s="24">
        <f>IF(OR($C465="",$X465="Pago",$X465="Recebido",$X465="Cancelado"),0,MAX(0,TODAY()-$C465))</f>
        <v/>
      </c>
      <c r="AK465" s="24">
        <f>IF($D465="","",$D465-$B465)</f>
        <v/>
      </c>
      <c r="AL465" s="18">
        <f>IF(OR($D465="",$B465=""),"",ROUND(N($R465)*($D465-$B465),2))</f>
        <v/>
      </c>
      <c r="AM465" s="17">
        <f>IF(AND($E465="Saída",$W465&gt;0,$C465&lt;&gt;""),$C465+ROW()/1000000,"")</f>
        <v/>
      </c>
      <c r="AN465" s="17">
        <f>IF(AND($E465="Entrada",$W465&gt;0,$C465&lt;&gt;""),$C465+ROW()/1000000,"")</f>
        <v/>
      </c>
      <c r="AO465" s="9">
        <f>IF(COUNTA($B465:$R465)=0,"",IF(AND($I465&lt;&gt;"",COUNTIF(CLIENTES_NOMES,$I465)+COUNTIF(CLIENTES_FANTASIA,$I465)+COUNTIF(FORNECEDORES_NOMES,$I465)+COUNTIF(FORNECEDORES_FANTASIA,$I465)=0),"⚠ Cliente/Fornecedor não cadastrado",IF(AND($G465&lt;&gt;"",COUNTIF(SUBCATEGORIAS_PLANO,$G465)=0),"⚠ Subcategoria fora do plano de contas",IF(OR($Q465="",N($Q465)=0),"⚠ Valor previsto não informado",IF(AND(OR($X465="Pago",$X465="Recebido"),$D465=""),"⚠ Status pago/recebido sem data",IF(AND($D465&lt;&gt;"",N($R465)=0),"⚠ Data de pagamento sem valor realizado",IF(AND(N($P465)&gt;1,N($O465)&gt;N($P465)),"⚠ Nº da parcela maior que o total",IF(AND($C465&lt;&gt;"",$B465&lt;&gt;"",$C465&lt;$B465),"⚠ Vencimento anterior à competência","OK"))))))))</f>
        <v/>
      </c>
    </row>
    <row r="466">
      <c r="A466" s="14" t="inlineStr">
        <is>
          <t>L0461</t>
        </is>
      </c>
      <c r="B466" s="36" t="n">
        <v>46314</v>
      </c>
      <c r="C466" s="36" t="n">
        <v>46329</v>
      </c>
      <c r="D466" s="36" t="n"/>
      <c r="E466" s="14" t="inlineStr">
        <is>
          <t>Entrada</t>
        </is>
      </c>
      <c r="F466" s="29" t="inlineStr">
        <is>
          <t>Vendas</t>
        </is>
      </c>
      <c r="G466" s="29" t="inlineStr">
        <is>
          <t>Vendas de Produtos</t>
        </is>
      </c>
      <c r="H466" s="29" t="inlineStr">
        <is>
          <t>Comercial</t>
        </is>
      </c>
      <c r="I466" s="29" t="inlineStr">
        <is>
          <t>RESTAURANTE SABOR CASEIRO LTDA</t>
        </is>
      </c>
      <c r="J466" s="29" t="inlineStr">
        <is>
          <t>Venda de mercadorias para revenda</t>
        </is>
      </c>
      <c r="K466" s="14" t="inlineStr">
        <is>
          <t>NF-e 2113</t>
        </is>
      </c>
      <c r="L466" s="29" t="inlineStr">
        <is>
          <t>Itaú Unibanco — C/C 45678-9</t>
        </is>
      </c>
      <c r="M466" s="14" t="inlineStr">
        <is>
          <t>Boleto</t>
        </is>
      </c>
      <c r="N466" s="29" t="n"/>
      <c r="O466" s="13" t="n">
        <v>1</v>
      </c>
      <c r="P466" s="13" t="n">
        <v>1</v>
      </c>
      <c r="Q466" s="35" t="n">
        <v>13467</v>
      </c>
      <c r="R466" s="35" t="n"/>
      <c r="S466" s="35" t="n"/>
      <c r="T466" s="35" t="n"/>
      <c r="U466" s="35" t="n"/>
      <c r="V466" s="18">
        <f>IF(COUNTA($B466:$R466)=0,"",ROUND(N($R466)+N($S466)+N($T466)-N($U466),2))</f>
        <v/>
      </c>
      <c r="W466" s="18">
        <f>IF(COUNTA($B466:$R466)=0,"",IF(OR($X466="Pago",$X466="Recebido",$X466="Cancelado"),0,ROUND(N($Q466)+N($S466)+N($T466)-N($U466)-N($R466),2)))</f>
        <v/>
      </c>
      <c r="X466" s="14" t="inlineStr">
        <is>
          <t>Previsto</t>
        </is>
      </c>
      <c r="Y466" s="17">
        <f>IF(COUNTA($B466:$R466)=0,"",IF($X466="Cancelado","Cancelado",IF(OR($X466="Pago",$X466="Recebido"),$X466,IF(OR($X466="Parcial",N($R466)&gt;0),"Parcial",IF($C466="","Sem vencimento",IF($C466&lt;TODAY(),"Vencido",IF($C466=TODAY(),"Vence hoje",IF($C466&lt;=TODAY()+7,"Vence em 7 dias",IF($C466&lt;=TODAY()+30,"Vence em 30 dias","Futuro")))))))))</f>
        <v/>
      </c>
      <c r="Z466" s="24">
        <f>IF($B466="","",MONTH($B466))</f>
        <v/>
      </c>
      <c r="AA466" s="24">
        <f>IF($B466="","",YEAR($B466))</f>
        <v/>
      </c>
      <c r="AB466" s="24">
        <f>IF($B466="","",ISOWEEKNUM($B466))</f>
        <v/>
      </c>
      <c r="AC466" s="17">
        <f>IF($B466="","",CHOOSE(WEEKDAY($B466,2),"Segunda","Terça","Quarta","Quinta","Sexta","Sábado","Domingo"))</f>
        <v/>
      </c>
      <c r="AD466" s="17">
        <f>IF($B466="","",TEXT($B466,"MM/AAAA"))</f>
        <v/>
      </c>
      <c r="AE466" s="18">
        <f>IF(COUNTA($B466:$R466)=0,"",IF($X466="Cancelado",0,ROUND(N($Q466)+N($S466)+N($T466)-N($U466),2)))</f>
        <v/>
      </c>
      <c r="AF466" s="9">
        <f>IF($G466="","",IFERROR(INDEX(LINHAS_DRE_PLANO,MATCH($G466,SUBCATEGORIAS_PLANO,0)),"Não classificado"))</f>
        <v/>
      </c>
      <c r="AG466" s="17">
        <f>IF($G466="","",IFERROR(INDEX(TIPOS_FLUXO_PLANO,MATCH($G466,SUBCATEGORIAS_PLANO,0)),"Não classificado"))</f>
        <v/>
      </c>
      <c r="AH466" s="9">
        <f>IF($G466="","",IFERROR(INDEX(GRUPOS_PLANO,MATCH($G466,SUBCATEGORIAS_PLANO,0)),"Não classificado"))</f>
        <v/>
      </c>
      <c r="AI466" s="24">
        <f>IF(OR($C466="",$X466="Pago",$X466="Recebido",$X466="Cancelado"),"",$C466-TODAY())</f>
        <v/>
      </c>
      <c r="AJ466" s="24">
        <f>IF(OR($C466="",$X466="Pago",$X466="Recebido",$X466="Cancelado"),0,MAX(0,TODAY()-$C466))</f>
        <v/>
      </c>
      <c r="AK466" s="24">
        <f>IF($D466="","",$D466-$B466)</f>
        <v/>
      </c>
      <c r="AL466" s="18">
        <f>IF(OR($D466="",$B466=""),"",ROUND(N($R466)*($D466-$B466),2))</f>
        <v/>
      </c>
      <c r="AM466" s="17">
        <f>IF(AND($E466="Saída",$W466&gt;0,$C466&lt;&gt;""),$C466+ROW()/1000000,"")</f>
        <v/>
      </c>
      <c r="AN466" s="17">
        <f>IF(AND($E466="Entrada",$W466&gt;0,$C466&lt;&gt;""),$C466+ROW()/1000000,"")</f>
        <v/>
      </c>
      <c r="AO466" s="9">
        <f>IF(COUNTA($B466:$R466)=0,"",IF(AND($I466&lt;&gt;"",COUNTIF(CLIENTES_NOMES,$I466)+COUNTIF(CLIENTES_FANTASIA,$I466)+COUNTIF(FORNECEDORES_NOMES,$I466)+COUNTIF(FORNECEDORES_FANTASIA,$I466)=0),"⚠ Cliente/Fornecedor não cadastrado",IF(AND($G466&lt;&gt;"",COUNTIF(SUBCATEGORIAS_PLANO,$G466)=0),"⚠ Subcategoria fora do plano de contas",IF(OR($Q466="",N($Q466)=0),"⚠ Valor previsto não informado",IF(AND(OR($X466="Pago",$X466="Recebido"),$D466=""),"⚠ Status pago/recebido sem data",IF(AND($D466&lt;&gt;"",N($R466)=0),"⚠ Data de pagamento sem valor realizado",IF(AND(N($P466)&gt;1,N($O466)&gt;N($P466)),"⚠ Nº da parcela maior que o total",IF(AND($C466&lt;&gt;"",$B466&lt;&gt;"",$C466&lt;$B466),"⚠ Vencimento anterior à competência","OK"))))))))</f>
        <v/>
      </c>
    </row>
    <row r="467">
      <c r="A467" s="14" t="inlineStr">
        <is>
          <t>L0462</t>
        </is>
      </c>
      <c r="B467" s="36" t="n">
        <v>46314</v>
      </c>
      <c r="C467" s="36" t="n">
        <v>46335</v>
      </c>
      <c r="D467" s="36" t="n"/>
      <c r="E467" s="14" t="inlineStr">
        <is>
          <t>Entrada</t>
        </is>
      </c>
      <c r="F467" s="29" t="inlineStr">
        <is>
          <t>Vendas</t>
        </is>
      </c>
      <c r="G467" s="29" t="inlineStr">
        <is>
          <t>Vendas de Produtos</t>
        </is>
      </c>
      <c r="H467" s="29" t="inlineStr">
        <is>
          <t>Comercial</t>
        </is>
      </c>
      <c r="I467" s="29" t="inlineStr">
        <is>
          <t>EMPÓRIO NATURAL COMÉRCIO LTDA</t>
        </is>
      </c>
      <c r="J467" s="29" t="inlineStr">
        <is>
          <t>Venda de mercadorias para revenda</t>
        </is>
      </c>
      <c r="K467" s="14" t="inlineStr">
        <is>
          <t>NF-e 2117</t>
        </is>
      </c>
      <c r="L467" s="29" t="inlineStr">
        <is>
          <t>Itaú Unibanco — C/C 45678-9</t>
        </is>
      </c>
      <c r="M467" s="14" t="inlineStr">
        <is>
          <t>Boleto</t>
        </is>
      </c>
      <c r="N467" s="29" t="n"/>
      <c r="O467" s="13" t="n">
        <v>1</v>
      </c>
      <c r="P467" s="13" t="n">
        <v>1</v>
      </c>
      <c r="Q467" s="35" t="n">
        <v>19718.81</v>
      </c>
      <c r="R467" s="35" t="n"/>
      <c r="S467" s="35" t="n"/>
      <c r="T467" s="35" t="n"/>
      <c r="U467" s="35" t="n"/>
      <c r="V467" s="18">
        <f>IF(COUNTA($B467:$R467)=0,"",ROUND(N($R467)+N($S467)+N($T467)-N($U467),2))</f>
        <v/>
      </c>
      <c r="W467" s="18">
        <f>IF(COUNTA($B467:$R467)=0,"",IF(OR($X467="Pago",$X467="Recebido",$X467="Cancelado"),0,ROUND(N($Q467)+N($S467)+N($T467)-N($U467)-N($R467),2)))</f>
        <v/>
      </c>
      <c r="X467" s="14" t="inlineStr">
        <is>
          <t>Previsto</t>
        </is>
      </c>
      <c r="Y467" s="17">
        <f>IF(COUNTA($B467:$R467)=0,"",IF($X467="Cancelado","Cancelado",IF(OR($X467="Pago",$X467="Recebido"),$X467,IF(OR($X467="Parcial",N($R467)&gt;0),"Parcial",IF($C467="","Sem vencimento",IF($C467&lt;TODAY(),"Vencido",IF($C467=TODAY(),"Vence hoje",IF($C467&lt;=TODAY()+7,"Vence em 7 dias",IF($C467&lt;=TODAY()+30,"Vence em 30 dias","Futuro")))))))))</f>
        <v/>
      </c>
      <c r="Z467" s="24">
        <f>IF($B467="","",MONTH($B467))</f>
        <v/>
      </c>
      <c r="AA467" s="24">
        <f>IF($B467="","",YEAR($B467))</f>
        <v/>
      </c>
      <c r="AB467" s="24">
        <f>IF($B467="","",ISOWEEKNUM($B467))</f>
        <v/>
      </c>
      <c r="AC467" s="17">
        <f>IF($B467="","",CHOOSE(WEEKDAY($B467,2),"Segunda","Terça","Quarta","Quinta","Sexta","Sábado","Domingo"))</f>
        <v/>
      </c>
      <c r="AD467" s="17">
        <f>IF($B467="","",TEXT($B467,"MM/AAAA"))</f>
        <v/>
      </c>
      <c r="AE467" s="18">
        <f>IF(COUNTA($B467:$R467)=0,"",IF($X467="Cancelado",0,ROUND(N($Q467)+N($S467)+N($T467)-N($U467),2)))</f>
        <v/>
      </c>
      <c r="AF467" s="9">
        <f>IF($G467="","",IFERROR(INDEX(LINHAS_DRE_PLANO,MATCH($G467,SUBCATEGORIAS_PLANO,0)),"Não classificado"))</f>
        <v/>
      </c>
      <c r="AG467" s="17">
        <f>IF($G467="","",IFERROR(INDEX(TIPOS_FLUXO_PLANO,MATCH($G467,SUBCATEGORIAS_PLANO,0)),"Não classificado"))</f>
        <v/>
      </c>
      <c r="AH467" s="9">
        <f>IF($G467="","",IFERROR(INDEX(GRUPOS_PLANO,MATCH($G467,SUBCATEGORIAS_PLANO,0)),"Não classificado"))</f>
        <v/>
      </c>
      <c r="AI467" s="24">
        <f>IF(OR($C467="",$X467="Pago",$X467="Recebido",$X467="Cancelado"),"",$C467-TODAY())</f>
        <v/>
      </c>
      <c r="AJ467" s="24">
        <f>IF(OR($C467="",$X467="Pago",$X467="Recebido",$X467="Cancelado"),0,MAX(0,TODAY()-$C467))</f>
        <v/>
      </c>
      <c r="AK467" s="24">
        <f>IF($D467="","",$D467-$B467)</f>
        <v/>
      </c>
      <c r="AL467" s="18">
        <f>IF(OR($D467="",$B467=""),"",ROUND(N($R467)*($D467-$B467),2))</f>
        <v/>
      </c>
      <c r="AM467" s="17">
        <f>IF(AND($E467="Saída",$W467&gt;0,$C467&lt;&gt;""),$C467+ROW()/1000000,"")</f>
        <v/>
      </c>
      <c r="AN467" s="17">
        <f>IF(AND($E467="Entrada",$W467&gt;0,$C467&lt;&gt;""),$C467+ROW()/1000000,"")</f>
        <v/>
      </c>
      <c r="AO467" s="9">
        <f>IF(COUNTA($B467:$R467)=0,"",IF(AND($I467&lt;&gt;"",COUNTIF(CLIENTES_NOMES,$I467)+COUNTIF(CLIENTES_FANTASIA,$I467)+COUNTIF(FORNECEDORES_NOMES,$I467)+COUNTIF(FORNECEDORES_FANTASIA,$I467)=0),"⚠ Cliente/Fornecedor não cadastrado",IF(AND($G467&lt;&gt;"",COUNTIF(SUBCATEGORIAS_PLANO,$G467)=0),"⚠ Subcategoria fora do plano de contas",IF(OR($Q467="",N($Q467)=0),"⚠ Valor previsto não informado",IF(AND(OR($X467="Pago",$X467="Recebido"),$D467=""),"⚠ Status pago/recebido sem data",IF(AND($D467&lt;&gt;"",N($R467)=0),"⚠ Data de pagamento sem valor realizado",IF(AND(N($P467)&gt;1,N($O467)&gt;N($P467)),"⚠ Nº da parcela maior que o total",IF(AND($C467&lt;&gt;"",$B467&lt;&gt;"",$C467&lt;$B467),"⚠ Vencimento anterior à competência","OK"))))))))</f>
        <v/>
      </c>
    </row>
    <row r="468">
      <c r="A468" s="14" t="inlineStr">
        <is>
          <t>L0463</t>
        </is>
      </c>
      <c r="B468" s="36" t="n">
        <v>46315</v>
      </c>
      <c r="C468" s="36" t="n">
        <v>46325</v>
      </c>
      <c r="D468" s="36" t="n"/>
      <c r="E468" s="14" t="inlineStr">
        <is>
          <t>Saída</t>
        </is>
      </c>
      <c r="F468" s="29" t="inlineStr">
        <is>
          <t>Custos Variáveis</t>
        </is>
      </c>
      <c r="G468" s="29" t="inlineStr">
        <is>
          <t>Outros Custos Diretos</t>
        </is>
      </c>
      <c r="H468" s="29" t="inlineStr">
        <is>
          <t>Produção</t>
        </is>
      </c>
      <c r="I468" s="29" t="inlineStr">
        <is>
          <t>APOIO OPERACIONAL SERVIÇOS LTDA</t>
        </is>
      </c>
      <c r="J468" s="29" t="inlineStr">
        <is>
          <t>Serviços de apoio à operação e expedição</t>
        </is>
      </c>
      <c r="K468" s="14" t="inlineStr">
        <is>
          <t>DOC 7246</t>
        </is>
      </c>
      <c r="L468" s="29" t="inlineStr">
        <is>
          <t>Banco do Brasil — C/C 12345-6</t>
        </is>
      </c>
      <c r="M468" s="14" t="inlineStr">
        <is>
          <t>PIX</t>
        </is>
      </c>
      <c r="N468" s="29" t="n"/>
      <c r="O468" s="13" t="n">
        <v>1</v>
      </c>
      <c r="P468" s="13" t="n">
        <v>1</v>
      </c>
      <c r="Q468" s="35" t="n">
        <v>1081.97</v>
      </c>
      <c r="R468" s="35" t="n"/>
      <c r="S468" s="35" t="n"/>
      <c r="T468" s="35" t="n"/>
      <c r="U468" s="35" t="n"/>
      <c r="V468" s="18">
        <f>IF(COUNTA($B468:$R468)=0,"",ROUND(N($R468)+N($S468)+N($T468)-N($U468),2))</f>
        <v/>
      </c>
      <c r="W468" s="18">
        <f>IF(COUNTA($B468:$R468)=0,"",IF(OR($X468="Pago",$X468="Recebido",$X468="Cancelado"),0,ROUND(N($Q468)+N($S468)+N($T468)-N($U468)-N($R468),2)))</f>
        <v/>
      </c>
      <c r="X468" s="14" t="inlineStr">
        <is>
          <t>Previsto</t>
        </is>
      </c>
      <c r="Y468" s="17">
        <f>IF(COUNTA($B468:$R468)=0,"",IF($X468="Cancelado","Cancelado",IF(OR($X468="Pago",$X468="Recebido"),$X468,IF(OR($X468="Parcial",N($R468)&gt;0),"Parcial",IF($C468="","Sem vencimento",IF($C468&lt;TODAY(),"Vencido",IF($C468=TODAY(),"Vence hoje",IF($C468&lt;=TODAY()+7,"Vence em 7 dias",IF($C468&lt;=TODAY()+30,"Vence em 30 dias","Futuro")))))))))</f>
        <v/>
      </c>
      <c r="Z468" s="24">
        <f>IF($B468="","",MONTH($B468))</f>
        <v/>
      </c>
      <c r="AA468" s="24">
        <f>IF($B468="","",YEAR($B468))</f>
        <v/>
      </c>
      <c r="AB468" s="24">
        <f>IF($B468="","",ISOWEEKNUM($B468))</f>
        <v/>
      </c>
      <c r="AC468" s="17">
        <f>IF($B468="","",CHOOSE(WEEKDAY($B468,2),"Segunda","Terça","Quarta","Quinta","Sexta","Sábado","Domingo"))</f>
        <v/>
      </c>
      <c r="AD468" s="17">
        <f>IF($B468="","",TEXT($B468,"MM/AAAA"))</f>
        <v/>
      </c>
      <c r="AE468" s="18">
        <f>IF(COUNTA($B468:$R468)=0,"",IF($X468="Cancelado",0,ROUND(N($Q468)+N($S468)+N($T468)-N($U468),2)))</f>
        <v/>
      </c>
      <c r="AF468" s="9">
        <f>IF($G468="","",IFERROR(INDEX(LINHAS_DRE_PLANO,MATCH($G468,SUBCATEGORIAS_PLANO,0)),"Não classificado"))</f>
        <v/>
      </c>
      <c r="AG468" s="17">
        <f>IF($G468="","",IFERROR(INDEX(TIPOS_FLUXO_PLANO,MATCH($G468,SUBCATEGORIAS_PLANO,0)),"Não classificado"))</f>
        <v/>
      </c>
      <c r="AH468" s="9">
        <f>IF($G468="","",IFERROR(INDEX(GRUPOS_PLANO,MATCH($G468,SUBCATEGORIAS_PLANO,0)),"Não classificado"))</f>
        <v/>
      </c>
      <c r="AI468" s="24">
        <f>IF(OR($C468="",$X468="Pago",$X468="Recebido",$X468="Cancelado"),"",$C468-TODAY())</f>
        <v/>
      </c>
      <c r="AJ468" s="24">
        <f>IF(OR($C468="",$X468="Pago",$X468="Recebido",$X468="Cancelado"),0,MAX(0,TODAY()-$C468))</f>
        <v/>
      </c>
      <c r="AK468" s="24">
        <f>IF($D468="","",$D468-$B468)</f>
        <v/>
      </c>
      <c r="AL468" s="18">
        <f>IF(OR($D468="",$B468=""),"",ROUND(N($R468)*($D468-$B468),2))</f>
        <v/>
      </c>
      <c r="AM468" s="17">
        <f>IF(AND($E468="Saída",$W468&gt;0,$C468&lt;&gt;""),$C468+ROW()/1000000,"")</f>
        <v/>
      </c>
      <c r="AN468" s="17">
        <f>IF(AND($E468="Entrada",$W468&gt;0,$C468&lt;&gt;""),$C468+ROW()/1000000,"")</f>
        <v/>
      </c>
      <c r="AO468" s="9">
        <f>IF(COUNTA($B468:$R468)=0,"",IF(AND($I468&lt;&gt;"",COUNTIF(CLIENTES_NOMES,$I468)+COUNTIF(CLIENTES_FANTASIA,$I468)+COUNTIF(FORNECEDORES_NOMES,$I468)+COUNTIF(FORNECEDORES_FANTASIA,$I468)=0),"⚠ Cliente/Fornecedor não cadastrado",IF(AND($G468&lt;&gt;"",COUNTIF(SUBCATEGORIAS_PLANO,$G468)=0),"⚠ Subcategoria fora do plano de contas",IF(OR($Q468="",N($Q468)=0),"⚠ Valor previsto não informado",IF(AND(OR($X468="Pago",$X468="Recebido"),$D468=""),"⚠ Status pago/recebido sem data",IF(AND($D468&lt;&gt;"",N($R468)=0),"⚠ Data de pagamento sem valor realizado",IF(AND(N($P468)&gt;1,N($O468)&gt;N($P468)),"⚠ Nº da parcela maior que o total",IF(AND($C468&lt;&gt;"",$B468&lt;&gt;"",$C468&lt;$B468),"⚠ Vencimento anterior à competência","OK"))))))))</f>
        <v/>
      </c>
    </row>
    <row r="469">
      <c r="A469" s="14" t="inlineStr">
        <is>
          <t>L0464</t>
        </is>
      </c>
      <c r="B469" s="36" t="n">
        <v>46315</v>
      </c>
      <c r="C469" s="36" t="n">
        <v>46346</v>
      </c>
      <c r="D469" s="36" t="n"/>
      <c r="E469" s="14" t="inlineStr">
        <is>
          <t>Saída</t>
        </is>
      </c>
      <c r="F469" s="29" t="inlineStr">
        <is>
          <t>Tributos</t>
        </is>
      </c>
      <c r="G469" s="29" t="inlineStr">
        <is>
          <t>Simples Nacional</t>
        </is>
      </c>
      <c r="H469" s="29" t="inlineStr">
        <is>
          <t>Financeiro</t>
        </is>
      </c>
      <c r="I469" s="29" t="inlineStr">
        <is>
          <t>RECEITA FEDERAL DO BRASIL</t>
        </is>
      </c>
      <c r="J469" s="29" t="inlineStr">
        <is>
          <t>Simples Nacional — competência 10/2026</t>
        </is>
      </c>
      <c r="K469" s="14" t="inlineStr">
        <is>
          <t>DAS 10/2026</t>
        </is>
      </c>
      <c r="L469" s="29" t="inlineStr">
        <is>
          <t>Banco do Brasil — C/C 12345-6</t>
        </is>
      </c>
      <c r="M469" s="14" t="inlineStr">
        <is>
          <t>Transferência</t>
        </is>
      </c>
      <c r="N469" s="29" t="n"/>
      <c r="O469" s="13" t="n">
        <v>1</v>
      </c>
      <c r="P469" s="13" t="n">
        <v>1</v>
      </c>
      <c r="Q469" s="35" t="n">
        <v>22115.2</v>
      </c>
      <c r="R469" s="35" t="n"/>
      <c r="S469" s="35" t="n"/>
      <c r="T469" s="35" t="n"/>
      <c r="U469" s="35" t="n"/>
      <c r="V469" s="18">
        <f>IF(COUNTA($B469:$R469)=0,"",ROUND(N($R469)+N($S469)+N($T469)-N($U469),2))</f>
        <v/>
      </c>
      <c r="W469" s="18">
        <f>IF(COUNTA($B469:$R469)=0,"",IF(OR($X469="Pago",$X469="Recebido",$X469="Cancelado"),0,ROUND(N($Q469)+N($S469)+N($T469)-N($U469)-N($R469),2)))</f>
        <v/>
      </c>
      <c r="X469" s="14" t="inlineStr">
        <is>
          <t>Previsto</t>
        </is>
      </c>
      <c r="Y469" s="17">
        <f>IF(COUNTA($B469:$R469)=0,"",IF($X469="Cancelado","Cancelado",IF(OR($X469="Pago",$X469="Recebido"),$X469,IF(OR($X469="Parcial",N($R469)&gt;0),"Parcial",IF($C469="","Sem vencimento",IF($C469&lt;TODAY(),"Vencido",IF($C469=TODAY(),"Vence hoje",IF($C469&lt;=TODAY()+7,"Vence em 7 dias",IF($C469&lt;=TODAY()+30,"Vence em 30 dias","Futuro")))))))))</f>
        <v/>
      </c>
      <c r="Z469" s="24">
        <f>IF($B469="","",MONTH($B469))</f>
        <v/>
      </c>
      <c r="AA469" s="24">
        <f>IF($B469="","",YEAR($B469))</f>
        <v/>
      </c>
      <c r="AB469" s="24">
        <f>IF($B469="","",ISOWEEKNUM($B469))</f>
        <v/>
      </c>
      <c r="AC469" s="17">
        <f>IF($B469="","",CHOOSE(WEEKDAY($B469,2),"Segunda","Terça","Quarta","Quinta","Sexta","Sábado","Domingo"))</f>
        <v/>
      </c>
      <c r="AD469" s="17">
        <f>IF($B469="","",TEXT($B469,"MM/AAAA"))</f>
        <v/>
      </c>
      <c r="AE469" s="18">
        <f>IF(COUNTA($B469:$R469)=0,"",IF($X469="Cancelado",0,ROUND(N($Q469)+N($S469)+N($T469)-N($U469),2)))</f>
        <v/>
      </c>
      <c r="AF469" s="9">
        <f>IF($G469="","",IFERROR(INDEX(LINHAS_DRE_PLANO,MATCH($G469,SUBCATEGORIAS_PLANO,0)),"Não classificado"))</f>
        <v/>
      </c>
      <c r="AG469" s="17">
        <f>IF($G469="","",IFERROR(INDEX(TIPOS_FLUXO_PLANO,MATCH($G469,SUBCATEGORIAS_PLANO,0)),"Não classificado"))</f>
        <v/>
      </c>
      <c r="AH469" s="9">
        <f>IF($G469="","",IFERROR(INDEX(GRUPOS_PLANO,MATCH($G469,SUBCATEGORIAS_PLANO,0)),"Não classificado"))</f>
        <v/>
      </c>
      <c r="AI469" s="24">
        <f>IF(OR($C469="",$X469="Pago",$X469="Recebido",$X469="Cancelado"),"",$C469-TODAY())</f>
        <v/>
      </c>
      <c r="AJ469" s="24">
        <f>IF(OR($C469="",$X469="Pago",$X469="Recebido",$X469="Cancelado"),0,MAX(0,TODAY()-$C469))</f>
        <v/>
      </c>
      <c r="AK469" s="24">
        <f>IF($D469="","",$D469-$B469)</f>
        <v/>
      </c>
      <c r="AL469" s="18">
        <f>IF(OR($D469="",$B469=""),"",ROUND(N($R469)*($D469-$B469),2))</f>
        <v/>
      </c>
      <c r="AM469" s="17">
        <f>IF(AND($E469="Saída",$W469&gt;0,$C469&lt;&gt;""),$C469+ROW()/1000000,"")</f>
        <v/>
      </c>
      <c r="AN469" s="17">
        <f>IF(AND($E469="Entrada",$W469&gt;0,$C469&lt;&gt;""),$C469+ROW()/1000000,"")</f>
        <v/>
      </c>
      <c r="AO469" s="9">
        <f>IF(COUNTA($B469:$R469)=0,"",IF(AND($I469&lt;&gt;"",COUNTIF(CLIENTES_NOMES,$I469)+COUNTIF(CLIENTES_FANTASIA,$I469)+COUNTIF(FORNECEDORES_NOMES,$I469)+COUNTIF(FORNECEDORES_FANTASIA,$I469)=0),"⚠ Cliente/Fornecedor não cadastrado",IF(AND($G469&lt;&gt;"",COUNTIF(SUBCATEGORIAS_PLANO,$G469)=0),"⚠ Subcategoria fora do plano de contas",IF(OR($Q469="",N($Q469)=0),"⚠ Valor previsto não informado",IF(AND(OR($X469="Pago",$X469="Recebido"),$D469=""),"⚠ Status pago/recebido sem data",IF(AND($D469&lt;&gt;"",N($R469)=0),"⚠ Data de pagamento sem valor realizado",IF(AND(N($P469)&gt;1,N($O469)&gt;N($P469)),"⚠ Nº da parcela maior que o total",IF(AND($C469&lt;&gt;"",$B469&lt;&gt;"",$C469&lt;$B469),"⚠ Vencimento anterior à competência","OK"))))))))</f>
        <v/>
      </c>
    </row>
    <row r="470">
      <c r="A470" s="14" t="inlineStr">
        <is>
          <t>L0465</t>
        </is>
      </c>
      <c r="B470" s="36" t="n">
        <v>46315</v>
      </c>
      <c r="C470" s="36" t="n">
        <v>46315</v>
      </c>
      <c r="D470" s="36" t="n"/>
      <c r="E470" s="14" t="inlineStr">
        <is>
          <t>Saída</t>
        </is>
      </c>
      <c r="F470" s="29" t="inlineStr">
        <is>
          <t>Empréstimos e Financiamentos</t>
        </is>
      </c>
      <c r="G470" s="29" t="inlineStr">
        <is>
          <t>Pagamento de Principal de Empréstimos</t>
        </is>
      </c>
      <c r="H470" s="29" t="inlineStr">
        <is>
          <t>Diretoria</t>
        </is>
      </c>
      <c r="I470" s="29" t="inlineStr">
        <is>
          <t>Banco Santander</t>
        </is>
      </c>
      <c r="J470" s="29" t="inlineStr">
        <is>
          <t>Financiamento de Veículo — parcela 9/48 (principal)</t>
        </is>
      </c>
      <c r="K470" s="14" t="inlineStr">
        <is>
          <t>VEI-2026-0088-P09</t>
        </is>
      </c>
      <c r="L470" s="29" t="inlineStr">
        <is>
          <t>Itaú Unibanco — C/C 45678-9</t>
        </is>
      </c>
      <c r="M470" s="14" t="inlineStr">
        <is>
          <t>Débito automático</t>
        </is>
      </c>
      <c r="N470" s="29" t="n"/>
      <c r="O470" s="13" t="n">
        <v>9</v>
      </c>
      <c r="P470" s="13" t="n">
        <v>48</v>
      </c>
      <c r="Q470" s="35" t="n">
        <v>1354.61</v>
      </c>
      <c r="R470" s="35" t="n"/>
      <c r="S470" s="35" t="n"/>
      <c r="T470" s="35" t="n"/>
      <c r="U470" s="35" t="n"/>
      <c r="V470" s="18">
        <f>IF(COUNTA($B470:$R470)=0,"",ROUND(N($R470)+N($S470)+N($T470)-N($U470),2))</f>
        <v/>
      </c>
      <c r="W470" s="18">
        <f>IF(COUNTA($B470:$R470)=0,"",IF(OR($X470="Pago",$X470="Recebido",$X470="Cancelado"),0,ROUND(N($Q470)+N($S470)+N($T470)-N($U470)-N($R470),2)))</f>
        <v/>
      </c>
      <c r="X470" s="14" t="inlineStr">
        <is>
          <t>Previsto</t>
        </is>
      </c>
      <c r="Y470" s="17">
        <f>IF(COUNTA($B470:$R470)=0,"",IF($X470="Cancelado","Cancelado",IF(OR($X470="Pago",$X470="Recebido"),$X470,IF(OR($X470="Parcial",N($R470)&gt;0),"Parcial",IF($C470="","Sem vencimento",IF($C470&lt;TODAY(),"Vencido",IF($C470=TODAY(),"Vence hoje",IF($C470&lt;=TODAY()+7,"Vence em 7 dias",IF($C470&lt;=TODAY()+30,"Vence em 30 dias","Futuro")))))))))</f>
        <v/>
      </c>
      <c r="Z470" s="24">
        <f>IF($B470="","",MONTH($B470))</f>
        <v/>
      </c>
      <c r="AA470" s="24">
        <f>IF($B470="","",YEAR($B470))</f>
        <v/>
      </c>
      <c r="AB470" s="24">
        <f>IF($B470="","",ISOWEEKNUM($B470))</f>
        <v/>
      </c>
      <c r="AC470" s="17">
        <f>IF($B470="","",CHOOSE(WEEKDAY($B470,2),"Segunda","Terça","Quarta","Quinta","Sexta","Sábado","Domingo"))</f>
        <v/>
      </c>
      <c r="AD470" s="17">
        <f>IF($B470="","",TEXT($B470,"MM/AAAA"))</f>
        <v/>
      </c>
      <c r="AE470" s="18">
        <f>IF(COUNTA($B470:$R470)=0,"",IF($X470="Cancelado",0,ROUND(N($Q470)+N($S470)+N($T470)-N($U470),2)))</f>
        <v/>
      </c>
      <c r="AF470" s="9">
        <f>IF($G470="","",IFERROR(INDEX(LINHAS_DRE_PLANO,MATCH($G470,SUBCATEGORIAS_PLANO,0)),"Não classificado"))</f>
        <v/>
      </c>
      <c r="AG470" s="17">
        <f>IF($G470="","",IFERROR(INDEX(TIPOS_FLUXO_PLANO,MATCH($G470,SUBCATEGORIAS_PLANO,0)),"Não classificado"))</f>
        <v/>
      </c>
      <c r="AH470" s="9">
        <f>IF($G470="","",IFERROR(INDEX(GRUPOS_PLANO,MATCH($G470,SUBCATEGORIAS_PLANO,0)),"Não classificado"))</f>
        <v/>
      </c>
      <c r="AI470" s="24">
        <f>IF(OR($C470="",$X470="Pago",$X470="Recebido",$X470="Cancelado"),"",$C470-TODAY())</f>
        <v/>
      </c>
      <c r="AJ470" s="24">
        <f>IF(OR($C470="",$X470="Pago",$X470="Recebido",$X470="Cancelado"),0,MAX(0,TODAY()-$C470))</f>
        <v/>
      </c>
      <c r="AK470" s="24">
        <f>IF($D470="","",$D470-$B470)</f>
        <v/>
      </c>
      <c r="AL470" s="18">
        <f>IF(OR($D470="",$B470=""),"",ROUND(N($R470)*($D470-$B470),2))</f>
        <v/>
      </c>
      <c r="AM470" s="17">
        <f>IF(AND($E470="Saída",$W470&gt;0,$C470&lt;&gt;""),$C470+ROW()/1000000,"")</f>
        <v/>
      </c>
      <c r="AN470" s="17">
        <f>IF(AND($E470="Entrada",$W470&gt;0,$C470&lt;&gt;""),$C470+ROW()/1000000,"")</f>
        <v/>
      </c>
      <c r="AO470" s="9">
        <f>IF(COUNTA($B470:$R470)=0,"",IF(AND($I470&lt;&gt;"",COUNTIF(CLIENTES_NOMES,$I470)+COUNTIF(CLIENTES_FANTASIA,$I470)+COUNTIF(FORNECEDORES_NOMES,$I470)+COUNTIF(FORNECEDORES_FANTASIA,$I470)=0),"⚠ Cliente/Fornecedor não cadastrado",IF(AND($G470&lt;&gt;"",COUNTIF(SUBCATEGORIAS_PLANO,$G470)=0),"⚠ Subcategoria fora do plano de contas",IF(OR($Q470="",N($Q470)=0),"⚠ Valor previsto não informado",IF(AND(OR($X470="Pago",$X470="Recebido"),$D470=""),"⚠ Status pago/recebido sem data",IF(AND($D470&lt;&gt;"",N($R470)=0),"⚠ Data de pagamento sem valor realizado",IF(AND(N($P470)&gt;1,N($O470)&gt;N($P470)),"⚠ Nº da parcela maior que o total",IF(AND($C470&lt;&gt;"",$B470&lt;&gt;"",$C470&lt;$B470),"⚠ Vencimento anterior à competência","OK"))))))))</f>
        <v/>
      </c>
    </row>
    <row r="471">
      <c r="A471" s="14" t="inlineStr">
        <is>
          <t>L0466</t>
        </is>
      </c>
      <c r="B471" s="36" t="n">
        <v>46315</v>
      </c>
      <c r="C471" s="36" t="n">
        <v>46315</v>
      </c>
      <c r="D471" s="36" t="n"/>
      <c r="E471" s="14" t="inlineStr">
        <is>
          <t>Saída</t>
        </is>
      </c>
      <c r="F471" s="29" t="inlineStr">
        <is>
          <t>Despesas Financeiras</t>
        </is>
      </c>
      <c r="G471" s="29" t="inlineStr">
        <is>
          <t>Juros de Empréstimos e Financiamentos</t>
        </is>
      </c>
      <c r="H471" s="29" t="inlineStr">
        <is>
          <t>Diretoria</t>
        </is>
      </c>
      <c r="I471" s="29" t="inlineStr">
        <is>
          <t>Banco Santander</t>
        </is>
      </c>
      <c r="J471" s="29" t="inlineStr">
        <is>
          <t>Financiamento de Veículo — parcela 9/48 (juros)</t>
        </is>
      </c>
      <c r="K471" s="14" t="inlineStr">
        <is>
          <t>VEI-2026-0088-P09</t>
        </is>
      </c>
      <c r="L471" s="29" t="inlineStr">
        <is>
          <t>Itaú Unibanco — C/C 45678-9</t>
        </is>
      </c>
      <c r="M471" s="14" t="inlineStr">
        <is>
          <t>Débito automático</t>
        </is>
      </c>
      <c r="N471" s="29" t="n"/>
      <c r="O471" s="13" t="n">
        <v>9</v>
      </c>
      <c r="P471" s="13" t="n">
        <v>48</v>
      </c>
      <c r="Q471" s="35" t="n">
        <v>871.85</v>
      </c>
      <c r="R471" s="35" t="n"/>
      <c r="S471" s="35" t="n"/>
      <c r="T471" s="35" t="n"/>
      <c r="U471" s="35" t="n"/>
      <c r="V471" s="18">
        <f>IF(COUNTA($B471:$R471)=0,"",ROUND(N($R471)+N($S471)+N($T471)-N($U471),2))</f>
        <v/>
      </c>
      <c r="W471" s="18">
        <f>IF(COUNTA($B471:$R471)=0,"",IF(OR($X471="Pago",$X471="Recebido",$X471="Cancelado"),0,ROUND(N($Q471)+N($S471)+N($T471)-N($U471)-N($R471),2)))</f>
        <v/>
      </c>
      <c r="X471" s="14" t="inlineStr">
        <is>
          <t>Previsto</t>
        </is>
      </c>
      <c r="Y471" s="17">
        <f>IF(COUNTA($B471:$R471)=0,"",IF($X471="Cancelado","Cancelado",IF(OR($X471="Pago",$X471="Recebido"),$X471,IF(OR($X471="Parcial",N($R471)&gt;0),"Parcial",IF($C471="","Sem vencimento",IF($C471&lt;TODAY(),"Vencido",IF($C471=TODAY(),"Vence hoje",IF($C471&lt;=TODAY()+7,"Vence em 7 dias",IF($C471&lt;=TODAY()+30,"Vence em 30 dias","Futuro")))))))))</f>
        <v/>
      </c>
      <c r="Z471" s="24">
        <f>IF($B471="","",MONTH($B471))</f>
        <v/>
      </c>
      <c r="AA471" s="24">
        <f>IF($B471="","",YEAR($B471))</f>
        <v/>
      </c>
      <c r="AB471" s="24">
        <f>IF($B471="","",ISOWEEKNUM($B471))</f>
        <v/>
      </c>
      <c r="AC471" s="17">
        <f>IF($B471="","",CHOOSE(WEEKDAY($B471,2),"Segunda","Terça","Quarta","Quinta","Sexta","Sábado","Domingo"))</f>
        <v/>
      </c>
      <c r="AD471" s="17">
        <f>IF($B471="","",TEXT($B471,"MM/AAAA"))</f>
        <v/>
      </c>
      <c r="AE471" s="18">
        <f>IF(COUNTA($B471:$R471)=0,"",IF($X471="Cancelado",0,ROUND(N($Q471)+N($S471)+N($T471)-N($U471),2)))</f>
        <v/>
      </c>
      <c r="AF471" s="9">
        <f>IF($G471="","",IFERROR(INDEX(LINHAS_DRE_PLANO,MATCH($G471,SUBCATEGORIAS_PLANO,0)),"Não classificado"))</f>
        <v/>
      </c>
      <c r="AG471" s="17">
        <f>IF($G471="","",IFERROR(INDEX(TIPOS_FLUXO_PLANO,MATCH($G471,SUBCATEGORIAS_PLANO,0)),"Não classificado"))</f>
        <v/>
      </c>
      <c r="AH471" s="9">
        <f>IF($G471="","",IFERROR(INDEX(GRUPOS_PLANO,MATCH($G471,SUBCATEGORIAS_PLANO,0)),"Não classificado"))</f>
        <v/>
      </c>
      <c r="AI471" s="24">
        <f>IF(OR($C471="",$X471="Pago",$X471="Recebido",$X471="Cancelado"),"",$C471-TODAY())</f>
        <v/>
      </c>
      <c r="AJ471" s="24">
        <f>IF(OR($C471="",$X471="Pago",$X471="Recebido",$X471="Cancelado"),0,MAX(0,TODAY()-$C471))</f>
        <v/>
      </c>
      <c r="AK471" s="24">
        <f>IF($D471="","",$D471-$B471)</f>
        <v/>
      </c>
      <c r="AL471" s="18">
        <f>IF(OR($D471="",$B471=""),"",ROUND(N($R471)*($D471-$B471),2))</f>
        <v/>
      </c>
      <c r="AM471" s="17">
        <f>IF(AND($E471="Saída",$W471&gt;0,$C471&lt;&gt;""),$C471+ROW()/1000000,"")</f>
        <v/>
      </c>
      <c r="AN471" s="17">
        <f>IF(AND($E471="Entrada",$W471&gt;0,$C471&lt;&gt;""),$C471+ROW()/1000000,"")</f>
        <v/>
      </c>
      <c r="AO471" s="9">
        <f>IF(COUNTA($B471:$R471)=0,"",IF(AND($I471&lt;&gt;"",COUNTIF(CLIENTES_NOMES,$I471)+COUNTIF(CLIENTES_FANTASIA,$I471)+COUNTIF(FORNECEDORES_NOMES,$I471)+COUNTIF(FORNECEDORES_FANTASIA,$I471)=0),"⚠ Cliente/Fornecedor não cadastrado",IF(AND($G471&lt;&gt;"",COUNTIF(SUBCATEGORIAS_PLANO,$G471)=0),"⚠ Subcategoria fora do plano de contas",IF(OR($Q471="",N($Q471)=0),"⚠ Valor previsto não informado",IF(AND(OR($X471="Pago",$X471="Recebido"),$D471=""),"⚠ Status pago/recebido sem data",IF(AND($D471&lt;&gt;"",N($R471)=0),"⚠ Data de pagamento sem valor realizado",IF(AND(N($P471)&gt;1,N($O471)&gt;N($P471)),"⚠ Nº da parcela maior que o total",IF(AND($C471&lt;&gt;"",$B471&lt;&gt;"",$C471&lt;$B471),"⚠ Vencimento anterior à competência","OK"))))))))</f>
        <v/>
      </c>
    </row>
    <row r="472">
      <c r="A472" s="14" t="inlineStr">
        <is>
          <t>L0467</t>
        </is>
      </c>
      <c r="B472" s="36" t="n">
        <v>46317</v>
      </c>
      <c r="C472" s="36" t="n">
        <v>46349</v>
      </c>
      <c r="D472" s="36" t="n"/>
      <c r="E472" s="14" t="inlineStr">
        <is>
          <t>Entrada</t>
        </is>
      </c>
      <c r="F472" s="29" t="inlineStr">
        <is>
          <t>Vendas</t>
        </is>
      </c>
      <c r="G472" s="29" t="inlineStr">
        <is>
          <t>Vendas de Serviços</t>
        </is>
      </c>
      <c r="H472" s="29" t="inlineStr">
        <is>
          <t>Comercial</t>
        </is>
      </c>
      <c r="I472" s="29" t="inlineStr">
        <is>
          <t>MERCADO BOA COMPRA LTDA</t>
        </is>
      </c>
      <c r="J472" s="29" t="inlineStr">
        <is>
          <t>Serviços de logística, montagem e reposição</t>
        </is>
      </c>
      <c r="K472" s="14" t="inlineStr">
        <is>
          <t>RPS 3110</t>
        </is>
      </c>
      <c r="L472" s="29" t="inlineStr">
        <is>
          <t>Banco do Brasil — C/C 12345-6</t>
        </is>
      </c>
      <c r="M472" s="14" t="inlineStr">
        <is>
          <t>Boleto</t>
        </is>
      </c>
      <c r="N472" s="29" t="n"/>
      <c r="O472" s="13" t="n">
        <v>1</v>
      </c>
      <c r="P472" s="13" t="n">
        <v>1</v>
      </c>
      <c r="Q472" s="35" t="n">
        <v>12649.42</v>
      </c>
      <c r="R472" s="35" t="n"/>
      <c r="S472" s="35" t="n"/>
      <c r="T472" s="35" t="n"/>
      <c r="U472" s="35" t="n"/>
      <c r="V472" s="18">
        <f>IF(COUNTA($B472:$R472)=0,"",ROUND(N($R472)+N($S472)+N($T472)-N($U472),2))</f>
        <v/>
      </c>
      <c r="W472" s="18">
        <f>IF(COUNTA($B472:$R472)=0,"",IF(OR($X472="Pago",$X472="Recebido",$X472="Cancelado"),0,ROUND(N($Q472)+N($S472)+N($T472)-N($U472)-N($R472),2)))</f>
        <v/>
      </c>
      <c r="X472" s="14" t="inlineStr">
        <is>
          <t>Previsto</t>
        </is>
      </c>
      <c r="Y472" s="17">
        <f>IF(COUNTA($B472:$R472)=0,"",IF($X472="Cancelado","Cancelado",IF(OR($X472="Pago",$X472="Recebido"),$X472,IF(OR($X472="Parcial",N($R472)&gt;0),"Parcial",IF($C472="","Sem vencimento",IF($C472&lt;TODAY(),"Vencido",IF($C472=TODAY(),"Vence hoje",IF($C472&lt;=TODAY()+7,"Vence em 7 dias",IF($C472&lt;=TODAY()+30,"Vence em 30 dias","Futuro")))))))))</f>
        <v/>
      </c>
      <c r="Z472" s="24">
        <f>IF($B472="","",MONTH($B472))</f>
        <v/>
      </c>
      <c r="AA472" s="24">
        <f>IF($B472="","",YEAR($B472))</f>
        <v/>
      </c>
      <c r="AB472" s="24">
        <f>IF($B472="","",ISOWEEKNUM($B472))</f>
        <v/>
      </c>
      <c r="AC472" s="17">
        <f>IF($B472="","",CHOOSE(WEEKDAY($B472,2),"Segunda","Terça","Quarta","Quinta","Sexta","Sábado","Domingo"))</f>
        <v/>
      </c>
      <c r="AD472" s="17">
        <f>IF($B472="","",TEXT($B472,"MM/AAAA"))</f>
        <v/>
      </c>
      <c r="AE472" s="18">
        <f>IF(COUNTA($B472:$R472)=0,"",IF($X472="Cancelado",0,ROUND(N($Q472)+N($S472)+N($T472)-N($U472),2)))</f>
        <v/>
      </c>
      <c r="AF472" s="9">
        <f>IF($G472="","",IFERROR(INDEX(LINHAS_DRE_PLANO,MATCH($G472,SUBCATEGORIAS_PLANO,0)),"Não classificado"))</f>
        <v/>
      </c>
      <c r="AG472" s="17">
        <f>IF($G472="","",IFERROR(INDEX(TIPOS_FLUXO_PLANO,MATCH($G472,SUBCATEGORIAS_PLANO,0)),"Não classificado"))</f>
        <v/>
      </c>
      <c r="AH472" s="9">
        <f>IF($G472="","",IFERROR(INDEX(GRUPOS_PLANO,MATCH($G472,SUBCATEGORIAS_PLANO,0)),"Não classificado"))</f>
        <v/>
      </c>
      <c r="AI472" s="24">
        <f>IF(OR($C472="",$X472="Pago",$X472="Recebido",$X472="Cancelado"),"",$C472-TODAY())</f>
        <v/>
      </c>
      <c r="AJ472" s="24">
        <f>IF(OR($C472="",$X472="Pago",$X472="Recebido",$X472="Cancelado"),0,MAX(0,TODAY()-$C472))</f>
        <v/>
      </c>
      <c r="AK472" s="24">
        <f>IF($D472="","",$D472-$B472)</f>
        <v/>
      </c>
      <c r="AL472" s="18">
        <f>IF(OR($D472="",$B472=""),"",ROUND(N($R472)*($D472-$B472),2))</f>
        <v/>
      </c>
      <c r="AM472" s="17">
        <f>IF(AND($E472="Saída",$W472&gt;0,$C472&lt;&gt;""),$C472+ROW()/1000000,"")</f>
        <v/>
      </c>
      <c r="AN472" s="17">
        <f>IF(AND($E472="Entrada",$W472&gt;0,$C472&lt;&gt;""),$C472+ROW()/1000000,"")</f>
        <v/>
      </c>
      <c r="AO472" s="9">
        <f>IF(COUNTA($B472:$R472)=0,"",IF(AND($I472&lt;&gt;"",COUNTIF(CLIENTES_NOMES,$I472)+COUNTIF(CLIENTES_FANTASIA,$I472)+COUNTIF(FORNECEDORES_NOMES,$I472)+COUNTIF(FORNECEDORES_FANTASIA,$I472)=0),"⚠ Cliente/Fornecedor não cadastrado",IF(AND($G472&lt;&gt;"",COUNTIF(SUBCATEGORIAS_PLANO,$G472)=0),"⚠ Subcategoria fora do plano de contas",IF(OR($Q472="",N($Q472)=0),"⚠ Valor previsto não informado",IF(AND(OR($X472="Pago",$X472="Recebido"),$D472=""),"⚠ Status pago/recebido sem data",IF(AND($D472&lt;&gt;"",N($R472)=0),"⚠ Data de pagamento sem valor realizado",IF(AND(N($P472)&gt;1,N($O472)&gt;N($P472)),"⚠ Nº da parcela maior que o total",IF(AND($C472&lt;&gt;"",$B472&lt;&gt;"",$C472&lt;$B472),"⚠ Vencimento anterior à competência","OK"))))))))</f>
        <v/>
      </c>
    </row>
    <row r="473">
      <c r="A473" s="14" t="inlineStr">
        <is>
          <t>L0468</t>
        </is>
      </c>
      <c r="B473" s="36" t="n">
        <v>46317</v>
      </c>
      <c r="C473" s="36" t="n">
        <v>46332</v>
      </c>
      <c r="D473" s="36" t="n"/>
      <c r="E473" s="14" t="inlineStr">
        <is>
          <t>Entrada</t>
        </is>
      </c>
      <c r="F473" s="29" t="inlineStr">
        <is>
          <t>Vendas</t>
        </is>
      </c>
      <c r="G473" s="29" t="inlineStr">
        <is>
          <t>Vendas de Serviços</t>
        </is>
      </c>
      <c r="H473" s="29" t="inlineStr">
        <is>
          <t>Comercial</t>
        </is>
      </c>
      <c r="I473" s="29" t="inlineStr">
        <is>
          <t>RESTAURANTE SABOR CASEIRO LTDA</t>
        </is>
      </c>
      <c r="J473" s="29" t="inlineStr">
        <is>
          <t>Serviços de logística, montagem e reposição</t>
        </is>
      </c>
      <c r="K473" s="14" t="inlineStr">
        <is>
          <t>RPS 3114</t>
        </is>
      </c>
      <c r="L473" s="29" t="inlineStr">
        <is>
          <t>Itaú Unibanco — C/C 45678-9</t>
        </is>
      </c>
      <c r="M473" s="14" t="inlineStr">
        <is>
          <t>Boleto</t>
        </is>
      </c>
      <c r="N473" s="29" t="n"/>
      <c r="O473" s="13" t="n">
        <v>1</v>
      </c>
      <c r="P473" s="13" t="n">
        <v>1</v>
      </c>
      <c r="Q473" s="35" t="n">
        <v>7876.49</v>
      </c>
      <c r="R473" s="35" t="n"/>
      <c r="S473" s="35" t="n"/>
      <c r="T473" s="35" t="n"/>
      <c r="U473" s="35" t="n"/>
      <c r="V473" s="18">
        <f>IF(COUNTA($B473:$R473)=0,"",ROUND(N($R473)+N($S473)+N($T473)-N($U473),2))</f>
        <v/>
      </c>
      <c r="W473" s="18">
        <f>IF(COUNTA($B473:$R473)=0,"",IF(OR($X473="Pago",$X473="Recebido",$X473="Cancelado"),0,ROUND(N($Q473)+N($S473)+N($T473)-N($U473)-N($R473),2)))</f>
        <v/>
      </c>
      <c r="X473" s="14" t="inlineStr">
        <is>
          <t>Previsto</t>
        </is>
      </c>
      <c r="Y473" s="17">
        <f>IF(COUNTA($B473:$R473)=0,"",IF($X473="Cancelado","Cancelado",IF(OR($X473="Pago",$X473="Recebido"),$X473,IF(OR($X473="Parcial",N($R473)&gt;0),"Parcial",IF($C473="","Sem vencimento",IF($C473&lt;TODAY(),"Vencido",IF($C473=TODAY(),"Vence hoje",IF($C473&lt;=TODAY()+7,"Vence em 7 dias",IF($C473&lt;=TODAY()+30,"Vence em 30 dias","Futuro")))))))))</f>
        <v/>
      </c>
      <c r="Z473" s="24">
        <f>IF($B473="","",MONTH($B473))</f>
        <v/>
      </c>
      <c r="AA473" s="24">
        <f>IF($B473="","",YEAR($B473))</f>
        <v/>
      </c>
      <c r="AB473" s="24">
        <f>IF($B473="","",ISOWEEKNUM($B473))</f>
        <v/>
      </c>
      <c r="AC473" s="17">
        <f>IF($B473="","",CHOOSE(WEEKDAY($B473,2),"Segunda","Terça","Quarta","Quinta","Sexta","Sábado","Domingo"))</f>
        <v/>
      </c>
      <c r="AD473" s="17">
        <f>IF($B473="","",TEXT($B473,"MM/AAAA"))</f>
        <v/>
      </c>
      <c r="AE473" s="18">
        <f>IF(COUNTA($B473:$R473)=0,"",IF($X473="Cancelado",0,ROUND(N($Q473)+N($S473)+N($T473)-N($U473),2)))</f>
        <v/>
      </c>
      <c r="AF473" s="9">
        <f>IF($G473="","",IFERROR(INDEX(LINHAS_DRE_PLANO,MATCH($G473,SUBCATEGORIAS_PLANO,0)),"Não classificado"))</f>
        <v/>
      </c>
      <c r="AG473" s="17">
        <f>IF($G473="","",IFERROR(INDEX(TIPOS_FLUXO_PLANO,MATCH($G473,SUBCATEGORIAS_PLANO,0)),"Não classificado"))</f>
        <v/>
      </c>
      <c r="AH473" s="9">
        <f>IF($G473="","",IFERROR(INDEX(GRUPOS_PLANO,MATCH($G473,SUBCATEGORIAS_PLANO,0)),"Não classificado"))</f>
        <v/>
      </c>
      <c r="AI473" s="24">
        <f>IF(OR($C473="",$X473="Pago",$X473="Recebido",$X473="Cancelado"),"",$C473-TODAY())</f>
        <v/>
      </c>
      <c r="AJ473" s="24">
        <f>IF(OR($C473="",$X473="Pago",$X473="Recebido",$X473="Cancelado"),0,MAX(0,TODAY()-$C473))</f>
        <v/>
      </c>
      <c r="AK473" s="24">
        <f>IF($D473="","",$D473-$B473)</f>
        <v/>
      </c>
      <c r="AL473" s="18">
        <f>IF(OR($D473="",$B473=""),"",ROUND(N($R473)*($D473-$B473),2))</f>
        <v/>
      </c>
      <c r="AM473" s="17">
        <f>IF(AND($E473="Saída",$W473&gt;0,$C473&lt;&gt;""),$C473+ROW()/1000000,"")</f>
        <v/>
      </c>
      <c r="AN473" s="17">
        <f>IF(AND($E473="Entrada",$W473&gt;0,$C473&lt;&gt;""),$C473+ROW()/1000000,"")</f>
        <v/>
      </c>
      <c r="AO473" s="9">
        <f>IF(COUNTA($B473:$R473)=0,"",IF(AND($I473&lt;&gt;"",COUNTIF(CLIENTES_NOMES,$I473)+COUNTIF(CLIENTES_FANTASIA,$I473)+COUNTIF(FORNECEDORES_NOMES,$I473)+COUNTIF(FORNECEDORES_FANTASIA,$I473)=0),"⚠ Cliente/Fornecedor não cadastrado",IF(AND($G473&lt;&gt;"",COUNTIF(SUBCATEGORIAS_PLANO,$G473)=0),"⚠ Subcategoria fora do plano de contas",IF(OR($Q473="",N($Q473)=0),"⚠ Valor previsto não informado",IF(AND(OR($X473="Pago",$X473="Recebido"),$D473=""),"⚠ Status pago/recebido sem data",IF(AND($D473&lt;&gt;"",N($R473)=0),"⚠ Data de pagamento sem valor realizado",IF(AND(N($P473)&gt;1,N($O473)&gt;N($P473)),"⚠ Nº da parcela maior que o total",IF(AND($C473&lt;&gt;"",$B473&lt;&gt;"",$C473&lt;$B473),"⚠ Vencimento anterior à competência","OK"))))))))</f>
        <v/>
      </c>
    </row>
    <row r="474">
      <c r="A474" s="14" t="inlineStr">
        <is>
          <t>L0469</t>
        </is>
      </c>
      <c r="B474" s="36" t="n">
        <v>46317</v>
      </c>
      <c r="C474" s="36" t="n">
        <v>46338</v>
      </c>
      <c r="D474" s="36" t="n"/>
      <c r="E474" s="14" t="inlineStr">
        <is>
          <t>Entrada</t>
        </is>
      </c>
      <c r="F474" s="29" t="inlineStr">
        <is>
          <t>Vendas</t>
        </is>
      </c>
      <c r="G474" s="29" t="inlineStr">
        <is>
          <t>Vendas de Serviços</t>
        </is>
      </c>
      <c r="H474" s="29" t="inlineStr">
        <is>
          <t>Comercial</t>
        </is>
      </c>
      <c r="I474" s="29" t="inlineStr">
        <is>
          <t>EMPÓRIO NATURAL COMÉRCIO LTDA</t>
        </is>
      </c>
      <c r="J474" s="29" t="inlineStr">
        <is>
          <t>Serviços de logística, montagem e reposição</t>
        </is>
      </c>
      <c r="K474" s="14" t="inlineStr">
        <is>
          <t>RPS 3118</t>
        </is>
      </c>
      <c r="L474" s="29" t="inlineStr">
        <is>
          <t>Itaú Unibanco — C/C 45678-9</t>
        </is>
      </c>
      <c r="M474" s="14" t="inlineStr">
        <is>
          <t>Boleto</t>
        </is>
      </c>
      <c r="N474" s="29" t="n"/>
      <c r="O474" s="13" t="n">
        <v>1</v>
      </c>
      <c r="P474" s="13" t="n">
        <v>1</v>
      </c>
      <c r="Q474" s="35" t="n">
        <v>16828.01</v>
      </c>
      <c r="R474" s="35" t="n"/>
      <c r="S474" s="35" t="n"/>
      <c r="T474" s="35" t="n"/>
      <c r="U474" s="35" t="n"/>
      <c r="V474" s="18">
        <f>IF(COUNTA($B474:$R474)=0,"",ROUND(N($R474)+N($S474)+N($T474)-N($U474),2))</f>
        <v/>
      </c>
      <c r="W474" s="18">
        <f>IF(COUNTA($B474:$R474)=0,"",IF(OR($X474="Pago",$X474="Recebido",$X474="Cancelado"),0,ROUND(N($Q474)+N($S474)+N($T474)-N($U474)-N($R474),2)))</f>
        <v/>
      </c>
      <c r="X474" s="14" t="inlineStr">
        <is>
          <t>Previsto</t>
        </is>
      </c>
      <c r="Y474" s="17">
        <f>IF(COUNTA($B474:$R474)=0,"",IF($X474="Cancelado","Cancelado",IF(OR($X474="Pago",$X474="Recebido"),$X474,IF(OR($X474="Parcial",N($R474)&gt;0),"Parcial",IF($C474="","Sem vencimento",IF($C474&lt;TODAY(),"Vencido",IF($C474=TODAY(),"Vence hoje",IF($C474&lt;=TODAY()+7,"Vence em 7 dias",IF($C474&lt;=TODAY()+30,"Vence em 30 dias","Futuro")))))))))</f>
        <v/>
      </c>
      <c r="Z474" s="24">
        <f>IF($B474="","",MONTH($B474))</f>
        <v/>
      </c>
      <c r="AA474" s="24">
        <f>IF($B474="","",YEAR($B474))</f>
        <v/>
      </c>
      <c r="AB474" s="24">
        <f>IF($B474="","",ISOWEEKNUM($B474))</f>
        <v/>
      </c>
      <c r="AC474" s="17">
        <f>IF($B474="","",CHOOSE(WEEKDAY($B474,2),"Segunda","Terça","Quarta","Quinta","Sexta","Sábado","Domingo"))</f>
        <v/>
      </c>
      <c r="AD474" s="17">
        <f>IF($B474="","",TEXT($B474,"MM/AAAA"))</f>
        <v/>
      </c>
      <c r="AE474" s="18">
        <f>IF(COUNTA($B474:$R474)=0,"",IF($X474="Cancelado",0,ROUND(N($Q474)+N($S474)+N($T474)-N($U474),2)))</f>
        <v/>
      </c>
      <c r="AF474" s="9">
        <f>IF($G474="","",IFERROR(INDEX(LINHAS_DRE_PLANO,MATCH($G474,SUBCATEGORIAS_PLANO,0)),"Não classificado"))</f>
        <v/>
      </c>
      <c r="AG474" s="17">
        <f>IF($G474="","",IFERROR(INDEX(TIPOS_FLUXO_PLANO,MATCH($G474,SUBCATEGORIAS_PLANO,0)),"Não classificado"))</f>
        <v/>
      </c>
      <c r="AH474" s="9">
        <f>IF($G474="","",IFERROR(INDEX(GRUPOS_PLANO,MATCH($G474,SUBCATEGORIAS_PLANO,0)),"Não classificado"))</f>
        <v/>
      </c>
      <c r="AI474" s="24">
        <f>IF(OR($C474="",$X474="Pago",$X474="Recebido",$X474="Cancelado"),"",$C474-TODAY())</f>
        <v/>
      </c>
      <c r="AJ474" s="24">
        <f>IF(OR($C474="",$X474="Pago",$X474="Recebido",$X474="Cancelado"),0,MAX(0,TODAY()-$C474))</f>
        <v/>
      </c>
      <c r="AK474" s="24">
        <f>IF($D474="","",$D474-$B474)</f>
        <v/>
      </c>
      <c r="AL474" s="18">
        <f>IF(OR($D474="",$B474=""),"",ROUND(N($R474)*($D474-$B474),2))</f>
        <v/>
      </c>
      <c r="AM474" s="17">
        <f>IF(AND($E474="Saída",$W474&gt;0,$C474&lt;&gt;""),$C474+ROW()/1000000,"")</f>
        <v/>
      </c>
      <c r="AN474" s="17">
        <f>IF(AND($E474="Entrada",$W474&gt;0,$C474&lt;&gt;""),$C474+ROW()/1000000,"")</f>
        <v/>
      </c>
      <c r="AO474" s="9">
        <f>IF(COUNTA($B474:$R474)=0,"",IF(AND($I474&lt;&gt;"",COUNTIF(CLIENTES_NOMES,$I474)+COUNTIF(CLIENTES_FANTASIA,$I474)+COUNTIF(FORNECEDORES_NOMES,$I474)+COUNTIF(FORNECEDORES_FANTASIA,$I474)=0),"⚠ Cliente/Fornecedor não cadastrado",IF(AND($G474&lt;&gt;"",COUNTIF(SUBCATEGORIAS_PLANO,$G474)=0),"⚠ Subcategoria fora do plano de contas",IF(OR($Q474="",N($Q474)=0),"⚠ Valor previsto não informado",IF(AND(OR($X474="Pago",$X474="Recebido"),$D474=""),"⚠ Status pago/recebido sem data",IF(AND($D474&lt;&gt;"",N($R474)=0),"⚠ Data de pagamento sem valor realizado",IF(AND(N($P474)&gt;1,N($O474)&gt;N($P474)),"⚠ Nº da parcela maior que o total",IF(AND($C474&lt;&gt;"",$B474&lt;&gt;"",$C474&lt;$B474),"⚠ Vencimento anterior à competência","OK"))))))))</f>
        <v/>
      </c>
    </row>
    <row r="475">
      <c r="A475" s="14" t="inlineStr">
        <is>
          <t>L0470</t>
        </is>
      </c>
      <c r="B475" s="36" t="n">
        <v>46317</v>
      </c>
      <c r="C475" s="36" t="n">
        <v>46327</v>
      </c>
      <c r="D475" s="36" t="n"/>
      <c r="E475" s="14" t="inlineStr">
        <is>
          <t>Saída</t>
        </is>
      </c>
      <c r="F475" s="29" t="inlineStr">
        <is>
          <t>Despesas Administrativas</t>
        </is>
      </c>
      <c r="G475" s="29" t="inlineStr">
        <is>
          <t>Manutenção e Conservação</t>
        </is>
      </c>
      <c r="H475" s="29" t="inlineStr">
        <is>
          <t>Administrativo</t>
        </is>
      </c>
      <c r="I475" s="29" t="inlineStr">
        <is>
          <t>MANUTENÇÃO PREDIAL EXPRESSA LTDA</t>
        </is>
      </c>
      <c r="J475" s="29" t="inlineStr">
        <is>
          <t>Manutenção predial, empilhadeira e frota</t>
        </is>
      </c>
      <c r="K475" s="14" t="inlineStr">
        <is>
          <t>DOC 8426</t>
        </is>
      </c>
      <c r="L475" s="29" t="inlineStr">
        <is>
          <t>Banco do Brasil — C/C 12345-6</t>
        </is>
      </c>
      <c r="M475" s="14" t="inlineStr">
        <is>
          <t>PIX</t>
        </is>
      </c>
      <c r="N475" s="29" t="n"/>
      <c r="O475" s="13" t="n">
        <v>1</v>
      </c>
      <c r="P475" s="13" t="n">
        <v>1</v>
      </c>
      <c r="Q475" s="35" t="n">
        <v>856.62</v>
      </c>
      <c r="R475" s="35" t="n"/>
      <c r="S475" s="35" t="n"/>
      <c r="T475" s="35" t="n"/>
      <c r="U475" s="35" t="n"/>
      <c r="V475" s="18">
        <f>IF(COUNTA($B475:$R475)=0,"",ROUND(N($R475)+N($S475)+N($T475)-N($U475),2))</f>
        <v/>
      </c>
      <c r="W475" s="18">
        <f>IF(COUNTA($B475:$R475)=0,"",IF(OR($X475="Pago",$X475="Recebido",$X475="Cancelado"),0,ROUND(N($Q475)+N($S475)+N($T475)-N($U475)-N($R475),2)))</f>
        <v/>
      </c>
      <c r="X475" s="14" t="inlineStr">
        <is>
          <t>Previsto</t>
        </is>
      </c>
      <c r="Y475" s="17">
        <f>IF(COUNTA($B475:$R475)=0,"",IF($X475="Cancelado","Cancelado",IF(OR($X475="Pago",$X475="Recebido"),$X475,IF(OR($X475="Parcial",N($R475)&gt;0),"Parcial",IF($C475="","Sem vencimento",IF($C475&lt;TODAY(),"Vencido",IF($C475=TODAY(),"Vence hoje",IF($C475&lt;=TODAY()+7,"Vence em 7 dias",IF($C475&lt;=TODAY()+30,"Vence em 30 dias","Futuro")))))))))</f>
        <v/>
      </c>
      <c r="Z475" s="24">
        <f>IF($B475="","",MONTH($B475))</f>
        <v/>
      </c>
      <c r="AA475" s="24">
        <f>IF($B475="","",YEAR($B475))</f>
        <v/>
      </c>
      <c r="AB475" s="24">
        <f>IF($B475="","",ISOWEEKNUM($B475))</f>
        <v/>
      </c>
      <c r="AC475" s="17">
        <f>IF($B475="","",CHOOSE(WEEKDAY($B475,2),"Segunda","Terça","Quarta","Quinta","Sexta","Sábado","Domingo"))</f>
        <v/>
      </c>
      <c r="AD475" s="17">
        <f>IF($B475="","",TEXT($B475,"MM/AAAA"))</f>
        <v/>
      </c>
      <c r="AE475" s="18">
        <f>IF(COUNTA($B475:$R475)=0,"",IF($X475="Cancelado",0,ROUND(N($Q475)+N($S475)+N($T475)-N($U475),2)))</f>
        <v/>
      </c>
      <c r="AF475" s="9">
        <f>IF($G475="","",IFERROR(INDEX(LINHAS_DRE_PLANO,MATCH($G475,SUBCATEGORIAS_PLANO,0)),"Não classificado"))</f>
        <v/>
      </c>
      <c r="AG475" s="17">
        <f>IF($G475="","",IFERROR(INDEX(TIPOS_FLUXO_PLANO,MATCH($G475,SUBCATEGORIAS_PLANO,0)),"Não classificado"))</f>
        <v/>
      </c>
      <c r="AH475" s="9">
        <f>IF($G475="","",IFERROR(INDEX(GRUPOS_PLANO,MATCH($G475,SUBCATEGORIAS_PLANO,0)),"Não classificado"))</f>
        <v/>
      </c>
      <c r="AI475" s="24">
        <f>IF(OR($C475="",$X475="Pago",$X475="Recebido",$X475="Cancelado"),"",$C475-TODAY())</f>
        <v/>
      </c>
      <c r="AJ475" s="24">
        <f>IF(OR($C475="",$X475="Pago",$X475="Recebido",$X475="Cancelado"),0,MAX(0,TODAY()-$C475))</f>
        <v/>
      </c>
      <c r="AK475" s="24">
        <f>IF($D475="","",$D475-$B475)</f>
        <v/>
      </c>
      <c r="AL475" s="18">
        <f>IF(OR($D475="",$B475=""),"",ROUND(N($R475)*($D475-$B475),2))</f>
        <v/>
      </c>
      <c r="AM475" s="17">
        <f>IF(AND($E475="Saída",$W475&gt;0,$C475&lt;&gt;""),$C475+ROW()/1000000,"")</f>
        <v/>
      </c>
      <c r="AN475" s="17">
        <f>IF(AND($E475="Entrada",$W475&gt;0,$C475&lt;&gt;""),$C475+ROW()/1000000,"")</f>
        <v/>
      </c>
      <c r="AO475" s="9">
        <f>IF(COUNTA($B475:$R475)=0,"",IF(AND($I475&lt;&gt;"",COUNTIF(CLIENTES_NOMES,$I475)+COUNTIF(CLIENTES_FANTASIA,$I475)+COUNTIF(FORNECEDORES_NOMES,$I475)+COUNTIF(FORNECEDORES_FANTASIA,$I475)=0),"⚠ Cliente/Fornecedor não cadastrado",IF(AND($G475&lt;&gt;"",COUNTIF(SUBCATEGORIAS_PLANO,$G475)=0),"⚠ Subcategoria fora do plano de contas",IF(OR($Q475="",N($Q475)=0),"⚠ Valor previsto não informado",IF(AND(OR($X475="Pago",$X475="Recebido"),$D475=""),"⚠ Status pago/recebido sem data",IF(AND($D475&lt;&gt;"",N($R475)=0),"⚠ Data de pagamento sem valor realizado",IF(AND(N($P475)&gt;1,N($O475)&gt;N($P475)),"⚠ Nº da parcela maior que o total",IF(AND($C475&lt;&gt;"",$B475&lt;&gt;"",$C475&lt;$B475),"⚠ Vencimento anterior à competência","OK"))))))))</f>
        <v/>
      </c>
    </row>
    <row r="476">
      <c r="A476" s="14" t="inlineStr">
        <is>
          <t>L0471</t>
        </is>
      </c>
      <c r="B476" s="36" t="n">
        <v>46319</v>
      </c>
      <c r="C476" s="36" t="n">
        <v>46331</v>
      </c>
      <c r="D476" s="36" t="n"/>
      <c r="E476" s="14" t="inlineStr">
        <is>
          <t>Saída</t>
        </is>
      </c>
      <c r="F476" s="29" t="inlineStr">
        <is>
          <t>Despesas Comerciais</t>
        </is>
      </c>
      <c r="G476" s="29" t="inlineStr">
        <is>
          <t>Viagens Comerciais</t>
        </is>
      </c>
      <c r="H476" s="29" t="inlineStr">
        <is>
          <t>Comercial</t>
        </is>
      </c>
      <c r="I476" s="29" t="inlineStr">
        <is>
          <t>AGÊNCIA PULSO DIGITAL LTDA</t>
        </is>
      </c>
      <c r="J476" s="29" t="inlineStr">
        <is>
          <t>Viagens comerciais e visitas a clientes</t>
        </is>
      </c>
      <c r="K476" s="14" t="inlineStr">
        <is>
          <t>DOC 8428</t>
        </is>
      </c>
      <c r="L476" s="29" t="inlineStr">
        <is>
          <t>Itaú Unibanco — C/C 45678-9</t>
        </is>
      </c>
      <c r="M476" s="14" t="inlineStr">
        <is>
          <t>Cartão de crédito</t>
        </is>
      </c>
      <c r="N476" s="29" t="inlineStr">
        <is>
          <t>Cartão Visa Itaú Business</t>
        </is>
      </c>
      <c r="O476" s="13" t="n">
        <v>1</v>
      </c>
      <c r="P476" s="13" t="n">
        <v>1</v>
      </c>
      <c r="Q476" s="35" t="n">
        <v>1803.08</v>
      </c>
      <c r="R476" s="35" t="n"/>
      <c r="S476" s="35" t="n"/>
      <c r="T476" s="35" t="n"/>
      <c r="U476" s="35" t="n"/>
      <c r="V476" s="18">
        <f>IF(COUNTA($B476:$R476)=0,"",ROUND(N($R476)+N($S476)+N($T476)-N($U476),2))</f>
        <v/>
      </c>
      <c r="W476" s="18">
        <f>IF(COUNTA($B476:$R476)=0,"",IF(OR($X476="Pago",$X476="Recebido",$X476="Cancelado"),0,ROUND(N($Q476)+N($S476)+N($T476)-N($U476)-N($R476),2)))</f>
        <v/>
      </c>
      <c r="X476" s="14" t="inlineStr">
        <is>
          <t>Previsto</t>
        </is>
      </c>
      <c r="Y476" s="17">
        <f>IF(COUNTA($B476:$R476)=0,"",IF($X476="Cancelado","Cancelado",IF(OR($X476="Pago",$X476="Recebido"),$X476,IF(OR($X476="Parcial",N($R476)&gt;0),"Parcial",IF($C476="","Sem vencimento",IF($C476&lt;TODAY(),"Vencido",IF($C476=TODAY(),"Vence hoje",IF($C476&lt;=TODAY()+7,"Vence em 7 dias",IF($C476&lt;=TODAY()+30,"Vence em 30 dias","Futuro")))))))))</f>
        <v/>
      </c>
      <c r="Z476" s="24">
        <f>IF($B476="","",MONTH($B476))</f>
        <v/>
      </c>
      <c r="AA476" s="24">
        <f>IF($B476="","",YEAR($B476))</f>
        <v/>
      </c>
      <c r="AB476" s="24">
        <f>IF($B476="","",ISOWEEKNUM($B476))</f>
        <v/>
      </c>
      <c r="AC476" s="17">
        <f>IF($B476="","",CHOOSE(WEEKDAY($B476,2),"Segunda","Terça","Quarta","Quinta","Sexta","Sábado","Domingo"))</f>
        <v/>
      </c>
      <c r="AD476" s="17">
        <f>IF($B476="","",TEXT($B476,"MM/AAAA"))</f>
        <v/>
      </c>
      <c r="AE476" s="18">
        <f>IF(COUNTA($B476:$R476)=0,"",IF($X476="Cancelado",0,ROUND(N($Q476)+N($S476)+N($T476)-N($U476),2)))</f>
        <v/>
      </c>
      <c r="AF476" s="9">
        <f>IF($G476="","",IFERROR(INDEX(LINHAS_DRE_PLANO,MATCH($G476,SUBCATEGORIAS_PLANO,0)),"Não classificado"))</f>
        <v/>
      </c>
      <c r="AG476" s="17">
        <f>IF($G476="","",IFERROR(INDEX(TIPOS_FLUXO_PLANO,MATCH($G476,SUBCATEGORIAS_PLANO,0)),"Não classificado"))</f>
        <v/>
      </c>
      <c r="AH476" s="9">
        <f>IF($G476="","",IFERROR(INDEX(GRUPOS_PLANO,MATCH($G476,SUBCATEGORIAS_PLANO,0)),"Não classificado"))</f>
        <v/>
      </c>
      <c r="AI476" s="24">
        <f>IF(OR($C476="",$X476="Pago",$X476="Recebido",$X476="Cancelado"),"",$C476-TODAY())</f>
        <v/>
      </c>
      <c r="AJ476" s="24">
        <f>IF(OR($C476="",$X476="Pago",$X476="Recebido",$X476="Cancelado"),0,MAX(0,TODAY()-$C476))</f>
        <v/>
      </c>
      <c r="AK476" s="24">
        <f>IF($D476="","",$D476-$B476)</f>
        <v/>
      </c>
      <c r="AL476" s="18">
        <f>IF(OR($D476="",$B476=""),"",ROUND(N($R476)*($D476-$B476),2))</f>
        <v/>
      </c>
      <c r="AM476" s="17">
        <f>IF(AND($E476="Saída",$W476&gt;0,$C476&lt;&gt;""),$C476+ROW()/1000000,"")</f>
        <v/>
      </c>
      <c r="AN476" s="17">
        <f>IF(AND($E476="Entrada",$W476&gt;0,$C476&lt;&gt;""),$C476+ROW()/1000000,"")</f>
        <v/>
      </c>
      <c r="AO476" s="9">
        <f>IF(COUNTA($B476:$R476)=0,"",IF(AND($I476&lt;&gt;"",COUNTIF(CLIENTES_NOMES,$I476)+COUNTIF(CLIENTES_FANTASIA,$I476)+COUNTIF(FORNECEDORES_NOMES,$I476)+COUNTIF(FORNECEDORES_FANTASIA,$I476)=0),"⚠ Cliente/Fornecedor não cadastrado",IF(AND($G476&lt;&gt;"",COUNTIF(SUBCATEGORIAS_PLANO,$G476)=0),"⚠ Subcategoria fora do plano de contas",IF(OR($Q476="",N($Q476)=0),"⚠ Valor previsto não informado",IF(AND(OR($X476="Pago",$X476="Recebido"),$D476=""),"⚠ Status pago/recebido sem data",IF(AND($D476&lt;&gt;"",N($R476)=0),"⚠ Data de pagamento sem valor realizado",IF(AND(N($P476)&gt;1,N($O476)&gt;N($P476)),"⚠ Nº da parcela maior que o total",IF(AND($C476&lt;&gt;"",$B476&lt;&gt;"",$C476&lt;$B476),"⚠ Vencimento anterior à competência","OK"))))))))</f>
        <v/>
      </c>
    </row>
    <row r="477">
      <c r="A477" s="14" t="inlineStr">
        <is>
          <t>L0472</t>
        </is>
      </c>
      <c r="B477" s="36" t="n">
        <v>46320</v>
      </c>
      <c r="C477" s="36" t="n">
        <v>46335</v>
      </c>
      <c r="D477" s="36" t="n"/>
      <c r="E477" s="14" t="inlineStr">
        <is>
          <t>Saída</t>
        </is>
      </c>
      <c r="F477" s="29" t="inlineStr">
        <is>
          <t>Custos Variáveis</t>
        </is>
      </c>
      <c r="G477" s="29" t="inlineStr">
        <is>
          <t>Fretes e Entregas sobre Vendas</t>
        </is>
      </c>
      <c r="H477" s="29" t="inlineStr">
        <is>
          <t>Logística</t>
        </is>
      </c>
      <c r="I477" s="29" t="inlineStr">
        <is>
          <t>TRANSPORTADORA RÁPIDA LOG LTDA</t>
        </is>
      </c>
      <c r="J477" s="29" t="inlineStr">
        <is>
          <t>Fretes de entrega — notas do período</t>
        </is>
      </c>
      <c r="K477" s="14" t="inlineStr">
        <is>
          <t>DOC 7242</t>
        </is>
      </c>
      <c r="L477" s="29" t="inlineStr">
        <is>
          <t>Banco do Brasil — C/C 12345-6</t>
        </is>
      </c>
      <c r="M477" s="14" t="inlineStr">
        <is>
          <t>Boleto</t>
        </is>
      </c>
      <c r="N477" s="29" t="n"/>
      <c r="O477" s="13" t="n">
        <v>1</v>
      </c>
      <c r="P477" s="13" t="n">
        <v>1</v>
      </c>
      <c r="Q477" s="35" t="n">
        <v>4855.47</v>
      </c>
      <c r="R477" s="35" t="n"/>
      <c r="S477" s="35" t="n"/>
      <c r="T477" s="35" t="n"/>
      <c r="U477" s="35" t="n"/>
      <c r="V477" s="18">
        <f>IF(COUNTA($B477:$R477)=0,"",ROUND(N($R477)+N($S477)+N($T477)-N($U477),2))</f>
        <v/>
      </c>
      <c r="W477" s="18">
        <f>IF(COUNTA($B477:$R477)=0,"",IF(OR($X477="Pago",$X477="Recebido",$X477="Cancelado"),0,ROUND(N($Q477)+N($S477)+N($T477)-N($U477)-N($R477),2)))</f>
        <v/>
      </c>
      <c r="X477" s="14" t="inlineStr">
        <is>
          <t>Previsto</t>
        </is>
      </c>
      <c r="Y477" s="17">
        <f>IF(COUNTA($B477:$R477)=0,"",IF($X477="Cancelado","Cancelado",IF(OR($X477="Pago",$X477="Recebido"),$X477,IF(OR($X477="Parcial",N($R477)&gt;0),"Parcial",IF($C477="","Sem vencimento",IF($C477&lt;TODAY(),"Vencido",IF($C477=TODAY(),"Vence hoje",IF($C477&lt;=TODAY()+7,"Vence em 7 dias",IF($C477&lt;=TODAY()+30,"Vence em 30 dias","Futuro")))))))))</f>
        <v/>
      </c>
      <c r="Z477" s="24">
        <f>IF($B477="","",MONTH($B477))</f>
        <v/>
      </c>
      <c r="AA477" s="24">
        <f>IF($B477="","",YEAR($B477))</f>
        <v/>
      </c>
      <c r="AB477" s="24">
        <f>IF($B477="","",ISOWEEKNUM($B477))</f>
        <v/>
      </c>
      <c r="AC477" s="17">
        <f>IF($B477="","",CHOOSE(WEEKDAY($B477,2),"Segunda","Terça","Quarta","Quinta","Sexta","Sábado","Domingo"))</f>
        <v/>
      </c>
      <c r="AD477" s="17">
        <f>IF($B477="","",TEXT($B477,"MM/AAAA"))</f>
        <v/>
      </c>
      <c r="AE477" s="18">
        <f>IF(COUNTA($B477:$R477)=0,"",IF($X477="Cancelado",0,ROUND(N($Q477)+N($S477)+N($T477)-N($U477),2)))</f>
        <v/>
      </c>
      <c r="AF477" s="9">
        <f>IF($G477="","",IFERROR(INDEX(LINHAS_DRE_PLANO,MATCH($G477,SUBCATEGORIAS_PLANO,0)),"Não classificado"))</f>
        <v/>
      </c>
      <c r="AG477" s="17">
        <f>IF($G477="","",IFERROR(INDEX(TIPOS_FLUXO_PLANO,MATCH($G477,SUBCATEGORIAS_PLANO,0)),"Não classificado"))</f>
        <v/>
      </c>
      <c r="AH477" s="9">
        <f>IF($G477="","",IFERROR(INDEX(GRUPOS_PLANO,MATCH($G477,SUBCATEGORIAS_PLANO,0)),"Não classificado"))</f>
        <v/>
      </c>
      <c r="AI477" s="24">
        <f>IF(OR($C477="",$X477="Pago",$X477="Recebido",$X477="Cancelado"),"",$C477-TODAY())</f>
        <v/>
      </c>
      <c r="AJ477" s="24">
        <f>IF(OR($C477="",$X477="Pago",$X477="Recebido",$X477="Cancelado"),0,MAX(0,TODAY()-$C477))</f>
        <v/>
      </c>
      <c r="AK477" s="24">
        <f>IF($D477="","",$D477-$B477)</f>
        <v/>
      </c>
      <c r="AL477" s="18">
        <f>IF(OR($D477="",$B477=""),"",ROUND(N($R477)*($D477-$B477),2))</f>
        <v/>
      </c>
      <c r="AM477" s="17">
        <f>IF(AND($E477="Saída",$W477&gt;0,$C477&lt;&gt;""),$C477+ROW()/1000000,"")</f>
        <v/>
      </c>
      <c r="AN477" s="17">
        <f>IF(AND($E477="Entrada",$W477&gt;0,$C477&lt;&gt;""),$C477+ROW()/1000000,"")</f>
        <v/>
      </c>
      <c r="AO477" s="9">
        <f>IF(COUNTA($B477:$R477)=0,"",IF(AND($I477&lt;&gt;"",COUNTIF(CLIENTES_NOMES,$I477)+COUNTIF(CLIENTES_FANTASIA,$I477)+COUNTIF(FORNECEDORES_NOMES,$I477)+COUNTIF(FORNECEDORES_FANTASIA,$I477)=0),"⚠ Cliente/Fornecedor não cadastrado",IF(AND($G477&lt;&gt;"",COUNTIF(SUBCATEGORIAS_PLANO,$G477)=0),"⚠ Subcategoria fora do plano de contas",IF(OR($Q477="",N($Q477)=0),"⚠ Valor previsto não informado",IF(AND(OR($X477="Pago",$X477="Recebido"),$D477=""),"⚠ Status pago/recebido sem data",IF(AND($D477&lt;&gt;"",N($R477)=0),"⚠ Data de pagamento sem valor realizado",IF(AND(N($P477)&gt;1,N($O477)&gt;N($P477)),"⚠ Nº da parcela maior que o total",IF(AND($C477&lt;&gt;"",$B477&lt;&gt;"",$C477&lt;$B477),"⚠ Vencimento anterior à competência","OK"))))))))</f>
        <v/>
      </c>
    </row>
    <row r="478">
      <c r="A478" s="14" t="inlineStr">
        <is>
          <t>L0473</t>
        </is>
      </c>
      <c r="B478" s="36" t="n">
        <v>46321</v>
      </c>
      <c r="C478" s="36" t="n">
        <v>46321</v>
      </c>
      <c r="D478" s="36" t="n"/>
      <c r="E478" s="14" t="inlineStr">
        <is>
          <t>Saída</t>
        </is>
      </c>
      <c r="F478" s="29" t="inlineStr">
        <is>
          <t>Despesas Administrativas</t>
        </is>
      </c>
      <c r="G478" s="29" t="inlineStr">
        <is>
          <t>Outras Despesas Administrativas</t>
        </is>
      </c>
      <c r="H478" s="29" t="inlineStr">
        <is>
          <t>Administrativo</t>
        </is>
      </c>
      <c r="I478" s="29" t="inlineStr">
        <is>
          <t>MANUTENÇÃO PREDIAL EXPRESSA LTDA</t>
        </is>
      </c>
      <c r="J478" s="29" t="inlineStr">
        <is>
          <t>Despesas administrativas diversas</t>
        </is>
      </c>
      <c r="K478" s="14" t="inlineStr">
        <is>
          <t>DOC 8429</t>
        </is>
      </c>
      <c r="L478" s="29" t="inlineStr">
        <is>
          <t>Banco do Brasil — C/C 12345-6</t>
        </is>
      </c>
      <c r="M478" s="14" t="inlineStr">
        <is>
          <t>PIX</t>
        </is>
      </c>
      <c r="N478" s="29" t="n"/>
      <c r="O478" s="13" t="n">
        <v>1</v>
      </c>
      <c r="P478" s="13" t="n">
        <v>1</v>
      </c>
      <c r="Q478" s="35" t="n">
        <v>673</v>
      </c>
      <c r="R478" s="35" t="n"/>
      <c r="S478" s="35" t="n"/>
      <c r="T478" s="35" t="n"/>
      <c r="U478" s="35" t="n"/>
      <c r="V478" s="18">
        <f>IF(COUNTA($B478:$R478)=0,"",ROUND(N($R478)+N($S478)+N($T478)-N($U478),2))</f>
        <v/>
      </c>
      <c r="W478" s="18">
        <f>IF(COUNTA($B478:$R478)=0,"",IF(OR($X478="Pago",$X478="Recebido",$X478="Cancelado"),0,ROUND(N($Q478)+N($S478)+N($T478)-N($U478)-N($R478),2)))</f>
        <v/>
      </c>
      <c r="X478" s="14" t="inlineStr">
        <is>
          <t>Previsto</t>
        </is>
      </c>
      <c r="Y478" s="17">
        <f>IF(COUNTA($B478:$R478)=0,"",IF($X478="Cancelado","Cancelado",IF(OR($X478="Pago",$X478="Recebido"),$X478,IF(OR($X478="Parcial",N($R478)&gt;0),"Parcial",IF($C478="","Sem vencimento",IF($C478&lt;TODAY(),"Vencido",IF($C478=TODAY(),"Vence hoje",IF($C478&lt;=TODAY()+7,"Vence em 7 dias",IF($C478&lt;=TODAY()+30,"Vence em 30 dias","Futuro")))))))))</f>
        <v/>
      </c>
      <c r="Z478" s="24">
        <f>IF($B478="","",MONTH($B478))</f>
        <v/>
      </c>
      <c r="AA478" s="24">
        <f>IF($B478="","",YEAR($B478))</f>
        <v/>
      </c>
      <c r="AB478" s="24">
        <f>IF($B478="","",ISOWEEKNUM($B478))</f>
        <v/>
      </c>
      <c r="AC478" s="17">
        <f>IF($B478="","",CHOOSE(WEEKDAY($B478,2),"Segunda","Terça","Quarta","Quinta","Sexta","Sábado","Domingo"))</f>
        <v/>
      </c>
      <c r="AD478" s="17">
        <f>IF($B478="","",TEXT($B478,"MM/AAAA"))</f>
        <v/>
      </c>
      <c r="AE478" s="18">
        <f>IF(COUNTA($B478:$R478)=0,"",IF($X478="Cancelado",0,ROUND(N($Q478)+N($S478)+N($T478)-N($U478),2)))</f>
        <v/>
      </c>
      <c r="AF478" s="9">
        <f>IF($G478="","",IFERROR(INDEX(LINHAS_DRE_PLANO,MATCH($G478,SUBCATEGORIAS_PLANO,0)),"Não classificado"))</f>
        <v/>
      </c>
      <c r="AG478" s="17">
        <f>IF($G478="","",IFERROR(INDEX(TIPOS_FLUXO_PLANO,MATCH($G478,SUBCATEGORIAS_PLANO,0)),"Não classificado"))</f>
        <v/>
      </c>
      <c r="AH478" s="9">
        <f>IF($G478="","",IFERROR(INDEX(GRUPOS_PLANO,MATCH($G478,SUBCATEGORIAS_PLANO,0)),"Não classificado"))</f>
        <v/>
      </c>
      <c r="AI478" s="24">
        <f>IF(OR($C478="",$X478="Pago",$X478="Recebido",$X478="Cancelado"),"",$C478-TODAY())</f>
        <v/>
      </c>
      <c r="AJ478" s="24">
        <f>IF(OR($C478="",$X478="Pago",$X478="Recebido",$X478="Cancelado"),0,MAX(0,TODAY()-$C478))</f>
        <v/>
      </c>
      <c r="AK478" s="24">
        <f>IF($D478="","",$D478-$B478)</f>
        <v/>
      </c>
      <c r="AL478" s="18">
        <f>IF(OR($D478="",$B478=""),"",ROUND(N($R478)*($D478-$B478),2))</f>
        <v/>
      </c>
      <c r="AM478" s="17">
        <f>IF(AND($E478="Saída",$W478&gt;0,$C478&lt;&gt;""),$C478+ROW()/1000000,"")</f>
        <v/>
      </c>
      <c r="AN478" s="17">
        <f>IF(AND($E478="Entrada",$W478&gt;0,$C478&lt;&gt;""),$C478+ROW()/1000000,"")</f>
        <v/>
      </c>
      <c r="AO478" s="9">
        <f>IF(COUNTA($B478:$R478)=0,"",IF(AND($I478&lt;&gt;"",COUNTIF(CLIENTES_NOMES,$I478)+COUNTIF(CLIENTES_FANTASIA,$I478)+COUNTIF(FORNECEDORES_NOMES,$I478)+COUNTIF(FORNECEDORES_FANTASIA,$I478)=0),"⚠ Cliente/Fornecedor não cadastrado",IF(AND($G478&lt;&gt;"",COUNTIF(SUBCATEGORIAS_PLANO,$G478)=0),"⚠ Subcategoria fora do plano de contas",IF(OR($Q478="",N($Q478)=0),"⚠ Valor previsto não informado",IF(AND(OR($X478="Pago",$X478="Recebido"),$D478=""),"⚠ Status pago/recebido sem data",IF(AND($D478&lt;&gt;"",N($R478)=0),"⚠ Data de pagamento sem valor realizado",IF(AND(N($P478)&gt;1,N($O478)&gt;N($P478)),"⚠ Nº da parcela maior que o total",IF(AND($C478&lt;&gt;"",$B478&lt;&gt;"",$C478&lt;$B478),"⚠ Vencimento anterior à competência","OK"))))))))</f>
        <v/>
      </c>
    </row>
    <row r="479">
      <c r="A479" s="14" t="inlineStr">
        <is>
          <t>L0474</t>
        </is>
      </c>
      <c r="B479" s="36" t="n">
        <v>46323</v>
      </c>
      <c r="C479" s="36" t="n">
        <v>46323</v>
      </c>
      <c r="D479" s="36" t="n">
        <v>46323</v>
      </c>
      <c r="E479" s="14" t="inlineStr">
        <is>
          <t>Entrada</t>
        </is>
      </c>
      <c r="F479" s="29" t="inlineStr">
        <is>
          <t>Receitas Financeiras</t>
        </is>
      </c>
      <c r="G479" s="29" t="inlineStr">
        <is>
          <t>Rendimentos de Aplicações Financeiras</t>
        </is>
      </c>
      <c r="H479" s="29" t="inlineStr">
        <is>
          <t>Financeiro</t>
        </is>
      </c>
      <c r="I479" s="29" t="inlineStr">
        <is>
          <t>Itaú Unibanco</t>
        </is>
      </c>
      <c r="J479" s="29" t="inlineStr">
        <is>
          <t>Rendimento de aplicação financeira — 10/2026</t>
        </is>
      </c>
      <c r="K479" s="14" t="inlineStr">
        <is>
          <t>REND-APL</t>
        </is>
      </c>
      <c r="L479" s="29" t="inlineStr">
        <is>
          <t>Itaú Unibanco — C/C 45678-9</t>
        </is>
      </c>
      <c r="M479" s="14" t="inlineStr">
        <is>
          <t>Transferência</t>
        </is>
      </c>
      <c r="N479" s="29" t="n"/>
      <c r="O479" s="13" t="n">
        <v>1</v>
      </c>
      <c r="P479" s="13" t="n">
        <v>1</v>
      </c>
      <c r="Q479" s="35" t="n">
        <v>707.61</v>
      </c>
      <c r="R479" s="35" t="n">
        <v>707.61</v>
      </c>
      <c r="S479" s="35" t="n"/>
      <c r="T479" s="35" t="n"/>
      <c r="U479" s="35" t="n"/>
      <c r="V479" s="18">
        <f>IF(COUNTA($B479:$R479)=0,"",ROUND(N($R479)+N($S479)+N($T479)-N($U479),2))</f>
        <v/>
      </c>
      <c r="W479" s="18">
        <f>IF(COUNTA($B479:$R479)=0,"",IF(OR($X479="Pago",$X479="Recebido",$X479="Cancelado"),0,ROUND(N($Q479)+N($S479)+N($T479)-N($U479)-N($R479),2)))</f>
        <v/>
      </c>
      <c r="X479" s="14" t="inlineStr">
        <is>
          <t>Recebido</t>
        </is>
      </c>
      <c r="Y479" s="17">
        <f>IF(COUNTA($B479:$R479)=0,"",IF($X479="Cancelado","Cancelado",IF(OR($X479="Pago",$X479="Recebido"),$X479,IF(OR($X479="Parcial",N($R479)&gt;0),"Parcial",IF($C479="","Sem vencimento",IF($C479&lt;TODAY(),"Vencido",IF($C479=TODAY(),"Vence hoje",IF($C479&lt;=TODAY()+7,"Vence em 7 dias",IF($C479&lt;=TODAY()+30,"Vence em 30 dias","Futuro")))))))))</f>
        <v/>
      </c>
      <c r="Z479" s="24">
        <f>IF($B479="","",MONTH($B479))</f>
        <v/>
      </c>
      <c r="AA479" s="24">
        <f>IF($B479="","",YEAR($B479))</f>
        <v/>
      </c>
      <c r="AB479" s="24">
        <f>IF($B479="","",ISOWEEKNUM($B479))</f>
        <v/>
      </c>
      <c r="AC479" s="17">
        <f>IF($B479="","",CHOOSE(WEEKDAY($B479,2),"Segunda","Terça","Quarta","Quinta","Sexta","Sábado","Domingo"))</f>
        <v/>
      </c>
      <c r="AD479" s="17">
        <f>IF($B479="","",TEXT($B479,"MM/AAAA"))</f>
        <v/>
      </c>
      <c r="AE479" s="18">
        <f>IF(COUNTA($B479:$R479)=0,"",IF($X479="Cancelado",0,ROUND(N($Q479)+N($S479)+N($T479)-N($U479),2)))</f>
        <v/>
      </c>
      <c r="AF479" s="9">
        <f>IF($G479="","",IFERROR(INDEX(LINHAS_DRE_PLANO,MATCH($G479,SUBCATEGORIAS_PLANO,0)),"Não classificado"))</f>
        <v/>
      </c>
      <c r="AG479" s="17">
        <f>IF($G479="","",IFERROR(INDEX(TIPOS_FLUXO_PLANO,MATCH($G479,SUBCATEGORIAS_PLANO,0)),"Não classificado"))</f>
        <v/>
      </c>
      <c r="AH479" s="9">
        <f>IF($G479="","",IFERROR(INDEX(GRUPOS_PLANO,MATCH($G479,SUBCATEGORIAS_PLANO,0)),"Não classificado"))</f>
        <v/>
      </c>
      <c r="AI479" s="24">
        <f>IF(OR($C479="",$X479="Pago",$X479="Recebido",$X479="Cancelado"),"",$C479-TODAY())</f>
        <v/>
      </c>
      <c r="AJ479" s="24">
        <f>IF(OR($C479="",$X479="Pago",$X479="Recebido",$X479="Cancelado"),0,MAX(0,TODAY()-$C479))</f>
        <v/>
      </c>
      <c r="AK479" s="24">
        <f>IF($D479="","",$D479-$B479)</f>
        <v/>
      </c>
      <c r="AL479" s="18">
        <f>IF(OR($D479="",$B479=""),"",ROUND(N($R479)*($D479-$B479),2))</f>
        <v/>
      </c>
      <c r="AM479" s="17">
        <f>IF(AND($E479="Saída",$W479&gt;0,$C479&lt;&gt;""),$C479+ROW()/1000000,"")</f>
        <v/>
      </c>
      <c r="AN479" s="17">
        <f>IF(AND($E479="Entrada",$W479&gt;0,$C479&lt;&gt;""),$C479+ROW()/1000000,"")</f>
        <v/>
      </c>
      <c r="AO479" s="9">
        <f>IF(COUNTA($B479:$R479)=0,"",IF(AND($I479&lt;&gt;"",COUNTIF(CLIENTES_NOMES,$I479)+COUNTIF(CLIENTES_FANTASIA,$I479)+COUNTIF(FORNECEDORES_NOMES,$I479)+COUNTIF(FORNECEDORES_FANTASIA,$I479)=0),"⚠ Cliente/Fornecedor não cadastrado",IF(AND($G479&lt;&gt;"",COUNTIF(SUBCATEGORIAS_PLANO,$G479)=0),"⚠ Subcategoria fora do plano de contas",IF(OR($Q479="",N($Q479)=0),"⚠ Valor previsto não informado",IF(AND(OR($X479="Pago",$X479="Recebido"),$D479=""),"⚠ Status pago/recebido sem data",IF(AND($D479&lt;&gt;"",N($R479)=0),"⚠ Data de pagamento sem valor realizado",IF(AND(N($P479)&gt;1,N($O479)&gt;N($P479)),"⚠ Nº da parcela maior que o total",IF(AND($C479&lt;&gt;"",$B479&lt;&gt;"",$C479&lt;$B479),"⚠ Vencimento anterior à competência","OK"))))))))</f>
        <v/>
      </c>
    </row>
    <row r="480">
      <c r="A480" s="14" t="inlineStr">
        <is>
          <t>L0475</t>
        </is>
      </c>
      <c r="B480" s="36" t="n">
        <v>46323</v>
      </c>
      <c r="C480" s="36" t="n">
        <v>46328</v>
      </c>
      <c r="D480" s="36" t="n"/>
      <c r="E480" s="14" t="inlineStr">
        <is>
          <t>Saída</t>
        </is>
      </c>
      <c r="F480" s="29" t="inlineStr">
        <is>
          <t>Custos Variáveis</t>
        </is>
      </c>
      <c r="G480" s="29" t="inlineStr">
        <is>
          <t>Comissões sobre Vendas</t>
        </is>
      </c>
      <c r="H480" s="29" t="inlineStr">
        <is>
          <t>Comercial</t>
        </is>
      </c>
      <c r="I480" s="29" t="inlineStr">
        <is>
          <t>EQUIPE COMERCIAL — COMISSÕES</t>
        </is>
      </c>
      <c r="J480" s="29" t="inlineStr">
        <is>
          <t>Comissões sobre vendas do período</t>
        </is>
      </c>
      <c r="K480" s="14" t="inlineStr">
        <is>
          <t>DOC 7243</t>
        </is>
      </c>
      <c r="L480" s="29" t="inlineStr">
        <is>
          <t>Banco do Brasil — C/C 12345-6</t>
        </is>
      </c>
      <c r="M480" s="14" t="inlineStr">
        <is>
          <t>Transferência</t>
        </is>
      </c>
      <c r="N480" s="29" t="n"/>
      <c r="O480" s="13" t="n">
        <v>1</v>
      </c>
      <c r="P480" s="13" t="n">
        <v>1</v>
      </c>
      <c r="Q480" s="35" t="n">
        <v>3606.33</v>
      </c>
      <c r="R480" s="35" t="n"/>
      <c r="S480" s="35" t="n"/>
      <c r="T480" s="35" t="n"/>
      <c r="U480" s="35" t="n"/>
      <c r="V480" s="18">
        <f>IF(COUNTA($B480:$R480)=0,"",ROUND(N($R480)+N($S480)+N($T480)-N($U480),2))</f>
        <v/>
      </c>
      <c r="W480" s="18">
        <f>IF(COUNTA($B480:$R480)=0,"",IF(OR($X480="Pago",$X480="Recebido",$X480="Cancelado"),0,ROUND(N($Q480)+N($S480)+N($T480)-N($U480)-N($R480),2)))</f>
        <v/>
      </c>
      <c r="X480" s="14" t="inlineStr">
        <is>
          <t>Previsto</t>
        </is>
      </c>
      <c r="Y480" s="17">
        <f>IF(COUNTA($B480:$R480)=0,"",IF($X480="Cancelado","Cancelado",IF(OR($X480="Pago",$X480="Recebido"),$X480,IF(OR($X480="Parcial",N($R480)&gt;0),"Parcial",IF($C480="","Sem vencimento",IF($C480&lt;TODAY(),"Vencido",IF($C480=TODAY(),"Vence hoje",IF($C480&lt;=TODAY()+7,"Vence em 7 dias",IF($C480&lt;=TODAY()+30,"Vence em 30 dias","Futuro")))))))))</f>
        <v/>
      </c>
      <c r="Z480" s="24">
        <f>IF($B480="","",MONTH($B480))</f>
        <v/>
      </c>
      <c r="AA480" s="24">
        <f>IF($B480="","",YEAR($B480))</f>
        <v/>
      </c>
      <c r="AB480" s="24">
        <f>IF($B480="","",ISOWEEKNUM($B480))</f>
        <v/>
      </c>
      <c r="AC480" s="17">
        <f>IF($B480="","",CHOOSE(WEEKDAY($B480,2),"Segunda","Terça","Quarta","Quinta","Sexta","Sábado","Domingo"))</f>
        <v/>
      </c>
      <c r="AD480" s="17">
        <f>IF($B480="","",TEXT($B480,"MM/AAAA"))</f>
        <v/>
      </c>
      <c r="AE480" s="18">
        <f>IF(COUNTA($B480:$R480)=0,"",IF($X480="Cancelado",0,ROUND(N($Q480)+N($S480)+N($T480)-N($U480),2)))</f>
        <v/>
      </c>
      <c r="AF480" s="9">
        <f>IF($G480="","",IFERROR(INDEX(LINHAS_DRE_PLANO,MATCH($G480,SUBCATEGORIAS_PLANO,0)),"Não classificado"))</f>
        <v/>
      </c>
      <c r="AG480" s="17">
        <f>IF($G480="","",IFERROR(INDEX(TIPOS_FLUXO_PLANO,MATCH($G480,SUBCATEGORIAS_PLANO,0)),"Não classificado"))</f>
        <v/>
      </c>
      <c r="AH480" s="9">
        <f>IF($G480="","",IFERROR(INDEX(GRUPOS_PLANO,MATCH($G480,SUBCATEGORIAS_PLANO,0)),"Não classificado"))</f>
        <v/>
      </c>
      <c r="AI480" s="24">
        <f>IF(OR($C480="",$X480="Pago",$X480="Recebido",$X480="Cancelado"),"",$C480-TODAY())</f>
        <v/>
      </c>
      <c r="AJ480" s="24">
        <f>IF(OR($C480="",$X480="Pago",$X480="Recebido",$X480="Cancelado"),0,MAX(0,TODAY()-$C480))</f>
        <v/>
      </c>
      <c r="AK480" s="24">
        <f>IF($D480="","",$D480-$B480)</f>
        <v/>
      </c>
      <c r="AL480" s="18">
        <f>IF(OR($D480="",$B480=""),"",ROUND(N($R480)*($D480-$B480),2))</f>
        <v/>
      </c>
      <c r="AM480" s="17">
        <f>IF(AND($E480="Saída",$W480&gt;0,$C480&lt;&gt;""),$C480+ROW()/1000000,"")</f>
        <v/>
      </c>
      <c r="AN480" s="17">
        <f>IF(AND($E480="Entrada",$W480&gt;0,$C480&lt;&gt;""),$C480+ROW()/1000000,"")</f>
        <v/>
      </c>
      <c r="AO480" s="9">
        <f>IF(COUNTA($B480:$R480)=0,"",IF(AND($I480&lt;&gt;"",COUNTIF(CLIENTES_NOMES,$I480)+COUNTIF(CLIENTES_FANTASIA,$I480)+COUNTIF(FORNECEDORES_NOMES,$I480)+COUNTIF(FORNECEDORES_FANTASIA,$I480)=0),"⚠ Cliente/Fornecedor não cadastrado",IF(AND($G480&lt;&gt;"",COUNTIF(SUBCATEGORIAS_PLANO,$G480)=0),"⚠ Subcategoria fora do plano de contas",IF(OR($Q480="",N($Q480)=0),"⚠ Valor previsto não informado",IF(AND(OR($X480="Pago",$X480="Recebido"),$D480=""),"⚠ Status pago/recebido sem data",IF(AND($D480&lt;&gt;"",N($R480)=0),"⚠ Data de pagamento sem valor realizado",IF(AND(N($P480)&gt;1,N($O480)&gt;N($P480)),"⚠ Nº da parcela maior que o total",IF(AND($C480&lt;&gt;"",$B480&lt;&gt;"",$C480&lt;$B480),"⚠ Vencimento anterior à competência","OK"))))))))</f>
        <v/>
      </c>
    </row>
    <row r="481">
      <c r="A481" s="14" t="inlineStr">
        <is>
          <t>L0476</t>
        </is>
      </c>
      <c r="B481" s="36" t="n">
        <v>46323</v>
      </c>
      <c r="C481" s="36" t="n">
        <v>46333</v>
      </c>
      <c r="D481" s="36" t="n"/>
      <c r="E481" s="14" t="inlineStr">
        <is>
          <t>Saída</t>
        </is>
      </c>
      <c r="F481" s="29" t="inlineStr">
        <is>
          <t>Custos Variáveis</t>
        </is>
      </c>
      <c r="G481" s="29" t="inlineStr">
        <is>
          <t>Taxas de Marketplace</t>
        </is>
      </c>
      <c r="H481" s="29" t="inlineStr">
        <is>
          <t>Comercial</t>
        </is>
      </c>
      <c r="I481" s="29" t="inlineStr">
        <is>
          <t>MARKETPLACE FOODB2B LTDA</t>
        </is>
      </c>
      <c r="J481" s="29" t="inlineStr">
        <is>
          <t>Taxas de intermediação do marketplace</t>
        </is>
      </c>
      <c r="K481" s="14" t="inlineStr">
        <is>
          <t>DOC 7244</t>
        </is>
      </c>
      <c r="L481" s="29" t="inlineStr">
        <is>
          <t>Banco do Brasil — C/C 12345-6</t>
        </is>
      </c>
      <c r="M481" s="14" t="inlineStr">
        <is>
          <t>PIX</t>
        </is>
      </c>
      <c r="N481" s="29" t="n"/>
      <c r="O481" s="13" t="n">
        <v>1</v>
      </c>
      <c r="P481" s="13" t="n">
        <v>1</v>
      </c>
      <c r="Q481" s="35" t="n">
        <v>1977.46</v>
      </c>
      <c r="R481" s="35" t="n"/>
      <c r="S481" s="35" t="n"/>
      <c r="T481" s="35" t="n"/>
      <c r="U481" s="35" t="n"/>
      <c r="V481" s="18">
        <f>IF(COUNTA($B481:$R481)=0,"",ROUND(N($R481)+N($S481)+N($T481)-N($U481),2))</f>
        <v/>
      </c>
      <c r="W481" s="18">
        <f>IF(COUNTA($B481:$R481)=0,"",IF(OR($X481="Pago",$X481="Recebido",$X481="Cancelado"),0,ROUND(N($Q481)+N($S481)+N($T481)-N($U481)-N($R481),2)))</f>
        <v/>
      </c>
      <c r="X481" s="14" t="inlineStr">
        <is>
          <t>Previsto</t>
        </is>
      </c>
      <c r="Y481" s="17">
        <f>IF(COUNTA($B481:$R481)=0,"",IF($X481="Cancelado","Cancelado",IF(OR($X481="Pago",$X481="Recebido"),$X481,IF(OR($X481="Parcial",N($R481)&gt;0),"Parcial",IF($C481="","Sem vencimento",IF($C481&lt;TODAY(),"Vencido",IF($C481=TODAY(),"Vence hoje",IF($C481&lt;=TODAY()+7,"Vence em 7 dias",IF($C481&lt;=TODAY()+30,"Vence em 30 dias","Futuro")))))))))</f>
        <v/>
      </c>
      <c r="Z481" s="24">
        <f>IF($B481="","",MONTH($B481))</f>
        <v/>
      </c>
      <c r="AA481" s="24">
        <f>IF($B481="","",YEAR($B481))</f>
        <v/>
      </c>
      <c r="AB481" s="24">
        <f>IF($B481="","",ISOWEEKNUM($B481))</f>
        <v/>
      </c>
      <c r="AC481" s="17">
        <f>IF($B481="","",CHOOSE(WEEKDAY($B481,2),"Segunda","Terça","Quarta","Quinta","Sexta","Sábado","Domingo"))</f>
        <v/>
      </c>
      <c r="AD481" s="17">
        <f>IF($B481="","",TEXT($B481,"MM/AAAA"))</f>
        <v/>
      </c>
      <c r="AE481" s="18">
        <f>IF(COUNTA($B481:$R481)=0,"",IF($X481="Cancelado",0,ROUND(N($Q481)+N($S481)+N($T481)-N($U481),2)))</f>
        <v/>
      </c>
      <c r="AF481" s="9">
        <f>IF($G481="","",IFERROR(INDEX(LINHAS_DRE_PLANO,MATCH($G481,SUBCATEGORIAS_PLANO,0)),"Não classificado"))</f>
        <v/>
      </c>
      <c r="AG481" s="17">
        <f>IF($G481="","",IFERROR(INDEX(TIPOS_FLUXO_PLANO,MATCH($G481,SUBCATEGORIAS_PLANO,0)),"Não classificado"))</f>
        <v/>
      </c>
      <c r="AH481" s="9">
        <f>IF($G481="","",IFERROR(INDEX(GRUPOS_PLANO,MATCH($G481,SUBCATEGORIAS_PLANO,0)),"Não classificado"))</f>
        <v/>
      </c>
      <c r="AI481" s="24">
        <f>IF(OR($C481="",$X481="Pago",$X481="Recebido",$X481="Cancelado"),"",$C481-TODAY())</f>
        <v/>
      </c>
      <c r="AJ481" s="24">
        <f>IF(OR($C481="",$X481="Pago",$X481="Recebido",$X481="Cancelado"),0,MAX(0,TODAY()-$C481))</f>
        <v/>
      </c>
      <c r="AK481" s="24">
        <f>IF($D481="","",$D481-$B481)</f>
        <v/>
      </c>
      <c r="AL481" s="18">
        <f>IF(OR($D481="",$B481=""),"",ROUND(N($R481)*($D481-$B481),2))</f>
        <v/>
      </c>
      <c r="AM481" s="17">
        <f>IF(AND($E481="Saída",$W481&gt;0,$C481&lt;&gt;""),$C481+ROW()/1000000,"")</f>
        <v/>
      </c>
      <c r="AN481" s="17">
        <f>IF(AND($E481="Entrada",$W481&gt;0,$C481&lt;&gt;""),$C481+ROW()/1000000,"")</f>
        <v/>
      </c>
      <c r="AO481" s="9">
        <f>IF(COUNTA($B481:$R481)=0,"",IF(AND($I481&lt;&gt;"",COUNTIF(CLIENTES_NOMES,$I481)+COUNTIF(CLIENTES_FANTASIA,$I481)+COUNTIF(FORNECEDORES_NOMES,$I481)+COUNTIF(FORNECEDORES_FANTASIA,$I481)=0),"⚠ Cliente/Fornecedor não cadastrado",IF(AND($G481&lt;&gt;"",COUNTIF(SUBCATEGORIAS_PLANO,$G481)=0),"⚠ Subcategoria fora do plano de contas",IF(OR($Q481="",N($Q481)=0),"⚠ Valor previsto não informado",IF(AND(OR($X481="Pago",$X481="Recebido"),$D481=""),"⚠ Status pago/recebido sem data",IF(AND($D481&lt;&gt;"",N($R481)=0),"⚠ Data de pagamento sem valor realizado",IF(AND(N($P481)&gt;1,N($O481)&gt;N($P481)),"⚠ Nº da parcela maior que o total",IF(AND($C481&lt;&gt;"",$B481&lt;&gt;"",$C481&lt;$B481),"⚠ Vencimento anterior à competência","OK"))))))))</f>
        <v/>
      </c>
    </row>
    <row r="482">
      <c r="A482" s="14" t="inlineStr">
        <is>
          <t>L0477</t>
        </is>
      </c>
      <c r="B482" s="36" t="n">
        <v>46323</v>
      </c>
      <c r="C482" s="36" t="n">
        <v>46328</v>
      </c>
      <c r="D482" s="36" t="n"/>
      <c r="E482" s="14" t="inlineStr">
        <is>
          <t>Saída</t>
        </is>
      </c>
      <c r="F482" s="29" t="inlineStr">
        <is>
          <t>Custos Variáveis</t>
        </is>
      </c>
      <c r="G482" s="29" t="inlineStr">
        <is>
          <t>Taxas de Cartão e Maquininha</t>
        </is>
      </c>
      <c r="H482" s="29" t="inlineStr">
        <is>
          <t>Financeiro</t>
        </is>
      </c>
      <c r="I482" s="29" t="inlineStr">
        <is>
          <t>CIELO S.A. — INSTITUIÇÃO DE PAGAMENTO</t>
        </is>
      </c>
      <c r="J482" s="29" t="inlineStr">
        <is>
          <t>Taxas de cartão e antecipação de recebíveis</t>
        </is>
      </c>
      <c r="K482" s="14" t="inlineStr">
        <is>
          <t>DOC 7245</t>
        </is>
      </c>
      <c r="L482" s="29" t="inlineStr">
        <is>
          <t>Banco do Brasil — C/C 12345-6</t>
        </is>
      </c>
      <c r="M482" s="14" t="inlineStr">
        <is>
          <t>Transferência</t>
        </is>
      </c>
      <c r="N482" s="29" t="n"/>
      <c r="O482" s="13" t="n">
        <v>1</v>
      </c>
      <c r="P482" s="13" t="n">
        <v>1</v>
      </c>
      <c r="Q482" s="35" t="n">
        <v>2686.23</v>
      </c>
      <c r="R482" s="35" t="n"/>
      <c r="S482" s="35" t="n"/>
      <c r="T482" s="35" t="n"/>
      <c r="U482" s="35" t="n"/>
      <c r="V482" s="18">
        <f>IF(COUNTA($B482:$R482)=0,"",ROUND(N($R482)+N($S482)+N($T482)-N($U482),2))</f>
        <v/>
      </c>
      <c r="W482" s="18">
        <f>IF(COUNTA($B482:$R482)=0,"",IF(OR($X482="Pago",$X482="Recebido",$X482="Cancelado"),0,ROUND(N($Q482)+N($S482)+N($T482)-N($U482)-N($R482),2)))</f>
        <v/>
      </c>
      <c r="X482" s="14" t="inlineStr">
        <is>
          <t>Previsto</t>
        </is>
      </c>
      <c r="Y482" s="17">
        <f>IF(COUNTA($B482:$R482)=0,"",IF($X482="Cancelado","Cancelado",IF(OR($X482="Pago",$X482="Recebido"),$X482,IF(OR($X482="Parcial",N($R482)&gt;0),"Parcial",IF($C482="","Sem vencimento",IF($C482&lt;TODAY(),"Vencido",IF($C482=TODAY(),"Vence hoje",IF($C482&lt;=TODAY()+7,"Vence em 7 dias",IF($C482&lt;=TODAY()+30,"Vence em 30 dias","Futuro")))))))))</f>
        <v/>
      </c>
      <c r="Z482" s="24">
        <f>IF($B482="","",MONTH($B482))</f>
        <v/>
      </c>
      <c r="AA482" s="24">
        <f>IF($B482="","",YEAR($B482))</f>
        <v/>
      </c>
      <c r="AB482" s="24">
        <f>IF($B482="","",ISOWEEKNUM($B482))</f>
        <v/>
      </c>
      <c r="AC482" s="17">
        <f>IF($B482="","",CHOOSE(WEEKDAY($B482,2),"Segunda","Terça","Quarta","Quinta","Sexta","Sábado","Domingo"))</f>
        <v/>
      </c>
      <c r="AD482" s="17">
        <f>IF($B482="","",TEXT($B482,"MM/AAAA"))</f>
        <v/>
      </c>
      <c r="AE482" s="18">
        <f>IF(COUNTA($B482:$R482)=0,"",IF($X482="Cancelado",0,ROUND(N($Q482)+N($S482)+N($T482)-N($U482),2)))</f>
        <v/>
      </c>
      <c r="AF482" s="9">
        <f>IF($G482="","",IFERROR(INDEX(LINHAS_DRE_PLANO,MATCH($G482,SUBCATEGORIAS_PLANO,0)),"Não classificado"))</f>
        <v/>
      </c>
      <c r="AG482" s="17">
        <f>IF($G482="","",IFERROR(INDEX(TIPOS_FLUXO_PLANO,MATCH($G482,SUBCATEGORIAS_PLANO,0)),"Não classificado"))</f>
        <v/>
      </c>
      <c r="AH482" s="9">
        <f>IF($G482="","",IFERROR(INDEX(GRUPOS_PLANO,MATCH($G482,SUBCATEGORIAS_PLANO,0)),"Não classificado"))</f>
        <v/>
      </c>
      <c r="AI482" s="24">
        <f>IF(OR($C482="",$X482="Pago",$X482="Recebido",$X482="Cancelado"),"",$C482-TODAY())</f>
        <v/>
      </c>
      <c r="AJ482" s="24">
        <f>IF(OR($C482="",$X482="Pago",$X482="Recebido",$X482="Cancelado"),0,MAX(0,TODAY()-$C482))</f>
        <v/>
      </c>
      <c r="AK482" s="24">
        <f>IF($D482="","",$D482-$B482)</f>
        <v/>
      </c>
      <c r="AL482" s="18">
        <f>IF(OR($D482="",$B482=""),"",ROUND(N($R482)*($D482-$B482),2))</f>
        <v/>
      </c>
      <c r="AM482" s="17">
        <f>IF(AND($E482="Saída",$W482&gt;0,$C482&lt;&gt;""),$C482+ROW()/1000000,"")</f>
        <v/>
      </c>
      <c r="AN482" s="17">
        <f>IF(AND($E482="Entrada",$W482&gt;0,$C482&lt;&gt;""),$C482+ROW()/1000000,"")</f>
        <v/>
      </c>
      <c r="AO482" s="9">
        <f>IF(COUNTA($B482:$R482)=0,"",IF(AND($I482&lt;&gt;"",COUNTIF(CLIENTES_NOMES,$I482)+COUNTIF(CLIENTES_FANTASIA,$I482)+COUNTIF(FORNECEDORES_NOMES,$I482)+COUNTIF(FORNECEDORES_FANTASIA,$I482)=0),"⚠ Cliente/Fornecedor não cadastrado",IF(AND($G482&lt;&gt;"",COUNTIF(SUBCATEGORIAS_PLANO,$G482)=0),"⚠ Subcategoria fora do plano de contas",IF(OR($Q482="",N($Q482)=0),"⚠ Valor previsto não informado",IF(AND(OR($X482="Pago",$X482="Recebido"),$D482=""),"⚠ Status pago/recebido sem data",IF(AND($D482&lt;&gt;"",N($R482)=0),"⚠ Data de pagamento sem valor realizado",IF(AND(N($P482)&gt;1,N($O482)&gt;N($P482)),"⚠ Nº da parcela maior que o total",IF(AND($C482&lt;&gt;"",$B482&lt;&gt;"",$C482&lt;$B482),"⚠ Vencimento anterior à competência","OK"))))))))</f>
        <v/>
      </c>
    </row>
    <row r="483">
      <c r="A483" s="14" t="inlineStr">
        <is>
          <t>L0478</t>
        </is>
      </c>
      <c r="B483" s="36" t="n">
        <v>46323</v>
      </c>
      <c r="C483" s="36" t="n">
        <v>46323</v>
      </c>
      <c r="D483" s="36" t="n"/>
      <c r="E483" s="14" t="inlineStr">
        <is>
          <t>Saída</t>
        </is>
      </c>
      <c r="F483" s="29" t="inlineStr">
        <is>
          <t>Despesas Financeiras</t>
        </is>
      </c>
      <c r="G483" s="29" t="inlineStr">
        <is>
          <t>Tarifas Bancárias</t>
        </is>
      </c>
      <c r="H483" s="29" t="inlineStr">
        <is>
          <t>Financeiro</t>
        </is>
      </c>
      <c r="I483" s="29" t="inlineStr">
        <is>
          <t>CONTABILIDADE AURORA ASSESSORIA CONTÁBIL LTDA</t>
        </is>
      </c>
      <c r="J483" s="29" t="inlineStr">
        <is>
          <t>Tarifas e pacote de serviços bancários</t>
        </is>
      </c>
      <c r="K483" s="14" t="inlineStr">
        <is>
          <t>DOC 8430</t>
        </is>
      </c>
      <c r="L483" s="29" t="inlineStr">
        <is>
          <t>Itaú Unibanco — C/C 45678-9</t>
        </is>
      </c>
      <c r="M483" s="14" t="inlineStr">
        <is>
          <t>Transferência</t>
        </is>
      </c>
      <c r="N483" s="29" t="n"/>
      <c r="O483" s="13" t="n">
        <v>1</v>
      </c>
      <c r="P483" s="13" t="n">
        <v>1</v>
      </c>
      <c r="Q483" s="35" t="n">
        <v>190</v>
      </c>
      <c r="R483" s="35" t="n"/>
      <c r="S483" s="35" t="n"/>
      <c r="T483" s="35" t="n"/>
      <c r="U483" s="35" t="n"/>
      <c r="V483" s="18">
        <f>IF(COUNTA($B483:$R483)=0,"",ROUND(N($R483)+N($S483)+N($T483)-N($U483),2))</f>
        <v/>
      </c>
      <c r="W483" s="18">
        <f>IF(COUNTA($B483:$R483)=0,"",IF(OR($X483="Pago",$X483="Recebido",$X483="Cancelado"),0,ROUND(N($Q483)+N($S483)+N($T483)-N($U483)-N($R483),2)))</f>
        <v/>
      </c>
      <c r="X483" s="14" t="inlineStr">
        <is>
          <t>Previsto</t>
        </is>
      </c>
      <c r="Y483" s="17">
        <f>IF(COUNTA($B483:$R483)=0,"",IF($X483="Cancelado","Cancelado",IF(OR($X483="Pago",$X483="Recebido"),$X483,IF(OR($X483="Parcial",N($R483)&gt;0),"Parcial",IF($C483="","Sem vencimento",IF($C483&lt;TODAY(),"Vencido",IF($C483=TODAY(),"Vence hoje",IF($C483&lt;=TODAY()+7,"Vence em 7 dias",IF($C483&lt;=TODAY()+30,"Vence em 30 dias","Futuro")))))))))</f>
        <v/>
      </c>
      <c r="Z483" s="24">
        <f>IF($B483="","",MONTH($B483))</f>
        <v/>
      </c>
      <c r="AA483" s="24">
        <f>IF($B483="","",YEAR($B483))</f>
        <v/>
      </c>
      <c r="AB483" s="24">
        <f>IF($B483="","",ISOWEEKNUM($B483))</f>
        <v/>
      </c>
      <c r="AC483" s="17">
        <f>IF($B483="","",CHOOSE(WEEKDAY($B483,2),"Segunda","Terça","Quarta","Quinta","Sexta","Sábado","Domingo"))</f>
        <v/>
      </c>
      <c r="AD483" s="17">
        <f>IF($B483="","",TEXT($B483,"MM/AAAA"))</f>
        <v/>
      </c>
      <c r="AE483" s="18">
        <f>IF(COUNTA($B483:$R483)=0,"",IF($X483="Cancelado",0,ROUND(N($Q483)+N($S483)+N($T483)-N($U483),2)))</f>
        <v/>
      </c>
      <c r="AF483" s="9">
        <f>IF($G483="","",IFERROR(INDEX(LINHAS_DRE_PLANO,MATCH($G483,SUBCATEGORIAS_PLANO,0)),"Não classificado"))</f>
        <v/>
      </c>
      <c r="AG483" s="17">
        <f>IF($G483="","",IFERROR(INDEX(TIPOS_FLUXO_PLANO,MATCH($G483,SUBCATEGORIAS_PLANO,0)),"Não classificado"))</f>
        <v/>
      </c>
      <c r="AH483" s="9">
        <f>IF($G483="","",IFERROR(INDEX(GRUPOS_PLANO,MATCH($G483,SUBCATEGORIAS_PLANO,0)),"Não classificado"))</f>
        <v/>
      </c>
      <c r="AI483" s="24">
        <f>IF(OR($C483="",$X483="Pago",$X483="Recebido",$X483="Cancelado"),"",$C483-TODAY())</f>
        <v/>
      </c>
      <c r="AJ483" s="24">
        <f>IF(OR($C483="",$X483="Pago",$X483="Recebido",$X483="Cancelado"),0,MAX(0,TODAY()-$C483))</f>
        <v/>
      </c>
      <c r="AK483" s="24">
        <f>IF($D483="","",$D483-$B483)</f>
        <v/>
      </c>
      <c r="AL483" s="18">
        <f>IF(OR($D483="",$B483=""),"",ROUND(N($R483)*($D483-$B483),2))</f>
        <v/>
      </c>
      <c r="AM483" s="17">
        <f>IF(AND($E483="Saída",$W483&gt;0,$C483&lt;&gt;""),$C483+ROW()/1000000,"")</f>
        <v/>
      </c>
      <c r="AN483" s="17">
        <f>IF(AND($E483="Entrada",$W483&gt;0,$C483&lt;&gt;""),$C483+ROW()/1000000,"")</f>
        <v/>
      </c>
      <c r="AO483" s="9">
        <f>IF(COUNTA($B483:$R483)=0,"",IF(AND($I483&lt;&gt;"",COUNTIF(CLIENTES_NOMES,$I483)+COUNTIF(CLIENTES_FANTASIA,$I483)+COUNTIF(FORNECEDORES_NOMES,$I483)+COUNTIF(FORNECEDORES_FANTASIA,$I483)=0),"⚠ Cliente/Fornecedor não cadastrado",IF(AND($G483&lt;&gt;"",COUNTIF(SUBCATEGORIAS_PLANO,$G483)=0),"⚠ Subcategoria fora do plano de contas",IF(OR($Q483="",N($Q483)=0),"⚠ Valor previsto não informado",IF(AND(OR($X483="Pago",$X483="Recebido"),$D483=""),"⚠ Status pago/recebido sem data",IF(AND($D483&lt;&gt;"",N($R483)=0),"⚠ Data de pagamento sem valor realizado",IF(AND(N($P483)&gt;1,N($O483)&gt;N($P483)),"⚠ Nº da parcela maior que o total",IF(AND($C483&lt;&gt;"",$B483&lt;&gt;"",$C483&lt;$B483),"⚠ Vencimento anterior à competência","OK"))))))))</f>
        <v/>
      </c>
    </row>
    <row r="484">
      <c r="A484" s="14" t="inlineStr">
        <is>
          <t>L0479</t>
        </is>
      </c>
      <c r="B484" s="36" t="n">
        <v>46330</v>
      </c>
      <c r="C484" s="36" t="n">
        <v>46360</v>
      </c>
      <c r="D484" s="36" t="n"/>
      <c r="E484" s="14" t="inlineStr">
        <is>
          <t>Saída</t>
        </is>
      </c>
      <c r="F484" s="29" t="inlineStr">
        <is>
          <t>Custos Variáveis</t>
        </is>
      </c>
      <c r="G484" s="29" t="inlineStr">
        <is>
          <t>Mercadorias para Revenda</t>
        </is>
      </c>
      <c r="H484" s="29" t="inlineStr">
        <is>
          <t>Logística</t>
        </is>
      </c>
      <c r="I484" s="29" t="inlineStr">
        <is>
          <t>DISTRIBUIDORA CENTRAL DE ALIMENTOS S/A</t>
        </is>
      </c>
      <c r="J484" s="29" t="inlineStr">
        <is>
          <t>Compra de mercadorias para revenda — NF 5110</t>
        </is>
      </c>
      <c r="K484" s="14" t="inlineStr">
        <is>
          <t>NF 5110</t>
        </is>
      </c>
      <c r="L484" s="29" t="inlineStr">
        <is>
          <t>Banco do Brasil — C/C 12345-6</t>
        </is>
      </c>
      <c r="M484" s="14" t="inlineStr">
        <is>
          <t>Boleto</t>
        </is>
      </c>
      <c r="N484" s="29" t="n"/>
      <c r="O484" s="13" t="n">
        <v>1</v>
      </c>
      <c r="P484" s="13" t="n">
        <v>1</v>
      </c>
      <c r="Q484" s="35" t="n">
        <v>69835.02</v>
      </c>
      <c r="R484" s="35" t="n"/>
      <c r="S484" s="35" t="n"/>
      <c r="T484" s="35" t="n"/>
      <c r="U484" s="35" t="n"/>
      <c r="V484" s="18">
        <f>IF(COUNTA($B484:$R484)=0,"",ROUND(N($R484)+N($S484)+N($T484)-N($U484),2))</f>
        <v/>
      </c>
      <c r="W484" s="18">
        <f>IF(COUNTA($B484:$R484)=0,"",IF(OR($X484="Pago",$X484="Recebido",$X484="Cancelado"),0,ROUND(N($Q484)+N($S484)+N($T484)-N($U484)-N($R484),2)))</f>
        <v/>
      </c>
      <c r="X484" s="14" t="inlineStr">
        <is>
          <t>Previsto</t>
        </is>
      </c>
      <c r="Y484" s="17">
        <f>IF(COUNTA($B484:$R484)=0,"",IF($X484="Cancelado","Cancelado",IF(OR($X484="Pago",$X484="Recebido"),$X484,IF(OR($X484="Parcial",N($R484)&gt;0),"Parcial",IF($C484="","Sem vencimento",IF($C484&lt;TODAY(),"Vencido",IF($C484=TODAY(),"Vence hoje",IF($C484&lt;=TODAY()+7,"Vence em 7 dias",IF($C484&lt;=TODAY()+30,"Vence em 30 dias","Futuro")))))))))</f>
        <v/>
      </c>
      <c r="Z484" s="24">
        <f>IF($B484="","",MONTH($B484))</f>
        <v/>
      </c>
      <c r="AA484" s="24">
        <f>IF($B484="","",YEAR($B484))</f>
        <v/>
      </c>
      <c r="AB484" s="24">
        <f>IF($B484="","",ISOWEEKNUM($B484))</f>
        <v/>
      </c>
      <c r="AC484" s="17">
        <f>IF($B484="","",CHOOSE(WEEKDAY($B484,2),"Segunda","Terça","Quarta","Quinta","Sexta","Sábado","Domingo"))</f>
        <v/>
      </c>
      <c r="AD484" s="17">
        <f>IF($B484="","",TEXT($B484,"MM/AAAA"))</f>
        <v/>
      </c>
      <c r="AE484" s="18">
        <f>IF(COUNTA($B484:$R484)=0,"",IF($X484="Cancelado",0,ROUND(N($Q484)+N($S484)+N($T484)-N($U484),2)))</f>
        <v/>
      </c>
      <c r="AF484" s="9">
        <f>IF($G484="","",IFERROR(INDEX(LINHAS_DRE_PLANO,MATCH($G484,SUBCATEGORIAS_PLANO,0)),"Não classificado"))</f>
        <v/>
      </c>
      <c r="AG484" s="17">
        <f>IF($G484="","",IFERROR(INDEX(TIPOS_FLUXO_PLANO,MATCH($G484,SUBCATEGORIAS_PLANO,0)),"Não classificado"))</f>
        <v/>
      </c>
      <c r="AH484" s="9">
        <f>IF($G484="","",IFERROR(INDEX(GRUPOS_PLANO,MATCH($G484,SUBCATEGORIAS_PLANO,0)),"Não classificado"))</f>
        <v/>
      </c>
      <c r="AI484" s="24">
        <f>IF(OR($C484="",$X484="Pago",$X484="Recebido",$X484="Cancelado"),"",$C484-TODAY())</f>
        <v/>
      </c>
      <c r="AJ484" s="24">
        <f>IF(OR($C484="",$X484="Pago",$X484="Recebido",$X484="Cancelado"),0,MAX(0,TODAY()-$C484))</f>
        <v/>
      </c>
      <c r="AK484" s="24">
        <f>IF($D484="","",$D484-$B484)</f>
        <v/>
      </c>
      <c r="AL484" s="18">
        <f>IF(OR($D484="",$B484=""),"",ROUND(N($R484)*($D484-$B484),2))</f>
        <v/>
      </c>
      <c r="AM484" s="17">
        <f>IF(AND($E484="Saída",$W484&gt;0,$C484&lt;&gt;""),$C484+ROW()/1000000,"")</f>
        <v/>
      </c>
      <c r="AN484" s="17">
        <f>IF(AND($E484="Entrada",$W484&gt;0,$C484&lt;&gt;""),$C484+ROW()/1000000,"")</f>
        <v/>
      </c>
      <c r="AO484" s="9">
        <f>IF(COUNTA($B484:$R484)=0,"",IF(AND($I484&lt;&gt;"",COUNTIF(CLIENTES_NOMES,$I484)+COUNTIF(CLIENTES_FANTASIA,$I484)+COUNTIF(FORNECEDORES_NOMES,$I484)+COUNTIF(FORNECEDORES_FANTASIA,$I484)=0),"⚠ Cliente/Fornecedor não cadastrado",IF(AND($G484&lt;&gt;"",COUNTIF(SUBCATEGORIAS_PLANO,$G484)=0),"⚠ Subcategoria fora do plano de contas",IF(OR($Q484="",N($Q484)=0),"⚠ Valor previsto não informado",IF(AND(OR($X484="Pago",$X484="Recebido"),$D484=""),"⚠ Status pago/recebido sem data",IF(AND($D484&lt;&gt;"",N($R484)=0),"⚠ Data de pagamento sem valor realizado",IF(AND(N($P484)&gt;1,N($O484)&gt;N($P484)),"⚠ Nº da parcela maior que o total",IF(AND($C484&lt;&gt;"",$B484&lt;&gt;"",$C484&lt;$B484),"⚠ Vencimento anterior à competência","OK"))))))))</f>
        <v/>
      </c>
    </row>
    <row r="485">
      <c r="A485" s="14" t="inlineStr">
        <is>
          <t>L0480</t>
        </is>
      </c>
      <c r="B485" s="36" t="n">
        <v>46331</v>
      </c>
      <c r="C485" s="36" t="n">
        <v>46336</v>
      </c>
      <c r="D485" s="36" t="n"/>
      <c r="E485" s="14" t="inlineStr">
        <is>
          <t>Saída</t>
        </is>
      </c>
      <c r="F485" s="29" t="inlineStr">
        <is>
          <t>Despesas Administrativas</t>
        </is>
      </c>
      <c r="G485" s="29" t="inlineStr">
        <is>
          <t>Aluguel</t>
        </is>
      </c>
      <c r="H485" s="29" t="inlineStr">
        <is>
          <t>Administrativo</t>
        </is>
      </c>
      <c r="I485" s="29" t="inlineStr">
        <is>
          <t>IMÓVEIS E LOCAÇÕES PINHEIROS LTDA</t>
        </is>
      </c>
      <c r="J485" s="29" t="inlineStr">
        <is>
          <t>Aluguel do galpão — competência 11/2026</t>
        </is>
      </c>
      <c r="K485" s="14" t="inlineStr">
        <is>
          <t>DOC 8431</t>
        </is>
      </c>
      <c r="L485" s="29" t="inlineStr">
        <is>
          <t>Banco do Brasil — C/C 12345-6</t>
        </is>
      </c>
      <c r="M485" s="14" t="inlineStr">
        <is>
          <t>Boleto</t>
        </is>
      </c>
      <c r="N485" s="29" t="n"/>
      <c r="O485" s="13" t="n">
        <v>1</v>
      </c>
      <c r="P485" s="13" t="n">
        <v>1</v>
      </c>
      <c r="Q485" s="35" t="n">
        <v>7500</v>
      </c>
      <c r="R485" s="35" t="n"/>
      <c r="S485" s="35" t="n"/>
      <c r="T485" s="35" t="n"/>
      <c r="U485" s="35" t="n"/>
      <c r="V485" s="18">
        <f>IF(COUNTA($B485:$R485)=0,"",ROUND(N($R485)+N($S485)+N($T485)-N($U485),2))</f>
        <v/>
      </c>
      <c r="W485" s="18">
        <f>IF(COUNTA($B485:$R485)=0,"",IF(OR($X485="Pago",$X485="Recebido",$X485="Cancelado"),0,ROUND(N($Q485)+N($S485)+N($T485)-N($U485)-N($R485),2)))</f>
        <v/>
      </c>
      <c r="X485" s="14" t="inlineStr">
        <is>
          <t>Previsto</t>
        </is>
      </c>
      <c r="Y485" s="17">
        <f>IF(COUNTA($B485:$R485)=0,"",IF($X485="Cancelado","Cancelado",IF(OR($X485="Pago",$X485="Recebido"),$X485,IF(OR($X485="Parcial",N($R485)&gt;0),"Parcial",IF($C485="","Sem vencimento",IF($C485&lt;TODAY(),"Vencido",IF($C485=TODAY(),"Vence hoje",IF($C485&lt;=TODAY()+7,"Vence em 7 dias",IF($C485&lt;=TODAY()+30,"Vence em 30 dias","Futuro")))))))))</f>
        <v/>
      </c>
      <c r="Z485" s="24">
        <f>IF($B485="","",MONTH($B485))</f>
        <v/>
      </c>
      <c r="AA485" s="24">
        <f>IF($B485="","",YEAR($B485))</f>
        <v/>
      </c>
      <c r="AB485" s="24">
        <f>IF($B485="","",ISOWEEKNUM($B485))</f>
        <v/>
      </c>
      <c r="AC485" s="17">
        <f>IF($B485="","",CHOOSE(WEEKDAY($B485,2),"Segunda","Terça","Quarta","Quinta","Sexta","Sábado","Domingo"))</f>
        <v/>
      </c>
      <c r="AD485" s="17">
        <f>IF($B485="","",TEXT($B485,"MM/AAAA"))</f>
        <v/>
      </c>
      <c r="AE485" s="18">
        <f>IF(COUNTA($B485:$R485)=0,"",IF($X485="Cancelado",0,ROUND(N($Q485)+N($S485)+N($T485)-N($U485),2)))</f>
        <v/>
      </c>
      <c r="AF485" s="9">
        <f>IF($G485="","",IFERROR(INDEX(LINHAS_DRE_PLANO,MATCH($G485,SUBCATEGORIAS_PLANO,0)),"Não classificado"))</f>
        <v/>
      </c>
      <c r="AG485" s="17">
        <f>IF($G485="","",IFERROR(INDEX(TIPOS_FLUXO_PLANO,MATCH($G485,SUBCATEGORIAS_PLANO,0)),"Não classificado"))</f>
        <v/>
      </c>
      <c r="AH485" s="9">
        <f>IF($G485="","",IFERROR(INDEX(GRUPOS_PLANO,MATCH($G485,SUBCATEGORIAS_PLANO,0)),"Não classificado"))</f>
        <v/>
      </c>
      <c r="AI485" s="24">
        <f>IF(OR($C485="",$X485="Pago",$X485="Recebido",$X485="Cancelado"),"",$C485-TODAY())</f>
        <v/>
      </c>
      <c r="AJ485" s="24">
        <f>IF(OR($C485="",$X485="Pago",$X485="Recebido",$X485="Cancelado"),0,MAX(0,TODAY()-$C485))</f>
        <v/>
      </c>
      <c r="AK485" s="24">
        <f>IF($D485="","",$D485-$B485)</f>
        <v/>
      </c>
      <c r="AL485" s="18">
        <f>IF(OR($D485="",$B485=""),"",ROUND(N($R485)*($D485-$B485),2))</f>
        <v/>
      </c>
      <c r="AM485" s="17">
        <f>IF(AND($E485="Saída",$W485&gt;0,$C485&lt;&gt;""),$C485+ROW()/1000000,"")</f>
        <v/>
      </c>
      <c r="AN485" s="17">
        <f>IF(AND($E485="Entrada",$W485&gt;0,$C485&lt;&gt;""),$C485+ROW()/1000000,"")</f>
        <v/>
      </c>
      <c r="AO485" s="9">
        <f>IF(COUNTA($B485:$R485)=0,"",IF(AND($I485&lt;&gt;"",COUNTIF(CLIENTES_NOMES,$I485)+COUNTIF(CLIENTES_FANTASIA,$I485)+COUNTIF(FORNECEDORES_NOMES,$I485)+COUNTIF(FORNECEDORES_FANTASIA,$I485)=0),"⚠ Cliente/Fornecedor não cadastrado",IF(AND($G485&lt;&gt;"",COUNTIF(SUBCATEGORIAS_PLANO,$G485)=0),"⚠ Subcategoria fora do plano de contas",IF(OR($Q485="",N($Q485)=0),"⚠ Valor previsto não informado",IF(AND(OR($X485="Pago",$X485="Recebido"),$D485=""),"⚠ Status pago/recebido sem data",IF(AND($D485&lt;&gt;"",N($R485)=0),"⚠ Data de pagamento sem valor realizado",IF(AND(N($P485)&gt;1,N($O485)&gt;N($P485)),"⚠ Nº da parcela maior que o total",IF(AND($C485&lt;&gt;"",$B485&lt;&gt;"",$C485&lt;$B485),"⚠ Vencimento anterior à competência","OK"))))))))</f>
        <v/>
      </c>
    </row>
    <row r="486">
      <c r="A486" s="14" t="inlineStr">
        <is>
          <t>L0481</t>
        </is>
      </c>
      <c r="B486" s="36" t="n">
        <v>46331</v>
      </c>
      <c r="C486" s="36" t="n">
        <v>46336</v>
      </c>
      <c r="D486" s="36" t="n"/>
      <c r="E486" s="14" t="inlineStr">
        <is>
          <t>Saída</t>
        </is>
      </c>
      <c r="F486" s="29" t="inlineStr">
        <is>
          <t>Despesas com Pessoal</t>
        </is>
      </c>
      <c r="G486" s="29" t="inlineStr">
        <is>
          <t>Salários</t>
        </is>
      </c>
      <c r="H486" s="29" t="inlineStr">
        <is>
          <t>Administrativo</t>
        </is>
      </c>
      <c r="I486" s="29" t="inlineStr">
        <is>
          <t>COLABORADORES — FOLHA DE PAGAMENTO</t>
        </is>
      </c>
      <c r="J486" s="29" t="inlineStr">
        <is>
          <t>Folha de pagamento — 11/2026</t>
        </is>
      </c>
      <c r="K486" s="14" t="inlineStr">
        <is>
          <t>DOC 8437</t>
        </is>
      </c>
      <c r="L486" s="29" t="inlineStr">
        <is>
          <t>Banco do Brasil — C/C 12345-6</t>
        </is>
      </c>
      <c r="M486" s="14" t="inlineStr">
        <is>
          <t>Transferência</t>
        </is>
      </c>
      <c r="N486" s="29" t="n"/>
      <c r="O486" s="13" t="n">
        <v>1</v>
      </c>
      <c r="P486" s="13" t="n">
        <v>1</v>
      </c>
      <c r="Q486" s="35" t="n">
        <v>16000</v>
      </c>
      <c r="R486" s="35" t="n"/>
      <c r="S486" s="35" t="n"/>
      <c r="T486" s="35" t="n"/>
      <c r="U486" s="35" t="n"/>
      <c r="V486" s="18">
        <f>IF(COUNTA($B486:$R486)=0,"",ROUND(N($R486)+N($S486)+N($T486)-N($U486),2))</f>
        <v/>
      </c>
      <c r="W486" s="18">
        <f>IF(COUNTA($B486:$R486)=0,"",IF(OR($X486="Pago",$X486="Recebido",$X486="Cancelado"),0,ROUND(N($Q486)+N($S486)+N($T486)-N($U486)-N($R486),2)))</f>
        <v/>
      </c>
      <c r="X486" s="14" t="inlineStr">
        <is>
          <t>Previsto</t>
        </is>
      </c>
      <c r="Y486" s="17">
        <f>IF(COUNTA($B486:$R486)=0,"",IF($X486="Cancelado","Cancelado",IF(OR($X486="Pago",$X486="Recebido"),$X486,IF(OR($X486="Parcial",N($R486)&gt;0),"Parcial",IF($C486="","Sem vencimento",IF($C486&lt;TODAY(),"Vencido",IF($C486=TODAY(),"Vence hoje",IF($C486&lt;=TODAY()+7,"Vence em 7 dias",IF($C486&lt;=TODAY()+30,"Vence em 30 dias","Futuro")))))))))</f>
        <v/>
      </c>
      <c r="Z486" s="24">
        <f>IF($B486="","",MONTH($B486))</f>
        <v/>
      </c>
      <c r="AA486" s="24">
        <f>IF($B486="","",YEAR($B486))</f>
        <v/>
      </c>
      <c r="AB486" s="24">
        <f>IF($B486="","",ISOWEEKNUM($B486))</f>
        <v/>
      </c>
      <c r="AC486" s="17">
        <f>IF($B486="","",CHOOSE(WEEKDAY($B486,2),"Segunda","Terça","Quarta","Quinta","Sexta","Sábado","Domingo"))</f>
        <v/>
      </c>
      <c r="AD486" s="17">
        <f>IF($B486="","",TEXT($B486,"MM/AAAA"))</f>
        <v/>
      </c>
      <c r="AE486" s="18">
        <f>IF(COUNTA($B486:$R486)=0,"",IF($X486="Cancelado",0,ROUND(N($Q486)+N($S486)+N($T486)-N($U486),2)))</f>
        <v/>
      </c>
      <c r="AF486" s="9">
        <f>IF($G486="","",IFERROR(INDEX(LINHAS_DRE_PLANO,MATCH($G486,SUBCATEGORIAS_PLANO,0)),"Não classificado"))</f>
        <v/>
      </c>
      <c r="AG486" s="17">
        <f>IF($G486="","",IFERROR(INDEX(TIPOS_FLUXO_PLANO,MATCH($G486,SUBCATEGORIAS_PLANO,0)),"Não classificado"))</f>
        <v/>
      </c>
      <c r="AH486" s="9">
        <f>IF($G486="","",IFERROR(INDEX(GRUPOS_PLANO,MATCH($G486,SUBCATEGORIAS_PLANO,0)),"Não classificado"))</f>
        <v/>
      </c>
      <c r="AI486" s="24">
        <f>IF(OR($C486="",$X486="Pago",$X486="Recebido",$X486="Cancelado"),"",$C486-TODAY())</f>
        <v/>
      </c>
      <c r="AJ486" s="24">
        <f>IF(OR($C486="",$X486="Pago",$X486="Recebido",$X486="Cancelado"),0,MAX(0,TODAY()-$C486))</f>
        <v/>
      </c>
      <c r="AK486" s="24">
        <f>IF($D486="","",$D486-$B486)</f>
        <v/>
      </c>
      <c r="AL486" s="18">
        <f>IF(OR($D486="",$B486=""),"",ROUND(N($R486)*($D486-$B486),2))</f>
        <v/>
      </c>
      <c r="AM486" s="17">
        <f>IF(AND($E486="Saída",$W486&gt;0,$C486&lt;&gt;""),$C486+ROW()/1000000,"")</f>
        <v/>
      </c>
      <c r="AN486" s="17">
        <f>IF(AND($E486="Entrada",$W486&gt;0,$C486&lt;&gt;""),$C486+ROW()/1000000,"")</f>
        <v/>
      </c>
      <c r="AO486" s="9">
        <f>IF(COUNTA($B486:$R486)=0,"",IF(AND($I486&lt;&gt;"",COUNTIF(CLIENTES_NOMES,$I486)+COUNTIF(CLIENTES_FANTASIA,$I486)+COUNTIF(FORNECEDORES_NOMES,$I486)+COUNTIF(FORNECEDORES_FANTASIA,$I486)=0),"⚠ Cliente/Fornecedor não cadastrado",IF(AND($G486&lt;&gt;"",COUNTIF(SUBCATEGORIAS_PLANO,$G486)=0),"⚠ Subcategoria fora do plano de contas",IF(OR($Q486="",N($Q486)=0),"⚠ Valor previsto não informado",IF(AND(OR($X486="Pago",$X486="Recebido"),$D486=""),"⚠ Status pago/recebido sem data",IF(AND($D486&lt;&gt;"",N($R486)=0),"⚠ Data de pagamento sem valor realizado",IF(AND(N($P486)&gt;1,N($O486)&gt;N($P486)),"⚠ Nº da parcela maior que o total",IF(AND($C486&lt;&gt;"",$B486&lt;&gt;"",$C486&lt;$B486),"⚠ Vencimento anterior à competência","OK"))))))))</f>
        <v/>
      </c>
    </row>
    <row r="487">
      <c r="A487" s="14" t="inlineStr">
        <is>
          <t>L0482</t>
        </is>
      </c>
      <c r="B487" s="36" t="n">
        <v>46331</v>
      </c>
      <c r="C487" s="36" t="n">
        <v>46336</v>
      </c>
      <c r="D487" s="36" t="n"/>
      <c r="E487" s="14" t="inlineStr">
        <is>
          <t>Saída</t>
        </is>
      </c>
      <c r="F487" s="29" t="inlineStr">
        <is>
          <t>Despesas com Pessoal</t>
        </is>
      </c>
      <c r="G487" s="29" t="inlineStr">
        <is>
          <t>Benefícios (VT/VA/Plano de Saúde)</t>
        </is>
      </c>
      <c r="H487" s="29" t="inlineStr">
        <is>
          <t>Administrativo</t>
        </is>
      </c>
      <c r="I487" s="29" t="inlineStr">
        <is>
          <t>BENEFÍCIOS BRASIL ADMINISTRADORA LTDA</t>
        </is>
      </c>
      <c r="J487" s="29" t="inlineStr">
        <is>
          <t>Vale-transporte, alimentação e saúde</t>
        </is>
      </c>
      <c r="K487" s="14" t="inlineStr">
        <is>
          <t>DOC 8439</t>
        </is>
      </c>
      <c r="L487" s="29" t="inlineStr">
        <is>
          <t>Banco do Brasil — C/C 12345-6</t>
        </is>
      </c>
      <c r="M487" s="14" t="inlineStr">
        <is>
          <t>Transferência</t>
        </is>
      </c>
      <c r="N487" s="29" t="n"/>
      <c r="O487" s="13" t="n">
        <v>1</v>
      </c>
      <c r="P487" s="13" t="n">
        <v>1</v>
      </c>
      <c r="Q487" s="35" t="n">
        <v>1900</v>
      </c>
      <c r="R487" s="35" t="n"/>
      <c r="S487" s="35" t="n"/>
      <c r="T487" s="35" t="n"/>
      <c r="U487" s="35" t="n"/>
      <c r="V487" s="18">
        <f>IF(COUNTA($B487:$R487)=0,"",ROUND(N($R487)+N($S487)+N($T487)-N($U487),2))</f>
        <v/>
      </c>
      <c r="W487" s="18">
        <f>IF(COUNTA($B487:$R487)=0,"",IF(OR($X487="Pago",$X487="Recebido",$X487="Cancelado"),0,ROUND(N($Q487)+N($S487)+N($T487)-N($U487)-N($R487),2)))</f>
        <v/>
      </c>
      <c r="X487" s="14" t="inlineStr">
        <is>
          <t>Previsto</t>
        </is>
      </c>
      <c r="Y487" s="17">
        <f>IF(COUNTA($B487:$R487)=0,"",IF($X487="Cancelado","Cancelado",IF(OR($X487="Pago",$X487="Recebido"),$X487,IF(OR($X487="Parcial",N($R487)&gt;0),"Parcial",IF($C487="","Sem vencimento",IF($C487&lt;TODAY(),"Vencido",IF($C487=TODAY(),"Vence hoje",IF($C487&lt;=TODAY()+7,"Vence em 7 dias",IF($C487&lt;=TODAY()+30,"Vence em 30 dias","Futuro")))))))))</f>
        <v/>
      </c>
      <c r="Z487" s="24">
        <f>IF($B487="","",MONTH($B487))</f>
        <v/>
      </c>
      <c r="AA487" s="24">
        <f>IF($B487="","",YEAR($B487))</f>
        <v/>
      </c>
      <c r="AB487" s="24">
        <f>IF($B487="","",ISOWEEKNUM($B487))</f>
        <v/>
      </c>
      <c r="AC487" s="17">
        <f>IF($B487="","",CHOOSE(WEEKDAY($B487,2),"Segunda","Terça","Quarta","Quinta","Sexta","Sábado","Domingo"))</f>
        <v/>
      </c>
      <c r="AD487" s="17">
        <f>IF($B487="","",TEXT($B487,"MM/AAAA"))</f>
        <v/>
      </c>
      <c r="AE487" s="18">
        <f>IF(COUNTA($B487:$R487)=0,"",IF($X487="Cancelado",0,ROUND(N($Q487)+N($S487)+N($T487)-N($U487),2)))</f>
        <v/>
      </c>
      <c r="AF487" s="9">
        <f>IF($G487="","",IFERROR(INDEX(LINHAS_DRE_PLANO,MATCH($G487,SUBCATEGORIAS_PLANO,0)),"Não classificado"))</f>
        <v/>
      </c>
      <c r="AG487" s="17">
        <f>IF($G487="","",IFERROR(INDEX(TIPOS_FLUXO_PLANO,MATCH($G487,SUBCATEGORIAS_PLANO,0)),"Não classificado"))</f>
        <v/>
      </c>
      <c r="AH487" s="9">
        <f>IF($G487="","",IFERROR(INDEX(GRUPOS_PLANO,MATCH($G487,SUBCATEGORIAS_PLANO,0)),"Não classificado"))</f>
        <v/>
      </c>
      <c r="AI487" s="24">
        <f>IF(OR($C487="",$X487="Pago",$X487="Recebido",$X487="Cancelado"),"",$C487-TODAY())</f>
        <v/>
      </c>
      <c r="AJ487" s="24">
        <f>IF(OR($C487="",$X487="Pago",$X487="Recebido",$X487="Cancelado"),0,MAX(0,TODAY()-$C487))</f>
        <v/>
      </c>
      <c r="AK487" s="24">
        <f>IF($D487="","",$D487-$B487)</f>
        <v/>
      </c>
      <c r="AL487" s="18">
        <f>IF(OR($D487="",$B487=""),"",ROUND(N($R487)*($D487-$B487),2))</f>
        <v/>
      </c>
      <c r="AM487" s="17">
        <f>IF(AND($E487="Saída",$W487&gt;0,$C487&lt;&gt;""),$C487+ROW()/1000000,"")</f>
        <v/>
      </c>
      <c r="AN487" s="17">
        <f>IF(AND($E487="Entrada",$W487&gt;0,$C487&lt;&gt;""),$C487+ROW()/1000000,"")</f>
        <v/>
      </c>
      <c r="AO487" s="9">
        <f>IF(COUNTA($B487:$R487)=0,"",IF(AND($I487&lt;&gt;"",COUNTIF(CLIENTES_NOMES,$I487)+COUNTIF(CLIENTES_FANTASIA,$I487)+COUNTIF(FORNECEDORES_NOMES,$I487)+COUNTIF(FORNECEDORES_FANTASIA,$I487)=0),"⚠ Cliente/Fornecedor não cadastrado",IF(AND($G487&lt;&gt;"",COUNTIF(SUBCATEGORIAS_PLANO,$G487)=0),"⚠ Subcategoria fora do plano de contas",IF(OR($Q487="",N($Q487)=0),"⚠ Valor previsto não informado",IF(AND(OR($X487="Pago",$X487="Recebido"),$D487=""),"⚠ Status pago/recebido sem data",IF(AND($D487&lt;&gt;"",N($R487)=0),"⚠ Data de pagamento sem valor realizado",IF(AND(N($P487)&gt;1,N($O487)&gt;N($P487)),"⚠ Nº da parcela maior que o total",IF(AND($C487&lt;&gt;"",$B487&lt;&gt;"",$C487&lt;$B487),"⚠ Vencimento anterior à competência","OK"))))))))</f>
        <v/>
      </c>
    </row>
    <row r="488">
      <c r="A488" s="14" t="inlineStr">
        <is>
          <t>L0483</t>
        </is>
      </c>
      <c r="B488" s="36" t="n">
        <v>46331</v>
      </c>
      <c r="C488" s="36" t="n">
        <v>46336</v>
      </c>
      <c r="D488" s="36" t="n"/>
      <c r="E488" s="14" t="inlineStr">
        <is>
          <t>Saída</t>
        </is>
      </c>
      <c r="F488" s="29" t="inlineStr">
        <is>
          <t>Despesas com Pessoal</t>
        </is>
      </c>
      <c r="G488" s="29" t="inlineStr">
        <is>
          <t>Pró-labore</t>
        </is>
      </c>
      <c r="H488" s="29" t="inlineStr">
        <is>
          <t>Diretoria</t>
        </is>
      </c>
      <c r="I488" s="29" t="inlineStr">
        <is>
          <t>SÓCIOS — PRÓ-LABORE E DISTRIBUIÇÕES</t>
        </is>
      </c>
      <c r="J488" s="29" t="inlineStr">
        <is>
          <t>Pró-labore dos sócios — 11/2026</t>
        </is>
      </c>
      <c r="K488" s="14" t="inlineStr">
        <is>
          <t>DOC 8440</t>
        </is>
      </c>
      <c r="L488" s="29" t="inlineStr">
        <is>
          <t>Banco do Brasil — C/C 12345-6</t>
        </is>
      </c>
      <c r="M488" s="14" t="inlineStr">
        <is>
          <t>Transferência</t>
        </is>
      </c>
      <c r="N488" s="29" t="n"/>
      <c r="O488" s="13" t="n">
        <v>1</v>
      </c>
      <c r="P488" s="13" t="n">
        <v>1</v>
      </c>
      <c r="Q488" s="35" t="n">
        <v>9500</v>
      </c>
      <c r="R488" s="35" t="n"/>
      <c r="S488" s="35" t="n"/>
      <c r="T488" s="35" t="n"/>
      <c r="U488" s="35" t="n"/>
      <c r="V488" s="18">
        <f>IF(COUNTA($B488:$R488)=0,"",ROUND(N($R488)+N($S488)+N($T488)-N($U488),2))</f>
        <v/>
      </c>
      <c r="W488" s="18">
        <f>IF(COUNTA($B488:$R488)=0,"",IF(OR($X488="Pago",$X488="Recebido",$X488="Cancelado"),0,ROUND(N($Q488)+N($S488)+N($T488)-N($U488)-N($R488),2)))</f>
        <v/>
      </c>
      <c r="X488" s="14" t="inlineStr">
        <is>
          <t>Previsto</t>
        </is>
      </c>
      <c r="Y488" s="17">
        <f>IF(COUNTA($B488:$R488)=0,"",IF($X488="Cancelado","Cancelado",IF(OR($X488="Pago",$X488="Recebido"),$X488,IF(OR($X488="Parcial",N($R488)&gt;0),"Parcial",IF($C488="","Sem vencimento",IF($C488&lt;TODAY(),"Vencido",IF($C488=TODAY(),"Vence hoje",IF($C488&lt;=TODAY()+7,"Vence em 7 dias",IF($C488&lt;=TODAY()+30,"Vence em 30 dias","Futuro")))))))))</f>
        <v/>
      </c>
      <c r="Z488" s="24">
        <f>IF($B488="","",MONTH($B488))</f>
        <v/>
      </c>
      <c r="AA488" s="24">
        <f>IF($B488="","",YEAR($B488))</f>
        <v/>
      </c>
      <c r="AB488" s="24">
        <f>IF($B488="","",ISOWEEKNUM($B488))</f>
        <v/>
      </c>
      <c r="AC488" s="17">
        <f>IF($B488="","",CHOOSE(WEEKDAY($B488,2),"Segunda","Terça","Quarta","Quinta","Sexta","Sábado","Domingo"))</f>
        <v/>
      </c>
      <c r="AD488" s="17">
        <f>IF($B488="","",TEXT($B488,"MM/AAAA"))</f>
        <v/>
      </c>
      <c r="AE488" s="18">
        <f>IF(COUNTA($B488:$R488)=0,"",IF($X488="Cancelado",0,ROUND(N($Q488)+N($S488)+N($T488)-N($U488),2)))</f>
        <v/>
      </c>
      <c r="AF488" s="9">
        <f>IF($G488="","",IFERROR(INDEX(LINHAS_DRE_PLANO,MATCH($G488,SUBCATEGORIAS_PLANO,0)),"Não classificado"))</f>
        <v/>
      </c>
      <c r="AG488" s="17">
        <f>IF($G488="","",IFERROR(INDEX(TIPOS_FLUXO_PLANO,MATCH($G488,SUBCATEGORIAS_PLANO,0)),"Não classificado"))</f>
        <v/>
      </c>
      <c r="AH488" s="9">
        <f>IF($G488="","",IFERROR(INDEX(GRUPOS_PLANO,MATCH($G488,SUBCATEGORIAS_PLANO,0)),"Não classificado"))</f>
        <v/>
      </c>
      <c r="AI488" s="24">
        <f>IF(OR($C488="",$X488="Pago",$X488="Recebido",$X488="Cancelado"),"",$C488-TODAY())</f>
        <v/>
      </c>
      <c r="AJ488" s="24">
        <f>IF(OR($C488="",$X488="Pago",$X488="Recebido",$X488="Cancelado"),0,MAX(0,TODAY()-$C488))</f>
        <v/>
      </c>
      <c r="AK488" s="24">
        <f>IF($D488="","",$D488-$B488)</f>
        <v/>
      </c>
      <c r="AL488" s="18">
        <f>IF(OR($D488="",$B488=""),"",ROUND(N($R488)*($D488-$B488),2))</f>
        <v/>
      </c>
      <c r="AM488" s="17">
        <f>IF(AND($E488="Saída",$W488&gt;0,$C488&lt;&gt;""),$C488+ROW()/1000000,"")</f>
        <v/>
      </c>
      <c r="AN488" s="17">
        <f>IF(AND($E488="Entrada",$W488&gt;0,$C488&lt;&gt;""),$C488+ROW()/1000000,"")</f>
        <v/>
      </c>
      <c r="AO488" s="9">
        <f>IF(COUNTA($B488:$R488)=0,"",IF(AND($I488&lt;&gt;"",COUNTIF(CLIENTES_NOMES,$I488)+COUNTIF(CLIENTES_FANTASIA,$I488)+COUNTIF(FORNECEDORES_NOMES,$I488)+COUNTIF(FORNECEDORES_FANTASIA,$I488)=0),"⚠ Cliente/Fornecedor não cadastrado",IF(AND($G488&lt;&gt;"",COUNTIF(SUBCATEGORIAS_PLANO,$G488)=0),"⚠ Subcategoria fora do plano de contas",IF(OR($Q488="",N($Q488)=0),"⚠ Valor previsto não informado",IF(AND(OR($X488="Pago",$X488="Recebido"),$D488=""),"⚠ Status pago/recebido sem data",IF(AND($D488&lt;&gt;"",N($R488)=0),"⚠ Data de pagamento sem valor realizado",IF(AND(N($P488)&gt;1,N($O488)&gt;N($P488)),"⚠ Nº da parcela maior que o total",IF(AND($C488&lt;&gt;"",$B488&lt;&gt;"",$C488&lt;$B488),"⚠ Vencimento anterior à competência","OK"))))))))</f>
        <v/>
      </c>
    </row>
    <row r="489">
      <c r="A489" s="14" t="inlineStr">
        <is>
          <t>L0484</t>
        </is>
      </c>
      <c r="B489" s="36" t="n">
        <v>46333</v>
      </c>
      <c r="C489" s="36" t="n">
        <v>46340</v>
      </c>
      <c r="D489" s="36" t="n"/>
      <c r="E489" s="14" t="inlineStr">
        <is>
          <t>Saída</t>
        </is>
      </c>
      <c r="F489" s="29" t="inlineStr">
        <is>
          <t>Despesas com Pessoal</t>
        </is>
      </c>
      <c r="G489" s="29" t="inlineStr">
        <is>
          <t>Encargos Sociais (FGTS/INSS)</t>
        </is>
      </c>
      <c r="H489" s="29" t="inlineStr">
        <is>
          <t>Administrativo</t>
        </is>
      </c>
      <c r="I489" s="29" t="inlineStr">
        <is>
          <t>RECEITA FEDERAL DO BRASIL</t>
        </is>
      </c>
      <c r="J489" s="29" t="inlineStr">
        <is>
          <t>FGTS e INSS — competência 11/2026</t>
        </is>
      </c>
      <c r="K489" s="14" t="inlineStr">
        <is>
          <t>DOC 8438</t>
        </is>
      </c>
      <c r="L489" s="29" t="inlineStr">
        <is>
          <t>Itaú Unibanco — C/C 45678-9</t>
        </is>
      </c>
      <c r="M489" s="14" t="inlineStr">
        <is>
          <t>Transferência</t>
        </is>
      </c>
      <c r="N489" s="29" t="n"/>
      <c r="O489" s="13" t="n">
        <v>1</v>
      </c>
      <c r="P489" s="13" t="n">
        <v>1</v>
      </c>
      <c r="Q489" s="35" t="n">
        <v>5600</v>
      </c>
      <c r="R489" s="35" t="n"/>
      <c r="S489" s="35" t="n"/>
      <c r="T489" s="35" t="n"/>
      <c r="U489" s="35" t="n"/>
      <c r="V489" s="18">
        <f>IF(COUNTA($B489:$R489)=0,"",ROUND(N($R489)+N($S489)+N($T489)-N($U489),2))</f>
        <v/>
      </c>
      <c r="W489" s="18">
        <f>IF(COUNTA($B489:$R489)=0,"",IF(OR($X489="Pago",$X489="Recebido",$X489="Cancelado"),0,ROUND(N($Q489)+N($S489)+N($T489)-N($U489)-N($R489),2)))</f>
        <v/>
      </c>
      <c r="X489" s="14" t="inlineStr">
        <is>
          <t>Previsto</t>
        </is>
      </c>
      <c r="Y489" s="17">
        <f>IF(COUNTA($B489:$R489)=0,"",IF($X489="Cancelado","Cancelado",IF(OR($X489="Pago",$X489="Recebido"),$X489,IF(OR($X489="Parcial",N($R489)&gt;0),"Parcial",IF($C489="","Sem vencimento",IF($C489&lt;TODAY(),"Vencido",IF($C489=TODAY(),"Vence hoje",IF($C489&lt;=TODAY()+7,"Vence em 7 dias",IF($C489&lt;=TODAY()+30,"Vence em 30 dias","Futuro")))))))))</f>
        <v/>
      </c>
      <c r="Z489" s="24">
        <f>IF($B489="","",MONTH($B489))</f>
        <v/>
      </c>
      <c r="AA489" s="24">
        <f>IF($B489="","",YEAR($B489))</f>
        <v/>
      </c>
      <c r="AB489" s="24">
        <f>IF($B489="","",ISOWEEKNUM($B489))</f>
        <v/>
      </c>
      <c r="AC489" s="17">
        <f>IF($B489="","",CHOOSE(WEEKDAY($B489,2),"Segunda","Terça","Quarta","Quinta","Sexta","Sábado","Domingo"))</f>
        <v/>
      </c>
      <c r="AD489" s="17">
        <f>IF($B489="","",TEXT($B489,"MM/AAAA"))</f>
        <v/>
      </c>
      <c r="AE489" s="18">
        <f>IF(COUNTA($B489:$R489)=0,"",IF($X489="Cancelado",0,ROUND(N($Q489)+N($S489)+N($T489)-N($U489),2)))</f>
        <v/>
      </c>
      <c r="AF489" s="9">
        <f>IF($G489="","",IFERROR(INDEX(LINHAS_DRE_PLANO,MATCH($G489,SUBCATEGORIAS_PLANO,0)),"Não classificado"))</f>
        <v/>
      </c>
      <c r="AG489" s="17">
        <f>IF($G489="","",IFERROR(INDEX(TIPOS_FLUXO_PLANO,MATCH($G489,SUBCATEGORIAS_PLANO,0)),"Não classificado"))</f>
        <v/>
      </c>
      <c r="AH489" s="9">
        <f>IF($G489="","",IFERROR(INDEX(GRUPOS_PLANO,MATCH($G489,SUBCATEGORIAS_PLANO,0)),"Não classificado"))</f>
        <v/>
      </c>
      <c r="AI489" s="24">
        <f>IF(OR($C489="",$X489="Pago",$X489="Recebido",$X489="Cancelado"),"",$C489-TODAY())</f>
        <v/>
      </c>
      <c r="AJ489" s="24">
        <f>IF(OR($C489="",$X489="Pago",$X489="Recebido",$X489="Cancelado"),0,MAX(0,TODAY()-$C489))</f>
        <v/>
      </c>
      <c r="AK489" s="24">
        <f>IF($D489="","",$D489-$B489)</f>
        <v/>
      </c>
      <c r="AL489" s="18">
        <f>IF(OR($D489="",$B489=""),"",ROUND(N($R489)*($D489-$B489),2))</f>
        <v/>
      </c>
      <c r="AM489" s="17">
        <f>IF(AND($E489="Saída",$W489&gt;0,$C489&lt;&gt;""),$C489+ROW()/1000000,"")</f>
        <v/>
      </c>
      <c r="AN489" s="17">
        <f>IF(AND($E489="Entrada",$W489&gt;0,$C489&lt;&gt;""),$C489+ROW()/1000000,"")</f>
        <v/>
      </c>
      <c r="AO489" s="9">
        <f>IF(COUNTA($B489:$R489)=0,"",IF(AND($I489&lt;&gt;"",COUNTIF(CLIENTES_NOMES,$I489)+COUNTIF(CLIENTES_FANTASIA,$I489)+COUNTIF(FORNECEDORES_NOMES,$I489)+COUNTIF(FORNECEDORES_FANTASIA,$I489)=0),"⚠ Cliente/Fornecedor não cadastrado",IF(AND($G489&lt;&gt;"",COUNTIF(SUBCATEGORIAS_PLANO,$G489)=0),"⚠ Subcategoria fora do plano de contas",IF(OR($Q489="",N($Q489)=0),"⚠ Valor previsto não informado",IF(AND(OR($X489="Pago",$X489="Recebido"),$D489=""),"⚠ Status pago/recebido sem data",IF(AND($D489&lt;&gt;"",N($R489)=0),"⚠ Data de pagamento sem valor realizado",IF(AND(N($P489)&gt;1,N($O489)&gt;N($P489)),"⚠ Nº da parcela maior que o total",IF(AND($C489&lt;&gt;"",$B489&lt;&gt;"",$C489&lt;$B489),"⚠ Vencimento anterior à competência","OK"))))))))</f>
        <v/>
      </c>
    </row>
    <row r="490">
      <c r="A490" s="14" t="inlineStr">
        <is>
          <t>L0485</t>
        </is>
      </c>
      <c r="B490" s="36" t="n">
        <v>46334</v>
      </c>
      <c r="C490" s="36" t="n">
        <v>46354</v>
      </c>
      <c r="D490" s="36" t="n"/>
      <c r="E490" s="14" t="inlineStr">
        <is>
          <t>Saída</t>
        </is>
      </c>
      <c r="F490" s="29" t="inlineStr">
        <is>
          <t>Despesas Administrativas</t>
        </is>
      </c>
      <c r="G490" s="29" t="inlineStr">
        <is>
          <t>Sistemas e Softwares</t>
        </is>
      </c>
      <c r="H490" s="29" t="inlineStr">
        <is>
          <t>Administrativo</t>
        </is>
      </c>
      <c r="I490" s="29" t="inlineStr">
        <is>
          <t>TECNOLOGIA E SISTEMAS ABC LTDA</t>
        </is>
      </c>
      <c r="J490" s="29" t="inlineStr">
        <is>
          <t>Assinatura ERP, NF-e e BI</t>
        </is>
      </c>
      <c r="K490" s="14" t="inlineStr">
        <is>
          <t>DOC 8436</t>
        </is>
      </c>
      <c r="L490" s="29" t="inlineStr">
        <is>
          <t>Nubank PJ — C/C 9876543-2</t>
        </is>
      </c>
      <c r="M490" s="14" t="inlineStr">
        <is>
          <t>Cartão de crédito</t>
        </is>
      </c>
      <c r="N490" s="29" t="inlineStr">
        <is>
          <t>Cartão Mastercard Nubank PJ</t>
        </is>
      </c>
      <c r="O490" s="13" t="n">
        <v>1</v>
      </c>
      <c r="P490" s="13" t="n">
        <v>1</v>
      </c>
      <c r="Q490" s="35" t="n">
        <v>850</v>
      </c>
      <c r="R490" s="35" t="n"/>
      <c r="S490" s="35" t="n"/>
      <c r="T490" s="35" t="n"/>
      <c r="U490" s="35" t="n"/>
      <c r="V490" s="18">
        <f>IF(COUNTA($B490:$R490)=0,"",ROUND(N($R490)+N($S490)+N($T490)-N($U490),2))</f>
        <v/>
      </c>
      <c r="W490" s="18">
        <f>IF(COUNTA($B490:$R490)=0,"",IF(OR($X490="Pago",$X490="Recebido",$X490="Cancelado"),0,ROUND(N($Q490)+N($S490)+N($T490)-N($U490)-N($R490),2)))</f>
        <v/>
      </c>
      <c r="X490" s="14" t="inlineStr">
        <is>
          <t>Previsto</t>
        </is>
      </c>
      <c r="Y490" s="17">
        <f>IF(COUNTA($B490:$R490)=0,"",IF($X490="Cancelado","Cancelado",IF(OR($X490="Pago",$X490="Recebido"),$X490,IF(OR($X490="Parcial",N($R490)&gt;0),"Parcial",IF($C490="","Sem vencimento",IF($C490&lt;TODAY(),"Vencido",IF($C490=TODAY(),"Vence hoje",IF($C490&lt;=TODAY()+7,"Vence em 7 dias",IF($C490&lt;=TODAY()+30,"Vence em 30 dias","Futuro")))))))))</f>
        <v/>
      </c>
      <c r="Z490" s="24">
        <f>IF($B490="","",MONTH($B490))</f>
        <v/>
      </c>
      <c r="AA490" s="24">
        <f>IF($B490="","",YEAR($B490))</f>
        <v/>
      </c>
      <c r="AB490" s="24">
        <f>IF($B490="","",ISOWEEKNUM($B490))</f>
        <v/>
      </c>
      <c r="AC490" s="17">
        <f>IF($B490="","",CHOOSE(WEEKDAY($B490,2),"Segunda","Terça","Quarta","Quinta","Sexta","Sábado","Domingo"))</f>
        <v/>
      </c>
      <c r="AD490" s="17">
        <f>IF($B490="","",TEXT($B490,"MM/AAAA"))</f>
        <v/>
      </c>
      <c r="AE490" s="18">
        <f>IF(COUNTA($B490:$R490)=0,"",IF($X490="Cancelado",0,ROUND(N($Q490)+N($S490)+N($T490)-N($U490),2)))</f>
        <v/>
      </c>
      <c r="AF490" s="9">
        <f>IF($G490="","",IFERROR(INDEX(LINHAS_DRE_PLANO,MATCH($G490,SUBCATEGORIAS_PLANO,0)),"Não classificado"))</f>
        <v/>
      </c>
      <c r="AG490" s="17">
        <f>IF($G490="","",IFERROR(INDEX(TIPOS_FLUXO_PLANO,MATCH($G490,SUBCATEGORIAS_PLANO,0)),"Não classificado"))</f>
        <v/>
      </c>
      <c r="AH490" s="9">
        <f>IF($G490="","",IFERROR(INDEX(GRUPOS_PLANO,MATCH($G490,SUBCATEGORIAS_PLANO,0)),"Não classificado"))</f>
        <v/>
      </c>
      <c r="AI490" s="24">
        <f>IF(OR($C490="",$X490="Pago",$X490="Recebido",$X490="Cancelado"),"",$C490-TODAY())</f>
        <v/>
      </c>
      <c r="AJ490" s="24">
        <f>IF(OR($C490="",$X490="Pago",$X490="Recebido",$X490="Cancelado"),0,MAX(0,TODAY()-$C490))</f>
        <v/>
      </c>
      <c r="AK490" s="24">
        <f>IF($D490="","",$D490-$B490)</f>
        <v/>
      </c>
      <c r="AL490" s="18">
        <f>IF(OR($D490="",$B490=""),"",ROUND(N($R490)*($D490-$B490),2))</f>
        <v/>
      </c>
      <c r="AM490" s="17">
        <f>IF(AND($E490="Saída",$W490&gt;0,$C490&lt;&gt;""),$C490+ROW()/1000000,"")</f>
        <v/>
      </c>
      <c r="AN490" s="17">
        <f>IF(AND($E490="Entrada",$W490&gt;0,$C490&lt;&gt;""),$C490+ROW()/1000000,"")</f>
        <v/>
      </c>
      <c r="AO490" s="9">
        <f>IF(COUNTA($B490:$R490)=0,"",IF(AND($I490&lt;&gt;"",COUNTIF(CLIENTES_NOMES,$I490)+COUNTIF(CLIENTES_FANTASIA,$I490)+COUNTIF(FORNECEDORES_NOMES,$I490)+COUNTIF(FORNECEDORES_FANTASIA,$I490)=0),"⚠ Cliente/Fornecedor não cadastrado",IF(AND($G490&lt;&gt;"",COUNTIF(SUBCATEGORIAS_PLANO,$G490)=0),"⚠ Subcategoria fora do plano de contas",IF(OR($Q490="",N($Q490)=0),"⚠ Valor previsto não informado",IF(AND(OR($X490="Pago",$X490="Recebido"),$D490=""),"⚠ Status pago/recebido sem data",IF(AND($D490&lt;&gt;"",N($R490)=0),"⚠ Data de pagamento sem valor realizado",IF(AND(N($P490)&gt;1,N($O490)&gt;N($P490)),"⚠ Nº da parcela maior que o total",IF(AND($C490&lt;&gt;"",$B490&lt;&gt;"",$C490&lt;$B490),"⚠ Vencimento anterior à competência","OK"))))))))</f>
        <v/>
      </c>
    </row>
    <row r="491">
      <c r="A491" s="14" t="inlineStr">
        <is>
          <t>L0486</t>
        </is>
      </c>
      <c r="B491" s="36" t="n">
        <v>46335</v>
      </c>
      <c r="C491" s="36" t="n">
        <v>46350</v>
      </c>
      <c r="D491" s="36" t="n"/>
      <c r="E491" s="14" t="inlineStr">
        <is>
          <t>Saída</t>
        </is>
      </c>
      <c r="F491" s="29" t="inlineStr">
        <is>
          <t>Custos Variáveis</t>
        </is>
      </c>
      <c r="G491" s="29" t="inlineStr">
        <is>
          <t>Matéria-prima</t>
        </is>
      </c>
      <c r="H491" s="29" t="inlineStr">
        <is>
          <t>Produção</t>
        </is>
      </c>
      <c r="I491" s="29" t="inlineStr">
        <is>
          <t>DISTRIBUIDORA CENTRAL DE ALIMENTOS S/A</t>
        </is>
      </c>
      <c r="J491" s="29" t="inlineStr">
        <is>
          <t>Insumos e matéria-prima para beneficiamento</t>
        </is>
      </c>
      <c r="K491" s="14" t="inlineStr">
        <is>
          <t>NF 5911</t>
        </is>
      </c>
      <c r="L491" s="29" t="inlineStr">
        <is>
          <t>Banco do Brasil — C/C 12345-6</t>
        </is>
      </c>
      <c r="M491" s="14" t="inlineStr">
        <is>
          <t>Boleto</t>
        </is>
      </c>
      <c r="N491" s="29" t="n"/>
      <c r="O491" s="13" t="n">
        <v>1</v>
      </c>
      <c r="P491" s="13" t="n">
        <v>1</v>
      </c>
      <c r="Q491" s="35" t="n">
        <v>10257.16</v>
      </c>
      <c r="R491" s="35" t="n"/>
      <c r="S491" s="35" t="n"/>
      <c r="T491" s="35" t="n"/>
      <c r="U491" s="35" t="n"/>
      <c r="V491" s="18">
        <f>IF(COUNTA($B491:$R491)=0,"",ROUND(N($R491)+N($S491)+N($T491)-N($U491),2))</f>
        <v/>
      </c>
      <c r="W491" s="18">
        <f>IF(COUNTA($B491:$R491)=0,"",IF(OR($X491="Pago",$X491="Recebido",$X491="Cancelado"),0,ROUND(N($Q491)+N($S491)+N($T491)-N($U491)-N($R491),2)))</f>
        <v/>
      </c>
      <c r="X491" s="14" t="inlineStr">
        <is>
          <t>Previsto</t>
        </is>
      </c>
      <c r="Y491" s="17">
        <f>IF(COUNTA($B491:$R491)=0,"",IF($X491="Cancelado","Cancelado",IF(OR($X491="Pago",$X491="Recebido"),$X491,IF(OR($X491="Parcial",N($R491)&gt;0),"Parcial",IF($C491="","Sem vencimento",IF($C491&lt;TODAY(),"Vencido",IF($C491=TODAY(),"Vence hoje",IF($C491&lt;=TODAY()+7,"Vence em 7 dias",IF($C491&lt;=TODAY()+30,"Vence em 30 dias","Futuro")))))))))</f>
        <v/>
      </c>
      <c r="Z491" s="24">
        <f>IF($B491="","",MONTH($B491))</f>
        <v/>
      </c>
      <c r="AA491" s="24">
        <f>IF($B491="","",YEAR($B491))</f>
        <v/>
      </c>
      <c r="AB491" s="24">
        <f>IF($B491="","",ISOWEEKNUM($B491))</f>
        <v/>
      </c>
      <c r="AC491" s="17">
        <f>IF($B491="","",CHOOSE(WEEKDAY($B491,2),"Segunda","Terça","Quarta","Quinta","Sexta","Sábado","Domingo"))</f>
        <v/>
      </c>
      <c r="AD491" s="17">
        <f>IF($B491="","",TEXT($B491,"MM/AAAA"))</f>
        <v/>
      </c>
      <c r="AE491" s="18">
        <f>IF(COUNTA($B491:$R491)=0,"",IF($X491="Cancelado",0,ROUND(N($Q491)+N($S491)+N($T491)-N($U491),2)))</f>
        <v/>
      </c>
      <c r="AF491" s="9">
        <f>IF($G491="","",IFERROR(INDEX(LINHAS_DRE_PLANO,MATCH($G491,SUBCATEGORIAS_PLANO,0)),"Não classificado"))</f>
        <v/>
      </c>
      <c r="AG491" s="17">
        <f>IF($G491="","",IFERROR(INDEX(TIPOS_FLUXO_PLANO,MATCH($G491,SUBCATEGORIAS_PLANO,0)),"Não classificado"))</f>
        <v/>
      </c>
      <c r="AH491" s="9">
        <f>IF($G491="","",IFERROR(INDEX(GRUPOS_PLANO,MATCH($G491,SUBCATEGORIAS_PLANO,0)),"Não classificado"))</f>
        <v/>
      </c>
      <c r="AI491" s="24">
        <f>IF(OR($C491="",$X491="Pago",$X491="Recebido",$X491="Cancelado"),"",$C491-TODAY())</f>
        <v/>
      </c>
      <c r="AJ491" s="24">
        <f>IF(OR($C491="",$X491="Pago",$X491="Recebido",$X491="Cancelado"),0,MAX(0,TODAY()-$C491))</f>
        <v/>
      </c>
      <c r="AK491" s="24">
        <f>IF($D491="","",$D491-$B491)</f>
        <v/>
      </c>
      <c r="AL491" s="18">
        <f>IF(OR($D491="",$B491=""),"",ROUND(N($R491)*($D491-$B491),2))</f>
        <v/>
      </c>
      <c r="AM491" s="17">
        <f>IF(AND($E491="Saída",$W491&gt;0,$C491&lt;&gt;""),$C491+ROW()/1000000,"")</f>
        <v/>
      </c>
      <c r="AN491" s="17">
        <f>IF(AND($E491="Entrada",$W491&gt;0,$C491&lt;&gt;""),$C491+ROW()/1000000,"")</f>
        <v/>
      </c>
      <c r="AO491" s="9">
        <f>IF(COUNTA($B491:$R491)=0,"",IF(AND($I491&lt;&gt;"",COUNTIF(CLIENTES_NOMES,$I491)+COUNTIF(CLIENTES_FANTASIA,$I491)+COUNTIF(FORNECEDORES_NOMES,$I491)+COUNTIF(FORNECEDORES_FANTASIA,$I491)=0),"⚠ Cliente/Fornecedor não cadastrado",IF(AND($G491&lt;&gt;"",COUNTIF(SUBCATEGORIAS_PLANO,$G491)=0),"⚠ Subcategoria fora do plano de contas",IF(OR($Q491="",N($Q491)=0),"⚠ Valor previsto não informado",IF(AND(OR($X491="Pago",$X491="Recebido"),$D491=""),"⚠ Status pago/recebido sem data",IF(AND($D491&lt;&gt;"",N($R491)=0),"⚠ Data de pagamento sem valor realizado",IF(AND(N($P491)&gt;1,N($O491)&gt;N($P491)),"⚠ Nº da parcela maior que o total",IF(AND($C491&lt;&gt;"",$B491&lt;&gt;"",$C491&lt;$B491),"⚠ Vencimento anterior à competência","OK"))))))))</f>
        <v/>
      </c>
    </row>
    <row r="492">
      <c r="A492" s="14" t="inlineStr">
        <is>
          <t>L0487</t>
        </is>
      </c>
      <c r="B492" s="36" t="n">
        <v>46336</v>
      </c>
      <c r="C492" s="36" t="n">
        <v>46354</v>
      </c>
      <c r="D492" s="36" t="n"/>
      <c r="E492" s="14" t="inlineStr">
        <is>
          <t>Saída</t>
        </is>
      </c>
      <c r="F492" s="29" t="inlineStr">
        <is>
          <t>Despesas Administrativas</t>
        </is>
      </c>
      <c r="G492" s="29" t="inlineStr">
        <is>
          <t>Internet e Telefonia</t>
        </is>
      </c>
      <c r="H492" s="29" t="inlineStr">
        <is>
          <t>Administrativo</t>
        </is>
      </c>
      <c r="I492" s="29" t="inlineStr">
        <is>
          <t>TELEFÔNICA BRASIL S.A. (VIVO EMPRESAS)</t>
        </is>
      </c>
      <c r="J492" s="29" t="inlineStr">
        <is>
          <t>Internet, telefonia e link dedicado</t>
        </is>
      </c>
      <c r="K492" s="14" t="inlineStr">
        <is>
          <t>DOC 8434</t>
        </is>
      </c>
      <c r="L492" s="29" t="inlineStr">
        <is>
          <t>Nubank PJ — C/C 9876543-2</t>
        </is>
      </c>
      <c r="M492" s="14" t="inlineStr">
        <is>
          <t>Cartão de crédito</t>
        </is>
      </c>
      <c r="N492" s="29" t="inlineStr">
        <is>
          <t>Cartão Mastercard Nubank PJ</t>
        </is>
      </c>
      <c r="O492" s="13" t="n">
        <v>1</v>
      </c>
      <c r="P492" s="13" t="n">
        <v>1</v>
      </c>
      <c r="Q492" s="35" t="n">
        <v>780</v>
      </c>
      <c r="R492" s="35" t="n"/>
      <c r="S492" s="35" t="n"/>
      <c r="T492" s="35" t="n"/>
      <c r="U492" s="35" t="n"/>
      <c r="V492" s="18">
        <f>IF(COUNTA($B492:$R492)=0,"",ROUND(N($R492)+N($S492)+N($T492)-N($U492),2))</f>
        <v/>
      </c>
      <c r="W492" s="18">
        <f>IF(COUNTA($B492:$R492)=0,"",IF(OR($X492="Pago",$X492="Recebido",$X492="Cancelado"),0,ROUND(N($Q492)+N($S492)+N($T492)-N($U492)-N($R492),2)))</f>
        <v/>
      </c>
      <c r="X492" s="14" t="inlineStr">
        <is>
          <t>Previsto</t>
        </is>
      </c>
      <c r="Y492" s="17">
        <f>IF(COUNTA($B492:$R492)=0,"",IF($X492="Cancelado","Cancelado",IF(OR($X492="Pago",$X492="Recebido"),$X492,IF(OR($X492="Parcial",N($R492)&gt;0),"Parcial",IF($C492="","Sem vencimento",IF($C492&lt;TODAY(),"Vencido",IF($C492=TODAY(),"Vence hoje",IF($C492&lt;=TODAY()+7,"Vence em 7 dias",IF($C492&lt;=TODAY()+30,"Vence em 30 dias","Futuro")))))))))</f>
        <v/>
      </c>
      <c r="Z492" s="24">
        <f>IF($B492="","",MONTH($B492))</f>
        <v/>
      </c>
      <c r="AA492" s="24">
        <f>IF($B492="","",YEAR($B492))</f>
        <v/>
      </c>
      <c r="AB492" s="24">
        <f>IF($B492="","",ISOWEEKNUM($B492))</f>
        <v/>
      </c>
      <c r="AC492" s="17">
        <f>IF($B492="","",CHOOSE(WEEKDAY($B492,2),"Segunda","Terça","Quarta","Quinta","Sexta","Sábado","Domingo"))</f>
        <v/>
      </c>
      <c r="AD492" s="17">
        <f>IF($B492="","",TEXT($B492,"MM/AAAA"))</f>
        <v/>
      </c>
      <c r="AE492" s="18">
        <f>IF(COUNTA($B492:$R492)=0,"",IF($X492="Cancelado",0,ROUND(N($Q492)+N($S492)+N($T492)-N($U492),2)))</f>
        <v/>
      </c>
      <c r="AF492" s="9">
        <f>IF($G492="","",IFERROR(INDEX(LINHAS_DRE_PLANO,MATCH($G492,SUBCATEGORIAS_PLANO,0)),"Não classificado"))</f>
        <v/>
      </c>
      <c r="AG492" s="17">
        <f>IF($G492="","",IFERROR(INDEX(TIPOS_FLUXO_PLANO,MATCH($G492,SUBCATEGORIAS_PLANO,0)),"Não classificado"))</f>
        <v/>
      </c>
      <c r="AH492" s="9">
        <f>IF($G492="","",IFERROR(INDEX(GRUPOS_PLANO,MATCH($G492,SUBCATEGORIAS_PLANO,0)),"Não classificado"))</f>
        <v/>
      </c>
      <c r="AI492" s="24">
        <f>IF(OR($C492="",$X492="Pago",$X492="Recebido",$X492="Cancelado"),"",$C492-TODAY())</f>
        <v/>
      </c>
      <c r="AJ492" s="24">
        <f>IF(OR($C492="",$X492="Pago",$X492="Recebido",$X492="Cancelado"),0,MAX(0,TODAY()-$C492))</f>
        <v/>
      </c>
      <c r="AK492" s="24">
        <f>IF($D492="","",$D492-$B492)</f>
        <v/>
      </c>
      <c r="AL492" s="18">
        <f>IF(OR($D492="",$B492=""),"",ROUND(N($R492)*($D492-$B492),2))</f>
        <v/>
      </c>
      <c r="AM492" s="17">
        <f>IF(AND($E492="Saída",$W492&gt;0,$C492&lt;&gt;""),$C492+ROW()/1000000,"")</f>
        <v/>
      </c>
      <c r="AN492" s="17">
        <f>IF(AND($E492="Entrada",$W492&gt;0,$C492&lt;&gt;""),$C492+ROW()/1000000,"")</f>
        <v/>
      </c>
      <c r="AO492" s="9">
        <f>IF(COUNTA($B492:$R492)=0,"",IF(AND($I492&lt;&gt;"",COUNTIF(CLIENTES_NOMES,$I492)+COUNTIF(CLIENTES_FANTASIA,$I492)+COUNTIF(FORNECEDORES_NOMES,$I492)+COUNTIF(FORNECEDORES_FANTASIA,$I492)=0),"⚠ Cliente/Fornecedor não cadastrado",IF(AND($G492&lt;&gt;"",COUNTIF(SUBCATEGORIAS_PLANO,$G492)=0),"⚠ Subcategoria fora do plano de contas",IF(OR($Q492="",N($Q492)=0),"⚠ Valor previsto não informado",IF(AND(OR($X492="Pago",$X492="Recebido"),$D492=""),"⚠ Status pago/recebido sem data",IF(AND($D492&lt;&gt;"",N($R492)=0),"⚠ Data de pagamento sem valor realizado",IF(AND(N($P492)&gt;1,N($O492)&gt;N($P492)),"⚠ Nº da parcela maior que o total",IF(AND($C492&lt;&gt;"",$B492&lt;&gt;"",$C492&lt;$B492),"⚠ Vencimento anterior à competência","OK"))))))))</f>
        <v/>
      </c>
    </row>
    <row r="493">
      <c r="A493" s="14" t="inlineStr">
        <is>
          <t>L0488</t>
        </is>
      </c>
      <c r="B493" s="36" t="n">
        <v>46336</v>
      </c>
      <c r="C493" s="36" t="n">
        <v>46336</v>
      </c>
      <c r="D493" s="36" t="n"/>
      <c r="E493" s="14" t="inlineStr">
        <is>
          <t>Saída</t>
        </is>
      </c>
      <c r="F493" s="29" t="inlineStr">
        <is>
          <t>Despesas Administrativas</t>
        </is>
      </c>
      <c r="G493" s="29" t="inlineStr">
        <is>
          <t>Contabilidade</t>
        </is>
      </c>
      <c r="H493" s="29" t="inlineStr">
        <is>
          <t>Financeiro</t>
        </is>
      </c>
      <c r="I493" s="29" t="inlineStr">
        <is>
          <t>CONTABILIDADE AURORA ASSESSORIA CONTÁBIL LTDA</t>
        </is>
      </c>
      <c r="J493" s="29" t="inlineStr">
        <is>
          <t>Honorários contábeis — competência 11/2026</t>
        </is>
      </c>
      <c r="K493" s="14" t="inlineStr">
        <is>
          <t>DOC 8435</t>
        </is>
      </c>
      <c r="L493" s="29" t="inlineStr">
        <is>
          <t>Itaú Unibanco — C/C 45678-9</t>
        </is>
      </c>
      <c r="M493" s="14" t="inlineStr">
        <is>
          <t>PIX</t>
        </is>
      </c>
      <c r="N493" s="29" t="n"/>
      <c r="O493" s="13" t="n">
        <v>1</v>
      </c>
      <c r="P493" s="13" t="n">
        <v>1</v>
      </c>
      <c r="Q493" s="35" t="n">
        <v>1250</v>
      </c>
      <c r="R493" s="35" t="n"/>
      <c r="S493" s="35" t="n"/>
      <c r="T493" s="35" t="n"/>
      <c r="U493" s="35" t="n"/>
      <c r="V493" s="18">
        <f>IF(COUNTA($B493:$R493)=0,"",ROUND(N($R493)+N($S493)+N($T493)-N($U493),2))</f>
        <v/>
      </c>
      <c r="W493" s="18">
        <f>IF(COUNTA($B493:$R493)=0,"",IF(OR($X493="Pago",$X493="Recebido",$X493="Cancelado"),0,ROUND(N($Q493)+N($S493)+N($T493)-N($U493)-N($R493),2)))</f>
        <v/>
      </c>
      <c r="X493" s="14" t="inlineStr">
        <is>
          <t>Previsto</t>
        </is>
      </c>
      <c r="Y493" s="17">
        <f>IF(COUNTA($B493:$R493)=0,"",IF($X493="Cancelado","Cancelado",IF(OR($X493="Pago",$X493="Recebido"),$X493,IF(OR($X493="Parcial",N($R493)&gt;0),"Parcial",IF($C493="","Sem vencimento",IF($C493&lt;TODAY(),"Vencido",IF($C493=TODAY(),"Vence hoje",IF($C493&lt;=TODAY()+7,"Vence em 7 dias",IF($C493&lt;=TODAY()+30,"Vence em 30 dias","Futuro")))))))))</f>
        <v/>
      </c>
      <c r="Z493" s="24">
        <f>IF($B493="","",MONTH($B493))</f>
        <v/>
      </c>
      <c r="AA493" s="24">
        <f>IF($B493="","",YEAR($B493))</f>
        <v/>
      </c>
      <c r="AB493" s="24">
        <f>IF($B493="","",ISOWEEKNUM($B493))</f>
        <v/>
      </c>
      <c r="AC493" s="17">
        <f>IF($B493="","",CHOOSE(WEEKDAY($B493,2),"Segunda","Terça","Quarta","Quinta","Sexta","Sábado","Domingo"))</f>
        <v/>
      </c>
      <c r="AD493" s="17">
        <f>IF($B493="","",TEXT($B493,"MM/AAAA"))</f>
        <v/>
      </c>
      <c r="AE493" s="18">
        <f>IF(COUNTA($B493:$R493)=0,"",IF($X493="Cancelado",0,ROUND(N($Q493)+N($S493)+N($T493)-N($U493),2)))</f>
        <v/>
      </c>
      <c r="AF493" s="9">
        <f>IF($G493="","",IFERROR(INDEX(LINHAS_DRE_PLANO,MATCH($G493,SUBCATEGORIAS_PLANO,0)),"Não classificado"))</f>
        <v/>
      </c>
      <c r="AG493" s="17">
        <f>IF($G493="","",IFERROR(INDEX(TIPOS_FLUXO_PLANO,MATCH($G493,SUBCATEGORIAS_PLANO,0)),"Não classificado"))</f>
        <v/>
      </c>
      <c r="AH493" s="9">
        <f>IF($G493="","",IFERROR(INDEX(GRUPOS_PLANO,MATCH($G493,SUBCATEGORIAS_PLANO,0)),"Não classificado"))</f>
        <v/>
      </c>
      <c r="AI493" s="24">
        <f>IF(OR($C493="",$X493="Pago",$X493="Recebido",$X493="Cancelado"),"",$C493-TODAY())</f>
        <v/>
      </c>
      <c r="AJ493" s="24">
        <f>IF(OR($C493="",$X493="Pago",$X493="Recebido",$X493="Cancelado"),0,MAX(0,TODAY()-$C493))</f>
        <v/>
      </c>
      <c r="AK493" s="24">
        <f>IF($D493="","",$D493-$B493)</f>
        <v/>
      </c>
      <c r="AL493" s="18">
        <f>IF(OR($D493="",$B493=""),"",ROUND(N($R493)*($D493-$B493),2))</f>
        <v/>
      </c>
      <c r="AM493" s="17">
        <f>IF(AND($E493="Saída",$W493&gt;0,$C493&lt;&gt;""),$C493+ROW()/1000000,"")</f>
        <v/>
      </c>
      <c r="AN493" s="17">
        <f>IF(AND($E493="Entrada",$W493&gt;0,$C493&lt;&gt;""),$C493+ROW()/1000000,"")</f>
        <v/>
      </c>
      <c r="AO493" s="9">
        <f>IF(COUNTA($B493:$R493)=0,"",IF(AND($I493&lt;&gt;"",COUNTIF(CLIENTES_NOMES,$I493)+COUNTIF(CLIENTES_FANTASIA,$I493)+COUNTIF(FORNECEDORES_NOMES,$I493)+COUNTIF(FORNECEDORES_FANTASIA,$I493)=0),"⚠ Cliente/Fornecedor não cadastrado",IF(AND($G493&lt;&gt;"",COUNTIF(SUBCATEGORIAS_PLANO,$G493)=0),"⚠ Subcategoria fora do plano de contas",IF(OR($Q493="",N($Q493)=0),"⚠ Valor previsto não informado",IF(AND(OR($X493="Pago",$X493="Recebido"),$D493=""),"⚠ Status pago/recebido sem data",IF(AND($D493&lt;&gt;"",N($R493)=0),"⚠ Data de pagamento sem valor realizado",IF(AND(N($P493)&gt;1,N($O493)&gt;N($P493)),"⚠ Nº da parcela maior que o total",IF(AND($C493&lt;&gt;"",$B493&lt;&gt;"",$C493&lt;$B493),"⚠ Vencimento anterior à competência","OK"))))))))</f>
        <v/>
      </c>
    </row>
    <row r="494">
      <c r="A494" s="14" t="inlineStr">
        <is>
          <t>L0489</t>
        </is>
      </c>
      <c r="B494" s="36" t="n">
        <v>46336</v>
      </c>
      <c r="C494" s="36" t="n">
        <v>46354</v>
      </c>
      <c r="D494" s="36" t="n"/>
      <c r="E494" s="14" t="inlineStr">
        <is>
          <t>Saída</t>
        </is>
      </c>
      <c r="F494" s="29" t="inlineStr">
        <is>
          <t>Despesas Comerciais</t>
        </is>
      </c>
      <c r="G494" s="29" t="inlineStr">
        <is>
          <t>Marketing Digital</t>
        </is>
      </c>
      <c r="H494" s="29" t="inlineStr">
        <is>
          <t>Marketing</t>
        </is>
      </c>
      <c r="I494" s="29" t="inlineStr">
        <is>
          <t>AGÊNCIA PULSO DIGITAL LTDA</t>
        </is>
      </c>
      <c r="J494" s="29" t="inlineStr">
        <is>
          <t>Gestão de tráfego pago e produção de conteúdo</t>
        </is>
      </c>
      <c r="K494" s="14" t="inlineStr">
        <is>
          <t>DOC 8441</t>
        </is>
      </c>
      <c r="L494" s="29" t="inlineStr">
        <is>
          <t>Nubank PJ — C/C 9876543-2</t>
        </is>
      </c>
      <c r="M494" s="14" t="inlineStr">
        <is>
          <t>Cartão de crédito</t>
        </is>
      </c>
      <c r="N494" s="29" t="inlineStr">
        <is>
          <t>Cartão Mastercard Nubank PJ</t>
        </is>
      </c>
      <c r="O494" s="13" t="n">
        <v>1</v>
      </c>
      <c r="P494" s="13" t="n">
        <v>1</v>
      </c>
      <c r="Q494" s="35" t="n">
        <v>4628.84</v>
      </c>
      <c r="R494" s="35" t="n"/>
      <c r="S494" s="35" t="n"/>
      <c r="T494" s="35" t="n"/>
      <c r="U494" s="35" t="n"/>
      <c r="V494" s="18">
        <f>IF(COUNTA($B494:$R494)=0,"",ROUND(N($R494)+N($S494)+N($T494)-N($U494),2))</f>
        <v/>
      </c>
      <c r="W494" s="18">
        <f>IF(COUNTA($B494:$R494)=0,"",IF(OR($X494="Pago",$X494="Recebido",$X494="Cancelado"),0,ROUND(N($Q494)+N($S494)+N($T494)-N($U494)-N($R494),2)))</f>
        <v/>
      </c>
      <c r="X494" s="14" t="inlineStr">
        <is>
          <t>Previsto</t>
        </is>
      </c>
      <c r="Y494" s="17">
        <f>IF(COUNTA($B494:$R494)=0,"",IF($X494="Cancelado","Cancelado",IF(OR($X494="Pago",$X494="Recebido"),$X494,IF(OR($X494="Parcial",N($R494)&gt;0),"Parcial",IF($C494="","Sem vencimento",IF($C494&lt;TODAY(),"Vencido",IF($C494=TODAY(),"Vence hoje",IF($C494&lt;=TODAY()+7,"Vence em 7 dias",IF($C494&lt;=TODAY()+30,"Vence em 30 dias","Futuro")))))))))</f>
        <v/>
      </c>
      <c r="Z494" s="24">
        <f>IF($B494="","",MONTH($B494))</f>
        <v/>
      </c>
      <c r="AA494" s="24">
        <f>IF($B494="","",YEAR($B494))</f>
        <v/>
      </c>
      <c r="AB494" s="24">
        <f>IF($B494="","",ISOWEEKNUM($B494))</f>
        <v/>
      </c>
      <c r="AC494" s="17">
        <f>IF($B494="","",CHOOSE(WEEKDAY($B494,2),"Segunda","Terça","Quarta","Quinta","Sexta","Sábado","Domingo"))</f>
        <v/>
      </c>
      <c r="AD494" s="17">
        <f>IF($B494="","",TEXT($B494,"MM/AAAA"))</f>
        <v/>
      </c>
      <c r="AE494" s="18">
        <f>IF(COUNTA($B494:$R494)=0,"",IF($X494="Cancelado",0,ROUND(N($Q494)+N($S494)+N($T494)-N($U494),2)))</f>
        <v/>
      </c>
      <c r="AF494" s="9">
        <f>IF($G494="","",IFERROR(INDEX(LINHAS_DRE_PLANO,MATCH($G494,SUBCATEGORIAS_PLANO,0)),"Não classificado"))</f>
        <v/>
      </c>
      <c r="AG494" s="17">
        <f>IF($G494="","",IFERROR(INDEX(TIPOS_FLUXO_PLANO,MATCH($G494,SUBCATEGORIAS_PLANO,0)),"Não classificado"))</f>
        <v/>
      </c>
      <c r="AH494" s="9">
        <f>IF($G494="","",IFERROR(INDEX(GRUPOS_PLANO,MATCH($G494,SUBCATEGORIAS_PLANO,0)),"Não classificado"))</f>
        <v/>
      </c>
      <c r="AI494" s="24">
        <f>IF(OR($C494="",$X494="Pago",$X494="Recebido",$X494="Cancelado"),"",$C494-TODAY())</f>
        <v/>
      </c>
      <c r="AJ494" s="24">
        <f>IF(OR($C494="",$X494="Pago",$X494="Recebido",$X494="Cancelado"),0,MAX(0,TODAY()-$C494))</f>
        <v/>
      </c>
      <c r="AK494" s="24">
        <f>IF($D494="","",$D494-$B494)</f>
        <v/>
      </c>
      <c r="AL494" s="18">
        <f>IF(OR($D494="",$B494=""),"",ROUND(N($R494)*($D494-$B494),2))</f>
        <v/>
      </c>
      <c r="AM494" s="17">
        <f>IF(AND($E494="Saída",$W494&gt;0,$C494&lt;&gt;""),$C494+ROW()/1000000,"")</f>
        <v/>
      </c>
      <c r="AN494" s="17">
        <f>IF(AND($E494="Entrada",$W494&gt;0,$C494&lt;&gt;""),$C494+ROW()/1000000,"")</f>
        <v/>
      </c>
      <c r="AO494" s="9">
        <f>IF(COUNTA($B494:$R494)=0,"",IF(AND($I494&lt;&gt;"",COUNTIF(CLIENTES_NOMES,$I494)+COUNTIF(CLIENTES_FANTASIA,$I494)+COUNTIF(FORNECEDORES_NOMES,$I494)+COUNTIF(FORNECEDORES_FANTASIA,$I494)=0),"⚠ Cliente/Fornecedor não cadastrado",IF(AND($G494&lt;&gt;"",COUNTIF(SUBCATEGORIAS_PLANO,$G494)=0),"⚠ Subcategoria fora do plano de contas",IF(OR($Q494="",N($Q494)=0),"⚠ Valor previsto não informado",IF(AND(OR($X494="Pago",$X494="Recebido"),$D494=""),"⚠ Status pago/recebido sem data",IF(AND($D494&lt;&gt;"",N($R494)=0),"⚠ Data de pagamento sem valor realizado",IF(AND(N($P494)&gt;1,N($O494)&gt;N($P494)),"⚠ Nº da parcela maior que o total",IF(AND($C494&lt;&gt;"",$B494&lt;&gt;"",$C494&lt;$B494),"⚠ Vencimento anterior à competência","OK"))))))))</f>
        <v/>
      </c>
    </row>
    <row r="495">
      <c r="A495" s="14" t="inlineStr">
        <is>
          <t>L0490</t>
        </is>
      </c>
      <c r="B495" s="36" t="n">
        <v>46336</v>
      </c>
      <c r="C495" s="36" t="n">
        <v>46336</v>
      </c>
      <c r="D495" s="36" t="n"/>
      <c r="E495" s="14" t="inlineStr">
        <is>
          <t>Saída</t>
        </is>
      </c>
      <c r="F495" s="29" t="inlineStr">
        <is>
          <t>Empréstimos e Financiamentos</t>
        </is>
      </c>
      <c r="G495" s="29" t="inlineStr">
        <is>
          <t>Pagamento de Principal de Empréstimos</t>
        </is>
      </c>
      <c r="H495" s="29" t="inlineStr">
        <is>
          <t>Financeiro</t>
        </is>
      </c>
      <c r="I495" s="29" t="inlineStr">
        <is>
          <t>Banco do Brasil</t>
        </is>
      </c>
      <c r="J495" s="29" t="inlineStr">
        <is>
          <t>Capital de Giro — parcela 10/24 (principal)</t>
        </is>
      </c>
      <c r="K495" s="14" t="inlineStr">
        <is>
          <t>CG-2026-0417-P10</t>
        </is>
      </c>
      <c r="L495" s="29" t="inlineStr">
        <is>
          <t>Banco do Brasil — C/C 12345-6</t>
        </is>
      </c>
      <c r="M495" s="14" t="inlineStr">
        <is>
          <t>Débito automático</t>
        </is>
      </c>
      <c r="N495" s="29" t="n"/>
      <c r="O495" s="13" t="n">
        <v>10</v>
      </c>
      <c r="P495" s="13" t="n">
        <v>24</v>
      </c>
      <c r="Q495" s="35" t="n">
        <v>2395.92</v>
      </c>
      <c r="R495" s="35" t="n"/>
      <c r="S495" s="35" t="n"/>
      <c r="T495" s="35" t="n"/>
      <c r="U495" s="35" t="n"/>
      <c r="V495" s="18">
        <f>IF(COUNTA($B495:$R495)=0,"",ROUND(N($R495)+N($S495)+N($T495)-N($U495),2))</f>
        <v/>
      </c>
      <c r="W495" s="18">
        <f>IF(COUNTA($B495:$R495)=0,"",IF(OR($X495="Pago",$X495="Recebido",$X495="Cancelado"),0,ROUND(N($Q495)+N($S495)+N($T495)-N($U495)-N($R495),2)))</f>
        <v/>
      </c>
      <c r="X495" s="14" t="inlineStr">
        <is>
          <t>Previsto</t>
        </is>
      </c>
      <c r="Y495" s="17">
        <f>IF(COUNTA($B495:$R495)=0,"",IF($X495="Cancelado","Cancelado",IF(OR($X495="Pago",$X495="Recebido"),$X495,IF(OR($X495="Parcial",N($R495)&gt;0),"Parcial",IF($C495="","Sem vencimento",IF($C495&lt;TODAY(),"Vencido",IF($C495=TODAY(),"Vence hoje",IF($C495&lt;=TODAY()+7,"Vence em 7 dias",IF($C495&lt;=TODAY()+30,"Vence em 30 dias","Futuro")))))))))</f>
        <v/>
      </c>
      <c r="Z495" s="24">
        <f>IF($B495="","",MONTH($B495))</f>
        <v/>
      </c>
      <c r="AA495" s="24">
        <f>IF($B495="","",YEAR($B495))</f>
        <v/>
      </c>
      <c r="AB495" s="24">
        <f>IF($B495="","",ISOWEEKNUM($B495))</f>
        <v/>
      </c>
      <c r="AC495" s="17">
        <f>IF($B495="","",CHOOSE(WEEKDAY($B495,2),"Segunda","Terça","Quarta","Quinta","Sexta","Sábado","Domingo"))</f>
        <v/>
      </c>
      <c r="AD495" s="17">
        <f>IF($B495="","",TEXT($B495,"MM/AAAA"))</f>
        <v/>
      </c>
      <c r="AE495" s="18">
        <f>IF(COUNTA($B495:$R495)=0,"",IF($X495="Cancelado",0,ROUND(N($Q495)+N($S495)+N($T495)-N($U495),2)))</f>
        <v/>
      </c>
      <c r="AF495" s="9">
        <f>IF($G495="","",IFERROR(INDEX(LINHAS_DRE_PLANO,MATCH($G495,SUBCATEGORIAS_PLANO,0)),"Não classificado"))</f>
        <v/>
      </c>
      <c r="AG495" s="17">
        <f>IF($G495="","",IFERROR(INDEX(TIPOS_FLUXO_PLANO,MATCH($G495,SUBCATEGORIAS_PLANO,0)),"Não classificado"))</f>
        <v/>
      </c>
      <c r="AH495" s="9">
        <f>IF($G495="","",IFERROR(INDEX(GRUPOS_PLANO,MATCH($G495,SUBCATEGORIAS_PLANO,0)),"Não classificado"))</f>
        <v/>
      </c>
      <c r="AI495" s="24">
        <f>IF(OR($C495="",$X495="Pago",$X495="Recebido",$X495="Cancelado"),"",$C495-TODAY())</f>
        <v/>
      </c>
      <c r="AJ495" s="24">
        <f>IF(OR($C495="",$X495="Pago",$X495="Recebido",$X495="Cancelado"),0,MAX(0,TODAY()-$C495))</f>
        <v/>
      </c>
      <c r="AK495" s="24">
        <f>IF($D495="","",$D495-$B495)</f>
        <v/>
      </c>
      <c r="AL495" s="18">
        <f>IF(OR($D495="",$B495=""),"",ROUND(N($R495)*($D495-$B495),2))</f>
        <v/>
      </c>
      <c r="AM495" s="17">
        <f>IF(AND($E495="Saída",$W495&gt;0,$C495&lt;&gt;""),$C495+ROW()/1000000,"")</f>
        <v/>
      </c>
      <c r="AN495" s="17">
        <f>IF(AND($E495="Entrada",$W495&gt;0,$C495&lt;&gt;""),$C495+ROW()/1000000,"")</f>
        <v/>
      </c>
      <c r="AO495" s="9">
        <f>IF(COUNTA($B495:$R495)=0,"",IF(AND($I495&lt;&gt;"",COUNTIF(CLIENTES_NOMES,$I495)+COUNTIF(CLIENTES_FANTASIA,$I495)+COUNTIF(FORNECEDORES_NOMES,$I495)+COUNTIF(FORNECEDORES_FANTASIA,$I495)=0),"⚠ Cliente/Fornecedor não cadastrado",IF(AND($G495&lt;&gt;"",COUNTIF(SUBCATEGORIAS_PLANO,$G495)=0),"⚠ Subcategoria fora do plano de contas",IF(OR($Q495="",N($Q495)=0),"⚠ Valor previsto não informado",IF(AND(OR($X495="Pago",$X495="Recebido"),$D495=""),"⚠ Status pago/recebido sem data",IF(AND($D495&lt;&gt;"",N($R495)=0),"⚠ Data de pagamento sem valor realizado",IF(AND(N($P495)&gt;1,N($O495)&gt;N($P495)),"⚠ Nº da parcela maior que o total",IF(AND($C495&lt;&gt;"",$B495&lt;&gt;"",$C495&lt;$B495),"⚠ Vencimento anterior à competência","OK"))))))))</f>
        <v/>
      </c>
    </row>
    <row r="496">
      <c r="A496" s="14" t="inlineStr">
        <is>
          <t>L0491</t>
        </is>
      </c>
      <c r="B496" s="36" t="n">
        <v>46336</v>
      </c>
      <c r="C496" s="36" t="n">
        <v>46336</v>
      </c>
      <c r="D496" s="36" t="n"/>
      <c r="E496" s="14" t="inlineStr">
        <is>
          <t>Saída</t>
        </is>
      </c>
      <c r="F496" s="29" t="inlineStr">
        <is>
          <t>Despesas Financeiras</t>
        </is>
      </c>
      <c r="G496" s="29" t="inlineStr">
        <is>
          <t>Juros de Empréstimos e Financiamentos</t>
        </is>
      </c>
      <c r="H496" s="29" t="inlineStr">
        <is>
          <t>Financeiro</t>
        </is>
      </c>
      <c r="I496" s="29" t="inlineStr">
        <is>
          <t>Banco do Brasil</t>
        </is>
      </c>
      <c r="J496" s="29" t="inlineStr">
        <is>
          <t>Capital de Giro — parcela 10/24 (juros)</t>
        </is>
      </c>
      <c r="K496" s="14" t="inlineStr">
        <is>
          <t>CG-2026-0417-P10</t>
        </is>
      </c>
      <c r="L496" s="29" t="inlineStr">
        <is>
          <t>Banco do Brasil — C/C 12345-6</t>
        </is>
      </c>
      <c r="M496" s="14" t="inlineStr">
        <is>
          <t>Débito automático</t>
        </is>
      </c>
      <c r="N496" s="29" t="n"/>
      <c r="O496" s="13" t="n">
        <v>10</v>
      </c>
      <c r="P496" s="13" t="n">
        <v>24</v>
      </c>
      <c r="Q496" s="35" t="n">
        <v>599.53</v>
      </c>
      <c r="R496" s="35" t="n"/>
      <c r="S496" s="35" t="n"/>
      <c r="T496" s="35" t="n"/>
      <c r="U496" s="35" t="n"/>
      <c r="V496" s="18">
        <f>IF(COUNTA($B496:$R496)=0,"",ROUND(N($R496)+N($S496)+N($T496)-N($U496),2))</f>
        <v/>
      </c>
      <c r="W496" s="18">
        <f>IF(COUNTA($B496:$R496)=0,"",IF(OR($X496="Pago",$X496="Recebido",$X496="Cancelado"),0,ROUND(N($Q496)+N($S496)+N($T496)-N($U496)-N($R496),2)))</f>
        <v/>
      </c>
      <c r="X496" s="14" t="inlineStr">
        <is>
          <t>Previsto</t>
        </is>
      </c>
      <c r="Y496" s="17">
        <f>IF(COUNTA($B496:$R496)=0,"",IF($X496="Cancelado","Cancelado",IF(OR($X496="Pago",$X496="Recebido"),$X496,IF(OR($X496="Parcial",N($R496)&gt;0),"Parcial",IF($C496="","Sem vencimento",IF($C496&lt;TODAY(),"Vencido",IF($C496=TODAY(),"Vence hoje",IF($C496&lt;=TODAY()+7,"Vence em 7 dias",IF($C496&lt;=TODAY()+30,"Vence em 30 dias","Futuro")))))))))</f>
        <v/>
      </c>
      <c r="Z496" s="24">
        <f>IF($B496="","",MONTH($B496))</f>
        <v/>
      </c>
      <c r="AA496" s="24">
        <f>IF($B496="","",YEAR($B496))</f>
        <v/>
      </c>
      <c r="AB496" s="24">
        <f>IF($B496="","",ISOWEEKNUM($B496))</f>
        <v/>
      </c>
      <c r="AC496" s="17">
        <f>IF($B496="","",CHOOSE(WEEKDAY($B496,2),"Segunda","Terça","Quarta","Quinta","Sexta","Sábado","Domingo"))</f>
        <v/>
      </c>
      <c r="AD496" s="17">
        <f>IF($B496="","",TEXT($B496,"MM/AAAA"))</f>
        <v/>
      </c>
      <c r="AE496" s="18">
        <f>IF(COUNTA($B496:$R496)=0,"",IF($X496="Cancelado",0,ROUND(N($Q496)+N($S496)+N($T496)-N($U496),2)))</f>
        <v/>
      </c>
      <c r="AF496" s="9">
        <f>IF($G496="","",IFERROR(INDEX(LINHAS_DRE_PLANO,MATCH($G496,SUBCATEGORIAS_PLANO,0)),"Não classificado"))</f>
        <v/>
      </c>
      <c r="AG496" s="17">
        <f>IF($G496="","",IFERROR(INDEX(TIPOS_FLUXO_PLANO,MATCH($G496,SUBCATEGORIAS_PLANO,0)),"Não classificado"))</f>
        <v/>
      </c>
      <c r="AH496" s="9">
        <f>IF($G496="","",IFERROR(INDEX(GRUPOS_PLANO,MATCH($G496,SUBCATEGORIAS_PLANO,0)),"Não classificado"))</f>
        <v/>
      </c>
      <c r="AI496" s="24">
        <f>IF(OR($C496="",$X496="Pago",$X496="Recebido",$X496="Cancelado"),"",$C496-TODAY())</f>
        <v/>
      </c>
      <c r="AJ496" s="24">
        <f>IF(OR($C496="",$X496="Pago",$X496="Recebido",$X496="Cancelado"),0,MAX(0,TODAY()-$C496))</f>
        <v/>
      </c>
      <c r="AK496" s="24">
        <f>IF($D496="","",$D496-$B496)</f>
        <v/>
      </c>
      <c r="AL496" s="18">
        <f>IF(OR($D496="",$B496=""),"",ROUND(N($R496)*($D496-$B496),2))</f>
        <v/>
      </c>
      <c r="AM496" s="17">
        <f>IF(AND($E496="Saída",$W496&gt;0,$C496&lt;&gt;""),$C496+ROW()/1000000,"")</f>
        <v/>
      </c>
      <c r="AN496" s="17">
        <f>IF(AND($E496="Entrada",$W496&gt;0,$C496&lt;&gt;""),$C496+ROW()/1000000,"")</f>
        <v/>
      </c>
      <c r="AO496" s="9">
        <f>IF(COUNTA($B496:$R496)=0,"",IF(AND($I496&lt;&gt;"",COUNTIF(CLIENTES_NOMES,$I496)+COUNTIF(CLIENTES_FANTASIA,$I496)+COUNTIF(FORNECEDORES_NOMES,$I496)+COUNTIF(FORNECEDORES_FANTASIA,$I496)=0),"⚠ Cliente/Fornecedor não cadastrado",IF(AND($G496&lt;&gt;"",COUNTIF(SUBCATEGORIAS_PLANO,$G496)=0),"⚠ Subcategoria fora do plano de contas",IF(OR($Q496="",N($Q496)=0),"⚠ Valor previsto não informado",IF(AND(OR($X496="Pago",$X496="Recebido"),$D496=""),"⚠ Status pago/recebido sem data",IF(AND($D496&lt;&gt;"",N($R496)=0),"⚠ Data de pagamento sem valor realizado",IF(AND(N($P496)&gt;1,N($O496)&gt;N($P496)),"⚠ Nº da parcela maior que o total",IF(AND($C496&lt;&gt;"",$B496&lt;&gt;"",$C496&lt;$B496),"⚠ Vencimento anterior à competência","OK"))))))))</f>
        <v/>
      </c>
    </row>
    <row r="497">
      <c r="A497" s="14" t="inlineStr">
        <is>
          <t>L0492</t>
        </is>
      </c>
      <c r="B497" s="36" t="n">
        <v>46337</v>
      </c>
      <c r="C497" s="36" t="n">
        <v>46367</v>
      </c>
      <c r="D497" s="36" t="n"/>
      <c r="E497" s="14" t="inlineStr">
        <is>
          <t>Entrada</t>
        </is>
      </c>
      <c r="F497" s="29" t="inlineStr">
        <is>
          <t>Vendas</t>
        </is>
      </c>
      <c r="G497" s="29" t="inlineStr">
        <is>
          <t>Vendas de Produtos</t>
        </is>
      </c>
      <c r="H497" s="29" t="inlineStr">
        <is>
          <t>Comercial</t>
        </is>
      </c>
      <c r="I497" s="29" t="inlineStr">
        <is>
          <t>MERCADO BOA COMPRA LTDA</t>
        </is>
      </c>
      <c r="J497" s="29" t="inlineStr">
        <is>
          <t>Venda de mercadorias para revenda</t>
        </is>
      </c>
      <c r="K497" s="14" t="inlineStr">
        <is>
          <t>NF-e 2119</t>
        </is>
      </c>
      <c r="L497" s="29" t="inlineStr">
        <is>
          <t>Banco do Brasil — C/C 12345-6</t>
        </is>
      </c>
      <c r="M497" s="14" t="inlineStr">
        <is>
          <t>Boleto</t>
        </is>
      </c>
      <c r="N497" s="29" t="n"/>
      <c r="O497" s="13" t="n">
        <v>1</v>
      </c>
      <c r="P497" s="13" t="n">
        <v>1</v>
      </c>
      <c r="Q497" s="35" t="n">
        <v>43206.53</v>
      </c>
      <c r="R497" s="35" t="n"/>
      <c r="S497" s="35" t="n"/>
      <c r="T497" s="35" t="n"/>
      <c r="U497" s="35" t="n"/>
      <c r="V497" s="18">
        <f>IF(COUNTA($B497:$R497)=0,"",ROUND(N($R497)+N($S497)+N($T497)-N($U497),2))</f>
        <v/>
      </c>
      <c r="W497" s="18">
        <f>IF(COUNTA($B497:$R497)=0,"",IF(OR($X497="Pago",$X497="Recebido",$X497="Cancelado"),0,ROUND(N($Q497)+N($S497)+N($T497)-N($U497)-N($R497),2)))</f>
        <v/>
      </c>
      <c r="X497" s="14" t="inlineStr">
        <is>
          <t>Previsto</t>
        </is>
      </c>
      <c r="Y497" s="17">
        <f>IF(COUNTA($B497:$R497)=0,"",IF($X497="Cancelado","Cancelado",IF(OR($X497="Pago",$X497="Recebido"),$X497,IF(OR($X497="Parcial",N($R497)&gt;0),"Parcial",IF($C497="","Sem vencimento",IF($C497&lt;TODAY(),"Vencido",IF($C497=TODAY(),"Vence hoje",IF($C497&lt;=TODAY()+7,"Vence em 7 dias",IF($C497&lt;=TODAY()+30,"Vence em 30 dias","Futuro")))))))))</f>
        <v/>
      </c>
      <c r="Z497" s="24">
        <f>IF($B497="","",MONTH($B497))</f>
        <v/>
      </c>
      <c r="AA497" s="24">
        <f>IF($B497="","",YEAR($B497))</f>
        <v/>
      </c>
      <c r="AB497" s="24">
        <f>IF($B497="","",ISOWEEKNUM($B497))</f>
        <v/>
      </c>
      <c r="AC497" s="17">
        <f>IF($B497="","",CHOOSE(WEEKDAY($B497,2),"Segunda","Terça","Quarta","Quinta","Sexta","Sábado","Domingo"))</f>
        <v/>
      </c>
      <c r="AD497" s="17">
        <f>IF($B497="","",TEXT($B497,"MM/AAAA"))</f>
        <v/>
      </c>
      <c r="AE497" s="18">
        <f>IF(COUNTA($B497:$R497)=0,"",IF($X497="Cancelado",0,ROUND(N($Q497)+N($S497)+N($T497)-N($U497),2)))</f>
        <v/>
      </c>
      <c r="AF497" s="9">
        <f>IF($G497="","",IFERROR(INDEX(LINHAS_DRE_PLANO,MATCH($G497,SUBCATEGORIAS_PLANO,0)),"Não classificado"))</f>
        <v/>
      </c>
      <c r="AG497" s="17">
        <f>IF($G497="","",IFERROR(INDEX(TIPOS_FLUXO_PLANO,MATCH($G497,SUBCATEGORIAS_PLANO,0)),"Não classificado"))</f>
        <v/>
      </c>
      <c r="AH497" s="9">
        <f>IF($G497="","",IFERROR(INDEX(GRUPOS_PLANO,MATCH($G497,SUBCATEGORIAS_PLANO,0)),"Não classificado"))</f>
        <v/>
      </c>
      <c r="AI497" s="24">
        <f>IF(OR($C497="",$X497="Pago",$X497="Recebido",$X497="Cancelado"),"",$C497-TODAY())</f>
        <v/>
      </c>
      <c r="AJ497" s="24">
        <f>IF(OR($C497="",$X497="Pago",$X497="Recebido",$X497="Cancelado"),0,MAX(0,TODAY()-$C497))</f>
        <v/>
      </c>
      <c r="AK497" s="24">
        <f>IF($D497="","",$D497-$B497)</f>
        <v/>
      </c>
      <c r="AL497" s="18">
        <f>IF(OR($D497="",$B497=""),"",ROUND(N($R497)*($D497-$B497),2))</f>
        <v/>
      </c>
      <c r="AM497" s="17">
        <f>IF(AND($E497="Saída",$W497&gt;0,$C497&lt;&gt;""),$C497+ROW()/1000000,"")</f>
        <v/>
      </c>
      <c r="AN497" s="17">
        <f>IF(AND($E497="Entrada",$W497&gt;0,$C497&lt;&gt;""),$C497+ROW()/1000000,"")</f>
        <v/>
      </c>
      <c r="AO497" s="9">
        <f>IF(COUNTA($B497:$R497)=0,"",IF(AND($I497&lt;&gt;"",COUNTIF(CLIENTES_NOMES,$I497)+COUNTIF(CLIENTES_FANTASIA,$I497)+COUNTIF(FORNECEDORES_NOMES,$I497)+COUNTIF(FORNECEDORES_FANTASIA,$I497)=0),"⚠ Cliente/Fornecedor não cadastrado",IF(AND($G497&lt;&gt;"",COUNTIF(SUBCATEGORIAS_PLANO,$G497)=0),"⚠ Subcategoria fora do plano de contas",IF(OR($Q497="",N($Q497)=0),"⚠ Valor previsto não informado",IF(AND(OR($X497="Pago",$X497="Recebido"),$D497=""),"⚠ Status pago/recebido sem data",IF(AND($D497&lt;&gt;"",N($R497)=0),"⚠ Data de pagamento sem valor realizado",IF(AND(N($P497)&gt;1,N($O497)&gt;N($P497)),"⚠ Nº da parcela maior que o total",IF(AND($C497&lt;&gt;"",$B497&lt;&gt;"",$C497&lt;$B497),"⚠ Vencimento anterior à competência","OK"))))))))</f>
        <v/>
      </c>
    </row>
    <row r="498">
      <c r="A498" s="14" t="inlineStr">
        <is>
          <t>L0493</t>
        </is>
      </c>
      <c r="B498" s="36" t="n">
        <v>46337</v>
      </c>
      <c r="C498" s="36" t="n">
        <v>46337</v>
      </c>
      <c r="D498" s="36" t="n"/>
      <c r="E498" s="14" t="inlineStr">
        <is>
          <t>Entrada</t>
        </is>
      </c>
      <c r="F498" s="29" t="inlineStr">
        <is>
          <t>Vendas</t>
        </is>
      </c>
      <c r="G498" s="29" t="inlineStr">
        <is>
          <t>Vendas de Produtos</t>
        </is>
      </c>
      <c r="H498" s="29" t="inlineStr">
        <is>
          <t>Comercial</t>
        </is>
      </c>
      <c r="I498" s="29" t="inlineStr">
        <is>
          <t>PADARIA PÃO DOURADO ME</t>
        </is>
      </c>
      <c r="J498" s="29" t="inlineStr">
        <is>
          <t>Venda de mercadorias para revenda</t>
        </is>
      </c>
      <c r="K498" s="14" t="inlineStr">
        <is>
          <t>NF-e 2122</t>
        </is>
      </c>
      <c r="L498" s="29" t="inlineStr">
        <is>
          <t>Nubank PJ — C/C 9876543-2</t>
        </is>
      </c>
      <c r="M498" s="14" t="inlineStr">
        <is>
          <t>PIX</t>
        </is>
      </c>
      <c r="N498" s="29" t="n"/>
      <c r="O498" s="13" t="n">
        <v>1</v>
      </c>
      <c r="P498" s="13" t="n">
        <v>1</v>
      </c>
      <c r="Q498" s="35" t="n">
        <v>27247.72</v>
      </c>
      <c r="R498" s="35" t="n"/>
      <c r="S498" s="35" t="n"/>
      <c r="T498" s="35" t="n"/>
      <c r="U498" s="35" t="n"/>
      <c r="V498" s="18">
        <f>IF(COUNTA($B498:$R498)=0,"",ROUND(N($R498)+N($S498)+N($T498)-N($U498),2))</f>
        <v/>
      </c>
      <c r="W498" s="18">
        <f>IF(COUNTA($B498:$R498)=0,"",IF(OR($X498="Pago",$X498="Recebido",$X498="Cancelado"),0,ROUND(N($Q498)+N($S498)+N($T498)-N($U498)-N($R498),2)))</f>
        <v/>
      </c>
      <c r="X498" s="14" t="inlineStr">
        <is>
          <t>Previsto</t>
        </is>
      </c>
      <c r="Y498" s="17">
        <f>IF(COUNTA($B498:$R498)=0,"",IF($X498="Cancelado","Cancelado",IF(OR($X498="Pago",$X498="Recebido"),$X498,IF(OR($X498="Parcial",N($R498)&gt;0),"Parcial",IF($C498="","Sem vencimento",IF($C498&lt;TODAY(),"Vencido",IF($C498=TODAY(),"Vence hoje",IF($C498&lt;=TODAY()+7,"Vence em 7 dias",IF($C498&lt;=TODAY()+30,"Vence em 30 dias","Futuro")))))))))</f>
        <v/>
      </c>
      <c r="Z498" s="24">
        <f>IF($B498="","",MONTH($B498))</f>
        <v/>
      </c>
      <c r="AA498" s="24">
        <f>IF($B498="","",YEAR($B498))</f>
        <v/>
      </c>
      <c r="AB498" s="24">
        <f>IF($B498="","",ISOWEEKNUM($B498))</f>
        <v/>
      </c>
      <c r="AC498" s="17">
        <f>IF($B498="","",CHOOSE(WEEKDAY($B498,2),"Segunda","Terça","Quarta","Quinta","Sexta","Sábado","Domingo"))</f>
        <v/>
      </c>
      <c r="AD498" s="17">
        <f>IF($B498="","",TEXT($B498,"MM/AAAA"))</f>
        <v/>
      </c>
      <c r="AE498" s="18">
        <f>IF(COUNTA($B498:$R498)=0,"",IF($X498="Cancelado",0,ROUND(N($Q498)+N($S498)+N($T498)-N($U498),2)))</f>
        <v/>
      </c>
      <c r="AF498" s="9">
        <f>IF($G498="","",IFERROR(INDEX(LINHAS_DRE_PLANO,MATCH($G498,SUBCATEGORIAS_PLANO,0)),"Não classificado"))</f>
        <v/>
      </c>
      <c r="AG498" s="17">
        <f>IF($G498="","",IFERROR(INDEX(TIPOS_FLUXO_PLANO,MATCH($G498,SUBCATEGORIAS_PLANO,0)),"Não classificado"))</f>
        <v/>
      </c>
      <c r="AH498" s="9">
        <f>IF($G498="","",IFERROR(INDEX(GRUPOS_PLANO,MATCH($G498,SUBCATEGORIAS_PLANO,0)),"Não classificado"))</f>
        <v/>
      </c>
      <c r="AI498" s="24">
        <f>IF(OR($C498="",$X498="Pago",$X498="Recebido",$X498="Cancelado"),"",$C498-TODAY())</f>
        <v/>
      </c>
      <c r="AJ498" s="24">
        <f>IF(OR($C498="",$X498="Pago",$X498="Recebido",$X498="Cancelado"),0,MAX(0,TODAY()-$C498))</f>
        <v/>
      </c>
      <c r="AK498" s="24">
        <f>IF($D498="","",$D498-$B498)</f>
        <v/>
      </c>
      <c r="AL498" s="18">
        <f>IF(OR($D498="",$B498=""),"",ROUND(N($R498)*($D498-$B498),2))</f>
        <v/>
      </c>
      <c r="AM498" s="17">
        <f>IF(AND($E498="Saída",$W498&gt;0,$C498&lt;&gt;""),$C498+ROW()/1000000,"")</f>
        <v/>
      </c>
      <c r="AN498" s="17">
        <f>IF(AND($E498="Entrada",$W498&gt;0,$C498&lt;&gt;""),$C498+ROW()/1000000,"")</f>
        <v/>
      </c>
      <c r="AO498" s="9">
        <f>IF(COUNTA($B498:$R498)=0,"",IF(AND($I498&lt;&gt;"",COUNTIF(CLIENTES_NOMES,$I498)+COUNTIF(CLIENTES_FANTASIA,$I498)+COUNTIF(FORNECEDORES_NOMES,$I498)+COUNTIF(FORNECEDORES_FANTASIA,$I498)=0),"⚠ Cliente/Fornecedor não cadastrado",IF(AND($G498&lt;&gt;"",COUNTIF(SUBCATEGORIAS_PLANO,$G498)=0),"⚠ Subcategoria fora do plano de contas",IF(OR($Q498="",N($Q498)=0),"⚠ Valor previsto não informado",IF(AND(OR($X498="Pago",$X498="Recebido"),$D498=""),"⚠ Status pago/recebido sem data",IF(AND($D498&lt;&gt;"",N($R498)=0),"⚠ Data de pagamento sem valor realizado",IF(AND(N($P498)&gt;1,N($O498)&gt;N($P498)),"⚠ Nº da parcela maior que o total",IF(AND($C498&lt;&gt;"",$B498&lt;&gt;"",$C498&lt;$B498),"⚠ Vencimento anterior à competência","OK"))))))))</f>
        <v/>
      </c>
    </row>
    <row r="499">
      <c r="A499" s="14" t="inlineStr">
        <is>
          <t>L0494</t>
        </is>
      </c>
      <c r="B499" s="36" t="n">
        <v>46337</v>
      </c>
      <c r="C499" s="36" t="n">
        <v>46352</v>
      </c>
      <c r="D499" s="36" t="n"/>
      <c r="E499" s="14" t="inlineStr">
        <is>
          <t>Entrada</t>
        </is>
      </c>
      <c r="F499" s="29" t="inlineStr">
        <is>
          <t>Vendas</t>
        </is>
      </c>
      <c r="G499" s="29" t="inlineStr">
        <is>
          <t>Vendas de Produtos</t>
        </is>
      </c>
      <c r="H499" s="29" t="inlineStr">
        <is>
          <t>Comercial</t>
        </is>
      </c>
      <c r="I499" s="29" t="inlineStr">
        <is>
          <t>RESTAURANTE SABOR CASEIRO LTDA</t>
        </is>
      </c>
      <c r="J499" s="29" t="inlineStr">
        <is>
          <t>Venda de mercadorias para revenda</t>
        </is>
      </c>
      <c r="K499" s="14" t="inlineStr">
        <is>
          <t>NF-e 2123</t>
        </is>
      </c>
      <c r="L499" s="29" t="inlineStr">
        <is>
          <t>Itaú Unibanco — C/C 45678-9</t>
        </is>
      </c>
      <c r="M499" s="14" t="inlineStr">
        <is>
          <t>Boleto</t>
        </is>
      </c>
      <c r="N499" s="29" t="n"/>
      <c r="O499" s="13" t="n">
        <v>1</v>
      </c>
      <c r="P499" s="13" t="n">
        <v>1</v>
      </c>
      <c r="Q499" s="35" t="n">
        <v>21385.26</v>
      </c>
      <c r="R499" s="35" t="n"/>
      <c r="S499" s="35" t="n"/>
      <c r="T499" s="35" t="n"/>
      <c r="U499" s="35" t="n"/>
      <c r="V499" s="18">
        <f>IF(COUNTA($B499:$R499)=0,"",ROUND(N($R499)+N($S499)+N($T499)-N($U499),2))</f>
        <v/>
      </c>
      <c r="W499" s="18">
        <f>IF(COUNTA($B499:$R499)=0,"",IF(OR($X499="Pago",$X499="Recebido",$X499="Cancelado"),0,ROUND(N($Q499)+N($S499)+N($T499)-N($U499)-N($R499),2)))</f>
        <v/>
      </c>
      <c r="X499" s="14" t="inlineStr">
        <is>
          <t>Previsto</t>
        </is>
      </c>
      <c r="Y499" s="17">
        <f>IF(COUNTA($B499:$R499)=0,"",IF($X499="Cancelado","Cancelado",IF(OR($X499="Pago",$X499="Recebido"),$X499,IF(OR($X499="Parcial",N($R499)&gt;0),"Parcial",IF($C499="","Sem vencimento",IF($C499&lt;TODAY(),"Vencido",IF($C499=TODAY(),"Vence hoje",IF($C499&lt;=TODAY()+7,"Vence em 7 dias",IF($C499&lt;=TODAY()+30,"Vence em 30 dias","Futuro")))))))))</f>
        <v/>
      </c>
      <c r="Z499" s="24">
        <f>IF($B499="","",MONTH($B499))</f>
        <v/>
      </c>
      <c r="AA499" s="24">
        <f>IF($B499="","",YEAR($B499))</f>
        <v/>
      </c>
      <c r="AB499" s="24">
        <f>IF($B499="","",ISOWEEKNUM($B499))</f>
        <v/>
      </c>
      <c r="AC499" s="17">
        <f>IF($B499="","",CHOOSE(WEEKDAY($B499,2),"Segunda","Terça","Quarta","Quinta","Sexta","Sábado","Domingo"))</f>
        <v/>
      </c>
      <c r="AD499" s="17">
        <f>IF($B499="","",TEXT($B499,"MM/AAAA"))</f>
        <v/>
      </c>
      <c r="AE499" s="18">
        <f>IF(COUNTA($B499:$R499)=0,"",IF($X499="Cancelado",0,ROUND(N($Q499)+N($S499)+N($T499)-N($U499),2)))</f>
        <v/>
      </c>
      <c r="AF499" s="9">
        <f>IF($G499="","",IFERROR(INDEX(LINHAS_DRE_PLANO,MATCH($G499,SUBCATEGORIAS_PLANO,0)),"Não classificado"))</f>
        <v/>
      </c>
      <c r="AG499" s="17">
        <f>IF($G499="","",IFERROR(INDEX(TIPOS_FLUXO_PLANO,MATCH($G499,SUBCATEGORIAS_PLANO,0)),"Não classificado"))</f>
        <v/>
      </c>
      <c r="AH499" s="9">
        <f>IF($G499="","",IFERROR(INDEX(GRUPOS_PLANO,MATCH($G499,SUBCATEGORIAS_PLANO,0)),"Não classificado"))</f>
        <v/>
      </c>
      <c r="AI499" s="24">
        <f>IF(OR($C499="",$X499="Pago",$X499="Recebido",$X499="Cancelado"),"",$C499-TODAY())</f>
        <v/>
      </c>
      <c r="AJ499" s="24">
        <f>IF(OR($C499="",$X499="Pago",$X499="Recebido",$X499="Cancelado"),0,MAX(0,TODAY()-$C499))</f>
        <v/>
      </c>
      <c r="AK499" s="24">
        <f>IF($D499="","",$D499-$B499)</f>
        <v/>
      </c>
      <c r="AL499" s="18">
        <f>IF(OR($D499="",$B499=""),"",ROUND(N($R499)*($D499-$B499),2))</f>
        <v/>
      </c>
      <c r="AM499" s="17">
        <f>IF(AND($E499="Saída",$W499&gt;0,$C499&lt;&gt;""),$C499+ROW()/1000000,"")</f>
        <v/>
      </c>
      <c r="AN499" s="17">
        <f>IF(AND($E499="Entrada",$W499&gt;0,$C499&lt;&gt;""),$C499+ROW()/1000000,"")</f>
        <v/>
      </c>
      <c r="AO499" s="9">
        <f>IF(COUNTA($B499:$R499)=0,"",IF(AND($I499&lt;&gt;"",COUNTIF(CLIENTES_NOMES,$I499)+COUNTIF(CLIENTES_FANTASIA,$I499)+COUNTIF(FORNECEDORES_NOMES,$I499)+COUNTIF(FORNECEDORES_FANTASIA,$I499)=0),"⚠ Cliente/Fornecedor não cadastrado",IF(AND($G499&lt;&gt;"",COUNTIF(SUBCATEGORIAS_PLANO,$G499)=0),"⚠ Subcategoria fora do plano de contas",IF(OR($Q499="",N($Q499)=0),"⚠ Valor previsto não informado",IF(AND(OR($X499="Pago",$X499="Recebido"),$D499=""),"⚠ Status pago/recebido sem data",IF(AND($D499&lt;&gt;"",N($R499)=0),"⚠ Data de pagamento sem valor realizado",IF(AND(N($P499)&gt;1,N($O499)&gt;N($P499)),"⚠ Nº da parcela maior que o total",IF(AND($C499&lt;&gt;"",$B499&lt;&gt;"",$C499&lt;$B499),"⚠ Vencimento anterior à competência","OK"))))))))</f>
        <v/>
      </c>
    </row>
    <row r="500">
      <c r="A500" s="14" t="inlineStr">
        <is>
          <t>L0495</t>
        </is>
      </c>
      <c r="B500" s="36" t="n">
        <v>46337</v>
      </c>
      <c r="C500" s="36" t="n">
        <v>46367</v>
      </c>
      <c r="D500" s="36" t="n"/>
      <c r="E500" s="14" t="inlineStr">
        <is>
          <t>Entrada</t>
        </is>
      </c>
      <c r="F500" s="29" t="inlineStr">
        <is>
          <t>Vendas</t>
        </is>
      </c>
      <c r="G500" s="29" t="inlineStr">
        <is>
          <t>Vendas de Produtos</t>
        </is>
      </c>
      <c r="H500" s="29" t="inlineStr">
        <is>
          <t>Comercial</t>
        </is>
      </c>
      <c r="I500" s="29" t="inlineStr">
        <is>
          <t>HOTEL VISTA ALEGRE LTDA</t>
        </is>
      </c>
      <c r="J500" s="29" t="inlineStr">
        <is>
          <t>Venda de mercadorias para revenda</t>
        </is>
      </c>
      <c r="K500" s="14" t="inlineStr">
        <is>
          <t>NF-e 2126</t>
        </is>
      </c>
      <c r="L500" s="29" t="inlineStr">
        <is>
          <t>Itaú Unibanco — C/C 45678-9</t>
        </is>
      </c>
      <c r="M500" s="14" t="inlineStr">
        <is>
          <t>Boleto</t>
        </is>
      </c>
      <c r="N500" s="29" t="n"/>
      <c r="O500" s="13" t="n">
        <v>1</v>
      </c>
      <c r="P500" s="13" t="n">
        <v>1</v>
      </c>
      <c r="Q500" s="35" t="n">
        <v>40922.36</v>
      </c>
      <c r="R500" s="35" t="n"/>
      <c r="S500" s="35" t="n"/>
      <c r="T500" s="35" t="n"/>
      <c r="U500" s="35" t="n"/>
      <c r="V500" s="18">
        <f>IF(COUNTA($B500:$R500)=0,"",ROUND(N($R500)+N($S500)+N($T500)-N($U500),2))</f>
        <v/>
      </c>
      <c r="W500" s="18">
        <f>IF(COUNTA($B500:$R500)=0,"",IF(OR($X500="Pago",$X500="Recebido",$X500="Cancelado"),0,ROUND(N($Q500)+N($S500)+N($T500)-N($U500)-N($R500),2)))</f>
        <v/>
      </c>
      <c r="X500" s="14" t="inlineStr">
        <is>
          <t>Previsto</t>
        </is>
      </c>
      <c r="Y500" s="17">
        <f>IF(COUNTA($B500:$R500)=0,"",IF($X500="Cancelado","Cancelado",IF(OR($X500="Pago",$X500="Recebido"),$X500,IF(OR($X500="Parcial",N($R500)&gt;0),"Parcial",IF($C500="","Sem vencimento",IF($C500&lt;TODAY(),"Vencido",IF($C500=TODAY(),"Vence hoje",IF($C500&lt;=TODAY()+7,"Vence em 7 dias",IF($C500&lt;=TODAY()+30,"Vence em 30 dias","Futuro")))))))))</f>
        <v/>
      </c>
      <c r="Z500" s="24">
        <f>IF($B500="","",MONTH($B500))</f>
        <v/>
      </c>
      <c r="AA500" s="24">
        <f>IF($B500="","",YEAR($B500))</f>
        <v/>
      </c>
      <c r="AB500" s="24">
        <f>IF($B500="","",ISOWEEKNUM($B500))</f>
        <v/>
      </c>
      <c r="AC500" s="17">
        <f>IF($B500="","",CHOOSE(WEEKDAY($B500,2),"Segunda","Terça","Quarta","Quinta","Sexta","Sábado","Domingo"))</f>
        <v/>
      </c>
      <c r="AD500" s="17">
        <f>IF($B500="","",TEXT($B500,"MM/AAAA"))</f>
        <v/>
      </c>
      <c r="AE500" s="18">
        <f>IF(COUNTA($B500:$R500)=0,"",IF($X500="Cancelado",0,ROUND(N($Q500)+N($S500)+N($T500)-N($U500),2)))</f>
        <v/>
      </c>
      <c r="AF500" s="9">
        <f>IF($G500="","",IFERROR(INDEX(LINHAS_DRE_PLANO,MATCH($G500,SUBCATEGORIAS_PLANO,0)),"Não classificado"))</f>
        <v/>
      </c>
      <c r="AG500" s="17">
        <f>IF($G500="","",IFERROR(INDEX(TIPOS_FLUXO_PLANO,MATCH($G500,SUBCATEGORIAS_PLANO,0)),"Não classificado"))</f>
        <v/>
      </c>
      <c r="AH500" s="9">
        <f>IF($G500="","",IFERROR(INDEX(GRUPOS_PLANO,MATCH($G500,SUBCATEGORIAS_PLANO,0)),"Não classificado"))</f>
        <v/>
      </c>
      <c r="AI500" s="24">
        <f>IF(OR($C500="",$X500="Pago",$X500="Recebido",$X500="Cancelado"),"",$C500-TODAY())</f>
        <v/>
      </c>
      <c r="AJ500" s="24">
        <f>IF(OR($C500="",$X500="Pago",$X500="Recebido",$X500="Cancelado"),0,MAX(0,TODAY()-$C500))</f>
        <v/>
      </c>
      <c r="AK500" s="24">
        <f>IF($D500="","",$D500-$B500)</f>
        <v/>
      </c>
      <c r="AL500" s="18">
        <f>IF(OR($D500="",$B500=""),"",ROUND(N($R500)*($D500-$B500),2))</f>
        <v/>
      </c>
      <c r="AM500" s="17">
        <f>IF(AND($E500="Saída",$W500&gt;0,$C500&lt;&gt;""),$C500+ROW()/1000000,"")</f>
        <v/>
      </c>
      <c r="AN500" s="17">
        <f>IF(AND($E500="Entrada",$W500&gt;0,$C500&lt;&gt;""),$C500+ROW()/1000000,"")</f>
        <v/>
      </c>
      <c r="AO500" s="9">
        <f>IF(COUNTA($B500:$R500)=0,"",IF(AND($I500&lt;&gt;"",COUNTIF(CLIENTES_NOMES,$I500)+COUNTIF(CLIENTES_FANTASIA,$I500)+COUNTIF(FORNECEDORES_NOMES,$I500)+COUNTIF(FORNECEDORES_FANTASIA,$I500)=0),"⚠ Cliente/Fornecedor não cadastrado",IF(AND($G500&lt;&gt;"",COUNTIF(SUBCATEGORIAS_PLANO,$G500)=0),"⚠ Subcategoria fora do plano de contas",IF(OR($Q500="",N($Q500)=0),"⚠ Valor previsto não informado",IF(AND(OR($X500="Pago",$X500="Recebido"),$D500=""),"⚠ Status pago/recebido sem data",IF(AND($D500&lt;&gt;"",N($R500)=0),"⚠ Data de pagamento sem valor realizado",IF(AND(N($P500)&gt;1,N($O500)&gt;N($P500)),"⚠ Nº da parcela maior que o total",IF(AND($C500&lt;&gt;"",$B500&lt;&gt;"",$C500&lt;$B500),"⚠ Vencimento anterior à competência","OK"))))))))</f>
        <v/>
      </c>
    </row>
    <row r="501">
      <c r="A501" s="14" t="inlineStr">
        <is>
          <t>L0496</t>
        </is>
      </c>
      <c r="B501" s="36" t="n">
        <v>46337</v>
      </c>
      <c r="C501" s="36" t="n">
        <v>46358</v>
      </c>
      <c r="D501" s="36" t="n"/>
      <c r="E501" s="14" t="inlineStr">
        <is>
          <t>Entrada</t>
        </is>
      </c>
      <c r="F501" s="29" t="inlineStr">
        <is>
          <t>Vendas</t>
        </is>
      </c>
      <c r="G501" s="29" t="inlineStr">
        <is>
          <t>Vendas de Produtos</t>
        </is>
      </c>
      <c r="H501" s="29" t="inlineStr">
        <is>
          <t>Comercial</t>
        </is>
      </c>
      <c r="I501" s="29" t="inlineStr">
        <is>
          <t>EMPÓRIO NATURAL COMÉRCIO LTDA</t>
        </is>
      </c>
      <c r="J501" s="29" t="inlineStr">
        <is>
          <t>Venda de mercadorias para revenda</t>
        </is>
      </c>
      <c r="K501" s="14" t="inlineStr">
        <is>
          <t>NF-e 2127</t>
        </is>
      </c>
      <c r="L501" s="29" t="inlineStr">
        <is>
          <t>Itaú Unibanco — C/C 45678-9</t>
        </is>
      </c>
      <c r="M501" s="14" t="inlineStr">
        <is>
          <t>Boleto</t>
        </is>
      </c>
      <c r="N501" s="29" t="n"/>
      <c r="O501" s="13" t="n">
        <v>1</v>
      </c>
      <c r="P501" s="13" t="n">
        <v>1</v>
      </c>
      <c r="Q501" s="35" t="n">
        <v>29070.92</v>
      </c>
      <c r="R501" s="35" t="n"/>
      <c r="S501" s="35" t="n"/>
      <c r="T501" s="35" t="n"/>
      <c r="U501" s="35" t="n"/>
      <c r="V501" s="18">
        <f>IF(COUNTA($B501:$R501)=0,"",ROUND(N($R501)+N($S501)+N($T501)-N($U501),2))</f>
        <v/>
      </c>
      <c r="W501" s="18">
        <f>IF(COUNTA($B501:$R501)=0,"",IF(OR($X501="Pago",$X501="Recebido",$X501="Cancelado"),0,ROUND(N($Q501)+N($S501)+N($T501)-N($U501)-N($R501),2)))</f>
        <v/>
      </c>
      <c r="X501" s="14" t="inlineStr">
        <is>
          <t>Previsto</t>
        </is>
      </c>
      <c r="Y501" s="17">
        <f>IF(COUNTA($B501:$R501)=0,"",IF($X501="Cancelado","Cancelado",IF(OR($X501="Pago",$X501="Recebido"),$X501,IF(OR($X501="Parcial",N($R501)&gt;0),"Parcial",IF($C501="","Sem vencimento",IF($C501&lt;TODAY(),"Vencido",IF($C501=TODAY(),"Vence hoje",IF($C501&lt;=TODAY()+7,"Vence em 7 dias",IF($C501&lt;=TODAY()+30,"Vence em 30 dias","Futuro")))))))))</f>
        <v/>
      </c>
      <c r="Z501" s="24">
        <f>IF($B501="","",MONTH($B501))</f>
        <v/>
      </c>
      <c r="AA501" s="24">
        <f>IF($B501="","",YEAR($B501))</f>
        <v/>
      </c>
      <c r="AB501" s="24">
        <f>IF($B501="","",ISOWEEKNUM($B501))</f>
        <v/>
      </c>
      <c r="AC501" s="17">
        <f>IF($B501="","",CHOOSE(WEEKDAY($B501,2),"Segunda","Terça","Quarta","Quinta","Sexta","Sábado","Domingo"))</f>
        <v/>
      </c>
      <c r="AD501" s="17">
        <f>IF($B501="","",TEXT($B501,"MM/AAAA"))</f>
        <v/>
      </c>
      <c r="AE501" s="18">
        <f>IF(COUNTA($B501:$R501)=0,"",IF($X501="Cancelado",0,ROUND(N($Q501)+N($S501)+N($T501)-N($U501),2)))</f>
        <v/>
      </c>
      <c r="AF501" s="9">
        <f>IF($G501="","",IFERROR(INDEX(LINHAS_DRE_PLANO,MATCH($G501,SUBCATEGORIAS_PLANO,0)),"Não classificado"))</f>
        <v/>
      </c>
      <c r="AG501" s="17">
        <f>IF($G501="","",IFERROR(INDEX(TIPOS_FLUXO_PLANO,MATCH($G501,SUBCATEGORIAS_PLANO,0)),"Não classificado"))</f>
        <v/>
      </c>
      <c r="AH501" s="9">
        <f>IF($G501="","",IFERROR(INDEX(GRUPOS_PLANO,MATCH($G501,SUBCATEGORIAS_PLANO,0)),"Não classificado"))</f>
        <v/>
      </c>
      <c r="AI501" s="24">
        <f>IF(OR($C501="",$X501="Pago",$X501="Recebido",$X501="Cancelado"),"",$C501-TODAY())</f>
        <v/>
      </c>
      <c r="AJ501" s="24">
        <f>IF(OR($C501="",$X501="Pago",$X501="Recebido",$X501="Cancelado"),0,MAX(0,TODAY()-$C501))</f>
        <v/>
      </c>
      <c r="AK501" s="24">
        <f>IF($D501="","",$D501-$B501)</f>
        <v/>
      </c>
      <c r="AL501" s="18">
        <f>IF(OR($D501="",$B501=""),"",ROUND(N($R501)*($D501-$B501),2))</f>
        <v/>
      </c>
      <c r="AM501" s="17">
        <f>IF(AND($E501="Saída",$W501&gt;0,$C501&lt;&gt;""),$C501+ROW()/1000000,"")</f>
        <v/>
      </c>
      <c r="AN501" s="17">
        <f>IF(AND($E501="Entrada",$W501&gt;0,$C501&lt;&gt;""),$C501+ROW()/1000000,"")</f>
        <v/>
      </c>
      <c r="AO501" s="9">
        <f>IF(COUNTA($B501:$R501)=0,"",IF(AND($I501&lt;&gt;"",COUNTIF(CLIENTES_NOMES,$I501)+COUNTIF(CLIENTES_FANTASIA,$I501)+COUNTIF(FORNECEDORES_NOMES,$I501)+COUNTIF(FORNECEDORES_FANTASIA,$I501)=0),"⚠ Cliente/Fornecedor não cadastrado",IF(AND($G501&lt;&gt;"",COUNTIF(SUBCATEGORIAS_PLANO,$G501)=0),"⚠ Subcategoria fora do plano de contas",IF(OR($Q501="",N($Q501)=0),"⚠ Valor previsto não informado",IF(AND(OR($X501="Pago",$X501="Recebido"),$D501=""),"⚠ Status pago/recebido sem data",IF(AND($D501&lt;&gt;"",N($R501)=0),"⚠ Data de pagamento sem valor realizado",IF(AND(N($P501)&gt;1,N($O501)&gt;N($P501)),"⚠ Nº da parcela maior que o total",IF(AND($C501&lt;&gt;"",$B501&lt;&gt;"",$C501&lt;$B501),"⚠ Vencimento anterior à competência","OK"))))))))</f>
        <v/>
      </c>
    </row>
    <row r="502">
      <c r="A502" s="14" t="inlineStr">
        <is>
          <t>L0497</t>
        </is>
      </c>
      <c r="B502" s="36" t="n">
        <v>46338</v>
      </c>
      <c r="C502" s="36" t="n">
        <v>46353</v>
      </c>
      <c r="D502" s="36" t="n"/>
      <c r="E502" s="14" t="inlineStr">
        <is>
          <t>Saída</t>
        </is>
      </c>
      <c r="F502" s="29" t="inlineStr">
        <is>
          <t>Custos Variáveis</t>
        </is>
      </c>
      <c r="G502" s="29" t="inlineStr">
        <is>
          <t>Embalagens</t>
        </is>
      </c>
      <c r="H502" s="29" t="inlineStr">
        <is>
          <t>Logística</t>
        </is>
      </c>
      <c r="I502" s="29" t="inlineStr">
        <is>
          <t>EMBALAGENS PAULISTA LTDA</t>
        </is>
      </c>
      <c r="J502" s="29" t="inlineStr">
        <is>
          <t>Compra de embalagens e etiquetas</t>
        </is>
      </c>
      <c r="K502" s="14" t="inlineStr">
        <is>
          <t>DOC 7250</t>
        </is>
      </c>
      <c r="L502" s="29" t="inlineStr">
        <is>
          <t>Banco do Brasil — C/C 12345-6</t>
        </is>
      </c>
      <c r="M502" s="14" t="inlineStr">
        <is>
          <t>Boleto</t>
        </is>
      </c>
      <c r="N502" s="29" t="n"/>
      <c r="O502" s="13" t="n">
        <v>1</v>
      </c>
      <c r="P502" s="13" t="n">
        <v>1</v>
      </c>
      <c r="Q502" s="35" t="n">
        <v>2819.48</v>
      </c>
      <c r="R502" s="35" t="n"/>
      <c r="S502" s="35" t="n"/>
      <c r="T502" s="35" t="n"/>
      <c r="U502" s="35" t="n"/>
      <c r="V502" s="18">
        <f>IF(COUNTA($B502:$R502)=0,"",ROUND(N($R502)+N($S502)+N($T502)-N($U502),2))</f>
        <v/>
      </c>
      <c r="W502" s="18">
        <f>IF(COUNTA($B502:$R502)=0,"",IF(OR($X502="Pago",$X502="Recebido",$X502="Cancelado"),0,ROUND(N($Q502)+N($S502)+N($T502)-N($U502)-N($R502),2)))</f>
        <v/>
      </c>
      <c r="X502" s="14" t="inlineStr">
        <is>
          <t>Previsto</t>
        </is>
      </c>
      <c r="Y502" s="17">
        <f>IF(COUNTA($B502:$R502)=0,"",IF($X502="Cancelado","Cancelado",IF(OR($X502="Pago",$X502="Recebido"),$X502,IF(OR($X502="Parcial",N($R502)&gt;0),"Parcial",IF($C502="","Sem vencimento",IF($C502&lt;TODAY(),"Vencido",IF($C502=TODAY(),"Vence hoje",IF($C502&lt;=TODAY()+7,"Vence em 7 dias",IF($C502&lt;=TODAY()+30,"Vence em 30 dias","Futuro")))))))))</f>
        <v/>
      </c>
      <c r="Z502" s="24">
        <f>IF($B502="","",MONTH($B502))</f>
        <v/>
      </c>
      <c r="AA502" s="24">
        <f>IF($B502="","",YEAR($B502))</f>
        <v/>
      </c>
      <c r="AB502" s="24">
        <f>IF($B502="","",ISOWEEKNUM($B502))</f>
        <v/>
      </c>
      <c r="AC502" s="17">
        <f>IF($B502="","",CHOOSE(WEEKDAY($B502,2),"Segunda","Terça","Quarta","Quinta","Sexta","Sábado","Domingo"))</f>
        <v/>
      </c>
      <c r="AD502" s="17">
        <f>IF($B502="","",TEXT($B502,"MM/AAAA"))</f>
        <v/>
      </c>
      <c r="AE502" s="18">
        <f>IF(COUNTA($B502:$R502)=0,"",IF($X502="Cancelado",0,ROUND(N($Q502)+N($S502)+N($T502)-N($U502),2)))</f>
        <v/>
      </c>
      <c r="AF502" s="9">
        <f>IF($G502="","",IFERROR(INDEX(LINHAS_DRE_PLANO,MATCH($G502,SUBCATEGORIAS_PLANO,0)),"Não classificado"))</f>
        <v/>
      </c>
      <c r="AG502" s="17">
        <f>IF($G502="","",IFERROR(INDEX(TIPOS_FLUXO_PLANO,MATCH($G502,SUBCATEGORIAS_PLANO,0)),"Não classificado"))</f>
        <v/>
      </c>
      <c r="AH502" s="9">
        <f>IF($G502="","",IFERROR(INDEX(GRUPOS_PLANO,MATCH($G502,SUBCATEGORIAS_PLANO,0)),"Não classificado"))</f>
        <v/>
      </c>
      <c r="AI502" s="24">
        <f>IF(OR($C502="",$X502="Pago",$X502="Recebido",$X502="Cancelado"),"",$C502-TODAY())</f>
        <v/>
      </c>
      <c r="AJ502" s="24">
        <f>IF(OR($C502="",$X502="Pago",$X502="Recebido",$X502="Cancelado"),0,MAX(0,TODAY()-$C502))</f>
        <v/>
      </c>
      <c r="AK502" s="24">
        <f>IF($D502="","",$D502-$B502)</f>
        <v/>
      </c>
      <c r="AL502" s="18">
        <f>IF(OR($D502="",$B502=""),"",ROUND(N($R502)*($D502-$B502),2))</f>
        <v/>
      </c>
      <c r="AM502" s="17">
        <f>IF(AND($E502="Saída",$W502&gt;0,$C502&lt;&gt;""),$C502+ROW()/1000000,"")</f>
        <v/>
      </c>
      <c r="AN502" s="17">
        <f>IF(AND($E502="Entrada",$W502&gt;0,$C502&lt;&gt;""),$C502+ROW()/1000000,"")</f>
        <v/>
      </c>
      <c r="AO502" s="9">
        <f>IF(COUNTA($B502:$R502)=0,"",IF(AND($I502&lt;&gt;"",COUNTIF(CLIENTES_NOMES,$I502)+COUNTIF(CLIENTES_FANTASIA,$I502)+COUNTIF(FORNECEDORES_NOMES,$I502)+COUNTIF(FORNECEDORES_FANTASIA,$I502)=0),"⚠ Cliente/Fornecedor não cadastrado",IF(AND($G502&lt;&gt;"",COUNTIF(SUBCATEGORIAS_PLANO,$G502)=0),"⚠ Subcategoria fora do plano de contas",IF(OR($Q502="",N($Q502)=0),"⚠ Valor previsto não informado",IF(AND(OR($X502="Pago",$X502="Recebido"),$D502=""),"⚠ Status pago/recebido sem data",IF(AND($D502&lt;&gt;"",N($R502)=0),"⚠ Data de pagamento sem valor realizado",IF(AND(N($P502)&gt;1,N($O502)&gt;N($P502)),"⚠ Nº da parcela maior que o total",IF(AND($C502&lt;&gt;"",$B502&lt;&gt;"",$C502&lt;$B502),"⚠ Vencimento anterior à competência","OK"))))))))</f>
        <v/>
      </c>
    </row>
    <row r="503">
      <c r="A503" s="14" t="inlineStr">
        <is>
          <t>L0498</t>
        </is>
      </c>
      <c r="B503" s="36" t="n">
        <v>46338</v>
      </c>
      <c r="C503" s="36" t="n">
        <v>46348</v>
      </c>
      <c r="D503" s="36" t="n"/>
      <c r="E503" s="14" t="inlineStr">
        <is>
          <t>Saída</t>
        </is>
      </c>
      <c r="F503" s="29" t="inlineStr">
        <is>
          <t>Despesas Administrativas</t>
        </is>
      </c>
      <c r="G503" s="29" t="inlineStr">
        <is>
          <t>Energia Elétrica</t>
        </is>
      </c>
      <c r="H503" s="29" t="inlineStr">
        <is>
          <t>Administrativo</t>
        </is>
      </c>
      <c r="I503" s="29" t="inlineStr">
        <is>
          <t>ENEL DISTRIBUIÇÃO SÃO PAULO</t>
        </is>
      </c>
      <c r="J503" s="29" t="inlineStr">
        <is>
          <t>Energia elétrica — fatura 11/2026</t>
        </is>
      </c>
      <c r="K503" s="14" t="inlineStr">
        <is>
          <t>DOC 8432</t>
        </is>
      </c>
      <c r="L503" s="29" t="inlineStr">
        <is>
          <t>Itaú Unibanco — C/C 45678-9</t>
        </is>
      </c>
      <c r="M503" s="14" t="inlineStr">
        <is>
          <t>Débito automático</t>
        </is>
      </c>
      <c r="N503" s="29" t="n"/>
      <c r="O503" s="13" t="n">
        <v>1</v>
      </c>
      <c r="P503" s="13" t="n">
        <v>1</v>
      </c>
      <c r="Q503" s="35" t="n">
        <v>2467.09</v>
      </c>
      <c r="R503" s="35" t="n"/>
      <c r="S503" s="35" t="n"/>
      <c r="T503" s="35" t="n"/>
      <c r="U503" s="35" t="n"/>
      <c r="V503" s="18">
        <f>IF(COUNTA($B503:$R503)=0,"",ROUND(N($R503)+N($S503)+N($T503)-N($U503),2))</f>
        <v/>
      </c>
      <c r="W503" s="18">
        <f>IF(COUNTA($B503:$R503)=0,"",IF(OR($X503="Pago",$X503="Recebido",$X503="Cancelado"),0,ROUND(N($Q503)+N($S503)+N($T503)-N($U503)-N($R503),2)))</f>
        <v/>
      </c>
      <c r="X503" s="14" t="inlineStr">
        <is>
          <t>Previsto</t>
        </is>
      </c>
      <c r="Y503" s="17">
        <f>IF(COUNTA($B503:$R503)=0,"",IF($X503="Cancelado","Cancelado",IF(OR($X503="Pago",$X503="Recebido"),$X503,IF(OR($X503="Parcial",N($R503)&gt;0),"Parcial",IF($C503="","Sem vencimento",IF($C503&lt;TODAY(),"Vencido",IF($C503=TODAY(),"Vence hoje",IF($C503&lt;=TODAY()+7,"Vence em 7 dias",IF($C503&lt;=TODAY()+30,"Vence em 30 dias","Futuro")))))))))</f>
        <v/>
      </c>
      <c r="Z503" s="24">
        <f>IF($B503="","",MONTH($B503))</f>
        <v/>
      </c>
      <c r="AA503" s="24">
        <f>IF($B503="","",YEAR($B503))</f>
        <v/>
      </c>
      <c r="AB503" s="24">
        <f>IF($B503="","",ISOWEEKNUM($B503))</f>
        <v/>
      </c>
      <c r="AC503" s="17">
        <f>IF($B503="","",CHOOSE(WEEKDAY($B503,2),"Segunda","Terça","Quarta","Quinta","Sexta","Sábado","Domingo"))</f>
        <v/>
      </c>
      <c r="AD503" s="17">
        <f>IF($B503="","",TEXT($B503,"MM/AAAA"))</f>
        <v/>
      </c>
      <c r="AE503" s="18">
        <f>IF(COUNTA($B503:$R503)=0,"",IF($X503="Cancelado",0,ROUND(N($Q503)+N($S503)+N($T503)-N($U503),2)))</f>
        <v/>
      </c>
      <c r="AF503" s="9">
        <f>IF($G503="","",IFERROR(INDEX(LINHAS_DRE_PLANO,MATCH($G503,SUBCATEGORIAS_PLANO,0)),"Não classificado"))</f>
        <v/>
      </c>
      <c r="AG503" s="17">
        <f>IF($G503="","",IFERROR(INDEX(TIPOS_FLUXO_PLANO,MATCH($G503,SUBCATEGORIAS_PLANO,0)),"Não classificado"))</f>
        <v/>
      </c>
      <c r="AH503" s="9">
        <f>IF($G503="","",IFERROR(INDEX(GRUPOS_PLANO,MATCH($G503,SUBCATEGORIAS_PLANO,0)),"Não classificado"))</f>
        <v/>
      </c>
      <c r="AI503" s="24">
        <f>IF(OR($C503="",$X503="Pago",$X503="Recebido",$X503="Cancelado"),"",$C503-TODAY())</f>
        <v/>
      </c>
      <c r="AJ503" s="24">
        <f>IF(OR($C503="",$X503="Pago",$X503="Recebido",$X503="Cancelado"),0,MAX(0,TODAY()-$C503))</f>
        <v/>
      </c>
      <c r="AK503" s="24">
        <f>IF($D503="","",$D503-$B503)</f>
        <v/>
      </c>
      <c r="AL503" s="18">
        <f>IF(OR($D503="",$B503=""),"",ROUND(N($R503)*($D503-$B503),2))</f>
        <v/>
      </c>
      <c r="AM503" s="17">
        <f>IF(AND($E503="Saída",$W503&gt;0,$C503&lt;&gt;""),$C503+ROW()/1000000,"")</f>
        <v/>
      </c>
      <c r="AN503" s="17">
        <f>IF(AND($E503="Entrada",$W503&gt;0,$C503&lt;&gt;""),$C503+ROW()/1000000,"")</f>
        <v/>
      </c>
      <c r="AO503" s="9">
        <f>IF(COUNTA($B503:$R503)=0,"",IF(AND($I503&lt;&gt;"",COUNTIF(CLIENTES_NOMES,$I503)+COUNTIF(CLIENTES_FANTASIA,$I503)+COUNTIF(FORNECEDORES_NOMES,$I503)+COUNTIF(FORNECEDORES_FANTASIA,$I503)=0),"⚠ Cliente/Fornecedor não cadastrado",IF(AND($G503&lt;&gt;"",COUNTIF(SUBCATEGORIAS_PLANO,$G503)=0),"⚠ Subcategoria fora do plano de contas",IF(OR($Q503="",N($Q503)=0),"⚠ Valor previsto não informado",IF(AND(OR($X503="Pago",$X503="Recebido"),$D503=""),"⚠ Status pago/recebido sem data",IF(AND($D503&lt;&gt;"",N($R503)=0),"⚠ Data de pagamento sem valor realizado",IF(AND(N($P503)&gt;1,N($O503)&gt;N($P503)),"⚠ Nº da parcela maior que o total",IF(AND($C503&lt;&gt;"",$B503&lt;&gt;"",$C503&lt;$B503),"⚠ Vencimento anterior à competência","OK"))))))))</f>
        <v/>
      </c>
    </row>
    <row r="504">
      <c r="A504" s="14" t="inlineStr">
        <is>
          <t>L0499</t>
        </is>
      </c>
      <c r="B504" s="36" t="n">
        <v>46338</v>
      </c>
      <c r="C504" s="36" t="n">
        <v>46368</v>
      </c>
      <c r="D504" s="36" t="n"/>
      <c r="E504" s="14" t="inlineStr">
        <is>
          <t>Saída</t>
        </is>
      </c>
      <c r="F504" s="29" t="inlineStr">
        <is>
          <t>Investimentos</t>
        </is>
      </c>
      <c r="G504" s="29" t="inlineStr">
        <is>
          <t>Máquinas e Equipamentos</t>
        </is>
      </c>
      <c r="H504" s="29" t="inlineStr">
        <is>
          <t>Logística</t>
        </is>
      </c>
      <c r="I504" s="29" t="inlineStr">
        <is>
          <t>MÁQUINAS E EQUIPAMENTOS ALFA LTDA</t>
        </is>
      </c>
      <c r="J504" s="29" t="inlineStr">
        <is>
          <t>Empilhadeira elétrica (previsto — CAPEX 4º tri)</t>
        </is>
      </c>
      <c r="K504" s="14" t="inlineStr">
        <is>
          <t>INV-1112</t>
        </is>
      </c>
      <c r="L504" s="29" t="inlineStr">
        <is>
          <t>Banco do Brasil — C/C 12345-6</t>
        </is>
      </c>
      <c r="M504" s="14" t="inlineStr">
        <is>
          <t>Transferência</t>
        </is>
      </c>
      <c r="N504" s="29" t="n"/>
      <c r="O504" s="13" t="n">
        <v>1</v>
      </c>
      <c r="P504" s="13" t="n">
        <v>1</v>
      </c>
      <c r="Q504" s="35" t="n">
        <v>46000</v>
      </c>
      <c r="R504" s="35" t="n"/>
      <c r="S504" s="35" t="n"/>
      <c r="T504" s="35" t="n"/>
      <c r="U504" s="35" t="n"/>
      <c r="V504" s="18">
        <f>IF(COUNTA($B504:$R504)=0,"",ROUND(N($R504)+N($S504)+N($T504)-N($U504),2))</f>
        <v/>
      </c>
      <c r="W504" s="18">
        <f>IF(COUNTA($B504:$R504)=0,"",IF(OR($X504="Pago",$X504="Recebido",$X504="Cancelado"),0,ROUND(N($Q504)+N($S504)+N($T504)-N($U504)-N($R504),2)))</f>
        <v/>
      </c>
      <c r="X504" s="14" t="inlineStr">
        <is>
          <t>Previsto</t>
        </is>
      </c>
      <c r="Y504" s="17">
        <f>IF(COUNTA($B504:$R504)=0,"",IF($X504="Cancelado","Cancelado",IF(OR($X504="Pago",$X504="Recebido"),$X504,IF(OR($X504="Parcial",N($R504)&gt;0),"Parcial",IF($C504="","Sem vencimento",IF($C504&lt;TODAY(),"Vencido",IF($C504=TODAY(),"Vence hoje",IF($C504&lt;=TODAY()+7,"Vence em 7 dias",IF($C504&lt;=TODAY()+30,"Vence em 30 dias","Futuro")))))))))</f>
        <v/>
      </c>
      <c r="Z504" s="24">
        <f>IF($B504="","",MONTH($B504))</f>
        <v/>
      </c>
      <c r="AA504" s="24">
        <f>IF($B504="","",YEAR($B504))</f>
        <v/>
      </c>
      <c r="AB504" s="24">
        <f>IF($B504="","",ISOWEEKNUM($B504))</f>
        <v/>
      </c>
      <c r="AC504" s="17">
        <f>IF($B504="","",CHOOSE(WEEKDAY($B504,2),"Segunda","Terça","Quarta","Quinta","Sexta","Sábado","Domingo"))</f>
        <v/>
      </c>
      <c r="AD504" s="17">
        <f>IF($B504="","",TEXT($B504,"MM/AAAA"))</f>
        <v/>
      </c>
      <c r="AE504" s="18">
        <f>IF(COUNTA($B504:$R504)=0,"",IF($X504="Cancelado",0,ROUND(N($Q504)+N($S504)+N($T504)-N($U504),2)))</f>
        <v/>
      </c>
      <c r="AF504" s="9">
        <f>IF($G504="","",IFERROR(INDEX(LINHAS_DRE_PLANO,MATCH($G504,SUBCATEGORIAS_PLANO,0)),"Não classificado"))</f>
        <v/>
      </c>
      <c r="AG504" s="17">
        <f>IF($G504="","",IFERROR(INDEX(TIPOS_FLUXO_PLANO,MATCH($G504,SUBCATEGORIAS_PLANO,0)),"Não classificado"))</f>
        <v/>
      </c>
      <c r="AH504" s="9">
        <f>IF($G504="","",IFERROR(INDEX(GRUPOS_PLANO,MATCH($G504,SUBCATEGORIAS_PLANO,0)),"Não classificado"))</f>
        <v/>
      </c>
      <c r="AI504" s="24">
        <f>IF(OR($C504="",$X504="Pago",$X504="Recebido",$X504="Cancelado"),"",$C504-TODAY())</f>
        <v/>
      </c>
      <c r="AJ504" s="24">
        <f>IF(OR($C504="",$X504="Pago",$X504="Recebido",$X504="Cancelado"),0,MAX(0,TODAY()-$C504))</f>
        <v/>
      </c>
      <c r="AK504" s="24">
        <f>IF($D504="","",$D504-$B504)</f>
        <v/>
      </c>
      <c r="AL504" s="18">
        <f>IF(OR($D504="",$B504=""),"",ROUND(N($R504)*($D504-$B504),2))</f>
        <v/>
      </c>
      <c r="AM504" s="17">
        <f>IF(AND($E504="Saída",$W504&gt;0,$C504&lt;&gt;""),$C504+ROW()/1000000,"")</f>
        <v/>
      </c>
      <c r="AN504" s="17">
        <f>IF(AND($E504="Entrada",$W504&gt;0,$C504&lt;&gt;""),$C504+ROW()/1000000,"")</f>
        <v/>
      </c>
      <c r="AO504" s="9">
        <f>IF(COUNTA($B504:$R504)=0,"",IF(AND($I504&lt;&gt;"",COUNTIF(CLIENTES_NOMES,$I504)+COUNTIF(CLIENTES_FANTASIA,$I504)+COUNTIF(FORNECEDORES_NOMES,$I504)+COUNTIF(FORNECEDORES_FANTASIA,$I504)=0),"⚠ Cliente/Fornecedor não cadastrado",IF(AND($G504&lt;&gt;"",COUNTIF(SUBCATEGORIAS_PLANO,$G504)=0),"⚠ Subcategoria fora do plano de contas",IF(OR($Q504="",N($Q504)=0),"⚠ Valor previsto não informado",IF(AND(OR($X504="Pago",$X504="Recebido"),$D504=""),"⚠ Status pago/recebido sem data",IF(AND($D504&lt;&gt;"",N($R504)=0),"⚠ Data de pagamento sem valor realizado",IF(AND(N($P504)&gt;1,N($O504)&gt;N($P504)),"⚠ Nº da parcela maior que o total",IF(AND($C504&lt;&gt;"",$B504&lt;&gt;"",$C504&lt;$B504),"⚠ Vencimento anterior à competência","OK"))))))))</f>
        <v/>
      </c>
    </row>
    <row r="505">
      <c r="A505" s="14" t="inlineStr">
        <is>
          <t>L0500</t>
        </is>
      </c>
      <c r="B505" s="36" t="n">
        <v>46341</v>
      </c>
      <c r="C505" s="36" t="n">
        <v>46353</v>
      </c>
      <c r="D505" s="36" t="n"/>
      <c r="E505" s="14" t="inlineStr">
        <is>
          <t>Saída</t>
        </is>
      </c>
      <c r="F505" s="29" t="inlineStr">
        <is>
          <t>Despesas Administrativas</t>
        </is>
      </c>
      <c r="G505" s="29" t="inlineStr">
        <is>
          <t>Água e Saneamento</t>
        </is>
      </c>
      <c r="H505" s="29" t="inlineStr">
        <is>
          <t>Administrativo</t>
        </is>
      </c>
      <c r="I505" s="29" t="inlineStr">
        <is>
          <t>SABESP — SANEAMENTO BÁSICO DO ESTADO DE SÃO PAULO</t>
        </is>
      </c>
      <c r="J505" s="29" t="inlineStr">
        <is>
          <t>Água e saneamento — fatura 11/2026</t>
        </is>
      </c>
      <c r="K505" s="14" t="inlineStr">
        <is>
          <t>DOC 8433</t>
        </is>
      </c>
      <c r="L505" s="29" t="inlineStr">
        <is>
          <t>Itaú Unibanco — C/C 45678-9</t>
        </is>
      </c>
      <c r="M505" s="14" t="inlineStr">
        <is>
          <t>Débito automático</t>
        </is>
      </c>
      <c r="N505" s="29" t="n"/>
      <c r="O505" s="13" t="n">
        <v>1</v>
      </c>
      <c r="P505" s="13" t="n">
        <v>1</v>
      </c>
      <c r="Q505" s="35" t="n">
        <v>523.65</v>
      </c>
      <c r="R505" s="35" t="n"/>
      <c r="S505" s="35" t="n"/>
      <c r="T505" s="35" t="n"/>
      <c r="U505" s="35" t="n"/>
      <c r="V505" s="18">
        <f>IF(COUNTA($B505:$R505)=0,"",ROUND(N($R505)+N($S505)+N($T505)-N($U505),2))</f>
        <v/>
      </c>
      <c r="W505" s="18">
        <f>IF(COUNTA($B505:$R505)=0,"",IF(OR($X505="Pago",$X505="Recebido",$X505="Cancelado"),0,ROUND(N($Q505)+N($S505)+N($T505)-N($U505)-N($R505),2)))</f>
        <v/>
      </c>
      <c r="X505" s="14" t="inlineStr">
        <is>
          <t>Previsto</t>
        </is>
      </c>
      <c r="Y505" s="17">
        <f>IF(COUNTA($B505:$R505)=0,"",IF($X505="Cancelado","Cancelado",IF(OR($X505="Pago",$X505="Recebido"),$X505,IF(OR($X505="Parcial",N($R505)&gt;0),"Parcial",IF($C505="","Sem vencimento",IF($C505&lt;TODAY(),"Vencido",IF($C505=TODAY(),"Vence hoje",IF($C505&lt;=TODAY()+7,"Vence em 7 dias",IF($C505&lt;=TODAY()+30,"Vence em 30 dias","Futuro")))))))))</f>
        <v/>
      </c>
      <c r="Z505" s="24">
        <f>IF($B505="","",MONTH($B505))</f>
        <v/>
      </c>
      <c r="AA505" s="24">
        <f>IF($B505="","",YEAR($B505))</f>
        <v/>
      </c>
      <c r="AB505" s="24">
        <f>IF($B505="","",ISOWEEKNUM($B505))</f>
        <v/>
      </c>
      <c r="AC505" s="17">
        <f>IF($B505="","",CHOOSE(WEEKDAY($B505,2),"Segunda","Terça","Quarta","Quinta","Sexta","Sábado","Domingo"))</f>
        <v/>
      </c>
      <c r="AD505" s="17">
        <f>IF($B505="","",TEXT($B505,"MM/AAAA"))</f>
        <v/>
      </c>
      <c r="AE505" s="18">
        <f>IF(COUNTA($B505:$R505)=0,"",IF($X505="Cancelado",0,ROUND(N($Q505)+N($S505)+N($T505)-N($U505),2)))</f>
        <v/>
      </c>
      <c r="AF505" s="9">
        <f>IF($G505="","",IFERROR(INDEX(LINHAS_DRE_PLANO,MATCH($G505,SUBCATEGORIAS_PLANO,0)),"Não classificado"))</f>
        <v/>
      </c>
      <c r="AG505" s="17">
        <f>IF($G505="","",IFERROR(INDEX(TIPOS_FLUXO_PLANO,MATCH($G505,SUBCATEGORIAS_PLANO,0)),"Não classificado"))</f>
        <v/>
      </c>
      <c r="AH505" s="9">
        <f>IF($G505="","",IFERROR(INDEX(GRUPOS_PLANO,MATCH($G505,SUBCATEGORIAS_PLANO,0)),"Não classificado"))</f>
        <v/>
      </c>
      <c r="AI505" s="24">
        <f>IF(OR($C505="",$X505="Pago",$X505="Recebido",$X505="Cancelado"),"",$C505-TODAY())</f>
        <v/>
      </c>
      <c r="AJ505" s="24">
        <f>IF(OR($C505="",$X505="Pago",$X505="Recebido",$X505="Cancelado"),0,MAX(0,TODAY()-$C505))</f>
        <v/>
      </c>
      <c r="AK505" s="24">
        <f>IF($D505="","",$D505-$B505)</f>
        <v/>
      </c>
      <c r="AL505" s="18">
        <f>IF(OR($D505="",$B505=""),"",ROUND(N($R505)*($D505-$B505),2))</f>
        <v/>
      </c>
      <c r="AM505" s="17">
        <f>IF(AND($E505="Saída",$W505&gt;0,$C505&lt;&gt;""),$C505+ROW()/1000000,"")</f>
        <v/>
      </c>
      <c r="AN505" s="17">
        <f>IF(AND($E505="Entrada",$W505&gt;0,$C505&lt;&gt;""),$C505+ROW()/1000000,"")</f>
        <v/>
      </c>
      <c r="AO505" s="9">
        <f>IF(COUNTA($B505:$R505)=0,"",IF(AND($I505&lt;&gt;"",COUNTIF(CLIENTES_NOMES,$I505)+COUNTIF(CLIENTES_FANTASIA,$I505)+COUNTIF(FORNECEDORES_NOMES,$I505)+COUNTIF(FORNECEDORES_FANTASIA,$I505)=0),"⚠ Cliente/Fornecedor não cadastrado",IF(AND($G505&lt;&gt;"",COUNTIF(SUBCATEGORIAS_PLANO,$G505)=0),"⚠ Subcategoria fora do plano de contas",IF(OR($Q505="",N($Q505)=0),"⚠ Valor previsto não informado",IF(AND(OR($X505="Pago",$X505="Recebido"),$D505=""),"⚠ Status pago/recebido sem data",IF(AND($D505&lt;&gt;"",N($R505)=0),"⚠ Data de pagamento sem valor realizado",IF(AND(N($P505)&gt;1,N($O505)&gt;N($P505)),"⚠ Nº da parcela maior que o total",IF(AND($C505&lt;&gt;"",$B505&lt;&gt;"",$C505&lt;$B505),"⚠ Vencimento anterior à competência","OK"))))))))</f>
        <v/>
      </c>
    </row>
    <row r="506">
      <c r="A506" s="14" t="inlineStr">
        <is>
          <t>L0501</t>
        </is>
      </c>
      <c r="B506" s="36" t="n">
        <v>46341</v>
      </c>
      <c r="C506" s="36" t="n">
        <v>46351</v>
      </c>
      <c r="D506" s="36" t="n"/>
      <c r="E506" s="14" t="inlineStr">
        <is>
          <t>Saída</t>
        </is>
      </c>
      <c r="F506" s="29" t="inlineStr">
        <is>
          <t>Despesas com Pessoal</t>
        </is>
      </c>
      <c r="G506" s="29" t="inlineStr">
        <is>
          <t>Serviços Terceirizados (PJ)</t>
        </is>
      </c>
      <c r="H506" s="29" t="inlineStr">
        <is>
          <t>Produção</t>
        </is>
      </c>
      <c r="I506" s="29" t="inlineStr">
        <is>
          <t>APOIO OPERACIONAL SERVIÇOS LTDA</t>
        </is>
      </c>
      <c r="J506" s="29" t="inlineStr">
        <is>
          <t>Equipe terceirizada de separação e expedição</t>
        </is>
      </c>
      <c r="K506" s="14" t="inlineStr">
        <is>
          <t>DOC 8443</t>
        </is>
      </c>
      <c r="L506" s="29" t="inlineStr">
        <is>
          <t>Banco do Brasil — C/C 12345-6</t>
        </is>
      </c>
      <c r="M506" s="14" t="inlineStr">
        <is>
          <t>PIX</t>
        </is>
      </c>
      <c r="N506" s="29" t="n"/>
      <c r="O506" s="13" t="n">
        <v>1</v>
      </c>
      <c r="P506" s="13" t="n">
        <v>1</v>
      </c>
      <c r="Q506" s="35" t="n">
        <v>1800</v>
      </c>
      <c r="R506" s="35" t="n"/>
      <c r="S506" s="35" t="n"/>
      <c r="T506" s="35" t="n"/>
      <c r="U506" s="35" t="n"/>
      <c r="V506" s="18">
        <f>IF(COUNTA($B506:$R506)=0,"",ROUND(N($R506)+N($S506)+N($T506)-N($U506),2))</f>
        <v/>
      </c>
      <c r="W506" s="18">
        <f>IF(COUNTA($B506:$R506)=0,"",IF(OR($X506="Pago",$X506="Recebido",$X506="Cancelado"),0,ROUND(N($Q506)+N($S506)+N($T506)-N($U506)-N($R506),2)))</f>
        <v/>
      </c>
      <c r="X506" s="14" t="inlineStr">
        <is>
          <t>Previsto</t>
        </is>
      </c>
      <c r="Y506" s="17">
        <f>IF(COUNTA($B506:$R506)=0,"",IF($X506="Cancelado","Cancelado",IF(OR($X506="Pago",$X506="Recebido"),$X506,IF(OR($X506="Parcial",N($R506)&gt;0),"Parcial",IF($C506="","Sem vencimento",IF($C506&lt;TODAY(),"Vencido",IF($C506=TODAY(),"Vence hoje",IF($C506&lt;=TODAY()+7,"Vence em 7 dias",IF($C506&lt;=TODAY()+30,"Vence em 30 dias","Futuro")))))))))</f>
        <v/>
      </c>
      <c r="Z506" s="24">
        <f>IF($B506="","",MONTH($B506))</f>
        <v/>
      </c>
      <c r="AA506" s="24">
        <f>IF($B506="","",YEAR($B506))</f>
        <v/>
      </c>
      <c r="AB506" s="24">
        <f>IF($B506="","",ISOWEEKNUM($B506))</f>
        <v/>
      </c>
      <c r="AC506" s="17">
        <f>IF($B506="","",CHOOSE(WEEKDAY($B506,2),"Segunda","Terça","Quarta","Quinta","Sexta","Sábado","Domingo"))</f>
        <v/>
      </c>
      <c r="AD506" s="17">
        <f>IF($B506="","",TEXT($B506,"MM/AAAA"))</f>
        <v/>
      </c>
      <c r="AE506" s="18">
        <f>IF(COUNTA($B506:$R506)=0,"",IF($X506="Cancelado",0,ROUND(N($Q506)+N($S506)+N($T506)-N($U506),2)))</f>
        <v/>
      </c>
      <c r="AF506" s="9">
        <f>IF($G506="","",IFERROR(INDEX(LINHAS_DRE_PLANO,MATCH($G506,SUBCATEGORIAS_PLANO,0)),"Não classificado"))</f>
        <v/>
      </c>
      <c r="AG506" s="17">
        <f>IF($G506="","",IFERROR(INDEX(TIPOS_FLUXO_PLANO,MATCH($G506,SUBCATEGORIAS_PLANO,0)),"Não classificado"))</f>
        <v/>
      </c>
      <c r="AH506" s="9">
        <f>IF($G506="","",IFERROR(INDEX(GRUPOS_PLANO,MATCH($G506,SUBCATEGORIAS_PLANO,0)),"Não classificado"))</f>
        <v/>
      </c>
      <c r="AI506" s="24">
        <f>IF(OR($C506="",$X506="Pago",$X506="Recebido",$X506="Cancelado"),"",$C506-TODAY())</f>
        <v/>
      </c>
      <c r="AJ506" s="24">
        <f>IF(OR($C506="",$X506="Pago",$X506="Recebido",$X506="Cancelado"),0,MAX(0,TODAY()-$C506))</f>
        <v/>
      </c>
      <c r="AK506" s="24">
        <f>IF($D506="","",$D506-$B506)</f>
        <v/>
      </c>
      <c r="AL506" s="18">
        <f>IF(OR($D506="",$B506=""),"",ROUND(N($R506)*($D506-$B506),2))</f>
        <v/>
      </c>
      <c r="AM506" s="17">
        <f>IF(AND($E506="Saída",$W506&gt;0,$C506&lt;&gt;""),$C506+ROW()/1000000,"")</f>
        <v/>
      </c>
      <c r="AN506" s="17">
        <f>IF(AND($E506="Entrada",$W506&gt;0,$C506&lt;&gt;""),$C506+ROW()/1000000,"")</f>
        <v/>
      </c>
      <c r="AO506" s="9">
        <f>IF(COUNTA($B506:$R506)=0,"",IF(AND($I506&lt;&gt;"",COUNTIF(CLIENTES_NOMES,$I506)+COUNTIF(CLIENTES_FANTASIA,$I506)+COUNTIF(FORNECEDORES_NOMES,$I506)+COUNTIF(FORNECEDORES_FANTASIA,$I506)=0),"⚠ Cliente/Fornecedor não cadastrado",IF(AND($G506&lt;&gt;"",COUNTIF(SUBCATEGORIAS_PLANO,$G506)=0),"⚠ Subcategoria fora do plano de contas",IF(OR($Q506="",N($Q506)=0),"⚠ Valor previsto não informado",IF(AND(OR($X506="Pago",$X506="Recebido"),$D506=""),"⚠ Status pago/recebido sem data",IF(AND($D506&lt;&gt;"",N($R506)=0),"⚠ Data de pagamento sem valor realizado",IF(AND(N($P506)&gt;1,N($O506)&gt;N($P506)),"⚠ Nº da parcela maior que o total",IF(AND($C506&lt;&gt;"",$B506&lt;&gt;"",$C506&lt;$B506),"⚠ Vencimento anterior à competência","OK"))))))))</f>
        <v/>
      </c>
    </row>
    <row r="507">
      <c r="A507" s="14" t="inlineStr">
        <is>
          <t>L0502</t>
        </is>
      </c>
      <c r="B507" s="36" t="n">
        <v>46341</v>
      </c>
      <c r="C507" s="36" t="n">
        <v>46341</v>
      </c>
      <c r="D507" s="36" t="n"/>
      <c r="E507" s="14" t="inlineStr">
        <is>
          <t>Saída</t>
        </is>
      </c>
      <c r="F507" s="29" t="inlineStr">
        <is>
          <t>Empréstimos e Financiamentos</t>
        </is>
      </c>
      <c r="G507" s="29" t="inlineStr">
        <is>
          <t>Pagamento de Principal de Empréstimos</t>
        </is>
      </c>
      <c r="H507" s="29" t="inlineStr">
        <is>
          <t>Financeiro</t>
        </is>
      </c>
      <c r="I507" s="29" t="inlineStr">
        <is>
          <t>BNDES / Banco do Brasil</t>
        </is>
      </c>
      <c r="J507" s="29" t="inlineStr">
        <is>
          <t>Financiamento de Máquinas — parcela 9/36 (principal)</t>
        </is>
      </c>
      <c r="K507" s="14" t="inlineStr">
        <is>
          <t>FIN-2026-1198-P09</t>
        </is>
      </c>
      <c r="L507" s="29" t="inlineStr">
        <is>
          <t>Banco do Brasil — C/C 12345-6</t>
        </is>
      </c>
      <c r="M507" s="14" t="inlineStr">
        <is>
          <t>Débito automático</t>
        </is>
      </c>
      <c r="N507" s="29" t="n"/>
      <c r="O507" s="13" t="n">
        <v>9</v>
      </c>
      <c r="P507" s="13" t="n">
        <v>36</v>
      </c>
      <c r="Q507" s="35" t="n">
        <v>3333.33</v>
      </c>
      <c r="R507" s="35" t="n"/>
      <c r="S507" s="35" t="n"/>
      <c r="T507" s="35" t="n"/>
      <c r="U507" s="35" t="n"/>
      <c r="V507" s="18">
        <f>IF(COUNTA($B507:$R507)=0,"",ROUND(N($R507)+N($S507)+N($T507)-N($U507),2))</f>
        <v/>
      </c>
      <c r="W507" s="18">
        <f>IF(COUNTA($B507:$R507)=0,"",IF(OR($X507="Pago",$X507="Recebido",$X507="Cancelado"),0,ROUND(N($Q507)+N($S507)+N($T507)-N($U507)-N($R507),2)))</f>
        <v/>
      </c>
      <c r="X507" s="14" t="inlineStr">
        <is>
          <t>Previsto</t>
        </is>
      </c>
      <c r="Y507" s="17">
        <f>IF(COUNTA($B507:$R507)=0,"",IF($X507="Cancelado","Cancelado",IF(OR($X507="Pago",$X507="Recebido"),$X507,IF(OR($X507="Parcial",N($R507)&gt;0),"Parcial",IF($C507="","Sem vencimento",IF($C507&lt;TODAY(),"Vencido",IF($C507=TODAY(),"Vence hoje",IF($C507&lt;=TODAY()+7,"Vence em 7 dias",IF($C507&lt;=TODAY()+30,"Vence em 30 dias","Futuro")))))))))</f>
        <v/>
      </c>
      <c r="Z507" s="24">
        <f>IF($B507="","",MONTH($B507))</f>
        <v/>
      </c>
      <c r="AA507" s="24">
        <f>IF($B507="","",YEAR($B507))</f>
        <v/>
      </c>
      <c r="AB507" s="24">
        <f>IF($B507="","",ISOWEEKNUM($B507))</f>
        <v/>
      </c>
      <c r="AC507" s="17">
        <f>IF($B507="","",CHOOSE(WEEKDAY($B507,2),"Segunda","Terça","Quarta","Quinta","Sexta","Sábado","Domingo"))</f>
        <v/>
      </c>
      <c r="AD507" s="17">
        <f>IF($B507="","",TEXT($B507,"MM/AAAA"))</f>
        <v/>
      </c>
      <c r="AE507" s="18">
        <f>IF(COUNTA($B507:$R507)=0,"",IF($X507="Cancelado",0,ROUND(N($Q507)+N($S507)+N($T507)-N($U507),2)))</f>
        <v/>
      </c>
      <c r="AF507" s="9">
        <f>IF($G507="","",IFERROR(INDEX(LINHAS_DRE_PLANO,MATCH($G507,SUBCATEGORIAS_PLANO,0)),"Não classificado"))</f>
        <v/>
      </c>
      <c r="AG507" s="17">
        <f>IF($G507="","",IFERROR(INDEX(TIPOS_FLUXO_PLANO,MATCH($G507,SUBCATEGORIAS_PLANO,0)),"Não classificado"))</f>
        <v/>
      </c>
      <c r="AH507" s="9">
        <f>IF($G507="","",IFERROR(INDEX(GRUPOS_PLANO,MATCH($G507,SUBCATEGORIAS_PLANO,0)),"Não classificado"))</f>
        <v/>
      </c>
      <c r="AI507" s="24">
        <f>IF(OR($C507="",$X507="Pago",$X507="Recebido",$X507="Cancelado"),"",$C507-TODAY())</f>
        <v/>
      </c>
      <c r="AJ507" s="24">
        <f>IF(OR($C507="",$X507="Pago",$X507="Recebido",$X507="Cancelado"),0,MAX(0,TODAY()-$C507))</f>
        <v/>
      </c>
      <c r="AK507" s="24">
        <f>IF($D507="","",$D507-$B507)</f>
        <v/>
      </c>
      <c r="AL507" s="18">
        <f>IF(OR($D507="",$B507=""),"",ROUND(N($R507)*($D507-$B507),2))</f>
        <v/>
      </c>
      <c r="AM507" s="17">
        <f>IF(AND($E507="Saída",$W507&gt;0,$C507&lt;&gt;""),$C507+ROW()/1000000,"")</f>
        <v/>
      </c>
      <c r="AN507" s="17">
        <f>IF(AND($E507="Entrada",$W507&gt;0,$C507&lt;&gt;""),$C507+ROW()/1000000,"")</f>
        <v/>
      </c>
      <c r="AO507" s="9">
        <f>IF(COUNTA($B507:$R507)=0,"",IF(AND($I507&lt;&gt;"",COUNTIF(CLIENTES_NOMES,$I507)+COUNTIF(CLIENTES_FANTASIA,$I507)+COUNTIF(FORNECEDORES_NOMES,$I507)+COUNTIF(FORNECEDORES_FANTASIA,$I507)=0),"⚠ Cliente/Fornecedor não cadastrado",IF(AND($G507&lt;&gt;"",COUNTIF(SUBCATEGORIAS_PLANO,$G507)=0),"⚠ Subcategoria fora do plano de contas",IF(OR($Q507="",N($Q507)=0),"⚠ Valor previsto não informado",IF(AND(OR($X507="Pago",$X507="Recebido"),$D507=""),"⚠ Status pago/recebido sem data",IF(AND($D507&lt;&gt;"",N($R507)=0),"⚠ Data de pagamento sem valor realizado",IF(AND(N($P507)&gt;1,N($O507)&gt;N($P507)),"⚠ Nº da parcela maior que o total",IF(AND($C507&lt;&gt;"",$B507&lt;&gt;"",$C507&lt;$B507),"⚠ Vencimento anterior à competência","OK"))))))))</f>
        <v/>
      </c>
    </row>
    <row r="508">
      <c r="A508" s="14" t="inlineStr">
        <is>
          <t>L0503</t>
        </is>
      </c>
      <c r="B508" s="36" t="n">
        <v>46341</v>
      </c>
      <c r="C508" s="36" t="n">
        <v>46341</v>
      </c>
      <c r="D508" s="36" t="n"/>
      <c r="E508" s="14" t="inlineStr">
        <is>
          <t>Saída</t>
        </is>
      </c>
      <c r="F508" s="29" t="inlineStr">
        <is>
          <t>Despesas Financeiras</t>
        </is>
      </c>
      <c r="G508" s="29" t="inlineStr">
        <is>
          <t>Juros de Empréstimos e Financiamentos</t>
        </is>
      </c>
      <c r="H508" s="29" t="inlineStr">
        <is>
          <t>Financeiro</t>
        </is>
      </c>
      <c r="I508" s="29" t="inlineStr">
        <is>
          <t>BNDES / Banco do Brasil</t>
        </is>
      </c>
      <c r="J508" s="29" t="inlineStr">
        <is>
          <t>Financiamento de Máquinas — parcela 9/36 (juros)</t>
        </is>
      </c>
      <c r="K508" s="14" t="inlineStr">
        <is>
          <t>FIN-2026-1198-P09</t>
        </is>
      </c>
      <c r="L508" s="29" t="inlineStr">
        <is>
          <t>Banco do Brasil — C/C 12345-6</t>
        </is>
      </c>
      <c r="M508" s="14" t="inlineStr">
        <is>
          <t>Débito automático</t>
        </is>
      </c>
      <c r="N508" s="29" t="n"/>
      <c r="O508" s="13" t="n">
        <v>9</v>
      </c>
      <c r="P508" s="13" t="n">
        <v>36</v>
      </c>
      <c r="Q508" s="35" t="n">
        <v>1026.67</v>
      </c>
      <c r="R508" s="35" t="n"/>
      <c r="S508" s="35" t="n"/>
      <c r="T508" s="35" t="n"/>
      <c r="U508" s="35" t="n"/>
      <c r="V508" s="18">
        <f>IF(COUNTA($B508:$R508)=0,"",ROUND(N($R508)+N($S508)+N($T508)-N($U508),2))</f>
        <v/>
      </c>
      <c r="W508" s="18">
        <f>IF(COUNTA($B508:$R508)=0,"",IF(OR($X508="Pago",$X508="Recebido",$X508="Cancelado"),0,ROUND(N($Q508)+N($S508)+N($T508)-N($U508)-N($R508),2)))</f>
        <v/>
      </c>
      <c r="X508" s="14" t="inlineStr">
        <is>
          <t>Previsto</t>
        </is>
      </c>
      <c r="Y508" s="17">
        <f>IF(COUNTA($B508:$R508)=0,"",IF($X508="Cancelado","Cancelado",IF(OR($X508="Pago",$X508="Recebido"),$X508,IF(OR($X508="Parcial",N($R508)&gt;0),"Parcial",IF($C508="","Sem vencimento",IF($C508&lt;TODAY(),"Vencido",IF($C508=TODAY(),"Vence hoje",IF($C508&lt;=TODAY()+7,"Vence em 7 dias",IF($C508&lt;=TODAY()+30,"Vence em 30 dias","Futuro")))))))))</f>
        <v/>
      </c>
      <c r="Z508" s="24">
        <f>IF($B508="","",MONTH($B508))</f>
        <v/>
      </c>
      <c r="AA508" s="24">
        <f>IF($B508="","",YEAR($B508))</f>
        <v/>
      </c>
      <c r="AB508" s="24">
        <f>IF($B508="","",ISOWEEKNUM($B508))</f>
        <v/>
      </c>
      <c r="AC508" s="17">
        <f>IF($B508="","",CHOOSE(WEEKDAY($B508,2),"Segunda","Terça","Quarta","Quinta","Sexta","Sábado","Domingo"))</f>
        <v/>
      </c>
      <c r="AD508" s="17">
        <f>IF($B508="","",TEXT($B508,"MM/AAAA"))</f>
        <v/>
      </c>
      <c r="AE508" s="18">
        <f>IF(COUNTA($B508:$R508)=0,"",IF($X508="Cancelado",0,ROUND(N($Q508)+N($S508)+N($T508)-N($U508),2)))</f>
        <v/>
      </c>
      <c r="AF508" s="9">
        <f>IF($G508="","",IFERROR(INDEX(LINHAS_DRE_PLANO,MATCH($G508,SUBCATEGORIAS_PLANO,0)),"Não classificado"))</f>
        <v/>
      </c>
      <c r="AG508" s="17">
        <f>IF($G508="","",IFERROR(INDEX(TIPOS_FLUXO_PLANO,MATCH($G508,SUBCATEGORIAS_PLANO,0)),"Não classificado"))</f>
        <v/>
      </c>
      <c r="AH508" s="9">
        <f>IF($G508="","",IFERROR(INDEX(GRUPOS_PLANO,MATCH($G508,SUBCATEGORIAS_PLANO,0)),"Não classificado"))</f>
        <v/>
      </c>
      <c r="AI508" s="24">
        <f>IF(OR($C508="",$X508="Pago",$X508="Recebido",$X508="Cancelado"),"",$C508-TODAY())</f>
        <v/>
      </c>
      <c r="AJ508" s="24">
        <f>IF(OR($C508="",$X508="Pago",$X508="Recebido",$X508="Cancelado"),0,MAX(0,TODAY()-$C508))</f>
        <v/>
      </c>
      <c r="AK508" s="24">
        <f>IF($D508="","",$D508-$B508)</f>
        <v/>
      </c>
      <c r="AL508" s="18">
        <f>IF(OR($D508="",$B508=""),"",ROUND(N($R508)*($D508-$B508),2))</f>
        <v/>
      </c>
      <c r="AM508" s="17">
        <f>IF(AND($E508="Saída",$W508&gt;0,$C508&lt;&gt;""),$C508+ROW()/1000000,"")</f>
        <v/>
      </c>
      <c r="AN508" s="17">
        <f>IF(AND($E508="Entrada",$W508&gt;0,$C508&lt;&gt;""),$C508+ROW()/1000000,"")</f>
        <v/>
      </c>
      <c r="AO508" s="9">
        <f>IF(COUNTA($B508:$R508)=0,"",IF(AND($I508&lt;&gt;"",COUNTIF(CLIENTES_NOMES,$I508)+COUNTIF(CLIENTES_FANTASIA,$I508)+COUNTIF(FORNECEDORES_NOMES,$I508)+COUNTIF(FORNECEDORES_FANTASIA,$I508)=0),"⚠ Cliente/Fornecedor não cadastrado",IF(AND($G508&lt;&gt;"",COUNTIF(SUBCATEGORIAS_PLANO,$G508)=0),"⚠ Subcategoria fora do plano de contas",IF(OR($Q508="",N($Q508)=0),"⚠ Valor previsto não informado",IF(AND(OR($X508="Pago",$X508="Recebido"),$D508=""),"⚠ Status pago/recebido sem data",IF(AND($D508&lt;&gt;"",N($R508)=0),"⚠ Data de pagamento sem valor realizado",IF(AND(N($P508)&gt;1,N($O508)&gt;N($P508)),"⚠ Nº da parcela maior que o total",IF(AND($C508&lt;&gt;"",$B508&lt;&gt;"",$C508&lt;$B508),"⚠ Vencimento anterior à competência","OK"))))))))</f>
        <v/>
      </c>
    </row>
    <row r="509">
      <c r="A509" s="14" t="inlineStr">
        <is>
          <t>L0504</t>
        </is>
      </c>
      <c r="B509" s="36" t="n">
        <v>46342</v>
      </c>
      <c r="C509" s="36" t="n">
        <v>46372</v>
      </c>
      <c r="D509" s="36" t="n"/>
      <c r="E509" s="14" t="inlineStr">
        <is>
          <t>Saída</t>
        </is>
      </c>
      <c r="F509" s="29" t="inlineStr">
        <is>
          <t>Custos Variáveis</t>
        </is>
      </c>
      <c r="G509" s="29" t="inlineStr">
        <is>
          <t>Mercadorias para Revenda</t>
        </is>
      </c>
      <c r="H509" s="29" t="inlineStr">
        <is>
          <t>Logística</t>
        </is>
      </c>
      <c r="I509" s="29" t="inlineStr">
        <is>
          <t>DISTRIBUIDORA CENTRAL DE ALIMENTOS S/A</t>
        </is>
      </c>
      <c r="J509" s="29" t="inlineStr">
        <is>
          <t>Compra de mercadorias para revenda — NF 5111</t>
        </is>
      </c>
      <c r="K509" s="14" t="inlineStr">
        <is>
          <t>NF 5111</t>
        </is>
      </c>
      <c r="L509" s="29" t="inlineStr">
        <is>
          <t>Banco do Brasil — C/C 12345-6</t>
        </is>
      </c>
      <c r="M509" s="14" t="inlineStr">
        <is>
          <t>Boleto</t>
        </is>
      </c>
      <c r="N509" s="29" t="n"/>
      <c r="O509" s="13" t="n">
        <v>1</v>
      </c>
      <c r="P509" s="13" t="n">
        <v>1</v>
      </c>
      <c r="Q509" s="35" t="n">
        <v>62227.27</v>
      </c>
      <c r="R509" s="35" t="n"/>
      <c r="S509" s="35" t="n"/>
      <c r="T509" s="35" t="n"/>
      <c r="U509" s="35" t="n"/>
      <c r="V509" s="18">
        <f>IF(COUNTA($B509:$R509)=0,"",ROUND(N($R509)+N($S509)+N($T509)-N($U509),2))</f>
        <v/>
      </c>
      <c r="W509" s="18">
        <f>IF(COUNTA($B509:$R509)=0,"",IF(OR($X509="Pago",$X509="Recebido",$X509="Cancelado"),0,ROUND(N($Q509)+N($S509)+N($T509)-N($U509)-N($R509),2)))</f>
        <v/>
      </c>
      <c r="X509" s="14" t="inlineStr">
        <is>
          <t>Previsto</t>
        </is>
      </c>
      <c r="Y509" s="17">
        <f>IF(COUNTA($B509:$R509)=0,"",IF($X509="Cancelado","Cancelado",IF(OR($X509="Pago",$X509="Recebido"),$X509,IF(OR($X509="Parcial",N($R509)&gt;0),"Parcial",IF($C509="","Sem vencimento",IF($C509&lt;TODAY(),"Vencido",IF($C509=TODAY(),"Vence hoje",IF($C509&lt;=TODAY()+7,"Vence em 7 dias",IF($C509&lt;=TODAY()+30,"Vence em 30 dias","Futuro")))))))))</f>
        <v/>
      </c>
      <c r="Z509" s="24">
        <f>IF($B509="","",MONTH($B509))</f>
        <v/>
      </c>
      <c r="AA509" s="24">
        <f>IF($B509="","",YEAR($B509))</f>
        <v/>
      </c>
      <c r="AB509" s="24">
        <f>IF($B509="","",ISOWEEKNUM($B509))</f>
        <v/>
      </c>
      <c r="AC509" s="17">
        <f>IF($B509="","",CHOOSE(WEEKDAY($B509,2),"Segunda","Terça","Quarta","Quinta","Sexta","Sábado","Domingo"))</f>
        <v/>
      </c>
      <c r="AD509" s="17">
        <f>IF($B509="","",TEXT($B509,"MM/AAAA"))</f>
        <v/>
      </c>
      <c r="AE509" s="18">
        <f>IF(COUNTA($B509:$R509)=0,"",IF($X509="Cancelado",0,ROUND(N($Q509)+N($S509)+N($T509)-N($U509),2)))</f>
        <v/>
      </c>
      <c r="AF509" s="9">
        <f>IF($G509="","",IFERROR(INDEX(LINHAS_DRE_PLANO,MATCH($G509,SUBCATEGORIAS_PLANO,0)),"Não classificado"))</f>
        <v/>
      </c>
      <c r="AG509" s="17">
        <f>IF($G509="","",IFERROR(INDEX(TIPOS_FLUXO_PLANO,MATCH($G509,SUBCATEGORIAS_PLANO,0)),"Não classificado"))</f>
        <v/>
      </c>
      <c r="AH509" s="9">
        <f>IF($G509="","",IFERROR(INDEX(GRUPOS_PLANO,MATCH($G509,SUBCATEGORIAS_PLANO,0)),"Não classificado"))</f>
        <v/>
      </c>
      <c r="AI509" s="24">
        <f>IF(OR($C509="",$X509="Pago",$X509="Recebido",$X509="Cancelado"),"",$C509-TODAY())</f>
        <v/>
      </c>
      <c r="AJ509" s="24">
        <f>IF(OR($C509="",$X509="Pago",$X509="Recebido",$X509="Cancelado"),0,MAX(0,TODAY()-$C509))</f>
        <v/>
      </c>
      <c r="AK509" s="24">
        <f>IF($D509="","",$D509-$B509)</f>
        <v/>
      </c>
      <c r="AL509" s="18">
        <f>IF(OR($D509="",$B509=""),"",ROUND(N($R509)*($D509-$B509),2))</f>
        <v/>
      </c>
      <c r="AM509" s="17">
        <f>IF(AND($E509="Saída",$W509&gt;0,$C509&lt;&gt;""),$C509+ROW()/1000000,"")</f>
        <v/>
      </c>
      <c r="AN509" s="17">
        <f>IF(AND($E509="Entrada",$W509&gt;0,$C509&lt;&gt;""),$C509+ROW()/1000000,"")</f>
        <v/>
      </c>
      <c r="AO509" s="9">
        <f>IF(COUNTA($B509:$R509)=0,"",IF(AND($I509&lt;&gt;"",COUNTIF(CLIENTES_NOMES,$I509)+COUNTIF(CLIENTES_FANTASIA,$I509)+COUNTIF(FORNECEDORES_NOMES,$I509)+COUNTIF(FORNECEDORES_FANTASIA,$I509)=0),"⚠ Cliente/Fornecedor não cadastrado",IF(AND($G509&lt;&gt;"",COUNTIF(SUBCATEGORIAS_PLANO,$G509)=0),"⚠ Subcategoria fora do plano de contas",IF(OR($Q509="",N($Q509)=0),"⚠ Valor previsto não informado",IF(AND(OR($X509="Pago",$X509="Recebido"),$D509=""),"⚠ Status pago/recebido sem data",IF(AND($D509&lt;&gt;"",N($R509)=0),"⚠ Data de pagamento sem valor realizado",IF(AND(N($P509)&gt;1,N($O509)&gt;N($P509)),"⚠ Nº da parcela maior que o total",IF(AND($C509&lt;&gt;"",$B509&lt;&gt;"",$C509&lt;$B509),"⚠ Vencimento anterior à competência","OK"))))))))</f>
        <v/>
      </c>
    </row>
    <row r="510">
      <c r="A510" s="14" t="inlineStr">
        <is>
          <t>L0505</t>
        </is>
      </c>
      <c r="B510" s="36" t="n">
        <v>46344</v>
      </c>
      <c r="C510" s="36" t="n">
        <v>46354</v>
      </c>
      <c r="D510" s="36" t="n"/>
      <c r="E510" s="14" t="inlineStr">
        <is>
          <t>Saída</t>
        </is>
      </c>
      <c r="F510" s="29" t="inlineStr">
        <is>
          <t>Despesas Comerciais</t>
        </is>
      </c>
      <c r="G510" s="29" t="inlineStr">
        <is>
          <t>Publicidade e Anúncios</t>
        </is>
      </c>
      <c r="H510" s="29" t="inlineStr">
        <is>
          <t>Marketing</t>
        </is>
      </c>
      <c r="I510" s="29" t="inlineStr">
        <is>
          <t>GOOGLE BRASIL INTERNET LTDA</t>
        </is>
      </c>
      <c r="J510" s="29" t="inlineStr">
        <is>
          <t>Anúncios e campanhas digitais</t>
        </is>
      </c>
      <c r="K510" s="14" t="inlineStr">
        <is>
          <t>DOC 8442</t>
        </is>
      </c>
      <c r="L510" s="29" t="inlineStr">
        <is>
          <t>Nubank PJ — C/C 9876543-2</t>
        </is>
      </c>
      <c r="M510" s="14" t="inlineStr">
        <is>
          <t>Cartão de crédito</t>
        </is>
      </c>
      <c r="N510" s="29" t="inlineStr">
        <is>
          <t>Cartão Mastercard Nubank PJ</t>
        </is>
      </c>
      <c r="O510" s="13" t="n">
        <v>1</v>
      </c>
      <c r="P510" s="13" t="n">
        <v>1</v>
      </c>
      <c r="Q510" s="35" t="n">
        <v>1474.72</v>
      </c>
      <c r="R510" s="35" t="n"/>
      <c r="S510" s="35" t="n"/>
      <c r="T510" s="35" t="n"/>
      <c r="U510" s="35" t="n"/>
      <c r="V510" s="18">
        <f>IF(COUNTA($B510:$R510)=0,"",ROUND(N($R510)+N($S510)+N($T510)-N($U510),2))</f>
        <v/>
      </c>
      <c r="W510" s="18">
        <f>IF(COUNTA($B510:$R510)=0,"",IF(OR($X510="Pago",$X510="Recebido",$X510="Cancelado"),0,ROUND(N($Q510)+N($S510)+N($T510)-N($U510)-N($R510),2)))</f>
        <v/>
      </c>
      <c r="X510" s="14" t="inlineStr">
        <is>
          <t>Previsto</t>
        </is>
      </c>
      <c r="Y510" s="17">
        <f>IF(COUNTA($B510:$R510)=0,"",IF($X510="Cancelado","Cancelado",IF(OR($X510="Pago",$X510="Recebido"),$X510,IF(OR($X510="Parcial",N($R510)&gt;0),"Parcial",IF($C510="","Sem vencimento",IF($C510&lt;TODAY(),"Vencido",IF($C510=TODAY(),"Vence hoje",IF($C510&lt;=TODAY()+7,"Vence em 7 dias",IF($C510&lt;=TODAY()+30,"Vence em 30 dias","Futuro")))))))))</f>
        <v/>
      </c>
      <c r="Z510" s="24">
        <f>IF($B510="","",MONTH($B510))</f>
        <v/>
      </c>
      <c r="AA510" s="24">
        <f>IF($B510="","",YEAR($B510))</f>
        <v/>
      </c>
      <c r="AB510" s="24">
        <f>IF($B510="","",ISOWEEKNUM($B510))</f>
        <v/>
      </c>
      <c r="AC510" s="17">
        <f>IF($B510="","",CHOOSE(WEEKDAY($B510,2),"Segunda","Terça","Quarta","Quinta","Sexta","Sábado","Domingo"))</f>
        <v/>
      </c>
      <c r="AD510" s="17">
        <f>IF($B510="","",TEXT($B510,"MM/AAAA"))</f>
        <v/>
      </c>
      <c r="AE510" s="18">
        <f>IF(COUNTA($B510:$R510)=0,"",IF($X510="Cancelado",0,ROUND(N($Q510)+N($S510)+N($T510)-N($U510),2)))</f>
        <v/>
      </c>
      <c r="AF510" s="9">
        <f>IF($G510="","",IFERROR(INDEX(LINHAS_DRE_PLANO,MATCH($G510,SUBCATEGORIAS_PLANO,0)),"Não classificado"))</f>
        <v/>
      </c>
      <c r="AG510" s="17">
        <f>IF($G510="","",IFERROR(INDEX(TIPOS_FLUXO_PLANO,MATCH($G510,SUBCATEGORIAS_PLANO,0)),"Não classificado"))</f>
        <v/>
      </c>
      <c r="AH510" s="9">
        <f>IF($G510="","",IFERROR(INDEX(GRUPOS_PLANO,MATCH($G510,SUBCATEGORIAS_PLANO,0)),"Não classificado"))</f>
        <v/>
      </c>
      <c r="AI510" s="24">
        <f>IF(OR($C510="",$X510="Pago",$X510="Recebido",$X510="Cancelado"),"",$C510-TODAY())</f>
        <v/>
      </c>
      <c r="AJ510" s="24">
        <f>IF(OR($C510="",$X510="Pago",$X510="Recebido",$X510="Cancelado"),0,MAX(0,TODAY()-$C510))</f>
        <v/>
      </c>
      <c r="AK510" s="24">
        <f>IF($D510="","",$D510-$B510)</f>
        <v/>
      </c>
      <c r="AL510" s="18">
        <f>IF(OR($D510="",$B510=""),"",ROUND(N($R510)*($D510-$B510),2))</f>
        <v/>
      </c>
      <c r="AM510" s="17">
        <f>IF(AND($E510="Saída",$W510&gt;0,$C510&lt;&gt;""),$C510+ROW()/1000000,"")</f>
        <v/>
      </c>
      <c r="AN510" s="17">
        <f>IF(AND($E510="Entrada",$W510&gt;0,$C510&lt;&gt;""),$C510+ROW()/1000000,"")</f>
        <v/>
      </c>
      <c r="AO510" s="9">
        <f>IF(COUNTA($B510:$R510)=0,"",IF(AND($I510&lt;&gt;"",COUNTIF(CLIENTES_NOMES,$I510)+COUNTIF(CLIENTES_FANTASIA,$I510)+COUNTIF(FORNECEDORES_NOMES,$I510)+COUNTIF(FORNECEDORES_FANTASIA,$I510)=0),"⚠ Cliente/Fornecedor não cadastrado",IF(AND($G510&lt;&gt;"",COUNTIF(SUBCATEGORIAS_PLANO,$G510)=0),"⚠ Subcategoria fora do plano de contas",IF(OR($Q510="",N($Q510)=0),"⚠ Valor previsto não informado",IF(AND(OR($X510="Pago",$X510="Recebido"),$D510=""),"⚠ Status pago/recebido sem data",IF(AND($D510&lt;&gt;"",N($R510)=0),"⚠ Data de pagamento sem valor realizado",IF(AND(N($P510)&gt;1,N($O510)&gt;N($P510)),"⚠ Nº da parcela maior que o total",IF(AND($C510&lt;&gt;"",$B510&lt;&gt;"",$C510&lt;$B510),"⚠ Vencimento anterior à competência","OK"))))))))</f>
        <v/>
      </c>
    </row>
    <row r="511">
      <c r="A511" s="14" t="inlineStr">
        <is>
          <t>L0506</t>
        </is>
      </c>
      <c r="B511" s="36" t="n">
        <v>46344</v>
      </c>
      <c r="C511" s="36" t="n">
        <v>46381</v>
      </c>
      <c r="D511" s="36" t="n"/>
      <c r="E511" s="14" t="inlineStr">
        <is>
          <t>Saída</t>
        </is>
      </c>
      <c r="F511" s="29" t="inlineStr">
        <is>
          <t>Despesas Administrativas</t>
        </is>
      </c>
      <c r="G511" s="29" t="inlineStr">
        <is>
          <t>Manutenção e Conservação</t>
        </is>
      </c>
      <c r="H511" s="29" t="inlineStr">
        <is>
          <t>Logística</t>
        </is>
      </c>
      <c r="I511" s="29" t="inlineStr">
        <is>
          <t>Posto e oficina credenciados</t>
        </is>
      </c>
      <c r="J511" s="29" t="inlineStr">
        <is>
          <t>Combustível e manutenção da frota</t>
        </is>
      </c>
      <c r="K511" s="14" t="inlineStr">
        <is>
          <t>FROTA 11</t>
        </is>
      </c>
      <c r="L511" s="29" t="inlineStr">
        <is>
          <t>Banco do Brasil — C/C 12345-6</t>
        </is>
      </c>
      <c r="M511" s="14" t="inlineStr">
        <is>
          <t>Cartão de crédito</t>
        </is>
      </c>
      <c r="N511" s="29" t="inlineStr">
        <is>
          <t>Cartão Elo Banco do Brasil PJ</t>
        </is>
      </c>
      <c r="O511" s="13" t="n">
        <v>1</v>
      </c>
      <c r="P511" s="13" t="n">
        <v>1</v>
      </c>
      <c r="Q511" s="35" t="n">
        <v>899.33</v>
      </c>
      <c r="R511" s="35" t="n"/>
      <c r="S511" s="35" t="n"/>
      <c r="T511" s="35" t="n"/>
      <c r="U511" s="35" t="n"/>
      <c r="V511" s="18">
        <f>IF(COUNTA($B511:$R511)=0,"",ROUND(N($R511)+N($S511)+N($T511)-N($U511),2))</f>
        <v/>
      </c>
      <c r="W511" s="18">
        <f>IF(COUNTA($B511:$R511)=0,"",IF(OR($X511="Pago",$X511="Recebido",$X511="Cancelado"),0,ROUND(N($Q511)+N($S511)+N($T511)-N($U511)-N($R511),2)))</f>
        <v/>
      </c>
      <c r="X511" s="14" t="inlineStr">
        <is>
          <t>Previsto</t>
        </is>
      </c>
      <c r="Y511" s="17">
        <f>IF(COUNTA($B511:$R511)=0,"",IF($X511="Cancelado","Cancelado",IF(OR($X511="Pago",$X511="Recebido"),$X511,IF(OR($X511="Parcial",N($R511)&gt;0),"Parcial",IF($C511="","Sem vencimento",IF($C511&lt;TODAY(),"Vencido",IF($C511=TODAY(),"Vence hoje",IF($C511&lt;=TODAY()+7,"Vence em 7 dias",IF($C511&lt;=TODAY()+30,"Vence em 30 dias","Futuro")))))))))</f>
        <v/>
      </c>
      <c r="Z511" s="24">
        <f>IF($B511="","",MONTH($B511))</f>
        <v/>
      </c>
      <c r="AA511" s="24">
        <f>IF($B511="","",YEAR($B511))</f>
        <v/>
      </c>
      <c r="AB511" s="24">
        <f>IF($B511="","",ISOWEEKNUM($B511))</f>
        <v/>
      </c>
      <c r="AC511" s="17">
        <f>IF($B511="","",CHOOSE(WEEKDAY($B511,2),"Segunda","Terça","Quarta","Quinta","Sexta","Sábado","Domingo"))</f>
        <v/>
      </c>
      <c r="AD511" s="17">
        <f>IF($B511="","",TEXT($B511,"MM/AAAA"))</f>
        <v/>
      </c>
      <c r="AE511" s="18">
        <f>IF(COUNTA($B511:$R511)=0,"",IF($X511="Cancelado",0,ROUND(N($Q511)+N($S511)+N($T511)-N($U511),2)))</f>
        <v/>
      </c>
      <c r="AF511" s="9">
        <f>IF($G511="","",IFERROR(INDEX(LINHAS_DRE_PLANO,MATCH($G511,SUBCATEGORIAS_PLANO,0)),"Não classificado"))</f>
        <v/>
      </c>
      <c r="AG511" s="17">
        <f>IF($G511="","",IFERROR(INDEX(TIPOS_FLUXO_PLANO,MATCH($G511,SUBCATEGORIAS_PLANO,0)),"Não classificado"))</f>
        <v/>
      </c>
      <c r="AH511" s="9">
        <f>IF($G511="","",IFERROR(INDEX(GRUPOS_PLANO,MATCH($G511,SUBCATEGORIAS_PLANO,0)),"Não classificado"))</f>
        <v/>
      </c>
      <c r="AI511" s="24">
        <f>IF(OR($C511="",$X511="Pago",$X511="Recebido",$X511="Cancelado"),"",$C511-TODAY())</f>
        <v/>
      </c>
      <c r="AJ511" s="24">
        <f>IF(OR($C511="",$X511="Pago",$X511="Recebido",$X511="Cancelado"),0,MAX(0,TODAY()-$C511))</f>
        <v/>
      </c>
      <c r="AK511" s="24">
        <f>IF($D511="","",$D511-$B511)</f>
        <v/>
      </c>
      <c r="AL511" s="18">
        <f>IF(OR($D511="",$B511=""),"",ROUND(N($R511)*($D511-$B511),2))</f>
        <v/>
      </c>
      <c r="AM511" s="17">
        <f>IF(AND($E511="Saída",$W511&gt;0,$C511&lt;&gt;""),$C511+ROW()/1000000,"")</f>
        <v/>
      </c>
      <c r="AN511" s="17">
        <f>IF(AND($E511="Entrada",$W511&gt;0,$C511&lt;&gt;""),$C511+ROW()/1000000,"")</f>
        <v/>
      </c>
      <c r="AO511" s="9">
        <f>IF(COUNTA($B511:$R511)=0,"",IF(AND($I511&lt;&gt;"",COUNTIF(CLIENTES_NOMES,$I511)+COUNTIF(CLIENTES_FANTASIA,$I511)+COUNTIF(FORNECEDORES_NOMES,$I511)+COUNTIF(FORNECEDORES_FANTASIA,$I511)=0),"⚠ Cliente/Fornecedor não cadastrado",IF(AND($G511&lt;&gt;"",COUNTIF(SUBCATEGORIAS_PLANO,$G511)=0),"⚠ Subcategoria fora do plano de contas",IF(OR($Q511="",N($Q511)=0),"⚠ Valor previsto não informado",IF(AND(OR($X511="Pago",$X511="Recebido"),$D511=""),"⚠ Status pago/recebido sem data",IF(AND($D511&lt;&gt;"",N($R511)=0),"⚠ Data de pagamento sem valor realizado",IF(AND(N($P511)&gt;1,N($O511)&gt;N($P511)),"⚠ Nº da parcela maior que o total",IF(AND($C511&lt;&gt;"",$B511&lt;&gt;"",$C511&lt;$B511),"⚠ Vencimento anterior à competência","OK"))))))))</f>
        <v/>
      </c>
    </row>
    <row r="512">
      <c r="A512" s="14" t="inlineStr">
        <is>
          <t>L0507</t>
        </is>
      </c>
      <c r="B512" s="36" t="n">
        <v>46345</v>
      </c>
      <c r="C512" s="36" t="n">
        <v>46377</v>
      </c>
      <c r="D512" s="36" t="n"/>
      <c r="E512" s="14" t="inlineStr">
        <is>
          <t>Entrada</t>
        </is>
      </c>
      <c r="F512" s="29" t="inlineStr">
        <is>
          <t>Vendas</t>
        </is>
      </c>
      <c r="G512" s="29" t="inlineStr">
        <is>
          <t>Vendas de Produtos</t>
        </is>
      </c>
      <c r="H512" s="29" t="inlineStr">
        <is>
          <t>Comercial</t>
        </is>
      </c>
      <c r="I512" s="29" t="inlineStr">
        <is>
          <t>MERCADO BOA COMPRA LTDA</t>
        </is>
      </c>
      <c r="J512" s="29" t="inlineStr">
        <is>
          <t>Venda de mercadorias para revenda</t>
        </is>
      </c>
      <c r="K512" s="14" t="inlineStr">
        <is>
          <t>NF-e 2120</t>
        </is>
      </c>
      <c r="L512" s="29" t="inlineStr">
        <is>
          <t>Banco do Brasil — C/C 12345-6</t>
        </is>
      </c>
      <c r="M512" s="14" t="inlineStr">
        <is>
          <t>Boleto</t>
        </is>
      </c>
      <c r="N512" s="29" t="n"/>
      <c r="O512" s="13" t="n">
        <v>1</v>
      </c>
      <c r="P512" s="13" t="n">
        <v>1</v>
      </c>
      <c r="Q512" s="35" t="n">
        <v>30166.77</v>
      </c>
      <c r="R512" s="35" t="n"/>
      <c r="S512" s="35" t="n"/>
      <c r="T512" s="35" t="n"/>
      <c r="U512" s="35" t="n"/>
      <c r="V512" s="18">
        <f>IF(COUNTA($B512:$R512)=0,"",ROUND(N($R512)+N($S512)+N($T512)-N($U512),2))</f>
        <v/>
      </c>
      <c r="W512" s="18">
        <f>IF(COUNTA($B512:$R512)=0,"",IF(OR($X512="Pago",$X512="Recebido",$X512="Cancelado"),0,ROUND(N($Q512)+N($S512)+N($T512)-N($U512)-N($R512),2)))</f>
        <v/>
      </c>
      <c r="X512" s="14" t="inlineStr">
        <is>
          <t>Previsto</t>
        </is>
      </c>
      <c r="Y512" s="17">
        <f>IF(COUNTA($B512:$R512)=0,"",IF($X512="Cancelado","Cancelado",IF(OR($X512="Pago",$X512="Recebido"),$X512,IF(OR($X512="Parcial",N($R512)&gt;0),"Parcial",IF($C512="","Sem vencimento",IF($C512&lt;TODAY(),"Vencido",IF($C512=TODAY(),"Vence hoje",IF($C512&lt;=TODAY()+7,"Vence em 7 dias",IF($C512&lt;=TODAY()+30,"Vence em 30 dias","Futuro")))))))))</f>
        <v/>
      </c>
      <c r="Z512" s="24">
        <f>IF($B512="","",MONTH($B512))</f>
        <v/>
      </c>
      <c r="AA512" s="24">
        <f>IF($B512="","",YEAR($B512))</f>
        <v/>
      </c>
      <c r="AB512" s="24">
        <f>IF($B512="","",ISOWEEKNUM($B512))</f>
        <v/>
      </c>
      <c r="AC512" s="17">
        <f>IF($B512="","",CHOOSE(WEEKDAY($B512,2),"Segunda","Terça","Quarta","Quinta","Sexta","Sábado","Domingo"))</f>
        <v/>
      </c>
      <c r="AD512" s="17">
        <f>IF($B512="","",TEXT($B512,"MM/AAAA"))</f>
        <v/>
      </c>
      <c r="AE512" s="18">
        <f>IF(COUNTA($B512:$R512)=0,"",IF($X512="Cancelado",0,ROUND(N($Q512)+N($S512)+N($T512)-N($U512),2)))</f>
        <v/>
      </c>
      <c r="AF512" s="9">
        <f>IF($G512="","",IFERROR(INDEX(LINHAS_DRE_PLANO,MATCH($G512,SUBCATEGORIAS_PLANO,0)),"Não classificado"))</f>
        <v/>
      </c>
      <c r="AG512" s="17">
        <f>IF($G512="","",IFERROR(INDEX(TIPOS_FLUXO_PLANO,MATCH($G512,SUBCATEGORIAS_PLANO,0)),"Não classificado"))</f>
        <v/>
      </c>
      <c r="AH512" s="9">
        <f>IF($G512="","",IFERROR(INDEX(GRUPOS_PLANO,MATCH($G512,SUBCATEGORIAS_PLANO,0)),"Não classificado"))</f>
        <v/>
      </c>
      <c r="AI512" s="24">
        <f>IF(OR($C512="",$X512="Pago",$X512="Recebido",$X512="Cancelado"),"",$C512-TODAY())</f>
        <v/>
      </c>
      <c r="AJ512" s="24">
        <f>IF(OR($C512="",$X512="Pago",$X512="Recebido",$X512="Cancelado"),0,MAX(0,TODAY()-$C512))</f>
        <v/>
      </c>
      <c r="AK512" s="24">
        <f>IF($D512="","",$D512-$B512)</f>
        <v/>
      </c>
      <c r="AL512" s="18">
        <f>IF(OR($D512="",$B512=""),"",ROUND(N($R512)*($D512-$B512),2))</f>
        <v/>
      </c>
      <c r="AM512" s="17">
        <f>IF(AND($E512="Saída",$W512&gt;0,$C512&lt;&gt;""),$C512+ROW()/1000000,"")</f>
        <v/>
      </c>
      <c r="AN512" s="17">
        <f>IF(AND($E512="Entrada",$W512&gt;0,$C512&lt;&gt;""),$C512+ROW()/1000000,"")</f>
        <v/>
      </c>
      <c r="AO512" s="9">
        <f>IF(COUNTA($B512:$R512)=0,"",IF(AND($I512&lt;&gt;"",COUNTIF(CLIENTES_NOMES,$I512)+COUNTIF(CLIENTES_FANTASIA,$I512)+COUNTIF(FORNECEDORES_NOMES,$I512)+COUNTIF(FORNECEDORES_FANTASIA,$I512)=0),"⚠ Cliente/Fornecedor não cadastrado",IF(AND($G512&lt;&gt;"",COUNTIF(SUBCATEGORIAS_PLANO,$G512)=0),"⚠ Subcategoria fora do plano de contas",IF(OR($Q512="",N($Q512)=0),"⚠ Valor previsto não informado",IF(AND(OR($X512="Pago",$X512="Recebido"),$D512=""),"⚠ Status pago/recebido sem data",IF(AND($D512&lt;&gt;"",N($R512)=0),"⚠ Data de pagamento sem valor realizado",IF(AND(N($P512)&gt;1,N($O512)&gt;N($P512)),"⚠ Nº da parcela maior que o total",IF(AND($C512&lt;&gt;"",$B512&lt;&gt;"",$C512&lt;$B512),"⚠ Vencimento anterior à competência","OK"))))))))</f>
        <v/>
      </c>
    </row>
    <row r="513">
      <c r="A513" s="14" t="inlineStr">
        <is>
          <t>L0508</t>
        </is>
      </c>
      <c r="B513" s="36" t="n">
        <v>46345</v>
      </c>
      <c r="C513" s="36" t="n">
        <v>46360</v>
      </c>
      <c r="D513" s="36" t="n"/>
      <c r="E513" s="14" t="inlineStr">
        <is>
          <t>Entrada</t>
        </is>
      </c>
      <c r="F513" s="29" t="inlineStr">
        <is>
          <t>Vendas</t>
        </is>
      </c>
      <c r="G513" s="29" t="inlineStr">
        <is>
          <t>Vendas de Produtos</t>
        </is>
      </c>
      <c r="H513" s="29" t="inlineStr">
        <is>
          <t>Comercial</t>
        </is>
      </c>
      <c r="I513" s="29" t="inlineStr">
        <is>
          <t>RESTAURANTE SABOR CASEIRO LTDA</t>
        </is>
      </c>
      <c r="J513" s="29" t="inlineStr">
        <is>
          <t>Venda de mercadorias para revenda</t>
        </is>
      </c>
      <c r="K513" s="14" t="inlineStr">
        <is>
          <t>NF-e 2124</t>
        </is>
      </c>
      <c r="L513" s="29" t="inlineStr">
        <is>
          <t>Itaú Unibanco — C/C 45678-9</t>
        </is>
      </c>
      <c r="M513" s="14" t="inlineStr">
        <is>
          <t>Boleto</t>
        </is>
      </c>
      <c r="N513" s="29" t="n"/>
      <c r="O513" s="13" t="n">
        <v>1</v>
      </c>
      <c r="P513" s="13" t="n">
        <v>1</v>
      </c>
      <c r="Q513" s="35" t="n">
        <v>14282.82</v>
      </c>
      <c r="R513" s="35" t="n"/>
      <c r="S513" s="35" t="n"/>
      <c r="T513" s="35" t="n"/>
      <c r="U513" s="35" t="n"/>
      <c r="V513" s="18">
        <f>IF(COUNTA($B513:$R513)=0,"",ROUND(N($R513)+N($S513)+N($T513)-N($U513),2))</f>
        <v/>
      </c>
      <c r="W513" s="18">
        <f>IF(COUNTA($B513:$R513)=0,"",IF(OR($X513="Pago",$X513="Recebido",$X513="Cancelado"),0,ROUND(N($Q513)+N($S513)+N($T513)-N($U513)-N($R513),2)))</f>
        <v/>
      </c>
      <c r="X513" s="14" t="inlineStr">
        <is>
          <t>Previsto</t>
        </is>
      </c>
      <c r="Y513" s="17">
        <f>IF(COUNTA($B513:$R513)=0,"",IF($X513="Cancelado","Cancelado",IF(OR($X513="Pago",$X513="Recebido"),$X513,IF(OR($X513="Parcial",N($R513)&gt;0),"Parcial",IF($C513="","Sem vencimento",IF($C513&lt;TODAY(),"Vencido",IF($C513=TODAY(),"Vence hoje",IF($C513&lt;=TODAY()+7,"Vence em 7 dias",IF($C513&lt;=TODAY()+30,"Vence em 30 dias","Futuro")))))))))</f>
        <v/>
      </c>
      <c r="Z513" s="24">
        <f>IF($B513="","",MONTH($B513))</f>
        <v/>
      </c>
      <c r="AA513" s="24">
        <f>IF($B513="","",YEAR($B513))</f>
        <v/>
      </c>
      <c r="AB513" s="24">
        <f>IF($B513="","",ISOWEEKNUM($B513))</f>
        <v/>
      </c>
      <c r="AC513" s="17">
        <f>IF($B513="","",CHOOSE(WEEKDAY($B513,2),"Segunda","Terça","Quarta","Quinta","Sexta","Sábado","Domingo"))</f>
        <v/>
      </c>
      <c r="AD513" s="17">
        <f>IF($B513="","",TEXT($B513,"MM/AAAA"))</f>
        <v/>
      </c>
      <c r="AE513" s="18">
        <f>IF(COUNTA($B513:$R513)=0,"",IF($X513="Cancelado",0,ROUND(N($Q513)+N($S513)+N($T513)-N($U513),2)))</f>
        <v/>
      </c>
      <c r="AF513" s="9">
        <f>IF($G513="","",IFERROR(INDEX(LINHAS_DRE_PLANO,MATCH($G513,SUBCATEGORIAS_PLANO,0)),"Não classificado"))</f>
        <v/>
      </c>
      <c r="AG513" s="17">
        <f>IF($G513="","",IFERROR(INDEX(TIPOS_FLUXO_PLANO,MATCH($G513,SUBCATEGORIAS_PLANO,0)),"Não classificado"))</f>
        <v/>
      </c>
      <c r="AH513" s="9">
        <f>IF($G513="","",IFERROR(INDEX(GRUPOS_PLANO,MATCH($G513,SUBCATEGORIAS_PLANO,0)),"Não classificado"))</f>
        <v/>
      </c>
      <c r="AI513" s="24">
        <f>IF(OR($C513="",$X513="Pago",$X513="Recebido",$X513="Cancelado"),"",$C513-TODAY())</f>
        <v/>
      </c>
      <c r="AJ513" s="24">
        <f>IF(OR($C513="",$X513="Pago",$X513="Recebido",$X513="Cancelado"),0,MAX(0,TODAY()-$C513))</f>
        <v/>
      </c>
      <c r="AK513" s="24">
        <f>IF($D513="","",$D513-$B513)</f>
        <v/>
      </c>
      <c r="AL513" s="18">
        <f>IF(OR($D513="",$B513=""),"",ROUND(N($R513)*($D513-$B513),2))</f>
        <v/>
      </c>
      <c r="AM513" s="17">
        <f>IF(AND($E513="Saída",$W513&gt;0,$C513&lt;&gt;""),$C513+ROW()/1000000,"")</f>
        <v/>
      </c>
      <c r="AN513" s="17">
        <f>IF(AND($E513="Entrada",$W513&gt;0,$C513&lt;&gt;""),$C513+ROW()/1000000,"")</f>
        <v/>
      </c>
      <c r="AO513" s="9">
        <f>IF(COUNTA($B513:$R513)=0,"",IF(AND($I513&lt;&gt;"",COUNTIF(CLIENTES_NOMES,$I513)+COUNTIF(CLIENTES_FANTASIA,$I513)+COUNTIF(FORNECEDORES_NOMES,$I513)+COUNTIF(FORNECEDORES_FANTASIA,$I513)=0),"⚠ Cliente/Fornecedor não cadastrado",IF(AND($G513&lt;&gt;"",COUNTIF(SUBCATEGORIAS_PLANO,$G513)=0),"⚠ Subcategoria fora do plano de contas",IF(OR($Q513="",N($Q513)=0),"⚠ Valor previsto não informado",IF(AND(OR($X513="Pago",$X513="Recebido"),$D513=""),"⚠ Status pago/recebido sem data",IF(AND($D513&lt;&gt;"",N($R513)=0),"⚠ Data de pagamento sem valor realizado",IF(AND(N($P513)&gt;1,N($O513)&gt;N($P513)),"⚠ Nº da parcela maior que o total",IF(AND($C513&lt;&gt;"",$B513&lt;&gt;"",$C513&lt;$B513),"⚠ Vencimento anterior à competência","OK"))))))))</f>
        <v/>
      </c>
    </row>
    <row r="514">
      <c r="A514" s="14" t="inlineStr">
        <is>
          <t>L0509</t>
        </is>
      </c>
      <c r="B514" s="36" t="n">
        <v>46345</v>
      </c>
      <c r="C514" s="36" t="n">
        <v>46366</v>
      </c>
      <c r="D514" s="36" t="n"/>
      <c r="E514" s="14" t="inlineStr">
        <is>
          <t>Entrada</t>
        </is>
      </c>
      <c r="F514" s="29" t="inlineStr">
        <is>
          <t>Vendas</t>
        </is>
      </c>
      <c r="G514" s="29" t="inlineStr">
        <is>
          <t>Vendas de Produtos</t>
        </is>
      </c>
      <c r="H514" s="29" t="inlineStr">
        <is>
          <t>Comercial</t>
        </is>
      </c>
      <c r="I514" s="29" t="inlineStr">
        <is>
          <t>EMPÓRIO NATURAL COMÉRCIO LTDA</t>
        </is>
      </c>
      <c r="J514" s="29" t="inlineStr">
        <is>
          <t>Venda de mercadorias para revenda</t>
        </is>
      </c>
      <c r="K514" s="14" t="inlineStr">
        <is>
          <t>NF-e 2128</t>
        </is>
      </c>
      <c r="L514" s="29" t="inlineStr">
        <is>
          <t>Itaú Unibanco — C/C 45678-9</t>
        </is>
      </c>
      <c r="M514" s="14" t="inlineStr">
        <is>
          <t>Boleto</t>
        </is>
      </c>
      <c r="N514" s="29" t="n"/>
      <c r="O514" s="13" t="n">
        <v>1</v>
      </c>
      <c r="P514" s="13" t="n">
        <v>1</v>
      </c>
      <c r="Q514" s="35" t="n">
        <v>19331.88</v>
      </c>
      <c r="R514" s="35" t="n"/>
      <c r="S514" s="35" t="n"/>
      <c r="T514" s="35" t="n"/>
      <c r="U514" s="35" t="n"/>
      <c r="V514" s="18">
        <f>IF(COUNTA($B514:$R514)=0,"",ROUND(N($R514)+N($S514)+N($T514)-N($U514),2))</f>
        <v/>
      </c>
      <c r="W514" s="18">
        <f>IF(COUNTA($B514:$R514)=0,"",IF(OR($X514="Pago",$X514="Recebido",$X514="Cancelado"),0,ROUND(N($Q514)+N($S514)+N($T514)-N($U514)-N($R514),2)))</f>
        <v/>
      </c>
      <c r="X514" s="14" t="inlineStr">
        <is>
          <t>Previsto</t>
        </is>
      </c>
      <c r="Y514" s="17">
        <f>IF(COUNTA($B514:$R514)=0,"",IF($X514="Cancelado","Cancelado",IF(OR($X514="Pago",$X514="Recebido"),$X514,IF(OR($X514="Parcial",N($R514)&gt;0),"Parcial",IF($C514="","Sem vencimento",IF($C514&lt;TODAY(),"Vencido",IF($C514=TODAY(),"Vence hoje",IF($C514&lt;=TODAY()+7,"Vence em 7 dias",IF($C514&lt;=TODAY()+30,"Vence em 30 dias","Futuro")))))))))</f>
        <v/>
      </c>
      <c r="Z514" s="24">
        <f>IF($B514="","",MONTH($B514))</f>
        <v/>
      </c>
      <c r="AA514" s="24">
        <f>IF($B514="","",YEAR($B514))</f>
        <v/>
      </c>
      <c r="AB514" s="24">
        <f>IF($B514="","",ISOWEEKNUM($B514))</f>
        <v/>
      </c>
      <c r="AC514" s="17">
        <f>IF($B514="","",CHOOSE(WEEKDAY($B514,2),"Segunda","Terça","Quarta","Quinta","Sexta","Sábado","Domingo"))</f>
        <v/>
      </c>
      <c r="AD514" s="17">
        <f>IF($B514="","",TEXT($B514,"MM/AAAA"))</f>
        <v/>
      </c>
      <c r="AE514" s="18">
        <f>IF(COUNTA($B514:$R514)=0,"",IF($X514="Cancelado",0,ROUND(N($Q514)+N($S514)+N($T514)-N($U514),2)))</f>
        <v/>
      </c>
      <c r="AF514" s="9">
        <f>IF($G514="","",IFERROR(INDEX(LINHAS_DRE_PLANO,MATCH($G514,SUBCATEGORIAS_PLANO,0)),"Não classificado"))</f>
        <v/>
      </c>
      <c r="AG514" s="17">
        <f>IF($G514="","",IFERROR(INDEX(TIPOS_FLUXO_PLANO,MATCH($G514,SUBCATEGORIAS_PLANO,0)),"Não classificado"))</f>
        <v/>
      </c>
      <c r="AH514" s="9">
        <f>IF($G514="","",IFERROR(INDEX(GRUPOS_PLANO,MATCH($G514,SUBCATEGORIAS_PLANO,0)),"Não classificado"))</f>
        <v/>
      </c>
      <c r="AI514" s="24">
        <f>IF(OR($C514="",$X514="Pago",$X514="Recebido",$X514="Cancelado"),"",$C514-TODAY())</f>
        <v/>
      </c>
      <c r="AJ514" s="24">
        <f>IF(OR($C514="",$X514="Pago",$X514="Recebido",$X514="Cancelado"),0,MAX(0,TODAY()-$C514))</f>
        <v/>
      </c>
      <c r="AK514" s="24">
        <f>IF($D514="","",$D514-$B514)</f>
        <v/>
      </c>
      <c r="AL514" s="18">
        <f>IF(OR($D514="",$B514=""),"",ROUND(N($R514)*($D514-$B514),2))</f>
        <v/>
      </c>
      <c r="AM514" s="17">
        <f>IF(AND($E514="Saída",$W514&gt;0,$C514&lt;&gt;""),$C514+ROW()/1000000,"")</f>
        <v/>
      </c>
      <c r="AN514" s="17">
        <f>IF(AND($E514="Entrada",$W514&gt;0,$C514&lt;&gt;""),$C514+ROW()/1000000,"")</f>
        <v/>
      </c>
      <c r="AO514" s="9">
        <f>IF(COUNTA($B514:$R514)=0,"",IF(AND($I514&lt;&gt;"",COUNTIF(CLIENTES_NOMES,$I514)+COUNTIF(CLIENTES_FANTASIA,$I514)+COUNTIF(FORNECEDORES_NOMES,$I514)+COUNTIF(FORNECEDORES_FANTASIA,$I514)=0),"⚠ Cliente/Fornecedor não cadastrado",IF(AND($G514&lt;&gt;"",COUNTIF(SUBCATEGORIAS_PLANO,$G514)=0),"⚠ Subcategoria fora do plano de contas",IF(OR($Q514="",N($Q514)=0),"⚠ Valor previsto não informado",IF(AND(OR($X514="Pago",$X514="Recebido"),$D514=""),"⚠ Status pago/recebido sem data",IF(AND($D514&lt;&gt;"",N($R514)=0),"⚠ Data de pagamento sem valor realizado",IF(AND(N($P514)&gt;1,N($O514)&gt;N($P514)),"⚠ Nº da parcela maior que o total",IF(AND($C514&lt;&gt;"",$B514&lt;&gt;"",$C514&lt;$B514),"⚠ Vencimento anterior à competência","OK"))))))))</f>
        <v/>
      </c>
    </row>
    <row r="515">
      <c r="A515" s="14" t="inlineStr">
        <is>
          <t>L0510</t>
        </is>
      </c>
      <c r="B515" s="36" t="n">
        <v>46346</v>
      </c>
      <c r="C515" s="36" t="n">
        <v>46356</v>
      </c>
      <c r="D515" s="36" t="n"/>
      <c r="E515" s="14" t="inlineStr">
        <is>
          <t>Saída</t>
        </is>
      </c>
      <c r="F515" s="29" t="inlineStr">
        <is>
          <t>Custos Variáveis</t>
        </is>
      </c>
      <c r="G515" s="29" t="inlineStr">
        <is>
          <t>Outros Custos Diretos</t>
        </is>
      </c>
      <c r="H515" s="29" t="inlineStr">
        <is>
          <t>Produção</t>
        </is>
      </c>
      <c r="I515" s="29" t="inlineStr">
        <is>
          <t>APOIO OPERACIONAL SERVIÇOS LTDA</t>
        </is>
      </c>
      <c r="J515" s="29" t="inlineStr">
        <is>
          <t>Serviços de apoio à operação e expedição</t>
        </is>
      </c>
      <c r="K515" s="14" t="inlineStr">
        <is>
          <t>DOC 7255</t>
        </is>
      </c>
      <c r="L515" s="29" t="inlineStr">
        <is>
          <t>Banco do Brasil — C/C 12345-6</t>
        </is>
      </c>
      <c r="M515" s="14" t="inlineStr">
        <is>
          <t>PIX</t>
        </is>
      </c>
      <c r="N515" s="29" t="n"/>
      <c r="O515" s="13" t="n">
        <v>1</v>
      </c>
      <c r="P515" s="13" t="n">
        <v>1</v>
      </c>
      <c r="Q515" s="35" t="n">
        <v>1082.06</v>
      </c>
      <c r="R515" s="35" t="n"/>
      <c r="S515" s="35" t="n"/>
      <c r="T515" s="35" t="n"/>
      <c r="U515" s="35" t="n"/>
      <c r="V515" s="18">
        <f>IF(COUNTA($B515:$R515)=0,"",ROUND(N($R515)+N($S515)+N($T515)-N($U515),2))</f>
        <v/>
      </c>
      <c r="W515" s="18">
        <f>IF(COUNTA($B515:$R515)=0,"",IF(OR($X515="Pago",$X515="Recebido",$X515="Cancelado"),0,ROUND(N($Q515)+N($S515)+N($T515)-N($U515)-N($R515),2)))</f>
        <v/>
      </c>
      <c r="X515" s="14" t="inlineStr">
        <is>
          <t>Previsto</t>
        </is>
      </c>
      <c r="Y515" s="17">
        <f>IF(COUNTA($B515:$R515)=0,"",IF($X515="Cancelado","Cancelado",IF(OR($X515="Pago",$X515="Recebido"),$X515,IF(OR($X515="Parcial",N($R515)&gt;0),"Parcial",IF($C515="","Sem vencimento",IF($C515&lt;TODAY(),"Vencido",IF($C515=TODAY(),"Vence hoje",IF($C515&lt;=TODAY()+7,"Vence em 7 dias",IF($C515&lt;=TODAY()+30,"Vence em 30 dias","Futuro")))))))))</f>
        <v/>
      </c>
      <c r="Z515" s="24">
        <f>IF($B515="","",MONTH($B515))</f>
        <v/>
      </c>
      <c r="AA515" s="24">
        <f>IF($B515="","",YEAR($B515))</f>
        <v/>
      </c>
      <c r="AB515" s="24">
        <f>IF($B515="","",ISOWEEKNUM($B515))</f>
        <v/>
      </c>
      <c r="AC515" s="17">
        <f>IF($B515="","",CHOOSE(WEEKDAY($B515,2),"Segunda","Terça","Quarta","Quinta","Sexta","Sábado","Domingo"))</f>
        <v/>
      </c>
      <c r="AD515" s="17">
        <f>IF($B515="","",TEXT($B515,"MM/AAAA"))</f>
        <v/>
      </c>
      <c r="AE515" s="18">
        <f>IF(COUNTA($B515:$R515)=0,"",IF($X515="Cancelado",0,ROUND(N($Q515)+N($S515)+N($T515)-N($U515),2)))</f>
        <v/>
      </c>
      <c r="AF515" s="9">
        <f>IF($G515="","",IFERROR(INDEX(LINHAS_DRE_PLANO,MATCH($G515,SUBCATEGORIAS_PLANO,0)),"Não classificado"))</f>
        <v/>
      </c>
      <c r="AG515" s="17">
        <f>IF($G515="","",IFERROR(INDEX(TIPOS_FLUXO_PLANO,MATCH($G515,SUBCATEGORIAS_PLANO,0)),"Não classificado"))</f>
        <v/>
      </c>
      <c r="AH515" s="9">
        <f>IF($G515="","",IFERROR(INDEX(GRUPOS_PLANO,MATCH($G515,SUBCATEGORIAS_PLANO,0)),"Não classificado"))</f>
        <v/>
      </c>
      <c r="AI515" s="24">
        <f>IF(OR($C515="",$X515="Pago",$X515="Recebido",$X515="Cancelado"),"",$C515-TODAY())</f>
        <v/>
      </c>
      <c r="AJ515" s="24">
        <f>IF(OR($C515="",$X515="Pago",$X515="Recebido",$X515="Cancelado"),0,MAX(0,TODAY()-$C515))</f>
        <v/>
      </c>
      <c r="AK515" s="24">
        <f>IF($D515="","",$D515-$B515)</f>
        <v/>
      </c>
      <c r="AL515" s="18">
        <f>IF(OR($D515="",$B515=""),"",ROUND(N($R515)*($D515-$B515),2))</f>
        <v/>
      </c>
      <c r="AM515" s="17">
        <f>IF(AND($E515="Saída",$W515&gt;0,$C515&lt;&gt;""),$C515+ROW()/1000000,"")</f>
        <v/>
      </c>
      <c r="AN515" s="17">
        <f>IF(AND($E515="Entrada",$W515&gt;0,$C515&lt;&gt;""),$C515+ROW()/1000000,"")</f>
        <v/>
      </c>
      <c r="AO515" s="9">
        <f>IF(COUNTA($B515:$R515)=0,"",IF(AND($I515&lt;&gt;"",COUNTIF(CLIENTES_NOMES,$I515)+COUNTIF(CLIENTES_FANTASIA,$I515)+COUNTIF(FORNECEDORES_NOMES,$I515)+COUNTIF(FORNECEDORES_FANTASIA,$I515)=0),"⚠ Cliente/Fornecedor não cadastrado",IF(AND($G515&lt;&gt;"",COUNTIF(SUBCATEGORIAS_PLANO,$G515)=0),"⚠ Subcategoria fora do plano de contas",IF(OR($Q515="",N($Q515)=0),"⚠ Valor previsto não informado",IF(AND(OR($X515="Pago",$X515="Recebido"),$D515=""),"⚠ Status pago/recebido sem data",IF(AND($D515&lt;&gt;"",N($R515)=0),"⚠ Data de pagamento sem valor realizado",IF(AND(N($P515)&gt;1,N($O515)&gt;N($P515)),"⚠ Nº da parcela maior que o total",IF(AND($C515&lt;&gt;"",$B515&lt;&gt;"",$C515&lt;$B515),"⚠ Vencimento anterior à competência","OK"))))))))</f>
        <v/>
      </c>
    </row>
    <row r="516">
      <c r="A516" s="14" t="inlineStr">
        <is>
          <t>L0511</t>
        </is>
      </c>
      <c r="B516" s="36" t="n">
        <v>46346</v>
      </c>
      <c r="C516" s="36" t="n">
        <v>46376</v>
      </c>
      <c r="D516" s="36" t="n"/>
      <c r="E516" s="14" t="inlineStr">
        <is>
          <t>Saída</t>
        </is>
      </c>
      <c r="F516" s="29" t="inlineStr">
        <is>
          <t>Tributos</t>
        </is>
      </c>
      <c r="G516" s="29" t="inlineStr">
        <is>
          <t>Simples Nacional</t>
        </is>
      </c>
      <c r="H516" s="29" t="inlineStr">
        <is>
          <t>Financeiro</t>
        </is>
      </c>
      <c r="I516" s="29" t="inlineStr">
        <is>
          <t>RECEITA FEDERAL DO BRASIL</t>
        </is>
      </c>
      <c r="J516" s="29" t="inlineStr">
        <is>
          <t>Simples Nacional — competência 11/2026</t>
        </is>
      </c>
      <c r="K516" s="14" t="inlineStr">
        <is>
          <t>DAS 11/2026</t>
        </is>
      </c>
      <c r="L516" s="29" t="inlineStr">
        <is>
          <t>Banco do Brasil — C/C 12345-6</t>
        </is>
      </c>
      <c r="M516" s="14" t="inlineStr">
        <is>
          <t>Transferência</t>
        </is>
      </c>
      <c r="N516" s="29" t="n"/>
      <c r="O516" s="13" t="n">
        <v>1</v>
      </c>
      <c r="P516" s="13" t="n">
        <v>1</v>
      </c>
      <c r="Q516" s="35" t="n">
        <v>22500.55</v>
      </c>
      <c r="R516" s="35" t="n"/>
      <c r="S516" s="35" t="n"/>
      <c r="T516" s="35" t="n"/>
      <c r="U516" s="35" t="n"/>
      <c r="V516" s="18">
        <f>IF(COUNTA($B516:$R516)=0,"",ROUND(N($R516)+N($S516)+N($T516)-N($U516),2))</f>
        <v/>
      </c>
      <c r="W516" s="18">
        <f>IF(COUNTA($B516:$R516)=0,"",IF(OR($X516="Pago",$X516="Recebido",$X516="Cancelado"),0,ROUND(N($Q516)+N($S516)+N($T516)-N($U516)-N($R516),2)))</f>
        <v/>
      </c>
      <c r="X516" s="14" t="inlineStr">
        <is>
          <t>Previsto</t>
        </is>
      </c>
      <c r="Y516" s="17">
        <f>IF(COUNTA($B516:$R516)=0,"",IF($X516="Cancelado","Cancelado",IF(OR($X516="Pago",$X516="Recebido"),$X516,IF(OR($X516="Parcial",N($R516)&gt;0),"Parcial",IF($C516="","Sem vencimento",IF($C516&lt;TODAY(),"Vencido",IF($C516=TODAY(),"Vence hoje",IF($C516&lt;=TODAY()+7,"Vence em 7 dias",IF($C516&lt;=TODAY()+30,"Vence em 30 dias","Futuro")))))))))</f>
        <v/>
      </c>
      <c r="Z516" s="24">
        <f>IF($B516="","",MONTH($B516))</f>
        <v/>
      </c>
      <c r="AA516" s="24">
        <f>IF($B516="","",YEAR($B516))</f>
        <v/>
      </c>
      <c r="AB516" s="24">
        <f>IF($B516="","",ISOWEEKNUM($B516))</f>
        <v/>
      </c>
      <c r="AC516" s="17">
        <f>IF($B516="","",CHOOSE(WEEKDAY($B516,2),"Segunda","Terça","Quarta","Quinta","Sexta","Sábado","Domingo"))</f>
        <v/>
      </c>
      <c r="AD516" s="17">
        <f>IF($B516="","",TEXT($B516,"MM/AAAA"))</f>
        <v/>
      </c>
      <c r="AE516" s="18">
        <f>IF(COUNTA($B516:$R516)=0,"",IF($X516="Cancelado",0,ROUND(N($Q516)+N($S516)+N($T516)-N($U516),2)))</f>
        <v/>
      </c>
      <c r="AF516" s="9">
        <f>IF($G516="","",IFERROR(INDEX(LINHAS_DRE_PLANO,MATCH($G516,SUBCATEGORIAS_PLANO,0)),"Não classificado"))</f>
        <v/>
      </c>
      <c r="AG516" s="17">
        <f>IF($G516="","",IFERROR(INDEX(TIPOS_FLUXO_PLANO,MATCH($G516,SUBCATEGORIAS_PLANO,0)),"Não classificado"))</f>
        <v/>
      </c>
      <c r="AH516" s="9">
        <f>IF($G516="","",IFERROR(INDEX(GRUPOS_PLANO,MATCH($G516,SUBCATEGORIAS_PLANO,0)),"Não classificado"))</f>
        <v/>
      </c>
      <c r="AI516" s="24">
        <f>IF(OR($C516="",$X516="Pago",$X516="Recebido",$X516="Cancelado"),"",$C516-TODAY())</f>
        <v/>
      </c>
      <c r="AJ516" s="24">
        <f>IF(OR($C516="",$X516="Pago",$X516="Recebido",$X516="Cancelado"),0,MAX(0,TODAY()-$C516))</f>
        <v/>
      </c>
      <c r="AK516" s="24">
        <f>IF($D516="","",$D516-$B516)</f>
        <v/>
      </c>
      <c r="AL516" s="18">
        <f>IF(OR($D516="",$B516=""),"",ROUND(N($R516)*($D516-$B516),2))</f>
        <v/>
      </c>
      <c r="AM516" s="17">
        <f>IF(AND($E516="Saída",$W516&gt;0,$C516&lt;&gt;""),$C516+ROW()/1000000,"")</f>
        <v/>
      </c>
      <c r="AN516" s="17">
        <f>IF(AND($E516="Entrada",$W516&gt;0,$C516&lt;&gt;""),$C516+ROW()/1000000,"")</f>
        <v/>
      </c>
      <c r="AO516" s="9">
        <f>IF(COUNTA($B516:$R516)=0,"",IF(AND($I516&lt;&gt;"",COUNTIF(CLIENTES_NOMES,$I516)+COUNTIF(CLIENTES_FANTASIA,$I516)+COUNTIF(FORNECEDORES_NOMES,$I516)+COUNTIF(FORNECEDORES_FANTASIA,$I516)=0),"⚠ Cliente/Fornecedor não cadastrado",IF(AND($G516&lt;&gt;"",COUNTIF(SUBCATEGORIAS_PLANO,$G516)=0),"⚠ Subcategoria fora do plano de contas",IF(OR($Q516="",N($Q516)=0),"⚠ Valor previsto não informado",IF(AND(OR($X516="Pago",$X516="Recebido"),$D516=""),"⚠ Status pago/recebido sem data",IF(AND($D516&lt;&gt;"",N($R516)=0),"⚠ Data de pagamento sem valor realizado",IF(AND(N($P516)&gt;1,N($O516)&gt;N($P516)),"⚠ Nº da parcela maior que o total",IF(AND($C516&lt;&gt;"",$B516&lt;&gt;"",$C516&lt;$B516),"⚠ Vencimento anterior à competência","OK"))))))))</f>
        <v/>
      </c>
    </row>
    <row r="517">
      <c r="A517" s="14" t="inlineStr">
        <is>
          <t>L0512</t>
        </is>
      </c>
      <c r="B517" s="36" t="n">
        <v>46346</v>
      </c>
      <c r="C517" s="36" t="n">
        <v>46346</v>
      </c>
      <c r="D517" s="36" t="n"/>
      <c r="E517" s="14" t="inlineStr">
        <is>
          <t>Saída</t>
        </is>
      </c>
      <c r="F517" s="29" t="inlineStr">
        <is>
          <t>Empréstimos e Financiamentos</t>
        </is>
      </c>
      <c r="G517" s="29" t="inlineStr">
        <is>
          <t>Pagamento de Principal de Empréstimos</t>
        </is>
      </c>
      <c r="H517" s="29" t="inlineStr">
        <is>
          <t>Diretoria</t>
        </is>
      </c>
      <c r="I517" s="29" t="inlineStr">
        <is>
          <t>Banco Santander</t>
        </is>
      </c>
      <c r="J517" s="29" t="inlineStr">
        <is>
          <t>Financiamento de Veículo — parcela 10/48 (principal)</t>
        </is>
      </c>
      <c r="K517" s="14" t="inlineStr">
        <is>
          <t>VEI-2026-0088-P10</t>
        </is>
      </c>
      <c r="L517" s="29" t="inlineStr">
        <is>
          <t>Itaú Unibanco — C/C 45678-9</t>
        </is>
      </c>
      <c r="M517" s="14" t="inlineStr">
        <is>
          <t>Débito automático</t>
        </is>
      </c>
      <c r="N517" s="29" t="n"/>
      <c r="O517" s="13" t="n">
        <v>10</v>
      </c>
      <c r="P517" s="13" t="n">
        <v>48</v>
      </c>
      <c r="Q517" s="35" t="n">
        <v>1371.54</v>
      </c>
      <c r="R517" s="35" t="n"/>
      <c r="S517" s="35" t="n"/>
      <c r="T517" s="35" t="n"/>
      <c r="U517" s="35" t="n"/>
      <c r="V517" s="18">
        <f>IF(COUNTA($B517:$R517)=0,"",ROUND(N($R517)+N($S517)+N($T517)-N($U517),2))</f>
        <v/>
      </c>
      <c r="W517" s="18">
        <f>IF(COUNTA($B517:$R517)=0,"",IF(OR($X517="Pago",$X517="Recebido",$X517="Cancelado"),0,ROUND(N($Q517)+N($S517)+N($T517)-N($U517)-N($R517),2)))</f>
        <v/>
      </c>
      <c r="X517" s="14" t="inlineStr">
        <is>
          <t>Previsto</t>
        </is>
      </c>
      <c r="Y517" s="17">
        <f>IF(COUNTA($B517:$R517)=0,"",IF($X517="Cancelado","Cancelado",IF(OR($X517="Pago",$X517="Recebido"),$X517,IF(OR($X517="Parcial",N($R517)&gt;0),"Parcial",IF($C517="","Sem vencimento",IF($C517&lt;TODAY(),"Vencido",IF($C517=TODAY(),"Vence hoje",IF($C517&lt;=TODAY()+7,"Vence em 7 dias",IF($C517&lt;=TODAY()+30,"Vence em 30 dias","Futuro")))))))))</f>
        <v/>
      </c>
      <c r="Z517" s="24">
        <f>IF($B517="","",MONTH($B517))</f>
        <v/>
      </c>
      <c r="AA517" s="24">
        <f>IF($B517="","",YEAR($B517))</f>
        <v/>
      </c>
      <c r="AB517" s="24">
        <f>IF($B517="","",ISOWEEKNUM($B517))</f>
        <v/>
      </c>
      <c r="AC517" s="17">
        <f>IF($B517="","",CHOOSE(WEEKDAY($B517,2),"Segunda","Terça","Quarta","Quinta","Sexta","Sábado","Domingo"))</f>
        <v/>
      </c>
      <c r="AD517" s="17">
        <f>IF($B517="","",TEXT($B517,"MM/AAAA"))</f>
        <v/>
      </c>
      <c r="AE517" s="18">
        <f>IF(COUNTA($B517:$R517)=0,"",IF($X517="Cancelado",0,ROUND(N($Q517)+N($S517)+N($T517)-N($U517),2)))</f>
        <v/>
      </c>
      <c r="AF517" s="9">
        <f>IF($G517="","",IFERROR(INDEX(LINHAS_DRE_PLANO,MATCH($G517,SUBCATEGORIAS_PLANO,0)),"Não classificado"))</f>
        <v/>
      </c>
      <c r="AG517" s="17">
        <f>IF($G517="","",IFERROR(INDEX(TIPOS_FLUXO_PLANO,MATCH($G517,SUBCATEGORIAS_PLANO,0)),"Não classificado"))</f>
        <v/>
      </c>
      <c r="AH517" s="9">
        <f>IF($G517="","",IFERROR(INDEX(GRUPOS_PLANO,MATCH($G517,SUBCATEGORIAS_PLANO,0)),"Não classificado"))</f>
        <v/>
      </c>
      <c r="AI517" s="24">
        <f>IF(OR($C517="",$X517="Pago",$X517="Recebido",$X517="Cancelado"),"",$C517-TODAY())</f>
        <v/>
      </c>
      <c r="AJ517" s="24">
        <f>IF(OR($C517="",$X517="Pago",$X517="Recebido",$X517="Cancelado"),0,MAX(0,TODAY()-$C517))</f>
        <v/>
      </c>
      <c r="AK517" s="24">
        <f>IF($D517="","",$D517-$B517)</f>
        <v/>
      </c>
      <c r="AL517" s="18">
        <f>IF(OR($D517="",$B517=""),"",ROUND(N($R517)*($D517-$B517),2))</f>
        <v/>
      </c>
      <c r="AM517" s="17">
        <f>IF(AND($E517="Saída",$W517&gt;0,$C517&lt;&gt;""),$C517+ROW()/1000000,"")</f>
        <v/>
      </c>
      <c r="AN517" s="17">
        <f>IF(AND($E517="Entrada",$W517&gt;0,$C517&lt;&gt;""),$C517+ROW()/1000000,"")</f>
        <v/>
      </c>
      <c r="AO517" s="9">
        <f>IF(COUNTA($B517:$R517)=0,"",IF(AND($I517&lt;&gt;"",COUNTIF(CLIENTES_NOMES,$I517)+COUNTIF(CLIENTES_FANTASIA,$I517)+COUNTIF(FORNECEDORES_NOMES,$I517)+COUNTIF(FORNECEDORES_FANTASIA,$I517)=0),"⚠ Cliente/Fornecedor não cadastrado",IF(AND($G517&lt;&gt;"",COUNTIF(SUBCATEGORIAS_PLANO,$G517)=0),"⚠ Subcategoria fora do plano de contas",IF(OR($Q517="",N($Q517)=0),"⚠ Valor previsto não informado",IF(AND(OR($X517="Pago",$X517="Recebido"),$D517=""),"⚠ Status pago/recebido sem data",IF(AND($D517&lt;&gt;"",N($R517)=0),"⚠ Data de pagamento sem valor realizado",IF(AND(N($P517)&gt;1,N($O517)&gt;N($P517)),"⚠ Nº da parcela maior que o total",IF(AND($C517&lt;&gt;"",$B517&lt;&gt;"",$C517&lt;$B517),"⚠ Vencimento anterior à competência","OK"))))))))</f>
        <v/>
      </c>
    </row>
    <row r="518">
      <c r="A518" s="14" t="inlineStr">
        <is>
          <t>L0513</t>
        </is>
      </c>
      <c r="B518" s="36" t="n">
        <v>46346</v>
      </c>
      <c r="C518" s="36" t="n">
        <v>46346</v>
      </c>
      <c r="D518" s="36" t="n"/>
      <c r="E518" s="14" t="inlineStr">
        <is>
          <t>Saída</t>
        </is>
      </c>
      <c r="F518" s="29" t="inlineStr">
        <is>
          <t>Despesas Financeiras</t>
        </is>
      </c>
      <c r="G518" s="29" t="inlineStr">
        <is>
          <t>Juros de Empréstimos e Financiamentos</t>
        </is>
      </c>
      <c r="H518" s="29" t="inlineStr">
        <is>
          <t>Diretoria</t>
        </is>
      </c>
      <c r="I518" s="29" t="inlineStr">
        <is>
          <t>Banco Santander</t>
        </is>
      </c>
      <c r="J518" s="29" t="inlineStr">
        <is>
          <t>Financiamento de Veículo — parcela 10/48 (juros)</t>
        </is>
      </c>
      <c r="K518" s="14" t="inlineStr">
        <is>
          <t>VEI-2026-0088-P10</t>
        </is>
      </c>
      <c r="L518" s="29" t="inlineStr">
        <is>
          <t>Itaú Unibanco — C/C 45678-9</t>
        </is>
      </c>
      <c r="M518" s="14" t="inlineStr">
        <is>
          <t>Débito automático</t>
        </is>
      </c>
      <c r="N518" s="29" t="n"/>
      <c r="O518" s="13" t="n">
        <v>10</v>
      </c>
      <c r="P518" s="13" t="n">
        <v>48</v>
      </c>
      <c r="Q518" s="35" t="n">
        <v>854.92</v>
      </c>
      <c r="R518" s="35" t="n"/>
      <c r="S518" s="35" t="n"/>
      <c r="T518" s="35" t="n"/>
      <c r="U518" s="35" t="n"/>
      <c r="V518" s="18">
        <f>IF(COUNTA($B518:$R518)=0,"",ROUND(N($R518)+N($S518)+N($T518)-N($U518),2))</f>
        <v/>
      </c>
      <c r="W518" s="18">
        <f>IF(COUNTA($B518:$R518)=0,"",IF(OR($X518="Pago",$X518="Recebido",$X518="Cancelado"),0,ROUND(N($Q518)+N($S518)+N($T518)-N($U518)-N($R518),2)))</f>
        <v/>
      </c>
      <c r="X518" s="14" t="inlineStr">
        <is>
          <t>Previsto</t>
        </is>
      </c>
      <c r="Y518" s="17">
        <f>IF(COUNTA($B518:$R518)=0,"",IF($X518="Cancelado","Cancelado",IF(OR($X518="Pago",$X518="Recebido"),$X518,IF(OR($X518="Parcial",N($R518)&gt;0),"Parcial",IF($C518="","Sem vencimento",IF($C518&lt;TODAY(),"Vencido",IF($C518=TODAY(),"Vence hoje",IF($C518&lt;=TODAY()+7,"Vence em 7 dias",IF($C518&lt;=TODAY()+30,"Vence em 30 dias","Futuro")))))))))</f>
        <v/>
      </c>
      <c r="Z518" s="24">
        <f>IF($B518="","",MONTH($B518))</f>
        <v/>
      </c>
      <c r="AA518" s="24">
        <f>IF($B518="","",YEAR($B518))</f>
        <v/>
      </c>
      <c r="AB518" s="24">
        <f>IF($B518="","",ISOWEEKNUM($B518))</f>
        <v/>
      </c>
      <c r="AC518" s="17">
        <f>IF($B518="","",CHOOSE(WEEKDAY($B518,2),"Segunda","Terça","Quarta","Quinta","Sexta","Sábado","Domingo"))</f>
        <v/>
      </c>
      <c r="AD518" s="17">
        <f>IF($B518="","",TEXT($B518,"MM/AAAA"))</f>
        <v/>
      </c>
      <c r="AE518" s="18">
        <f>IF(COUNTA($B518:$R518)=0,"",IF($X518="Cancelado",0,ROUND(N($Q518)+N($S518)+N($T518)-N($U518),2)))</f>
        <v/>
      </c>
      <c r="AF518" s="9">
        <f>IF($G518="","",IFERROR(INDEX(LINHAS_DRE_PLANO,MATCH($G518,SUBCATEGORIAS_PLANO,0)),"Não classificado"))</f>
        <v/>
      </c>
      <c r="AG518" s="17">
        <f>IF($G518="","",IFERROR(INDEX(TIPOS_FLUXO_PLANO,MATCH($G518,SUBCATEGORIAS_PLANO,0)),"Não classificado"))</f>
        <v/>
      </c>
      <c r="AH518" s="9">
        <f>IF($G518="","",IFERROR(INDEX(GRUPOS_PLANO,MATCH($G518,SUBCATEGORIAS_PLANO,0)),"Não classificado"))</f>
        <v/>
      </c>
      <c r="AI518" s="24">
        <f>IF(OR($C518="",$X518="Pago",$X518="Recebido",$X518="Cancelado"),"",$C518-TODAY())</f>
        <v/>
      </c>
      <c r="AJ518" s="24">
        <f>IF(OR($C518="",$X518="Pago",$X518="Recebido",$X518="Cancelado"),0,MAX(0,TODAY()-$C518))</f>
        <v/>
      </c>
      <c r="AK518" s="24">
        <f>IF($D518="","",$D518-$B518)</f>
        <v/>
      </c>
      <c r="AL518" s="18">
        <f>IF(OR($D518="",$B518=""),"",ROUND(N($R518)*($D518-$B518),2))</f>
        <v/>
      </c>
      <c r="AM518" s="17">
        <f>IF(AND($E518="Saída",$W518&gt;0,$C518&lt;&gt;""),$C518+ROW()/1000000,"")</f>
        <v/>
      </c>
      <c r="AN518" s="17">
        <f>IF(AND($E518="Entrada",$W518&gt;0,$C518&lt;&gt;""),$C518+ROW()/1000000,"")</f>
        <v/>
      </c>
      <c r="AO518" s="9">
        <f>IF(COUNTA($B518:$R518)=0,"",IF(AND($I518&lt;&gt;"",COUNTIF(CLIENTES_NOMES,$I518)+COUNTIF(CLIENTES_FANTASIA,$I518)+COUNTIF(FORNECEDORES_NOMES,$I518)+COUNTIF(FORNECEDORES_FANTASIA,$I518)=0),"⚠ Cliente/Fornecedor não cadastrado",IF(AND($G518&lt;&gt;"",COUNTIF(SUBCATEGORIAS_PLANO,$G518)=0),"⚠ Subcategoria fora do plano de contas",IF(OR($Q518="",N($Q518)=0),"⚠ Valor previsto não informado",IF(AND(OR($X518="Pago",$X518="Recebido"),$D518=""),"⚠ Status pago/recebido sem data",IF(AND($D518&lt;&gt;"",N($R518)=0),"⚠ Data de pagamento sem valor realizado",IF(AND(N($P518)&gt;1,N($O518)&gt;N($P518)),"⚠ Nº da parcela maior que o total",IF(AND($C518&lt;&gt;"",$B518&lt;&gt;"",$C518&lt;$B518),"⚠ Vencimento anterior à competência","OK"))))))))</f>
        <v/>
      </c>
    </row>
    <row r="519">
      <c r="A519" s="14" t="inlineStr">
        <is>
          <t>L0514</t>
        </is>
      </c>
      <c r="B519" s="36" t="n">
        <v>46348</v>
      </c>
      <c r="C519" s="36" t="n">
        <v>46378</v>
      </c>
      <c r="D519" s="36" t="n"/>
      <c r="E519" s="14" t="inlineStr">
        <is>
          <t>Entrada</t>
        </is>
      </c>
      <c r="F519" s="29" t="inlineStr">
        <is>
          <t>Vendas</t>
        </is>
      </c>
      <c r="G519" s="29" t="inlineStr">
        <is>
          <t>Vendas de Serviços</t>
        </is>
      </c>
      <c r="H519" s="29" t="inlineStr">
        <is>
          <t>Comercial</t>
        </is>
      </c>
      <c r="I519" s="29" t="inlineStr">
        <is>
          <t>MERCADO BOA COMPRA LTDA</t>
        </is>
      </c>
      <c r="J519" s="29" t="inlineStr">
        <is>
          <t>Serviços de logística, montagem e reposição</t>
        </is>
      </c>
      <c r="K519" s="14" t="inlineStr">
        <is>
          <t>RPS 3121</t>
        </is>
      </c>
      <c r="L519" s="29" t="inlineStr">
        <is>
          <t>Banco do Brasil — C/C 12345-6</t>
        </is>
      </c>
      <c r="M519" s="14" t="inlineStr">
        <is>
          <t>Boleto</t>
        </is>
      </c>
      <c r="N519" s="29" t="n"/>
      <c r="O519" s="13" t="n">
        <v>1</v>
      </c>
      <c r="P519" s="13" t="n">
        <v>1</v>
      </c>
      <c r="Q519" s="35" t="n">
        <v>13441.59</v>
      </c>
      <c r="R519" s="35" t="n"/>
      <c r="S519" s="35" t="n"/>
      <c r="T519" s="35" t="n"/>
      <c r="U519" s="35" t="n"/>
      <c r="V519" s="18">
        <f>IF(COUNTA($B519:$R519)=0,"",ROUND(N($R519)+N($S519)+N($T519)-N($U519),2))</f>
        <v/>
      </c>
      <c r="W519" s="18">
        <f>IF(COUNTA($B519:$R519)=0,"",IF(OR($X519="Pago",$X519="Recebido",$X519="Cancelado"),0,ROUND(N($Q519)+N($S519)+N($T519)-N($U519)-N($R519),2)))</f>
        <v/>
      </c>
      <c r="X519" s="14" t="inlineStr">
        <is>
          <t>Previsto</t>
        </is>
      </c>
      <c r="Y519" s="17">
        <f>IF(COUNTA($B519:$R519)=0,"",IF($X519="Cancelado","Cancelado",IF(OR($X519="Pago",$X519="Recebido"),$X519,IF(OR($X519="Parcial",N($R519)&gt;0),"Parcial",IF($C519="","Sem vencimento",IF($C519&lt;TODAY(),"Vencido",IF($C519=TODAY(),"Vence hoje",IF($C519&lt;=TODAY()+7,"Vence em 7 dias",IF($C519&lt;=TODAY()+30,"Vence em 30 dias","Futuro")))))))))</f>
        <v/>
      </c>
      <c r="Z519" s="24">
        <f>IF($B519="","",MONTH($B519))</f>
        <v/>
      </c>
      <c r="AA519" s="24">
        <f>IF($B519="","",YEAR($B519))</f>
        <v/>
      </c>
      <c r="AB519" s="24">
        <f>IF($B519="","",ISOWEEKNUM($B519))</f>
        <v/>
      </c>
      <c r="AC519" s="17">
        <f>IF($B519="","",CHOOSE(WEEKDAY($B519,2),"Segunda","Terça","Quarta","Quinta","Sexta","Sábado","Domingo"))</f>
        <v/>
      </c>
      <c r="AD519" s="17">
        <f>IF($B519="","",TEXT($B519,"MM/AAAA"))</f>
        <v/>
      </c>
      <c r="AE519" s="18">
        <f>IF(COUNTA($B519:$R519)=0,"",IF($X519="Cancelado",0,ROUND(N($Q519)+N($S519)+N($T519)-N($U519),2)))</f>
        <v/>
      </c>
      <c r="AF519" s="9">
        <f>IF($G519="","",IFERROR(INDEX(LINHAS_DRE_PLANO,MATCH($G519,SUBCATEGORIAS_PLANO,0)),"Não classificado"))</f>
        <v/>
      </c>
      <c r="AG519" s="17">
        <f>IF($G519="","",IFERROR(INDEX(TIPOS_FLUXO_PLANO,MATCH($G519,SUBCATEGORIAS_PLANO,0)),"Não classificado"))</f>
        <v/>
      </c>
      <c r="AH519" s="9">
        <f>IF($G519="","",IFERROR(INDEX(GRUPOS_PLANO,MATCH($G519,SUBCATEGORIAS_PLANO,0)),"Não classificado"))</f>
        <v/>
      </c>
      <c r="AI519" s="24">
        <f>IF(OR($C519="",$X519="Pago",$X519="Recebido",$X519="Cancelado"),"",$C519-TODAY())</f>
        <v/>
      </c>
      <c r="AJ519" s="24">
        <f>IF(OR($C519="",$X519="Pago",$X519="Recebido",$X519="Cancelado"),0,MAX(0,TODAY()-$C519))</f>
        <v/>
      </c>
      <c r="AK519" s="24">
        <f>IF($D519="","",$D519-$B519)</f>
        <v/>
      </c>
      <c r="AL519" s="18">
        <f>IF(OR($D519="",$B519=""),"",ROUND(N($R519)*($D519-$B519),2))</f>
        <v/>
      </c>
      <c r="AM519" s="17">
        <f>IF(AND($E519="Saída",$W519&gt;0,$C519&lt;&gt;""),$C519+ROW()/1000000,"")</f>
        <v/>
      </c>
      <c r="AN519" s="17">
        <f>IF(AND($E519="Entrada",$W519&gt;0,$C519&lt;&gt;""),$C519+ROW()/1000000,"")</f>
        <v/>
      </c>
      <c r="AO519" s="9">
        <f>IF(COUNTA($B519:$R519)=0,"",IF(AND($I519&lt;&gt;"",COUNTIF(CLIENTES_NOMES,$I519)+COUNTIF(CLIENTES_FANTASIA,$I519)+COUNTIF(FORNECEDORES_NOMES,$I519)+COUNTIF(FORNECEDORES_FANTASIA,$I519)=0),"⚠ Cliente/Fornecedor não cadastrado",IF(AND($G519&lt;&gt;"",COUNTIF(SUBCATEGORIAS_PLANO,$G519)=0),"⚠ Subcategoria fora do plano de contas",IF(OR($Q519="",N($Q519)=0),"⚠ Valor previsto não informado",IF(AND(OR($X519="Pago",$X519="Recebido"),$D519=""),"⚠ Status pago/recebido sem data",IF(AND($D519&lt;&gt;"",N($R519)=0),"⚠ Data de pagamento sem valor realizado",IF(AND(N($P519)&gt;1,N($O519)&gt;N($P519)),"⚠ Nº da parcela maior que o total",IF(AND($C519&lt;&gt;"",$B519&lt;&gt;"",$C519&lt;$B519),"⚠ Vencimento anterior à competência","OK"))))))))</f>
        <v/>
      </c>
    </row>
    <row r="520">
      <c r="A520" s="14" t="inlineStr">
        <is>
          <t>L0515</t>
        </is>
      </c>
      <c r="B520" s="36" t="n">
        <v>46348</v>
      </c>
      <c r="C520" s="36" t="n">
        <v>46363</v>
      </c>
      <c r="D520" s="36" t="n"/>
      <c r="E520" s="14" t="inlineStr">
        <is>
          <t>Entrada</t>
        </is>
      </c>
      <c r="F520" s="29" t="inlineStr">
        <is>
          <t>Vendas</t>
        </is>
      </c>
      <c r="G520" s="29" t="inlineStr">
        <is>
          <t>Vendas de Serviços</t>
        </is>
      </c>
      <c r="H520" s="29" t="inlineStr">
        <is>
          <t>Comercial</t>
        </is>
      </c>
      <c r="I520" s="29" t="inlineStr">
        <is>
          <t>RESTAURANTE SABOR CASEIRO LTDA</t>
        </is>
      </c>
      <c r="J520" s="29" t="inlineStr">
        <is>
          <t>Serviços de logística, montagem e reposição</t>
        </is>
      </c>
      <c r="K520" s="14" t="inlineStr">
        <is>
          <t>RPS 3125</t>
        </is>
      </c>
      <c r="L520" s="29" t="inlineStr">
        <is>
          <t>Itaú Unibanco — C/C 45678-9</t>
        </is>
      </c>
      <c r="M520" s="14" t="inlineStr">
        <is>
          <t>Boleto</t>
        </is>
      </c>
      <c r="N520" s="29" t="n"/>
      <c r="O520" s="13" t="n">
        <v>1</v>
      </c>
      <c r="P520" s="13" t="n">
        <v>1</v>
      </c>
      <c r="Q520" s="35" t="n">
        <v>8523.91</v>
      </c>
      <c r="R520" s="35" t="n"/>
      <c r="S520" s="35" t="n"/>
      <c r="T520" s="35" t="n"/>
      <c r="U520" s="35" t="n"/>
      <c r="V520" s="18">
        <f>IF(COUNTA($B520:$R520)=0,"",ROUND(N($R520)+N($S520)+N($T520)-N($U520),2))</f>
        <v/>
      </c>
      <c r="W520" s="18">
        <f>IF(COUNTA($B520:$R520)=0,"",IF(OR($X520="Pago",$X520="Recebido",$X520="Cancelado"),0,ROUND(N($Q520)+N($S520)+N($T520)-N($U520)-N($R520),2)))</f>
        <v/>
      </c>
      <c r="X520" s="14" t="inlineStr">
        <is>
          <t>Previsto</t>
        </is>
      </c>
      <c r="Y520" s="17">
        <f>IF(COUNTA($B520:$R520)=0,"",IF($X520="Cancelado","Cancelado",IF(OR($X520="Pago",$X520="Recebido"),$X520,IF(OR($X520="Parcial",N($R520)&gt;0),"Parcial",IF($C520="","Sem vencimento",IF($C520&lt;TODAY(),"Vencido",IF($C520=TODAY(),"Vence hoje",IF($C520&lt;=TODAY()+7,"Vence em 7 dias",IF($C520&lt;=TODAY()+30,"Vence em 30 dias","Futuro")))))))))</f>
        <v/>
      </c>
      <c r="Z520" s="24">
        <f>IF($B520="","",MONTH($B520))</f>
        <v/>
      </c>
      <c r="AA520" s="24">
        <f>IF($B520="","",YEAR($B520))</f>
        <v/>
      </c>
      <c r="AB520" s="24">
        <f>IF($B520="","",ISOWEEKNUM($B520))</f>
        <v/>
      </c>
      <c r="AC520" s="17">
        <f>IF($B520="","",CHOOSE(WEEKDAY($B520,2),"Segunda","Terça","Quarta","Quinta","Sexta","Sábado","Domingo"))</f>
        <v/>
      </c>
      <c r="AD520" s="17">
        <f>IF($B520="","",TEXT($B520,"MM/AAAA"))</f>
        <v/>
      </c>
      <c r="AE520" s="18">
        <f>IF(COUNTA($B520:$R520)=0,"",IF($X520="Cancelado",0,ROUND(N($Q520)+N($S520)+N($T520)-N($U520),2)))</f>
        <v/>
      </c>
      <c r="AF520" s="9">
        <f>IF($G520="","",IFERROR(INDEX(LINHAS_DRE_PLANO,MATCH($G520,SUBCATEGORIAS_PLANO,0)),"Não classificado"))</f>
        <v/>
      </c>
      <c r="AG520" s="17">
        <f>IF($G520="","",IFERROR(INDEX(TIPOS_FLUXO_PLANO,MATCH($G520,SUBCATEGORIAS_PLANO,0)),"Não classificado"))</f>
        <v/>
      </c>
      <c r="AH520" s="9">
        <f>IF($G520="","",IFERROR(INDEX(GRUPOS_PLANO,MATCH($G520,SUBCATEGORIAS_PLANO,0)),"Não classificado"))</f>
        <v/>
      </c>
      <c r="AI520" s="24">
        <f>IF(OR($C520="",$X520="Pago",$X520="Recebido",$X520="Cancelado"),"",$C520-TODAY())</f>
        <v/>
      </c>
      <c r="AJ520" s="24">
        <f>IF(OR($C520="",$X520="Pago",$X520="Recebido",$X520="Cancelado"),0,MAX(0,TODAY()-$C520))</f>
        <v/>
      </c>
      <c r="AK520" s="24">
        <f>IF($D520="","",$D520-$B520)</f>
        <v/>
      </c>
      <c r="AL520" s="18">
        <f>IF(OR($D520="",$B520=""),"",ROUND(N($R520)*($D520-$B520),2))</f>
        <v/>
      </c>
      <c r="AM520" s="17">
        <f>IF(AND($E520="Saída",$W520&gt;0,$C520&lt;&gt;""),$C520+ROW()/1000000,"")</f>
        <v/>
      </c>
      <c r="AN520" s="17">
        <f>IF(AND($E520="Entrada",$W520&gt;0,$C520&lt;&gt;""),$C520+ROW()/1000000,"")</f>
        <v/>
      </c>
      <c r="AO520" s="9">
        <f>IF(COUNTA($B520:$R520)=0,"",IF(AND($I520&lt;&gt;"",COUNTIF(CLIENTES_NOMES,$I520)+COUNTIF(CLIENTES_FANTASIA,$I520)+COUNTIF(FORNECEDORES_NOMES,$I520)+COUNTIF(FORNECEDORES_FANTASIA,$I520)=0),"⚠ Cliente/Fornecedor não cadastrado",IF(AND($G520&lt;&gt;"",COUNTIF(SUBCATEGORIAS_PLANO,$G520)=0),"⚠ Subcategoria fora do plano de contas",IF(OR($Q520="",N($Q520)=0),"⚠ Valor previsto não informado",IF(AND(OR($X520="Pago",$X520="Recebido"),$D520=""),"⚠ Status pago/recebido sem data",IF(AND($D520&lt;&gt;"",N($R520)=0),"⚠ Data de pagamento sem valor realizado",IF(AND(N($P520)&gt;1,N($O520)&gt;N($P520)),"⚠ Nº da parcela maior que o total",IF(AND($C520&lt;&gt;"",$B520&lt;&gt;"",$C520&lt;$B520),"⚠ Vencimento anterior à competência","OK"))))))))</f>
        <v/>
      </c>
    </row>
    <row r="521">
      <c r="A521" s="14" t="inlineStr">
        <is>
          <t>L0516</t>
        </is>
      </c>
      <c r="B521" s="36" t="n">
        <v>46348</v>
      </c>
      <c r="C521" s="36" t="n">
        <v>46370</v>
      </c>
      <c r="D521" s="36" t="n"/>
      <c r="E521" s="14" t="inlineStr">
        <is>
          <t>Entrada</t>
        </is>
      </c>
      <c r="F521" s="29" t="inlineStr">
        <is>
          <t>Vendas</t>
        </is>
      </c>
      <c r="G521" s="29" t="inlineStr">
        <is>
          <t>Vendas de Serviços</t>
        </is>
      </c>
      <c r="H521" s="29" t="inlineStr">
        <is>
          <t>Comercial</t>
        </is>
      </c>
      <c r="I521" s="29" t="inlineStr">
        <is>
          <t>EMPÓRIO NATURAL COMÉRCIO LTDA</t>
        </is>
      </c>
      <c r="J521" s="29" t="inlineStr">
        <is>
          <t>Serviços de logística, montagem e reposição</t>
        </is>
      </c>
      <c r="K521" s="14" t="inlineStr">
        <is>
          <t>RPS 3129</t>
        </is>
      </c>
      <c r="L521" s="29" t="inlineStr">
        <is>
          <t>Itaú Unibanco — C/C 45678-9</t>
        </is>
      </c>
      <c r="M521" s="14" t="inlineStr">
        <is>
          <t>Boleto</t>
        </is>
      </c>
      <c r="N521" s="29" t="n"/>
      <c r="O521" s="13" t="n">
        <v>1</v>
      </c>
      <c r="P521" s="13" t="n">
        <v>1</v>
      </c>
      <c r="Q521" s="35" t="n">
        <v>17132.59</v>
      </c>
      <c r="R521" s="35" t="n"/>
      <c r="S521" s="35" t="n"/>
      <c r="T521" s="35" t="n"/>
      <c r="U521" s="35" t="n"/>
      <c r="V521" s="18">
        <f>IF(COUNTA($B521:$R521)=0,"",ROUND(N($R521)+N($S521)+N($T521)-N($U521),2))</f>
        <v/>
      </c>
      <c r="W521" s="18">
        <f>IF(COUNTA($B521:$R521)=0,"",IF(OR($X521="Pago",$X521="Recebido",$X521="Cancelado"),0,ROUND(N($Q521)+N($S521)+N($T521)-N($U521)-N($R521),2)))</f>
        <v/>
      </c>
      <c r="X521" s="14" t="inlineStr">
        <is>
          <t>Previsto</t>
        </is>
      </c>
      <c r="Y521" s="17">
        <f>IF(COUNTA($B521:$R521)=0,"",IF($X521="Cancelado","Cancelado",IF(OR($X521="Pago",$X521="Recebido"),$X521,IF(OR($X521="Parcial",N($R521)&gt;0),"Parcial",IF($C521="","Sem vencimento",IF($C521&lt;TODAY(),"Vencido",IF($C521=TODAY(),"Vence hoje",IF($C521&lt;=TODAY()+7,"Vence em 7 dias",IF($C521&lt;=TODAY()+30,"Vence em 30 dias","Futuro")))))))))</f>
        <v/>
      </c>
      <c r="Z521" s="24">
        <f>IF($B521="","",MONTH($B521))</f>
        <v/>
      </c>
      <c r="AA521" s="24">
        <f>IF($B521="","",YEAR($B521))</f>
        <v/>
      </c>
      <c r="AB521" s="24">
        <f>IF($B521="","",ISOWEEKNUM($B521))</f>
        <v/>
      </c>
      <c r="AC521" s="17">
        <f>IF($B521="","",CHOOSE(WEEKDAY($B521,2),"Segunda","Terça","Quarta","Quinta","Sexta","Sábado","Domingo"))</f>
        <v/>
      </c>
      <c r="AD521" s="17">
        <f>IF($B521="","",TEXT($B521,"MM/AAAA"))</f>
        <v/>
      </c>
      <c r="AE521" s="18">
        <f>IF(COUNTA($B521:$R521)=0,"",IF($X521="Cancelado",0,ROUND(N($Q521)+N($S521)+N($T521)-N($U521),2)))</f>
        <v/>
      </c>
      <c r="AF521" s="9">
        <f>IF($G521="","",IFERROR(INDEX(LINHAS_DRE_PLANO,MATCH($G521,SUBCATEGORIAS_PLANO,0)),"Não classificado"))</f>
        <v/>
      </c>
      <c r="AG521" s="17">
        <f>IF($G521="","",IFERROR(INDEX(TIPOS_FLUXO_PLANO,MATCH($G521,SUBCATEGORIAS_PLANO,0)),"Não classificado"))</f>
        <v/>
      </c>
      <c r="AH521" s="9">
        <f>IF($G521="","",IFERROR(INDEX(GRUPOS_PLANO,MATCH($G521,SUBCATEGORIAS_PLANO,0)),"Não classificado"))</f>
        <v/>
      </c>
      <c r="AI521" s="24">
        <f>IF(OR($C521="",$X521="Pago",$X521="Recebido",$X521="Cancelado"),"",$C521-TODAY())</f>
        <v/>
      </c>
      <c r="AJ521" s="24">
        <f>IF(OR($C521="",$X521="Pago",$X521="Recebido",$X521="Cancelado"),0,MAX(0,TODAY()-$C521))</f>
        <v/>
      </c>
      <c r="AK521" s="24">
        <f>IF($D521="","",$D521-$B521)</f>
        <v/>
      </c>
      <c r="AL521" s="18">
        <f>IF(OR($D521="",$B521=""),"",ROUND(N($R521)*($D521-$B521),2))</f>
        <v/>
      </c>
      <c r="AM521" s="17">
        <f>IF(AND($E521="Saída",$W521&gt;0,$C521&lt;&gt;""),$C521+ROW()/1000000,"")</f>
        <v/>
      </c>
      <c r="AN521" s="17">
        <f>IF(AND($E521="Entrada",$W521&gt;0,$C521&lt;&gt;""),$C521+ROW()/1000000,"")</f>
        <v/>
      </c>
      <c r="AO521" s="9">
        <f>IF(COUNTA($B521:$R521)=0,"",IF(AND($I521&lt;&gt;"",COUNTIF(CLIENTES_NOMES,$I521)+COUNTIF(CLIENTES_FANTASIA,$I521)+COUNTIF(FORNECEDORES_NOMES,$I521)+COUNTIF(FORNECEDORES_FANTASIA,$I521)=0),"⚠ Cliente/Fornecedor não cadastrado",IF(AND($G521&lt;&gt;"",COUNTIF(SUBCATEGORIAS_PLANO,$G521)=0),"⚠ Subcategoria fora do plano de contas",IF(OR($Q521="",N($Q521)=0),"⚠ Valor previsto não informado",IF(AND(OR($X521="Pago",$X521="Recebido"),$D521=""),"⚠ Status pago/recebido sem data",IF(AND($D521&lt;&gt;"",N($R521)=0),"⚠ Data de pagamento sem valor realizado",IF(AND(N($P521)&gt;1,N($O521)&gt;N($P521)),"⚠ Nº da parcela maior que o total",IF(AND($C521&lt;&gt;"",$B521&lt;&gt;"",$C521&lt;$B521),"⚠ Vencimento anterior à competência","OK"))))))))</f>
        <v/>
      </c>
    </row>
    <row r="522">
      <c r="A522" s="14" t="inlineStr">
        <is>
          <t>L0517</t>
        </is>
      </c>
      <c r="B522" s="36" t="n">
        <v>46350</v>
      </c>
      <c r="C522" s="36" t="n">
        <v>46361</v>
      </c>
      <c r="D522" s="36" t="n"/>
      <c r="E522" s="14" t="inlineStr">
        <is>
          <t>Saída</t>
        </is>
      </c>
      <c r="F522" s="29" t="inlineStr">
        <is>
          <t>Despesas Comerciais</t>
        </is>
      </c>
      <c r="G522" s="29" t="inlineStr">
        <is>
          <t>Viagens Comerciais</t>
        </is>
      </c>
      <c r="H522" s="29" t="inlineStr">
        <is>
          <t>Comercial</t>
        </is>
      </c>
      <c r="I522" s="29" t="inlineStr">
        <is>
          <t>AGÊNCIA PULSO DIGITAL LTDA</t>
        </is>
      </c>
      <c r="J522" s="29" t="inlineStr">
        <is>
          <t>Viagens comerciais e visitas a clientes</t>
        </is>
      </c>
      <c r="K522" s="14" t="inlineStr">
        <is>
          <t>DOC 8444</t>
        </is>
      </c>
      <c r="L522" s="29" t="inlineStr">
        <is>
          <t>Itaú Unibanco — C/C 45678-9</t>
        </is>
      </c>
      <c r="M522" s="14" t="inlineStr">
        <is>
          <t>Cartão de crédito</t>
        </is>
      </c>
      <c r="N522" s="29" t="inlineStr">
        <is>
          <t>Cartão Visa Itaú Business</t>
        </is>
      </c>
      <c r="O522" s="13" t="n">
        <v>1</v>
      </c>
      <c r="P522" s="13" t="n">
        <v>1</v>
      </c>
      <c r="Q522" s="35" t="n">
        <v>1388.93</v>
      </c>
      <c r="R522" s="35" t="n"/>
      <c r="S522" s="35" t="n"/>
      <c r="T522" s="35" t="n"/>
      <c r="U522" s="35" t="n"/>
      <c r="V522" s="18">
        <f>IF(COUNTA($B522:$R522)=0,"",ROUND(N($R522)+N($S522)+N($T522)-N($U522),2))</f>
        <v/>
      </c>
      <c r="W522" s="18">
        <f>IF(COUNTA($B522:$R522)=0,"",IF(OR($X522="Pago",$X522="Recebido",$X522="Cancelado"),0,ROUND(N($Q522)+N($S522)+N($T522)-N($U522)-N($R522),2)))</f>
        <v/>
      </c>
      <c r="X522" s="14" t="inlineStr">
        <is>
          <t>Previsto</t>
        </is>
      </c>
      <c r="Y522" s="17">
        <f>IF(COUNTA($B522:$R522)=0,"",IF($X522="Cancelado","Cancelado",IF(OR($X522="Pago",$X522="Recebido"),$X522,IF(OR($X522="Parcial",N($R522)&gt;0),"Parcial",IF($C522="","Sem vencimento",IF($C522&lt;TODAY(),"Vencido",IF($C522=TODAY(),"Vence hoje",IF($C522&lt;=TODAY()+7,"Vence em 7 dias",IF($C522&lt;=TODAY()+30,"Vence em 30 dias","Futuro")))))))))</f>
        <v/>
      </c>
      <c r="Z522" s="24">
        <f>IF($B522="","",MONTH($B522))</f>
        <v/>
      </c>
      <c r="AA522" s="24">
        <f>IF($B522="","",YEAR($B522))</f>
        <v/>
      </c>
      <c r="AB522" s="24">
        <f>IF($B522="","",ISOWEEKNUM($B522))</f>
        <v/>
      </c>
      <c r="AC522" s="17">
        <f>IF($B522="","",CHOOSE(WEEKDAY($B522,2),"Segunda","Terça","Quarta","Quinta","Sexta","Sábado","Domingo"))</f>
        <v/>
      </c>
      <c r="AD522" s="17">
        <f>IF($B522="","",TEXT($B522,"MM/AAAA"))</f>
        <v/>
      </c>
      <c r="AE522" s="18">
        <f>IF(COUNTA($B522:$R522)=0,"",IF($X522="Cancelado",0,ROUND(N($Q522)+N($S522)+N($T522)-N($U522),2)))</f>
        <v/>
      </c>
      <c r="AF522" s="9">
        <f>IF($G522="","",IFERROR(INDEX(LINHAS_DRE_PLANO,MATCH($G522,SUBCATEGORIAS_PLANO,0)),"Não classificado"))</f>
        <v/>
      </c>
      <c r="AG522" s="17">
        <f>IF($G522="","",IFERROR(INDEX(TIPOS_FLUXO_PLANO,MATCH($G522,SUBCATEGORIAS_PLANO,0)),"Não classificado"))</f>
        <v/>
      </c>
      <c r="AH522" s="9">
        <f>IF($G522="","",IFERROR(INDEX(GRUPOS_PLANO,MATCH($G522,SUBCATEGORIAS_PLANO,0)),"Não classificado"))</f>
        <v/>
      </c>
      <c r="AI522" s="24">
        <f>IF(OR($C522="",$X522="Pago",$X522="Recebido",$X522="Cancelado"),"",$C522-TODAY())</f>
        <v/>
      </c>
      <c r="AJ522" s="24">
        <f>IF(OR($C522="",$X522="Pago",$X522="Recebido",$X522="Cancelado"),0,MAX(0,TODAY()-$C522))</f>
        <v/>
      </c>
      <c r="AK522" s="24">
        <f>IF($D522="","",$D522-$B522)</f>
        <v/>
      </c>
      <c r="AL522" s="18">
        <f>IF(OR($D522="",$B522=""),"",ROUND(N($R522)*($D522-$B522),2))</f>
        <v/>
      </c>
      <c r="AM522" s="17">
        <f>IF(AND($E522="Saída",$W522&gt;0,$C522&lt;&gt;""),$C522+ROW()/1000000,"")</f>
        <v/>
      </c>
      <c r="AN522" s="17">
        <f>IF(AND($E522="Entrada",$W522&gt;0,$C522&lt;&gt;""),$C522+ROW()/1000000,"")</f>
        <v/>
      </c>
      <c r="AO522" s="9">
        <f>IF(COUNTA($B522:$R522)=0,"",IF(AND($I522&lt;&gt;"",COUNTIF(CLIENTES_NOMES,$I522)+COUNTIF(CLIENTES_FANTASIA,$I522)+COUNTIF(FORNECEDORES_NOMES,$I522)+COUNTIF(FORNECEDORES_FANTASIA,$I522)=0),"⚠ Cliente/Fornecedor não cadastrado",IF(AND($G522&lt;&gt;"",COUNTIF(SUBCATEGORIAS_PLANO,$G522)=0),"⚠ Subcategoria fora do plano de contas",IF(OR($Q522="",N($Q522)=0),"⚠ Valor previsto não informado",IF(AND(OR($X522="Pago",$X522="Recebido"),$D522=""),"⚠ Status pago/recebido sem data",IF(AND($D522&lt;&gt;"",N($R522)=0),"⚠ Data de pagamento sem valor realizado",IF(AND(N($P522)&gt;1,N($O522)&gt;N($P522)),"⚠ Nº da parcela maior que o total",IF(AND($C522&lt;&gt;"",$B522&lt;&gt;"",$C522&lt;$B522),"⚠ Vencimento anterior à competência","OK"))))))))</f>
        <v/>
      </c>
    </row>
    <row r="523">
      <c r="A523" s="14" t="inlineStr">
        <is>
          <t>L0518</t>
        </is>
      </c>
      <c r="B523" s="36" t="n">
        <v>46351</v>
      </c>
      <c r="C523" s="36" t="n">
        <v>46366</v>
      </c>
      <c r="D523" s="36" t="n"/>
      <c r="E523" s="14" t="inlineStr">
        <is>
          <t>Saída</t>
        </is>
      </c>
      <c r="F523" s="29" t="inlineStr">
        <is>
          <t>Custos Variáveis</t>
        </is>
      </c>
      <c r="G523" s="29" t="inlineStr">
        <is>
          <t>Fretes e Entregas sobre Vendas</t>
        </is>
      </c>
      <c r="H523" s="29" t="inlineStr">
        <is>
          <t>Logística</t>
        </is>
      </c>
      <c r="I523" s="29" t="inlineStr">
        <is>
          <t>TRANSPORTADORA RÁPIDA LOG LTDA</t>
        </is>
      </c>
      <c r="J523" s="29" t="inlineStr">
        <is>
          <t>Fretes de entrega — notas do período</t>
        </is>
      </c>
      <c r="K523" s="14" t="inlineStr">
        <is>
          <t>DOC 7251</t>
        </is>
      </c>
      <c r="L523" s="29" t="inlineStr">
        <is>
          <t>Banco do Brasil — C/C 12345-6</t>
        </is>
      </c>
      <c r="M523" s="14" t="inlineStr">
        <is>
          <t>Boleto</t>
        </is>
      </c>
      <c r="N523" s="29" t="n"/>
      <c r="O523" s="13" t="n">
        <v>1</v>
      </c>
      <c r="P523" s="13" t="n">
        <v>1</v>
      </c>
      <c r="Q523" s="35" t="n">
        <v>4983.02</v>
      </c>
      <c r="R523" s="35" t="n"/>
      <c r="S523" s="35" t="n"/>
      <c r="T523" s="35" t="n"/>
      <c r="U523" s="35" t="n"/>
      <c r="V523" s="18">
        <f>IF(COUNTA($B523:$R523)=0,"",ROUND(N($R523)+N($S523)+N($T523)-N($U523),2))</f>
        <v/>
      </c>
      <c r="W523" s="18">
        <f>IF(COUNTA($B523:$R523)=0,"",IF(OR($X523="Pago",$X523="Recebido",$X523="Cancelado"),0,ROUND(N($Q523)+N($S523)+N($T523)-N($U523)-N($R523),2)))</f>
        <v/>
      </c>
      <c r="X523" s="14" t="inlineStr">
        <is>
          <t>Previsto</t>
        </is>
      </c>
      <c r="Y523" s="17">
        <f>IF(COUNTA($B523:$R523)=0,"",IF($X523="Cancelado","Cancelado",IF(OR($X523="Pago",$X523="Recebido"),$X523,IF(OR($X523="Parcial",N($R523)&gt;0),"Parcial",IF($C523="","Sem vencimento",IF($C523&lt;TODAY(),"Vencido",IF($C523=TODAY(),"Vence hoje",IF($C523&lt;=TODAY()+7,"Vence em 7 dias",IF($C523&lt;=TODAY()+30,"Vence em 30 dias","Futuro")))))))))</f>
        <v/>
      </c>
      <c r="Z523" s="24">
        <f>IF($B523="","",MONTH($B523))</f>
        <v/>
      </c>
      <c r="AA523" s="24">
        <f>IF($B523="","",YEAR($B523))</f>
        <v/>
      </c>
      <c r="AB523" s="24">
        <f>IF($B523="","",ISOWEEKNUM($B523))</f>
        <v/>
      </c>
      <c r="AC523" s="17">
        <f>IF($B523="","",CHOOSE(WEEKDAY($B523,2),"Segunda","Terça","Quarta","Quinta","Sexta","Sábado","Domingo"))</f>
        <v/>
      </c>
      <c r="AD523" s="17">
        <f>IF($B523="","",TEXT($B523,"MM/AAAA"))</f>
        <v/>
      </c>
      <c r="AE523" s="18">
        <f>IF(COUNTA($B523:$R523)=0,"",IF($X523="Cancelado",0,ROUND(N($Q523)+N($S523)+N($T523)-N($U523),2)))</f>
        <v/>
      </c>
      <c r="AF523" s="9">
        <f>IF($G523="","",IFERROR(INDEX(LINHAS_DRE_PLANO,MATCH($G523,SUBCATEGORIAS_PLANO,0)),"Não classificado"))</f>
        <v/>
      </c>
      <c r="AG523" s="17">
        <f>IF($G523="","",IFERROR(INDEX(TIPOS_FLUXO_PLANO,MATCH($G523,SUBCATEGORIAS_PLANO,0)),"Não classificado"))</f>
        <v/>
      </c>
      <c r="AH523" s="9">
        <f>IF($G523="","",IFERROR(INDEX(GRUPOS_PLANO,MATCH($G523,SUBCATEGORIAS_PLANO,0)),"Não classificado"))</f>
        <v/>
      </c>
      <c r="AI523" s="24">
        <f>IF(OR($C523="",$X523="Pago",$X523="Recebido",$X523="Cancelado"),"",$C523-TODAY())</f>
        <v/>
      </c>
      <c r="AJ523" s="24">
        <f>IF(OR($C523="",$X523="Pago",$X523="Recebido",$X523="Cancelado"),0,MAX(0,TODAY()-$C523))</f>
        <v/>
      </c>
      <c r="AK523" s="24">
        <f>IF($D523="","",$D523-$B523)</f>
        <v/>
      </c>
      <c r="AL523" s="18">
        <f>IF(OR($D523="",$B523=""),"",ROUND(N($R523)*($D523-$B523),2))</f>
        <v/>
      </c>
      <c r="AM523" s="17">
        <f>IF(AND($E523="Saída",$W523&gt;0,$C523&lt;&gt;""),$C523+ROW()/1000000,"")</f>
        <v/>
      </c>
      <c r="AN523" s="17">
        <f>IF(AND($E523="Entrada",$W523&gt;0,$C523&lt;&gt;""),$C523+ROW()/1000000,"")</f>
        <v/>
      </c>
      <c r="AO523" s="9">
        <f>IF(COUNTA($B523:$R523)=0,"",IF(AND($I523&lt;&gt;"",COUNTIF(CLIENTES_NOMES,$I523)+COUNTIF(CLIENTES_FANTASIA,$I523)+COUNTIF(FORNECEDORES_NOMES,$I523)+COUNTIF(FORNECEDORES_FANTASIA,$I523)=0),"⚠ Cliente/Fornecedor não cadastrado",IF(AND($G523&lt;&gt;"",COUNTIF(SUBCATEGORIAS_PLANO,$G523)=0),"⚠ Subcategoria fora do plano de contas",IF(OR($Q523="",N($Q523)=0),"⚠ Valor previsto não informado",IF(AND(OR($X523="Pago",$X523="Recebido"),$D523=""),"⚠ Status pago/recebido sem data",IF(AND($D523&lt;&gt;"",N($R523)=0),"⚠ Data de pagamento sem valor realizado",IF(AND(N($P523)&gt;1,N($O523)&gt;N($P523)),"⚠ Nº da parcela maior que o total",IF(AND($C523&lt;&gt;"",$B523&lt;&gt;"",$C523&lt;$B523),"⚠ Vencimento anterior à competência","OK"))))))))</f>
        <v/>
      </c>
    </row>
    <row r="524">
      <c r="A524" s="14" t="inlineStr">
        <is>
          <t>L0519</t>
        </is>
      </c>
      <c r="B524" s="36" t="n">
        <v>46352</v>
      </c>
      <c r="C524" s="36" t="n">
        <v>46352</v>
      </c>
      <c r="D524" s="36" t="n"/>
      <c r="E524" s="14" t="inlineStr">
        <is>
          <t>Saída</t>
        </is>
      </c>
      <c r="F524" s="29" t="inlineStr">
        <is>
          <t>Despesas Administrativas</t>
        </is>
      </c>
      <c r="G524" s="29" t="inlineStr">
        <is>
          <t>Outras Despesas Administrativas</t>
        </is>
      </c>
      <c r="H524" s="29" t="inlineStr">
        <is>
          <t>Administrativo</t>
        </is>
      </c>
      <c r="I524" s="29" t="inlineStr">
        <is>
          <t>MANUTENÇÃO PREDIAL EXPRESSA LTDA</t>
        </is>
      </c>
      <c r="J524" s="29" t="inlineStr">
        <is>
          <t>Despesas administrativas diversas</t>
        </is>
      </c>
      <c r="K524" s="14" t="inlineStr">
        <is>
          <t>DOC 8445</t>
        </is>
      </c>
      <c r="L524" s="29" t="inlineStr">
        <is>
          <t>Banco do Brasil — C/C 12345-6</t>
        </is>
      </c>
      <c r="M524" s="14" t="inlineStr">
        <is>
          <t>PIX</t>
        </is>
      </c>
      <c r="N524" s="29" t="n"/>
      <c r="O524" s="13" t="n">
        <v>1</v>
      </c>
      <c r="P524" s="13" t="n">
        <v>1</v>
      </c>
      <c r="Q524" s="35" t="n">
        <v>553.6799999999999</v>
      </c>
      <c r="R524" s="35" t="n"/>
      <c r="S524" s="35" t="n"/>
      <c r="T524" s="35" t="n"/>
      <c r="U524" s="35" t="n"/>
      <c r="V524" s="18">
        <f>IF(COUNTA($B524:$R524)=0,"",ROUND(N($R524)+N($S524)+N($T524)-N($U524),2))</f>
        <v/>
      </c>
      <c r="W524" s="18">
        <f>IF(COUNTA($B524:$R524)=0,"",IF(OR($X524="Pago",$X524="Recebido",$X524="Cancelado"),0,ROUND(N($Q524)+N($S524)+N($T524)-N($U524)-N($R524),2)))</f>
        <v/>
      </c>
      <c r="X524" s="14" t="inlineStr">
        <is>
          <t>Previsto</t>
        </is>
      </c>
      <c r="Y524" s="17">
        <f>IF(COUNTA($B524:$R524)=0,"",IF($X524="Cancelado","Cancelado",IF(OR($X524="Pago",$X524="Recebido"),$X524,IF(OR($X524="Parcial",N($R524)&gt;0),"Parcial",IF($C524="","Sem vencimento",IF($C524&lt;TODAY(),"Vencido",IF($C524=TODAY(),"Vence hoje",IF($C524&lt;=TODAY()+7,"Vence em 7 dias",IF($C524&lt;=TODAY()+30,"Vence em 30 dias","Futuro")))))))))</f>
        <v/>
      </c>
      <c r="Z524" s="24">
        <f>IF($B524="","",MONTH($B524))</f>
        <v/>
      </c>
      <c r="AA524" s="24">
        <f>IF($B524="","",YEAR($B524))</f>
        <v/>
      </c>
      <c r="AB524" s="24">
        <f>IF($B524="","",ISOWEEKNUM($B524))</f>
        <v/>
      </c>
      <c r="AC524" s="17">
        <f>IF($B524="","",CHOOSE(WEEKDAY($B524,2),"Segunda","Terça","Quarta","Quinta","Sexta","Sábado","Domingo"))</f>
        <v/>
      </c>
      <c r="AD524" s="17">
        <f>IF($B524="","",TEXT($B524,"MM/AAAA"))</f>
        <v/>
      </c>
      <c r="AE524" s="18">
        <f>IF(COUNTA($B524:$R524)=0,"",IF($X524="Cancelado",0,ROUND(N($Q524)+N($S524)+N($T524)-N($U524),2)))</f>
        <v/>
      </c>
      <c r="AF524" s="9">
        <f>IF($G524="","",IFERROR(INDEX(LINHAS_DRE_PLANO,MATCH($G524,SUBCATEGORIAS_PLANO,0)),"Não classificado"))</f>
        <v/>
      </c>
      <c r="AG524" s="17">
        <f>IF($G524="","",IFERROR(INDEX(TIPOS_FLUXO_PLANO,MATCH($G524,SUBCATEGORIAS_PLANO,0)),"Não classificado"))</f>
        <v/>
      </c>
      <c r="AH524" s="9">
        <f>IF($G524="","",IFERROR(INDEX(GRUPOS_PLANO,MATCH($G524,SUBCATEGORIAS_PLANO,0)),"Não classificado"))</f>
        <v/>
      </c>
      <c r="AI524" s="24">
        <f>IF(OR($C524="",$X524="Pago",$X524="Recebido",$X524="Cancelado"),"",$C524-TODAY())</f>
        <v/>
      </c>
      <c r="AJ524" s="24">
        <f>IF(OR($C524="",$X524="Pago",$X524="Recebido",$X524="Cancelado"),0,MAX(0,TODAY()-$C524))</f>
        <v/>
      </c>
      <c r="AK524" s="24">
        <f>IF($D524="","",$D524-$B524)</f>
        <v/>
      </c>
      <c r="AL524" s="18">
        <f>IF(OR($D524="",$B524=""),"",ROUND(N($R524)*($D524-$B524),2))</f>
        <v/>
      </c>
      <c r="AM524" s="17">
        <f>IF(AND($E524="Saída",$W524&gt;0,$C524&lt;&gt;""),$C524+ROW()/1000000,"")</f>
        <v/>
      </c>
      <c r="AN524" s="17">
        <f>IF(AND($E524="Entrada",$W524&gt;0,$C524&lt;&gt;""),$C524+ROW()/1000000,"")</f>
        <v/>
      </c>
      <c r="AO524" s="9">
        <f>IF(COUNTA($B524:$R524)=0,"",IF(AND($I524&lt;&gt;"",COUNTIF(CLIENTES_NOMES,$I524)+COUNTIF(CLIENTES_FANTASIA,$I524)+COUNTIF(FORNECEDORES_NOMES,$I524)+COUNTIF(FORNECEDORES_FANTASIA,$I524)=0),"⚠ Cliente/Fornecedor não cadastrado",IF(AND($G524&lt;&gt;"",COUNTIF(SUBCATEGORIAS_PLANO,$G524)=0),"⚠ Subcategoria fora do plano de contas",IF(OR($Q524="",N($Q524)=0),"⚠ Valor previsto não informado",IF(AND(OR($X524="Pago",$X524="Recebido"),$D524=""),"⚠ Status pago/recebido sem data",IF(AND($D524&lt;&gt;"",N($R524)=0),"⚠ Data de pagamento sem valor realizado",IF(AND(N($P524)&gt;1,N($O524)&gt;N($P524)),"⚠ Nº da parcela maior que o total",IF(AND($C524&lt;&gt;"",$B524&lt;&gt;"",$C524&lt;$B524),"⚠ Vencimento anterior à competência","OK"))))))))</f>
        <v/>
      </c>
    </row>
    <row r="525">
      <c r="A525" s="14" t="inlineStr">
        <is>
          <t>L0520</t>
        </is>
      </c>
      <c r="B525" s="36" t="n">
        <v>46354</v>
      </c>
      <c r="C525" s="36" t="n">
        <v>46354</v>
      </c>
      <c r="D525" s="36" t="n">
        <v>46354</v>
      </c>
      <c r="E525" s="14" t="inlineStr">
        <is>
          <t>Entrada</t>
        </is>
      </c>
      <c r="F525" s="29" t="inlineStr">
        <is>
          <t>Receitas Financeiras</t>
        </is>
      </c>
      <c r="G525" s="29" t="inlineStr">
        <is>
          <t>Rendimentos de Aplicações Financeiras</t>
        </is>
      </c>
      <c r="H525" s="29" t="inlineStr">
        <is>
          <t>Financeiro</t>
        </is>
      </c>
      <c r="I525" s="29" t="inlineStr">
        <is>
          <t>Itaú Unibanco</t>
        </is>
      </c>
      <c r="J525" s="29" t="inlineStr">
        <is>
          <t>Rendimento de aplicação financeira — 11/2026</t>
        </is>
      </c>
      <c r="K525" s="14" t="inlineStr">
        <is>
          <t>REND-APL</t>
        </is>
      </c>
      <c r="L525" s="29" t="inlineStr">
        <is>
          <t>Itaú Unibanco — C/C 45678-9</t>
        </is>
      </c>
      <c r="M525" s="14" t="inlineStr">
        <is>
          <t>Transferência</t>
        </is>
      </c>
      <c r="N525" s="29" t="n"/>
      <c r="O525" s="13" t="n">
        <v>1</v>
      </c>
      <c r="P525" s="13" t="n">
        <v>1</v>
      </c>
      <c r="Q525" s="35" t="n">
        <v>841.9299999999999</v>
      </c>
      <c r="R525" s="35" t="n">
        <v>841.9299999999999</v>
      </c>
      <c r="S525" s="35" t="n"/>
      <c r="T525" s="35" t="n"/>
      <c r="U525" s="35" t="n"/>
      <c r="V525" s="18">
        <f>IF(COUNTA($B525:$R525)=0,"",ROUND(N($R525)+N($S525)+N($T525)-N($U525),2))</f>
        <v/>
      </c>
      <c r="W525" s="18">
        <f>IF(COUNTA($B525:$R525)=0,"",IF(OR($X525="Pago",$X525="Recebido",$X525="Cancelado"),0,ROUND(N($Q525)+N($S525)+N($T525)-N($U525)-N($R525),2)))</f>
        <v/>
      </c>
      <c r="X525" s="14" t="inlineStr">
        <is>
          <t>Recebido</t>
        </is>
      </c>
      <c r="Y525" s="17">
        <f>IF(COUNTA($B525:$R525)=0,"",IF($X525="Cancelado","Cancelado",IF(OR($X525="Pago",$X525="Recebido"),$X525,IF(OR($X525="Parcial",N($R525)&gt;0),"Parcial",IF($C525="","Sem vencimento",IF($C525&lt;TODAY(),"Vencido",IF($C525=TODAY(),"Vence hoje",IF($C525&lt;=TODAY()+7,"Vence em 7 dias",IF($C525&lt;=TODAY()+30,"Vence em 30 dias","Futuro")))))))))</f>
        <v/>
      </c>
      <c r="Z525" s="24">
        <f>IF($B525="","",MONTH($B525))</f>
        <v/>
      </c>
      <c r="AA525" s="24">
        <f>IF($B525="","",YEAR($B525))</f>
        <v/>
      </c>
      <c r="AB525" s="24">
        <f>IF($B525="","",ISOWEEKNUM($B525))</f>
        <v/>
      </c>
      <c r="AC525" s="17">
        <f>IF($B525="","",CHOOSE(WEEKDAY($B525,2),"Segunda","Terça","Quarta","Quinta","Sexta","Sábado","Domingo"))</f>
        <v/>
      </c>
      <c r="AD525" s="17">
        <f>IF($B525="","",TEXT($B525,"MM/AAAA"))</f>
        <v/>
      </c>
      <c r="AE525" s="18">
        <f>IF(COUNTA($B525:$R525)=0,"",IF($X525="Cancelado",0,ROUND(N($Q525)+N($S525)+N($T525)-N($U525),2)))</f>
        <v/>
      </c>
      <c r="AF525" s="9">
        <f>IF($G525="","",IFERROR(INDEX(LINHAS_DRE_PLANO,MATCH($G525,SUBCATEGORIAS_PLANO,0)),"Não classificado"))</f>
        <v/>
      </c>
      <c r="AG525" s="17">
        <f>IF($G525="","",IFERROR(INDEX(TIPOS_FLUXO_PLANO,MATCH($G525,SUBCATEGORIAS_PLANO,0)),"Não classificado"))</f>
        <v/>
      </c>
      <c r="AH525" s="9">
        <f>IF($G525="","",IFERROR(INDEX(GRUPOS_PLANO,MATCH($G525,SUBCATEGORIAS_PLANO,0)),"Não classificado"))</f>
        <v/>
      </c>
      <c r="AI525" s="24">
        <f>IF(OR($C525="",$X525="Pago",$X525="Recebido",$X525="Cancelado"),"",$C525-TODAY())</f>
        <v/>
      </c>
      <c r="AJ525" s="24">
        <f>IF(OR($C525="",$X525="Pago",$X525="Recebido",$X525="Cancelado"),0,MAX(0,TODAY()-$C525))</f>
        <v/>
      </c>
      <c r="AK525" s="24">
        <f>IF($D525="","",$D525-$B525)</f>
        <v/>
      </c>
      <c r="AL525" s="18">
        <f>IF(OR($D525="",$B525=""),"",ROUND(N($R525)*($D525-$B525),2))</f>
        <v/>
      </c>
      <c r="AM525" s="17">
        <f>IF(AND($E525="Saída",$W525&gt;0,$C525&lt;&gt;""),$C525+ROW()/1000000,"")</f>
        <v/>
      </c>
      <c r="AN525" s="17">
        <f>IF(AND($E525="Entrada",$W525&gt;0,$C525&lt;&gt;""),$C525+ROW()/1000000,"")</f>
        <v/>
      </c>
      <c r="AO525" s="9">
        <f>IF(COUNTA($B525:$R525)=0,"",IF(AND($I525&lt;&gt;"",COUNTIF(CLIENTES_NOMES,$I525)+COUNTIF(CLIENTES_FANTASIA,$I525)+COUNTIF(FORNECEDORES_NOMES,$I525)+COUNTIF(FORNECEDORES_FANTASIA,$I525)=0),"⚠ Cliente/Fornecedor não cadastrado",IF(AND($G525&lt;&gt;"",COUNTIF(SUBCATEGORIAS_PLANO,$G525)=0),"⚠ Subcategoria fora do plano de contas",IF(OR($Q525="",N($Q525)=0),"⚠ Valor previsto não informado",IF(AND(OR($X525="Pago",$X525="Recebido"),$D525=""),"⚠ Status pago/recebido sem data",IF(AND($D525&lt;&gt;"",N($R525)=0),"⚠ Data de pagamento sem valor realizado",IF(AND(N($P525)&gt;1,N($O525)&gt;N($P525)),"⚠ Nº da parcela maior que o total",IF(AND($C525&lt;&gt;"",$B525&lt;&gt;"",$C525&lt;$B525),"⚠ Vencimento anterior à competência","OK"))))))))</f>
        <v/>
      </c>
    </row>
    <row r="526">
      <c r="A526" s="14" t="inlineStr">
        <is>
          <t>L0521</t>
        </is>
      </c>
      <c r="B526" s="36" t="n">
        <v>46354</v>
      </c>
      <c r="C526" s="36" t="n">
        <v>46359</v>
      </c>
      <c r="D526" s="36" t="n"/>
      <c r="E526" s="14" t="inlineStr">
        <is>
          <t>Saída</t>
        </is>
      </c>
      <c r="F526" s="29" t="inlineStr">
        <is>
          <t>Custos Variáveis</t>
        </is>
      </c>
      <c r="G526" s="29" t="inlineStr">
        <is>
          <t>Comissões sobre Vendas</t>
        </is>
      </c>
      <c r="H526" s="29" t="inlineStr">
        <is>
          <t>Comercial</t>
        </is>
      </c>
      <c r="I526" s="29" t="inlineStr">
        <is>
          <t>EQUIPE COMERCIAL — COMISSÕES</t>
        </is>
      </c>
      <c r="J526" s="29" t="inlineStr">
        <is>
          <t>Comissões sobre vendas do período</t>
        </is>
      </c>
      <c r="K526" s="14" t="inlineStr">
        <is>
          <t>DOC 7252</t>
        </is>
      </c>
      <c r="L526" s="29" t="inlineStr">
        <is>
          <t>Banco do Brasil — C/C 12345-6</t>
        </is>
      </c>
      <c r="M526" s="14" t="inlineStr">
        <is>
          <t>Transferência</t>
        </is>
      </c>
      <c r="N526" s="29" t="n"/>
      <c r="O526" s="13" t="n">
        <v>1</v>
      </c>
      <c r="P526" s="13" t="n">
        <v>1</v>
      </c>
      <c r="Q526" s="35" t="n">
        <v>3746.09</v>
      </c>
      <c r="R526" s="35" t="n"/>
      <c r="S526" s="35" t="n"/>
      <c r="T526" s="35" t="n"/>
      <c r="U526" s="35" t="n"/>
      <c r="V526" s="18">
        <f>IF(COUNTA($B526:$R526)=0,"",ROUND(N($R526)+N($S526)+N($T526)-N($U526),2))</f>
        <v/>
      </c>
      <c r="W526" s="18">
        <f>IF(COUNTA($B526:$R526)=0,"",IF(OR($X526="Pago",$X526="Recebido",$X526="Cancelado"),0,ROUND(N($Q526)+N($S526)+N($T526)-N($U526)-N($R526),2)))</f>
        <v/>
      </c>
      <c r="X526" s="14" t="inlineStr">
        <is>
          <t>Previsto</t>
        </is>
      </c>
      <c r="Y526" s="17">
        <f>IF(COUNTA($B526:$R526)=0,"",IF($X526="Cancelado","Cancelado",IF(OR($X526="Pago",$X526="Recebido"),$X526,IF(OR($X526="Parcial",N($R526)&gt;0),"Parcial",IF($C526="","Sem vencimento",IF($C526&lt;TODAY(),"Vencido",IF($C526=TODAY(),"Vence hoje",IF($C526&lt;=TODAY()+7,"Vence em 7 dias",IF($C526&lt;=TODAY()+30,"Vence em 30 dias","Futuro")))))))))</f>
        <v/>
      </c>
      <c r="Z526" s="24">
        <f>IF($B526="","",MONTH($B526))</f>
        <v/>
      </c>
      <c r="AA526" s="24">
        <f>IF($B526="","",YEAR($B526))</f>
        <v/>
      </c>
      <c r="AB526" s="24">
        <f>IF($B526="","",ISOWEEKNUM($B526))</f>
        <v/>
      </c>
      <c r="AC526" s="17">
        <f>IF($B526="","",CHOOSE(WEEKDAY($B526,2),"Segunda","Terça","Quarta","Quinta","Sexta","Sábado","Domingo"))</f>
        <v/>
      </c>
      <c r="AD526" s="17">
        <f>IF($B526="","",TEXT($B526,"MM/AAAA"))</f>
        <v/>
      </c>
      <c r="AE526" s="18">
        <f>IF(COUNTA($B526:$R526)=0,"",IF($X526="Cancelado",0,ROUND(N($Q526)+N($S526)+N($T526)-N($U526),2)))</f>
        <v/>
      </c>
      <c r="AF526" s="9">
        <f>IF($G526="","",IFERROR(INDEX(LINHAS_DRE_PLANO,MATCH($G526,SUBCATEGORIAS_PLANO,0)),"Não classificado"))</f>
        <v/>
      </c>
      <c r="AG526" s="17">
        <f>IF($G526="","",IFERROR(INDEX(TIPOS_FLUXO_PLANO,MATCH($G526,SUBCATEGORIAS_PLANO,0)),"Não classificado"))</f>
        <v/>
      </c>
      <c r="AH526" s="9">
        <f>IF($G526="","",IFERROR(INDEX(GRUPOS_PLANO,MATCH($G526,SUBCATEGORIAS_PLANO,0)),"Não classificado"))</f>
        <v/>
      </c>
      <c r="AI526" s="24">
        <f>IF(OR($C526="",$X526="Pago",$X526="Recebido",$X526="Cancelado"),"",$C526-TODAY())</f>
        <v/>
      </c>
      <c r="AJ526" s="24">
        <f>IF(OR($C526="",$X526="Pago",$X526="Recebido",$X526="Cancelado"),0,MAX(0,TODAY()-$C526))</f>
        <v/>
      </c>
      <c r="AK526" s="24">
        <f>IF($D526="","",$D526-$B526)</f>
        <v/>
      </c>
      <c r="AL526" s="18">
        <f>IF(OR($D526="",$B526=""),"",ROUND(N($R526)*($D526-$B526),2))</f>
        <v/>
      </c>
      <c r="AM526" s="17">
        <f>IF(AND($E526="Saída",$W526&gt;0,$C526&lt;&gt;""),$C526+ROW()/1000000,"")</f>
        <v/>
      </c>
      <c r="AN526" s="17">
        <f>IF(AND($E526="Entrada",$W526&gt;0,$C526&lt;&gt;""),$C526+ROW()/1000000,"")</f>
        <v/>
      </c>
      <c r="AO526" s="9">
        <f>IF(COUNTA($B526:$R526)=0,"",IF(AND($I526&lt;&gt;"",COUNTIF(CLIENTES_NOMES,$I526)+COUNTIF(CLIENTES_FANTASIA,$I526)+COUNTIF(FORNECEDORES_NOMES,$I526)+COUNTIF(FORNECEDORES_FANTASIA,$I526)=0),"⚠ Cliente/Fornecedor não cadastrado",IF(AND($G526&lt;&gt;"",COUNTIF(SUBCATEGORIAS_PLANO,$G526)=0),"⚠ Subcategoria fora do plano de contas",IF(OR($Q526="",N($Q526)=0),"⚠ Valor previsto não informado",IF(AND(OR($X526="Pago",$X526="Recebido"),$D526=""),"⚠ Status pago/recebido sem data",IF(AND($D526&lt;&gt;"",N($R526)=0),"⚠ Data de pagamento sem valor realizado",IF(AND(N($P526)&gt;1,N($O526)&gt;N($P526)),"⚠ Nº da parcela maior que o total",IF(AND($C526&lt;&gt;"",$B526&lt;&gt;"",$C526&lt;$B526),"⚠ Vencimento anterior à competência","OK"))))))))</f>
        <v/>
      </c>
    </row>
    <row r="527">
      <c r="A527" s="14" t="inlineStr">
        <is>
          <t>L0522</t>
        </is>
      </c>
      <c r="B527" s="36" t="n">
        <v>46354</v>
      </c>
      <c r="C527" s="36" t="n">
        <v>46364</v>
      </c>
      <c r="D527" s="36" t="n"/>
      <c r="E527" s="14" t="inlineStr">
        <is>
          <t>Saída</t>
        </is>
      </c>
      <c r="F527" s="29" t="inlineStr">
        <is>
          <t>Custos Variáveis</t>
        </is>
      </c>
      <c r="G527" s="29" t="inlineStr">
        <is>
          <t>Taxas de Marketplace</t>
        </is>
      </c>
      <c r="H527" s="29" t="inlineStr">
        <is>
          <t>Comercial</t>
        </is>
      </c>
      <c r="I527" s="29" t="inlineStr">
        <is>
          <t>MARKETPLACE FOODB2B LTDA</t>
        </is>
      </c>
      <c r="J527" s="29" t="inlineStr">
        <is>
          <t>Taxas de intermediação do marketplace</t>
        </is>
      </c>
      <c r="K527" s="14" t="inlineStr">
        <is>
          <t>DOC 7253</t>
        </is>
      </c>
      <c r="L527" s="29" t="inlineStr">
        <is>
          <t>Banco do Brasil — C/C 12345-6</t>
        </is>
      </c>
      <c r="M527" s="14" t="inlineStr">
        <is>
          <t>PIX</t>
        </is>
      </c>
      <c r="N527" s="29" t="n"/>
      <c r="O527" s="13" t="n">
        <v>1</v>
      </c>
      <c r="P527" s="13" t="n">
        <v>1</v>
      </c>
      <c r="Q527" s="35" t="n">
        <v>1867.95</v>
      </c>
      <c r="R527" s="35" t="n"/>
      <c r="S527" s="35" t="n"/>
      <c r="T527" s="35" t="n"/>
      <c r="U527" s="35" t="n"/>
      <c r="V527" s="18">
        <f>IF(COUNTA($B527:$R527)=0,"",ROUND(N($R527)+N($S527)+N($T527)-N($U527),2))</f>
        <v/>
      </c>
      <c r="W527" s="18">
        <f>IF(COUNTA($B527:$R527)=0,"",IF(OR($X527="Pago",$X527="Recebido",$X527="Cancelado"),0,ROUND(N($Q527)+N($S527)+N($T527)-N($U527)-N($R527),2)))</f>
        <v/>
      </c>
      <c r="X527" s="14" t="inlineStr">
        <is>
          <t>Previsto</t>
        </is>
      </c>
      <c r="Y527" s="17">
        <f>IF(COUNTA($B527:$R527)=0,"",IF($X527="Cancelado","Cancelado",IF(OR($X527="Pago",$X527="Recebido"),$X527,IF(OR($X527="Parcial",N($R527)&gt;0),"Parcial",IF($C527="","Sem vencimento",IF($C527&lt;TODAY(),"Vencido",IF($C527=TODAY(),"Vence hoje",IF($C527&lt;=TODAY()+7,"Vence em 7 dias",IF($C527&lt;=TODAY()+30,"Vence em 30 dias","Futuro")))))))))</f>
        <v/>
      </c>
      <c r="Z527" s="24">
        <f>IF($B527="","",MONTH($B527))</f>
        <v/>
      </c>
      <c r="AA527" s="24">
        <f>IF($B527="","",YEAR($B527))</f>
        <v/>
      </c>
      <c r="AB527" s="24">
        <f>IF($B527="","",ISOWEEKNUM($B527))</f>
        <v/>
      </c>
      <c r="AC527" s="17">
        <f>IF($B527="","",CHOOSE(WEEKDAY($B527,2),"Segunda","Terça","Quarta","Quinta","Sexta","Sábado","Domingo"))</f>
        <v/>
      </c>
      <c r="AD527" s="17">
        <f>IF($B527="","",TEXT($B527,"MM/AAAA"))</f>
        <v/>
      </c>
      <c r="AE527" s="18">
        <f>IF(COUNTA($B527:$R527)=0,"",IF($X527="Cancelado",0,ROUND(N($Q527)+N($S527)+N($T527)-N($U527),2)))</f>
        <v/>
      </c>
      <c r="AF527" s="9">
        <f>IF($G527="","",IFERROR(INDEX(LINHAS_DRE_PLANO,MATCH($G527,SUBCATEGORIAS_PLANO,0)),"Não classificado"))</f>
        <v/>
      </c>
      <c r="AG527" s="17">
        <f>IF($G527="","",IFERROR(INDEX(TIPOS_FLUXO_PLANO,MATCH($G527,SUBCATEGORIAS_PLANO,0)),"Não classificado"))</f>
        <v/>
      </c>
      <c r="AH527" s="9">
        <f>IF($G527="","",IFERROR(INDEX(GRUPOS_PLANO,MATCH($G527,SUBCATEGORIAS_PLANO,0)),"Não classificado"))</f>
        <v/>
      </c>
      <c r="AI527" s="24">
        <f>IF(OR($C527="",$X527="Pago",$X527="Recebido",$X527="Cancelado"),"",$C527-TODAY())</f>
        <v/>
      </c>
      <c r="AJ527" s="24">
        <f>IF(OR($C527="",$X527="Pago",$X527="Recebido",$X527="Cancelado"),0,MAX(0,TODAY()-$C527))</f>
        <v/>
      </c>
      <c r="AK527" s="24">
        <f>IF($D527="","",$D527-$B527)</f>
        <v/>
      </c>
      <c r="AL527" s="18">
        <f>IF(OR($D527="",$B527=""),"",ROUND(N($R527)*($D527-$B527),2))</f>
        <v/>
      </c>
      <c r="AM527" s="17">
        <f>IF(AND($E527="Saída",$W527&gt;0,$C527&lt;&gt;""),$C527+ROW()/1000000,"")</f>
        <v/>
      </c>
      <c r="AN527" s="17">
        <f>IF(AND($E527="Entrada",$W527&gt;0,$C527&lt;&gt;""),$C527+ROW()/1000000,"")</f>
        <v/>
      </c>
      <c r="AO527" s="9">
        <f>IF(COUNTA($B527:$R527)=0,"",IF(AND($I527&lt;&gt;"",COUNTIF(CLIENTES_NOMES,$I527)+COUNTIF(CLIENTES_FANTASIA,$I527)+COUNTIF(FORNECEDORES_NOMES,$I527)+COUNTIF(FORNECEDORES_FANTASIA,$I527)=0),"⚠ Cliente/Fornecedor não cadastrado",IF(AND($G527&lt;&gt;"",COUNTIF(SUBCATEGORIAS_PLANO,$G527)=0),"⚠ Subcategoria fora do plano de contas",IF(OR($Q527="",N($Q527)=0),"⚠ Valor previsto não informado",IF(AND(OR($X527="Pago",$X527="Recebido"),$D527=""),"⚠ Status pago/recebido sem data",IF(AND($D527&lt;&gt;"",N($R527)=0),"⚠ Data de pagamento sem valor realizado",IF(AND(N($P527)&gt;1,N($O527)&gt;N($P527)),"⚠ Nº da parcela maior que o total",IF(AND($C527&lt;&gt;"",$B527&lt;&gt;"",$C527&lt;$B527),"⚠ Vencimento anterior à competência","OK"))))))))</f>
        <v/>
      </c>
    </row>
    <row r="528">
      <c r="A528" s="14" t="inlineStr">
        <is>
          <t>L0523</t>
        </is>
      </c>
      <c r="B528" s="36" t="n">
        <v>46354</v>
      </c>
      <c r="C528" s="36" t="n">
        <v>46359</v>
      </c>
      <c r="D528" s="36" t="n"/>
      <c r="E528" s="14" t="inlineStr">
        <is>
          <t>Saída</t>
        </is>
      </c>
      <c r="F528" s="29" t="inlineStr">
        <is>
          <t>Custos Variáveis</t>
        </is>
      </c>
      <c r="G528" s="29" t="inlineStr">
        <is>
          <t>Taxas de Cartão e Maquininha</t>
        </is>
      </c>
      <c r="H528" s="29" t="inlineStr">
        <is>
          <t>Financeiro</t>
        </is>
      </c>
      <c r="I528" s="29" t="inlineStr">
        <is>
          <t>CIELO S.A. — INSTITUIÇÃO DE PAGAMENTO</t>
        </is>
      </c>
      <c r="J528" s="29" t="inlineStr">
        <is>
          <t>Taxas de cartão e antecipação de recebíveis</t>
        </is>
      </c>
      <c r="K528" s="14" t="inlineStr">
        <is>
          <t>DOC 7254</t>
        </is>
      </c>
      <c r="L528" s="29" t="inlineStr">
        <is>
          <t>Banco do Brasil — C/C 12345-6</t>
        </is>
      </c>
      <c r="M528" s="14" t="inlineStr">
        <is>
          <t>Transferência</t>
        </is>
      </c>
      <c r="N528" s="29" t="n"/>
      <c r="O528" s="13" t="n">
        <v>1</v>
      </c>
      <c r="P528" s="13" t="n">
        <v>1</v>
      </c>
      <c r="Q528" s="35" t="n">
        <v>2728.48</v>
      </c>
      <c r="R528" s="35" t="n"/>
      <c r="S528" s="35" t="n"/>
      <c r="T528" s="35" t="n"/>
      <c r="U528" s="35" t="n"/>
      <c r="V528" s="18">
        <f>IF(COUNTA($B528:$R528)=0,"",ROUND(N($R528)+N($S528)+N($T528)-N($U528),2))</f>
        <v/>
      </c>
      <c r="W528" s="18">
        <f>IF(COUNTA($B528:$R528)=0,"",IF(OR($X528="Pago",$X528="Recebido",$X528="Cancelado"),0,ROUND(N($Q528)+N($S528)+N($T528)-N($U528)-N($R528),2)))</f>
        <v/>
      </c>
      <c r="X528" s="14" t="inlineStr">
        <is>
          <t>Previsto</t>
        </is>
      </c>
      <c r="Y528" s="17">
        <f>IF(COUNTA($B528:$R528)=0,"",IF($X528="Cancelado","Cancelado",IF(OR($X528="Pago",$X528="Recebido"),$X528,IF(OR($X528="Parcial",N($R528)&gt;0),"Parcial",IF($C528="","Sem vencimento",IF($C528&lt;TODAY(),"Vencido",IF($C528=TODAY(),"Vence hoje",IF($C528&lt;=TODAY()+7,"Vence em 7 dias",IF($C528&lt;=TODAY()+30,"Vence em 30 dias","Futuro")))))))))</f>
        <v/>
      </c>
      <c r="Z528" s="24">
        <f>IF($B528="","",MONTH($B528))</f>
        <v/>
      </c>
      <c r="AA528" s="24">
        <f>IF($B528="","",YEAR($B528))</f>
        <v/>
      </c>
      <c r="AB528" s="24">
        <f>IF($B528="","",ISOWEEKNUM($B528))</f>
        <v/>
      </c>
      <c r="AC528" s="17">
        <f>IF($B528="","",CHOOSE(WEEKDAY($B528,2),"Segunda","Terça","Quarta","Quinta","Sexta","Sábado","Domingo"))</f>
        <v/>
      </c>
      <c r="AD528" s="17">
        <f>IF($B528="","",TEXT($B528,"MM/AAAA"))</f>
        <v/>
      </c>
      <c r="AE528" s="18">
        <f>IF(COUNTA($B528:$R528)=0,"",IF($X528="Cancelado",0,ROUND(N($Q528)+N($S528)+N($T528)-N($U528),2)))</f>
        <v/>
      </c>
      <c r="AF528" s="9">
        <f>IF($G528="","",IFERROR(INDEX(LINHAS_DRE_PLANO,MATCH($G528,SUBCATEGORIAS_PLANO,0)),"Não classificado"))</f>
        <v/>
      </c>
      <c r="AG528" s="17">
        <f>IF($G528="","",IFERROR(INDEX(TIPOS_FLUXO_PLANO,MATCH($G528,SUBCATEGORIAS_PLANO,0)),"Não classificado"))</f>
        <v/>
      </c>
      <c r="AH528" s="9">
        <f>IF($G528="","",IFERROR(INDEX(GRUPOS_PLANO,MATCH($G528,SUBCATEGORIAS_PLANO,0)),"Não classificado"))</f>
        <v/>
      </c>
      <c r="AI528" s="24">
        <f>IF(OR($C528="",$X528="Pago",$X528="Recebido",$X528="Cancelado"),"",$C528-TODAY())</f>
        <v/>
      </c>
      <c r="AJ528" s="24">
        <f>IF(OR($C528="",$X528="Pago",$X528="Recebido",$X528="Cancelado"),0,MAX(0,TODAY()-$C528))</f>
        <v/>
      </c>
      <c r="AK528" s="24">
        <f>IF($D528="","",$D528-$B528)</f>
        <v/>
      </c>
      <c r="AL528" s="18">
        <f>IF(OR($D528="",$B528=""),"",ROUND(N($R528)*($D528-$B528),2))</f>
        <v/>
      </c>
      <c r="AM528" s="17">
        <f>IF(AND($E528="Saída",$W528&gt;0,$C528&lt;&gt;""),$C528+ROW()/1000000,"")</f>
        <v/>
      </c>
      <c r="AN528" s="17">
        <f>IF(AND($E528="Entrada",$W528&gt;0,$C528&lt;&gt;""),$C528+ROW()/1000000,"")</f>
        <v/>
      </c>
      <c r="AO528" s="9">
        <f>IF(COUNTA($B528:$R528)=0,"",IF(AND($I528&lt;&gt;"",COUNTIF(CLIENTES_NOMES,$I528)+COUNTIF(CLIENTES_FANTASIA,$I528)+COUNTIF(FORNECEDORES_NOMES,$I528)+COUNTIF(FORNECEDORES_FANTASIA,$I528)=0),"⚠ Cliente/Fornecedor não cadastrado",IF(AND($G528&lt;&gt;"",COUNTIF(SUBCATEGORIAS_PLANO,$G528)=0),"⚠ Subcategoria fora do plano de contas",IF(OR($Q528="",N($Q528)=0),"⚠ Valor previsto não informado",IF(AND(OR($X528="Pago",$X528="Recebido"),$D528=""),"⚠ Status pago/recebido sem data",IF(AND($D528&lt;&gt;"",N($R528)=0),"⚠ Data de pagamento sem valor realizado",IF(AND(N($P528)&gt;1,N($O528)&gt;N($P528)),"⚠ Nº da parcela maior que o total",IF(AND($C528&lt;&gt;"",$B528&lt;&gt;"",$C528&lt;$B528),"⚠ Vencimento anterior à competência","OK"))))))))</f>
        <v/>
      </c>
    </row>
    <row r="529">
      <c r="A529" s="14" t="inlineStr">
        <is>
          <t>L0524</t>
        </is>
      </c>
      <c r="B529" s="36" t="n">
        <v>46354</v>
      </c>
      <c r="C529" s="36" t="n">
        <v>46354</v>
      </c>
      <c r="D529" s="36" t="n"/>
      <c r="E529" s="14" t="inlineStr">
        <is>
          <t>Saída</t>
        </is>
      </c>
      <c r="F529" s="29" t="inlineStr">
        <is>
          <t>Despesas Financeiras</t>
        </is>
      </c>
      <c r="G529" s="29" t="inlineStr">
        <is>
          <t>Tarifas Bancárias</t>
        </is>
      </c>
      <c r="H529" s="29" t="inlineStr">
        <is>
          <t>Financeiro</t>
        </is>
      </c>
      <c r="I529" s="29" t="inlineStr">
        <is>
          <t>CONTABILIDADE AURORA ASSESSORIA CONTÁBIL LTDA</t>
        </is>
      </c>
      <c r="J529" s="29" t="inlineStr">
        <is>
          <t>Tarifas e pacote de serviços bancários</t>
        </is>
      </c>
      <c r="K529" s="14" t="inlineStr">
        <is>
          <t>DOC 8446</t>
        </is>
      </c>
      <c r="L529" s="29" t="inlineStr">
        <is>
          <t>Itaú Unibanco — C/C 45678-9</t>
        </is>
      </c>
      <c r="M529" s="14" t="inlineStr">
        <is>
          <t>Transferência</t>
        </is>
      </c>
      <c r="N529" s="29" t="n"/>
      <c r="O529" s="13" t="n">
        <v>1</v>
      </c>
      <c r="P529" s="13" t="n">
        <v>1</v>
      </c>
      <c r="Q529" s="35" t="n">
        <v>190</v>
      </c>
      <c r="R529" s="35" t="n"/>
      <c r="S529" s="35" t="n"/>
      <c r="T529" s="35" t="n"/>
      <c r="U529" s="35" t="n"/>
      <c r="V529" s="18">
        <f>IF(COUNTA($B529:$R529)=0,"",ROUND(N($R529)+N($S529)+N($T529)-N($U529),2))</f>
        <v/>
      </c>
      <c r="W529" s="18">
        <f>IF(COUNTA($B529:$R529)=0,"",IF(OR($X529="Pago",$X529="Recebido",$X529="Cancelado"),0,ROUND(N($Q529)+N($S529)+N($T529)-N($U529)-N($R529),2)))</f>
        <v/>
      </c>
      <c r="X529" s="14" t="inlineStr">
        <is>
          <t>Previsto</t>
        </is>
      </c>
      <c r="Y529" s="17">
        <f>IF(COUNTA($B529:$R529)=0,"",IF($X529="Cancelado","Cancelado",IF(OR($X529="Pago",$X529="Recebido"),$X529,IF(OR($X529="Parcial",N($R529)&gt;0),"Parcial",IF($C529="","Sem vencimento",IF($C529&lt;TODAY(),"Vencido",IF($C529=TODAY(),"Vence hoje",IF($C529&lt;=TODAY()+7,"Vence em 7 dias",IF($C529&lt;=TODAY()+30,"Vence em 30 dias","Futuro")))))))))</f>
        <v/>
      </c>
      <c r="Z529" s="24">
        <f>IF($B529="","",MONTH($B529))</f>
        <v/>
      </c>
      <c r="AA529" s="24">
        <f>IF($B529="","",YEAR($B529))</f>
        <v/>
      </c>
      <c r="AB529" s="24">
        <f>IF($B529="","",ISOWEEKNUM($B529))</f>
        <v/>
      </c>
      <c r="AC529" s="17">
        <f>IF($B529="","",CHOOSE(WEEKDAY($B529,2),"Segunda","Terça","Quarta","Quinta","Sexta","Sábado","Domingo"))</f>
        <v/>
      </c>
      <c r="AD529" s="17">
        <f>IF($B529="","",TEXT($B529,"MM/AAAA"))</f>
        <v/>
      </c>
      <c r="AE529" s="18">
        <f>IF(COUNTA($B529:$R529)=0,"",IF($X529="Cancelado",0,ROUND(N($Q529)+N($S529)+N($T529)-N($U529),2)))</f>
        <v/>
      </c>
      <c r="AF529" s="9">
        <f>IF($G529="","",IFERROR(INDEX(LINHAS_DRE_PLANO,MATCH($G529,SUBCATEGORIAS_PLANO,0)),"Não classificado"))</f>
        <v/>
      </c>
      <c r="AG529" s="17">
        <f>IF($G529="","",IFERROR(INDEX(TIPOS_FLUXO_PLANO,MATCH($G529,SUBCATEGORIAS_PLANO,0)),"Não classificado"))</f>
        <v/>
      </c>
      <c r="AH529" s="9">
        <f>IF($G529="","",IFERROR(INDEX(GRUPOS_PLANO,MATCH($G529,SUBCATEGORIAS_PLANO,0)),"Não classificado"))</f>
        <v/>
      </c>
      <c r="AI529" s="24">
        <f>IF(OR($C529="",$X529="Pago",$X529="Recebido",$X529="Cancelado"),"",$C529-TODAY())</f>
        <v/>
      </c>
      <c r="AJ529" s="24">
        <f>IF(OR($C529="",$X529="Pago",$X529="Recebido",$X529="Cancelado"),0,MAX(0,TODAY()-$C529))</f>
        <v/>
      </c>
      <c r="AK529" s="24">
        <f>IF($D529="","",$D529-$B529)</f>
        <v/>
      </c>
      <c r="AL529" s="18">
        <f>IF(OR($D529="",$B529=""),"",ROUND(N($R529)*($D529-$B529),2))</f>
        <v/>
      </c>
      <c r="AM529" s="17">
        <f>IF(AND($E529="Saída",$W529&gt;0,$C529&lt;&gt;""),$C529+ROW()/1000000,"")</f>
        <v/>
      </c>
      <c r="AN529" s="17">
        <f>IF(AND($E529="Entrada",$W529&gt;0,$C529&lt;&gt;""),$C529+ROW()/1000000,"")</f>
        <v/>
      </c>
      <c r="AO529" s="9">
        <f>IF(COUNTA($B529:$R529)=0,"",IF(AND($I529&lt;&gt;"",COUNTIF(CLIENTES_NOMES,$I529)+COUNTIF(CLIENTES_FANTASIA,$I529)+COUNTIF(FORNECEDORES_NOMES,$I529)+COUNTIF(FORNECEDORES_FANTASIA,$I529)=0),"⚠ Cliente/Fornecedor não cadastrado",IF(AND($G529&lt;&gt;"",COUNTIF(SUBCATEGORIAS_PLANO,$G529)=0),"⚠ Subcategoria fora do plano de contas",IF(OR($Q529="",N($Q529)=0),"⚠ Valor previsto não informado",IF(AND(OR($X529="Pago",$X529="Recebido"),$D529=""),"⚠ Status pago/recebido sem data",IF(AND($D529&lt;&gt;"",N($R529)=0),"⚠ Data de pagamento sem valor realizado",IF(AND(N($P529)&gt;1,N($O529)&gt;N($P529)),"⚠ Nº da parcela maior que o total",IF(AND($C529&lt;&gt;"",$B529&lt;&gt;"",$C529&lt;$B529),"⚠ Vencimento anterior à competência","OK"))))))))</f>
        <v/>
      </c>
    </row>
    <row r="530">
      <c r="A530" s="14" t="inlineStr">
        <is>
          <t>L0525</t>
        </is>
      </c>
      <c r="B530" s="36" t="n">
        <v>46360</v>
      </c>
      <c r="C530" s="36" t="n">
        <v>46390</v>
      </c>
      <c r="D530" s="36" t="n"/>
      <c r="E530" s="14" t="inlineStr">
        <is>
          <t>Saída</t>
        </is>
      </c>
      <c r="F530" s="29" t="inlineStr">
        <is>
          <t>Custos Variáveis</t>
        </is>
      </c>
      <c r="G530" s="29" t="inlineStr">
        <is>
          <t>Mercadorias para Revenda</t>
        </is>
      </c>
      <c r="H530" s="29" t="inlineStr">
        <is>
          <t>Logística</t>
        </is>
      </c>
      <c r="I530" s="29" t="inlineStr">
        <is>
          <t>DISTRIBUIDORA CENTRAL DE ALIMENTOS S/A</t>
        </is>
      </c>
      <c r="J530" s="29" t="inlineStr">
        <is>
          <t>Compra de mercadorias para revenda — NF 5120</t>
        </is>
      </c>
      <c r="K530" s="14" t="inlineStr">
        <is>
          <t>NF 5120</t>
        </is>
      </c>
      <c r="L530" s="29" t="inlineStr">
        <is>
          <t>Banco do Brasil — C/C 12345-6</t>
        </is>
      </c>
      <c r="M530" s="14" t="inlineStr">
        <is>
          <t>Boleto</t>
        </is>
      </c>
      <c r="N530" s="29" t="n"/>
      <c r="O530" s="13" t="n">
        <v>1</v>
      </c>
      <c r="P530" s="13" t="n">
        <v>1</v>
      </c>
      <c r="Q530" s="35" t="n">
        <v>69736</v>
      </c>
      <c r="R530" s="35" t="n"/>
      <c r="S530" s="35" t="n"/>
      <c r="T530" s="35" t="n"/>
      <c r="U530" s="35" t="n"/>
      <c r="V530" s="18">
        <f>IF(COUNTA($B530:$R530)=0,"",ROUND(N($R530)+N($S530)+N($T530)-N($U530),2))</f>
        <v/>
      </c>
      <c r="W530" s="18">
        <f>IF(COUNTA($B530:$R530)=0,"",IF(OR($X530="Pago",$X530="Recebido",$X530="Cancelado"),0,ROUND(N($Q530)+N($S530)+N($T530)-N($U530)-N($R530),2)))</f>
        <v/>
      </c>
      <c r="X530" s="14" t="inlineStr">
        <is>
          <t>Previsto</t>
        </is>
      </c>
      <c r="Y530" s="17">
        <f>IF(COUNTA($B530:$R530)=0,"",IF($X530="Cancelado","Cancelado",IF(OR($X530="Pago",$X530="Recebido"),$X530,IF(OR($X530="Parcial",N($R530)&gt;0),"Parcial",IF($C530="","Sem vencimento",IF($C530&lt;TODAY(),"Vencido",IF($C530=TODAY(),"Vence hoje",IF($C530&lt;=TODAY()+7,"Vence em 7 dias",IF($C530&lt;=TODAY()+30,"Vence em 30 dias","Futuro")))))))))</f>
        <v/>
      </c>
      <c r="Z530" s="24">
        <f>IF($B530="","",MONTH($B530))</f>
        <v/>
      </c>
      <c r="AA530" s="24">
        <f>IF($B530="","",YEAR($B530))</f>
        <v/>
      </c>
      <c r="AB530" s="24">
        <f>IF($B530="","",ISOWEEKNUM($B530))</f>
        <v/>
      </c>
      <c r="AC530" s="17">
        <f>IF($B530="","",CHOOSE(WEEKDAY($B530,2),"Segunda","Terça","Quarta","Quinta","Sexta","Sábado","Domingo"))</f>
        <v/>
      </c>
      <c r="AD530" s="17">
        <f>IF($B530="","",TEXT($B530,"MM/AAAA"))</f>
        <v/>
      </c>
      <c r="AE530" s="18">
        <f>IF(COUNTA($B530:$R530)=0,"",IF($X530="Cancelado",0,ROUND(N($Q530)+N($S530)+N($T530)-N($U530),2)))</f>
        <v/>
      </c>
      <c r="AF530" s="9">
        <f>IF($G530="","",IFERROR(INDEX(LINHAS_DRE_PLANO,MATCH($G530,SUBCATEGORIAS_PLANO,0)),"Não classificado"))</f>
        <v/>
      </c>
      <c r="AG530" s="17">
        <f>IF($G530="","",IFERROR(INDEX(TIPOS_FLUXO_PLANO,MATCH($G530,SUBCATEGORIAS_PLANO,0)),"Não classificado"))</f>
        <v/>
      </c>
      <c r="AH530" s="9">
        <f>IF($G530="","",IFERROR(INDEX(GRUPOS_PLANO,MATCH($G530,SUBCATEGORIAS_PLANO,0)),"Não classificado"))</f>
        <v/>
      </c>
      <c r="AI530" s="24">
        <f>IF(OR($C530="",$X530="Pago",$X530="Recebido",$X530="Cancelado"),"",$C530-TODAY())</f>
        <v/>
      </c>
      <c r="AJ530" s="24">
        <f>IF(OR($C530="",$X530="Pago",$X530="Recebido",$X530="Cancelado"),0,MAX(0,TODAY()-$C530))</f>
        <v/>
      </c>
      <c r="AK530" s="24">
        <f>IF($D530="","",$D530-$B530)</f>
        <v/>
      </c>
      <c r="AL530" s="18">
        <f>IF(OR($D530="",$B530=""),"",ROUND(N($R530)*($D530-$B530),2))</f>
        <v/>
      </c>
      <c r="AM530" s="17">
        <f>IF(AND($E530="Saída",$W530&gt;0,$C530&lt;&gt;""),$C530+ROW()/1000000,"")</f>
        <v/>
      </c>
      <c r="AN530" s="17">
        <f>IF(AND($E530="Entrada",$W530&gt;0,$C530&lt;&gt;""),$C530+ROW()/1000000,"")</f>
        <v/>
      </c>
      <c r="AO530" s="9">
        <f>IF(COUNTA($B530:$R530)=0,"",IF(AND($I530&lt;&gt;"",COUNTIF(CLIENTES_NOMES,$I530)+COUNTIF(CLIENTES_FANTASIA,$I530)+COUNTIF(FORNECEDORES_NOMES,$I530)+COUNTIF(FORNECEDORES_FANTASIA,$I530)=0),"⚠ Cliente/Fornecedor não cadastrado",IF(AND($G530&lt;&gt;"",COUNTIF(SUBCATEGORIAS_PLANO,$G530)=0),"⚠ Subcategoria fora do plano de contas",IF(OR($Q530="",N($Q530)=0),"⚠ Valor previsto não informado",IF(AND(OR($X530="Pago",$X530="Recebido"),$D530=""),"⚠ Status pago/recebido sem data",IF(AND($D530&lt;&gt;"",N($R530)=0),"⚠ Data de pagamento sem valor realizado",IF(AND(N($P530)&gt;1,N($O530)&gt;N($P530)),"⚠ Nº da parcela maior que o total",IF(AND($C530&lt;&gt;"",$B530&lt;&gt;"",$C530&lt;$B530),"⚠ Vencimento anterior à competência","OK"))))))))</f>
        <v/>
      </c>
    </row>
    <row r="531">
      <c r="A531" s="14" t="inlineStr">
        <is>
          <t>L0526</t>
        </is>
      </c>
      <c r="B531" s="36" t="n">
        <v>46361</v>
      </c>
      <c r="C531" s="36" t="n">
        <v>46366</v>
      </c>
      <c r="D531" s="36" t="n"/>
      <c r="E531" s="14" t="inlineStr">
        <is>
          <t>Saída</t>
        </is>
      </c>
      <c r="F531" s="29" t="inlineStr">
        <is>
          <t>Despesas Administrativas</t>
        </is>
      </c>
      <c r="G531" s="29" t="inlineStr">
        <is>
          <t>Aluguel</t>
        </is>
      </c>
      <c r="H531" s="29" t="inlineStr">
        <is>
          <t>Administrativo</t>
        </is>
      </c>
      <c r="I531" s="29" t="inlineStr">
        <is>
          <t>IMÓVEIS E LOCAÇÕES PINHEIROS LTDA</t>
        </is>
      </c>
      <c r="J531" s="29" t="inlineStr">
        <is>
          <t>Aluguel do galpão — competência 12/2026</t>
        </is>
      </c>
      <c r="K531" s="14" t="inlineStr">
        <is>
          <t>DOC 8447</t>
        </is>
      </c>
      <c r="L531" s="29" t="inlineStr">
        <is>
          <t>Banco do Brasil — C/C 12345-6</t>
        </is>
      </c>
      <c r="M531" s="14" t="inlineStr">
        <is>
          <t>Boleto</t>
        </is>
      </c>
      <c r="N531" s="29" t="n"/>
      <c r="O531" s="13" t="n">
        <v>1</v>
      </c>
      <c r="P531" s="13" t="n">
        <v>1</v>
      </c>
      <c r="Q531" s="35" t="n">
        <v>7500</v>
      </c>
      <c r="R531" s="35" t="n"/>
      <c r="S531" s="35" t="n"/>
      <c r="T531" s="35" t="n"/>
      <c r="U531" s="35" t="n"/>
      <c r="V531" s="18">
        <f>IF(COUNTA($B531:$R531)=0,"",ROUND(N($R531)+N($S531)+N($T531)-N($U531),2))</f>
        <v/>
      </c>
      <c r="W531" s="18">
        <f>IF(COUNTA($B531:$R531)=0,"",IF(OR($X531="Pago",$X531="Recebido",$X531="Cancelado"),0,ROUND(N($Q531)+N($S531)+N($T531)-N($U531)-N($R531),2)))</f>
        <v/>
      </c>
      <c r="X531" s="14" t="inlineStr">
        <is>
          <t>Previsto</t>
        </is>
      </c>
      <c r="Y531" s="17">
        <f>IF(COUNTA($B531:$R531)=0,"",IF($X531="Cancelado","Cancelado",IF(OR($X531="Pago",$X531="Recebido"),$X531,IF(OR($X531="Parcial",N($R531)&gt;0),"Parcial",IF($C531="","Sem vencimento",IF($C531&lt;TODAY(),"Vencido",IF($C531=TODAY(),"Vence hoje",IF($C531&lt;=TODAY()+7,"Vence em 7 dias",IF($C531&lt;=TODAY()+30,"Vence em 30 dias","Futuro")))))))))</f>
        <v/>
      </c>
      <c r="Z531" s="24">
        <f>IF($B531="","",MONTH($B531))</f>
        <v/>
      </c>
      <c r="AA531" s="24">
        <f>IF($B531="","",YEAR($B531))</f>
        <v/>
      </c>
      <c r="AB531" s="24">
        <f>IF($B531="","",ISOWEEKNUM($B531))</f>
        <v/>
      </c>
      <c r="AC531" s="17">
        <f>IF($B531="","",CHOOSE(WEEKDAY($B531,2),"Segunda","Terça","Quarta","Quinta","Sexta","Sábado","Domingo"))</f>
        <v/>
      </c>
      <c r="AD531" s="17">
        <f>IF($B531="","",TEXT($B531,"MM/AAAA"))</f>
        <v/>
      </c>
      <c r="AE531" s="18">
        <f>IF(COUNTA($B531:$R531)=0,"",IF($X531="Cancelado",0,ROUND(N($Q531)+N($S531)+N($T531)-N($U531),2)))</f>
        <v/>
      </c>
      <c r="AF531" s="9">
        <f>IF($G531="","",IFERROR(INDEX(LINHAS_DRE_PLANO,MATCH($G531,SUBCATEGORIAS_PLANO,0)),"Não classificado"))</f>
        <v/>
      </c>
      <c r="AG531" s="17">
        <f>IF($G531="","",IFERROR(INDEX(TIPOS_FLUXO_PLANO,MATCH($G531,SUBCATEGORIAS_PLANO,0)),"Não classificado"))</f>
        <v/>
      </c>
      <c r="AH531" s="9">
        <f>IF($G531="","",IFERROR(INDEX(GRUPOS_PLANO,MATCH($G531,SUBCATEGORIAS_PLANO,0)),"Não classificado"))</f>
        <v/>
      </c>
      <c r="AI531" s="24">
        <f>IF(OR($C531="",$X531="Pago",$X531="Recebido",$X531="Cancelado"),"",$C531-TODAY())</f>
        <v/>
      </c>
      <c r="AJ531" s="24">
        <f>IF(OR($C531="",$X531="Pago",$X531="Recebido",$X531="Cancelado"),0,MAX(0,TODAY()-$C531))</f>
        <v/>
      </c>
      <c r="AK531" s="24">
        <f>IF($D531="","",$D531-$B531)</f>
        <v/>
      </c>
      <c r="AL531" s="18">
        <f>IF(OR($D531="",$B531=""),"",ROUND(N($R531)*($D531-$B531),2))</f>
        <v/>
      </c>
      <c r="AM531" s="17">
        <f>IF(AND($E531="Saída",$W531&gt;0,$C531&lt;&gt;""),$C531+ROW()/1000000,"")</f>
        <v/>
      </c>
      <c r="AN531" s="17">
        <f>IF(AND($E531="Entrada",$W531&gt;0,$C531&lt;&gt;""),$C531+ROW()/1000000,"")</f>
        <v/>
      </c>
      <c r="AO531" s="9">
        <f>IF(COUNTA($B531:$R531)=0,"",IF(AND($I531&lt;&gt;"",COUNTIF(CLIENTES_NOMES,$I531)+COUNTIF(CLIENTES_FANTASIA,$I531)+COUNTIF(FORNECEDORES_NOMES,$I531)+COUNTIF(FORNECEDORES_FANTASIA,$I531)=0),"⚠ Cliente/Fornecedor não cadastrado",IF(AND($G531&lt;&gt;"",COUNTIF(SUBCATEGORIAS_PLANO,$G531)=0),"⚠ Subcategoria fora do plano de contas",IF(OR($Q531="",N($Q531)=0),"⚠ Valor previsto não informado",IF(AND(OR($X531="Pago",$X531="Recebido"),$D531=""),"⚠ Status pago/recebido sem data",IF(AND($D531&lt;&gt;"",N($R531)=0),"⚠ Data de pagamento sem valor realizado",IF(AND(N($P531)&gt;1,N($O531)&gt;N($P531)),"⚠ Nº da parcela maior que o total",IF(AND($C531&lt;&gt;"",$B531&lt;&gt;"",$C531&lt;$B531),"⚠ Vencimento anterior à competência","OK"))))))))</f>
        <v/>
      </c>
    </row>
    <row r="532">
      <c r="A532" s="14" t="inlineStr">
        <is>
          <t>L0527</t>
        </is>
      </c>
      <c r="B532" s="36" t="n">
        <v>46361</v>
      </c>
      <c r="C532" s="36" t="n">
        <v>46366</v>
      </c>
      <c r="D532" s="36" t="n"/>
      <c r="E532" s="14" t="inlineStr">
        <is>
          <t>Saída</t>
        </is>
      </c>
      <c r="F532" s="29" t="inlineStr">
        <is>
          <t>Despesas com Pessoal</t>
        </is>
      </c>
      <c r="G532" s="29" t="inlineStr">
        <is>
          <t>Salários</t>
        </is>
      </c>
      <c r="H532" s="29" t="inlineStr">
        <is>
          <t>Administrativo</t>
        </is>
      </c>
      <c r="I532" s="29" t="inlineStr">
        <is>
          <t>COLABORADORES — FOLHA DE PAGAMENTO</t>
        </is>
      </c>
      <c r="J532" s="29" t="inlineStr">
        <is>
          <t>Folha de pagamento — 12/2026</t>
        </is>
      </c>
      <c r="K532" s="14" t="inlineStr">
        <is>
          <t>DOC 8453</t>
        </is>
      </c>
      <c r="L532" s="29" t="inlineStr">
        <is>
          <t>Banco do Brasil — C/C 12345-6</t>
        </is>
      </c>
      <c r="M532" s="14" t="inlineStr">
        <is>
          <t>Transferência</t>
        </is>
      </c>
      <c r="N532" s="29" t="n"/>
      <c r="O532" s="13" t="n">
        <v>1</v>
      </c>
      <c r="P532" s="13" t="n">
        <v>1</v>
      </c>
      <c r="Q532" s="35" t="n">
        <v>16000</v>
      </c>
      <c r="R532" s="35" t="n"/>
      <c r="S532" s="35" t="n"/>
      <c r="T532" s="35" t="n"/>
      <c r="U532" s="35" t="n"/>
      <c r="V532" s="18">
        <f>IF(COUNTA($B532:$R532)=0,"",ROUND(N($R532)+N($S532)+N($T532)-N($U532),2))</f>
        <v/>
      </c>
      <c r="W532" s="18">
        <f>IF(COUNTA($B532:$R532)=0,"",IF(OR($X532="Pago",$X532="Recebido",$X532="Cancelado"),0,ROUND(N($Q532)+N($S532)+N($T532)-N($U532)-N($R532),2)))</f>
        <v/>
      </c>
      <c r="X532" s="14" t="inlineStr">
        <is>
          <t>Previsto</t>
        </is>
      </c>
      <c r="Y532" s="17">
        <f>IF(COUNTA($B532:$R532)=0,"",IF($X532="Cancelado","Cancelado",IF(OR($X532="Pago",$X532="Recebido"),$X532,IF(OR($X532="Parcial",N($R532)&gt;0),"Parcial",IF($C532="","Sem vencimento",IF($C532&lt;TODAY(),"Vencido",IF($C532=TODAY(),"Vence hoje",IF($C532&lt;=TODAY()+7,"Vence em 7 dias",IF($C532&lt;=TODAY()+30,"Vence em 30 dias","Futuro")))))))))</f>
        <v/>
      </c>
      <c r="Z532" s="24">
        <f>IF($B532="","",MONTH($B532))</f>
        <v/>
      </c>
      <c r="AA532" s="24">
        <f>IF($B532="","",YEAR($B532))</f>
        <v/>
      </c>
      <c r="AB532" s="24">
        <f>IF($B532="","",ISOWEEKNUM($B532))</f>
        <v/>
      </c>
      <c r="AC532" s="17">
        <f>IF($B532="","",CHOOSE(WEEKDAY($B532,2),"Segunda","Terça","Quarta","Quinta","Sexta","Sábado","Domingo"))</f>
        <v/>
      </c>
      <c r="AD532" s="17">
        <f>IF($B532="","",TEXT($B532,"MM/AAAA"))</f>
        <v/>
      </c>
      <c r="AE532" s="18">
        <f>IF(COUNTA($B532:$R532)=0,"",IF($X532="Cancelado",0,ROUND(N($Q532)+N($S532)+N($T532)-N($U532),2)))</f>
        <v/>
      </c>
      <c r="AF532" s="9">
        <f>IF($G532="","",IFERROR(INDEX(LINHAS_DRE_PLANO,MATCH($G532,SUBCATEGORIAS_PLANO,0)),"Não classificado"))</f>
        <v/>
      </c>
      <c r="AG532" s="17">
        <f>IF($G532="","",IFERROR(INDEX(TIPOS_FLUXO_PLANO,MATCH($G532,SUBCATEGORIAS_PLANO,0)),"Não classificado"))</f>
        <v/>
      </c>
      <c r="AH532" s="9">
        <f>IF($G532="","",IFERROR(INDEX(GRUPOS_PLANO,MATCH($G532,SUBCATEGORIAS_PLANO,0)),"Não classificado"))</f>
        <v/>
      </c>
      <c r="AI532" s="24">
        <f>IF(OR($C532="",$X532="Pago",$X532="Recebido",$X532="Cancelado"),"",$C532-TODAY())</f>
        <v/>
      </c>
      <c r="AJ532" s="24">
        <f>IF(OR($C532="",$X532="Pago",$X532="Recebido",$X532="Cancelado"),0,MAX(0,TODAY()-$C532))</f>
        <v/>
      </c>
      <c r="AK532" s="24">
        <f>IF($D532="","",$D532-$B532)</f>
        <v/>
      </c>
      <c r="AL532" s="18">
        <f>IF(OR($D532="",$B532=""),"",ROUND(N($R532)*($D532-$B532),2))</f>
        <v/>
      </c>
      <c r="AM532" s="17">
        <f>IF(AND($E532="Saída",$W532&gt;0,$C532&lt;&gt;""),$C532+ROW()/1000000,"")</f>
        <v/>
      </c>
      <c r="AN532" s="17">
        <f>IF(AND($E532="Entrada",$W532&gt;0,$C532&lt;&gt;""),$C532+ROW()/1000000,"")</f>
        <v/>
      </c>
      <c r="AO532" s="9">
        <f>IF(COUNTA($B532:$R532)=0,"",IF(AND($I532&lt;&gt;"",COUNTIF(CLIENTES_NOMES,$I532)+COUNTIF(CLIENTES_FANTASIA,$I532)+COUNTIF(FORNECEDORES_NOMES,$I532)+COUNTIF(FORNECEDORES_FANTASIA,$I532)=0),"⚠ Cliente/Fornecedor não cadastrado",IF(AND($G532&lt;&gt;"",COUNTIF(SUBCATEGORIAS_PLANO,$G532)=0),"⚠ Subcategoria fora do plano de contas",IF(OR($Q532="",N($Q532)=0),"⚠ Valor previsto não informado",IF(AND(OR($X532="Pago",$X532="Recebido"),$D532=""),"⚠ Status pago/recebido sem data",IF(AND($D532&lt;&gt;"",N($R532)=0),"⚠ Data de pagamento sem valor realizado",IF(AND(N($P532)&gt;1,N($O532)&gt;N($P532)),"⚠ Nº da parcela maior que o total",IF(AND($C532&lt;&gt;"",$B532&lt;&gt;"",$C532&lt;$B532),"⚠ Vencimento anterior à competência","OK"))))))))</f>
        <v/>
      </c>
    </row>
    <row r="533">
      <c r="A533" s="14" t="inlineStr">
        <is>
          <t>L0528</t>
        </is>
      </c>
      <c r="B533" s="36" t="n">
        <v>46361</v>
      </c>
      <c r="C533" s="36" t="n">
        <v>46366</v>
      </c>
      <c r="D533" s="36" t="n"/>
      <c r="E533" s="14" t="inlineStr">
        <is>
          <t>Saída</t>
        </is>
      </c>
      <c r="F533" s="29" t="inlineStr">
        <is>
          <t>Despesas com Pessoal</t>
        </is>
      </c>
      <c r="G533" s="29" t="inlineStr">
        <is>
          <t>Benefícios (VT/VA/Plano de Saúde)</t>
        </is>
      </c>
      <c r="H533" s="29" t="inlineStr">
        <is>
          <t>Administrativo</t>
        </is>
      </c>
      <c r="I533" s="29" t="inlineStr">
        <is>
          <t>BENEFÍCIOS BRASIL ADMINISTRADORA LTDA</t>
        </is>
      </c>
      <c r="J533" s="29" t="inlineStr">
        <is>
          <t>Vale-transporte, alimentação e saúde</t>
        </is>
      </c>
      <c r="K533" s="14" t="inlineStr">
        <is>
          <t>DOC 8455</t>
        </is>
      </c>
      <c r="L533" s="29" t="inlineStr">
        <is>
          <t>Banco do Brasil — C/C 12345-6</t>
        </is>
      </c>
      <c r="M533" s="14" t="inlineStr">
        <is>
          <t>Transferência</t>
        </is>
      </c>
      <c r="N533" s="29" t="n"/>
      <c r="O533" s="13" t="n">
        <v>1</v>
      </c>
      <c r="P533" s="13" t="n">
        <v>1</v>
      </c>
      <c r="Q533" s="35" t="n">
        <v>1900</v>
      </c>
      <c r="R533" s="35" t="n"/>
      <c r="S533" s="35" t="n"/>
      <c r="T533" s="35" t="n"/>
      <c r="U533" s="35" t="n"/>
      <c r="V533" s="18">
        <f>IF(COUNTA($B533:$R533)=0,"",ROUND(N($R533)+N($S533)+N($T533)-N($U533),2))</f>
        <v/>
      </c>
      <c r="W533" s="18">
        <f>IF(COUNTA($B533:$R533)=0,"",IF(OR($X533="Pago",$X533="Recebido",$X533="Cancelado"),0,ROUND(N($Q533)+N($S533)+N($T533)-N($U533)-N($R533),2)))</f>
        <v/>
      </c>
      <c r="X533" s="14" t="inlineStr">
        <is>
          <t>Previsto</t>
        </is>
      </c>
      <c r="Y533" s="17">
        <f>IF(COUNTA($B533:$R533)=0,"",IF($X533="Cancelado","Cancelado",IF(OR($X533="Pago",$X533="Recebido"),$X533,IF(OR($X533="Parcial",N($R533)&gt;0),"Parcial",IF($C533="","Sem vencimento",IF($C533&lt;TODAY(),"Vencido",IF($C533=TODAY(),"Vence hoje",IF($C533&lt;=TODAY()+7,"Vence em 7 dias",IF($C533&lt;=TODAY()+30,"Vence em 30 dias","Futuro")))))))))</f>
        <v/>
      </c>
      <c r="Z533" s="24">
        <f>IF($B533="","",MONTH($B533))</f>
        <v/>
      </c>
      <c r="AA533" s="24">
        <f>IF($B533="","",YEAR($B533))</f>
        <v/>
      </c>
      <c r="AB533" s="24">
        <f>IF($B533="","",ISOWEEKNUM($B533))</f>
        <v/>
      </c>
      <c r="AC533" s="17">
        <f>IF($B533="","",CHOOSE(WEEKDAY($B533,2),"Segunda","Terça","Quarta","Quinta","Sexta","Sábado","Domingo"))</f>
        <v/>
      </c>
      <c r="AD533" s="17">
        <f>IF($B533="","",TEXT($B533,"MM/AAAA"))</f>
        <v/>
      </c>
      <c r="AE533" s="18">
        <f>IF(COUNTA($B533:$R533)=0,"",IF($X533="Cancelado",0,ROUND(N($Q533)+N($S533)+N($T533)-N($U533),2)))</f>
        <v/>
      </c>
      <c r="AF533" s="9">
        <f>IF($G533="","",IFERROR(INDEX(LINHAS_DRE_PLANO,MATCH($G533,SUBCATEGORIAS_PLANO,0)),"Não classificado"))</f>
        <v/>
      </c>
      <c r="AG533" s="17">
        <f>IF($G533="","",IFERROR(INDEX(TIPOS_FLUXO_PLANO,MATCH($G533,SUBCATEGORIAS_PLANO,0)),"Não classificado"))</f>
        <v/>
      </c>
      <c r="AH533" s="9">
        <f>IF($G533="","",IFERROR(INDEX(GRUPOS_PLANO,MATCH($G533,SUBCATEGORIAS_PLANO,0)),"Não classificado"))</f>
        <v/>
      </c>
      <c r="AI533" s="24">
        <f>IF(OR($C533="",$X533="Pago",$X533="Recebido",$X533="Cancelado"),"",$C533-TODAY())</f>
        <v/>
      </c>
      <c r="AJ533" s="24">
        <f>IF(OR($C533="",$X533="Pago",$X533="Recebido",$X533="Cancelado"),0,MAX(0,TODAY()-$C533))</f>
        <v/>
      </c>
      <c r="AK533" s="24">
        <f>IF($D533="","",$D533-$B533)</f>
        <v/>
      </c>
      <c r="AL533" s="18">
        <f>IF(OR($D533="",$B533=""),"",ROUND(N($R533)*($D533-$B533),2))</f>
        <v/>
      </c>
      <c r="AM533" s="17">
        <f>IF(AND($E533="Saída",$W533&gt;0,$C533&lt;&gt;""),$C533+ROW()/1000000,"")</f>
        <v/>
      </c>
      <c r="AN533" s="17">
        <f>IF(AND($E533="Entrada",$W533&gt;0,$C533&lt;&gt;""),$C533+ROW()/1000000,"")</f>
        <v/>
      </c>
      <c r="AO533" s="9">
        <f>IF(COUNTA($B533:$R533)=0,"",IF(AND($I533&lt;&gt;"",COUNTIF(CLIENTES_NOMES,$I533)+COUNTIF(CLIENTES_FANTASIA,$I533)+COUNTIF(FORNECEDORES_NOMES,$I533)+COUNTIF(FORNECEDORES_FANTASIA,$I533)=0),"⚠ Cliente/Fornecedor não cadastrado",IF(AND($G533&lt;&gt;"",COUNTIF(SUBCATEGORIAS_PLANO,$G533)=0),"⚠ Subcategoria fora do plano de contas",IF(OR($Q533="",N($Q533)=0),"⚠ Valor previsto não informado",IF(AND(OR($X533="Pago",$X533="Recebido"),$D533=""),"⚠ Status pago/recebido sem data",IF(AND($D533&lt;&gt;"",N($R533)=0),"⚠ Data de pagamento sem valor realizado",IF(AND(N($P533)&gt;1,N($O533)&gt;N($P533)),"⚠ Nº da parcela maior que o total",IF(AND($C533&lt;&gt;"",$B533&lt;&gt;"",$C533&lt;$B533),"⚠ Vencimento anterior à competência","OK"))))))))</f>
        <v/>
      </c>
    </row>
    <row r="534">
      <c r="A534" s="14" t="inlineStr">
        <is>
          <t>L0529</t>
        </is>
      </c>
      <c r="B534" s="36" t="n">
        <v>46361</v>
      </c>
      <c r="C534" s="36" t="n">
        <v>46366</v>
      </c>
      <c r="D534" s="36" t="n"/>
      <c r="E534" s="14" t="inlineStr">
        <is>
          <t>Saída</t>
        </is>
      </c>
      <c r="F534" s="29" t="inlineStr">
        <is>
          <t>Despesas com Pessoal</t>
        </is>
      </c>
      <c r="G534" s="29" t="inlineStr">
        <is>
          <t>Pró-labore</t>
        </is>
      </c>
      <c r="H534" s="29" t="inlineStr">
        <is>
          <t>Diretoria</t>
        </is>
      </c>
      <c r="I534" s="29" t="inlineStr">
        <is>
          <t>SÓCIOS — PRÓ-LABORE E DISTRIBUIÇÕES</t>
        </is>
      </c>
      <c r="J534" s="29" t="inlineStr">
        <is>
          <t>Pró-labore dos sócios — 12/2026</t>
        </is>
      </c>
      <c r="K534" s="14" t="inlineStr">
        <is>
          <t>DOC 8456</t>
        </is>
      </c>
      <c r="L534" s="29" t="inlineStr">
        <is>
          <t>Banco do Brasil — C/C 12345-6</t>
        </is>
      </c>
      <c r="M534" s="14" t="inlineStr">
        <is>
          <t>Transferência</t>
        </is>
      </c>
      <c r="N534" s="29" t="n"/>
      <c r="O534" s="13" t="n">
        <v>1</v>
      </c>
      <c r="P534" s="13" t="n">
        <v>1</v>
      </c>
      <c r="Q534" s="35" t="n">
        <v>9500</v>
      </c>
      <c r="R534" s="35" t="n"/>
      <c r="S534" s="35" t="n"/>
      <c r="T534" s="35" t="n"/>
      <c r="U534" s="35" t="n"/>
      <c r="V534" s="18">
        <f>IF(COUNTA($B534:$R534)=0,"",ROUND(N($R534)+N($S534)+N($T534)-N($U534),2))</f>
        <v/>
      </c>
      <c r="W534" s="18">
        <f>IF(COUNTA($B534:$R534)=0,"",IF(OR($X534="Pago",$X534="Recebido",$X534="Cancelado"),0,ROUND(N($Q534)+N($S534)+N($T534)-N($U534)-N($R534),2)))</f>
        <v/>
      </c>
      <c r="X534" s="14" t="inlineStr">
        <is>
          <t>Previsto</t>
        </is>
      </c>
      <c r="Y534" s="17">
        <f>IF(COUNTA($B534:$R534)=0,"",IF($X534="Cancelado","Cancelado",IF(OR($X534="Pago",$X534="Recebido"),$X534,IF(OR($X534="Parcial",N($R534)&gt;0),"Parcial",IF($C534="","Sem vencimento",IF($C534&lt;TODAY(),"Vencido",IF($C534=TODAY(),"Vence hoje",IF($C534&lt;=TODAY()+7,"Vence em 7 dias",IF($C534&lt;=TODAY()+30,"Vence em 30 dias","Futuro")))))))))</f>
        <v/>
      </c>
      <c r="Z534" s="24">
        <f>IF($B534="","",MONTH($B534))</f>
        <v/>
      </c>
      <c r="AA534" s="24">
        <f>IF($B534="","",YEAR($B534))</f>
        <v/>
      </c>
      <c r="AB534" s="24">
        <f>IF($B534="","",ISOWEEKNUM($B534))</f>
        <v/>
      </c>
      <c r="AC534" s="17">
        <f>IF($B534="","",CHOOSE(WEEKDAY($B534,2),"Segunda","Terça","Quarta","Quinta","Sexta","Sábado","Domingo"))</f>
        <v/>
      </c>
      <c r="AD534" s="17">
        <f>IF($B534="","",TEXT($B534,"MM/AAAA"))</f>
        <v/>
      </c>
      <c r="AE534" s="18">
        <f>IF(COUNTA($B534:$R534)=0,"",IF($X534="Cancelado",0,ROUND(N($Q534)+N($S534)+N($T534)-N($U534),2)))</f>
        <v/>
      </c>
      <c r="AF534" s="9">
        <f>IF($G534="","",IFERROR(INDEX(LINHAS_DRE_PLANO,MATCH($G534,SUBCATEGORIAS_PLANO,0)),"Não classificado"))</f>
        <v/>
      </c>
      <c r="AG534" s="17">
        <f>IF($G534="","",IFERROR(INDEX(TIPOS_FLUXO_PLANO,MATCH($G534,SUBCATEGORIAS_PLANO,0)),"Não classificado"))</f>
        <v/>
      </c>
      <c r="AH534" s="9">
        <f>IF($G534="","",IFERROR(INDEX(GRUPOS_PLANO,MATCH($G534,SUBCATEGORIAS_PLANO,0)),"Não classificado"))</f>
        <v/>
      </c>
      <c r="AI534" s="24">
        <f>IF(OR($C534="",$X534="Pago",$X534="Recebido",$X534="Cancelado"),"",$C534-TODAY())</f>
        <v/>
      </c>
      <c r="AJ534" s="24">
        <f>IF(OR($C534="",$X534="Pago",$X534="Recebido",$X534="Cancelado"),0,MAX(0,TODAY()-$C534))</f>
        <v/>
      </c>
      <c r="AK534" s="24">
        <f>IF($D534="","",$D534-$B534)</f>
        <v/>
      </c>
      <c r="AL534" s="18">
        <f>IF(OR($D534="",$B534=""),"",ROUND(N($R534)*($D534-$B534),2))</f>
        <v/>
      </c>
      <c r="AM534" s="17">
        <f>IF(AND($E534="Saída",$W534&gt;0,$C534&lt;&gt;""),$C534+ROW()/1000000,"")</f>
        <v/>
      </c>
      <c r="AN534" s="17">
        <f>IF(AND($E534="Entrada",$W534&gt;0,$C534&lt;&gt;""),$C534+ROW()/1000000,"")</f>
        <v/>
      </c>
      <c r="AO534" s="9">
        <f>IF(COUNTA($B534:$R534)=0,"",IF(AND($I534&lt;&gt;"",COUNTIF(CLIENTES_NOMES,$I534)+COUNTIF(CLIENTES_FANTASIA,$I534)+COUNTIF(FORNECEDORES_NOMES,$I534)+COUNTIF(FORNECEDORES_FANTASIA,$I534)=0),"⚠ Cliente/Fornecedor não cadastrado",IF(AND($G534&lt;&gt;"",COUNTIF(SUBCATEGORIAS_PLANO,$G534)=0),"⚠ Subcategoria fora do plano de contas",IF(OR($Q534="",N($Q534)=0),"⚠ Valor previsto não informado",IF(AND(OR($X534="Pago",$X534="Recebido"),$D534=""),"⚠ Status pago/recebido sem data",IF(AND($D534&lt;&gt;"",N($R534)=0),"⚠ Data de pagamento sem valor realizado",IF(AND(N($P534)&gt;1,N($O534)&gt;N($P534)),"⚠ Nº da parcela maior que o total",IF(AND($C534&lt;&gt;"",$B534&lt;&gt;"",$C534&lt;$B534),"⚠ Vencimento anterior à competência","OK"))))))))</f>
        <v/>
      </c>
    </row>
    <row r="535">
      <c r="A535" s="14" t="inlineStr">
        <is>
          <t>L0530</t>
        </is>
      </c>
      <c r="B535" s="36" t="n">
        <v>46363</v>
      </c>
      <c r="C535" s="36" t="n">
        <v>46370</v>
      </c>
      <c r="D535" s="36" t="n"/>
      <c r="E535" s="14" t="inlineStr">
        <is>
          <t>Saída</t>
        </is>
      </c>
      <c r="F535" s="29" t="inlineStr">
        <is>
          <t>Despesas com Pessoal</t>
        </is>
      </c>
      <c r="G535" s="29" t="inlineStr">
        <is>
          <t>Encargos Sociais (FGTS/INSS)</t>
        </is>
      </c>
      <c r="H535" s="29" t="inlineStr">
        <is>
          <t>Administrativo</t>
        </is>
      </c>
      <c r="I535" s="29" t="inlineStr">
        <is>
          <t>RECEITA FEDERAL DO BRASIL</t>
        </is>
      </c>
      <c r="J535" s="29" t="inlineStr">
        <is>
          <t>FGTS e INSS — competência 12/2026</t>
        </is>
      </c>
      <c r="K535" s="14" t="inlineStr">
        <is>
          <t>DOC 8454</t>
        </is>
      </c>
      <c r="L535" s="29" t="inlineStr">
        <is>
          <t>Itaú Unibanco — C/C 45678-9</t>
        </is>
      </c>
      <c r="M535" s="14" t="inlineStr">
        <is>
          <t>Transferência</t>
        </is>
      </c>
      <c r="N535" s="29" t="n"/>
      <c r="O535" s="13" t="n">
        <v>1</v>
      </c>
      <c r="P535" s="13" t="n">
        <v>1</v>
      </c>
      <c r="Q535" s="35" t="n">
        <v>5600</v>
      </c>
      <c r="R535" s="35" t="n"/>
      <c r="S535" s="35" t="n"/>
      <c r="T535" s="35" t="n"/>
      <c r="U535" s="35" t="n"/>
      <c r="V535" s="18">
        <f>IF(COUNTA($B535:$R535)=0,"",ROUND(N($R535)+N($S535)+N($T535)-N($U535),2))</f>
        <v/>
      </c>
      <c r="W535" s="18">
        <f>IF(COUNTA($B535:$R535)=0,"",IF(OR($X535="Pago",$X535="Recebido",$X535="Cancelado"),0,ROUND(N($Q535)+N($S535)+N($T535)-N($U535)-N($R535),2)))</f>
        <v/>
      </c>
      <c r="X535" s="14" t="inlineStr">
        <is>
          <t>Previsto</t>
        </is>
      </c>
      <c r="Y535" s="17">
        <f>IF(COUNTA($B535:$R535)=0,"",IF($X535="Cancelado","Cancelado",IF(OR($X535="Pago",$X535="Recebido"),$X535,IF(OR($X535="Parcial",N($R535)&gt;0),"Parcial",IF($C535="","Sem vencimento",IF($C535&lt;TODAY(),"Vencido",IF($C535=TODAY(),"Vence hoje",IF($C535&lt;=TODAY()+7,"Vence em 7 dias",IF($C535&lt;=TODAY()+30,"Vence em 30 dias","Futuro")))))))))</f>
        <v/>
      </c>
      <c r="Z535" s="24">
        <f>IF($B535="","",MONTH($B535))</f>
        <v/>
      </c>
      <c r="AA535" s="24">
        <f>IF($B535="","",YEAR($B535))</f>
        <v/>
      </c>
      <c r="AB535" s="24">
        <f>IF($B535="","",ISOWEEKNUM($B535))</f>
        <v/>
      </c>
      <c r="AC535" s="17">
        <f>IF($B535="","",CHOOSE(WEEKDAY($B535,2),"Segunda","Terça","Quarta","Quinta","Sexta","Sábado","Domingo"))</f>
        <v/>
      </c>
      <c r="AD535" s="17">
        <f>IF($B535="","",TEXT($B535,"MM/AAAA"))</f>
        <v/>
      </c>
      <c r="AE535" s="18">
        <f>IF(COUNTA($B535:$R535)=0,"",IF($X535="Cancelado",0,ROUND(N($Q535)+N($S535)+N($T535)-N($U535),2)))</f>
        <v/>
      </c>
      <c r="AF535" s="9">
        <f>IF($G535="","",IFERROR(INDEX(LINHAS_DRE_PLANO,MATCH($G535,SUBCATEGORIAS_PLANO,0)),"Não classificado"))</f>
        <v/>
      </c>
      <c r="AG535" s="17">
        <f>IF($G535="","",IFERROR(INDEX(TIPOS_FLUXO_PLANO,MATCH($G535,SUBCATEGORIAS_PLANO,0)),"Não classificado"))</f>
        <v/>
      </c>
      <c r="AH535" s="9">
        <f>IF($G535="","",IFERROR(INDEX(GRUPOS_PLANO,MATCH($G535,SUBCATEGORIAS_PLANO,0)),"Não classificado"))</f>
        <v/>
      </c>
      <c r="AI535" s="24">
        <f>IF(OR($C535="",$X535="Pago",$X535="Recebido",$X535="Cancelado"),"",$C535-TODAY())</f>
        <v/>
      </c>
      <c r="AJ535" s="24">
        <f>IF(OR($C535="",$X535="Pago",$X535="Recebido",$X535="Cancelado"),0,MAX(0,TODAY()-$C535))</f>
        <v/>
      </c>
      <c r="AK535" s="24">
        <f>IF($D535="","",$D535-$B535)</f>
        <v/>
      </c>
      <c r="AL535" s="18">
        <f>IF(OR($D535="",$B535=""),"",ROUND(N($R535)*($D535-$B535),2))</f>
        <v/>
      </c>
      <c r="AM535" s="17">
        <f>IF(AND($E535="Saída",$W535&gt;0,$C535&lt;&gt;""),$C535+ROW()/1000000,"")</f>
        <v/>
      </c>
      <c r="AN535" s="17">
        <f>IF(AND($E535="Entrada",$W535&gt;0,$C535&lt;&gt;""),$C535+ROW()/1000000,"")</f>
        <v/>
      </c>
      <c r="AO535" s="9">
        <f>IF(COUNTA($B535:$R535)=0,"",IF(AND($I535&lt;&gt;"",COUNTIF(CLIENTES_NOMES,$I535)+COUNTIF(CLIENTES_FANTASIA,$I535)+COUNTIF(FORNECEDORES_NOMES,$I535)+COUNTIF(FORNECEDORES_FANTASIA,$I535)=0),"⚠ Cliente/Fornecedor não cadastrado",IF(AND($G535&lt;&gt;"",COUNTIF(SUBCATEGORIAS_PLANO,$G535)=0),"⚠ Subcategoria fora do plano de contas",IF(OR($Q535="",N($Q535)=0),"⚠ Valor previsto não informado",IF(AND(OR($X535="Pago",$X535="Recebido"),$D535=""),"⚠ Status pago/recebido sem data",IF(AND($D535&lt;&gt;"",N($R535)=0),"⚠ Data de pagamento sem valor realizado",IF(AND(N($P535)&gt;1,N($O535)&gt;N($P535)),"⚠ Nº da parcela maior que o total",IF(AND($C535&lt;&gt;"",$B535&lt;&gt;"",$C535&lt;$B535),"⚠ Vencimento anterior à competência","OK"))))))))</f>
        <v/>
      </c>
    </row>
    <row r="536">
      <c r="A536" s="14" t="inlineStr">
        <is>
          <t>L0531</t>
        </is>
      </c>
      <c r="B536" s="36" t="n">
        <v>46364</v>
      </c>
      <c r="C536" s="36" t="n">
        <v>46384</v>
      </c>
      <c r="D536" s="36" t="n"/>
      <c r="E536" s="14" t="inlineStr">
        <is>
          <t>Saída</t>
        </is>
      </c>
      <c r="F536" s="29" t="inlineStr">
        <is>
          <t>Despesas Administrativas</t>
        </is>
      </c>
      <c r="G536" s="29" t="inlineStr">
        <is>
          <t>Sistemas e Softwares</t>
        </is>
      </c>
      <c r="H536" s="29" t="inlineStr">
        <is>
          <t>Administrativo</t>
        </is>
      </c>
      <c r="I536" s="29" t="inlineStr">
        <is>
          <t>TECNOLOGIA E SISTEMAS ABC LTDA</t>
        </is>
      </c>
      <c r="J536" s="29" t="inlineStr">
        <is>
          <t>Assinatura ERP, NF-e e BI</t>
        </is>
      </c>
      <c r="K536" s="14" t="inlineStr">
        <is>
          <t>DOC 8452</t>
        </is>
      </c>
      <c r="L536" s="29" t="inlineStr">
        <is>
          <t>Nubank PJ — C/C 9876543-2</t>
        </is>
      </c>
      <c r="M536" s="14" t="inlineStr">
        <is>
          <t>Cartão de crédito</t>
        </is>
      </c>
      <c r="N536" s="29" t="inlineStr">
        <is>
          <t>Cartão Mastercard Nubank PJ</t>
        </is>
      </c>
      <c r="O536" s="13" t="n">
        <v>1</v>
      </c>
      <c r="P536" s="13" t="n">
        <v>1</v>
      </c>
      <c r="Q536" s="35" t="n">
        <v>850</v>
      </c>
      <c r="R536" s="35" t="n"/>
      <c r="S536" s="35" t="n"/>
      <c r="T536" s="35" t="n"/>
      <c r="U536" s="35" t="n"/>
      <c r="V536" s="18">
        <f>IF(COUNTA($B536:$R536)=0,"",ROUND(N($R536)+N($S536)+N($T536)-N($U536),2))</f>
        <v/>
      </c>
      <c r="W536" s="18">
        <f>IF(COUNTA($B536:$R536)=0,"",IF(OR($X536="Pago",$X536="Recebido",$X536="Cancelado"),0,ROUND(N($Q536)+N($S536)+N($T536)-N($U536)-N($R536),2)))</f>
        <v/>
      </c>
      <c r="X536" s="14" t="inlineStr">
        <is>
          <t>Previsto</t>
        </is>
      </c>
      <c r="Y536" s="17">
        <f>IF(COUNTA($B536:$R536)=0,"",IF($X536="Cancelado","Cancelado",IF(OR($X536="Pago",$X536="Recebido"),$X536,IF(OR($X536="Parcial",N($R536)&gt;0),"Parcial",IF($C536="","Sem vencimento",IF($C536&lt;TODAY(),"Vencido",IF($C536=TODAY(),"Vence hoje",IF($C536&lt;=TODAY()+7,"Vence em 7 dias",IF($C536&lt;=TODAY()+30,"Vence em 30 dias","Futuro")))))))))</f>
        <v/>
      </c>
      <c r="Z536" s="24">
        <f>IF($B536="","",MONTH($B536))</f>
        <v/>
      </c>
      <c r="AA536" s="24">
        <f>IF($B536="","",YEAR($B536))</f>
        <v/>
      </c>
      <c r="AB536" s="24">
        <f>IF($B536="","",ISOWEEKNUM($B536))</f>
        <v/>
      </c>
      <c r="AC536" s="17">
        <f>IF($B536="","",CHOOSE(WEEKDAY($B536,2),"Segunda","Terça","Quarta","Quinta","Sexta","Sábado","Domingo"))</f>
        <v/>
      </c>
      <c r="AD536" s="17">
        <f>IF($B536="","",TEXT($B536,"MM/AAAA"))</f>
        <v/>
      </c>
      <c r="AE536" s="18">
        <f>IF(COUNTA($B536:$R536)=0,"",IF($X536="Cancelado",0,ROUND(N($Q536)+N($S536)+N($T536)-N($U536),2)))</f>
        <v/>
      </c>
      <c r="AF536" s="9">
        <f>IF($G536="","",IFERROR(INDEX(LINHAS_DRE_PLANO,MATCH($G536,SUBCATEGORIAS_PLANO,0)),"Não classificado"))</f>
        <v/>
      </c>
      <c r="AG536" s="17">
        <f>IF($G536="","",IFERROR(INDEX(TIPOS_FLUXO_PLANO,MATCH($G536,SUBCATEGORIAS_PLANO,0)),"Não classificado"))</f>
        <v/>
      </c>
      <c r="AH536" s="9">
        <f>IF($G536="","",IFERROR(INDEX(GRUPOS_PLANO,MATCH($G536,SUBCATEGORIAS_PLANO,0)),"Não classificado"))</f>
        <v/>
      </c>
      <c r="AI536" s="24">
        <f>IF(OR($C536="",$X536="Pago",$X536="Recebido",$X536="Cancelado"),"",$C536-TODAY())</f>
        <v/>
      </c>
      <c r="AJ536" s="24">
        <f>IF(OR($C536="",$X536="Pago",$X536="Recebido",$X536="Cancelado"),0,MAX(0,TODAY()-$C536))</f>
        <v/>
      </c>
      <c r="AK536" s="24">
        <f>IF($D536="","",$D536-$B536)</f>
        <v/>
      </c>
      <c r="AL536" s="18">
        <f>IF(OR($D536="",$B536=""),"",ROUND(N($R536)*($D536-$B536),2))</f>
        <v/>
      </c>
      <c r="AM536" s="17">
        <f>IF(AND($E536="Saída",$W536&gt;0,$C536&lt;&gt;""),$C536+ROW()/1000000,"")</f>
        <v/>
      </c>
      <c r="AN536" s="17">
        <f>IF(AND($E536="Entrada",$W536&gt;0,$C536&lt;&gt;""),$C536+ROW()/1000000,"")</f>
        <v/>
      </c>
      <c r="AO536" s="9">
        <f>IF(COUNTA($B536:$R536)=0,"",IF(AND($I536&lt;&gt;"",COUNTIF(CLIENTES_NOMES,$I536)+COUNTIF(CLIENTES_FANTASIA,$I536)+COUNTIF(FORNECEDORES_NOMES,$I536)+COUNTIF(FORNECEDORES_FANTASIA,$I536)=0),"⚠ Cliente/Fornecedor não cadastrado",IF(AND($G536&lt;&gt;"",COUNTIF(SUBCATEGORIAS_PLANO,$G536)=0),"⚠ Subcategoria fora do plano de contas",IF(OR($Q536="",N($Q536)=0),"⚠ Valor previsto não informado",IF(AND(OR($X536="Pago",$X536="Recebido"),$D536=""),"⚠ Status pago/recebido sem data",IF(AND($D536&lt;&gt;"",N($R536)=0),"⚠ Data de pagamento sem valor realizado",IF(AND(N($P536)&gt;1,N($O536)&gt;N($P536)),"⚠ Nº da parcela maior que o total",IF(AND($C536&lt;&gt;"",$B536&lt;&gt;"",$C536&lt;$B536),"⚠ Vencimento anterior à competência","OK"))))))))</f>
        <v/>
      </c>
    </row>
    <row r="537">
      <c r="A537" s="14" t="inlineStr">
        <is>
          <t>L0532</t>
        </is>
      </c>
      <c r="B537" s="36" t="n">
        <v>46365</v>
      </c>
      <c r="C537" s="36" t="n">
        <v>46380</v>
      </c>
      <c r="D537" s="36" t="n"/>
      <c r="E537" s="14" t="inlineStr">
        <is>
          <t>Saída</t>
        </is>
      </c>
      <c r="F537" s="29" t="inlineStr">
        <is>
          <t>Custos Variáveis</t>
        </is>
      </c>
      <c r="G537" s="29" t="inlineStr">
        <is>
          <t>Matéria-prima</t>
        </is>
      </c>
      <c r="H537" s="29" t="inlineStr">
        <is>
          <t>Produção</t>
        </is>
      </c>
      <c r="I537" s="29" t="inlineStr">
        <is>
          <t>DISTRIBUIDORA CENTRAL DE ALIMENTOS S/A</t>
        </is>
      </c>
      <c r="J537" s="29" t="inlineStr">
        <is>
          <t>Insumos e matéria-prima para beneficiamento</t>
        </is>
      </c>
      <c r="K537" s="14" t="inlineStr">
        <is>
          <t>NF 5912</t>
        </is>
      </c>
      <c r="L537" s="29" t="inlineStr">
        <is>
          <t>Banco do Brasil — C/C 12345-6</t>
        </is>
      </c>
      <c r="M537" s="14" t="inlineStr">
        <is>
          <t>Boleto</t>
        </is>
      </c>
      <c r="N537" s="29" t="n"/>
      <c r="O537" s="13" t="n">
        <v>1</v>
      </c>
      <c r="P537" s="13" t="n">
        <v>1</v>
      </c>
      <c r="Q537" s="35" t="n">
        <v>11231.39</v>
      </c>
      <c r="R537" s="35" t="n"/>
      <c r="S537" s="35" t="n"/>
      <c r="T537" s="35" t="n"/>
      <c r="U537" s="35" t="n"/>
      <c r="V537" s="18">
        <f>IF(COUNTA($B537:$R537)=0,"",ROUND(N($R537)+N($S537)+N($T537)-N($U537),2))</f>
        <v/>
      </c>
      <c r="W537" s="18">
        <f>IF(COUNTA($B537:$R537)=0,"",IF(OR($X537="Pago",$X537="Recebido",$X537="Cancelado"),0,ROUND(N($Q537)+N($S537)+N($T537)-N($U537)-N($R537),2)))</f>
        <v/>
      </c>
      <c r="X537" s="14" t="inlineStr">
        <is>
          <t>Previsto</t>
        </is>
      </c>
      <c r="Y537" s="17">
        <f>IF(COUNTA($B537:$R537)=0,"",IF($X537="Cancelado","Cancelado",IF(OR($X537="Pago",$X537="Recebido"),$X537,IF(OR($X537="Parcial",N($R537)&gt;0),"Parcial",IF($C537="","Sem vencimento",IF($C537&lt;TODAY(),"Vencido",IF($C537=TODAY(),"Vence hoje",IF($C537&lt;=TODAY()+7,"Vence em 7 dias",IF($C537&lt;=TODAY()+30,"Vence em 30 dias","Futuro")))))))))</f>
        <v/>
      </c>
      <c r="Z537" s="24">
        <f>IF($B537="","",MONTH($B537))</f>
        <v/>
      </c>
      <c r="AA537" s="24">
        <f>IF($B537="","",YEAR($B537))</f>
        <v/>
      </c>
      <c r="AB537" s="24">
        <f>IF($B537="","",ISOWEEKNUM($B537))</f>
        <v/>
      </c>
      <c r="AC537" s="17">
        <f>IF($B537="","",CHOOSE(WEEKDAY($B537,2),"Segunda","Terça","Quarta","Quinta","Sexta","Sábado","Domingo"))</f>
        <v/>
      </c>
      <c r="AD537" s="17">
        <f>IF($B537="","",TEXT($B537,"MM/AAAA"))</f>
        <v/>
      </c>
      <c r="AE537" s="18">
        <f>IF(COUNTA($B537:$R537)=0,"",IF($X537="Cancelado",0,ROUND(N($Q537)+N($S537)+N($T537)-N($U537),2)))</f>
        <v/>
      </c>
      <c r="AF537" s="9">
        <f>IF($G537="","",IFERROR(INDEX(LINHAS_DRE_PLANO,MATCH($G537,SUBCATEGORIAS_PLANO,0)),"Não classificado"))</f>
        <v/>
      </c>
      <c r="AG537" s="17">
        <f>IF($G537="","",IFERROR(INDEX(TIPOS_FLUXO_PLANO,MATCH($G537,SUBCATEGORIAS_PLANO,0)),"Não classificado"))</f>
        <v/>
      </c>
      <c r="AH537" s="9">
        <f>IF($G537="","",IFERROR(INDEX(GRUPOS_PLANO,MATCH($G537,SUBCATEGORIAS_PLANO,0)),"Não classificado"))</f>
        <v/>
      </c>
      <c r="AI537" s="24">
        <f>IF(OR($C537="",$X537="Pago",$X537="Recebido",$X537="Cancelado"),"",$C537-TODAY())</f>
        <v/>
      </c>
      <c r="AJ537" s="24">
        <f>IF(OR($C537="",$X537="Pago",$X537="Recebido",$X537="Cancelado"),0,MAX(0,TODAY()-$C537))</f>
        <v/>
      </c>
      <c r="AK537" s="24">
        <f>IF($D537="","",$D537-$B537)</f>
        <v/>
      </c>
      <c r="AL537" s="18">
        <f>IF(OR($D537="",$B537=""),"",ROUND(N($R537)*($D537-$B537),2))</f>
        <v/>
      </c>
      <c r="AM537" s="17">
        <f>IF(AND($E537="Saída",$W537&gt;0,$C537&lt;&gt;""),$C537+ROW()/1000000,"")</f>
        <v/>
      </c>
      <c r="AN537" s="17">
        <f>IF(AND($E537="Entrada",$W537&gt;0,$C537&lt;&gt;""),$C537+ROW()/1000000,"")</f>
        <v/>
      </c>
      <c r="AO537" s="9">
        <f>IF(COUNTA($B537:$R537)=0,"",IF(AND($I537&lt;&gt;"",COUNTIF(CLIENTES_NOMES,$I537)+COUNTIF(CLIENTES_FANTASIA,$I537)+COUNTIF(FORNECEDORES_NOMES,$I537)+COUNTIF(FORNECEDORES_FANTASIA,$I537)=0),"⚠ Cliente/Fornecedor não cadastrado",IF(AND($G537&lt;&gt;"",COUNTIF(SUBCATEGORIAS_PLANO,$G537)=0),"⚠ Subcategoria fora do plano de contas",IF(OR($Q537="",N($Q537)=0),"⚠ Valor previsto não informado",IF(AND(OR($X537="Pago",$X537="Recebido"),$D537=""),"⚠ Status pago/recebido sem data",IF(AND($D537&lt;&gt;"",N($R537)=0),"⚠ Data de pagamento sem valor realizado",IF(AND(N($P537)&gt;1,N($O537)&gt;N($P537)),"⚠ Nº da parcela maior que o total",IF(AND($C537&lt;&gt;"",$B537&lt;&gt;"",$C537&lt;$B537),"⚠ Vencimento anterior à competência","OK"))))))))</f>
        <v/>
      </c>
    </row>
    <row r="538">
      <c r="A538" s="14" t="inlineStr">
        <is>
          <t>L0533</t>
        </is>
      </c>
      <c r="B538" s="36" t="n">
        <v>46366</v>
      </c>
      <c r="C538" s="36" t="n">
        <v>46384</v>
      </c>
      <c r="D538" s="36" t="n"/>
      <c r="E538" s="14" t="inlineStr">
        <is>
          <t>Saída</t>
        </is>
      </c>
      <c r="F538" s="29" t="inlineStr">
        <is>
          <t>Despesas Administrativas</t>
        </is>
      </c>
      <c r="G538" s="29" t="inlineStr">
        <is>
          <t>Internet e Telefonia</t>
        </is>
      </c>
      <c r="H538" s="29" t="inlineStr">
        <is>
          <t>Administrativo</t>
        </is>
      </c>
      <c r="I538" s="29" t="inlineStr">
        <is>
          <t>TELEFÔNICA BRASIL S.A. (VIVO EMPRESAS)</t>
        </is>
      </c>
      <c r="J538" s="29" t="inlineStr">
        <is>
          <t>Internet, telefonia e link dedicado</t>
        </is>
      </c>
      <c r="K538" s="14" t="inlineStr">
        <is>
          <t>DOC 8450</t>
        </is>
      </c>
      <c r="L538" s="29" t="inlineStr">
        <is>
          <t>Nubank PJ — C/C 9876543-2</t>
        </is>
      </c>
      <c r="M538" s="14" t="inlineStr">
        <is>
          <t>Cartão de crédito</t>
        </is>
      </c>
      <c r="N538" s="29" t="inlineStr">
        <is>
          <t>Cartão Mastercard Nubank PJ</t>
        </is>
      </c>
      <c r="O538" s="13" t="n">
        <v>1</v>
      </c>
      <c r="P538" s="13" t="n">
        <v>1</v>
      </c>
      <c r="Q538" s="35" t="n">
        <v>780</v>
      </c>
      <c r="R538" s="35" t="n"/>
      <c r="S538" s="35" t="n"/>
      <c r="T538" s="35" t="n"/>
      <c r="U538" s="35" t="n"/>
      <c r="V538" s="18">
        <f>IF(COUNTA($B538:$R538)=0,"",ROUND(N($R538)+N($S538)+N($T538)-N($U538),2))</f>
        <v/>
      </c>
      <c r="W538" s="18">
        <f>IF(COUNTA($B538:$R538)=0,"",IF(OR($X538="Pago",$X538="Recebido",$X538="Cancelado"),0,ROUND(N($Q538)+N($S538)+N($T538)-N($U538)-N($R538),2)))</f>
        <v/>
      </c>
      <c r="X538" s="14" t="inlineStr">
        <is>
          <t>Previsto</t>
        </is>
      </c>
      <c r="Y538" s="17">
        <f>IF(COUNTA($B538:$R538)=0,"",IF($X538="Cancelado","Cancelado",IF(OR($X538="Pago",$X538="Recebido"),$X538,IF(OR($X538="Parcial",N($R538)&gt;0),"Parcial",IF($C538="","Sem vencimento",IF($C538&lt;TODAY(),"Vencido",IF($C538=TODAY(),"Vence hoje",IF($C538&lt;=TODAY()+7,"Vence em 7 dias",IF($C538&lt;=TODAY()+30,"Vence em 30 dias","Futuro")))))))))</f>
        <v/>
      </c>
      <c r="Z538" s="24">
        <f>IF($B538="","",MONTH($B538))</f>
        <v/>
      </c>
      <c r="AA538" s="24">
        <f>IF($B538="","",YEAR($B538))</f>
        <v/>
      </c>
      <c r="AB538" s="24">
        <f>IF($B538="","",ISOWEEKNUM($B538))</f>
        <v/>
      </c>
      <c r="AC538" s="17">
        <f>IF($B538="","",CHOOSE(WEEKDAY($B538,2),"Segunda","Terça","Quarta","Quinta","Sexta","Sábado","Domingo"))</f>
        <v/>
      </c>
      <c r="AD538" s="17">
        <f>IF($B538="","",TEXT($B538,"MM/AAAA"))</f>
        <v/>
      </c>
      <c r="AE538" s="18">
        <f>IF(COUNTA($B538:$R538)=0,"",IF($X538="Cancelado",0,ROUND(N($Q538)+N($S538)+N($T538)-N($U538),2)))</f>
        <v/>
      </c>
      <c r="AF538" s="9">
        <f>IF($G538="","",IFERROR(INDEX(LINHAS_DRE_PLANO,MATCH($G538,SUBCATEGORIAS_PLANO,0)),"Não classificado"))</f>
        <v/>
      </c>
      <c r="AG538" s="17">
        <f>IF($G538="","",IFERROR(INDEX(TIPOS_FLUXO_PLANO,MATCH($G538,SUBCATEGORIAS_PLANO,0)),"Não classificado"))</f>
        <v/>
      </c>
      <c r="AH538" s="9">
        <f>IF($G538="","",IFERROR(INDEX(GRUPOS_PLANO,MATCH($G538,SUBCATEGORIAS_PLANO,0)),"Não classificado"))</f>
        <v/>
      </c>
      <c r="AI538" s="24">
        <f>IF(OR($C538="",$X538="Pago",$X538="Recebido",$X538="Cancelado"),"",$C538-TODAY())</f>
        <v/>
      </c>
      <c r="AJ538" s="24">
        <f>IF(OR($C538="",$X538="Pago",$X538="Recebido",$X538="Cancelado"),0,MAX(0,TODAY()-$C538))</f>
        <v/>
      </c>
      <c r="AK538" s="24">
        <f>IF($D538="","",$D538-$B538)</f>
        <v/>
      </c>
      <c r="AL538" s="18">
        <f>IF(OR($D538="",$B538=""),"",ROUND(N($R538)*($D538-$B538),2))</f>
        <v/>
      </c>
      <c r="AM538" s="17">
        <f>IF(AND($E538="Saída",$W538&gt;0,$C538&lt;&gt;""),$C538+ROW()/1000000,"")</f>
        <v/>
      </c>
      <c r="AN538" s="17">
        <f>IF(AND($E538="Entrada",$W538&gt;0,$C538&lt;&gt;""),$C538+ROW()/1000000,"")</f>
        <v/>
      </c>
      <c r="AO538" s="9">
        <f>IF(COUNTA($B538:$R538)=0,"",IF(AND($I538&lt;&gt;"",COUNTIF(CLIENTES_NOMES,$I538)+COUNTIF(CLIENTES_FANTASIA,$I538)+COUNTIF(FORNECEDORES_NOMES,$I538)+COUNTIF(FORNECEDORES_FANTASIA,$I538)=0),"⚠ Cliente/Fornecedor não cadastrado",IF(AND($G538&lt;&gt;"",COUNTIF(SUBCATEGORIAS_PLANO,$G538)=0),"⚠ Subcategoria fora do plano de contas",IF(OR($Q538="",N($Q538)=0),"⚠ Valor previsto não informado",IF(AND(OR($X538="Pago",$X538="Recebido"),$D538=""),"⚠ Status pago/recebido sem data",IF(AND($D538&lt;&gt;"",N($R538)=0),"⚠ Data de pagamento sem valor realizado",IF(AND(N($P538)&gt;1,N($O538)&gt;N($P538)),"⚠ Nº da parcela maior que o total",IF(AND($C538&lt;&gt;"",$B538&lt;&gt;"",$C538&lt;$B538),"⚠ Vencimento anterior à competência","OK"))))))))</f>
        <v/>
      </c>
    </row>
    <row r="539">
      <c r="A539" s="14" t="inlineStr">
        <is>
          <t>L0534</t>
        </is>
      </c>
      <c r="B539" s="36" t="n">
        <v>46366</v>
      </c>
      <c r="C539" s="36" t="n">
        <v>46366</v>
      </c>
      <c r="D539" s="36" t="n"/>
      <c r="E539" s="14" t="inlineStr">
        <is>
          <t>Saída</t>
        </is>
      </c>
      <c r="F539" s="29" t="inlineStr">
        <is>
          <t>Despesas Administrativas</t>
        </is>
      </c>
      <c r="G539" s="29" t="inlineStr">
        <is>
          <t>Contabilidade</t>
        </is>
      </c>
      <c r="H539" s="29" t="inlineStr">
        <is>
          <t>Financeiro</t>
        </is>
      </c>
      <c r="I539" s="29" t="inlineStr">
        <is>
          <t>CONTABILIDADE AURORA ASSESSORIA CONTÁBIL LTDA</t>
        </is>
      </c>
      <c r="J539" s="29" t="inlineStr">
        <is>
          <t>Honorários contábeis — competência 12/2026</t>
        </is>
      </c>
      <c r="K539" s="14" t="inlineStr">
        <is>
          <t>DOC 8451</t>
        </is>
      </c>
      <c r="L539" s="29" t="inlineStr">
        <is>
          <t>Itaú Unibanco — C/C 45678-9</t>
        </is>
      </c>
      <c r="M539" s="14" t="inlineStr">
        <is>
          <t>PIX</t>
        </is>
      </c>
      <c r="N539" s="29" t="n"/>
      <c r="O539" s="13" t="n">
        <v>1</v>
      </c>
      <c r="P539" s="13" t="n">
        <v>1</v>
      </c>
      <c r="Q539" s="35" t="n">
        <v>1250</v>
      </c>
      <c r="R539" s="35" t="n"/>
      <c r="S539" s="35" t="n"/>
      <c r="T539" s="35" t="n"/>
      <c r="U539" s="35" t="n"/>
      <c r="V539" s="18">
        <f>IF(COUNTA($B539:$R539)=0,"",ROUND(N($R539)+N($S539)+N($T539)-N($U539),2))</f>
        <v/>
      </c>
      <c r="W539" s="18">
        <f>IF(COUNTA($B539:$R539)=0,"",IF(OR($X539="Pago",$X539="Recebido",$X539="Cancelado"),0,ROUND(N($Q539)+N($S539)+N($T539)-N($U539)-N($R539),2)))</f>
        <v/>
      </c>
      <c r="X539" s="14" t="inlineStr">
        <is>
          <t>Previsto</t>
        </is>
      </c>
      <c r="Y539" s="17">
        <f>IF(COUNTA($B539:$R539)=0,"",IF($X539="Cancelado","Cancelado",IF(OR($X539="Pago",$X539="Recebido"),$X539,IF(OR($X539="Parcial",N($R539)&gt;0),"Parcial",IF($C539="","Sem vencimento",IF($C539&lt;TODAY(),"Vencido",IF($C539=TODAY(),"Vence hoje",IF($C539&lt;=TODAY()+7,"Vence em 7 dias",IF($C539&lt;=TODAY()+30,"Vence em 30 dias","Futuro")))))))))</f>
        <v/>
      </c>
      <c r="Z539" s="24">
        <f>IF($B539="","",MONTH($B539))</f>
        <v/>
      </c>
      <c r="AA539" s="24">
        <f>IF($B539="","",YEAR($B539))</f>
        <v/>
      </c>
      <c r="AB539" s="24">
        <f>IF($B539="","",ISOWEEKNUM($B539))</f>
        <v/>
      </c>
      <c r="AC539" s="17">
        <f>IF($B539="","",CHOOSE(WEEKDAY($B539,2),"Segunda","Terça","Quarta","Quinta","Sexta","Sábado","Domingo"))</f>
        <v/>
      </c>
      <c r="AD539" s="17">
        <f>IF($B539="","",TEXT($B539,"MM/AAAA"))</f>
        <v/>
      </c>
      <c r="AE539" s="18">
        <f>IF(COUNTA($B539:$R539)=0,"",IF($X539="Cancelado",0,ROUND(N($Q539)+N($S539)+N($T539)-N($U539),2)))</f>
        <v/>
      </c>
      <c r="AF539" s="9">
        <f>IF($G539="","",IFERROR(INDEX(LINHAS_DRE_PLANO,MATCH($G539,SUBCATEGORIAS_PLANO,0)),"Não classificado"))</f>
        <v/>
      </c>
      <c r="AG539" s="17">
        <f>IF($G539="","",IFERROR(INDEX(TIPOS_FLUXO_PLANO,MATCH($G539,SUBCATEGORIAS_PLANO,0)),"Não classificado"))</f>
        <v/>
      </c>
      <c r="AH539" s="9">
        <f>IF($G539="","",IFERROR(INDEX(GRUPOS_PLANO,MATCH($G539,SUBCATEGORIAS_PLANO,0)),"Não classificado"))</f>
        <v/>
      </c>
      <c r="AI539" s="24">
        <f>IF(OR($C539="",$X539="Pago",$X539="Recebido",$X539="Cancelado"),"",$C539-TODAY())</f>
        <v/>
      </c>
      <c r="AJ539" s="24">
        <f>IF(OR($C539="",$X539="Pago",$X539="Recebido",$X539="Cancelado"),0,MAX(0,TODAY()-$C539))</f>
        <v/>
      </c>
      <c r="AK539" s="24">
        <f>IF($D539="","",$D539-$B539)</f>
        <v/>
      </c>
      <c r="AL539" s="18">
        <f>IF(OR($D539="",$B539=""),"",ROUND(N($R539)*($D539-$B539),2))</f>
        <v/>
      </c>
      <c r="AM539" s="17">
        <f>IF(AND($E539="Saída",$W539&gt;0,$C539&lt;&gt;""),$C539+ROW()/1000000,"")</f>
        <v/>
      </c>
      <c r="AN539" s="17">
        <f>IF(AND($E539="Entrada",$W539&gt;0,$C539&lt;&gt;""),$C539+ROW()/1000000,"")</f>
        <v/>
      </c>
      <c r="AO539" s="9">
        <f>IF(COUNTA($B539:$R539)=0,"",IF(AND($I539&lt;&gt;"",COUNTIF(CLIENTES_NOMES,$I539)+COUNTIF(CLIENTES_FANTASIA,$I539)+COUNTIF(FORNECEDORES_NOMES,$I539)+COUNTIF(FORNECEDORES_FANTASIA,$I539)=0),"⚠ Cliente/Fornecedor não cadastrado",IF(AND($G539&lt;&gt;"",COUNTIF(SUBCATEGORIAS_PLANO,$G539)=0),"⚠ Subcategoria fora do plano de contas",IF(OR($Q539="",N($Q539)=0),"⚠ Valor previsto não informado",IF(AND(OR($X539="Pago",$X539="Recebido"),$D539=""),"⚠ Status pago/recebido sem data",IF(AND($D539&lt;&gt;"",N($R539)=0),"⚠ Data de pagamento sem valor realizado",IF(AND(N($P539)&gt;1,N($O539)&gt;N($P539)),"⚠ Nº da parcela maior que o total",IF(AND($C539&lt;&gt;"",$B539&lt;&gt;"",$C539&lt;$B539),"⚠ Vencimento anterior à competência","OK"))))))))</f>
        <v/>
      </c>
    </row>
    <row r="540">
      <c r="A540" s="14" t="inlineStr">
        <is>
          <t>L0535</t>
        </is>
      </c>
      <c r="B540" s="36" t="n">
        <v>46366</v>
      </c>
      <c r="C540" s="36" t="n">
        <v>46384</v>
      </c>
      <c r="D540" s="36" t="n"/>
      <c r="E540" s="14" t="inlineStr">
        <is>
          <t>Saída</t>
        </is>
      </c>
      <c r="F540" s="29" t="inlineStr">
        <is>
          <t>Despesas Comerciais</t>
        </is>
      </c>
      <c r="G540" s="29" t="inlineStr">
        <is>
          <t>Marketing Digital</t>
        </is>
      </c>
      <c r="H540" s="29" t="inlineStr">
        <is>
          <t>Marketing</t>
        </is>
      </c>
      <c r="I540" s="29" t="inlineStr">
        <is>
          <t>AGÊNCIA PULSO DIGITAL LTDA</t>
        </is>
      </c>
      <c r="J540" s="29" t="inlineStr">
        <is>
          <t>Gestão de tráfego pago e produção de conteúdo</t>
        </is>
      </c>
      <c r="K540" s="14" t="inlineStr">
        <is>
          <t>DOC 8457</t>
        </is>
      </c>
      <c r="L540" s="29" t="inlineStr">
        <is>
          <t>Nubank PJ — C/C 9876543-2</t>
        </is>
      </c>
      <c r="M540" s="14" t="inlineStr">
        <is>
          <t>Cartão de crédito</t>
        </is>
      </c>
      <c r="N540" s="29" t="inlineStr">
        <is>
          <t>Cartão Mastercard Nubank PJ</t>
        </is>
      </c>
      <c r="O540" s="13" t="n">
        <v>1</v>
      </c>
      <c r="P540" s="13" t="n">
        <v>1</v>
      </c>
      <c r="Q540" s="35" t="n">
        <v>4613.05</v>
      </c>
      <c r="R540" s="35" t="n"/>
      <c r="S540" s="35" t="n"/>
      <c r="T540" s="35" t="n"/>
      <c r="U540" s="35" t="n"/>
      <c r="V540" s="18">
        <f>IF(COUNTA($B540:$R540)=0,"",ROUND(N($R540)+N($S540)+N($T540)-N($U540),2))</f>
        <v/>
      </c>
      <c r="W540" s="18">
        <f>IF(COUNTA($B540:$R540)=0,"",IF(OR($X540="Pago",$X540="Recebido",$X540="Cancelado"),0,ROUND(N($Q540)+N($S540)+N($T540)-N($U540)-N($R540),2)))</f>
        <v/>
      </c>
      <c r="X540" s="14" t="inlineStr">
        <is>
          <t>Previsto</t>
        </is>
      </c>
      <c r="Y540" s="17">
        <f>IF(COUNTA($B540:$R540)=0,"",IF($X540="Cancelado","Cancelado",IF(OR($X540="Pago",$X540="Recebido"),$X540,IF(OR($X540="Parcial",N($R540)&gt;0),"Parcial",IF($C540="","Sem vencimento",IF($C540&lt;TODAY(),"Vencido",IF($C540=TODAY(),"Vence hoje",IF($C540&lt;=TODAY()+7,"Vence em 7 dias",IF($C540&lt;=TODAY()+30,"Vence em 30 dias","Futuro")))))))))</f>
        <v/>
      </c>
      <c r="Z540" s="24">
        <f>IF($B540="","",MONTH($B540))</f>
        <v/>
      </c>
      <c r="AA540" s="24">
        <f>IF($B540="","",YEAR($B540))</f>
        <v/>
      </c>
      <c r="AB540" s="24">
        <f>IF($B540="","",ISOWEEKNUM($B540))</f>
        <v/>
      </c>
      <c r="AC540" s="17">
        <f>IF($B540="","",CHOOSE(WEEKDAY($B540,2),"Segunda","Terça","Quarta","Quinta","Sexta","Sábado","Domingo"))</f>
        <v/>
      </c>
      <c r="AD540" s="17">
        <f>IF($B540="","",TEXT($B540,"MM/AAAA"))</f>
        <v/>
      </c>
      <c r="AE540" s="18">
        <f>IF(COUNTA($B540:$R540)=0,"",IF($X540="Cancelado",0,ROUND(N($Q540)+N($S540)+N($T540)-N($U540),2)))</f>
        <v/>
      </c>
      <c r="AF540" s="9">
        <f>IF($G540="","",IFERROR(INDEX(LINHAS_DRE_PLANO,MATCH($G540,SUBCATEGORIAS_PLANO,0)),"Não classificado"))</f>
        <v/>
      </c>
      <c r="AG540" s="17">
        <f>IF($G540="","",IFERROR(INDEX(TIPOS_FLUXO_PLANO,MATCH($G540,SUBCATEGORIAS_PLANO,0)),"Não classificado"))</f>
        <v/>
      </c>
      <c r="AH540" s="9">
        <f>IF($G540="","",IFERROR(INDEX(GRUPOS_PLANO,MATCH($G540,SUBCATEGORIAS_PLANO,0)),"Não classificado"))</f>
        <v/>
      </c>
      <c r="AI540" s="24">
        <f>IF(OR($C540="",$X540="Pago",$X540="Recebido",$X540="Cancelado"),"",$C540-TODAY())</f>
        <v/>
      </c>
      <c r="AJ540" s="24">
        <f>IF(OR($C540="",$X540="Pago",$X540="Recebido",$X540="Cancelado"),0,MAX(0,TODAY()-$C540))</f>
        <v/>
      </c>
      <c r="AK540" s="24">
        <f>IF($D540="","",$D540-$B540)</f>
        <v/>
      </c>
      <c r="AL540" s="18">
        <f>IF(OR($D540="",$B540=""),"",ROUND(N($R540)*($D540-$B540),2))</f>
        <v/>
      </c>
      <c r="AM540" s="17">
        <f>IF(AND($E540="Saída",$W540&gt;0,$C540&lt;&gt;""),$C540+ROW()/1000000,"")</f>
        <v/>
      </c>
      <c r="AN540" s="17">
        <f>IF(AND($E540="Entrada",$W540&gt;0,$C540&lt;&gt;""),$C540+ROW()/1000000,"")</f>
        <v/>
      </c>
      <c r="AO540" s="9">
        <f>IF(COUNTA($B540:$R540)=0,"",IF(AND($I540&lt;&gt;"",COUNTIF(CLIENTES_NOMES,$I540)+COUNTIF(CLIENTES_FANTASIA,$I540)+COUNTIF(FORNECEDORES_NOMES,$I540)+COUNTIF(FORNECEDORES_FANTASIA,$I540)=0),"⚠ Cliente/Fornecedor não cadastrado",IF(AND($G540&lt;&gt;"",COUNTIF(SUBCATEGORIAS_PLANO,$G540)=0),"⚠ Subcategoria fora do plano de contas",IF(OR($Q540="",N($Q540)=0),"⚠ Valor previsto não informado",IF(AND(OR($X540="Pago",$X540="Recebido"),$D540=""),"⚠ Status pago/recebido sem data",IF(AND($D540&lt;&gt;"",N($R540)=0),"⚠ Data de pagamento sem valor realizado",IF(AND(N($P540)&gt;1,N($O540)&gt;N($P540)),"⚠ Nº da parcela maior que o total",IF(AND($C540&lt;&gt;"",$B540&lt;&gt;"",$C540&lt;$B540),"⚠ Vencimento anterior à competência","OK"))))))))</f>
        <v/>
      </c>
    </row>
    <row r="541">
      <c r="A541" s="14" t="inlineStr">
        <is>
          <t>L0536</t>
        </is>
      </c>
      <c r="B541" s="36" t="n">
        <v>46366</v>
      </c>
      <c r="C541" s="36" t="n">
        <v>46366</v>
      </c>
      <c r="D541" s="36" t="n"/>
      <c r="E541" s="14" t="inlineStr">
        <is>
          <t>Saída</t>
        </is>
      </c>
      <c r="F541" s="29" t="inlineStr">
        <is>
          <t>Empréstimos e Financiamentos</t>
        </is>
      </c>
      <c r="G541" s="29" t="inlineStr">
        <is>
          <t>Pagamento de Principal de Empréstimos</t>
        </is>
      </c>
      <c r="H541" s="29" t="inlineStr">
        <is>
          <t>Financeiro</t>
        </is>
      </c>
      <c r="I541" s="29" t="inlineStr">
        <is>
          <t>Banco do Brasil</t>
        </is>
      </c>
      <c r="J541" s="29" t="inlineStr">
        <is>
          <t>Capital de Giro — parcela 11/24 (principal)</t>
        </is>
      </c>
      <c r="K541" s="14" t="inlineStr">
        <is>
          <t>CG-2026-0417-P11</t>
        </is>
      </c>
      <c r="L541" s="29" t="inlineStr">
        <is>
          <t>Banco do Brasil — C/C 12345-6</t>
        </is>
      </c>
      <c r="M541" s="14" t="inlineStr">
        <is>
          <t>Débito automático</t>
        </is>
      </c>
      <c r="N541" s="29" t="n"/>
      <c r="O541" s="13" t="n">
        <v>11</v>
      </c>
      <c r="P541" s="13" t="n">
        <v>24</v>
      </c>
      <c r="Q541" s="35" t="n">
        <v>2431.86</v>
      </c>
      <c r="R541" s="35" t="n"/>
      <c r="S541" s="35" t="n"/>
      <c r="T541" s="35" t="n"/>
      <c r="U541" s="35" t="n"/>
      <c r="V541" s="18">
        <f>IF(COUNTA($B541:$R541)=0,"",ROUND(N($R541)+N($S541)+N($T541)-N($U541),2))</f>
        <v/>
      </c>
      <c r="W541" s="18">
        <f>IF(COUNTA($B541:$R541)=0,"",IF(OR($X541="Pago",$X541="Recebido",$X541="Cancelado"),0,ROUND(N($Q541)+N($S541)+N($T541)-N($U541)-N($R541),2)))</f>
        <v/>
      </c>
      <c r="X541" s="14" t="inlineStr">
        <is>
          <t>Previsto</t>
        </is>
      </c>
      <c r="Y541" s="17">
        <f>IF(COUNTA($B541:$R541)=0,"",IF($X541="Cancelado","Cancelado",IF(OR($X541="Pago",$X541="Recebido"),$X541,IF(OR($X541="Parcial",N($R541)&gt;0),"Parcial",IF($C541="","Sem vencimento",IF($C541&lt;TODAY(),"Vencido",IF($C541=TODAY(),"Vence hoje",IF($C541&lt;=TODAY()+7,"Vence em 7 dias",IF($C541&lt;=TODAY()+30,"Vence em 30 dias","Futuro")))))))))</f>
        <v/>
      </c>
      <c r="Z541" s="24">
        <f>IF($B541="","",MONTH($B541))</f>
        <v/>
      </c>
      <c r="AA541" s="24">
        <f>IF($B541="","",YEAR($B541))</f>
        <v/>
      </c>
      <c r="AB541" s="24">
        <f>IF($B541="","",ISOWEEKNUM($B541))</f>
        <v/>
      </c>
      <c r="AC541" s="17">
        <f>IF($B541="","",CHOOSE(WEEKDAY($B541,2),"Segunda","Terça","Quarta","Quinta","Sexta","Sábado","Domingo"))</f>
        <v/>
      </c>
      <c r="AD541" s="17">
        <f>IF($B541="","",TEXT($B541,"MM/AAAA"))</f>
        <v/>
      </c>
      <c r="AE541" s="18">
        <f>IF(COUNTA($B541:$R541)=0,"",IF($X541="Cancelado",0,ROUND(N($Q541)+N($S541)+N($T541)-N($U541),2)))</f>
        <v/>
      </c>
      <c r="AF541" s="9">
        <f>IF($G541="","",IFERROR(INDEX(LINHAS_DRE_PLANO,MATCH($G541,SUBCATEGORIAS_PLANO,0)),"Não classificado"))</f>
        <v/>
      </c>
      <c r="AG541" s="17">
        <f>IF($G541="","",IFERROR(INDEX(TIPOS_FLUXO_PLANO,MATCH($G541,SUBCATEGORIAS_PLANO,0)),"Não classificado"))</f>
        <v/>
      </c>
      <c r="AH541" s="9">
        <f>IF($G541="","",IFERROR(INDEX(GRUPOS_PLANO,MATCH($G541,SUBCATEGORIAS_PLANO,0)),"Não classificado"))</f>
        <v/>
      </c>
      <c r="AI541" s="24">
        <f>IF(OR($C541="",$X541="Pago",$X541="Recebido",$X541="Cancelado"),"",$C541-TODAY())</f>
        <v/>
      </c>
      <c r="AJ541" s="24">
        <f>IF(OR($C541="",$X541="Pago",$X541="Recebido",$X541="Cancelado"),0,MAX(0,TODAY()-$C541))</f>
        <v/>
      </c>
      <c r="AK541" s="24">
        <f>IF($D541="","",$D541-$B541)</f>
        <v/>
      </c>
      <c r="AL541" s="18">
        <f>IF(OR($D541="",$B541=""),"",ROUND(N($R541)*($D541-$B541),2))</f>
        <v/>
      </c>
      <c r="AM541" s="17">
        <f>IF(AND($E541="Saída",$W541&gt;0,$C541&lt;&gt;""),$C541+ROW()/1000000,"")</f>
        <v/>
      </c>
      <c r="AN541" s="17">
        <f>IF(AND($E541="Entrada",$W541&gt;0,$C541&lt;&gt;""),$C541+ROW()/1000000,"")</f>
        <v/>
      </c>
      <c r="AO541" s="9">
        <f>IF(COUNTA($B541:$R541)=0,"",IF(AND($I541&lt;&gt;"",COUNTIF(CLIENTES_NOMES,$I541)+COUNTIF(CLIENTES_FANTASIA,$I541)+COUNTIF(FORNECEDORES_NOMES,$I541)+COUNTIF(FORNECEDORES_FANTASIA,$I541)=0),"⚠ Cliente/Fornecedor não cadastrado",IF(AND($G541&lt;&gt;"",COUNTIF(SUBCATEGORIAS_PLANO,$G541)=0),"⚠ Subcategoria fora do plano de contas",IF(OR($Q541="",N($Q541)=0),"⚠ Valor previsto não informado",IF(AND(OR($X541="Pago",$X541="Recebido"),$D541=""),"⚠ Status pago/recebido sem data",IF(AND($D541&lt;&gt;"",N($R541)=0),"⚠ Data de pagamento sem valor realizado",IF(AND(N($P541)&gt;1,N($O541)&gt;N($P541)),"⚠ Nº da parcela maior que o total",IF(AND($C541&lt;&gt;"",$B541&lt;&gt;"",$C541&lt;$B541),"⚠ Vencimento anterior à competência","OK"))))))))</f>
        <v/>
      </c>
    </row>
    <row r="542">
      <c r="A542" s="14" t="inlineStr">
        <is>
          <t>L0537</t>
        </is>
      </c>
      <c r="B542" s="36" t="n">
        <v>46366</v>
      </c>
      <c r="C542" s="36" t="n">
        <v>46366</v>
      </c>
      <c r="D542" s="36" t="n"/>
      <c r="E542" s="14" t="inlineStr">
        <is>
          <t>Saída</t>
        </is>
      </c>
      <c r="F542" s="29" t="inlineStr">
        <is>
          <t>Despesas Financeiras</t>
        </is>
      </c>
      <c r="G542" s="29" t="inlineStr">
        <is>
          <t>Juros de Empréstimos e Financiamentos</t>
        </is>
      </c>
      <c r="H542" s="29" t="inlineStr">
        <is>
          <t>Financeiro</t>
        </is>
      </c>
      <c r="I542" s="29" t="inlineStr">
        <is>
          <t>Banco do Brasil</t>
        </is>
      </c>
      <c r="J542" s="29" t="inlineStr">
        <is>
          <t>Capital de Giro — parcela 11/24 (juros)</t>
        </is>
      </c>
      <c r="K542" s="14" t="inlineStr">
        <is>
          <t>CG-2026-0417-P11</t>
        </is>
      </c>
      <c r="L542" s="29" t="inlineStr">
        <is>
          <t>Banco do Brasil — C/C 12345-6</t>
        </is>
      </c>
      <c r="M542" s="14" t="inlineStr">
        <is>
          <t>Débito automático</t>
        </is>
      </c>
      <c r="N542" s="29" t="n"/>
      <c r="O542" s="13" t="n">
        <v>11</v>
      </c>
      <c r="P542" s="13" t="n">
        <v>24</v>
      </c>
      <c r="Q542" s="35" t="n">
        <v>563.59</v>
      </c>
      <c r="R542" s="35" t="n"/>
      <c r="S542" s="35" t="n"/>
      <c r="T542" s="35" t="n"/>
      <c r="U542" s="35" t="n"/>
      <c r="V542" s="18">
        <f>IF(COUNTA($B542:$R542)=0,"",ROUND(N($R542)+N($S542)+N($T542)-N($U542),2))</f>
        <v/>
      </c>
      <c r="W542" s="18">
        <f>IF(COUNTA($B542:$R542)=0,"",IF(OR($X542="Pago",$X542="Recebido",$X542="Cancelado"),0,ROUND(N($Q542)+N($S542)+N($T542)-N($U542)-N($R542),2)))</f>
        <v/>
      </c>
      <c r="X542" s="14" t="inlineStr">
        <is>
          <t>Previsto</t>
        </is>
      </c>
      <c r="Y542" s="17">
        <f>IF(COUNTA($B542:$R542)=0,"",IF($X542="Cancelado","Cancelado",IF(OR($X542="Pago",$X542="Recebido"),$X542,IF(OR($X542="Parcial",N($R542)&gt;0),"Parcial",IF($C542="","Sem vencimento",IF($C542&lt;TODAY(),"Vencido",IF($C542=TODAY(),"Vence hoje",IF($C542&lt;=TODAY()+7,"Vence em 7 dias",IF($C542&lt;=TODAY()+30,"Vence em 30 dias","Futuro")))))))))</f>
        <v/>
      </c>
      <c r="Z542" s="24">
        <f>IF($B542="","",MONTH($B542))</f>
        <v/>
      </c>
      <c r="AA542" s="24">
        <f>IF($B542="","",YEAR($B542))</f>
        <v/>
      </c>
      <c r="AB542" s="24">
        <f>IF($B542="","",ISOWEEKNUM($B542))</f>
        <v/>
      </c>
      <c r="AC542" s="17">
        <f>IF($B542="","",CHOOSE(WEEKDAY($B542,2),"Segunda","Terça","Quarta","Quinta","Sexta","Sábado","Domingo"))</f>
        <v/>
      </c>
      <c r="AD542" s="17">
        <f>IF($B542="","",TEXT($B542,"MM/AAAA"))</f>
        <v/>
      </c>
      <c r="AE542" s="18">
        <f>IF(COUNTA($B542:$R542)=0,"",IF($X542="Cancelado",0,ROUND(N($Q542)+N($S542)+N($T542)-N($U542),2)))</f>
        <v/>
      </c>
      <c r="AF542" s="9">
        <f>IF($G542="","",IFERROR(INDEX(LINHAS_DRE_PLANO,MATCH($G542,SUBCATEGORIAS_PLANO,0)),"Não classificado"))</f>
        <v/>
      </c>
      <c r="AG542" s="17">
        <f>IF($G542="","",IFERROR(INDEX(TIPOS_FLUXO_PLANO,MATCH($G542,SUBCATEGORIAS_PLANO,0)),"Não classificado"))</f>
        <v/>
      </c>
      <c r="AH542" s="9">
        <f>IF($G542="","",IFERROR(INDEX(GRUPOS_PLANO,MATCH($G542,SUBCATEGORIAS_PLANO,0)),"Não classificado"))</f>
        <v/>
      </c>
      <c r="AI542" s="24">
        <f>IF(OR($C542="",$X542="Pago",$X542="Recebido",$X542="Cancelado"),"",$C542-TODAY())</f>
        <v/>
      </c>
      <c r="AJ542" s="24">
        <f>IF(OR($C542="",$X542="Pago",$X542="Recebido",$X542="Cancelado"),0,MAX(0,TODAY()-$C542))</f>
        <v/>
      </c>
      <c r="AK542" s="24">
        <f>IF($D542="","",$D542-$B542)</f>
        <v/>
      </c>
      <c r="AL542" s="18">
        <f>IF(OR($D542="",$B542=""),"",ROUND(N($R542)*($D542-$B542),2))</f>
        <v/>
      </c>
      <c r="AM542" s="17">
        <f>IF(AND($E542="Saída",$W542&gt;0,$C542&lt;&gt;""),$C542+ROW()/1000000,"")</f>
        <v/>
      </c>
      <c r="AN542" s="17">
        <f>IF(AND($E542="Entrada",$W542&gt;0,$C542&lt;&gt;""),$C542+ROW()/1000000,"")</f>
        <v/>
      </c>
      <c r="AO542" s="9">
        <f>IF(COUNTA($B542:$R542)=0,"",IF(AND($I542&lt;&gt;"",COUNTIF(CLIENTES_NOMES,$I542)+COUNTIF(CLIENTES_FANTASIA,$I542)+COUNTIF(FORNECEDORES_NOMES,$I542)+COUNTIF(FORNECEDORES_FANTASIA,$I542)=0),"⚠ Cliente/Fornecedor não cadastrado",IF(AND($G542&lt;&gt;"",COUNTIF(SUBCATEGORIAS_PLANO,$G542)=0),"⚠ Subcategoria fora do plano de contas",IF(OR($Q542="",N($Q542)=0),"⚠ Valor previsto não informado",IF(AND(OR($X542="Pago",$X542="Recebido"),$D542=""),"⚠ Status pago/recebido sem data",IF(AND($D542&lt;&gt;"",N($R542)=0),"⚠ Data de pagamento sem valor realizado",IF(AND(N($P542)&gt;1,N($O542)&gt;N($P542)),"⚠ Nº da parcela maior que o total",IF(AND($C542&lt;&gt;"",$B542&lt;&gt;"",$C542&lt;$B542),"⚠ Vencimento anterior à competência","OK"))))))))</f>
        <v/>
      </c>
    </row>
    <row r="543">
      <c r="A543" s="14" t="inlineStr">
        <is>
          <t>L0538</t>
        </is>
      </c>
      <c r="B543" s="36" t="n">
        <v>46367</v>
      </c>
      <c r="C543" s="36" t="n">
        <v>46398</v>
      </c>
      <c r="D543" s="36" t="n"/>
      <c r="E543" s="14" t="inlineStr">
        <is>
          <t>Entrada</t>
        </is>
      </c>
      <c r="F543" s="29" t="inlineStr">
        <is>
          <t>Vendas</t>
        </is>
      </c>
      <c r="G543" s="29" t="inlineStr">
        <is>
          <t>Vendas de Produtos</t>
        </is>
      </c>
      <c r="H543" s="29" t="inlineStr">
        <is>
          <t>Comercial</t>
        </is>
      </c>
      <c r="I543" s="29" t="inlineStr">
        <is>
          <t>MERCADO BOA COMPRA LTDA</t>
        </is>
      </c>
      <c r="J543" s="29" t="inlineStr">
        <is>
          <t>Venda de mercadorias para revenda</t>
        </is>
      </c>
      <c r="K543" s="14" t="inlineStr">
        <is>
          <t>NF-e 2130</t>
        </is>
      </c>
      <c r="L543" s="29" t="inlineStr">
        <is>
          <t>Banco do Brasil — C/C 12345-6</t>
        </is>
      </c>
      <c r="M543" s="14" t="inlineStr">
        <is>
          <t>Boleto</t>
        </is>
      </c>
      <c r="N543" s="29" t="n"/>
      <c r="O543" s="13" t="n">
        <v>1</v>
      </c>
      <c r="P543" s="13" t="n">
        <v>1</v>
      </c>
      <c r="Q543" s="35" t="n">
        <v>46763.99</v>
      </c>
      <c r="R543" s="35" t="n"/>
      <c r="S543" s="35" t="n"/>
      <c r="T543" s="35" t="n"/>
      <c r="U543" s="35" t="n"/>
      <c r="V543" s="18">
        <f>IF(COUNTA($B543:$R543)=0,"",ROUND(N($R543)+N($S543)+N($T543)-N($U543),2))</f>
        <v/>
      </c>
      <c r="W543" s="18">
        <f>IF(COUNTA($B543:$R543)=0,"",IF(OR($X543="Pago",$X543="Recebido",$X543="Cancelado"),0,ROUND(N($Q543)+N($S543)+N($T543)-N($U543)-N($R543),2)))</f>
        <v/>
      </c>
      <c r="X543" s="14" t="inlineStr">
        <is>
          <t>Previsto</t>
        </is>
      </c>
      <c r="Y543" s="17">
        <f>IF(COUNTA($B543:$R543)=0,"",IF($X543="Cancelado","Cancelado",IF(OR($X543="Pago",$X543="Recebido"),$X543,IF(OR($X543="Parcial",N($R543)&gt;0),"Parcial",IF($C543="","Sem vencimento",IF($C543&lt;TODAY(),"Vencido",IF($C543=TODAY(),"Vence hoje",IF($C543&lt;=TODAY()+7,"Vence em 7 dias",IF($C543&lt;=TODAY()+30,"Vence em 30 dias","Futuro")))))))))</f>
        <v/>
      </c>
      <c r="Z543" s="24">
        <f>IF($B543="","",MONTH($B543))</f>
        <v/>
      </c>
      <c r="AA543" s="24">
        <f>IF($B543="","",YEAR($B543))</f>
        <v/>
      </c>
      <c r="AB543" s="24">
        <f>IF($B543="","",ISOWEEKNUM($B543))</f>
        <v/>
      </c>
      <c r="AC543" s="17">
        <f>IF($B543="","",CHOOSE(WEEKDAY($B543,2),"Segunda","Terça","Quarta","Quinta","Sexta","Sábado","Domingo"))</f>
        <v/>
      </c>
      <c r="AD543" s="17">
        <f>IF($B543="","",TEXT($B543,"MM/AAAA"))</f>
        <v/>
      </c>
      <c r="AE543" s="18">
        <f>IF(COUNTA($B543:$R543)=0,"",IF($X543="Cancelado",0,ROUND(N($Q543)+N($S543)+N($T543)-N($U543),2)))</f>
        <v/>
      </c>
      <c r="AF543" s="9">
        <f>IF($G543="","",IFERROR(INDEX(LINHAS_DRE_PLANO,MATCH($G543,SUBCATEGORIAS_PLANO,0)),"Não classificado"))</f>
        <v/>
      </c>
      <c r="AG543" s="17">
        <f>IF($G543="","",IFERROR(INDEX(TIPOS_FLUXO_PLANO,MATCH($G543,SUBCATEGORIAS_PLANO,0)),"Não classificado"))</f>
        <v/>
      </c>
      <c r="AH543" s="9">
        <f>IF($G543="","",IFERROR(INDEX(GRUPOS_PLANO,MATCH($G543,SUBCATEGORIAS_PLANO,0)),"Não classificado"))</f>
        <v/>
      </c>
      <c r="AI543" s="24">
        <f>IF(OR($C543="",$X543="Pago",$X543="Recebido",$X543="Cancelado"),"",$C543-TODAY())</f>
        <v/>
      </c>
      <c r="AJ543" s="24">
        <f>IF(OR($C543="",$X543="Pago",$X543="Recebido",$X543="Cancelado"),0,MAX(0,TODAY()-$C543))</f>
        <v/>
      </c>
      <c r="AK543" s="24">
        <f>IF($D543="","",$D543-$B543)</f>
        <v/>
      </c>
      <c r="AL543" s="18">
        <f>IF(OR($D543="",$B543=""),"",ROUND(N($R543)*($D543-$B543),2))</f>
        <v/>
      </c>
      <c r="AM543" s="17">
        <f>IF(AND($E543="Saída",$W543&gt;0,$C543&lt;&gt;""),$C543+ROW()/1000000,"")</f>
        <v/>
      </c>
      <c r="AN543" s="17">
        <f>IF(AND($E543="Entrada",$W543&gt;0,$C543&lt;&gt;""),$C543+ROW()/1000000,"")</f>
        <v/>
      </c>
      <c r="AO543" s="9">
        <f>IF(COUNTA($B543:$R543)=0,"",IF(AND($I543&lt;&gt;"",COUNTIF(CLIENTES_NOMES,$I543)+COUNTIF(CLIENTES_FANTASIA,$I543)+COUNTIF(FORNECEDORES_NOMES,$I543)+COUNTIF(FORNECEDORES_FANTASIA,$I543)=0),"⚠ Cliente/Fornecedor não cadastrado",IF(AND($G543&lt;&gt;"",COUNTIF(SUBCATEGORIAS_PLANO,$G543)=0),"⚠ Subcategoria fora do plano de contas",IF(OR($Q543="",N($Q543)=0),"⚠ Valor previsto não informado",IF(AND(OR($X543="Pago",$X543="Recebido"),$D543=""),"⚠ Status pago/recebido sem data",IF(AND($D543&lt;&gt;"",N($R543)=0),"⚠ Data de pagamento sem valor realizado",IF(AND(N($P543)&gt;1,N($O543)&gt;N($P543)),"⚠ Nº da parcela maior que o total",IF(AND($C543&lt;&gt;"",$B543&lt;&gt;"",$C543&lt;$B543),"⚠ Vencimento anterior à competência","OK"))))))))</f>
        <v/>
      </c>
    </row>
    <row r="544">
      <c r="A544" s="14" t="inlineStr">
        <is>
          <t>L0539</t>
        </is>
      </c>
      <c r="B544" s="36" t="n">
        <v>46367</v>
      </c>
      <c r="C544" s="36" t="n">
        <v>46367</v>
      </c>
      <c r="D544" s="36" t="n"/>
      <c r="E544" s="14" t="inlineStr">
        <is>
          <t>Entrada</t>
        </is>
      </c>
      <c r="F544" s="29" t="inlineStr">
        <is>
          <t>Vendas</t>
        </is>
      </c>
      <c r="G544" s="29" t="inlineStr">
        <is>
          <t>Vendas de Produtos</t>
        </is>
      </c>
      <c r="H544" s="29" t="inlineStr">
        <is>
          <t>Comercial</t>
        </is>
      </c>
      <c r="I544" s="29" t="inlineStr">
        <is>
          <t>PADARIA PÃO DOURADO ME</t>
        </is>
      </c>
      <c r="J544" s="29" t="inlineStr">
        <is>
          <t>Venda de mercadorias para revenda</t>
        </is>
      </c>
      <c r="K544" s="14" t="inlineStr">
        <is>
          <t>NF-e 2133</t>
        </is>
      </c>
      <c r="L544" s="29" t="inlineStr">
        <is>
          <t>Nubank PJ — C/C 9876543-2</t>
        </is>
      </c>
      <c r="M544" s="14" t="inlineStr">
        <is>
          <t>PIX</t>
        </is>
      </c>
      <c r="N544" s="29" t="n"/>
      <c r="O544" s="13" t="n">
        <v>1</v>
      </c>
      <c r="P544" s="13" t="n">
        <v>1</v>
      </c>
      <c r="Q544" s="35" t="n">
        <v>29850.44</v>
      </c>
      <c r="R544" s="35" t="n"/>
      <c r="S544" s="35" t="n"/>
      <c r="T544" s="35" t="n"/>
      <c r="U544" s="35" t="n"/>
      <c r="V544" s="18">
        <f>IF(COUNTA($B544:$R544)=0,"",ROUND(N($R544)+N($S544)+N($T544)-N($U544),2))</f>
        <v/>
      </c>
      <c r="W544" s="18">
        <f>IF(COUNTA($B544:$R544)=0,"",IF(OR($X544="Pago",$X544="Recebido",$X544="Cancelado"),0,ROUND(N($Q544)+N($S544)+N($T544)-N($U544)-N($R544),2)))</f>
        <v/>
      </c>
      <c r="X544" s="14" t="inlineStr">
        <is>
          <t>Previsto</t>
        </is>
      </c>
      <c r="Y544" s="17">
        <f>IF(COUNTA($B544:$R544)=0,"",IF($X544="Cancelado","Cancelado",IF(OR($X544="Pago",$X544="Recebido"),$X544,IF(OR($X544="Parcial",N($R544)&gt;0),"Parcial",IF($C544="","Sem vencimento",IF($C544&lt;TODAY(),"Vencido",IF($C544=TODAY(),"Vence hoje",IF($C544&lt;=TODAY()+7,"Vence em 7 dias",IF($C544&lt;=TODAY()+30,"Vence em 30 dias","Futuro")))))))))</f>
        <v/>
      </c>
      <c r="Z544" s="24">
        <f>IF($B544="","",MONTH($B544))</f>
        <v/>
      </c>
      <c r="AA544" s="24">
        <f>IF($B544="","",YEAR($B544))</f>
        <v/>
      </c>
      <c r="AB544" s="24">
        <f>IF($B544="","",ISOWEEKNUM($B544))</f>
        <v/>
      </c>
      <c r="AC544" s="17">
        <f>IF($B544="","",CHOOSE(WEEKDAY($B544,2),"Segunda","Terça","Quarta","Quinta","Sexta","Sábado","Domingo"))</f>
        <v/>
      </c>
      <c r="AD544" s="17">
        <f>IF($B544="","",TEXT($B544,"MM/AAAA"))</f>
        <v/>
      </c>
      <c r="AE544" s="18">
        <f>IF(COUNTA($B544:$R544)=0,"",IF($X544="Cancelado",0,ROUND(N($Q544)+N($S544)+N($T544)-N($U544),2)))</f>
        <v/>
      </c>
      <c r="AF544" s="9">
        <f>IF($G544="","",IFERROR(INDEX(LINHAS_DRE_PLANO,MATCH($G544,SUBCATEGORIAS_PLANO,0)),"Não classificado"))</f>
        <v/>
      </c>
      <c r="AG544" s="17">
        <f>IF($G544="","",IFERROR(INDEX(TIPOS_FLUXO_PLANO,MATCH($G544,SUBCATEGORIAS_PLANO,0)),"Não classificado"))</f>
        <v/>
      </c>
      <c r="AH544" s="9">
        <f>IF($G544="","",IFERROR(INDEX(GRUPOS_PLANO,MATCH($G544,SUBCATEGORIAS_PLANO,0)),"Não classificado"))</f>
        <v/>
      </c>
      <c r="AI544" s="24">
        <f>IF(OR($C544="",$X544="Pago",$X544="Recebido",$X544="Cancelado"),"",$C544-TODAY())</f>
        <v/>
      </c>
      <c r="AJ544" s="24">
        <f>IF(OR($C544="",$X544="Pago",$X544="Recebido",$X544="Cancelado"),0,MAX(0,TODAY()-$C544))</f>
        <v/>
      </c>
      <c r="AK544" s="24">
        <f>IF($D544="","",$D544-$B544)</f>
        <v/>
      </c>
      <c r="AL544" s="18">
        <f>IF(OR($D544="",$B544=""),"",ROUND(N($R544)*($D544-$B544),2))</f>
        <v/>
      </c>
      <c r="AM544" s="17">
        <f>IF(AND($E544="Saída",$W544&gt;0,$C544&lt;&gt;""),$C544+ROW()/1000000,"")</f>
        <v/>
      </c>
      <c r="AN544" s="17">
        <f>IF(AND($E544="Entrada",$W544&gt;0,$C544&lt;&gt;""),$C544+ROW()/1000000,"")</f>
        <v/>
      </c>
      <c r="AO544" s="9">
        <f>IF(COUNTA($B544:$R544)=0,"",IF(AND($I544&lt;&gt;"",COUNTIF(CLIENTES_NOMES,$I544)+COUNTIF(CLIENTES_FANTASIA,$I544)+COUNTIF(FORNECEDORES_NOMES,$I544)+COUNTIF(FORNECEDORES_FANTASIA,$I544)=0),"⚠ Cliente/Fornecedor não cadastrado",IF(AND($G544&lt;&gt;"",COUNTIF(SUBCATEGORIAS_PLANO,$G544)=0),"⚠ Subcategoria fora do plano de contas",IF(OR($Q544="",N($Q544)=0),"⚠ Valor previsto não informado",IF(AND(OR($X544="Pago",$X544="Recebido"),$D544=""),"⚠ Status pago/recebido sem data",IF(AND($D544&lt;&gt;"",N($R544)=0),"⚠ Data de pagamento sem valor realizado",IF(AND(N($P544)&gt;1,N($O544)&gt;N($P544)),"⚠ Nº da parcela maior que o total",IF(AND($C544&lt;&gt;"",$B544&lt;&gt;"",$C544&lt;$B544),"⚠ Vencimento anterior à competência","OK"))))))))</f>
        <v/>
      </c>
    </row>
    <row r="545">
      <c r="A545" s="14" t="inlineStr">
        <is>
          <t>L0540</t>
        </is>
      </c>
      <c r="B545" s="36" t="n">
        <v>46367</v>
      </c>
      <c r="C545" s="36" t="n">
        <v>46384</v>
      </c>
      <c r="D545" s="36" t="n"/>
      <c r="E545" s="14" t="inlineStr">
        <is>
          <t>Entrada</t>
        </is>
      </c>
      <c r="F545" s="29" t="inlineStr">
        <is>
          <t>Vendas</t>
        </is>
      </c>
      <c r="G545" s="29" t="inlineStr">
        <is>
          <t>Vendas de Produtos</t>
        </is>
      </c>
      <c r="H545" s="29" t="inlineStr">
        <is>
          <t>Comercial</t>
        </is>
      </c>
      <c r="I545" s="29" t="inlineStr">
        <is>
          <t>RESTAURANTE SABOR CASEIRO LTDA</t>
        </is>
      </c>
      <c r="J545" s="29" t="inlineStr">
        <is>
          <t>Venda de mercadorias para revenda</t>
        </is>
      </c>
      <c r="K545" s="14" t="inlineStr">
        <is>
          <t>NF-e 2134</t>
        </is>
      </c>
      <c r="L545" s="29" t="inlineStr">
        <is>
          <t>Itaú Unibanco — C/C 45678-9</t>
        </is>
      </c>
      <c r="M545" s="14" t="inlineStr">
        <is>
          <t>Boleto</t>
        </is>
      </c>
      <c r="N545" s="29" t="n"/>
      <c r="O545" s="13" t="n">
        <v>1</v>
      </c>
      <c r="P545" s="13" t="n">
        <v>1</v>
      </c>
      <c r="Q545" s="35" t="n">
        <v>22430.13</v>
      </c>
      <c r="R545" s="35" t="n"/>
      <c r="S545" s="35" t="n"/>
      <c r="T545" s="35" t="n"/>
      <c r="U545" s="35" t="n"/>
      <c r="V545" s="18">
        <f>IF(COUNTA($B545:$R545)=0,"",ROUND(N($R545)+N($S545)+N($T545)-N($U545),2))</f>
        <v/>
      </c>
      <c r="W545" s="18">
        <f>IF(COUNTA($B545:$R545)=0,"",IF(OR($X545="Pago",$X545="Recebido",$X545="Cancelado"),0,ROUND(N($Q545)+N($S545)+N($T545)-N($U545)-N($R545),2)))</f>
        <v/>
      </c>
      <c r="X545" s="14" t="inlineStr">
        <is>
          <t>Previsto</t>
        </is>
      </c>
      <c r="Y545" s="17">
        <f>IF(COUNTA($B545:$R545)=0,"",IF($X545="Cancelado","Cancelado",IF(OR($X545="Pago",$X545="Recebido"),$X545,IF(OR($X545="Parcial",N($R545)&gt;0),"Parcial",IF($C545="","Sem vencimento",IF($C545&lt;TODAY(),"Vencido",IF($C545=TODAY(),"Vence hoje",IF($C545&lt;=TODAY()+7,"Vence em 7 dias",IF($C545&lt;=TODAY()+30,"Vence em 30 dias","Futuro")))))))))</f>
        <v/>
      </c>
      <c r="Z545" s="24">
        <f>IF($B545="","",MONTH($B545))</f>
        <v/>
      </c>
      <c r="AA545" s="24">
        <f>IF($B545="","",YEAR($B545))</f>
        <v/>
      </c>
      <c r="AB545" s="24">
        <f>IF($B545="","",ISOWEEKNUM($B545))</f>
        <v/>
      </c>
      <c r="AC545" s="17">
        <f>IF($B545="","",CHOOSE(WEEKDAY($B545,2),"Segunda","Terça","Quarta","Quinta","Sexta","Sábado","Domingo"))</f>
        <v/>
      </c>
      <c r="AD545" s="17">
        <f>IF($B545="","",TEXT($B545,"MM/AAAA"))</f>
        <v/>
      </c>
      <c r="AE545" s="18">
        <f>IF(COUNTA($B545:$R545)=0,"",IF($X545="Cancelado",0,ROUND(N($Q545)+N($S545)+N($T545)-N($U545),2)))</f>
        <v/>
      </c>
      <c r="AF545" s="9">
        <f>IF($G545="","",IFERROR(INDEX(LINHAS_DRE_PLANO,MATCH($G545,SUBCATEGORIAS_PLANO,0)),"Não classificado"))</f>
        <v/>
      </c>
      <c r="AG545" s="17">
        <f>IF($G545="","",IFERROR(INDEX(TIPOS_FLUXO_PLANO,MATCH($G545,SUBCATEGORIAS_PLANO,0)),"Não classificado"))</f>
        <v/>
      </c>
      <c r="AH545" s="9">
        <f>IF($G545="","",IFERROR(INDEX(GRUPOS_PLANO,MATCH($G545,SUBCATEGORIAS_PLANO,0)),"Não classificado"))</f>
        <v/>
      </c>
      <c r="AI545" s="24">
        <f>IF(OR($C545="",$X545="Pago",$X545="Recebido",$X545="Cancelado"),"",$C545-TODAY())</f>
        <v/>
      </c>
      <c r="AJ545" s="24">
        <f>IF(OR($C545="",$X545="Pago",$X545="Recebido",$X545="Cancelado"),0,MAX(0,TODAY()-$C545))</f>
        <v/>
      </c>
      <c r="AK545" s="24">
        <f>IF($D545="","",$D545-$B545)</f>
        <v/>
      </c>
      <c r="AL545" s="18">
        <f>IF(OR($D545="",$B545=""),"",ROUND(N($R545)*($D545-$B545),2))</f>
        <v/>
      </c>
      <c r="AM545" s="17">
        <f>IF(AND($E545="Saída",$W545&gt;0,$C545&lt;&gt;""),$C545+ROW()/1000000,"")</f>
        <v/>
      </c>
      <c r="AN545" s="17">
        <f>IF(AND($E545="Entrada",$W545&gt;0,$C545&lt;&gt;""),$C545+ROW()/1000000,"")</f>
        <v/>
      </c>
      <c r="AO545" s="9">
        <f>IF(COUNTA($B545:$R545)=0,"",IF(AND($I545&lt;&gt;"",COUNTIF(CLIENTES_NOMES,$I545)+COUNTIF(CLIENTES_FANTASIA,$I545)+COUNTIF(FORNECEDORES_NOMES,$I545)+COUNTIF(FORNECEDORES_FANTASIA,$I545)=0),"⚠ Cliente/Fornecedor não cadastrado",IF(AND($G545&lt;&gt;"",COUNTIF(SUBCATEGORIAS_PLANO,$G545)=0),"⚠ Subcategoria fora do plano de contas",IF(OR($Q545="",N($Q545)=0),"⚠ Valor previsto não informado",IF(AND(OR($X545="Pago",$X545="Recebido"),$D545=""),"⚠ Status pago/recebido sem data",IF(AND($D545&lt;&gt;"",N($R545)=0),"⚠ Data de pagamento sem valor realizado",IF(AND(N($P545)&gt;1,N($O545)&gt;N($P545)),"⚠ Nº da parcela maior que o total",IF(AND($C545&lt;&gt;"",$B545&lt;&gt;"",$C545&lt;$B545),"⚠ Vencimento anterior à competência","OK"))))))))</f>
        <v/>
      </c>
    </row>
    <row r="546">
      <c r="A546" s="14" t="inlineStr">
        <is>
          <t>L0541</t>
        </is>
      </c>
      <c r="B546" s="36" t="n">
        <v>46367</v>
      </c>
      <c r="C546" s="36" t="n">
        <v>46398</v>
      </c>
      <c r="D546" s="36" t="n"/>
      <c r="E546" s="14" t="inlineStr">
        <is>
          <t>Entrada</t>
        </is>
      </c>
      <c r="F546" s="29" t="inlineStr">
        <is>
          <t>Vendas</t>
        </is>
      </c>
      <c r="G546" s="29" t="inlineStr">
        <is>
          <t>Vendas de Produtos</t>
        </is>
      </c>
      <c r="H546" s="29" t="inlineStr">
        <is>
          <t>Comercial</t>
        </is>
      </c>
      <c r="I546" s="29" t="inlineStr">
        <is>
          <t>HOTEL VISTA ALEGRE LTDA</t>
        </is>
      </c>
      <c r="J546" s="29" t="inlineStr">
        <is>
          <t>Venda de mercadorias para revenda</t>
        </is>
      </c>
      <c r="K546" s="14" t="inlineStr">
        <is>
          <t>NF-e 2137</t>
        </is>
      </c>
      <c r="L546" s="29" t="inlineStr">
        <is>
          <t>Itaú Unibanco — C/C 45678-9</t>
        </is>
      </c>
      <c r="M546" s="14" t="inlineStr">
        <is>
          <t>Boleto</t>
        </is>
      </c>
      <c r="N546" s="29" t="n"/>
      <c r="O546" s="13" t="n">
        <v>1</v>
      </c>
      <c r="P546" s="13" t="n">
        <v>1</v>
      </c>
      <c r="Q546" s="35" t="n">
        <v>43048.47</v>
      </c>
      <c r="R546" s="35" t="n"/>
      <c r="S546" s="35" t="n"/>
      <c r="T546" s="35" t="n"/>
      <c r="U546" s="35" t="n"/>
      <c r="V546" s="18">
        <f>IF(COUNTA($B546:$R546)=0,"",ROUND(N($R546)+N($S546)+N($T546)-N($U546),2))</f>
        <v/>
      </c>
      <c r="W546" s="18">
        <f>IF(COUNTA($B546:$R546)=0,"",IF(OR($X546="Pago",$X546="Recebido",$X546="Cancelado"),0,ROUND(N($Q546)+N($S546)+N($T546)-N($U546)-N($R546),2)))</f>
        <v/>
      </c>
      <c r="X546" s="14" t="inlineStr">
        <is>
          <t>Previsto</t>
        </is>
      </c>
      <c r="Y546" s="17">
        <f>IF(COUNTA($B546:$R546)=0,"",IF($X546="Cancelado","Cancelado",IF(OR($X546="Pago",$X546="Recebido"),$X546,IF(OR($X546="Parcial",N($R546)&gt;0),"Parcial",IF($C546="","Sem vencimento",IF($C546&lt;TODAY(),"Vencido",IF($C546=TODAY(),"Vence hoje",IF($C546&lt;=TODAY()+7,"Vence em 7 dias",IF($C546&lt;=TODAY()+30,"Vence em 30 dias","Futuro")))))))))</f>
        <v/>
      </c>
      <c r="Z546" s="24">
        <f>IF($B546="","",MONTH($B546))</f>
        <v/>
      </c>
      <c r="AA546" s="24">
        <f>IF($B546="","",YEAR($B546))</f>
        <v/>
      </c>
      <c r="AB546" s="24">
        <f>IF($B546="","",ISOWEEKNUM($B546))</f>
        <v/>
      </c>
      <c r="AC546" s="17">
        <f>IF($B546="","",CHOOSE(WEEKDAY($B546,2),"Segunda","Terça","Quarta","Quinta","Sexta","Sábado","Domingo"))</f>
        <v/>
      </c>
      <c r="AD546" s="17">
        <f>IF($B546="","",TEXT($B546,"MM/AAAA"))</f>
        <v/>
      </c>
      <c r="AE546" s="18">
        <f>IF(COUNTA($B546:$R546)=0,"",IF($X546="Cancelado",0,ROUND(N($Q546)+N($S546)+N($T546)-N($U546),2)))</f>
        <v/>
      </c>
      <c r="AF546" s="9">
        <f>IF($G546="","",IFERROR(INDEX(LINHAS_DRE_PLANO,MATCH($G546,SUBCATEGORIAS_PLANO,0)),"Não classificado"))</f>
        <v/>
      </c>
      <c r="AG546" s="17">
        <f>IF($G546="","",IFERROR(INDEX(TIPOS_FLUXO_PLANO,MATCH($G546,SUBCATEGORIAS_PLANO,0)),"Não classificado"))</f>
        <v/>
      </c>
      <c r="AH546" s="9">
        <f>IF($G546="","",IFERROR(INDEX(GRUPOS_PLANO,MATCH($G546,SUBCATEGORIAS_PLANO,0)),"Não classificado"))</f>
        <v/>
      </c>
      <c r="AI546" s="24">
        <f>IF(OR($C546="",$X546="Pago",$X546="Recebido",$X546="Cancelado"),"",$C546-TODAY())</f>
        <v/>
      </c>
      <c r="AJ546" s="24">
        <f>IF(OR($C546="",$X546="Pago",$X546="Recebido",$X546="Cancelado"),0,MAX(0,TODAY()-$C546))</f>
        <v/>
      </c>
      <c r="AK546" s="24">
        <f>IF($D546="","",$D546-$B546)</f>
        <v/>
      </c>
      <c r="AL546" s="18">
        <f>IF(OR($D546="",$B546=""),"",ROUND(N($R546)*($D546-$B546),2))</f>
        <v/>
      </c>
      <c r="AM546" s="17">
        <f>IF(AND($E546="Saída",$W546&gt;0,$C546&lt;&gt;""),$C546+ROW()/1000000,"")</f>
        <v/>
      </c>
      <c r="AN546" s="17">
        <f>IF(AND($E546="Entrada",$W546&gt;0,$C546&lt;&gt;""),$C546+ROW()/1000000,"")</f>
        <v/>
      </c>
      <c r="AO546" s="9">
        <f>IF(COUNTA($B546:$R546)=0,"",IF(AND($I546&lt;&gt;"",COUNTIF(CLIENTES_NOMES,$I546)+COUNTIF(CLIENTES_FANTASIA,$I546)+COUNTIF(FORNECEDORES_NOMES,$I546)+COUNTIF(FORNECEDORES_FANTASIA,$I546)=0),"⚠ Cliente/Fornecedor não cadastrado",IF(AND($G546&lt;&gt;"",COUNTIF(SUBCATEGORIAS_PLANO,$G546)=0),"⚠ Subcategoria fora do plano de contas",IF(OR($Q546="",N($Q546)=0),"⚠ Valor previsto não informado",IF(AND(OR($X546="Pago",$X546="Recebido"),$D546=""),"⚠ Status pago/recebido sem data",IF(AND($D546&lt;&gt;"",N($R546)=0),"⚠ Data de pagamento sem valor realizado",IF(AND(N($P546)&gt;1,N($O546)&gt;N($P546)),"⚠ Nº da parcela maior que o total",IF(AND($C546&lt;&gt;"",$B546&lt;&gt;"",$C546&lt;$B546),"⚠ Vencimento anterior à competência","OK"))))))))</f>
        <v/>
      </c>
    </row>
    <row r="547">
      <c r="A547" s="14" t="inlineStr">
        <is>
          <t>L0542</t>
        </is>
      </c>
      <c r="B547" s="36" t="n">
        <v>46367</v>
      </c>
      <c r="C547" s="36" t="n">
        <v>46388</v>
      </c>
      <c r="D547" s="36" t="n"/>
      <c r="E547" s="14" t="inlineStr">
        <is>
          <t>Entrada</t>
        </is>
      </c>
      <c r="F547" s="29" t="inlineStr">
        <is>
          <t>Vendas</t>
        </is>
      </c>
      <c r="G547" s="29" t="inlineStr">
        <is>
          <t>Vendas de Produtos</t>
        </is>
      </c>
      <c r="H547" s="29" t="inlineStr">
        <is>
          <t>Comercial</t>
        </is>
      </c>
      <c r="I547" s="29" t="inlineStr">
        <is>
          <t>EMPÓRIO NATURAL COMÉRCIO LTDA</t>
        </is>
      </c>
      <c r="J547" s="29" t="inlineStr">
        <is>
          <t>Venda de mercadorias para revenda</t>
        </is>
      </c>
      <c r="K547" s="14" t="inlineStr">
        <is>
          <t>NF-e 2138</t>
        </is>
      </c>
      <c r="L547" s="29" t="inlineStr">
        <is>
          <t>Itaú Unibanco — C/C 45678-9</t>
        </is>
      </c>
      <c r="M547" s="14" t="inlineStr">
        <is>
          <t>Boleto</t>
        </is>
      </c>
      <c r="N547" s="29" t="n"/>
      <c r="O547" s="13" t="n">
        <v>1</v>
      </c>
      <c r="P547" s="13" t="n">
        <v>1</v>
      </c>
      <c r="Q547" s="35" t="n">
        <v>28421.98</v>
      </c>
      <c r="R547" s="35" t="n"/>
      <c r="S547" s="35" t="n"/>
      <c r="T547" s="35" t="n"/>
      <c r="U547" s="35" t="n"/>
      <c r="V547" s="18">
        <f>IF(COUNTA($B547:$R547)=0,"",ROUND(N($R547)+N($S547)+N($T547)-N($U547),2))</f>
        <v/>
      </c>
      <c r="W547" s="18">
        <f>IF(COUNTA($B547:$R547)=0,"",IF(OR($X547="Pago",$X547="Recebido",$X547="Cancelado"),0,ROUND(N($Q547)+N($S547)+N($T547)-N($U547)-N($R547),2)))</f>
        <v/>
      </c>
      <c r="X547" s="14" t="inlineStr">
        <is>
          <t>Previsto</t>
        </is>
      </c>
      <c r="Y547" s="17">
        <f>IF(COUNTA($B547:$R547)=0,"",IF($X547="Cancelado","Cancelado",IF(OR($X547="Pago",$X547="Recebido"),$X547,IF(OR($X547="Parcial",N($R547)&gt;0),"Parcial",IF($C547="","Sem vencimento",IF($C547&lt;TODAY(),"Vencido",IF($C547=TODAY(),"Vence hoje",IF($C547&lt;=TODAY()+7,"Vence em 7 dias",IF($C547&lt;=TODAY()+30,"Vence em 30 dias","Futuro")))))))))</f>
        <v/>
      </c>
      <c r="Z547" s="24">
        <f>IF($B547="","",MONTH($B547))</f>
        <v/>
      </c>
      <c r="AA547" s="24">
        <f>IF($B547="","",YEAR($B547))</f>
        <v/>
      </c>
      <c r="AB547" s="24">
        <f>IF($B547="","",ISOWEEKNUM($B547))</f>
        <v/>
      </c>
      <c r="AC547" s="17">
        <f>IF($B547="","",CHOOSE(WEEKDAY($B547,2),"Segunda","Terça","Quarta","Quinta","Sexta","Sábado","Domingo"))</f>
        <v/>
      </c>
      <c r="AD547" s="17">
        <f>IF($B547="","",TEXT($B547,"MM/AAAA"))</f>
        <v/>
      </c>
      <c r="AE547" s="18">
        <f>IF(COUNTA($B547:$R547)=0,"",IF($X547="Cancelado",0,ROUND(N($Q547)+N($S547)+N($T547)-N($U547),2)))</f>
        <v/>
      </c>
      <c r="AF547" s="9">
        <f>IF($G547="","",IFERROR(INDEX(LINHAS_DRE_PLANO,MATCH($G547,SUBCATEGORIAS_PLANO,0)),"Não classificado"))</f>
        <v/>
      </c>
      <c r="AG547" s="17">
        <f>IF($G547="","",IFERROR(INDEX(TIPOS_FLUXO_PLANO,MATCH($G547,SUBCATEGORIAS_PLANO,0)),"Não classificado"))</f>
        <v/>
      </c>
      <c r="AH547" s="9">
        <f>IF($G547="","",IFERROR(INDEX(GRUPOS_PLANO,MATCH($G547,SUBCATEGORIAS_PLANO,0)),"Não classificado"))</f>
        <v/>
      </c>
      <c r="AI547" s="24">
        <f>IF(OR($C547="",$X547="Pago",$X547="Recebido",$X547="Cancelado"),"",$C547-TODAY())</f>
        <v/>
      </c>
      <c r="AJ547" s="24">
        <f>IF(OR($C547="",$X547="Pago",$X547="Recebido",$X547="Cancelado"),0,MAX(0,TODAY()-$C547))</f>
        <v/>
      </c>
      <c r="AK547" s="24">
        <f>IF($D547="","",$D547-$B547)</f>
        <v/>
      </c>
      <c r="AL547" s="18">
        <f>IF(OR($D547="",$B547=""),"",ROUND(N($R547)*($D547-$B547),2))</f>
        <v/>
      </c>
      <c r="AM547" s="17">
        <f>IF(AND($E547="Saída",$W547&gt;0,$C547&lt;&gt;""),$C547+ROW()/1000000,"")</f>
        <v/>
      </c>
      <c r="AN547" s="17">
        <f>IF(AND($E547="Entrada",$W547&gt;0,$C547&lt;&gt;""),$C547+ROW()/1000000,"")</f>
        <v/>
      </c>
      <c r="AO547" s="9">
        <f>IF(COUNTA($B547:$R547)=0,"",IF(AND($I547&lt;&gt;"",COUNTIF(CLIENTES_NOMES,$I547)+COUNTIF(CLIENTES_FANTASIA,$I547)+COUNTIF(FORNECEDORES_NOMES,$I547)+COUNTIF(FORNECEDORES_FANTASIA,$I547)=0),"⚠ Cliente/Fornecedor não cadastrado",IF(AND($G547&lt;&gt;"",COUNTIF(SUBCATEGORIAS_PLANO,$G547)=0),"⚠ Subcategoria fora do plano de contas",IF(OR($Q547="",N($Q547)=0),"⚠ Valor previsto não informado",IF(AND(OR($X547="Pago",$X547="Recebido"),$D547=""),"⚠ Status pago/recebido sem data",IF(AND($D547&lt;&gt;"",N($R547)=0),"⚠ Data de pagamento sem valor realizado",IF(AND(N($P547)&gt;1,N($O547)&gt;N($P547)),"⚠ Nº da parcela maior que o total",IF(AND($C547&lt;&gt;"",$B547&lt;&gt;"",$C547&lt;$B547),"⚠ Vencimento anterior à competência","OK"))))))))</f>
        <v/>
      </c>
    </row>
    <row r="548">
      <c r="A548" s="14" t="inlineStr">
        <is>
          <t>L0543</t>
        </is>
      </c>
      <c r="B548" s="36" t="n">
        <v>46368</v>
      </c>
      <c r="C548" s="36" t="n">
        <v>46383</v>
      </c>
      <c r="D548" s="36" t="n"/>
      <c r="E548" s="14" t="inlineStr">
        <is>
          <t>Saída</t>
        </is>
      </c>
      <c r="F548" s="29" t="inlineStr">
        <is>
          <t>Custos Variáveis</t>
        </is>
      </c>
      <c r="G548" s="29" t="inlineStr">
        <is>
          <t>Embalagens</t>
        </is>
      </c>
      <c r="H548" s="29" t="inlineStr">
        <is>
          <t>Logística</t>
        </is>
      </c>
      <c r="I548" s="29" t="inlineStr">
        <is>
          <t>EMBALAGENS PAULISTA LTDA</t>
        </is>
      </c>
      <c r="J548" s="29" t="inlineStr">
        <is>
          <t>Compra de embalagens e etiquetas</t>
        </is>
      </c>
      <c r="K548" s="14" t="inlineStr">
        <is>
          <t>DOC 7259</t>
        </is>
      </c>
      <c r="L548" s="29" t="inlineStr">
        <is>
          <t>Banco do Brasil — C/C 12345-6</t>
        </is>
      </c>
      <c r="M548" s="14" t="inlineStr">
        <is>
          <t>Boleto</t>
        </is>
      </c>
      <c r="N548" s="29" t="n"/>
      <c r="O548" s="13" t="n">
        <v>1</v>
      </c>
      <c r="P548" s="13" t="n">
        <v>1</v>
      </c>
      <c r="Q548" s="35" t="n">
        <v>3185.43</v>
      </c>
      <c r="R548" s="35" t="n"/>
      <c r="S548" s="35" t="n"/>
      <c r="T548" s="35" t="n"/>
      <c r="U548" s="35" t="n"/>
      <c r="V548" s="18">
        <f>IF(COUNTA($B548:$R548)=0,"",ROUND(N($R548)+N($S548)+N($T548)-N($U548),2))</f>
        <v/>
      </c>
      <c r="W548" s="18">
        <f>IF(COUNTA($B548:$R548)=0,"",IF(OR($X548="Pago",$X548="Recebido",$X548="Cancelado"),0,ROUND(N($Q548)+N($S548)+N($T548)-N($U548)-N($R548),2)))</f>
        <v/>
      </c>
      <c r="X548" s="14" t="inlineStr">
        <is>
          <t>Previsto</t>
        </is>
      </c>
      <c r="Y548" s="17">
        <f>IF(COUNTA($B548:$R548)=0,"",IF($X548="Cancelado","Cancelado",IF(OR($X548="Pago",$X548="Recebido"),$X548,IF(OR($X548="Parcial",N($R548)&gt;0),"Parcial",IF($C548="","Sem vencimento",IF($C548&lt;TODAY(),"Vencido",IF($C548=TODAY(),"Vence hoje",IF($C548&lt;=TODAY()+7,"Vence em 7 dias",IF($C548&lt;=TODAY()+30,"Vence em 30 dias","Futuro")))))))))</f>
        <v/>
      </c>
      <c r="Z548" s="24">
        <f>IF($B548="","",MONTH($B548))</f>
        <v/>
      </c>
      <c r="AA548" s="24">
        <f>IF($B548="","",YEAR($B548))</f>
        <v/>
      </c>
      <c r="AB548" s="24">
        <f>IF($B548="","",ISOWEEKNUM($B548))</f>
        <v/>
      </c>
      <c r="AC548" s="17">
        <f>IF($B548="","",CHOOSE(WEEKDAY($B548,2),"Segunda","Terça","Quarta","Quinta","Sexta","Sábado","Domingo"))</f>
        <v/>
      </c>
      <c r="AD548" s="17">
        <f>IF($B548="","",TEXT($B548,"MM/AAAA"))</f>
        <v/>
      </c>
      <c r="AE548" s="18">
        <f>IF(COUNTA($B548:$R548)=0,"",IF($X548="Cancelado",0,ROUND(N($Q548)+N($S548)+N($T548)-N($U548),2)))</f>
        <v/>
      </c>
      <c r="AF548" s="9">
        <f>IF($G548="","",IFERROR(INDEX(LINHAS_DRE_PLANO,MATCH($G548,SUBCATEGORIAS_PLANO,0)),"Não classificado"))</f>
        <v/>
      </c>
      <c r="AG548" s="17">
        <f>IF($G548="","",IFERROR(INDEX(TIPOS_FLUXO_PLANO,MATCH($G548,SUBCATEGORIAS_PLANO,0)),"Não classificado"))</f>
        <v/>
      </c>
      <c r="AH548" s="9">
        <f>IF($G548="","",IFERROR(INDEX(GRUPOS_PLANO,MATCH($G548,SUBCATEGORIAS_PLANO,0)),"Não classificado"))</f>
        <v/>
      </c>
      <c r="AI548" s="24">
        <f>IF(OR($C548="",$X548="Pago",$X548="Recebido",$X548="Cancelado"),"",$C548-TODAY())</f>
        <v/>
      </c>
      <c r="AJ548" s="24">
        <f>IF(OR($C548="",$X548="Pago",$X548="Recebido",$X548="Cancelado"),0,MAX(0,TODAY()-$C548))</f>
        <v/>
      </c>
      <c r="AK548" s="24">
        <f>IF($D548="","",$D548-$B548)</f>
        <v/>
      </c>
      <c r="AL548" s="18">
        <f>IF(OR($D548="",$B548=""),"",ROUND(N($R548)*($D548-$B548),2))</f>
        <v/>
      </c>
      <c r="AM548" s="17">
        <f>IF(AND($E548="Saída",$W548&gt;0,$C548&lt;&gt;""),$C548+ROW()/1000000,"")</f>
        <v/>
      </c>
      <c r="AN548" s="17">
        <f>IF(AND($E548="Entrada",$W548&gt;0,$C548&lt;&gt;""),$C548+ROW()/1000000,"")</f>
        <v/>
      </c>
      <c r="AO548" s="9">
        <f>IF(COUNTA($B548:$R548)=0,"",IF(AND($I548&lt;&gt;"",COUNTIF(CLIENTES_NOMES,$I548)+COUNTIF(CLIENTES_FANTASIA,$I548)+COUNTIF(FORNECEDORES_NOMES,$I548)+COUNTIF(FORNECEDORES_FANTASIA,$I548)=0),"⚠ Cliente/Fornecedor não cadastrado",IF(AND($G548&lt;&gt;"",COUNTIF(SUBCATEGORIAS_PLANO,$G548)=0),"⚠ Subcategoria fora do plano de contas",IF(OR($Q548="",N($Q548)=0),"⚠ Valor previsto não informado",IF(AND(OR($X548="Pago",$X548="Recebido"),$D548=""),"⚠ Status pago/recebido sem data",IF(AND($D548&lt;&gt;"",N($R548)=0),"⚠ Data de pagamento sem valor realizado",IF(AND(N($P548)&gt;1,N($O548)&gt;N($P548)),"⚠ Nº da parcela maior que o total",IF(AND($C548&lt;&gt;"",$B548&lt;&gt;"",$C548&lt;$B548),"⚠ Vencimento anterior à competência","OK"))))))))</f>
        <v/>
      </c>
    </row>
    <row r="549">
      <c r="A549" s="14" t="inlineStr">
        <is>
          <t>L0544</t>
        </is>
      </c>
      <c r="B549" s="36" t="n">
        <v>46368</v>
      </c>
      <c r="C549" s="36" t="n">
        <v>46378</v>
      </c>
      <c r="D549" s="36" t="n"/>
      <c r="E549" s="14" t="inlineStr">
        <is>
          <t>Saída</t>
        </is>
      </c>
      <c r="F549" s="29" t="inlineStr">
        <is>
          <t>Despesas Administrativas</t>
        </is>
      </c>
      <c r="G549" s="29" t="inlineStr">
        <is>
          <t>Energia Elétrica</t>
        </is>
      </c>
      <c r="H549" s="29" t="inlineStr">
        <is>
          <t>Administrativo</t>
        </is>
      </c>
      <c r="I549" s="29" t="inlineStr">
        <is>
          <t>ENEL DISTRIBUIÇÃO SÃO PAULO</t>
        </is>
      </c>
      <c r="J549" s="29" t="inlineStr">
        <is>
          <t>Energia elétrica — fatura 12/2026</t>
        </is>
      </c>
      <c r="K549" s="14" t="inlineStr">
        <is>
          <t>DOC 8448</t>
        </is>
      </c>
      <c r="L549" s="29" t="inlineStr">
        <is>
          <t>Itaú Unibanco — C/C 45678-9</t>
        </is>
      </c>
      <c r="M549" s="14" t="inlineStr">
        <is>
          <t>Débito automático</t>
        </is>
      </c>
      <c r="N549" s="29" t="n"/>
      <c r="O549" s="13" t="n">
        <v>1</v>
      </c>
      <c r="P549" s="13" t="n">
        <v>1</v>
      </c>
      <c r="Q549" s="35" t="n">
        <v>2763.02</v>
      </c>
      <c r="R549" s="35" t="n"/>
      <c r="S549" s="35" t="n"/>
      <c r="T549" s="35" t="n"/>
      <c r="U549" s="35" t="n"/>
      <c r="V549" s="18">
        <f>IF(COUNTA($B549:$R549)=0,"",ROUND(N($R549)+N($S549)+N($T549)-N($U549),2))</f>
        <v/>
      </c>
      <c r="W549" s="18">
        <f>IF(COUNTA($B549:$R549)=0,"",IF(OR($X549="Pago",$X549="Recebido",$X549="Cancelado"),0,ROUND(N($Q549)+N($S549)+N($T549)-N($U549)-N($R549),2)))</f>
        <v/>
      </c>
      <c r="X549" s="14" t="inlineStr">
        <is>
          <t>Previsto</t>
        </is>
      </c>
      <c r="Y549" s="17">
        <f>IF(COUNTA($B549:$R549)=0,"",IF($X549="Cancelado","Cancelado",IF(OR($X549="Pago",$X549="Recebido"),$X549,IF(OR($X549="Parcial",N($R549)&gt;0),"Parcial",IF($C549="","Sem vencimento",IF($C549&lt;TODAY(),"Vencido",IF($C549=TODAY(),"Vence hoje",IF($C549&lt;=TODAY()+7,"Vence em 7 dias",IF($C549&lt;=TODAY()+30,"Vence em 30 dias","Futuro")))))))))</f>
        <v/>
      </c>
      <c r="Z549" s="24">
        <f>IF($B549="","",MONTH($B549))</f>
        <v/>
      </c>
      <c r="AA549" s="24">
        <f>IF($B549="","",YEAR($B549))</f>
        <v/>
      </c>
      <c r="AB549" s="24">
        <f>IF($B549="","",ISOWEEKNUM($B549))</f>
        <v/>
      </c>
      <c r="AC549" s="17">
        <f>IF($B549="","",CHOOSE(WEEKDAY($B549,2),"Segunda","Terça","Quarta","Quinta","Sexta","Sábado","Domingo"))</f>
        <v/>
      </c>
      <c r="AD549" s="17">
        <f>IF($B549="","",TEXT($B549,"MM/AAAA"))</f>
        <v/>
      </c>
      <c r="AE549" s="18">
        <f>IF(COUNTA($B549:$R549)=0,"",IF($X549="Cancelado",0,ROUND(N($Q549)+N($S549)+N($T549)-N($U549),2)))</f>
        <v/>
      </c>
      <c r="AF549" s="9">
        <f>IF($G549="","",IFERROR(INDEX(LINHAS_DRE_PLANO,MATCH($G549,SUBCATEGORIAS_PLANO,0)),"Não classificado"))</f>
        <v/>
      </c>
      <c r="AG549" s="17">
        <f>IF($G549="","",IFERROR(INDEX(TIPOS_FLUXO_PLANO,MATCH($G549,SUBCATEGORIAS_PLANO,0)),"Não classificado"))</f>
        <v/>
      </c>
      <c r="AH549" s="9">
        <f>IF($G549="","",IFERROR(INDEX(GRUPOS_PLANO,MATCH($G549,SUBCATEGORIAS_PLANO,0)),"Não classificado"))</f>
        <v/>
      </c>
      <c r="AI549" s="24">
        <f>IF(OR($C549="",$X549="Pago",$X549="Recebido",$X549="Cancelado"),"",$C549-TODAY())</f>
        <v/>
      </c>
      <c r="AJ549" s="24">
        <f>IF(OR($C549="",$X549="Pago",$X549="Recebido",$X549="Cancelado"),0,MAX(0,TODAY()-$C549))</f>
        <v/>
      </c>
      <c r="AK549" s="24">
        <f>IF($D549="","",$D549-$B549)</f>
        <v/>
      </c>
      <c r="AL549" s="18">
        <f>IF(OR($D549="",$B549=""),"",ROUND(N($R549)*($D549-$B549),2))</f>
        <v/>
      </c>
      <c r="AM549" s="17">
        <f>IF(AND($E549="Saída",$W549&gt;0,$C549&lt;&gt;""),$C549+ROW()/1000000,"")</f>
        <v/>
      </c>
      <c r="AN549" s="17">
        <f>IF(AND($E549="Entrada",$W549&gt;0,$C549&lt;&gt;""),$C549+ROW()/1000000,"")</f>
        <v/>
      </c>
      <c r="AO549" s="9">
        <f>IF(COUNTA($B549:$R549)=0,"",IF(AND($I549&lt;&gt;"",COUNTIF(CLIENTES_NOMES,$I549)+COUNTIF(CLIENTES_FANTASIA,$I549)+COUNTIF(FORNECEDORES_NOMES,$I549)+COUNTIF(FORNECEDORES_FANTASIA,$I549)=0),"⚠ Cliente/Fornecedor não cadastrado",IF(AND($G549&lt;&gt;"",COUNTIF(SUBCATEGORIAS_PLANO,$G549)=0),"⚠ Subcategoria fora do plano de contas",IF(OR($Q549="",N($Q549)=0),"⚠ Valor previsto não informado",IF(AND(OR($X549="Pago",$X549="Recebido"),$D549=""),"⚠ Status pago/recebido sem data",IF(AND($D549&lt;&gt;"",N($R549)=0),"⚠ Data de pagamento sem valor realizado",IF(AND(N($P549)&gt;1,N($O549)&gt;N($P549)),"⚠ Nº da parcela maior que o total",IF(AND($C549&lt;&gt;"",$B549&lt;&gt;"",$C549&lt;$B549),"⚠ Vencimento anterior à competência","OK"))))))))</f>
        <v/>
      </c>
    </row>
    <row r="550">
      <c r="A550" s="14" t="inlineStr">
        <is>
          <t>L0545</t>
        </is>
      </c>
      <c r="B550" s="36" t="n">
        <v>46371</v>
      </c>
      <c r="C550" s="36" t="n">
        <v>46383</v>
      </c>
      <c r="D550" s="36" t="n"/>
      <c r="E550" s="14" t="inlineStr">
        <is>
          <t>Saída</t>
        </is>
      </c>
      <c r="F550" s="29" t="inlineStr">
        <is>
          <t>Despesas Administrativas</t>
        </is>
      </c>
      <c r="G550" s="29" t="inlineStr">
        <is>
          <t>Água e Saneamento</t>
        </is>
      </c>
      <c r="H550" s="29" t="inlineStr">
        <is>
          <t>Administrativo</t>
        </is>
      </c>
      <c r="I550" s="29" t="inlineStr">
        <is>
          <t>SABESP — SANEAMENTO BÁSICO DO ESTADO DE SÃO PAULO</t>
        </is>
      </c>
      <c r="J550" s="29" t="inlineStr">
        <is>
          <t>Água e saneamento — fatura 12/2026</t>
        </is>
      </c>
      <c r="K550" s="14" t="inlineStr">
        <is>
          <t>DOC 8449</t>
        </is>
      </c>
      <c r="L550" s="29" t="inlineStr">
        <is>
          <t>Itaú Unibanco — C/C 45678-9</t>
        </is>
      </c>
      <c r="M550" s="14" t="inlineStr">
        <is>
          <t>Débito automático</t>
        </is>
      </c>
      <c r="N550" s="29" t="n"/>
      <c r="O550" s="13" t="n">
        <v>1</v>
      </c>
      <c r="P550" s="13" t="n">
        <v>1</v>
      </c>
      <c r="Q550" s="35" t="n">
        <v>515.39</v>
      </c>
      <c r="R550" s="35" t="n"/>
      <c r="S550" s="35" t="n"/>
      <c r="T550" s="35" t="n"/>
      <c r="U550" s="35" t="n"/>
      <c r="V550" s="18">
        <f>IF(COUNTA($B550:$R550)=0,"",ROUND(N($R550)+N($S550)+N($T550)-N($U550),2))</f>
        <v/>
      </c>
      <c r="W550" s="18">
        <f>IF(COUNTA($B550:$R550)=0,"",IF(OR($X550="Pago",$X550="Recebido",$X550="Cancelado"),0,ROUND(N($Q550)+N($S550)+N($T550)-N($U550)-N($R550),2)))</f>
        <v/>
      </c>
      <c r="X550" s="14" t="inlineStr">
        <is>
          <t>Previsto</t>
        </is>
      </c>
      <c r="Y550" s="17">
        <f>IF(COUNTA($B550:$R550)=0,"",IF($X550="Cancelado","Cancelado",IF(OR($X550="Pago",$X550="Recebido"),$X550,IF(OR($X550="Parcial",N($R550)&gt;0),"Parcial",IF($C550="","Sem vencimento",IF($C550&lt;TODAY(),"Vencido",IF($C550=TODAY(),"Vence hoje",IF($C550&lt;=TODAY()+7,"Vence em 7 dias",IF($C550&lt;=TODAY()+30,"Vence em 30 dias","Futuro")))))))))</f>
        <v/>
      </c>
      <c r="Z550" s="24">
        <f>IF($B550="","",MONTH($B550))</f>
        <v/>
      </c>
      <c r="AA550" s="24">
        <f>IF($B550="","",YEAR($B550))</f>
        <v/>
      </c>
      <c r="AB550" s="24">
        <f>IF($B550="","",ISOWEEKNUM($B550))</f>
        <v/>
      </c>
      <c r="AC550" s="17">
        <f>IF($B550="","",CHOOSE(WEEKDAY($B550,2),"Segunda","Terça","Quarta","Quinta","Sexta","Sábado","Domingo"))</f>
        <v/>
      </c>
      <c r="AD550" s="17">
        <f>IF($B550="","",TEXT($B550,"MM/AAAA"))</f>
        <v/>
      </c>
      <c r="AE550" s="18">
        <f>IF(COUNTA($B550:$R550)=0,"",IF($X550="Cancelado",0,ROUND(N($Q550)+N($S550)+N($T550)-N($U550),2)))</f>
        <v/>
      </c>
      <c r="AF550" s="9">
        <f>IF($G550="","",IFERROR(INDEX(LINHAS_DRE_PLANO,MATCH($G550,SUBCATEGORIAS_PLANO,0)),"Não classificado"))</f>
        <v/>
      </c>
      <c r="AG550" s="17">
        <f>IF($G550="","",IFERROR(INDEX(TIPOS_FLUXO_PLANO,MATCH($G550,SUBCATEGORIAS_PLANO,0)),"Não classificado"))</f>
        <v/>
      </c>
      <c r="AH550" s="9">
        <f>IF($G550="","",IFERROR(INDEX(GRUPOS_PLANO,MATCH($G550,SUBCATEGORIAS_PLANO,0)),"Não classificado"))</f>
        <v/>
      </c>
      <c r="AI550" s="24">
        <f>IF(OR($C550="",$X550="Pago",$X550="Recebido",$X550="Cancelado"),"",$C550-TODAY())</f>
        <v/>
      </c>
      <c r="AJ550" s="24">
        <f>IF(OR($C550="",$X550="Pago",$X550="Recebido",$X550="Cancelado"),0,MAX(0,TODAY()-$C550))</f>
        <v/>
      </c>
      <c r="AK550" s="24">
        <f>IF($D550="","",$D550-$B550)</f>
        <v/>
      </c>
      <c r="AL550" s="18">
        <f>IF(OR($D550="",$B550=""),"",ROUND(N($R550)*($D550-$B550),2))</f>
        <v/>
      </c>
      <c r="AM550" s="17">
        <f>IF(AND($E550="Saída",$W550&gt;0,$C550&lt;&gt;""),$C550+ROW()/1000000,"")</f>
        <v/>
      </c>
      <c r="AN550" s="17">
        <f>IF(AND($E550="Entrada",$W550&gt;0,$C550&lt;&gt;""),$C550+ROW()/1000000,"")</f>
        <v/>
      </c>
      <c r="AO550" s="9">
        <f>IF(COUNTA($B550:$R550)=0,"",IF(AND($I550&lt;&gt;"",COUNTIF(CLIENTES_NOMES,$I550)+COUNTIF(CLIENTES_FANTASIA,$I550)+COUNTIF(FORNECEDORES_NOMES,$I550)+COUNTIF(FORNECEDORES_FANTASIA,$I550)=0),"⚠ Cliente/Fornecedor não cadastrado",IF(AND($G550&lt;&gt;"",COUNTIF(SUBCATEGORIAS_PLANO,$G550)=0),"⚠ Subcategoria fora do plano de contas",IF(OR($Q550="",N($Q550)=0),"⚠ Valor previsto não informado",IF(AND(OR($X550="Pago",$X550="Recebido"),$D550=""),"⚠ Status pago/recebido sem data",IF(AND($D550&lt;&gt;"",N($R550)=0),"⚠ Data de pagamento sem valor realizado",IF(AND(N($P550)&gt;1,N($O550)&gt;N($P550)),"⚠ Nº da parcela maior que o total",IF(AND($C550&lt;&gt;"",$B550&lt;&gt;"",$C550&lt;$B550),"⚠ Vencimento anterior à competência","OK"))))))))</f>
        <v/>
      </c>
    </row>
    <row r="551">
      <c r="A551" s="14" t="inlineStr">
        <is>
          <t>L0546</t>
        </is>
      </c>
      <c r="B551" s="36" t="n">
        <v>46371</v>
      </c>
      <c r="C551" s="36" t="n">
        <v>46381</v>
      </c>
      <c r="D551" s="36" t="n"/>
      <c r="E551" s="14" t="inlineStr">
        <is>
          <t>Saída</t>
        </is>
      </c>
      <c r="F551" s="29" t="inlineStr">
        <is>
          <t>Despesas com Pessoal</t>
        </is>
      </c>
      <c r="G551" s="29" t="inlineStr">
        <is>
          <t>Serviços Terceirizados (PJ)</t>
        </is>
      </c>
      <c r="H551" s="29" t="inlineStr">
        <is>
          <t>Produção</t>
        </is>
      </c>
      <c r="I551" s="29" t="inlineStr">
        <is>
          <t>APOIO OPERACIONAL SERVIÇOS LTDA</t>
        </is>
      </c>
      <c r="J551" s="29" t="inlineStr">
        <is>
          <t>Equipe terceirizada de separação e expedição</t>
        </is>
      </c>
      <c r="K551" s="14" t="inlineStr">
        <is>
          <t>DOC 8461</t>
        </is>
      </c>
      <c r="L551" s="29" t="inlineStr">
        <is>
          <t>Banco do Brasil — C/C 12345-6</t>
        </is>
      </c>
      <c r="M551" s="14" t="inlineStr">
        <is>
          <t>PIX</t>
        </is>
      </c>
      <c r="N551" s="29" t="n"/>
      <c r="O551" s="13" t="n">
        <v>1</v>
      </c>
      <c r="P551" s="13" t="n">
        <v>1</v>
      </c>
      <c r="Q551" s="35" t="n">
        <v>1800</v>
      </c>
      <c r="R551" s="35" t="n"/>
      <c r="S551" s="35" t="n"/>
      <c r="T551" s="35" t="n"/>
      <c r="U551" s="35" t="n"/>
      <c r="V551" s="18">
        <f>IF(COUNTA($B551:$R551)=0,"",ROUND(N($R551)+N($S551)+N($T551)-N($U551),2))</f>
        <v/>
      </c>
      <c r="W551" s="18">
        <f>IF(COUNTA($B551:$R551)=0,"",IF(OR($X551="Pago",$X551="Recebido",$X551="Cancelado"),0,ROUND(N($Q551)+N($S551)+N($T551)-N($U551)-N($R551),2)))</f>
        <v/>
      </c>
      <c r="X551" s="14" t="inlineStr">
        <is>
          <t>Previsto</t>
        </is>
      </c>
      <c r="Y551" s="17">
        <f>IF(COUNTA($B551:$R551)=0,"",IF($X551="Cancelado","Cancelado",IF(OR($X551="Pago",$X551="Recebido"),$X551,IF(OR($X551="Parcial",N($R551)&gt;0),"Parcial",IF($C551="","Sem vencimento",IF($C551&lt;TODAY(),"Vencido",IF($C551=TODAY(),"Vence hoje",IF($C551&lt;=TODAY()+7,"Vence em 7 dias",IF($C551&lt;=TODAY()+30,"Vence em 30 dias","Futuro")))))))))</f>
        <v/>
      </c>
      <c r="Z551" s="24">
        <f>IF($B551="","",MONTH($B551))</f>
        <v/>
      </c>
      <c r="AA551" s="24">
        <f>IF($B551="","",YEAR($B551))</f>
        <v/>
      </c>
      <c r="AB551" s="24">
        <f>IF($B551="","",ISOWEEKNUM($B551))</f>
        <v/>
      </c>
      <c r="AC551" s="17">
        <f>IF($B551="","",CHOOSE(WEEKDAY($B551,2),"Segunda","Terça","Quarta","Quinta","Sexta","Sábado","Domingo"))</f>
        <v/>
      </c>
      <c r="AD551" s="17">
        <f>IF($B551="","",TEXT($B551,"MM/AAAA"))</f>
        <v/>
      </c>
      <c r="AE551" s="18">
        <f>IF(COUNTA($B551:$R551)=0,"",IF($X551="Cancelado",0,ROUND(N($Q551)+N($S551)+N($T551)-N($U551),2)))</f>
        <v/>
      </c>
      <c r="AF551" s="9">
        <f>IF($G551="","",IFERROR(INDEX(LINHAS_DRE_PLANO,MATCH($G551,SUBCATEGORIAS_PLANO,0)),"Não classificado"))</f>
        <v/>
      </c>
      <c r="AG551" s="17">
        <f>IF($G551="","",IFERROR(INDEX(TIPOS_FLUXO_PLANO,MATCH($G551,SUBCATEGORIAS_PLANO,0)),"Não classificado"))</f>
        <v/>
      </c>
      <c r="AH551" s="9">
        <f>IF($G551="","",IFERROR(INDEX(GRUPOS_PLANO,MATCH($G551,SUBCATEGORIAS_PLANO,0)),"Não classificado"))</f>
        <v/>
      </c>
      <c r="AI551" s="24">
        <f>IF(OR($C551="",$X551="Pago",$X551="Recebido",$X551="Cancelado"),"",$C551-TODAY())</f>
        <v/>
      </c>
      <c r="AJ551" s="24">
        <f>IF(OR($C551="",$X551="Pago",$X551="Recebido",$X551="Cancelado"),0,MAX(0,TODAY()-$C551))</f>
        <v/>
      </c>
      <c r="AK551" s="24">
        <f>IF($D551="","",$D551-$B551)</f>
        <v/>
      </c>
      <c r="AL551" s="18">
        <f>IF(OR($D551="",$B551=""),"",ROUND(N($R551)*($D551-$B551),2))</f>
        <v/>
      </c>
      <c r="AM551" s="17">
        <f>IF(AND($E551="Saída",$W551&gt;0,$C551&lt;&gt;""),$C551+ROW()/1000000,"")</f>
        <v/>
      </c>
      <c r="AN551" s="17">
        <f>IF(AND($E551="Entrada",$W551&gt;0,$C551&lt;&gt;""),$C551+ROW()/1000000,"")</f>
        <v/>
      </c>
      <c r="AO551" s="9">
        <f>IF(COUNTA($B551:$R551)=0,"",IF(AND($I551&lt;&gt;"",COUNTIF(CLIENTES_NOMES,$I551)+COUNTIF(CLIENTES_FANTASIA,$I551)+COUNTIF(FORNECEDORES_NOMES,$I551)+COUNTIF(FORNECEDORES_FANTASIA,$I551)=0),"⚠ Cliente/Fornecedor não cadastrado",IF(AND($G551&lt;&gt;"",COUNTIF(SUBCATEGORIAS_PLANO,$G551)=0),"⚠ Subcategoria fora do plano de contas",IF(OR($Q551="",N($Q551)=0),"⚠ Valor previsto não informado",IF(AND(OR($X551="Pago",$X551="Recebido"),$D551=""),"⚠ Status pago/recebido sem data",IF(AND($D551&lt;&gt;"",N($R551)=0),"⚠ Data de pagamento sem valor realizado",IF(AND(N($P551)&gt;1,N($O551)&gt;N($P551)),"⚠ Nº da parcela maior que o total",IF(AND($C551&lt;&gt;"",$B551&lt;&gt;"",$C551&lt;$B551),"⚠ Vencimento anterior à competência","OK"))))))))</f>
        <v/>
      </c>
    </row>
    <row r="552">
      <c r="A552" s="14" t="inlineStr">
        <is>
          <t>L0547</t>
        </is>
      </c>
      <c r="B552" s="36" t="n">
        <v>46371</v>
      </c>
      <c r="C552" s="36" t="n">
        <v>46371</v>
      </c>
      <c r="D552" s="36" t="n"/>
      <c r="E552" s="14" t="inlineStr">
        <is>
          <t>Saída</t>
        </is>
      </c>
      <c r="F552" s="29" t="inlineStr">
        <is>
          <t>Empréstimos e Financiamentos</t>
        </is>
      </c>
      <c r="G552" s="29" t="inlineStr">
        <is>
          <t>Pagamento de Principal de Empréstimos</t>
        </is>
      </c>
      <c r="H552" s="29" t="inlineStr">
        <is>
          <t>Financeiro</t>
        </is>
      </c>
      <c r="I552" s="29" t="inlineStr">
        <is>
          <t>BNDES / Banco do Brasil</t>
        </is>
      </c>
      <c r="J552" s="29" t="inlineStr">
        <is>
          <t>Financiamento de Máquinas — parcela 10/36 (principal)</t>
        </is>
      </c>
      <c r="K552" s="14" t="inlineStr">
        <is>
          <t>FIN-2026-1198-P10</t>
        </is>
      </c>
      <c r="L552" s="29" t="inlineStr">
        <is>
          <t>Banco do Brasil — C/C 12345-6</t>
        </is>
      </c>
      <c r="M552" s="14" t="inlineStr">
        <is>
          <t>Débito automático</t>
        </is>
      </c>
      <c r="N552" s="29" t="n"/>
      <c r="O552" s="13" t="n">
        <v>10</v>
      </c>
      <c r="P552" s="13" t="n">
        <v>36</v>
      </c>
      <c r="Q552" s="35" t="n">
        <v>3333.33</v>
      </c>
      <c r="R552" s="35" t="n"/>
      <c r="S552" s="35" t="n"/>
      <c r="T552" s="35" t="n"/>
      <c r="U552" s="35" t="n"/>
      <c r="V552" s="18">
        <f>IF(COUNTA($B552:$R552)=0,"",ROUND(N($R552)+N($S552)+N($T552)-N($U552),2))</f>
        <v/>
      </c>
      <c r="W552" s="18">
        <f>IF(COUNTA($B552:$R552)=0,"",IF(OR($X552="Pago",$X552="Recebido",$X552="Cancelado"),0,ROUND(N($Q552)+N($S552)+N($T552)-N($U552)-N($R552),2)))</f>
        <v/>
      </c>
      <c r="X552" s="14" t="inlineStr">
        <is>
          <t>Previsto</t>
        </is>
      </c>
      <c r="Y552" s="17">
        <f>IF(COUNTA($B552:$R552)=0,"",IF($X552="Cancelado","Cancelado",IF(OR($X552="Pago",$X552="Recebido"),$X552,IF(OR($X552="Parcial",N($R552)&gt;0),"Parcial",IF($C552="","Sem vencimento",IF($C552&lt;TODAY(),"Vencido",IF($C552=TODAY(),"Vence hoje",IF($C552&lt;=TODAY()+7,"Vence em 7 dias",IF($C552&lt;=TODAY()+30,"Vence em 30 dias","Futuro")))))))))</f>
        <v/>
      </c>
      <c r="Z552" s="24">
        <f>IF($B552="","",MONTH($B552))</f>
        <v/>
      </c>
      <c r="AA552" s="24">
        <f>IF($B552="","",YEAR($B552))</f>
        <v/>
      </c>
      <c r="AB552" s="24">
        <f>IF($B552="","",ISOWEEKNUM($B552))</f>
        <v/>
      </c>
      <c r="AC552" s="17">
        <f>IF($B552="","",CHOOSE(WEEKDAY($B552,2),"Segunda","Terça","Quarta","Quinta","Sexta","Sábado","Domingo"))</f>
        <v/>
      </c>
      <c r="AD552" s="17">
        <f>IF($B552="","",TEXT($B552,"MM/AAAA"))</f>
        <v/>
      </c>
      <c r="AE552" s="18">
        <f>IF(COUNTA($B552:$R552)=0,"",IF($X552="Cancelado",0,ROUND(N($Q552)+N($S552)+N($T552)-N($U552),2)))</f>
        <v/>
      </c>
      <c r="AF552" s="9">
        <f>IF($G552="","",IFERROR(INDEX(LINHAS_DRE_PLANO,MATCH($G552,SUBCATEGORIAS_PLANO,0)),"Não classificado"))</f>
        <v/>
      </c>
      <c r="AG552" s="17">
        <f>IF($G552="","",IFERROR(INDEX(TIPOS_FLUXO_PLANO,MATCH($G552,SUBCATEGORIAS_PLANO,0)),"Não classificado"))</f>
        <v/>
      </c>
      <c r="AH552" s="9">
        <f>IF($G552="","",IFERROR(INDEX(GRUPOS_PLANO,MATCH($G552,SUBCATEGORIAS_PLANO,0)),"Não classificado"))</f>
        <v/>
      </c>
      <c r="AI552" s="24">
        <f>IF(OR($C552="",$X552="Pago",$X552="Recebido",$X552="Cancelado"),"",$C552-TODAY())</f>
        <v/>
      </c>
      <c r="AJ552" s="24">
        <f>IF(OR($C552="",$X552="Pago",$X552="Recebido",$X552="Cancelado"),0,MAX(0,TODAY()-$C552))</f>
        <v/>
      </c>
      <c r="AK552" s="24">
        <f>IF($D552="","",$D552-$B552)</f>
        <v/>
      </c>
      <c r="AL552" s="18">
        <f>IF(OR($D552="",$B552=""),"",ROUND(N($R552)*($D552-$B552),2))</f>
        <v/>
      </c>
      <c r="AM552" s="17">
        <f>IF(AND($E552="Saída",$W552&gt;0,$C552&lt;&gt;""),$C552+ROW()/1000000,"")</f>
        <v/>
      </c>
      <c r="AN552" s="17">
        <f>IF(AND($E552="Entrada",$W552&gt;0,$C552&lt;&gt;""),$C552+ROW()/1000000,"")</f>
        <v/>
      </c>
      <c r="AO552" s="9">
        <f>IF(COUNTA($B552:$R552)=0,"",IF(AND($I552&lt;&gt;"",COUNTIF(CLIENTES_NOMES,$I552)+COUNTIF(CLIENTES_FANTASIA,$I552)+COUNTIF(FORNECEDORES_NOMES,$I552)+COUNTIF(FORNECEDORES_FANTASIA,$I552)=0),"⚠ Cliente/Fornecedor não cadastrado",IF(AND($G552&lt;&gt;"",COUNTIF(SUBCATEGORIAS_PLANO,$G552)=0),"⚠ Subcategoria fora do plano de contas",IF(OR($Q552="",N($Q552)=0),"⚠ Valor previsto não informado",IF(AND(OR($X552="Pago",$X552="Recebido"),$D552=""),"⚠ Status pago/recebido sem data",IF(AND($D552&lt;&gt;"",N($R552)=0),"⚠ Data de pagamento sem valor realizado",IF(AND(N($P552)&gt;1,N($O552)&gt;N($P552)),"⚠ Nº da parcela maior que o total",IF(AND($C552&lt;&gt;"",$B552&lt;&gt;"",$C552&lt;$B552),"⚠ Vencimento anterior à competência","OK"))))))))</f>
        <v/>
      </c>
    </row>
    <row r="553">
      <c r="A553" s="14" t="inlineStr">
        <is>
          <t>L0548</t>
        </is>
      </c>
      <c r="B553" s="36" t="n">
        <v>46371</v>
      </c>
      <c r="C553" s="36" t="n">
        <v>46371</v>
      </c>
      <c r="D553" s="36" t="n"/>
      <c r="E553" s="14" t="inlineStr">
        <is>
          <t>Saída</t>
        </is>
      </c>
      <c r="F553" s="29" t="inlineStr">
        <is>
          <t>Despesas Financeiras</t>
        </is>
      </c>
      <c r="G553" s="29" t="inlineStr">
        <is>
          <t>Juros de Empréstimos e Financiamentos</t>
        </is>
      </c>
      <c r="H553" s="29" t="inlineStr">
        <is>
          <t>Financeiro</t>
        </is>
      </c>
      <c r="I553" s="29" t="inlineStr">
        <is>
          <t>BNDES / Banco do Brasil</t>
        </is>
      </c>
      <c r="J553" s="29" t="inlineStr">
        <is>
          <t>Financiamento de Máquinas — parcela 10/36 (juros)</t>
        </is>
      </c>
      <c r="K553" s="14" t="inlineStr">
        <is>
          <t>FIN-2026-1198-P10</t>
        </is>
      </c>
      <c r="L553" s="29" t="inlineStr">
        <is>
          <t>Banco do Brasil — C/C 12345-6</t>
        </is>
      </c>
      <c r="M553" s="14" t="inlineStr">
        <is>
          <t>Débito automático</t>
        </is>
      </c>
      <c r="N553" s="29" t="n"/>
      <c r="O553" s="13" t="n">
        <v>10</v>
      </c>
      <c r="P553" s="13" t="n">
        <v>36</v>
      </c>
      <c r="Q553" s="35" t="n">
        <v>990</v>
      </c>
      <c r="R553" s="35" t="n"/>
      <c r="S553" s="35" t="n"/>
      <c r="T553" s="35" t="n"/>
      <c r="U553" s="35" t="n"/>
      <c r="V553" s="18">
        <f>IF(COUNTA($B553:$R553)=0,"",ROUND(N($R553)+N($S553)+N($T553)-N($U553),2))</f>
        <v/>
      </c>
      <c r="W553" s="18">
        <f>IF(COUNTA($B553:$R553)=0,"",IF(OR($X553="Pago",$X553="Recebido",$X553="Cancelado"),0,ROUND(N($Q553)+N($S553)+N($T553)-N($U553)-N($R553),2)))</f>
        <v/>
      </c>
      <c r="X553" s="14" t="inlineStr">
        <is>
          <t>Previsto</t>
        </is>
      </c>
      <c r="Y553" s="17">
        <f>IF(COUNTA($B553:$R553)=0,"",IF($X553="Cancelado","Cancelado",IF(OR($X553="Pago",$X553="Recebido"),$X553,IF(OR($X553="Parcial",N($R553)&gt;0),"Parcial",IF($C553="","Sem vencimento",IF($C553&lt;TODAY(),"Vencido",IF($C553=TODAY(),"Vence hoje",IF($C553&lt;=TODAY()+7,"Vence em 7 dias",IF($C553&lt;=TODAY()+30,"Vence em 30 dias","Futuro")))))))))</f>
        <v/>
      </c>
      <c r="Z553" s="24">
        <f>IF($B553="","",MONTH($B553))</f>
        <v/>
      </c>
      <c r="AA553" s="24">
        <f>IF($B553="","",YEAR($B553))</f>
        <v/>
      </c>
      <c r="AB553" s="24">
        <f>IF($B553="","",ISOWEEKNUM($B553))</f>
        <v/>
      </c>
      <c r="AC553" s="17">
        <f>IF($B553="","",CHOOSE(WEEKDAY($B553,2),"Segunda","Terça","Quarta","Quinta","Sexta","Sábado","Domingo"))</f>
        <v/>
      </c>
      <c r="AD553" s="17">
        <f>IF($B553="","",TEXT($B553,"MM/AAAA"))</f>
        <v/>
      </c>
      <c r="AE553" s="18">
        <f>IF(COUNTA($B553:$R553)=0,"",IF($X553="Cancelado",0,ROUND(N($Q553)+N($S553)+N($T553)-N($U553),2)))</f>
        <v/>
      </c>
      <c r="AF553" s="9">
        <f>IF($G553="","",IFERROR(INDEX(LINHAS_DRE_PLANO,MATCH($G553,SUBCATEGORIAS_PLANO,0)),"Não classificado"))</f>
        <v/>
      </c>
      <c r="AG553" s="17">
        <f>IF($G553="","",IFERROR(INDEX(TIPOS_FLUXO_PLANO,MATCH($G553,SUBCATEGORIAS_PLANO,0)),"Não classificado"))</f>
        <v/>
      </c>
      <c r="AH553" s="9">
        <f>IF($G553="","",IFERROR(INDEX(GRUPOS_PLANO,MATCH($G553,SUBCATEGORIAS_PLANO,0)),"Não classificado"))</f>
        <v/>
      </c>
      <c r="AI553" s="24">
        <f>IF(OR($C553="",$X553="Pago",$X553="Recebido",$X553="Cancelado"),"",$C553-TODAY())</f>
        <v/>
      </c>
      <c r="AJ553" s="24">
        <f>IF(OR($C553="",$X553="Pago",$X553="Recebido",$X553="Cancelado"),0,MAX(0,TODAY()-$C553))</f>
        <v/>
      </c>
      <c r="AK553" s="24">
        <f>IF($D553="","",$D553-$B553)</f>
        <v/>
      </c>
      <c r="AL553" s="18">
        <f>IF(OR($D553="",$B553=""),"",ROUND(N($R553)*($D553-$B553),2))</f>
        <v/>
      </c>
      <c r="AM553" s="17">
        <f>IF(AND($E553="Saída",$W553&gt;0,$C553&lt;&gt;""),$C553+ROW()/1000000,"")</f>
        <v/>
      </c>
      <c r="AN553" s="17">
        <f>IF(AND($E553="Entrada",$W553&gt;0,$C553&lt;&gt;""),$C553+ROW()/1000000,"")</f>
        <v/>
      </c>
      <c r="AO553" s="9">
        <f>IF(COUNTA($B553:$R553)=0,"",IF(AND($I553&lt;&gt;"",COUNTIF(CLIENTES_NOMES,$I553)+COUNTIF(CLIENTES_FANTASIA,$I553)+COUNTIF(FORNECEDORES_NOMES,$I553)+COUNTIF(FORNECEDORES_FANTASIA,$I553)=0),"⚠ Cliente/Fornecedor não cadastrado",IF(AND($G553&lt;&gt;"",COUNTIF(SUBCATEGORIAS_PLANO,$G553)=0),"⚠ Subcategoria fora do plano de contas",IF(OR($Q553="",N($Q553)=0),"⚠ Valor previsto não informado",IF(AND(OR($X553="Pago",$X553="Recebido"),$D553=""),"⚠ Status pago/recebido sem data",IF(AND($D553&lt;&gt;"",N($R553)=0),"⚠ Data de pagamento sem valor realizado",IF(AND(N($P553)&gt;1,N($O553)&gt;N($P553)),"⚠ Nº da parcela maior que o total",IF(AND($C553&lt;&gt;"",$B553&lt;&gt;"",$C553&lt;$B553),"⚠ Vencimento anterior à competência","OK"))))))))</f>
        <v/>
      </c>
    </row>
    <row r="554">
      <c r="A554" s="14" t="inlineStr">
        <is>
          <t>L0549</t>
        </is>
      </c>
      <c r="B554" s="36" t="n">
        <v>46372</v>
      </c>
      <c r="C554" s="36" t="n">
        <v>46402</v>
      </c>
      <c r="D554" s="36" t="n"/>
      <c r="E554" s="14" t="inlineStr">
        <is>
          <t>Saída</t>
        </is>
      </c>
      <c r="F554" s="29" t="inlineStr">
        <is>
          <t>Custos Variáveis</t>
        </is>
      </c>
      <c r="G554" s="29" t="inlineStr">
        <is>
          <t>Mercadorias para Revenda</t>
        </is>
      </c>
      <c r="H554" s="29" t="inlineStr">
        <is>
          <t>Logística</t>
        </is>
      </c>
      <c r="I554" s="29" t="inlineStr">
        <is>
          <t>DISTRIBUIDORA CENTRAL DE ALIMENTOS S/A</t>
        </is>
      </c>
      <c r="J554" s="29" t="inlineStr">
        <is>
          <t>Compra de mercadorias para revenda — NF 5121</t>
        </is>
      </c>
      <c r="K554" s="14" t="inlineStr">
        <is>
          <t>NF 5121</t>
        </is>
      </c>
      <c r="L554" s="29" t="inlineStr">
        <is>
          <t>Banco do Brasil — C/C 12345-6</t>
        </is>
      </c>
      <c r="M554" s="14" t="inlineStr">
        <is>
          <t>Boleto</t>
        </is>
      </c>
      <c r="N554" s="29" t="n"/>
      <c r="O554" s="13" t="n">
        <v>1</v>
      </c>
      <c r="P554" s="13" t="n">
        <v>1</v>
      </c>
      <c r="Q554" s="35" t="n">
        <v>63471.23</v>
      </c>
      <c r="R554" s="35" t="n"/>
      <c r="S554" s="35" t="n"/>
      <c r="T554" s="35" t="n"/>
      <c r="U554" s="35" t="n"/>
      <c r="V554" s="18">
        <f>IF(COUNTA($B554:$R554)=0,"",ROUND(N($R554)+N($S554)+N($T554)-N($U554),2))</f>
        <v/>
      </c>
      <c r="W554" s="18">
        <f>IF(COUNTA($B554:$R554)=0,"",IF(OR($X554="Pago",$X554="Recebido",$X554="Cancelado"),0,ROUND(N($Q554)+N($S554)+N($T554)-N($U554)-N($R554),2)))</f>
        <v/>
      </c>
      <c r="X554" s="14" t="inlineStr">
        <is>
          <t>Previsto</t>
        </is>
      </c>
      <c r="Y554" s="17">
        <f>IF(COUNTA($B554:$R554)=0,"",IF($X554="Cancelado","Cancelado",IF(OR($X554="Pago",$X554="Recebido"),$X554,IF(OR($X554="Parcial",N($R554)&gt;0),"Parcial",IF($C554="","Sem vencimento",IF($C554&lt;TODAY(),"Vencido",IF($C554=TODAY(),"Vence hoje",IF($C554&lt;=TODAY()+7,"Vence em 7 dias",IF($C554&lt;=TODAY()+30,"Vence em 30 dias","Futuro")))))))))</f>
        <v/>
      </c>
      <c r="Z554" s="24">
        <f>IF($B554="","",MONTH($B554))</f>
        <v/>
      </c>
      <c r="AA554" s="24">
        <f>IF($B554="","",YEAR($B554))</f>
        <v/>
      </c>
      <c r="AB554" s="24">
        <f>IF($B554="","",ISOWEEKNUM($B554))</f>
        <v/>
      </c>
      <c r="AC554" s="17">
        <f>IF($B554="","",CHOOSE(WEEKDAY($B554,2),"Segunda","Terça","Quarta","Quinta","Sexta","Sábado","Domingo"))</f>
        <v/>
      </c>
      <c r="AD554" s="17">
        <f>IF($B554="","",TEXT($B554,"MM/AAAA"))</f>
        <v/>
      </c>
      <c r="AE554" s="18">
        <f>IF(COUNTA($B554:$R554)=0,"",IF($X554="Cancelado",0,ROUND(N($Q554)+N($S554)+N($T554)-N($U554),2)))</f>
        <v/>
      </c>
      <c r="AF554" s="9">
        <f>IF($G554="","",IFERROR(INDEX(LINHAS_DRE_PLANO,MATCH($G554,SUBCATEGORIAS_PLANO,0)),"Não classificado"))</f>
        <v/>
      </c>
      <c r="AG554" s="17">
        <f>IF($G554="","",IFERROR(INDEX(TIPOS_FLUXO_PLANO,MATCH($G554,SUBCATEGORIAS_PLANO,0)),"Não classificado"))</f>
        <v/>
      </c>
      <c r="AH554" s="9">
        <f>IF($G554="","",IFERROR(INDEX(GRUPOS_PLANO,MATCH($G554,SUBCATEGORIAS_PLANO,0)),"Não classificado"))</f>
        <v/>
      </c>
      <c r="AI554" s="24">
        <f>IF(OR($C554="",$X554="Pago",$X554="Recebido",$X554="Cancelado"),"",$C554-TODAY())</f>
        <v/>
      </c>
      <c r="AJ554" s="24">
        <f>IF(OR($C554="",$X554="Pago",$X554="Recebido",$X554="Cancelado"),0,MAX(0,TODAY()-$C554))</f>
        <v/>
      </c>
      <c r="AK554" s="24">
        <f>IF($D554="","",$D554-$B554)</f>
        <v/>
      </c>
      <c r="AL554" s="18">
        <f>IF(OR($D554="",$B554=""),"",ROUND(N($R554)*($D554-$B554),2))</f>
        <v/>
      </c>
      <c r="AM554" s="17">
        <f>IF(AND($E554="Saída",$W554&gt;0,$C554&lt;&gt;""),$C554+ROW()/1000000,"")</f>
        <v/>
      </c>
      <c r="AN554" s="17">
        <f>IF(AND($E554="Entrada",$W554&gt;0,$C554&lt;&gt;""),$C554+ROW()/1000000,"")</f>
        <v/>
      </c>
      <c r="AO554" s="9">
        <f>IF(COUNTA($B554:$R554)=0,"",IF(AND($I554&lt;&gt;"",COUNTIF(CLIENTES_NOMES,$I554)+COUNTIF(CLIENTES_FANTASIA,$I554)+COUNTIF(FORNECEDORES_NOMES,$I554)+COUNTIF(FORNECEDORES_FANTASIA,$I554)=0),"⚠ Cliente/Fornecedor não cadastrado",IF(AND($G554&lt;&gt;"",COUNTIF(SUBCATEGORIAS_PLANO,$G554)=0),"⚠ Subcategoria fora do plano de contas",IF(OR($Q554="",N($Q554)=0),"⚠ Valor previsto não informado",IF(AND(OR($X554="Pago",$X554="Recebido"),$D554=""),"⚠ Status pago/recebido sem data",IF(AND($D554&lt;&gt;"",N($R554)=0),"⚠ Data de pagamento sem valor realizado",IF(AND(N($P554)&gt;1,N($O554)&gt;N($P554)),"⚠ Nº da parcela maior que o total",IF(AND($C554&lt;&gt;"",$B554&lt;&gt;"",$C554&lt;$B554),"⚠ Vencimento anterior à competência","OK"))))))))</f>
        <v/>
      </c>
    </row>
    <row r="555">
      <c r="A555" s="14" t="inlineStr">
        <is>
          <t>L0550</t>
        </is>
      </c>
      <c r="B555" s="36" t="n">
        <v>46372</v>
      </c>
      <c r="C555" s="36" t="n">
        <v>46392</v>
      </c>
      <c r="D555" s="36" t="n"/>
      <c r="E555" s="14" t="inlineStr">
        <is>
          <t>Saída</t>
        </is>
      </c>
      <c r="F555" s="29" t="inlineStr">
        <is>
          <t>Despesas Administrativas</t>
        </is>
      </c>
      <c r="G555" s="29" t="inlineStr">
        <is>
          <t>Material de Escritório</t>
        </is>
      </c>
      <c r="H555" s="29" t="inlineStr">
        <is>
          <t>Administrativo</t>
        </is>
      </c>
      <c r="I555" s="29" t="inlineStr">
        <is>
          <t>PAPELARIA CENTRAL LTDA</t>
        </is>
      </c>
      <c r="J555" s="29" t="inlineStr">
        <is>
          <t>Material de escritório e itens de consumo</t>
        </is>
      </c>
      <c r="K555" s="14" t="inlineStr">
        <is>
          <t>DOC 8460</t>
        </is>
      </c>
      <c r="L555" s="29" t="inlineStr">
        <is>
          <t>Itaú Unibanco — C/C 45678-9</t>
        </is>
      </c>
      <c r="M555" s="14" t="inlineStr">
        <is>
          <t>Cartão de crédito</t>
        </is>
      </c>
      <c r="N555" s="29" t="inlineStr">
        <is>
          <t>Cartão Visa Itaú Business</t>
        </is>
      </c>
      <c r="O555" s="13" t="n">
        <v>1</v>
      </c>
      <c r="P555" s="13" t="n">
        <v>1</v>
      </c>
      <c r="Q555" s="35" t="n">
        <v>609.4299999999999</v>
      </c>
      <c r="R555" s="35" t="n"/>
      <c r="S555" s="35" t="n"/>
      <c r="T555" s="35" t="n"/>
      <c r="U555" s="35" t="n"/>
      <c r="V555" s="18">
        <f>IF(COUNTA($B555:$R555)=0,"",ROUND(N($R555)+N($S555)+N($T555)-N($U555),2))</f>
        <v/>
      </c>
      <c r="W555" s="18">
        <f>IF(COUNTA($B555:$R555)=0,"",IF(OR($X555="Pago",$X555="Recebido",$X555="Cancelado"),0,ROUND(N($Q555)+N($S555)+N($T555)-N($U555)-N($R555),2)))</f>
        <v/>
      </c>
      <c r="X555" s="14" t="inlineStr">
        <is>
          <t>Previsto</t>
        </is>
      </c>
      <c r="Y555" s="17">
        <f>IF(COUNTA($B555:$R555)=0,"",IF($X555="Cancelado","Cancelado",IF(OR($X555="Pago",$X555="Recebido"),$X555,IF(OR($X555="Parcial",N($R555)&gt;0),"Parcial",IF($C555="","Sem vencimento",IF($C555&lt;TODAY(),"Vencido",IF($C555=TODAY(),"Vence hoje",IF($C555&lt;=TODAY()+7,"Vence em 7 dias",IF($C555&lt;=TODAY()+30,"Vence em 30 dias","Futuro")))))))))</f>
        <v/>
      </c>
      <c r="Z555" s="24">
        <f>IF($B555="","",MONTH($B555))</f>
        <v/>
      </c>
      <c r="AA555" s="24">
        <f>IF($B555="","",YEAR($B555))</f>
        <v/>
      </c>
      <c r="AB555" s="24">
        <f>IF($B555="","",ISOWEEKNUM($B555))</f>
        <v/>
      </c>
      <c r="AC555" s="17">
        <f>IF($B555="","",CHOOSE(WEEKDAY($B555,2),"Segunda","Terça","Quarta","Quinta","Sexta","Sábado","Domingo"))</f>
        <v/>
      </c>
      <c r="AD555" s="17">
        <f>IF($B555="","",TEXT($B555,"MM/AAAA"))</f>
        <v/>
      </c>
      <c r="AE555" s="18">
        <f>IF(COUNTA($B555:$R555)=0,"",IF($X555="Cancelado",0,ROUND(N($Q555)+N($S555)+N($T555)-N($U555),2)))</f>
        <v/>
      </c>
      <c r="AF555" s="9">
        <f>IF($G555="","",IFERROR(INDEX(LINHAS_DRE_PLANO,MATCH($G555,SUBCATEGORIAS_PLANO,0)),"Não classificado"))</f>
        <v/>
      </c>
      <c r="AG555" s="17">
        <f>IF($G555="","",IFERROR(INDEX(TIPOS_FLUXO_PLANO,MATCH($G555,SUBCATEGORIAS_PLANO,0)),"Não classificado"))</f>
        <v/>
      </c>
      <c r="AH555" s="9">
        <f>IF($G555="","",IFERROR(INDEX(GRUPOS_PLANO,MATCH($G555,SUBCATEGORIAS_PLANO,0)),"Não classificado"))</f>
        <v/>
      </c>
      <c r="AI555" s="24">
        <f>IF(OR($C555="",$X555="Pago",$X555="Recebido",$X555="Cancelado"),"",$C555-TODAY())</f>
        <v/>
      </c>
      <c r="AJ555" s="24">
        <f>IF(OR($C555="",$X555="Pago",$X555="Recebido",$X555="Cancelado"),0,MAX(0,TODAY()-$C555))</f>
        <v/>
      </c>
      <c r="AK555" s="24">
        <f>IF($D555="","",$D555-$B555)</f>
        <v/>
      </c>
      <c r="AL555" s="18">
        <f>IF(OR($D555="",$B555=""),"",ROUND(N($R555)*($D555-$B555),2))</f>
        <v/>
      </c>
      <c r="AM555" s="17">
        <f>IF(AND($E555="Saída",$W555&gt;0,$C555&lt;&gt;""),$C555+ROW()/1000000,"")</f>
        <v/>
      </c>
      <c r="AN555" s="17">
        <f>IF(AND($E555="Entrada",$W555&gt;0,$C555&lt;&gt;""),$C555+ROW()/1000000,"")</f>
        <v/>
      </c>
      <c r="AO555" s="9">
        <f>IF(COUNTA($B555:$R555)=0,"",IF(AND($I555&lt;&gt;"",COUNTIF(CLIENTES_NOMES,$I555)+COUNTIF(CLIENTES_FANTASIA,$I555)+COUNTIF(FORNECEDORES_NOMES,$I555)+COUNTIF(FORNECEDORES_FANTASIA,$I555)=0),"⚠ Cliente/Fornecedor não cadastrado",IF(AND($G555&lt;&gt;"",COUNTIF(SUBCATEGORIAS_PLANO,$G555)=0),"⚠ Subcategoria fora do plano de contas",IF(OR($Q555="",N($Q555)=0),"⚠ Valor previsto não informado",IF(AND(OR($X555="Pago",$X555="Recebido"),$D555=""),"⚠ Status pago/recebido sem data",IF(AND($D555&lt;&gt;"",N($R555)=0),"⚠ Data de pagamento sem valor realizado",IF(AND(N($P555)&gt;1,N($O555)&gt;N($P555)),"⚠ Nº da parcela maior que o total",IF(AND($C555&lt;&gt;"",$B555&lt;&gt;"",$C555&lt;$B555),"⚠ Vencimento anterior à competência","OK"))))))))</f>
        <v/>
      </c>
    </row>
    <row r="556">
      <c r="A556" s="14" t="inlineStr">
        <is>
          <t>L0551</t>
        </is>
      </c>
      <c r="B556" s="36" t="n">
        <v>46374</v>
      </c>
      <c r="C556" s="36" t="n">
        <v>46384</v>
      </c>
      <c r="D556" s="36" t="n"/>
      <c r="E556" s="14" t="inlineStr">
        <is>
          <t>Saída</t>
        </is>
      </c>
      <c r="F556" s="29" t="inlineStr">
        <is>
          <t>Despesas Comerciais</t>
        </is>
      </c>
      <c r="G556" s="29" t="inlineStr">
        <is>
          <t>Publicidade e Anúncios</t>
        </is>
      </c>
      <c r="H556" s="29" t="inlineStr">
        <is>
          <t>Marketing</t>
        </is>
      </c>
      <c r="I556" s="29" t="inlineStr">
        <is>
          <t>GOOGLE BRASIL INTERNET LTDA</t>
        </is>
      </c>
      <c r="J556" s="29" t="inlineStr">
        <is>
          <t>Anúncios e campanhas digitais</t>
        </is>
      </c>
      <c r="K556" s="14" t="inlineStr">
        <is>
          <t>DOC 8458</t>
        </is>
      </c>
      <c r="L556" s="29" t="inlineStr">
        <is>
          <t>Nubank PJ — C/C 9876543-2</t>
        </is>
      </c>
      <c r="M556" s="14" t="inlineStr">
        <is>
          <t>Cartão de crédito</t>
        </is>
      </c>
      <c r="N556" s="29" t="inlineStr">
        <is>
          <t>Cartão Mastercard Nubank PJ</t>
        </is>
      </c>
      <c r="O556" s="13" t="n">
        <v>1</v>
      </c>
      <c r="P556" s="13" t="n">
        <v>1</v>
      </c>
      <c r="Q556" s="35" t="n">
        <v>1782.51</v>
      </c>
      <c r="R556" s="35" t="n"/>
      <c r="S556" s="35" t="n"/>
      <c r="T556" s="35" t="n"/>
      <c r="U556" s="35" t="n"/>
      <c r="V556" s="18">
        <f>IF(COUNTA($B556:$R556)=0,"",ROUND(N($R556)+N($S556)+N($T556)-N($U556),2))</f>
        <v/>
      </c>
      <c r="W556" s="18">
        <f>IF(COUNTA($B556:$R556)=0,"",IF(OR($X556="Pago",$X556="Recebido",$X556="Cancelado"),0,ROUND(N($Q556)+N($S556)+N($T556)-N($U556)-N($R556),2)))</f>
        <v/>
      </c>
      <c r="X556" s="14" t="inlineStr">
        <is>
          <t>Previsto</t>
        </is>
      </c>
      <c r="Y556" s="17">
        <f>IF(COUNTA($B556:$R556)=0,"",IF($X556="Cancelado","Cancelado",IF(OR($X556="Pago",$X556="Recebido"),$X556,IF(OR($X556="Parcial",N($R556)&gt;0),"Parcial",IF($C556="","Sem vencimento",IF($C556&lt;TODAY(),"Vencido",IF($C556=TODAY(),"Vence hoje",IF($C556&lt;=TODAY()+7,"Vence em 7 dias",IF($C556&lt;=TODAY()+30,"Vence em 30 dias","Futuro")))))))))</f>
        <v/>
      </c>
      <c r="Z556" s="24">
        <f>IF($B556="","",MONTH($B556))</f>
        <v/>
      </c>
      <c r="AA556" s="24">
        <f>IF($B556="","",YEAR($B556))</f>
        <v/>
      </c>
      <c r="AB556" s="24">
        <f>IF($B556="","",ISOWEEKNUM($B556))</f>
        <v/>
      </c>
      <c r="AC556" s="17">
        <f>IF($B556="","",CHOOSE(WEEKDAY($B556,2),"Segunda","Terça","Quarta","Quinta","Sexta","Sábado","Domingo"))</f>
        <v/>
      </c>
      <c r="AD556" s="17">
        <f>IF($B556="","",TEXT($B556,"MM/AAAA"))</f>
        <v/>
      </c>
      <c r="AE556" s="18">
        <f>IF(COUNTA($B556:$R556)=0,"",IF($X556="Cancelado",0,ROUND(N($Q556)+N($S556)+N($T556)-N($U556),2)))</f>
        <v/>
      </c>
      <c r="AF556" s="9">
        <f>IF($G556="","",IFERROR(INDEX(LINHAS_DRE_PLANO,MATCH($G556,SUBCATEGORIAS_PLANO,0)),"Não classificado"))</f>
        <v/>
      </c>
      <c r="AG556" s="17">
        <f>IF($G556="","",IFERROR(INDEX(TIPOS_FLUXO_PLANO,MATCH($G556,SUBCATEGORIAS_PLANO,0)),"Não classificado"))</f>
        <v/>
      </c>
      <c r="AH556" s="9">
        <f>IF($G556="","",IFERROR(INDEX(GRUPOS_PLANO,MATCH($G556,SUBCATEGORIAS_PLANO,0)),"Não classificado"))</f>
        <v/>
      </c>
      <c r="AI556" s="24">
        <f>IF(OR($C556="",$X556="Pago",$X556="Recebido",$X556="Cancelado"),"",$C556-TODAY())</f>
        <v/>
      </c>
      <c r="AJ556" s="24">
        <f>IF(OR($C556="",$X556="Pago",$X556="Recebido",$X556="Cancelado"),0,MAX(0,TODAY()-$C556))</f>
        <v/>
      </c>
      <c r="AK556" s="24">
        <f>IF($D556="","",$D556-$B556)</f>
        <v/>
      </c>
      <c r="AL556" s="18">
        <f>IF(OR($D556="",$B556=""),"",ROUND(N($R556)*($D556-$B556),2))</f>
        <v/>
      </c>
      <c r="AM556" s="17">
        <f>IF(AND($E556="Saída",$W556&gt;0,$C556&lt;&gt;""),$C556+ROW()/1000000,"")</f>
        <v/>
      </c>
      <c r="AN556" s="17">
        <f>IF(AND($E556="Entrada",$W556&gt;0,$C556&lt;&gt;""),$C556+ROW()/1000000,"")</f>
        <v/>
      </c>
      <c r="AO556" s="9">
        <f>IF(COUNTA($B556:$R556)=0,"",IF(AND($I556&lt;&gt;"",COUNTIF(CLIENTES_NOMES,$I556)+COUNTIF(CLIENTES_FANTASIA,$I556)+COUNTIF(FORNECEDORES_NOMES,$I556)+COUNTIF(FORNECEDORES_FANTASIA,$I556)=0),"⚠ Cliente/Fornecedor não cadastrado",IF(AND($G556&lt;&gt;"",COUNTIF(SUBCATEGORIAS_PLANO,$G556)=0),"⚠ Subcategoria fora do plano de contas",IF(OR($Q556="",N($Q556)=0),"⚠ Valor previsto não informado",IF(AND(OR($X556="Pago",$X556="Recebido"),$D556=""),"⚠ Status pago/recebido sem data",IF(AND($D556&lt;&gt;"",N($R556)=0),"⚠ Data de pagamento sem valor realizado",IF(AND(N($P556)&gt;1,N($O556)&gt;N($P556)),"⚠ Nº da parcela maior que o total",IF(AND($C556&lt;&gt;"",$B556&lt;&gt;"",$C556&lt;$B556),"⚠ Vencimento anterior à competência","OK"))))))))</f>
        <v/>
      </c>
    </row>
    <row r="557">
      <c r="A557" s="14" t="inlineStr">
        <is>
          <t>L0552</t>
        </is>
      </c>
      <c r="B557" s="36" t="n">
        <v>46375</v>
      </c>
      <c r="C557" s="36" t="n">
        <v>46405</v>
      </c>
      <c r="D557" s="36" t="n"/>
      <c r="E557" s="14" t="inlineStr">
        <is>
          <t>Entrada</t>
        </is>
      </c>
      <c r="F557" s="29" t="inlineStr">
        <is>
          <t>Vendas</t>
        </is>
      </c>
      <c r="G557" s="29" t="inlineStr">
        <is>
          <t>Vendas de Produtos</t>
        </is>
      </c>
      <c r="H557" s="29" t="inlineStr">
        <is>
          <t>Comercial</t>
        </is>
      </c>
      <c r="I557" s="29" t="inlineStr">
        <is>
          <t>MERCADO BOA COMPRA LTDA</t>
        </is>
      </c>
      <c r="J557" s="29" t="inlineStr">
        <is>
          <t>Venda de mercadorias para revenda</t>
        </is>
      </c>
      <c r="K557" s="14" t="inlineStr">
        <is>
          <t>NF-e 2131</t>
        </is>
      </c>
      <c r="L557" s="29" t="inlineStr">
        <is>
          <t>Banco do Brasil — C/C 12345-6</t>
        </is>
      </c>
      <c r="M557" s="14" t="inlineStr">
        <is>
          <t>Boleto</t>
        </is>
      </c>
      <c r="N557" s="29" t="n"/>
      <c r="O557" s="13" t="n">
        <v>1</v>
      </c>
      <c r="P557" s="13" t="n">
        <v>1</v>
      </c>
      <c r="Q557" s="35" t="n">
        <v>32339.99</v>
      </c>
      <c r="R557" s="35" t="n"/>
      <c r="S557" s="35" t="n"/>
      <c r="T557" s="35" t="n"/>
      <c r="U557" s="35" t="n"/>
      <c r="V557" s="18">
        <f>IF(COUNTA($B557:$R557)=0,"",ROUND(N($R557)+N($S557)+N($T557)-N($U557),2))</f>
        <v/>
      </c>
      <c r="W557" s="18">
        <f>IF(COUNTA($B557:$R557)=0,"",IF(OR($X557="Pago",$X557="Recebido",$X557="Cancelado"),0,ROUND(N($Q557)+N($S557)+N($T557)-N($U557)-N($R557),2)))</f>
        <v/>
      </c>
      <c r="X557" s="14" t="inlineStr">
        <is>
          <t>Previsto</t>
        </is>
      </c>
      <c r="Y557" s="17">
        <f>IF(COUNTA($B557:$R557)=0,"",IF($X557="Cancelado","Cancelado",IF(OR($X557="Pago",$X557="Recebido"),$X557,IF(OR($X557="Parcial",N($R557)&gt;0),"Parcial",IF($C557="","Sem vencimento",IF($C557&lt;TODAY(),"Vencido",IF($C557=TODAY(),"Vence hoje",IF($C557&lt;=TODAY()+7,"Vence em 7 dias",IF($C557&lt;=TODAY()+30,"Vence em 30 dias","Futuro")))))))))</f>
        <v/>
      </c>
      <c r="Z557" s="24">
        <f>IF($B557="","",MONTH($B557))</f>
        <v/>
      </c>
      <c r="AA557" s="24">
        <f>IF($B557="","",YEAR($B557))</f>
        <v/>
      </c>
      <c r="AB557" s="24">
        <f>IF($B557="","",ISOWEEKNUM($B557))</f>
        <v/>
      </c>
      <c r="AC557" s="17">
        <f>IF($B557="","",CHOOSE(WEEKDAY($B557,2),"Segunda","Terça","Quarta","Quinta","Sexta","Sábado","Domingo"))</f>
        <v/>
      </c>
      <c r="AD557" s="17">
        <f>IF($B557="","",TEXT($B557,"MM/AAAA"))</f>
        <v/>
      </c>
      <c r="AE557" s="18">
        <f>IF(COUNTA($B557:$R557)=0,"",IF($X557="Cancelado",0,ROUND(N($Q557)+N($S557)+N($T557)-N($U557),2)))</f>
        <v/>
      </c>
      <c r="AF557" s="9">
        <f>IF($G557="","",IFERROR(INDEX(LINHAS_DRE_PLANO,MATCH($G557,SUBCATEGORIAS_PLANO,0)),"Não classificado"))</f>
        <v/>
      </c>
      <c r="AG557" s="17">
        <f>IF($G557="","",IFERROR(INDEX(TIPOS_FLUXO_PLANO,MATCH($G557,SUBCATEGORIAS_PLANO,0)),"Não classificado"))</f>
        <v/>
      </c>
      <c r="AH557" s="9">
        <f>IF($G557="","",IFERROR(INDEX(GRUPOS_PLANO,MATCH($G557,SUBCATEGORIAS_PLANO,0)),"Não classificado"))</f>
        <v/>
      </c>
      <c r="AI557" s="24">
        <f>IF(OR($C557="",$X557="Pago",$X557="Recebido",$X557="Cancelado"),"",$C557-TODAY())</f>
        <v/>
      </c>
      <c r="AJ557" s="24">
        <f>IF(OR($C557="",$X557="Pago",$X557="Recebido",$X557="Cancelado"),0,MAX(0,TODAY()-$C557))</f>
        <v/>
      </c>
      <c r="AK557" s="24">
        <f>IF($D557="","",$D557-$B557)</f>
        <v/>
      </c>
      <c r="AL557" s="18">
        <f>IF(OR($D557="",$B557=""),"",ROUND(N($R557)*($D557-$B557),2))</f>
        <v/>
      </c>
      <c r="AM557" s="17">
        <f>IF(AND($E557="Saída",$W557&gt;0,$C557&lt;&gt;""),$C557+ROW()/1000000,"")</f>
        <v/>
      </c>
      <c r="AN557" s="17">
        <f>IF(AND($E557="Entrada",$W557&gt;0,$C557&lt;&gt;""),$C557+ROW()/1000000,"")</f>
        <v/>
      </c>
      <c r="AO557" s="9">
        <f>IF(COUNTA($B557:$R557)=0,"",IF(AND($I557&lt;&gt;"",COUNTIF(CLIENTES_NOMES,$I557)+COUNTIF(CLIENTES_FANTASIA,$I557)+COUNTIF(FORNECEDORES_NOMES,$I557)+COUNTIF(FORNECEDORES_FANTASIA,$I557)=0),"⚠ Cliente/Fornecedor não cadastrado",IF(AND($G557&lt;&gt;"",COUNTIF(SUBCATEGORIAS_PLANO,$G557)=0),"⚠ Subcategoria fora do plano de contas",IF(OR($Q557="",N($Q557)=0),"⚠ Valor previsto não informado",IF(AND(OR($X557="Pago",$X557="Recebido"),$D557=""),"⚠ Status pago/recebido sem data",IF(AND($D557&lt;&gt;"",N($R557)=0),"⚠ Data de pagamento sem valor realizado",IF(AND(N($P557)&gt;1,N($O557)&gt;N($P557)),"⚠ Nº da parcela maior que o total",IF(AND($C557&lt;&gt;"",$B557&lt;&gt;"",$C557&lt;$B557),"⚠ Vencimento anterior à competência","OK"))))))))</f>
        <v/>
      </c>
    </row>
    <row r="558">
      <c r="A558" s="14" t="inlineStr">
        <is>
          <t>L0553</t>
        </is>
      </c>
      <c r="B558" s="36" t="n">
        <v>46375</v>
      </c>
      <c r="C558" s="36" t="n">
        <v>46391</v>
      </c>
      <c r="D558" s="36" t="n"/>
      <c r="E558" s="14" t="inlineStr">
        <is>
          <t>Entrada</t>
        </is>
      </c>
      <c r="F558" s="29" t="inlineStr">
        <is>
          <t>Vendas</t>
        </is>
      </c>
      <c r="G558" s="29" t="inlineStr">
        <is>
          <t>Vendas de Produtos</t>
        </is>
      </c>
      <c r="H558" s="29" t="inlineStr">
        <is>
          <t>Comercial</t>
        </is>
      </c>
      <c r="I558" s="29" t="inlineStr">
        <is>
          <t>RESTAURANTE SABOR CASEIRO LTDA</t>
        </is>
      </c>
      <c r="J558" s="29" t="inlineStr">
        <is>
          <t>Venda de mercadorias para revenda</t>
        </is>
      </c>
      <c r="K558" s="14" t="inlineStr">
        <is>
          <t>NF-e 2135</t>
        </is>
      </c>
      <c r="L558" s="29" t="inlineStr">
        <is>
          <t>Itaú Unibanco — C/C 45678-9</t>
        </is>
      </c>
      <c r="M558" s="14" t="inlineStr">
        <is>
          <t>Boleto</t>
        </is>
      </c>
      <c r="N558" s="29" t="n"/>
      <c r="O558" s="13" t="n">
        <v>1</v>
      </c>
      <c r="P558" s="13" t="n">
        <v>1</v>
      </c>
      <c r="Q558" s="35" t="n">
        <v>14570.53</v>
      </c>
      <c r="R558" s="35" t="n"/>
      <c r="S558" s="35" t="n"/>
      <c r="T558" s="35" t="n"/>
      <c r="U558" s="35" t="n"/>
      <c r="V558" s="18">
        <f>IF(COUNTA($B558:$R558)=0,"",ROUND(N($R558)+N($S558)+N($T558)-N($U558),2))</f>
        <v/>
      </c>
      <c r="W558" s="18">
        <f>IF(COUNTA($B558:$R558)=0,"",IF(OR($X558="Pago",$X558="Recebido",$X558="Cancelado"),0,ROUND(N($Q558)+N($S558)+N($T558)-N($U558)-N($R558),2)))</f>
        <v/>
      </c>
      <c r="X558" s="14" t="inlineStr">
        <is>
          <t>Previsto</t>
        </is>
      </c>
      <c r="Y558" s="17">
        <f>IF(COUNTA($B558:$R558)=0,"",IF($X558="Cancelado","Cancelado",IF(OR($X558="Pago",$X558="Recebido"),$X558,IF(OR($X558="Parcial",N($R558)&gt;0),"Parcial",IF($C558="","Sem vencimento",IF($C558&lt;TODAY(),"Vencido",IF($C558=TODAY(),"Vence hoje",IF($C558&lt;=TODAY()+7,"Vence em 7 dias",IF($C558&lt;=TODAY()+30,"Vence em 30 dias","Futuro")))))))))</f>
        <v/>
      </c>
      <c r="Z558" s="24">
        <f>IF($B558="","",MONTH($B558))</f>
        <v/>
      </c>
      <c r="AA558" s="24">
        <f>IF($B558="","",YEAR($B558))</f>
        <v/>
      </c>
      <c r="AB558" s="24">
        <f>IF($B558="","",ISOWEEKNUM($B558))</f>
        <v/>
      </c>
      <c r="AC558" s="17">
        <f>IF($B558="","",CHOOSE(WEEKDAY($B558,2),"Segunda","Terça","Quarta","Quinta","Sexta","Sábado","Domingo"))</f>
        <v/>
      </c>
      <c r="AD558" s="17">
        <f>IF($B558="","",TEXT($B558,"MM/AAAA"))</f>
        <v/>
      </c>
      <c r="AE558" s="18">
        <f>IF(COUNTA($B558:$R558)=0,"",IF($X558="Cancelado",0,ROUND(N($Q558)+N($S558)+N($T558)-N($U558),2)))</f>
        <v/>
      </c>
      <c r="AF558" s="9">
        <f>IF($G558="","",IFERROR(INDEX(LINHAS_DRE_PLANO,MATCH($G558,SUBCATEGORIAS_PLANO,0)),"Não classificado"))</f>
        <v/>
      </c>
      <c r="AG558" s="17">
        <f>IF($G558="","",IFERROR(INDEX(TIPOS_FLUXO_PLANO,MATCH($G558,SUBCATEGORIAS_PLANO,0)),"Não classificado"))</f>
        <v/>
      </c>
      <c r="AH558" s="9">
        <f>IF($G558="","",IFERROR(INDEX(GRUPOS_PLANO,MATCH($G558,SUBCATEGORIAS_PLANO,0)),"Não classificado"))</f>
        <v/>
      </c>
      <c r="AI558" s="24">
        <f>IF(OR($C558="",$X558="Pago",$X558="Recebido",$X558="Cancelado"),"",$C558-TODAY())</f>
        <v/>
      </c>
      <c r="AJ558" s="24">
        <f>IF(OR($C558="",$X558="Pago",$X558="Recebido",$X558="Cancelado"),0,MAX(0,TODAY()-$C558))</f>
        <v/>
      </c>
      <c r="AK558" s="24">
        <f>IF($D558="","",$D558-$B558)</f>
        <v/>
      </c>
      <c r="AL558" s="18">
        <f>IF(OR($D558="",$B558=""),"",ROUND(N($R558)*($D558-$B558),2))</f>
        <v/>
      </c>
      <c r="AM558" s="17">
        <f>IF(AND($E558="Saída",$W558&gt;0,$C558&lt;&gt;""),$C558+ROW()/1000000,"")</f>
        <v/>
      </c>
      <c r="AN558" s="17">
        <f>IF(AND($E558="Entrada",$W558&gt;0,$C558&lt;&gt;""),$C558+ROW()/1000000,"")</f>
        <v/>
      </c>
      <c r="AO558" s="9">
        <f>IF(COUNTA($B558:$R558)=0,"",IF(AND($I558&lt;&gt;"",COUNTIF(CLIENTES_NOMES,$I558)+COUNTIF(CLIENTES_FANTASIA,$I558)+COUNTIF(FORNECEDORES_NOMES,$I558)+COUNTIF(FORNECEDORES_FANTASIA,$I558)=0),"⚠ Cliente/Fornecedor não cadastrado",IF(AND($G558&lt;&gt;"",COUNTIF(SUBCATEGORIAS_PLANO,$G558)=0),"⚠ Subcategoria fora do plano de contas",IF(OR($Q558="",N($Q558)=0),"⚠ Valor previsto não informado",IF(AND(OR($X558="Pago",$X558="Recebido"),$D558=""),"⚠ Status pago/recebido sem data",IF(AND($D558&lt;&gt;"",N($R558)=0),"⚠ Data de pagamento sem valor realizado",IF(AND(N($P558)&gt;1,N($O558)&gt;N($P558)),"⚠ Nº da parcela maior que o total",IF(AND($C558&lt;&gt;"",$B558&lt;&gt;"",$C558&lt;$B558),"⚠ Vencimento anterior à competência","OK"))))))))</f>
        <v/>
      </c>
    </row>
    <row r="559">
      <c r="A559" s="14" t="inlineStr">
        <is>
          <t>L0554</t>
        </is>
      </c>
      <c r="B559" s="36" t="n">
        <v>46375</v>
      </c>
      <c r="C559" s="36" t="n">
        <v>46398</v>
      </c>
      <c r="D559" s="36" t="n"/>
      <c r="E559" s="14" t="inlineStr">
        <is>
          <t>Entrada</t>
        </is>
      </c>
      <c r="F559" s="29" t="inlineStr">
        <is>
          <t>Vendas</t>
        </is>
      </c>
      <c r="G559" s="29" t="inlineStr">
        <is>
          <t>Vendas de Produtos</t>
        </is>
      </c>
      <c r="H559" s="29" t="inlineStr">
        <is>
          <t>Comercial</t>
        </is>
      </c>
      <c r="I559" s="29" t="inlineStr">
        <is>
          <t>EMPÓRIO NATURAL COMÉRCIO LTDA</t>
        </is>
      </c>
      <c r="J559" s="29" t="inlineStr">
        <is>
          <t>Venda de mercadorias para revenda</t>
        </is>
      </c>
      <c r="K559" s="14" t="inlineStr">
        <is>
          <t>NF-e 2139</t>
        </is>
      </c>
      <c r="L559" s="29" t="inlineStr">
        <is>
          <t>Itaú Unibanco — C/C 45678-9</t>
        </is>
      </c>
      <c r="M559" s="14" t="inlineStr">
        <is>
          <t>Boleto</t>
        </is>
      </c>
      <c r="N559" s="29" t="n"/>
      <c r="O559" s="13" t="n">
        <v>1</v>
      </c>
      <c r="P559" s="13" t="n">
        <v>1</v>
      </c>
      <c r="Q559" s="35" t="n">
        <v>20911.1</v>
      </c>
      <c r="R559" s="35" t="n"/>
      <c r="S559" s="35" t="n"/>
      <c r="T559" s="35" t="n"/>
      <c r="U559" s="35" t="n"/>
      <c r="V559" s="18">
        <f>IF(COUNTA($B559:$R559)=0,"",ROUND(N($R559)+N($S559)+N($T559)-N($U559),2))</f>
        <v/>
      </c>
      <c r="W559" s="18">
        <f>IF(COUNTA($B559:$R559)=0,"",IF(OR($X559="Pago",$X559="Recebido",$X559="Cancelado"),0,ROUND(N($Q559)+N($S559)+N($T559)-N($U559)-N($R559),2)))</f>
        <v/>
      </c>
      <c r="X559" s="14" t="inlineStr">
        <is>
          <t>Previsto</t>
        </is>
      </c>
      <c r="Y559" s="17">
        <f>IF(COUNTA($B559:$R559)=0,"",IF($X559="Cancelado","Cancelado",IF(OR($X559="Pago",$X559="Recebido"),$X559,IF(OR($X559="Parcial",N($R559)&gt;0),"Parcial",IF($C559="","Sem vencimento",IF($C559&lt;TODAY(),"Vencido",IF($C559=TODAY(),"Vence hoje",IF($C559&lt;=TODAY()+7,"Vence em 7 dias",IF($C559&lt;=TODAY()+30,"Vence em 30 dias","Futuro")))))))))</f>
        <v/>
      </c>
      <c r="Z559" s="24">
        <f>IF($B559="","",MONTH($B559))</f>
        <v/>
      </c>
      <c r="AA559" s="24">
        <f>IF($B559="","",YEAR($B559))</f>
        <v/>
      </c>
      <c r="AB559" s="24">
        <f>IF($B559="","",ISOWEEKNUM($B559))</f>
        <v/>
      </c>
      <c r="AC559" s="17">
        <f>IF($B559="","",CHOOSE(WEEKDAY($B559,2),"Segunda","Terça","Quarta","Quinta","Sexta","Sábado","Domingo"))</f>
        <v/>
      </c>
      <c r="AD559" s="17">
        <f>IF($B559="","",TEXT($B559,"MM/AAAA"))</f>
        <v/>
      </c>
      <c r="AE559" s="18">
        <f>IF(COUNTA($B559:$R559)=0,"",IF($X559="Cancelado",0,ROUND(N($Q559)+N($S559)+N($T559)-N($U559),2)))</f>
        <v/>
      </c>
      <c r="AF559" s="9">
        <f>IF($G559="","",IFERROR(INDEX(LINHAS_DRE_PLANO,MATCH($G559,SUBCATEGORIAS_PLANO,0)),"Não classificado"))</f>
        <v/>
      </c>
      <c r="AG559" s="17">
        <f>IF($G559="","",IFERROR(INDEX(TIPOS_FLUXO_PLANO,MATCH($G559,SUBCATEGORIAS_PLANO,0)),"Não classificado"))</f>
        <v/>
      </c>
      <c r="AH559" s="9">
        <f>IF($G559="","",IFERROR(INDEX(GRUPOS_PLANO,MATCH($G559,SUBCATEGORIAS_PLANO,0)),"Não classificado"))</f>
        <v/>
      </c>
      <c r="AI559" s="24">
        <f>IF(OR($C559="",$X559="Pago",$X559="Recebido",$X559="Cancelado"),"",$C559-TODAY())</f>
        <v/>
      </c>
      <c r="AJ559" s="24">
        <f>IF(OR($C559="",$X559="Pago",$X559="Recebido",$X559="Cancelado"),0,MAX(0,TODAY()-$C559))</f>
        <v/>
      </c>
      <c r="AK559" s="24">
        <f>IF($D559="","",$D559-$B559)</f>
        <v/>
      </c>
      <c r="AL559" s="18">
        <f>IF(OR($D559="",$B559=""),"",ROUND(N($R559)*($D559-$B559),2))</f>
        <v/>
      </c>
      <c r="AM559" s="17">
        <f>IF(AND($E559="Saída",$W559&gt;0,$C559&lt;&gt;""),$C559+ROW()/1000000,"")</f>
        <v/>
      </c>
      <c r="AN559" s="17">
        <f>IF(AND($E559="Entrada",$W559&gt;0,$C559&lt;&gt;""),$C559+ROW()/1000000,"")</f>
        <v/>
      </c>
      <c r="AO559" s="9">
        <f>IF(COUNTA($B559:$R559)=0,"",IF(AND($I559&lt;&gt;"",COUNTIF(CLIENTES_NOMES,$I559)+COUNTIF(CLIENTES_FANTASIA,$I559)+COUNTIF(FORNECEDORES_NOMES,$I559)+COUNTIF(FORNECEDORES_FANTASIA,$I559)=0),"⚠ Cliente/Fornecedor não cadastrado",IF(AND($G559&lt;&gt;"",COUNTIF(SUBCATEGORIAS_PLANO,$G559)=0),"⚠ Subcategoria fora do plano de contas",IF(OR($Q559="",N($Q559)=0),"⚠ Valor previsto não informado",IF(AND(OR($X559="Pago",$X559="Recebido"),$D559=""),"⚠ Status pago/recebido sem data",IF(AND($D559&lt;&gt;"",N($R559)=0),"⚠ Data de pagamento sem valor realizado",IF(AND(N($P559)&gt;1,N($O559)&gt;N($P559)),"⚠ Nº da parcela maior que o total",IF(AND($C559&lt;&gt;"",$B559&lt;&gt;"",$C559&lt;$B559),"⚠ Vencimento anterior à competência","OK"))))))))</f>
        <v/>
      </c>
    </row>
    <row r="560">
      <c r="A560" s="14" t="inlineStr">
        <is>
          <t>L0555</t>
        </is>
      </c>
      <c r="B560" s="36" t="n">
        <v>46376</v>
      </c>
      <c r="C560" s="36" t="n">
        <v>46386</v>
      </c>
      <c r="D560" s="36" t="n"/>
      <c r="E560" s="14" t="inlineStr">
        <is>
          <t>Saída</t>
        </is>
      </c>
      <c r="F560" s="29" t="inlineStr">
        <is>
          <t>Custos Variáveis</t>
        </is>
      </c>
      <c r="G560" s="29" t="inlineStr">
        <is>
          <t>Outros Custos Diretos</t>
        </is>
      </c>
      <c r="H560" s="29" t="inlineStr">
        <is>
          <t>Produção</t>
        </is>
      </c>
      <c r="I560" s="29" t="inlineStr">
        <is>
          <t>APOIO OPERACIONAL SERVIÇOS LTDA</t>
        </is>
      </c>
      <c r="J560" s="29" t="inlineStr">
        <is>
          <t>Serviços de apoio à operação e expedição</t>
        </is>
      </c>
      <c r="K560" s="14" t="inlineStr">
        <is>
          <t>DOC 7264</t>
        </is>
      </c>
      <c r="L560" s="29" t="inlineStr">
        <is>
          <t>Banco do Brasil — C/C 12345-6</t>
        </is>
      </c>
      <c r="M560" s="14" t="inlineStr">
        <is>
          <t>PIX</t>
        </is>
      </c>
      <c r="N560" s="29" t="n"/>
      <c r="O560" s="13" t="n">
        <v>1</v>
      </c>
      <c r="P560" s="13" t="n">
        <v>1</v>
      </c>
      <c r="Q560" s="35" t="n">
        <v>1079.2</v>
      </c>
      <c r="R560" s="35" t="n"/>
      <c r="S560" s="35" t="n"/>
      <c r="T560" s="35" t="n"/>
      <c r="U560" s="35" t="n"/>
      <c r="V560" s="18">
        <f>IF(COUNTA($B560:$R560)=0,"",ROUND(N($R560)+N($S560)+N($T560)-N($U560),2))</f>
        <v/>
      </c>
      <c r="W560" s="18">
        <f>IF(COUNTA($B560:$R560)=0,"",IF(OR($X560="Pago",$X560="Recebido",$X560="Cancelado"),0,ROUND(N($Q560)+N($S560)+N($T560)-N($U560)-N($R560),2)))</f>
        <v/>
      </c>
      <c r="X560" s="14" t="inlineStr">
        <is>
          <t>Previsto</t>
        </is>
      </c>
      <c r="Y560" s="17">
        <f>IF(COUNTA($B560:$R560)=0,"",IF($X560="Cancelado","Cancelado",IF(OR($X560="Pago",$X560="Recebido"),$X560,IF(OR($X560="Parcial",N($R560)&gt;0),"Parcial",IF($C560="","Sem vencimento",IF($C560&lt;TODAY(),"Vencido",IF($C560=TODAY(),"Vence hoje",IF($C560&lt;=TODAY()+7,"Vence em 7 dias",IF($C560&lt;=TODAY()+30,"Vence em 30 dias","Futuro")))))))))</f>
        <v/>
      </c>
      <c r="Z560" s="24">
        <f>IF($B560="","",MONTH($B560))</f>
        <v/>
      </c>
      <c r="AA560" s="24">
        <f>IF($B560="","",YEAR($B560))</f>
        <v/>
      </c>
      <c r="AB560" s="24">
        <f>IF($B560="","",ISOWEEKNUM($B560))</f>
        <v/>
      </c>
      <c r="AC560" s="17">
        <f>IF($B560="","",CHOOSE(WEEKDAY($B560,2),"Segunda","Terça","Quarta","Quinta","Sexta","Sábado","Domingo"))</f>
        <v/>
      </c>
      <c r="AD560" s="17">
        <f>IF($B560="","",TEXT($B560,"MM/AAAA"))</f>
        <v/>
      </c>
      <c r="AE560" s="18">
        <f>IF(COUNTA($B560:$R560)=0,"",IF($X560="Cancelado",0,ROUND(N($Q560)+N($S560)+N($T560)-N($U560),2)))</f>
        <v/>
      </c>
      <c r="AF560" s="9">
        <f>IF($G560="","",IFERROR(INDEX(LINHAS_DRE_PLANO,MATCH($G560,SUBCATEGORIAS_PLANO,0)),"Não classificado"))</f>
        <v/>
      </c>
      <c r="AG560" s="17">
        <f>IF($G560="","",IFERROR(INDEX(TIPOS_FLUXO_PLANO,MATCH($G560,SUBCATEGORIAS_PLANO,0)),"Não classificado"))</f>
        <v/>
      </c>
      <c r="AH560" s="9">
        <f>IF($G560="","",IFERROR(INDEX(GRUPOS_PLANO,MATCH($G560,SUBCATEGORIAS_PLANO,0)),"Não classificado"))</f>
        <v/>
      </c>
      <c r="AI560" s="24">
        <f>IF(OR($C560="",$X560="Pago",$X560="Recebido",$X560="Cancelado"),"",$C560-TODAY())</f>
        <v/>
      </c>
      <c r="AJ560" s="24">
        <f>IF(OR($C560="",$X560="Pago",$X560="Recebido",$X560="Cancelado"),0,MAX(0,TODAY()-$C560))</f>
        <v/>
      </c>
      <c r="AK560" s="24">
        <f>IF($D560="","",$D560-$B560)</f>
        <v/>
      </c>
      <c r="AL560" s="18">
        <f>IF(OR($D560="",$B560=""),"",ROUND(N($R560)*($D560-$B560),2))</f>
        <v/>
      </c>
      <c r="AM560" s="17">
        <f>IF(AND($E560="Saída",$W560&gt;0,$C560&lt;&gt;""),$C560+ROW()/1000000,"")</f>
        <v/>
      </c>
      <c r="AN560" s="17">
        <f>IF(AND($E560="Entrada",$W560&gt;0,$C560&lt;&gt;""),$C560+ROW()/1000000,"")</f>
        <v/>
      </c>
      <c r="AO560" s="9">
        <f>IF(COUNTA($B560:$R560)=0,"",IF(AND($I560&lt;&gt;"",COUNTIF(CLIENTES_NOMES,$I560)+COUNTIF(CLIENTES_FANTASIA,$I560)+COUNTIF(FORNECEDORES_NOMES,$I560)+COUNTIF(FORNECEDORES_FANTASIA,$I560)=0),"⚠ Cliente/Fornecedor não cadastrado",IF(AND($G560&lt;&gt;"",COUNTIF(SUBCATEGORIAS_PLANO,$G560)=0),"⚠ Subcategoria fora do plano de contas",IF(OR($Q560="",N($Q560)=0),"⚠ Valor previsto não informado",IF(AND(OR($X560="Pago",$X560="Recebido"),$D560=""),"⚠ Status pago/recebido sem data",IF(AND($D560&lt;&gt;"",N($R560)=0),"⚠ Data de pagamento sem valor realizado",IF(AND(N($P560)&gt;1,N($O560)&gt;N($P560)),"⚠ Nº da parcela maior que o total",IF(AND($C560&lt;&gt;"",$B560&lt;&gt;"",$C560&lt;$B560),"⚠ Vencimento anterior à competência","OK"))))))))</f>
        <v/>
      </c>
    </row>
    <row r="561">
      <c r="A561" s="14" t="inlineStr">
        <is>
          <t>L0556</t>
        </is>
      </c>
      <c r="B561" s="36" t="n">
        <v>46376</v>
      </c>
      <c r="C561" s="36" t="n">
        <v>46407</v>
      </c>
      <c r="D561" s="36" t="n"/>
      <c r="E561" s="14" t="inlineStr">
        <is>
          <t>Saída</t>
        </is>
      </c>
      <c r="F561" s="29" t="inlineStr">
        <is>
          <t>Tributos</t>
        </is>
      </c>
      <c r="G561" s="29" t="inlineStr">
        <is>
          <t>Simples Nacional</t>
        </is>
      </c>
      <c r="H561" s="29" t="inlineStr">
        <is>
          <t>Financeiro</t>
        </is>
      </c>
      <c r="I561" s="29" t="inlineStr">
        <is>
          <t>RECEITA FEDERAL DO BRASIL</t>
        </is>
      </c>
      <c r="J561" s="29" t="inlineStr">
        <is>
          <t>Simples Nacional — competência 12/2026</t>
        </is>
      </c>
      <c r="K561" s="14" t="inlineStr">
        <is>
          <t>DAS 12/2026</t>
        </is>
      </c>
      <c r="L561" s="29" t="inlineStr">
        <is>
          <t>Banco do Brasil — C/C 12345-6</t>
        </is>
      </c>
      <c r="M561" s="14" t="inlineStr">
        <is>
          <t>Transferência</t>
        </is>
      </c>
      <c r="N561" s="29" t="n"/>
      <c r="O561" s="13" t="n">
        <v>1</v>
      </c>
      <c r="P561" s="13" t="n">
        <v>1</v>
      </c>
      <c r="Q561" s="35" t="n">
        <v>23649.32</v>
      </c>
      <c r="R561" s="35" t="n"/>
      <c r="S561" s="35" t="n"/>
      <c r="T561" s="35" t="n"/>
      <c r="U561" s="35" t="n"/>
      <c r="V561" s="18">
        <f>IF(COUNTA($B561:$R561)=0,"",ROUND(N($R561)+N($S561)+N($T561)-N($U561),2))</f>
        <v/>
      </c>
      <c r="W561" s="18">
        <f>IF(COUNTA($B561:$R561)=0,"",IF(OR($X561="Pago",$X561="Recebido",$X561="Cancelado"),0,ROUND(N($Q561)+N($S561)+N($T561)-N($U561)-N($R561),2)))</f>
        <v/>
      </c>
      <c r="X561" s="14" t="inlineStr">
        <is>
          <t>Previsto</t>
        </is>
      </c>
      <c r="Y561" s="17">
        <f>IF(COUNTA($B561:$R561)=0,"",IF($X561="Cancelado","Cancelado",IF(OR($X561="Pago",$X561="Recebido"),$X561,IF(OR($X561="Parcial",N($R561)&gt;0),"Parcial",IF($C561="","Sem vencimento",IF($C561&lt;TODAY(),"Vencido",IF($C561=TODAY(),"Vence hoje",IF($C561&lt;=TODAY()+7,"Vence em 7 dias",IF($C561&lt;=TODAY()+30,"Vence em 30 dias","Futuro")))))))))</f>
        <v/>
      </c>
      <c r="Z561" s="24">
        <f>IF($B561="","",MONTH($B561))</f>
        <v/>
      </c>
      <c r="AA561" s="24">
        <f>IF($B561="","",YEAR($B561))</f>
        <v/>
      </c>
      <c r="AB561" s="24">
        <f>IF($B561="","",ISOWEEKNUM($B561))</f>
        <v/>
      </c>
      <c r="AC561" s="17">
        <f>IF($B561="","",CHOOSE(WEEKDAY($B561,2),"Segunda","Terça","Quarta","Quinta","Sexta","Sábado","Domingo"))</f>
        <v/>
      </c>
      <c r="AD561" s="17">
        <f>IF($B561="","",TEXT($B561,"MM/AAAA"))</f>
        <v/>
      </c>
      <c r="AE561" s="18">
        <f>IF(COUNTA($B561:$R561)=0,"",IF($X561="Cancelado",0,ROUND(N($Q561)+N($S561)+N($T561)-N($U561),2)))</f>
        <v/>
      </c>
      <c r="AF561" s="9">
        <f>IF($G561="","",IFERROR(INDEX(LINHAS_DRE_PLANO,MATCH($G561,SUBCATEGORIAS_PLANO,0)),"Não classificado"))</f>
        <v/>
      </c>
      <c r="AG561" s="17">
        <f>IF($G561="","",IFERROR(INDEX(TIPOS_FLUXO_PLANO,MATCH($G561,SUBCATEGORIAS_PLANO,0)),"Não classificado"))</f>
        <v/>
      </c>
      <c r="AH561" s="9">
        <f>IF($G561="","",IFERROR(INDEX(GRUPOS_PLANO,MATCH($G561,SUBCATEGORIAS_PLANO,0)),"Não classificado"))</f>
        <v/>
      </c>
      <c r="AI561" s="24">
        <f>IF(OR($C561="",$X561="Pago",$X561="Recebido",$X561="Cancelado"),"",$C561-TODAY())</f>
        <v/>
      </c>
      <c r="AJ561" s="24">
        <f>IF(OR($C561="",$X561="Pago",$X561="Recebido",$X561="Cancelado"),0,MAX(0,TODAY()-$C561))</f>
        <v/>
      </c>
      <c r="AK561" s="24">
        <f>IF($D561="","",$D561-$B561)</f>
        <v/>
      </c>
      <c r="AL561" s="18">
        <f>IF(OR($D561="",$B561=""),"",ROUND(N($R561)*($D561-$B561),2))</f>
        <v/>
      </c>
      <c r="AM561" s="17">
        <f>IF(AND($E561="Saída",$W561&gt;0,$C561&lt;&gt;""),$C561+ROW()/1000000,"")</f>
        <v/>
      </c>
      <c r="AN561" s="17">
        <f>IF(AND($E561="Entrada",$W561&gt;0,$C561&lt;&gt;""),$C561+ROW()/1000000,"")</f>
        <v/>
      </c>
      <c r="AO561" s="9">
        <f>IF(COUNTA($B561:$R561)=0,"",IF(AND($I561&lt;&gt;"",COUNTIF(CLIENTES_NOMES,$I561)+COUNTIF(CLIENTES_FANTASIA,$I561)+COUNTIF(FORNECEDORES_NOMES,$I561)+COUNTIF(FORNECEDORES_FANTASIA,$I561)=0),"⚠ Cliente/Fornecedor não cadastrado",IF(AND($G561&lt;&gt;"",COUNTIF(SUBCATEGORIAS_PLANO,$G561)=0),"⚠ Subcategoria fora do plano de contas",IF(OR($Q561="",N($Q561)=0),"⚠ Valor previsto não informado",IF(AND(OR($X561="Pago",$X561="Recebido"),$D561=""),"⚠ Status pago/recebido sem data",IF(AND($D561&lt;&gt;"",N($R561)=0),"⚠ Data de pagamento sem valor realizado",IF(AND(N($P561)&gt;1,N($O561)&gt;N($P561)),"⚠ Nº da parcela maior que o total",IF(AND($C561&lt;&gt;"",$B561&lt;&gt;"",$C561&lt;$B561),"⚠ Vencimento anterior à competência","OK"))))))))</f>
        <v/>
      </c>
    </row>
    <row r="562">
      <c r="A562" s="14" t="inlineStr">
        <is>
          <t>L0557</t>
        </is>
      </c>
      <c r="B562" s="36" t="n">
        <v>46376</v>
      </c>
      <c r="C562" s="36" t="n">
        <v>46376</v>
      </c>
      <c r="D562" s="36" t="n"/>
      <c r="E562" s="14" t="inlineStr">
        <is>
          <t>Saída</t>
        </is>
      </c>
      <c r="F562" s="29" t="inlineStr">
        <is>
          <t>Empréstimos e Financiamentos</t>
        </is>
      </c>
      <c r="G562" s="29" t="inlineStr">
        <is>
          <t>Pagamento de Principal de Empréstimos</t>
        </is>
      </c>
      <c r="H562" s="29" t="inlineStr">
        <is>
          <t>Diretoria</t>
        </is>
      </c>
      <c r="I562" s="29" t="inlineStr">
        <is>
          <t>Banco Santander</t>
        </is>
      </c>
      <c r="J562" s="29" t="inlineStr">
        <is>
          <t>Financiamento de Veículo — parcela 11/48 (principal)</t>
        </is>
      </c>
      <c r="K562" s="14" t="inlineStr">
        <is>
          <t>VEI-2026-0088-P11</t>
        </is>
      </c>
      <c r="L562" s="29" t="inlineStr">
        <is>
          <t>Itaú Unibanco — C/C 45678-9</t>
        </is>
      </c>
      <c r="M562" s="14" t="inlineStr">
        <is>
          <t>Débito automático</t>
        </is>
      </c>
      <c r="N562" s="29" t="n"/>
      <c r="O562" s="13" t="n">
        <v>11</v>
      </c>
      <c r="P562" s="13" t="n">
        <v>48</v>
      </c>
      <c r="Q562" s="35" t="n">
        <v>1388.68</v>
      </c>
      <c r="R562" s="35" t="n"/>
      <c r="S562" s="35" t="n"/>
      <c r="T562" s="35" t="n"/>
      <c r="U562" s="35" t="n"/>
      <c r="V562" s="18">
        <f>IF(COUNTA($B562:$R562)=0,"",ROUND(N($R562)+N($S562)+N($T562)-N($U562),2))</f>
        <v/>
      </c>
      <c r="W562" s="18">
        <f>IF(COUNTA($B562:$R562)=0,"",IF(OR($X562="Pago",$X562="Recebido",$X562="Cancelado"),0,ROUND(N($Q562)+N($S562)+N($T562)-N($U562)-N($R562),2)))</f>
        <v/>
      </c>
      <c r="X562" s="14" t="inlineStr">
        <is>
          <t>Previsto</t>
        </is>
      </c>
      <c r="Y562" s="17">
        <f>IF(COUNTA($B562:$R562)=0,"",IF($X562="Cancelado","Cancelado",IF(OR($X562="Pago",$X562="Recebido"),$X562,IF(OR($X562="Parcial",N($R562)&gt;0),"Parcial",IF($C562="","Sem vencimento",IF($C562&lt;TODAY(),"Vencido",IF($C562=TODAY(),"Vence hoje",IF($C562&lt;=TODAY()+7,"Vence em 7 dias",IF($C562&lt;=TODAY()+30,"Vence em 30 dias","Futuro")))))))))</f>
        <v/>
      </c>
      <c r="Z562" s="24">
        <f>IF($B562="","",MONTH($B562))</f>
        <v/>
      </c>
      <c r="AA562" s="24">
        <f>IF($B562="","",YEAR($B562))</f>
        <v/>
      </c>
      <c r="AB562" s="24">
        <f>IF($B562="","",ISOWEEKNUM($B562))</f>
        <v/>
      </c>
      <c r="AC562" s="17">
        <f>IF($B562="","",CHOOSE(WEEKDAY($B562,2),"Segunda","Terça","Quarta","Quinta","Sexta","Sábado","Domingo"))</f>
        <v/>
      </c>
      <c r="AD562" s="17">
        <f>IF($B562="","",TEXT($B562,"MM/AAAA"))</f>
        <v/>
      </c>
      <c r="AE562" s="18">
        <f>IF(COUNTA($B562:$R562)=0,"",IF($X562="Cancelado",0,ROUND(N($Q562)+N($S562)+N($T562)-N($U562),2)))</f>
        <v/>
      </c>
      <c r="AF562" s="9">
        <f>IF($G562="","",IFERROR(INDEX(LINHAS_DRE_PLANO,MATCH($G562,SUBCATEGORIAS_PLANO,0)),"Não classificado"))</f>
        <v/>
      </c>
      <c r="AG562" s="17">
        <f>IF($G562="","",IFERROR(INDEX(TIPOS_FLUXO_PLANO,MATCH($G562,SUBCATEGORIAS_PLANO,0)),"Não classificado"))</f>
        <v/>
      </c>
      <c r="AH562" s="9">
        <f>IF($G562="","",IFERROR(INDEX(GRUPOS_PLANO,MATCH($G562,SUBCATEGORIAS_PLANO,0)),"Não classificado"))</f>
        <v/>
      </c>
      <c r="AI562" s="24">
        <f>IF(OR($C562="",$X562="Pago",$X562="Recebido",$X562="Cancelado"),"",$C562-TODAY())</f>
        <v/>
      </c>
      <c r="AJ562" s="24">
        <f>IF(OR($C562="",$X562="Pago",$X562="Recebido",$X562="Cancelado"),0,MAX(0,TODAY()-$C562))</f>
        <v/>
      </c>
      <c r="AK562" s="24">
        <f>IF($D562="","",$D562-$B562)</f>
        <v/>
      </c>
      <c r="AL562" s="18">
        <f>IF(OR($D562="",$B562=""),"",ROUND(N($R562)*($D562-$B562),2))</f>
        <v/>
      </c>
      <c r="AM562" s="17">
        <f>IF(AND($E562="Saída",$W562&gt;0,$C562&lt;&gt;""),$C562+ROW()/1000000,"")</f>
        <v/>
      </c>
      <c r="AN562" s="17">
        <f>IF(AND($E562="Entrada",$W562&gt;0,$C562&lt;&gt;""),$C562+ROW()/1000000,"")</f>
        <v/>
      </c>
      <c r="AO562" s="9">
        <f>IF(COUNTA($B562:$R562)=0,"",IF(AND($I562&lt;&gt;"",COUNTIF(CLIENTES_NOMES,$I562)+COUNTIF(CLIENTES_FANTASIA,$I562)+COUNTIF(FORNECEDORES_NOMES,$I562)+COUNTIF(FORNECEDORES_FANTASIA,$I562)=0),"⚠ Cliente/Fornecedor não cadastrado",IF(AND($G562&lt;&gt;"",COUNTIF(SUBCATEGORIAS_PLANO,$G562)=0),"⚠ Subcategoria fora do plano de contas",IF(OR($Q562="",N($Q562)=0),"⚠ Valor previsto não informado",IF(AND(OR($X562="Pago",$X562="Recebido"),$D562=""),"⚠ Status pago/recebido sem data",IF(AND($D562&lt;&gt;"",N($R562)=0),"⚠ Data de pagamento sem valor realizado",IF(AND(N($P562)&gt;1,N($O562)&gt;N($P562)),"⚠ Nº da parcela maior que o total",IF(AND($C562&lt;&gt;"",$B562&lt;&gt;"",$C562&lt;$B562),"⚠ Vencimento anterior à competência","OK"))))))))</f>
        <v/>
      </c>
    </row>
    <row r="563">
      <c r="A563" s="14" t="inlineStr">
        <is>
          <t>L0558</t>
        </is>
      </c>
      <c r="B563" s="36" t="n">
        <v>46376</v>
      </c>
      <c r="C563" s="36" t="n">
        <v>46376</v>
      </c>
      <c r="D563" s="36" t="n"/>
      <c r="E563" s="14" t="inlineStr">
        <is>
          <t>Saída</t>
        </is>
      </c>
      <c r="F563" s="29" t="inlineStr">
        <is>
          <t>Despesas Financeiras</t>
        </is>
      </c>
      <c r="G563" s="29" t="inlineStr">
        <is>
          <t>Juros de Empréstimos e Financiamentos</t>
        </is>
      </c>
      <c r="H563" s="29" t="inlineStr">
        <is>
          <t>Diretoria</t>
        </is>
      </c>
      <c r="I563" s="29" t="inlineStr">
        <is>
          <t>Banco Santander</t>
        </is>
      </c>
      <c r="J563" s="29" t="inlineStr">
        <is>
          <t>Financiamento de Veículo — parcela 11/48 (juros)</t>
        </is>
      </c>
      <c r="K563" s="14" t="inlineStr">
        <is>
          <t>VEI-2026-0088-P11</t>
        </is>
      </c>
      <c r="L563" s="29" t="inlineStr">
        <is>
          <t>Itaú Unibanco — C/C 45678-9</t>
        </is>
      </c>
      <c r="M563" s="14" t="inlineStr">
        <is>
          <t>Débito automático</t>
        </is>
      </c>
      <c r="N563" s="29" t="n"/>
      <c r="O563" s="13" t="n">
        <v>11</v>
      </c>
      <c r="P563" s="13" t="n">
        <v>48</v>
      </c>
      <c r="Q563" s="35" t="n">
        <v>837.78</v>
      </c>
      <c r="R563" s="35" t="n"/>
      <c r="S563" s="35" t="n"/>
      <c r="T563" s="35" t="n"/>
      <c r="U563" s="35" t="n"/>
      <c r="V563" s="18">
        <f>IF(COUNTA($B563:$R563)=0,"",ROUND(N($R563)+N($S563)+N($T563)-N($U563),2))</f>
        <v/>
      </c>
      <c r="W563" s="18">
        <f>IF(COUNTA($B563:$R563)=0,"",IF(OR($X563="Pago",$X563="Recebido",$X563="Cancelado"),0,ROUND(N($Q563)+N($S563)+N($T563)-N($U563)-N($R563),2)))</f>
        <v/>
      </c>
      <c r="X563" s="14" t="inlineStr">
        <is>
          <t>Previsto</t>
        </is>
      </c>
      <c r="Y563" s="17">
        <f>IF(COUNTA($B563:$R563)=0,"",IF($X563="Cancelado","Cancelado",IF(OR($X563="Pago",$X563="Recebido"),$X563,IF(OR($X563="Parcial",N($R563)&gt;0),"Parcial",IF($C563="","Sem vencimento",IF($C563&lt;TODAY(),"Vencido",IF($C563=TODAY(),"Vence hoje",IF($C563&lt;=TODAY()+7,"Vence em 7 dias",IF($C563&lt;=TODAY()+30,"Vence em 30 dias","Futuro")))))))))</f>
        <v/>
      </c>
      <c r="Z563" s="24">
        <f>IF($B563="","",MONTH($B563))</f>
        <v/>
      </c>
      <c r="AA563" s="24">
        <f>IF($B563="","",YEAR($B563))</f>
        <v/>
      </c>
      <c r="AB563" s="24">
        <f>IF($B563="","",ISOWEEKNUM($B563))</f>
        <v/>
      </c>
      <c r="AC563" s="17">
        <f>IF($B563="","",CHOOSE(WEEKDAY($B563,2),"Segunda","Terça","Quarta","Quinta","Sexta","Sábado","Domingo"))</f>
        <v/>
      </c>
      <c r="AD563" s="17">
        <f>IF($B563="","",TEXT($B563,"MM/AAAA"))</f>
        <v/>
      </c>
      <c r="AE563" s="18">
        <f>IF(COUNTA($B563:$R563)=0,"",IF($X563="Cancelado",0,ROUND(N($Q563)+N($S563)+N($T563)-N($U563),2)))</f>
        <v/>
      </c>
      <c r="AF563" s="9">
        <f>IF($G563="","",IFERROR(INDEX(LINHAS_DRE_PLANO,MATCH($G563,SUBCATEGORIAS_PLANO,0)),"Não classificado"))</f>
        <v/>
      </c>
      <c r="AG563" s="17">
        <f>IF($G563="","",IFERROR(INDEX(TIPOS_FLUXO_PLANO,MATCH($G563,SUBCATEGORIAS_PLANO,0)),"Não classificado"))</f>
        <v/>
      </c>
      <c r="AH563" s="9">
        <f>IF($G563="","",IFERROR(INDEX(GRUPOS_PLANO,MATCH($G563,SUBCATEGORIAS_PLANO,0)),"Não classificado"))</f>
        <v/>
      </c>
      <c r="AI563" s="24">
        <f>IF(OR($C563="",$X563="Pago",$X563="Recebido",$X563="Cancelado"),"",$C563-TODAY())</f>
        <v/>
      </c>
      <c r="AJ563" s="24">
        <f>IF(OR($C563="",$X563="Pago",$X563="Recebido",$X563="Cancelado"),0,MAX(0,TODAY()-$C563))</f>
        <v/>
      </c>
      <c r="AK563" s="24">
        <f>IF($D563="","",$D563-$B563)</f>
        <v/>
      </c>
      <c r="AL563" s="18">
        <f>IF(OR($D563="",$B563=""),"",ROUND(N($R563)*($D563-$B563),2))</f>
        <v/>
      </c>
      <c r="AM563" s="17">
        <f>IF(AND($E563="Saída",$W563&gt;0,$C563&lt;&gt;""),$C563+ROW()/1000000,"")</f>
        <v/>
      </c>
      <c r="AN563" s="17">
        <f>IF(AND($E563="Entrada",$W563&gt;0,$C563&lt;&gt;""),$C563+ROW()/1000000,"")</f>
        <v/>
      </c>
      <c r="AO563" s="9">
        <f>IF(COUNTA($B563:$R563)=0,"",IF(AND($I563&lt;&gt;"",COUNTIF(CLIENTES_NOMES,$I563)+COUNTIF(CLIENTES_FANTASIA,$I563)+COUNTIF(FORNECEDORES_NOMES,$I563)+COUNTIF(FORNECEDORES_FANTASIA,$I563)=0),"⚠ Cliente/Fornecedor não cadastrado",IF(AND($G563&lt;&gt;"",COUNTIF(SUBCATEGORIAS_PLANO,$G563)=0),"⚠ Subcategoria fora do plano de contas",IF(OR($Q563="",N($Q563)=0),"⚠ Valor previsto não informado",IF(AND(OR($X563="Pago",$X563="Recebido"),$D563=""),"⚠ Status pago/recebido sem data",IF(AND($D563&lt;&gt;"",N($R563)=0),"⚠ Data de pagamento sem valor realizado",IF(AND(N($P563)&gt;1,N($O563)&gt;N($P563)),"⚠ Nº da parcela maior que o total",IF(AND($C563&lt;&gt;"",$B563&lt;&gt;"",$C563&lt;$B563),"⚠ Vencimento anterior à competência","OK"))))))))</f>
        <v/>
      </c>
    </row>
    <row r="564">
      <c r="A564" s="14" t="inlineStr">
        <is>
          <t>L0559</t>
        </is>
      </c>
      <c r="B564" s="36" t="n">
        <v>46378</v>
      </c>
      <c r="C564" s="36" t="n">
        <v>46408</v>
      </c>
      <c r="D564" s="36" t="n"/>
      <c r="E564" s="14" t="inlineStr">
        <is>
          <t>Entrada</t>
        </is>
      </c>
      <c r="F564" s="29" t="inlineStr">
        <is>
          <t>Vendas</t>
        </is>
      </c>
      <c r="G564" s="29" t="inlineStr">
        <is>
          <t>Vendas de Serviços</t>
        </is>
      </c>
      <c r="H564" s="29" t="inlineStr">
        <is>
          <t>Comercial</t>
        </is>
      </c>
      <c r="I564" s="29" t="inlineStr">
        <is>
          <t>MERCADO BOA COMPRA LTDA</t>
        </is>
      </c>
      <c r="J564" s="29" t="inlineStr">
        <is>
          <t>Serviços de logística, montagem e reposição</t>
        </is>
      </c>
      <c r="K564" s="14" t="inlineStr">
        <is>
          <t>RPS 3132</t>
        </is>
      </c>
      <c r="L564" s="29" t="inlineStr">
        <is>
          <t>Banco do Brasil — C/C 12345-6</t>
        </is>
      </c>
      <c r="M564" s="14" t="inlineStr">
        <is>
          <t>Boleto</t>
        </is>
      </c>
      <c r="N564" s="29" t="n"/>
      <c r="O564" s="13" t="n">
        <v>1</v>
      </c>
      <c r="P564" s="13" t="n">
        <v>1</v>
      </c>
      <c r="Q564" s="35" t="n">
        <v>13800.88</v>
      </c>
      <c r="R564" s="35" t="n"/>
      <c r="S564" s="35" t="n"/>
      <c r="T564" s="35" t="n"/>
      <c r="U564" s="35" t="n"/>
      <c r="V564" s="18">
        <f>IF(COUNTA($B564:$R564)=0,"",ROUND(N($R564)+N($S564)+N($T564)-N($U564),2))</f>
        <v/>
      </c>
      <c r="W564" s="18">
        <f>IF(COUNTA($B564:$R564)=0,"",IF(OR($X564="Pago",$X564="Recebido",$X564="Cancelado"),0,ROUND(N($Q564)+N($S564)+N($T564)-N($U564)-N($R564),2)))</f>
        <v/>
      </c>
      <c r="X564" s="14" t="inlineStr">
        <is>
          <t>Previsto</t>
        </is>
      </c>
      <c r="Y564" s="17">
        <f>IF(COUNTA($B564:$R564)=0,"",IF($X564="Cancelado","Cancelado",IF(OR($X564="Pago",$X564="Recebido"),$X564,IF(OR($X564="Parcial",N($R564)&gt;0),"Parcial",IF($C564="","Sem vencimento",IF($C564&lt;TODAY(),"Vencido",IF($C564=TODAY(),"Vence hoje",IF($C564&lt;=TODAY()+7,"Vence em 7 dias",IF($C564&lt;=TODAY()+30,"Vence em 30 dias","Futuro")))))))))</f>
        <v/>
      </c>
      <c r="Z564" s="24">
        <f>IF($B564="","",MONTH($B564))</f>
        <v/>
      </c>
      <c r="AA564" s="24">
        <f>IF($B564="","",YEAR($B564))</f>
        <v/>
      </c>
      <c r="AB564" s="24">
        <f>IF($B564="","",ISOWEEKNUM($B564))</f>
        <v/>
      </c>
      <c r="AC564" s="17">
        <f>IF($B564="","",CHOOSE(WEEKDAY($B564,2),"Segunda","Terça","Quarta","Quinta","Sexta","Sábado","Domingo"))</f>
        <v/>
      </c>
      <c r="AD564" s="17">
        <f>IF($B564="","",TEXT($B564,"MM/AAAA"))</f>
        <v/>
      </c>
      <c r="AE564" s="18">
        <f>IF(COUNTA($B564:$R564)=0,"",IF($X564="Cancelado",0,ROUND(N($Q564)+N($S564)+N($T564)-N($U564),2)))</f>
        <v/>
      </c>
      <c r="AF564" s="9">
        <f>IF($G564="","",IFERROR(INDEX(LINHAS_DRE_PLANO,MATCH($G564,SUBCATEGORIAS_PLANO,0)),"Não classificado"))</f>
        <v/>
      </c>
      <c r="AG564" s="17">
        <f>IF($G564="","",IFERROR(INDEX(TIPOS_FLUXO_PLANO,MATCH($G564,SUBCATEGORIAS_PLANO,0)),"Não classificado"))</f>
        <v/>
      </c>
      <c r="AH564" s="9">
        <f>IF($G564="","",IFERROR(INDEX(GRUPOS_PLANO,MATCH($G564,SUBCATEGORIAS_PLANO,0)),"Não classificado"))</f>
        <v/>
      </c>
      <c r="AI564" s="24">
        <f>IF(OR($C564="",$X564="Pago",$X564="Recebido",$X564="Cancelado"),"",$C564-TODAY())</f>
        <v/>
      </c>
      <c r="AJ564" s="24">
        <f>IF(OR($C564="",$X564="Pago",$X564="Recebido",$X564="Cancelado"),0,MAX(0,TODAY()-$C564))</f>
        <v/>
      </c>
      <c r="AK564" s="24">
        <f>IF($D564="","",$D564-$B564)</f>
        <v/>
      </c>
      <c r="AL564" s="18">
        <f>IF(OR($D564="",$B564=""),"",ROUND(N($R564)*($D564-$B564),2))</f>
        <v/>
      </c>
      <c r="AM564" s="17">
        <f>IF(AND($E564="Saída",$W564&gt;0,$C564&lt;&gt;""),$C564+ROW()/1000000,"")</f>
        <v/>
      </c>
      <c r="AN564" s="17">
        <f>IF(AND($E564="Entrada",$W564&gt;0,$C564&lt;&gt;""),$C564+ROW()/1000000,"")</f>
        <v/>
      </c>
      <c r="AO564" s="9">
        <f>IF(COUNTA($B564:$R564)=0,"",IF(AND($I564&lt;&gt;"",COUNTIF(CLIENTES_NOMES,$I564)+COUNTIF(CLIENTES_FANTASIA,$I564)+COUNTIF(FORNECEDORES_NOMES,$I564)+COUNTIF(FORNECEDORES_FANTASIA,$I564)=0),"⚠ Cliente/Fornecedor não cadastrado",IF(AND($G564&lt;&gt;"",COUNTIF(SUBCATEGORIAS_PLANO,$G564)=0),"⚠ Subcategoria fora do plano de contas",IF(OR($Q564="",N($Q564)=0),"⚠ Valor previsto não informado",IF(AND(OR($X564="Pago",$X564="Recebido"),$D564=""),"⚠ Status pago/recebido sem data",IF(AND($D564&lt;&gt;"",N($R564)=0),"⚠ Data de pagamento sem valor realizado",IF(AND(N($P564)&gt;1,N($O564)&gt;N($P564)),"⚠ Nº da parcela maior que o total",IF(AND($C564&lt;&gt;"",$B564&lt;&gt;"",$C564&lt;$B564),"⚠ Vencimento anterior à competência","OK"))))))))</f>
        <v/>
      </c>
    </row>
    <row r="565">
      <c r="A565" s="14" t="inlineStr">
        <is>
          <t>L0560</t>
        </is>
      </c>
      <c r="B565" s="36" t="n">
        <v>46378</v>
      </c>
      <c r="C565" s="36" t="n">
        <v>46393</v>
      </c>
      <c r="D565" s="36" t="n"/>
      <c r="E565" s="14" t="inlineStr">
        <is>
          <t>Entrada</t>
        </is>
      </c>
      <c r="F565" s="29" t="inlineStr">
        <is>
          <t>Vendas</t>
        </is>
      </c>
      <c r="G565" s="29" t="inlineStr">
        <is>
          <t>Vendas de Serviços</t>
        </is>
      </c>
      <c r="H565" s="29" t="inlineStr">
        <is>
          <t>Comercial</t>
        </is>
      </c>
      <c r="I565" s="29" t="inlineStr">
        <is>
          <t>RESTAURANTE SABOR CASEIRO LTDA</t>
        </is>
      </c>
      <c r="J565" s="29" t="inlineStr">
        <is>
          <t>Serviços de logística, montagem e reposição</t>
        </is>
      </c>
      <c r="K565" s="14" t="inlineStr">
        <is>
          <t>RPS 3136</t>
        </is>
      </c>
      <c r="L565" s="29" t="inlineStr">
        <is>
          <t>Itaú Unibanco — C/C 45678-9</t>
        </is>
      </c>
      <c r="M565" s="14" t="inlineStr">
        <is>
          <t>Boleto</t>
        </is>
      </c>
      <c r="N565" s="29" t="n"/>
      <c r="O565" s="13" t="n">
        <v>1</v>
      </c>
      <c r="P565" s="13" t="n">
        <v>1</v>
      </c>
      <c r="Q565" s="35" t="n">
        <v>8753.559999999999</v>
      </c>
      <c r="R565" s="35" t="n"/>
      <c r="S565" s="35" t="n"/>
      <c r="T565" s="35" t="n"/>
      <c r="U565" s="35" t="n"/>
      <c r="V565" s="18">
        <f>IF(COUNTA($B565:$R565)=0,"",ROUND(N($R565)+N($S565)+N($T565)-N($U565),2))</f>
        <v/>
      </c>
      <c r="W565" s="18">
        <f>IF(COUNTA($B565:$R565)=0,"",IF(OR($X565="Pago",$X565="Recebido",$X565="Cancelado"),0,ROUND(N($Q565)+N($S565)+N($T565)-N($U565)-N($R565),2)))</f>
        <v/>
      </c>
      <c r="X565" s="14" t="inlineStr">
        <is>
          <t>Previsto</t>
        </is>
      </c>
      <c r="Y565" s="17">
        <f>IF(COUNTA($B565:$R565)=0,"",IF($X565="Cancelado","Cancelado",IF(OR($X565="Pago",$X565="Recebido"),$X565,IF(OR($X565="Parcial",N($R565)&gt;0),"Parcial",IF($C565="","Sem vencimento",IF($C565&lt;TODAY(),"Vencido",IF($C565=TODAY(),"Vence hoje",IF($C565&lt;=TODAY()+7,"Vence em 7 dias",IF($C565&lt;=TODAY()+30,"Vence em 30 dias","Futuro")))))))))</f>
        <v/>
      </c>
      <c r="Z565" s="24">
        <f>IF($B565="","",MONTH($B565))</f>
        <v/>
      </c>
      <c r="AA565" s="24">
        <f>IF($B565="","",YEAR($B565))</f>
        <v/>
      </c>
      <c r="AB565" s="24">
        <f>IF($B565="","",ISOWEEKNUM($B565))</f>
        <v/>
      </c>
      <c r="AC565" s="17">
        <f>IF($B565="","",CHOOSE(WEEKDAY($B565,2),"Segunda","Terça","Quarta","Quinta","Sexta","Sábado","Domingo"))</f>
        <v/>
      </c>
      <c r="AD565" s="17">
        <f>IF($B565="","",TEXT($B565,"MM/AAAA"))</f>
        <v/>
      </c>
      <c r="AE565" s="18">
        <f>IF(COUNTA($B565:$R565)=0,"",IF($X565="Cancelado",0,ROUND(N($Q565)+N($S565)+N($T565)-N($U565),2)))</f>
        <v/>
      </c>
      <c r="AF565" s="9">
        <f>IF($G565="","",IFERROR(INDEX(LINHAS_DRE_PLANO,MATCH($G565,SUBCATEGORIAS_PLANO,0)),"Não classificado"))</f>
        <v/>
      </c>
      <c r="AG565" s="17">
        <f>IF($G565="","",IFERROR(INDEX(TIPOS_FLUXO_PLANO,MATCH($G565,SUBCATEGORIAS_PLANO,0)),"Não classificado"))</f>
        <v/>
      </c>
      <c r="AH565" s="9">
        <f>IF($G565="","",IFERROR(INDEX(GRUPOS_PLANO,MATCH($G565,SUBCATEGORIAS_PLANO,0)),"Não classificado"))</f>
        <v/>
      </c>
      <c r="AI565" s="24">
        <f>IF(OR($C565="",$X565="Pago",$X565="Recebido",$X565="Cancelado"),"",$C565-TODAY())</f>
        <v/>
      </c>
      <c r="AJ565" s="24">
        <f>IF(OR($C565="",$X565="Pago",$X565="Recebido",$X565="Cancelado"),0,MAX(0,TODAY()-$C565))</f>
        <v/>
      </c>
      <c r="AK565" s="24">
        <f>IF($D565="","",$D565-$B565)</f>
        <v/>
      </c>
      <c r="AL565" s="18">
        <f>IF(OR($D565="",$B565=""),"",ROUND(N($R565)*($D565-$B565),2))</f>
        <v/>
      </c>
      <c r="AM565" s="17">
        <f>IF(AND($E565="Saída",$W565&gt;0,$C565&lt;&gt;""),$C565+ROW()/1000000,"")</f>
        <v/>
      </c>
      <c r="AN565" s="17">
        <f>IF(AND($E565="Entrada",$W565&gt;0,$C565&lt;&gt;""),$C565+ROW()/1000000,"")</f>
        <v/>
      </c>
      <c r="AO565" s="9">
        <f>IF(COUNTA($B565:$R565)=0,"",IF(AND($I565&lt;&gt;"",COUNTIF(CLIENTES_NOMES,$I565)+COUNTIF(CLIENTES_FANTASIA,$I565)+COUNTIF(FORNECEDORES_NOMES,$I565)+COUNTIF(FORNECEDORES_FANTASIA,$I565)=0),"⚠ Cliente/Fornecedor não cadastrado",IF(AND($G565&lt;&gt;"",COUNTIF(SUBCATEGORIAS_PLANO,$G565)=0),"⚠ Subcategoria fora do plano de contas",IF(OR($Q565="",N($Q565)=0),"⚠ Valor previsto não informado",IF(AND(OR($X565="Pago",$X565="Recebido"),$D565=""),"⚠ Status pago/recebido sem data",IF(AND($D565&lt;&gt;"",N($R565)=0),"⚠ Data de pagamento sem valor realizado",IF(AND(N($P565)&gt;1,N($O565)&gt;N($P565)),"⚠ Nº da parcela maior que o total",IF(AND($C565&lt;&gt;"",$B565&lt;&gt;"",$C565&lt;$B565),"⚠ Vencimento anterior à competência","OK"))))))))</f>
        <v/>
      </c>
    </row>
    <row r="566">
      <c r="A566" s="14" t="inlineStr">
        <is>
          <t>L0561</t>
        </is>
      </c>
      <c r="B566" s="36" t="n">
        <v>46378</v>
      </c>
      <c r="C566" s="36" t="n">
        <v>46399</v>
      </c>
      <c r="D566" s="36" t="n"/>
      <c r="E566" s="14" t="inlineStr">
        <is>
          <t>Entrada</t>
        </is>
      </c>
      <c r="F566" s="29" t="inlineStr">
        <is>
          <t>Vendas</t>
        </is>
      </c>
      <c r="G566" s="29" t="inlineStr">
        <is>
          <t>Vendas de Serviços</t>
        </is>
      </c>
      <c r="H566" s="29" t="inlineStr">
        <is>
          <t>Comercial</t>
        </is>
      </c>
      <c r="I566" s="29" t="inlineStr">
        <is>
          <t>EMPÓRIO NATURAL COMÉRCIO LTDA</t>
        </is>
      </c>
      <c r="J566" s="29" t="inlineStr">
        <is>
          <t>Serviços de logística, montagem e reposição</t>
        </is>
      </c>
      <c r="K566" s="14" t="inlineStr">
        <is>
          <t>RPS 3140</t>
        </is>
      </c>
      <c r="L566" s="29" t="inlineStr">
        <is>
          <t>Itaú Unibanco — C/C 45678-9</t>
        </is>
      </c>
      <c r="M566" s="14" t="inlineStr">
        <is>
          <t>Boleto</t>
        </is>
      </c>
      <c r="N566" s="29" t="n"/>
      <c r="O566" s="13" t="n">
        <v>1</v>
      </c>
      <c r="P566" s="13" t="n">
        <v>1</v>
      </c>
      <c r="Q566" s="35" t="n">
        <v>17336.23</v>
      </c>
      <c r="R566" s="35" t="n"/>
      <c r="S566" s="35" t="n"/>
      <c r="T566" s="35" t="n"/>
      <c r="U566" s="35" t="n"/>
      <c r="V566" s="18">
        <f>IF(COUNTA($B566:$R566)=0,"",ROUND(N($R566)+N($S566)+N($T566)-N($U566),2))</f>
        <v/>
      </c>
      <c r="W566" s="18">
        <f>IF(COUNTA($B566:$R566)=0,"",IF(OR($X566="Pago",$X566="Recebido",$X566="Cancelado"),0,ROUND(N($Q566)+N($S566)+N($T566)-N($U566)-N($R566),2)))</f>
        <v/>
      </c>
      <c r="X566" s="14" t="inlineStr">
        <is>
          <t>Previsto</t>
        </is>
      </c>
      <c r="Y566" s="17">
        <f>IF(COUNTA($B566:$R566)=0,"",IF($X566="Cancelado","Cancelado",IF(OR($X566="Pago",$X566="Recebido"),$X566,IF(OR($X566="Parcial",N($R566)&gt;0),"Parcial",IF($C566="","Sem vencimento",IF($C566&lt;TODAY(),"Vencido",IF($C566=TODAY(),"Vence hoje",IF($C566&lt;=TODAY()+7,"Vence em 7 dias",IF($C566&lt;=TODAY()+30,"Vence em 30 dias","Futuro")))))))))</f>
        <v/>
      </c>
      <c r="Z566" s="24">
        <f>IF($B566="","",MONTH($B566))</f>
        <v/>
      </c>
      <c r="AA566" s="24">
        <f>IF($B566="","",YEAR($B566))</f>
        <v/>
      </c>
      <c r="AB566" s="24">
        <f>IF($B566="","",ISOWEEKNUM($B566))</f>
        <v/>
      </c>
      <c r="AC566" s="17">
        <f>IF($B566="","",CHOOSE(WEEKDAY($B566,2),"Segunda","Terça","Quarta","Quinta","Sexta","Sábado","Domingo"))</f>
        <v/>
      </c>
      <c r="AD566" s="17">
        <f>IF($B566="","",TEXT($B566,"MM/AAAA"))</f>
        <v/>
      </c>
      <c r="AE566" s="18">
        <f>IF(COUNTA($B566:$R566)=0,"",IF($X566="Cancelado",0,ROUND(N($Q566)+N($S566)+N($T566)-N($U566),2)))</f>
        <v/>
      </c>
      <c r="AF566" s="9">
        <f>IF($G566="","",IFERROR(INDEX(LINHAS_DRE_PLANO,MATCH($G566,SUBCATEGORIAS_PLANO,0)),"Não classificado"))</f>
        <v/>
      </c>
      <c r="AG566" s="17">
        <f>IF($G566="","",IFERROR(INDEX(TIPOS_FLUXO_PLANO,MATCH($G566,SUBCATEGORIAS_PLANO,0)),"Não classificado"))</f>
        <v/>
      </c>
      <c r="AH566" s="9">
        <f>IF($G566="","",IFERROR(INDEX(GRUPOS_PLANO,MATCH($G566,SUBCATEGORIAS_PLANO,0)),"Não classificado"))</f>
        <v/>
      </c>
      <c r="AI566" s="24">
        <f>IF(OR($C566="",$X566="Pago",$X566="Recebido",$X566="Cancelado"),"",$C566-TODAY())</f>
        <v/>
      </c>
      <c r="AJ566" s="24">
        <f>IF(OR($C566="",$X566="Pago",$X566="Recebido",$X566="Cancelado"),0,MAX(0,TODAY()-$C566))</f>
        <v/>
      </c>
      <c r="AK566" s="24">
        <f>IF($D566="","",$D566-$B566)</f>
        <v/>
      </c>
      <c r="AL566" s="18">
        <f>IF(OR($D566="",$B566=""),"",ROUND(N($R566)*($D566-$B566),2))</f>
        <v/>
      </c>
      <c r="AM566" s="17">
        <f>IF(AND($E566="Saída",$W566&gt;0,$C566&lt;&gt;""),$C566+ROW()/1000000,"")</f>
        <v/>
      </c>
      <c r="AN566" s="17">
        <f>IF(AND($E566="Entrada",$W566&gt;0,$C566&lt;&gt;""),$C566+ROW()/1000000,"")</f>
        <v/>
      </c>
      <c r="AO566" s="9">
        <f>IF(COUNTA($B566:$R566)=0,"",IF(AND($I566&lt;&gt;"",COUNTIF(CLIENTES_NOMES,$I566)+COUNTIF(CLIENTES_FANTASIA,$I566)+COUNTIF(FORNECEDORES_NOMES,$I566)+COUNTIF(FORNECEDORES_FANTASIA,$I566)=0),"⚠ Cliente/Fornecedor não cadastrado",IF(AND($G566&lt;&gt;"",COUNTIF(SUBCATEGORIAS_PLANO,$G566)=0),"⚠ Subcategoria fora do plano de contas",IF(OR($Q566="",N($Q566)=0),"⚠ Valor previsto não informado",IF(AND(OR($X566="Pago",$X566="Recebido"),$D566=""),"⚠ Status pago/recebido sem data",IF(AND($D566&lt;&gt;"",N($R566)=0),"⚠ Data de pagamento sem valor realizado",IF(AND(N($P566)&gt;1,N($O566)&gt;N($P566)),"⚠ Nº da parcela maior que o total",IF(AND($C566&lt;&gt;"",$B566&lt;&gt;"",$C566&lt;$B566),"⚠ Vencimento anterior à competência","OK"))))))))</f>
        <v/>
      </c>
    </row>
    <row r="567">
      <c r="A567" s="14" t="inlineStr">
        <is>
          <t>L0562</t>
        </is>
      </c>
      <c r="B567" s="36" t="n">
        <v>46378</v>
      </c>
      <c r="C567" s="36" t="n">
        <v>46388</v>
      </c>
      <c r="D567" s="36" t="n"/>
      <c r="E567" s="14" t="inlineStr">
        <is>
          <t>Saída</t>
        </is>
      </c>
      <c r="F567" s="29" t="inlineStr">
        <is>
          <t>Despesas Administrativas</t>
        </is>
      </c>
      <c r="G567" s="29" t="inlineStr">
        <is>
          <t>Manutenção e Conservação</t>
        </is>
      </c>
      <c r="H567" s="29" t="inlineStr">
        <is>
          <t>Administrativo</t>
        </is>
      </c>
      <c r="I567" s="29" t="inlineStr">
        <is>
          <t>MANUTENÇÃO PREDIAL EXPRESSA LTDA</t>
        </is>
      </c>
      <c r="J567" s="29" t="inlineStr">
        <is>
          <t>Manutenção predial, empilhadeira e frota</t>
        </is>
      </c>
      <c r="K567" s="14" t="inlineStr">
        <is>
          <t>DOC 8459</t>
        </is>
      </c>
      <c r="L567" s="29" t="inlineStr">
        <is>
          <t>Banco do Brasil — C/C 12345-6</t>
        </is>
      </c>
      <c r="M567" s="14" t="inlineStr">
        <is>
          <t>PIX</t>
        </is>
      </c>
      <c r="N567" s="29" t="n"/>
      <c r="O567" s="13" t="n">
        <v>1</v>
      </c>
      <c r="P567" s="13" t="n">
        <v>1</v>
      </c>
      <c r="Q567" s="35" t="n">
        <v>852.87</v>
      </c>
      <c r="R567" s="35" t="n"/>
      <c r="S567" s="35" t="n"/>
      <c r="T567" s="35" t="n"/>
      <c r="U567" s="35" t="n"/>
      <c r="V567" s="18">
        <f>IF(COUNTA($B567:$R567)=0,"",ROUND(N($R567)+N($S567)+N($T567)-N($U567),2))</f>
        <v/>
      </c>
      <c r="W567" s="18">
        <f>IF(COUNTA($B567:$R567)=0,"",IF(OR($X567="Pago",$X567="Recebido",$X567="Cancelado"),0,ROUND(N($Q567)+N($S567)+N($T567)-N($U567)-N($R567),2)))</f>
        <v/>
      </c>
      <c r="X567" s="14" t="inlineStr">
        <is>
          <t>Previsto</t>
        </is>
      </c>
      <c r="Y567" s="17">
        <f>IF(COUNTA($B567:$R567)=0,"",IF($X567="Cancelado","Cancelado",IF(OR($X567="Pago",$X567="Recebido"),$X567,IF(OR($X567="Parcial",N($R567)&gt;0),"Parcial",IF($C567="","Sem vencimento",IF($C567&lt;TODAY(),"Vencido",IF($C567=TODAY(),"Vence hoje",IF($C567&lt;=TODAY()+7,"Vence em 7 dias",IF($C567&lt;=TODAY()+30,"Vence em 30 dias","Futuro")))))))))</f>
        <v/>
      </c>
      <c r="Z567" s="24">
        <f>IF($B567="","",MONTH($B567))</f>
        <v/>
      </c>
      <c r="AA567" s="24">
        <f>IF($B567="","",YEAR($B567))</f>
        <v/>
      </c>
      <c r="AB567" s="24">
        <f>IF($B567="","",ISOWEEKNUM($B567))</f>
        <v/>
      </c>
      <c r="AC567" s="17">
        <f>IF($B567="","",CHOOSE(WEEKDAY($B567,2),"Segunda","Terça","Quarta","Quinta","Sexta","Sábado","Domingo"))</f>
        <v/>
      </c>
      <c r="AD567" s="17">
        <f>IF($B567="","",TEXT($B567,"MM/AAAA"))</f>
        <v/>
      </c>
      <c r="AE567" s="18">
        <f>IF(COUNTA($B567:$R567)=0,"",IF($X567="Cancelado",0,ROUND(N($Q567)+N($S567)+N($T567)-N($U567),2)))</f>
        <v/>
      </c>
      <c r="AF567" s="9">
        <f>IF($G567="","",IFERROR(INDEX(LINHAS_DRE_PLANO,MATCH($G567,SUBCATEGORIAS_PLANO,0)),"Não classificado"))</f>
        <v/>
      </c>
      <c r="AG567" s="17">
        <f>IF($G567="","",IFERROR(INDEX(TIPOS_FLUXO_PLANO,MATCH($G567,SUBCATEGORIAS_PLANO,0)),"Não classificado"))</f>
        <v/>
      </c>
      <c r="AH567" s="9">
        <f>IF($G567="","",IFERROR(INDEX(GRUPOS_PLANO,MATCH($G567,SUBCATEGORIAS_PLANO,0)),"Não classificado"))</f>
        <v/>
      </c>
      <c r="AI567" s="24">
        <f>IF(OR($C567="",$X567="Pago",$X567="Recebido",$X567="Cancelado"),"",$C567-TODAY())</f>
        <v/>
      </c>
      <c r="AJ567" s="24">
        <f>IF(OR($C567="",$X567="Pago",$X567="Recebido",$X567="Cancelado"),0,MAX(0,TODAY()-$C567))</f>
        <v/>
      </c>
      <c r="AK567" s="24">
        <f>IF($D567="","",$D567-$B567)</f>
        <v/>
      </c>
      <c r="AL567" s="18">
        <f>IF(OR($D567="",$B567=""),"",ROUND(N($R567)*($D567-$B567),2))</f>
        <v/>
      </c>
      <c r="AM567" s="17">
        <f>IF(AND($E567="Saída",$W567&gt;0,$C567&lt;&gt;""),$C567+ROW()/1000000,"")</f>
        <v/>
      </c>
      <c r="AN567" s="17">
        <f>IF(AND($E567="Entrada",$W567&gt;0,$C567&lt;&gt;""),$C567+ROW()/1000000,"")</f>
        <v/>
      </c>
      <c r="AO567" s="9">
        <f>IF(COUNTA($B567:$R567)=0,"",IF(AND($I567&lt;&gt;"",COUNTIF(CLIENTES_NOMES,$I567)+COUNTIF(CLIENTES_FANTASIA,$I567)+COUNTIF(FORNECEDORES_NOMES,$I567)+COUNTIF(FORNECEDORES_FANTASIA,$I567)=0),"⚠ Cliente/Fornecedor não cadastrado",IF(AND($G567&lt;&gt;"",COUNTIF(SUBCATEGORIAS_PLANO,$G567)=0),"⚠ Subcategoria fora do plano de contas",IF(OR($Q567="",N($Q567)=0),"⚠ Valor previsto não informado",IF(AND(OR($X567="Pago",$X567="Recebido"),$D567=""),"⚠ Status pago/recebido sem data",IF(AND($D567&lt;&gt;"",N($R567)=0),"⚠ Data de pagamento sem valor realizado",IF(AND(N($P567)&gt;1,N($O567)&gt;N($P567)),"⚠ Nº da parcela maior que o total",IF(AND($C567&lt;&gt;"",$B567&lt;&gt;"",$C567&lt;$B567),"⚠ Vencimento anterior à competência","OK"))))))))</f>
        <v/>
      </c>
    </row>
    <row r="568">
      <c r="A568" s="14" t="inlineStr">
        <is>
          <t>L0563</t>
        </is>
      </c>
      <c r="B568" s="36" t="n">
        <v>46380</v>
      </c>
      <c r="C568" s="36" t="n">
        <v>46392</v>
      </c>
      <c r="D568" s="36" t="n"/>
      <c r="E568" s="14" t="inlineStr">
        <is>
          <t>Saída</t>
        </is>
      </c>
      <c r="F568" s="29" t="inlineStr">
        <is>
          <t>Despesas Comerciais</t>
        </is>
      </c>
      <c r="G568" s="29" t="inlineStr">
        <is>
          <t>Viagens Comerciais</t>
        </is>
      </c>
      <c r="H568" s="29" t="inlineStr">
        <is>
          <t>Comercial</t>
        </is>
      </c>
      <c r="I568" s="29" t="inlineStr">
        <is>
          <t>AGÊNCIA PULSO DIGITAL LTDA</t>
        </is>
      </c>
      <c r="J568" s="29" t="inlineStr">
        <is>
          <t>Viagens comerciais e visitas a clientes</t>
        </is>
      </c>
      <c r="K568" s="14" t="inlineStr">
        <is>
          <t>DOC 8462</t>
        </is>
      </c>
      <c r="L568" s="29" t="inlineStr">
        <is>
          <t>Itaú Unibanco — C/C 45678-9</t>
        </is>
      </c>
      <c r="M568" s="14" t="inlineStr">
        <is>
          <t>Cartão de crédito</t>
        </is>
      </c>
      <c r="N568" s="29" t="inlineStr">
        <is>
          <t>Cartão Visa Itaú Business</t>
        </is>
      </c>
      <c r="O568" s="13" t="n">
        <v>1</v>
      </c>
      <c r="P568" s="13" t="n">
        <v>1</v>
      </c>
      <c r="Q568" s="35" t="n">
        <v>1496.67</v>
      </c>
      <c r="R568" s="35" t="n"/>
      <c r="S568" s="35" t="n"/>
      <c r="T568" s="35" t="n"/>
      <c r="U568" s="35" t="n"/>
      <c r="V568" s="18">
        <f>IF(COUNTA($B568:$R568)=0,"",ROUND(N($R568)+N($S568)+N($T568)-N($U568),2))</f>
        <v/>
      </c>
      <c r="W568" s="18">
        <f>IF(COUNTA($B568:$R568)=0,"",IF(OR($X568="Pago",$X568="Recebido",$X568="Cancelado"),0,ROUND(N($Q568)+N($S568)+N($T568)-N($U568)-N($R568),2)))</f>
        <v/>
      </c>
      <c r="X568" s="14" t="inlineStr">
        <is>
          <t>Previsto</t>
        </is>
      </c>
      <c r="Y568" s="17">
        <f>IF(COUNTA($B568:$R568)=0,"",IF($X568="Cancelado","Cancelado",IF(OR($X568="Pago",$X568="Recebido"),$X568,IF(OR($X568="Parcial",N($R568)&gt;0),"Parcial",IF($C568="","Sem vencimento",IF($C568&lt;TODAY(),"Vencido",IF($C568=TODAY(),"Vence hoje",IF($C568&lt;=TODAY()+7,"Vence em 7 dias",IF($C568&lt;=TODAY()+30,"Vence em 30 dias","Futuro")))))))))</f>
        <v/>
      </c>
      <c r="Z568" s="24">
        <f>IF($B568="","",MONTH($B568))</f>
        <v/>
      </c>
      <c r="AA568" s="24">
        <f>IF($B568="","",YEAR($B568))</f>
        <v/>
      </c>
      <c r="AB568" s="24">
        <f>IF($B568="","",ISOWEEKNUM($B568))</f>
        <v/>
      </c>
      <c r="AC568" s="17">
        <f>IF($B568="","",CHOOSE(WEEKDAY($B568,2),"Segunda","Terça","Quarta","Quinta","Sexta","Sábado","Domingo"))</f>
        <v/>
      </c>
      <c r="AD568" s="17">
        <f>IF($B568="","",TEXT($B568,"MM/AAAA"))</f>
        <v/>
      </c>
      <c r="AE568" s="18">
        <f>IF(COUNTA($B568:$R568)=0,"",IF($X568="Cancelado",0,ROUND(N($Q568)+N($S568)+N($T568)-N($U568),2)))</f>
        <v/>
      </c>
      <c r="AF568" s="9">
        <f>IF($G568="","",IFERROR(INDEX(LINHAS_DRE_PLANO,MATCH($G568,SUBCATEGORIAS_PLANO,0)),"Não classificado"))</f>
        <v/>
      </c>
      <c r="AG568" s="17">
        <f>IF($G568="","",IFERROR(INDEX(TIPOS_FLUXO_PLANO,MATCH($G568,SUBCATEGORIAS_PLANO,0)),"Não classificado"))</f>
        <v/>
      </c>
      <c r="AH568" s="9">
        <f>IF($G568="","",IFERROR(INDEX(GRUPOS_PLANO,MATCH($G568,SUBCATEGORIAS_PLANO,0)),"Não classificado"))</f>
        <v/>
      </c>
      <c r="AI568" s="24">
        <f>IF(OR($C568="",$X568="Pago",$X568="Recebido",$X568="Cancelado"),"",$C568-TODAY())</f>
        <v/>
      </c>
      <c r="AJ568" s="24">
        <f>IF(OR($C568="",$X568="Pago",$X568="Recebido",$X568="Cancelado"),0,MAX(0,TODAY()-$C568))</f>
        <v/>
      </c>
      <c r="AK568" s="24">
        <f>IF($D568="","",$D568-$B568)</f>
        <v/>
      </c>
      <c r="AL568" s="18">
        <f>IF(OR($D568="",$B568=""),"",ROUND(N($R568)*($D568-$B568),2))</f>
        <v/>
      </c>
      <c r="AM568" s="17">
        <f>IF(AND($E568="Saída",$W568&gt;0,$C568&lt;&gt;""),$C568+ROW()/1000000,"")</f>
        <v/>
      </c>
      <c r="AN568" s="17">
        <f>IF(AND($E568="Entrada",$W568&gt;0,$C568&lt;&gt;""),$C568+ROW()/1000000,"")</f>
        <v/>
      </c>
      <c r="AO568" s="9">
        <f>IF(COUNTA($B568:$R568)=0,"",IF(AND($I568&lt;&gt;"",COUNTIF(CLIENTES_NOMES,$I568)+COUNTIF(CLIENTES_FANTASIA,$I568)+COUNTIF(FORNECEDORES_NOMES,$I568)+COUNTIF(FORNECEDORES_FANTASIA,$I568)=0),"⚠ Cliente/Fornecedor não cadastrado",IF(AND($G568&lt;&gt;"",COUNTIF(SUBCATEGORIAS_PLANO,$G568)=0),"⚠ Subcategoria fora do plano de contas",IF(OR($Q568="",N($Q568)=0),"⚠ Valor previsto não informado",IF(AND(OR($X568="Pago",$X568="Recebido"),$D568=""),"⚠ Status pago/recebido sem data",IF(AND($D568&lt;&gt;"",N($R568)=0),"⚠ Data de pagamento sem valor realizado",IF(AND(N($P568)&gt;1,N($O568)&gt;N($P568)),"⚠ Nº da parcela maior que o total",IF(AND($C568&lt;&gt;"",$B568&lt;&gt;"",$C568&lt;$B568),"⚠ Vencimento anterior à competência","OK"))))))))</f>
        <v/>
      </c>
    </row>
    <row r="569">
      <c r="A569" s="14" t="inlineStr">
        <is>
          <t>L0564</t>
        </is>
      </c>
      <c r="B569" s="36" t="n">
        <v>46381</v>
      </c>
      <c r="C569" s="36" t="n">
        <v>46396</v>
      </c>
      <c r="D569" s="36" t="n"/>
      <c r="E569" s="14" t="inlineStr">
        <is>
          <t>Saída</t>
        </is>
      </c>
      <c r="F569" s="29" t="inlineStr">
        <is>
          <t>Custos Variáveis</t>
        </is>
      </c>
      <c r="G569" s="29" t="inlineStr">
        <is>
          <t>Fretes e Entregas sobre Vendas</t>
        </is>
      </c>
      <c r="H569" s="29" t="inlineStr">
        <is>
          <t>Logística</t>
        </is>
      </c>
      <c r="I569" s="29" t="inlineStr">
        <is>
          <t>TRANSPORTADORA RÁPIDA LOG LTDA</t>
        </is>
      </c>
      <c r="J569" s="29" t="inlineStr">
        <is>
          <t>Fretes de entrega — notas do período</t>
        </is>
      </c>
      <c r="K569" s="14" t="inlineStr">
        <is>
          <t>DOC 7260</t>
        </is>
      </c>
      <c r="L569" s="29" t="inlineStr">
        <is>
          <t>Banco do Brasil — C/C 12345-6</t>
        </is>
      </c>
      <c r="M569" s="14" t="inlineStr">
        <is>
          <t>Boleto</t>
        </is>
      </c>
      <c r="N569" s="29" t="n"/>
      <c r="O569" s="13" t="n">
        <v>1</v>
      </c>
      <c r="P569" s="13" t="n">
        <v>1</v>
      </c>
      <c r="Q569" s="35" t="n">
        <v>4997.1</v>
      </c>
      <c r="R569" s="35" t="n"/>
      <c r="S569" s="35" t="n"/>
      <c r="T569" s="35" t="n"/>
      <c r="U569" s="35" t="n"/>
      <c r="V569" s="18">
        <f>IF(COUNTA($B569:$R569)=0,"",ROUND(N($R569)+N($S569)+N($T569)-N($U569),2))</f>
        <v/>
      </c>
      <c r="W569" s="18">
        <f>IF(COUNTA($B569:$R569)=0,"",IF(OR($X569="Pago",$X569="Recebido",$X569="Cancelado"),0,ROUND(N($Q569)+N($S569)+N($T569)-N($U569)-N($R569),2)))</f>
        <v/>
      </c>
      <c r="X569" s="14" t="inlineStr">
        <is>
          <t>Previsto</t>
        </is>
      </c>
      <c r="Y569" s="17">
        <f>IF(COUNTA($B569:$R569)=0,"",IF($X569="Cancelado","Cancelado",IF(OR($X569="Pago",$X569="Recebido"),$X569,IF(OR($X569="Parcial",N($R569)&gt;0),"Parcial",IF($C569="","Sem vencimento",IF($C569&lt;TODAY(),"Vencido",IF($C569=TODAY(),"Vence hoje",IF($C569&lt;=TODAY()+7,"Vence em 7 dias",IF($C569&lt;=TODAY()+30,"Vence em 30 dias","Futuro")))))))))</f>
        <v/>
      </c>
      <c r="Z569" s="24">
        <f>IF($B569="","",MONTH($B569))</f>
        <v/>
      </c>
      <c r="AA569" s="24">
        <f>IF($B569="","",YEAR($B569))</f>
        <v/>
      </c>
      <c r="AB569" s="24">
        <f>IF($B569="","",ISOWEEKNUM($B569))</f>
        <v/>
      </c>
      <c r="AC569" s="17">
        <f>IF($B569="","",CHOOSE(WEEKDAY($B569,2),"Segunda","Terça","Quarta","Quinta","Sexta","Sábado","Domingo"))</f>
        <v/>
      </c>
      <c r="AD569" s="17">
        <f>IF($B569="","",TEXT($B569,"MM/AAAA"))</f>
        <v/>
      </c>
      <c r="AE569" s="18">
        <f>IF(COUNTA($B569:$R569)=0,"",IF($X569="Cancelado",0,ROUND(N($Q569)+N($S569)+N($T569)-N($U569),2)))</f>
        <v/>
      </c>
      <c r="AF569" s="9">
        <f>IF($G569="","",IFERROR(INDEX(LINHAS_DRE_PLANO,MATCH($G569,SUBCATEGORIAS_PLANO,0)),"Não classificado"))</f>
        <v/>
      </c>
      <c r="AG569" s="17">
        <f>IF($G569="","",IFERROR(INDEX(TIPOS_FLUXO_PLANO,MATCH($G569,SUBCATEGORIAS_PLANO,0)),"Não classificado"))</f>
        <v/>
      </c>
      <c r="AH569" s="9">
        <f>IF($G569="","",IFERROR(INDEX(GRUPOS_PLANO,MATCH($G569,SUBCATEGORIAS_PLANO,0)),"Não classificado"))</f>
        <v/>
      </c>
      <c r="AI569" s="24">
        <f>IF(OR($C569="",$X569="Pago",$X569="Recebido",$X569="Cancelado"),"",$C569-TODAY())</f>
        <v/>
      </c>
      <c r="AJ569" s="24">
        <f>IF(OR($C569="",$X569="Pago",$X569="Recebido",$X569="Cancelado"),0,MAX(0,TODAY()-$C569))</f>
        <v/>
      </c>
      <c r="AK569" s="24">
        <f>IF($D569="","",$D569-$B569)</f>
        <v/>
      </c>
      <c r="AL569" s="18">
        <f>IF(OR($D569="",$B569=""),"",ROUND(N($R569)*($D569-$B569),2))</f>
        <v/>
      </c>
      <c r="AM569" s="17">
        <f>IF(AND($E569="Saída",$W569&gt;0,$C569&lt;&gt;""),$C569+ROW()/1000000,"")</f>
        <v/>
      </c>
      <c r="AN569" s="17">
        <f>IF(AND($E569="Entrada",$W569&gt;0,$C569&lt;&gt;""),$C569+ROW()/1000000,"")</f>
        <v/>
      </c>
      <c r="AO569" s="9">
        <f>IF(COUNTA($B569:$R569)=0,"",IF(AND($I569&lt;&gt;"",COUNTIF(CLIENTES_NOMES,$I569)+COUNTIF(CLIENTES_FANTASIA,$I569)+COUNTIF(FORNECEDORES_NOMES,$I569)+COUNTIF(FORNECEDORES_FANTASIA,$I569)=0),"⚠ Cliente/Fornecedor não cadastrado",IF(AND($G569&lt;&gt;"",COUNTIF(SUBCATEGORIAS_PLANO,$G569)=0),"⚠ Subcategoria fora do plano de contas",IF(OR($Q569="",N($Q569)=0),"⚠ Valor previsto não informado",IF(AND(OR($X569="Pago",$X569="Recebido"),$D569=""),"⚠ Status pago/recebido sem data",IF(AND($D569&lt;&gt;"",N($R569)=0),"⚠ Data de pagamento sem valor realizado",IF(AND(N($P569)&gt;1,N($O569)&gt;N($P569)),"⚠ Nº da parcela maior que o total",IF(AND($C569&lt;&gt;"",$B569&lt;&gt;"",$C569&lt;$B569),"⚠ Vencimento anterior à competência","OK"))))))))</f>
        <v/>
      </c>
    </row>
    <row r="570">
      <c r="A570" s="14" t="inlineStr">
        <is>
          <t>L0565</t>
        </is>
      </c>
      <c r="B570" s="36" t="n">
        <v>46382</v>
      </c>
      <c r="C570" s="36" t="n">
        <v>46382</v>
      </c>
      <c r="D570" s="36" t="n"/>
      <c r="E570" s="14" t="inlineStr">
        <is>
          <t>Saída</t>
        </is>
      </c>
      <c r="F570" s="29" t="inlineStr">
        <is>
          <t>Despesas Administrativas</t>
        </is>
      </c>
      <c r="G570" s="29" t="inlineStr">
        <is>
          <t>Outras Despesas Administrativas</t>
        </is>
      </c>
      <c r="H570" s="29" t="inlineStr">
        <is>
          <t>Administrativo</t>
        </is>
      </c>
      <c r="I570" s="29" t="inlineStr">
        <is>
          <t>MANUTENÇÃO PREDIAL EXPRESSA LTDA</t>
        </is>
      </c>
      <c r="J570" s="29" t="inlineStr">
        <is>
          <t>Despesas administrativas diversas</t>
        </is>
      </c>
      <c r="K570" s="14" t="inlineStr">
        <is>
          <t>DOC 8463</t>
        </is>
      </c>
      <c r="L570" s="29" t="inlineStr">
        <is>
          <t>Banco do Brasil — C/C 12345-6</t>
        </is>
      </c>
      <c r="M570" s="14" t="inlineStr">
        <is>
          <t>PIX</t>
        </is>
      </c>
      <c r="N570" s="29" t="n"/>
      <c r="O570" s="13" t="n">
        <v>1</v>
      </c>
      <c r="P570" s="13" t="n">
        <v>1</v>
      </c>
      <c r="Q570" s="35" t="n">
        <v>683.17</v>
      </c>
      <c r="R570" s="35" t="n"/>
      <c r="S570" s="35" t="n"/>
      <c r="T570" s="35" t="n"/>
      <c r="U570" s="35" t="n"/>
      <c r="V570" s="18">
        <f>IF(COUNTA($B570:$R570)=0,"",ROUND(N($R570)+N($S570)+N($T570)-N($U570),2))</f>
        <v/>
      </c>
      <c r="W570" s="18">
        <f>IF(COUNTA($B570:$R570)=0,"",IF(OR($X570="Pago",$X570="Recebido",$X570="Cancelado"),0,ROUND(N($Q570)+N($S570)+N($T570)-N($U570)-N($R570),2)))</f>
        <v/>
      </c>
      <c r="X570" s="14" t="inlineStr">
        <is>
          <t>Previsto</t>
        </is>
      </c>
      <c r="Y570" s="17">
        <f>IF(COUNTA($B570:$R570)=0,"",IF($X570="Cancelado","Cancelado",IF(OR($X570="Pago",$X570="Recebido"),$X570,IF(OR($X570="Parcial",N($R570)&gt;0),"Parcial",IF($C570="","Sem vencimento",IF($C570&lt;TODAY(),"Vencido",IF($C570=TODAY(),"Vence hoje",IF($C570&lt;=TODAY()+7,"Vence em 7 dias",IF($C570&lt;=TODAY()+30,"Vence em 30 dias","Futuro")))))))))</f>
        <v/>
      </c>
      <c r="Z570" s="24">
        <f>IF($B570="","",MONTH($B570))</f>
        <v/>
      </c>
      <c r="AA570" s="24">
        <f>IF($B570="","",YEAR($B570))</f>
        <v/>
      </c>
      <c r="AB570" s="24">
        <f>IF($B570="","",ISOWEEKNUM($B570))</f>
        <v/>
      </c>
      <c r="AC570" s="17">
        <f>IF($B570="","",CHOOSE(WEEKDAY($B570,2),"Segunda","Terça","Quarta","Quinta","Sexta","Sábado","Domingo"))</f>
        <v/>
      </c>
      <c r="AD570" s="17">
        <f>IF($B570="","",TEXT($B570,"MM/AAAA"))</f>
        <v/>
      </c>
      <c r="AE570" s="18">
        <f>IF(COUNTA($B570:$R570)=0,"",IF($X570="Cancelado",0,ROUND(N($Q570)+N($S570)+N($T570)-N($U570),2)))</f>
        <v/>
      </c>
      <c r="AF570" s="9">
        <f>IF($G570="","",IFERROR(INDEX(LINHAS_DRE_PLANO,MATCH($G570,SUBCATEGORIAS_PLANO,0)),"Não classificado"))</f>
        <v/>
      </c>
      <c r="AG570" s="17">
        <f>IF($G570="","",IFERROR(INDEX(TIPOS_FLUXO_PLANO,MATCH($G570,SUBCATEGORIAS_PLANO,0)),"Não classificado"))</f>
        <v/>
      </c>
      <c r="AH570" s="9">
        <f>IF($G570="","",IFERROR(INDEX(GRUPOS_PLANO,MATCH($G570,SUBCATEGORIAS_PLANO,0)),"Não classificado"))</f>
        <v/>
      </c>
      <c r="AI570" s="24">
        <f>IF(OR($C570="",$X570="Pago",$X570="Recebido",$X570="Cancelado"),"",$C570-TODAY())</f>
        <v/>
      </c>
      <c r="AJ570" s="24">
        <f>IF(OR($C570="",$X570="Pago",$X570="Recebido",$X570="Cancelado"),0,MAX(0,TODAY()-$C570))</f>
        <v/>
      </c>
      <c r="AK570" s="24">
        <f>IF($D570="","",$D570-$B570)</f>
        <v/>
      </c>
      <c r="AL570" s="18">
        <f>IF(OR($D570="",$B570=""),"",ROUND(N($R570)*($D570-$B570),2))</f>
        <v/>
      </c>
      <c r="AM570" s="17">
        <f>IF(AND($E570="Saída",$W570&gt;0,$C570&lt;&gt;""),$C570+ROW()/1000000,"")</f>
        <v/>
      </c>
      <c r="AN570" s="17">
        <f>IF(AND($E570="Entrada",$W570&gt;0,$C570&lt;&gt;""),$C570+ROW()/1000000,"")</f>
        <v/>
      </c>
      <c r="AO570" s="9">
        <f>IF(COUNTA($B570:$R570)=0,"",IF(AND($I570&lt;&gt;"",COUNTIF(CLIENTES_NOMES,$I570)+COUNTIF(CLIENTES_FANTASIA,$I570)+COUNTIF(FORNECEDORES_NOMES,$I570)+COUNTIF(FORNECEDORES_FANTASIA,$I570)=0),"⚠ Cliente/Fornecedor não cadastrado",IF(AND($G570&lt;&gt;"",COUNTIF(SUBCATEGORIAS_PLANO,$G570)=0),"⚠ Subcategoria fora do plano de contas",IF(OR($Q570="",N($Q570)=0),"⚠ Valor previsto não informado",IF(AND(OR($X570="Pago",$X570="Recebido"),$D570=""),"⚠ Status pago/recebido sem data",IF(AND($D570&lt;&gt;"",N($R570)=0),"⚠ Data de pagamento sem valor realizado",IF(AND(N($P570)&gt;1,N($O570)&gt;N($P570)),"⚠ Nº da parcela maior que o total",IF(AND($C570&lt;&gt;"",$B570&lt;&gt;"",$C570&lt;$B570),"⚠ Vencimento anterior à competência","OK"))))))))</f>
        <v/>
      </c>
    </row>
    <row r="571">
      <c r="A571" s="14" t="inlineStr">
        <is>
          <t>L0566</t>
        </is>
      </c>
      <c r="B571" s="36" t="n">
        <v>46384</v>
      </c>
      <c r="C571" s="36" t="n">
        <v>46384</v>
      </c>
      <c r="D571" s="36" t="n">
        <v>46384</v>
      </c>
      <c r="E571" s="14" t="inlineStr">
        <is>
          <t>Entrada</t>
        </is>
      </c>
      <c r="F571" s="29" t="inlineStr">
        <is>
          <t>Receitas Financeiras</t>
        </is>
      </c>
      <c r="G571" s="29" t="inlineStr">
        <is>
          <t>Rendimentos de Aplicações Financeiras</t>
        </is>
      </c>
      <c r="H571" s="29" t="inlineStr">
        <is>
          <t>Financeiro</t>
        </is>
      </c>
      <c r="I571" s="29" t="inlineStr">
        <is>
          <t>Itaú Unibanco</t>
        </is>
      </c>
      <c r="J571" s="29" t="inlineStr">
        <is>
          <t>Rendimento de aplicação financeira — 12/2026</t>
        </is>
      </c>
      <c r="K571" s="14" t="inlineStr">
        <is>
          <t>REND-APL</t>
        </is>
      </c>
      <c r="L571" s="29" t="inlineStr">
        <is>
          <t>Itaú Unibanco — C/C 45678-9</t>
        </is>
      </c>
      <c r="M571" s="14" t="inlineStr">
        <is>
          <t>Transferência</t>
        </is>
      </c>
      <c r="N571" s="29" t="n"/>
      <c r="O571" s="13" t="n">
        <v>1</v>
      </c>
      <c r="P571" s="13" t="n">
        <v>1</v>
      </c>
      <c r="Q571" s="35" t="n">
        <v>872.39</v>
      </c>
      <c r="R571" s="35" t="n">
        <v>872.39</v>
      </c>
      <c r="S571" s="35" t="n"/>
      <c r="T571" s="35" t="n"/>
      <c r="U571" s="35" t="n"/>
      <c r="V571" s="18">
        <f>IF(COUNTA($B571:$R571)=0,"",ROUND(N($R571)+N($S571)+N($T571)-N($U571),2))</f>
        <v/>
      </c>
      <c r="W571" s="18">
        <f>IF(COUNTA($B571:$R571)=0,"",IF(OR($X571="Pago",$X571="Recebido",$X571="Cancelado"),0,ROUND(N($Q571)+N($S571)+N($T571)-N($U571)-N($R571),2)))</f>
        <v/>
      </c>
      <c r="X571" s="14" t="inlineStr">
        <is>
          <t>Recebido</t>
        </is>
      </c>
      <c r="Y571" s="17">
        <f>IF(COUNTA($B571:$R571)=0,"",IF($X571="Cancelado","Cancelado",IF(OR($X571="Pago",$X571="Recebido"),$X571,IF(OR($X571="Parcial",N($R571)&gt;0),"Parcial",IF($C571="","Sem vencimento",IF($C571&lt;TODAY(),"Vencido",IF($C571=TODAY(),"Vence hoje",IF($C571&lt;=TODAY()+7,"Vence em 7 dias",IF($C571&lt;=TODAY()+30,"Vence em 30 dias","Futuro")))))))))</f>
        <v/>
      </c>
      <c r="Z571" s="24">
        <f>IF($B571="","",MONTH($B571))</f>
        <v/>
      </c>
      <c r="AA571" s="24">
        <f>IF($B571="","",YEAR($B571))</f>
        <v/>
      </c>
      <c r="AB571" s="24">
        <f>IF($B571="","",ISOWEEKNUM($B571))</f>
        <v/>
      </c>
      <c r="AC571" s="17">
        <f>IF($B571="","",CHOOSE(WEEKDAY($B571,2),"Segunda","Terça","Quarta","Quinta","Sexta","Sábado","Domingo"))</f>
        <v/>
      </c>
      <c r="AD571" s="17">
        <f>IF($B571="","",TEXT($B571,"MM/AAAA"))</f>
        <v/>
      </c>
      <c r="AE571" s="18">
        <f>IF(COUNTA($B571:$R571)=0,"",IF($X571="Cancelado",0,ROUND(N($Q571)+N($S571)+N($T571)-N($U571),2)))</f>
        <v/>
      </c>
      <c r="AF571" s="9">
        <f>IF($G571="","",IFERROR(INDEX(LINHAS_DRE_PLANO,MATCH($G571,SUBCATEGORIAS_PLANO,0)),"Não classificado"))</f>
        <v/>
      </c>
      <c r="AG571" s="17">
        <f>IF($G571="","",IFERROR(INDEX(TIPOS_FLUXO_PLANO,MATCH($G571,SUBCATEGORIAS_PLANO,0)),"Não classificado"))</f>
        <v/>
      </c>
      <c r="AH571" s="9">
        <f>IF($G571="","",IFERROR(INDEX(GRUPOS_PLANO,MATCH($G571,SUBCATEGORIAS_PLANO,0)),"Não classificado"))</f>
        <v/>
      </c>
      <c r="AI571" s="24">
        <f>IF(OR($C571="",$X571="Pago",$X571="Recebido",$X571="Cancelado"),"",$C571-TODAY())</f>
        <v/>
      </c>
      <c r="AJ571" s="24">
        <f>IF(OR($C571="",$X571="Pago",$X571="Recebido",$X571="Cancelado"),0,MAX(0,TODAY()-$C571))</f>
        <v/>
      </c>
      <c r="AK571" s="24">
        <f>IF($D571="","",$D571-$B571)</f>
        <v/>
      </c>
      <c r="AL571" s="18">
        <f>IF(OR($D571="",$B571=""),"",ROUND(N($R571)*($D571-$B571),2))</f>
        <v/>
      </c>
      <c r="AM571" s="17">
        <f>IF(AND($E571="Saída",$W571&gt;0,$C571&lt;&gt;""),$C571+ROW()/1000000,"")</f>
        <v/>
      </c>
      <c r="AN571" s="17">
        <f>IF(AND($E571="Entrada",$W571&gt;0,$C571&lt;&gt;""),$C571+ROW()/1000000,"")</f>
        <v/>
      </c>
      <c r="AO571" s="9">
        <f>IF(COUNTA($B571:$R571)=0,"",IF(AND($I571&lt;&gt;"",COUNTIF(CLIENTES_NOMES,$I571)+COUNTIF(CLIENTES_FANTASIA,$I571)+COUNTIF(FORNECEDORES_NOMES,$I571)+COUNTIF(FORNECEDORES_FANTASIA,$I571)=0),"⚠ Cliente/Fornecedor não cadastrado",IF(AND($G571&lt;&gt;"",COUNTIF(SUBCATEGORIAS_PLANO,$G571)=0),"⚠ Subcategoria fora do plano de contas",IF(OR($Q571="",N($Q571)=0),"⚠ Valor previsto não informado",IF(AND(OR($X571="Pago",$X571="Recebido"),$D571=""),"⚠ Status pago/recebido sem data",IF(AND($D571&lt;&gt;"",N($R571)=0),"⚠ Data de pagamento sem valor realizado",IF(AND(N($P571)&gt;1,N($O571)&gt;N($P571)),"⚠ Nº da parcela maior que o total",IF(AND($C571&lt;&gt;"",$B571&lt;&gt;"",$C571&lt;$B571),"⚠ Vencimento anterior à competência","OK"))))))))</f>
        <v/>
      </c>
    </row>
    <row r="572">
      <c r="A572" s="14" t="inlineStr">
        <is>
          <t>L0567</t>
        </is>
      </c>
      <c r="B572" s="36" t="n">
        <v>46384</v>
      </c>
      <c r="C572" s="36" t="n">
        <v>46389</v>
      </c>
      <c r="D572" s="36" t="n"/>
      <c r="E572" s="14" t="inlineStr">
        <is>
          <t>Saída</t>
        </is>
      </c>
      <c r="F572" s="29" t="inlineStr">
        <is>
          <t>Custos Variáveis</t>
        </is>
      </c>
      <c r="G572" s="29" t="inlineStr">
        <is>
          <t>Comissões sobre Vendas</t>
        </is>
      </c>
      <c r="H572" s="29" t="inlineStr">
        <is>
          <t>Comercial</t>
        </is>
      </c>
      <c r="I572" s="29" t="inlineStr">
        <is>
          <t>EQUIPE COMERCIAL — COMISSÕES</t>
        </is>
      </c>
      <c r="J572" s="29" t="inlineStr">
        <is>
          <t>Comissões sobre vendas do período</t>
        </is>
      </c>
      <c r="K572" s="14" t="inlineStr">
        <is>
          <t>DOC 7261</t>
        </is>
      </c>
      <c r="L572" s="29" t="inlineStr">
        <is>
          <t>Banco do Brasil — C/C 12345-6</t>
        </is>
      </c>
      <c r="M572" s="14" t="inlineStr">
        <is>
          <t>Transferência</t>
        </is>
      </c>
      <c r="N572" s="29" t="n"/>
      <c r="O572" s="13" t="n">
        <v>1</v>
      </c>
      <c r="P572" s="13" t="n">
        <v>1</v>
      </c>
      <c r="Q572" s="35" t="n">
        <v>3826.75</v>
      </c>
      <c r="R572" s="35" t="n"/>
      <c r="S572" s="35" t="n"/>
      <c r="T572" s="35" t="n"/>
      <c r="U572" s="35" t="n"/>
      <c r="V572" s="18">
        <f>IF(COUNTA($B572:$R572)=0,"",ROUND(N($R572)+N($S572)+N($T572)-N($U572),2))</f>
        <v/>
      </c>
      <c r="W572" s="18">
        <f>IF(COUNTA($B572:$R572)=0,"",IF(OR($X572="Pago",$X572="Recebido",$X572="Cancelado"),0,ROUND(N($Q572)+N($S572)+N($T572)-N($U572)-N($R572),2)))</f>
        <v/>
      </c>
      <c r="X572" s="14" t="inlineStr">
        <is>
          <t>Previsto</t>
        </is>
      </c>
      <c r="Y572" s="17">
        <f>IF(COUNTA($B572:$R572)=0,"",IF($X572="Cancelado","Cancelado",IF(OR($X572="Pago",$X572="Recebido"),$X572,IF(OR($X572="Parcial",N($R572)&gt;0),"Parcial",IF($C572="","Sem vencimento",IF($C572&lt;TODAY(),"Vencido",IF($C572=TODAY(),"Vence hoje",IF($C572&lt;=TODAY()+7,"Vence em 7 dias",IF($C572&lt;=TODAY()+30,"Vence em 30 dias","Futuro")))))))))</f>
        <v/>
      </c>
      <c r="Z572" s="24">
        <f>IF($B572="","",MONTH($B572))</f>
        <v/>
      </c>
      <c r="AA572" s="24">
        <f>IF($B572="","",YEAR($B572))</f>
        <v/>
      </c>
      <c r="AB572" s="24">
        <f>IF($B572="","",ISOWEEKNUM($B572))</f>
        <v/>
      </c>
      <c r="AC572" s="17">
        <f>IF($B572="","",CHOOSE(WEEKDAY($B572,2),"Segunda","Terça","Quarta","Quinta","Sexta","Sábado","Domingo"))</f>
        <v/>
      </c>
      <c r="AD572" s="17">
        <f>IF($B572="","",TEXT($B572,"MM/AAAA"))</f>
        <v/>
      </c>
      <c r="AE572" s="18">
        <f>IF(COUNTA($B572:$R572)=0,"",IF($X572="Cancelado",0,ROUND(N($Q572)+N($S572)+N($T572)-N($U572),2)))</f>
        <v/>
      </c>
      <c r="AF572" s="9">
        <f>IF($G572="","",IFERROR(INDEX(LINHAS_DRE_PLANO,MATCH($G572,SUBCATEGORIAS_PLANO,0)),"Não classificado"))</f>
        <v/>
      </c>
      <c r="AG572" s="17">
        <f>IF($G572="","",IFERROR(INDEX(TIPOS_FLUXO_PLANO,MATCH($G572,SUBCATEGORIAS_PLANO,0)),"Não classificado"))</f>
        <v/>
      </c>
      <c r="AH572" s="9">
        <f>IF($G572="","",IFERROR(INDEX(GRUPOS_PLANO,MATCH($G572,SUBCATEGORIAS_PLANO,0)),"Não classificado"))</f>
        <v/>
      </c>
      <c r="AI572" s="24">
        <f>IF(OR($C572="",$X572="Pago",$X572="Recebido",$X572="Cancelado"),"",$C572-TODAY())</f>
        <v/>
      </c>
      <c r="AJ572" s="24">
        <f>IF(OR($C572="",$X572="Pago",$X572="Recebido",$X572="Cancelado"),0,MAX(0,TODAY()-$C572))</f>
        <v/>
      </c>
      <c r="AK572" s="24">
        <f>IF($D572="","",$D572-$B572)</f>
        <v/>
      </c>
      <c r="AL572" s="18">
        <f>IF(OR($D572="",$B572=""),"",ROUND(N($R572)*($D572-$B572),2))</f>
        <v/>
      </c>
      <c r="AM572" s="17">
        <f>IF(AND($E572="Saída",$W572&gt;0,$C572&lt;&gt;""),$C572+ROW()/1000000,"")</f>
        <v/>
      </c>
      <c r="AN572" s="17">
        <f>IF(AND($E572="Entrada",$W572&gt;0,$C572&lt;&gt;""),$C572+ROW()/1000000,"")</f>
        <v/>
      </c>
      <c r="AO572" s="9">
        <f>IF(COUNTA($B572:$R572)=0,"",IF(AND($I572&lt;&gt;"",COUNTIF(CLIENTES_NOMES,$I572)+COUNTIF(CLIENTES_FANTASIA,$I572)+COUNTIF(FORNECEDORES_NOMES,$I572)+COUNTIF(FORNECEDORES_FANTASIA,$I572)=0),"⚠ Cliente/Fornecedor não cadastrado",IF(AND($G572&lt;&gt;"",COUNTIF(SUBCATEGORIAS_PLANO,$G572)=0),"⚠ Subcategoria fora do plano de contas",IF(OR($Q572="",N($Q572)=0),"⚠ Valor previsto não informado",IF(AND(OR($X572="Pago",$X572="Recebido"),$D572=""),"⚠ Status pago/recebido sem data",IF(AND($D572&lt;&gt;"",N($R572)=0),"⚠ Data de pagamento sem valor realizado",IF(AND(N($P572)&gt;1,N($O572)&gt;N($P572)),"⚠ Nº da parcela maior que o total",IF(AND($C572&lt;&gt;"",$B572&lt;&gt;"",$C572&lt;$B572),"⚠ Vencimento anterior à competência","OK"))))))))</f>
        <v/>
      </c>
    </row>
    <row r="573">
      <c r="A573" s="14" t="inlineStr">
        <is>
          <t>L0568</t>
        </is>
      </c>
      <c r="B573" s="36" t="n">
        <v>46384</v>
      </c>
      <c r="C573" s="36" t="n">
        <v>46394</v>
      </c>
      <c r="D573" s="36" t="n"/>
      <c r="E573" s="14" t="inlineStr">
        <is>
          <t>Saída</t>
        </is>
      </c>
      <c r="F573" s="29" t="inlineStr">
        <is>
          <t>Custos Variáveis</t>
        </is>
      </c>
      <c r="G573" s="29" t="inlineStr">
        <is>
          <t>Taxas de Marketplace</t>
        </is>
      </c>
      <c r="H573" s="29" t="inlineStr">
        <is>
          <t>Comercial</t>
        </is>
      </c>
      <c r="I573" s="29" t="inlineStr">
        <is>
          <t>MARKETPLACE FOODB2B LTDA</t>
        </is>
      </c>
      <c r="J573" s="29" t="inlineStr">
        <is>
          <t>Taxas de intermediação do marketplace</t>
        </is>
      </c>
      <c r="K573" s="14" t="inlineStr">
        <is>
          <t>DOC 7262</t>
        </is>
      </c>
      <c r="L573" s="29" t="inlineStr">
        <is>
          <t>Banco do Brasil — C/C 12345-6</t>
        </is>
      </c>
      <c r="M573" s="14" t="inlineStr">
        <is>
          <t>PIX</t>
        </is>
      </c>
      <c r="N573" s="29" t="n"/>
      <c r="O573" s="13" t="n">
        <v>1</v>
      </c>
      <c r="P573" s="13" t="n">
        <v>1</v>
      </c>
      <c r="Q573" s="35" t="n">
        <v>1918.23</v>
      </c>
      <c r="R573" s="35" t="n"/>
      <c r="S573" s="35" t="n"/>
      <c r="T573" s="35" t="n"/>
      <c r="U573" s="35" t="n"/>
      <c r="V573" s="18">
        <f>IF(COUNTA($B573:$R573)=0,"",ROUND(N($R573)+N($S573)+N($T573)-N($U573),2))</f>
        <v/>
      </c>
      <c r="W573" s="18">
        <f>IF(COUNTA($B573:$R573)=0,"",IF(OR($X573="Pago",$X573="Recebido",$X573="Cancelado"),0,ROUND(N($Q573)+N($S573)+N($T573)-N($U573)-N($R573),2)))</f>
        <v/>
      </c>
      <c r="X573" s="14" t="inlineStr">
        <is>
          <t>Previsto</t>
        </is>
      </c>
      <c r="Y573" s="17">
        <f>IF(COUNTA($B573:$R573)=0,"",IF($X573="Cancelado","Cancelado",IF(OR($X573="Pago",$X573="Recebido"),$X573,IF(OR($X573="Parcial",N($R573)&gt;0),"Parcial",IF($C573="","Sem vencimento",IF($C573&lt;TODAY(),"Vencido",IF($C573=TODAY(),"Vence hoje",IF($C573&lt;=TODAY()+7,"Vence em 7 dias",IF($C573&lt;=TODAY()+30,"Vence em 30 dias","Futuro")))))))))</f>
        <v/>
      </c>
      <c r="Z573" s="24">
        <f>IF($B573="","",MONTH($B573))</f>
        <v/>
      </c>
      <c r="AA573" s="24">
        <f>IF($B573="","",YEAR($B573))</f>
        <v/>
      </c>
      <c r="AB573" s="24">
        <f>IF($B573="","",ISOWEEKNUM($B573))</f>
        <v/>
      </c>
      <c r="AC573" s="17">
        <f>IF($B573="","",CHOOSE(WEEKDAY($B573,2),"Segunda","Terça","Quarta","Quinta","Sexta","Sábado","Domingo"))</f>
        <v/>
      </c>
      <c r="AD573" s="17">
        <f>IF($B573="","",TEXT($B573,"MM/AAAA"))</f>
        <v/>
      </c>
      <c r="AE573" s="18">
        <f>IF(COUNTA($B573:$R573)=0,"",IF($X573="Cancelado",0,ROUND(N($Q573)+N($S573)+N($T573)-N($U573),2)))</f>
        <v/>
      </c>
      <c r="AF573" s="9">
        <f>IF($G573="","",IFERROR(INDEX(LINHAS_DRE_PLANO,MATCH($G573,SUBCATEGORIAS_PLANO,0)),"Não classificado"))</f>
        <v/>
      </c>
      <c r="AG573" s="17">
        <f>IF($G573="","",IFERROR(INDEX(TIPOS_FLUXO_PLANO,MATCH($G573,SUBCATEGORIAS_PLANO,0)),"Não classificado"))</f>
        <v/>
      </c>
      <c r="AH573" s="9">
        <f>IF($G573="","",IFERROR(INDEX(GRUPOS_PLANO,MATCH($G573,SUBCATEGORIAS_PLANO,0)),"Não classificado"))</f>
        <v/>
      </c>
      <c r="AI573" s="24">
        <f>IF(OR($C573="",$X573="Pago",$X573="Recebido",$X573="Cancelado"),"",$C573-TODAY())</f>
        <v/>
      </c>
      <c r="AJ573" s="24">
        <f>IF(OR($C573="",$X573="Pago",$X573="Recebido",$X573="Cancelado"),0,MAX(0,TODAY()-$C573))</f>
        <v/>
      </c>
      <c r="AK573" s="24">
        <f>IF($D573="","",$D573-$B573)</f>
        <v/>
      </c>
      <c r="AL573" s="18">
        <f>IF(OR($D573="",$B573=""),"",ROUND(N($R573)*($D573-$B573),2))</f>
        <v/>
      </c>
      <c r="AM573" s="17">
        <f>IF(AND($E573="Saída",$W573&gt;0,$C573&lt;&gt;""),$C573+ROW()/1000000,"")</f>
        <v/>
      </c>
      <c r="AN573" s="17">
        <f>IF(AND($E573="Entrada",$W573&gt;0,$C573&lt;&gt;""),$C573+ROW()/1000000,"")</f>
        <v/>
      </c>
      <c r="AO573" s="9">
        <f>IF(COUNTA($B573:$R573)=0,"",IF(AND($I573&lt;&gt;"",COUNTIF(CLIENTES_NOMES,$I573)+COUNTIF(CLIENTES_FANTASIA,$I573)+COUNTIF(FORNECEDORES_NOMES,$I573)+COUNTIF(FORNECEDORES_FANTASIA,$I573)=0),"⚠ Cliente/Fornecedor não cadastrado",IF(AND($G573&lt;&gt;"",COUNTIF(SUBCATEGORIAS_PLANO,$G573)=0),"⚠ Subcategoria fora do plano de contas",IF(OR($Q573="",N($Q573)=0),"⚠ Valor previsto não informado",IF(AND(OR($X573="Pago",$X573="Recebido"),$D573=""),"⚠ Status pago/recebido sem data",IF(AND($D573&lt;&gt;"",N($R573)=0),"⚠ Data de pagamento sem valor realizado",IF(AND(N($P573)&gt;1,N($O573)&gt;N($P573)),"⚠ Nº da parcela maior que o total",IF(AND($C573&lt;&gt;"",$B573&lt;&gt;"",$C573&lt;$B573),"⚠ Vencimento anterior à competência","OK"))))))))</f>
        <v/>
      </c>
    </row>
    <row r="574">
      <c r="A574" s="14" t="inlineStr">
        <is>
          <t>L0569</t>
        </is>
      </c>
      <c r="B574" s="36" t="n">
        <v>46384</v>
      </c>
      <c r="C574" s="36" t="n">
        <v>46389</v>
      </c>
      <c r="D574" s="36" t="n"/>
      <c r="E574" s="14" t="inlineStr">
        <is>
          <t>Saída</t>
        </is>
      </c>
      <c r="F574" s="29" t="inlineStr">
        <is>
          <t>Custos Variáveis</t>
        </is>
      </c>
      <c r="G574" s="29" t="inlineStr">
        <is>
          <t>Taxas de Cartão e Maquininha</t>
        </is>
      </c>
      <c r="H574" s="29" t="inlineStr">
        <is>
          <t>Financeiro</t>
        </is>
      </c>
      <c r="I574" s="29" t="inlineStr">
        <is>
          <t>CIELO S.A. — INSTITUIÇÃO DE PAGAMENTO</t>
        </is>
      </c>
      <c r="J574" s="29" t="inlineStr">
        <is>
          <t>Taxas de cartão e antecipação de recebíveis</t>
        </is>
      </c>
      <c r="K574" s="14" t="inlineStr">
        <is>
          <t>DOC 7263</t>
        </is>
      </c>
      <c r="L574" s="29" t="inlineStr">
        <is>
          <t>Banco do Brasil — C/C 12345-6</t>
        </is>
      </c>
      <c r="M574" s="14" t="inlineStr">
        <is>
          <t>Transferência</t>
        </is>
      </c>
      <c r="N574" s="29" t="n"/>
      <c r="O574" s="13" t="n">
        <v>1</v>
      </c>
      <c r="P574" s="13" t="n">
        <v>1</v>
      </c>
      <c r="Q574" s="35" t="n">
        <v>3064.9</v>
      </c>
      <c r="R574" s="35" t="n"/>
      <c r="S574" s="35" t="n"/>
      <c r="T574" s="35" t="n"/>
      <c r="U574" s="35" t="n"/>
      <c r="V574" s="18">
        <f>IF(COUNTA($B574:$R574)=0,"",ROUND(N($R574)+N($S574)+N($T574)-N($U574),2))</f>
        <v/>
      </c>
      <c r="W574" s="18">
        <f>IF(COUNTA($B574:$R574)=0,"",IF(OR($X574="Pago",$X574="Recebido",$X574="Cancelado"),0,ROUND(N($Q574)+N($S574)+N($T574)-N($U574)-N($R574),2)))</f>
        <v/>
      </c>
      <c r="X574" s="14" t="inlineStr">
        <is>
          <t>Previsto</t>
        </is>
      </c>
      <c r="Y574" s="17">
        <f>IF(COUNTA($B574:$R574)=0,"",IF($X574="Cancelado","Cancelado",IF(OR($X574="Pago",$X574="Recebido"),$X574,IF(OR($X574="Parcial",N($R574)&gt;0),"Parcial",IF($C574="","Sem vencimento",IF($C574&lt;TODAY(),"Vencido",IF($C574=TODAY(),"Vence hoje",IF($C574&lt;=TODAY()+7,"Vence em 7 dias",IF($C574&lt;=TODAY()+30,"Vence em 30 dias","Futuro")))))))))</f>
        <v/>
      </c>
      <c r="Z574" s="24">
        <f>IF($B574="","",MONTH($B574))</f>
        <v/>
      </c>
      <c r="AA574" s="24">
        <f>IF($B574="","",YEAR($B574))</f>
        <v/>
      </c>
      <c r="AB574" s="24">
        <f>IF($B574="","",ISOWEEKNUM($B574))</f>
        <v/>
      </c>
      <c r="AC574" s="17">
        <f>IF($B574="","",CHOOSE(WEEKDAY($B574,2),"Segunda","Terça","Quarta","Quinta","Sexta","Sábado","Domingo"))</f>
        <v/>
      </c>
      <c r="AD574" s="17">
        <f>IF($B574="","",TEXT($B574,"MM/AAAA"))</f>
        <v/>
      </c>
      <c r="AE574" s="18">
        <f>IF(COUNTA($B574:$R574)=0,"",IF($X574="Cancelado",0,ROUND(N($Q574)+N($S574)+N($T574)-N($U574),2)))</f>
        <v/>
      </c>
      <c r="AF574" s="9">
        <f>IF($G574="","",IFERROR(INDEX(LINHAS_DRE_PLANO,MATCH($G574,SUBCATEGORIAS_PLANO,0)),"Não classificado"))</f>
        <v/>
      </c>
      <c r="AG574" s="17">
        <f>IF($G574="","",IFERROR(INDEX(TIPOS_FLUXO_PLANO,MATCH($G574,SUBCATEGORIAS_PLANO,0)),"Não classificado"))</f>
        <v/>
      </c>
      <c r="AH574" s="9">
        <f>IF($G574="","",IFERROR(INDEX(GRUPOS_PLANO,MATCH($G574,SUBCATEGORIAS_PLANO,0)),"Não classificado"))</f>
        <v/>
      </c>
      <c r="AI574" s="24">
        <f>IF(OR($C574="",$X574="Pago",$X574="Recebido",$X574="Cancelado"),"",$C574-TODAY())</f>
        <v/>
      </c>
      <c r="AJ574" s="24">
        <f>IF(OR($C574="",$X574="Pago",$X574="Recebido",$X574="Cancelado"),0,MAX(0,TODAY()-$C574))</f>
        <v/>
      </c>
      <c r="AK574" s="24">
        <f>IF($D574="","",$D574-$B574)</f>
        <v/>
      </c>
      <c r="AL574" s="18">
        <f>IF(OR($D574="",$B574=""),"",ROUND(N($R574)*($D574-$B574),2))</f>
        <v/>
      </c>
      <c r="AM574" s="17">
        <f>IF(AND($E574="Saída",$W574&gt;0,$C574&lt;&gt;""),$C574+ROW()/1000000,"")</f>
        <v/>
      </c>
      <c r="AN574" s="17">
        <f>IF(AND($E574="Entrada",$W574&gt;0,$C574&lt;&gt;""),$C574+ROW()/1000000,"")</f>
        <v/>
      </c>
      <c r="AO574" s="9">
        <f>IF(COUNTA($B574:$R574)=0,"",IF(AND($I574&lt;&gt;"",COUNTIF(CLIENTES_NOMES,$I574)+COUNTIF(CLIENTES_FANTASIA,$I574)+COUNTIF(FORNECEDORES_NOMES,$I574)+COUNTIF(FORNECEDORES_FANTASIA,$I574)=0),"⚠ Cliente/Fornecedor não cadastrado",IF(AND($G574&lt;&gt;"",COUNTIF(SUBCATEGORIAS_PLANO,$G574)=0),"⚠ Subcategoria fora do plano de contas",IF(OR($Q574="",N($Q574)=0),"⚠ Valor previsto não informado",IF(AND(OR($X574="Pago",$X574="Recebido"),$D574=""),"⚠ Status pago/recebido sem data",IF(AND($D574&lt;&gt;"",N($R574)=0),"⚠ Data de pagamento sem valor realizado",IF(AND(N($P574)&gt;1,N($O574)&gt;N($P574)),"⚠ Nº da parcela maior que o total",IF(AND($C574&lt;&gt;"",$B574&lt;&gt;"",$C574&lt;$B574),"⚠ Vencimento anterior à competência","OK"))))))))</f>
        <v/>
      </c>
    </row>
    <row r="575">
      <c r="A575" s="14" t="inlineStr">
        <is>
          <t>L0570</t>
        </is>
      </c>
      <c r="B575" s="36" t="n">
        <v>46384</v>
      </c>
      <c r="C575" s="36" t="n">
        <v>46384</v>
      </c>
      <c r="D575" s="36" t="n"/>
      <c r="E575" s="14" t="inlineStr">
        <is>
          <t>Saída</t>
        </is>
      </c>
      <c r="F575" s="29" t="inlineStr">
        <is>
          <t>Despesas Financeiras</t>
        </is>
      </c>
      <c r="G575" s="29" t="inlineStr">
        <is>
          <t>Tarifas Bancárias</t>
        </is>
      </c>
      <c r="H575" s="29" t="inlineStr">
        <is>
          <t>Financeiro</t>
        </is>
      </c>
      <c r="I575" s="29" t="inlineStr">
        <is>
          <t>CONTABILIDADE AURORA ASSESSORIA CONTÁBIL LTDA</t>
        </is>
      </c>
      <c r="J575" s="29" t="inlineStr">
        <is>
          <t>Tarifas e pacote de serviços bancários</t>
        </is>
      </c>
      <c r="K575" s="14" t="inlineStr">
        <is>
          <t>DOC 8464</t>
        </is>
      </c>
      <c r="L575" s="29" t="inlineStr">
        <is>
          <t>Itaú Unibanco — C/C 45678-9</t>
        </is>
      </c>
      <c r="M575" s="14" t="inlineStr">
        <is>
          <t>Transferência</t>
        </is>
      </c>
      <c r="N575" s="29" t="n"/>
      <c r="O575" s="13" t="n">
        <v>1</v>
      </c>
      <c r="P575" s="13" t="n">
        <v>1</v>
      </c>
      <c r="Q575" s="35" t="n">
        <v>190</v>
      </c>
      <c r="R575" s="35" t="n"/>
      <c r="S575" s="35" t="n"/>
      <c r="T575" s="35" t="n"/>
      <c r="U575" s="35" t="n"/>
      <c r="V575" s="18">
        <f>IF(COUNTA($B575:$R575)=0,"",ROUND(N($R575)+N($S575)+N($T575)-N($U575),2))</f>
        <v/>
      </c>
      <c r="W575" s="18">
        <f>IF(COUNTA($B575:$R575)=0,"",IF(OR($X575="Pago",$X575="Recebido",$X575="Cancelado"),0,ROUND(N($Q575)+N($S575)+N($T575)-N($U575)-N($R575),2)))</f>
        <v/>
      </c>
      <c r="X575" s="14" t="inlineStr">
        <is>
          <t>Previsto</t>
        </is>
      </c>
      <c r="Y575" s="17">
        <f>IF(COUNTA($B575:$R575)=0,"",IF($X575="Cancelado","Cancelado",IF(OR($X575="Pago",$X575="Recebido"),$X575,IF(OR($X575="Parcial",N($R575)&gt;0),"Parcial",IF($C575="","Sem vencimento",IF($C575&lt;TODAY(),"Vencido",IF($C575=TODAY(),"Vence hoje",IF($C575&lt;=TODAY()+7,"Vence em 7 dias",IF($C575&lt;=TODAY()+30,"Vence em 30 dias","Futuro")))))))))</f>
        <v/>
      </c>
      <c r="Z575" s="24">
        <f>IF($B575="","",MONTH($B575))</f>
        <v/>
      </c>
      <c r="AA575" s="24">
        <f>IF($B575="","",YEAR($B575))</f>
        <v/>
      </c>
      <c r="AB575" s="24">
        <f>IF($B575="","",ISOWEEKNUM($B575))</f>
        <v/>
      </c>
      <c r="AC575" s="17">
        <f>IF($B575="","",CHOOSE(WEEKDAY($B575,2),"Segunda","Terça","Quarta","Quinta","Sexta","Sábado","Domingo"))</f>
        <v/>
      </c>
      <c r="AD575" s="17">
        <f>IF($B575="","",TEXT($B575,"MM/AAAA"))</f>
        <v/>
      </c>
      <c r="AE575" s="18">
        <f>IF(COUNTA($B575:$R575)=0,"",IF($X575="Cancelado",0,ROUND(N($Q575)+N($S575)+N($T575)-N($U575),2)))</f>
        <v/>
      </c>
      <c r="AF575" s="9">
        <f>IF($G575="","",IFERROR(INDEX(LINHAS_DRE_PLANO,MATCH($G575,SUBCATEGORIAS_PLANO,0)),"Não classificado"))</f>
        <v/>
      </c>
      <c r="AG575" s="17">
        <f>IF($G575="","",IFERROR(INDEX(TIPOS_FLUXO_PLANO,MATCH($G575,SUBCATEGORIAS_PLANO,0)),"Não classificado"))</f>
        <v/>
      </c>
      <c r="AH575" s="9">
        <f>IF($G575="","",IFERROR(INDEX(GRUPOS_PLANO,MATCH($G575,SUBCATEGORIAS_PLANO,0)),"Não classificado"))</f>
        <v/>
      </c>
      <c r="AI575" s="24">
        <f>IF(OR($C575="",$X575="Pago",$X575="Recebido",$X575="Cancelado"),"",$C575-TODAY())</f>
        <v/>
      </c>
      <c r="AJ575" s="24">
        <f>IF(OR($C575="",$X575="Pago",$X575="Recebido",$X575="Cancelado"),0,MAX(0,TODAY()-$C575))</f>
        <v/>
      </c>
      <c r="AK575" s="24">
        <f>IF($D575="","",$D575-$B575)</f>
        <v/>
      </c>
      <c r="AL575" s="18">
        <f>IF(OR($D575="",$B575=""),"",ROUND(N($R575)*($D575-$B575),2))</f>
        <v/>
      </c>
      <c r="AM575" s="17">
        <f>IF(AND($E575="Saída",$W575&gt;0,$C575&lt;&gt;""),$C575+ROW()/1000000,"")</f>
        <v/>
      </c>
      <c r="AN575" s="17">
        <f>IF(AND($E575="Entrada",$W575&gt;0,$C575&lt;&gt;""),$C575+ROW()/1000000,"")</f>
        <v/>
      </c>
      <c r="AO575" s="9">
        <f>IF(COUNTA($B575:$R575)=0,"",IF(AND($I575&lt;&gt;"",COUNTIF(CLIENTES_NOMES,$I575)+COUNTIF(CLIENTES_FANTASIA,$I575)+COUNTIF(FORNECEDORES_NOMES,$I575)+COUNTIF(FORNECEDORES_FANTASIA,$I575)=0),"⚠ Cliente/Fornecedor não cadastrado",IF(AND($G575&lt;&gt;"",COUNTIF(SUBCATEGORIAS_PLANO,$G575)=0),"⚠ Subcategoria fora do plano de contas",IF(OR($Q575="",N($Q575)=0),"⚠ Valor previsto não informado",IF(AND(OR($X575="Pago",$X575="Recebido"),$D575=""),"⚠ Status pago/recebido sem data",IF(AND($D575&lt;&gt;"",N($R575)=0),"⚠ Data de pagamento sem valor realizado",IF(AND(N($P575)&gt;1,N($O575)&gt;N($P575)),"⚠ Nº da parcela maior que o total",IF(AND($C575&lt;&gt;"",$B575&lt;&gt;"",$C575&lt;$B575),"⚠ Vencimento anterior à competência","OK"))))))))</f>
        <v/>
      </c>
    </row>
    <row r="576">
      <c r="A576" s="14" t="inlineStr">
        <is>
          <t>L0571</t>
        </is>
      </c>
      <c r="B576" s="36" t="n">
        <v>46384</v>
      </c>
      <c r="C576" s="36" t="n">
        <v>46384</v>
      </c>
      <c r="D576" s="36" t="n"/>
      <c r="E576" s="14" t="inlineStr">
        <is>
          <t>Saída</t>
        </is>
      </c>
      <c r="F576" s="29" t="inlineStr">
        <is>
          <t>Patrimônio Líquido</t>
        </is>
      </c>
      <c r="G576" s="29" t="inlineStr">
        <is>
          <t>Distribuição de Lucros aos Sócios</t>
        </is>
      </c>
      <c r="H576" s="29" t="inlineStr">
        <is>
          <t>Diretoria</t>
        </is>
      </c>
      <c r="I576" s="29" t="inlineStr">
        <is>
          <t>SÓCIOS — PRÓ-LABORE E DISTRIBUIÇÕES</t>
        </is>
      </c>
      <c r="J576" s="29" t="inlineStr">
        <is>
          <t>Distribuição de lucros do trimestre — 12/2026</t>
        </is>
      </c>
      <c r="K576" s="14" t="inlineStr">
        <is>
          <t>DIST-12</t>
        </is>
      </c>
      <c r="L576" s="29" t="inlineStr">
        <is>
          <t>Banco do Brasil — C/C 12345-6</t>
        </is>
      </c>
      <c r="M576" s="14" t="inlineStr">
        <is>
          <t>Transferência</t>
        </is>
      </c>
      <c r="N576" s="29" t="n"/>
      <c r="O576" s="13" t="n">
        <v>1</v>
      </c>
      <c r="P576" s="13" t="n">
        <v>1</v>
      </c>
      <c r="Q576" s="35" t="n">
        <v>12000</v>
      </c>
      <c r="R576" s="35" t="n"/>
      <c r="S576" s="35" t="n"/>
      <c r="T576" s="35" t="n"/>
      <c r="U576" s="35" t="n"/>
      <c r="V576" s="18">
        <f>IF(COUNTA($B576:$R576)=0,"",ROUND(N($R576)+N($S576)+N($T576)-N($U576),2))</f>
        <v/>
      </c>
      <c r="W576" s="18">
        <f>IF(COUNTA($B576:$R576)=0,"",IF(OR($X576="Pago",$X576="Recebido",$X576="Cancelado"),0,ROUND(N($Q576)+N($S576)+N($T576)-N($U576)-N($R576),2)))</f>
        <v/>
      </c>
      <c r="X576" s="14" t="inlineStr">
        <is>
          <t>Previsto</t>
        </is>
      </c>
      <c r="Y576" s="17">
        <f>IF(COUNTA($B576:$R576)=0,"",IF($X576="Cancelado","Cancelado",IF(OR($X576="Pago",$X576="Recebido"),$X576,IF(OR($X576="Parcial",N($R576)&gt;0),"Parcial",IF($C576="","Sem vencimento",IF($C576&lt;TODAY(),"Vencido",IF($C576=TODAY(),"Vence hoje",IF($C576&lt;=TODAY()+7,"Vence em 7 dias",IF($C576&lt;=TODAY()+30,"Vence em 30 dias","Futuro")))))))))</f>
        <v/>
      </c>
      <c r="Z576" s="24">
        <f>IF($B576="","",MONTH($B576))</f>
        <v/>
      </c>
      <c r="AA576" s="24">
        <f>IF($B576="","",YEAR($B576))</f>
        <v/>
      </c>
      <c r="AB576" s="24">
        <f>IF($B576="","",ISOWEEKNUM($B576))</f>
        <v/>
      </c>
      <c r="AC576" s="17">
        <f>IF($B576="","",CHOOSE(WEEKDAY($B576,2),"Segunda","Terça","Quarta","Quinta","Sexta","Sábado","Domingo"))</f>
        <v/>
      </c>
      <c r="AD576" s="17">
        <f>IF($B576="","",TEXT($B576,"MM/AAAA"))</f>
        <v/>
      </c>
      <c r="AE576" s="18">
        <f>IF(COUNTA($B576:$R576)=0,"",IF($X576="Cancelado",0,ROUND(N($Q576)+N($S576)+N($T576)-N($U576),2)))</f>
        <v/>
      </c>
      <c r="AF576" s="9">
        <f>IF($G576="","",IFERROR(INDEX(LINHAS_DRE_PLANO,MATCH($G576,SUBCATEGORIAS_PLANO,0)),"Não classificado"))</f>
        <v/>
      </c>
      <c r="AG576" s="17">
        <f>IF($G576="","",IFERROR(INDEX(TIPOS_FLUXO_PLANO,MATCH($G576,SUBCATEGORIAS_PLANO,0)),"Não classificado"))</f>
        <v/>
      </c>
      <c r="AH576" s="9">
        <f>IF($G576="","",IFERROR(INDEX(GRUPOS_PLANO,MATCH($G576,SUBCATEGORIAS_PLANO,0)),"Não classificado"))</f>
        <v/>
      </c>
      <c r="AI576" s="24">
        <f>IF(OR($C576="",$X576="Pago",$X576="Recebido",$X576="Cancelado"),"",$C576-TODAY())</f>
        <v/>
      </c>
      <c r="AJ576" s="24">
        <f>IF(OR($C576="",$X576="Pago",$X576="Recebido",$X576="Cancelado"),0,MAX(0,TODAY()-$C576))</f>
        <v/>
      </c>
      <c r="AK576" s="24">
        <f>IF($D576="","",$D576-$B576)</f>
        <v/>
      </c>
      <c r="AL576" s="18">
        <f>IF(OR($D576="",$B576=""),"",ROUND(N($R576)*($D576-$B576),2))</f>
        <v/>
      </c>
      <c r="AM576" s="17">
        <f>IF(AND($E576="Saída",$W576&gt;0,$C576&lt;&gt;""),$C576+ROW()/1000000,"")</f>
        <v/>
      </c>
      <c r="AN576" s="17">
        <f>IF(AND($E576="Entrada",$W576&gt;0,$C576&lt;&gt;""),$C576+ROW()/1000000,"")</f>
        <v/>
      </c>
      <c r="AO576" s="9">
        <f>IF(COUNTA($B576:$R576)=0,"",IF(AND($I576&lt;&gt;"",COUNTIF(CLIENTES_NOMES,$I576)+COUNTIF(CLIENTES_FANTASIA,$I576)+COUNTIF(FORNECEDORES_NOMES,$I576)+COUNTIF(FORNECEDORES_FANTASIA,$I576)=0),"⚠ Cliente/Fornecedor não cadastrado",IF(AND($G576&lt;&gt;"",COUNTIF(SUBCATEGORIAS_PLANO,$G576)=0),"⚠ Subcategoria fora do plano de contas",IF(OR($Q576="",N($Q576)=0),"⚠ Valor previsto não informado",IF(AND(OR($X576="Pago",$X576="Recebido"),$D576=""),"⚠ Status pago/recebido sem data",IF(AND($D576&lt;&gt;"",N($R576)=0),"⚠ Data de pagamento sem valor realizado",IF(AND(N($P576)&gt;1,N($O576)&gt;N($P576)),"⚠ Nº da parcela maior que o total",IF(AND($C576&lt;&gt;"",$B576&lt;&gt;"",$C576&lt;$B576),"⚠ Vencimento anterior à competência","OK"))))))))</f>
        <v/>
      </c>
    </row>
    <row r="577">
      <c r="A577" s="14" t="inlineStr">
        <is>
          <t>L0572</t>
        </is>
      </c>
      <c r="B577" s="36" t="n">
        <v>46397</v>
      </c>
      <c r="C577" s="36" t="n">
        <v>46397</v>
      </c>
      <c r="D577" s="36" t="n"/>
      <c r="E577" s="14" t="inlineStr">
        <is>
          <t>Saída</t>
        </is>
      </c>
      <c r="F577" s="29" t="inlineStr">
        <is>
          <t>Empréstimos e Financiamentos</t>
        </is>
      </c>
      <c r="G577" s="29" t="inlineStr">
        <is>
          <t>Pagamento de Principal de Empréstimos</t>
        </is>
      </c>
      <c r="H577" s="29" t="inlineStr">
        <is>
          <t>Financeiro</t>
        </is>
      </c>
      <c r="I577" s="29" t="inlineStr">
        <is>
          <t>Banco do Brasil</t>
        </is>
      </c>
      <c r="J577" s="29" t="inlineStr">
        <is>
          <t>Capital de Giro — parcela 12/24 (principal)</t>
        </is>
      </c>
      <c r="K577" s="14" t="inlineStr">
        <is>
          <t>CG-2026-0417-P12</t>
        </is>
      </c>
      <c r="L577" s="29" t="inlineStr">
        <is>
          <t>Banco do Brasil — C/C 12345-6</t>
        </is>
      </c>
      <c r="M577" s="14" t="inlineStr">
        <is>
          <t>Débito automático</t>
        </is>
      </c>
      <c r="N577" s="29" t="n"/>
      <c r="O577" s="13" t="n">
        <v>12</v>
      </c>
      <c r="P577" s="13" t="n">
        <v>24</v>
      </c>
      <c r="Q577" s="35" t="n">
        <v>2468.33</v>
      </c>
      <c r="R577" s="35" t="n"/>
      <c r="S577" s="35" t="n"/>
      <c r="T577" s="35" t="n"/>
      <c r="U577" s="35" t="n"/>
      <c r="V577" s="18">
        <f>IF(COUNTA($B577:$R577)=0,"",ROUND(N($R577)+N($S577)+N($T577)-N($U577),2))</f>
        <v/>
      </c>
      <c r="W577" s="18">
        <f>IF(COUNTA($B577:$R577)=0,"",IF(OR($X577="Pago",$X577="Recebido",$X577="Cancelado"),0,ROUND(N($Q577)+N($S577)+N($T577)-N($U577)-N($R577),2)))</f>
        <v/>
      </c>
      <c r="X577" s="14" t="inlineStr">
        <is>
          <t>Previsto</t>
        </is>
      </c>
      <c r="Y577" s="17">
        <f>IF(COUNTA($B577:$R577)=0,"",IF($X577="Cancelado","Cancelado",IF(OR($X577="Pago",$X577="Recebido"),$X577,IF(OR($X577="Parcial",N($R577)&gt;0),"Parcial",IF($C577="","Sem vencimento",IF($C577&lt;TODAY(),"Vencido",IF($C577=TODAY(),"Vence hoje",IF($C577&lt;=TODAY()+7,"Vence em 7 dias",IF($C577&lt;=TODAY()+30,"Vence em 30 dias","Futuro")))))))))</f>
        <v/>
      </c>
      <c r="Z577" s="24">
        <f>IF($B577="","",MONTH($B577))</f>
        <v/>
      </c>
      <c r="AA577" s="24">
        <f>IF($B577="","",YEAR($B577))</f>
        <v/>
      </c>
      <c r="AB577" s="24">
        <f>IF($B577="","",ISOWEEKNUM($B577))</f>
        <v/>
      </c>
      <c r="AC577" s="17">
        <f>IF($B577="","",CHOOSE(WEEKDAY($B577,2),"Segunda","Terça","Quarta","Quinta","Sexta","Sábado","Domingo"))</f>
        <v/>
      </c>
      <c r="AD577" s="17">
        <f>IF($B577="","",TEXT($B577,"MM/AAAA"))</f>
        <v/>
      </c>
      <c r="AE577" s="18">
        <f>IF(COUNTA($B577:$R577)=0,"",IF($X577="Cancelado",0,ROUND(N($Q577)+N($S577)+N($T577)-N($U577),2)))</f>
        <v/>
      </c>
      <c r="AF577" s="9">
        <f>IF($G577="","",IFERROR(INDEX(LINHAS_DRE_PLANO,MATCH($G577,SUBCATEGORIAS_PLANO,0)),"Não classificado"))</f>
        <v/>
      </c>
      <c r="AG577" s="17">
        <f>IF($G577="","",IFERROR(INDEX(TIPOS_FLUXO_PLANO,MATCH($G577,SUBCATEGORIAS_PLANO,0)),"Não classificado"))</f>
        <v/>
      </c>
      <c r="AH577" s="9">
        <f>IF($G577="","",IFERROR(INDEX(GRUPOS_PLANO,MATCH($G577,SUBCATEGORIAS_PLANO,0)),"Não classificado"))</f>
        <v/>
      </c>
      <c r="AI577" s="24">
        <f>IF(OR($C577="",$X577="Pago",$X577="Recebido",$X577="Cancelado"),"",$C577-TODAY())</f>
        <v/>
      </c>
      <c r="AJ577" s="24">
        <f>IF(OR($C577="",$X577="Pago",$X577="Recebido",$X577="Cancelado"),0,MAX(0,TODAY()-$C577))</f>
        <v/>
      </c>
      <c r="AK577" s="24">
        <f>IF($D577="","",$D577-$B577)</f>
        <v/>
      </c>
      <c r="AL577" s="18">
        <f>IF(OR($D577="",$B577=""),"",ROUND(N($R577)*($D577-$B577),2))</f>
        <v/>
      </c>
      <c r="AM577" s="17">
        <f>IF(AND($E577="Saída",$W577&gt;0,$C577&lt;&gt;""),$C577+ROW()/1000000,"")</f>
        <v/>
      </c>
      <c r="AN577" s="17">
        <f>IF(AND($E577="Entrada",$W577&gt;0,$C577&lt;&gt;""),$C577+ROW()/1000000,"")</f>
        <v/>
      </c>
      <c r="AO577" s="9">
        <f>IF(COUNTA($B577:$R577)=0,"",IF(AND($I577&lt;&gt;"",COUNTIF(CLIENTES_NOMES,$I577)+COUNTIF(CLIENTES_FANTASIA,$I577)+COUNTIF(FORNECEDORES_NOMES,$I577)+COUNTIF(FORNECEDORES_FANTASIA,$I577)=0),"⚠ Cliente/Fornecedor não cadastrado",IF(AND($G577&lt;&gt;"",COUNTIF(SUBCATEGORIAS_PLANO,$G577)=0),"⚠ Subcategoria fora do plano de contas",IF(OR($Q577="",N($Q577)=0),"⚠ Valor previsto não informado",IF(AND(OR($X577="Pago",$X577="Recebido"),$D577=""),"⚠ Status pago/recebido sem data",IF(AND($D577&lt;&gt;"",N($R577)=0),"⚠ Data de pagamento sem valor realizado",IF(AND(N($P577)&gt;1,N($O577)&gt;N($P577)),"⚠ Nº da parcela maior que o total",IF(AND($C577&lt;&gt;"",$B577&lt;&gt;"",$C577&lt;$B577),"⚠ Vencimento anterior à competência","OK"))))))))</f>
        <v/>
      </c>
    </row>
    <row r="578">
      <c r="A578" s="14" t="inlineStr">
        <is>
          <t>L0573</t>
        </is>
      </c>
      <c r="B578" s="36" t="n">
        <v>46397</v>
      </c>
      <c r="C578" s="36" t="n">
        <v>46397</v>
      </c>
      <c r="D578" s="36" t="n"/>
      <c r="E578" s="14" t="inlineStr">
        <is>
          <t>Saída</t>
        </is>
      </c>
      <c r="F578" s="29" t="inlineStr">
        <is>
          <t>Despesas Financeiras</t>
        </is>
      </c>
      <c r="G578" s="29" t="inlineStr">
        <is>
          <t>Juros de Empréstimos e Financiamentos</t>
        </is>
      </c>
      <c r="H578" s="29" t="inlineStr">
        <is>
          <t>Financeiro</t>
        </is>
      </c>
      <c r="I578" s="29" t="inlineStr">
        <is>
          <t>Banco do Brasil</t>
        </is>
      </c>
      <c r="J578" s="29" t="inlineStr">
        <is>
          <t>Capital de Giro — parcela 12/24 (juros)</t>
        </is>
      </c>
      <c r="K578" s="14" t="inlineStr">
        <is>
          <t>CG-2026-0417-P12</t>
        </is>
      </c>
      <c r="L578" s="29" t="inlineStr">
        <is>
          <t>Banco do Brasil — C/C 12345-6</t>
        </is>
      </c>
      <c r="M578" s="14" t="inlineStr">
        <is>
          <t>Débito automático</t>
        </is>
      </c>
      <c r="N578" s="29" t="n"/>
      <c r="O578" s="13" t="n">
        <v>12</v>
      </c>
      <c r="P578" s="13" t="n">
        <v>24</v>
      </c>
      <c r="Q578" s="35" t="n">
        <v>527.12</v>
      </c>
      <c r="R578" s="35" t="n"/>
      <c r="S578" s="35" t="n"/>
      <c r="T578" s="35" t="n"/>
      <c r="U578" s="35" t="n"/>
      <c r="V578" s="18">
        <f>IF(COUNTA($B578:$R578)=0,"",ROUND(N($R578)+N($S578)+N($T578)-N($U578),2))</f>
        <v/>
      </c>
      <c r="W578" s="18">
        <f>IF(COUNTA($B578:$R578)=0,"",IF(OR($X578="Pago",$X578="Recebido",$X578="Cancelado"),0,ROUND(N($Q578)+N($S578)+N($T578)-N($U578)-N($R578),2)))</f>
        <v/>
      </c>
      <c r="X578" s="14" t="inlineStr">
        <is>
          <t>Previsto</t>
        </is>
      </c>
      <c r="Y578" s="17">
        <f>IF(COUNTA($B578:$R578)=0,"",IF($X578="Cancelado","Cancelado",IF(OR($X578="Pago",$X578="Recebido"),$X578,IF(OR($X578="Parcial",N($R578)&gt;0),"Parcial",IF($C578="","Sem vencimento",IF($C578&lt;TODAY(),"Vencido",IF($C578=TODAY(),"Vence hoje",IF($C578&lt;=TODAY()+7,"Vence em 7 dias",IF($C578&lt;=TODAY()+30,"Vence em 30 dias","Futuro")))))))))</f>
        <v/>
      </c>
      <c r="Z578" s="24">
        <f>IF($B578="","",MONTH($B578))</f>
        <v/>
      </c>
      <c r="AA578" s="24">
        <f>IF($B578="","",YEAR($B578))</f>
        <v/>
      </c>
      <c r="AB578" s="24">
        <f>IF($B578="","",ISOWEEKNUM($B578))</f>
        <v/>
      </c>
      <c r="AC578" s="17">
        <f>IF($B578="","",CHOOSE(WEEKDAY($B578,2),"Segunda","Terça","Quarta","Quinta","Sexta","Sábado","Domingo"))</f>
        <v/>
      </c>
      <c r="AD578" s="17">
        <f>IF($B578="","",TEXT($B578,"MM/AAAA"))</f>
        <v/>
      </c>
      <c r="AE578" s="18">
        <f>IF(COUNTA($B578:$R578)=0,"",IF($X578="Cancelado",0,ROUND(N($Q578)+N($S578)+N($T578)-N($U578),2)))</f>
        <v/>
      </c>
      <c r="AF578" s="9">
        <f>IF($G578="","",IFERROR(INDEX(LINHAS_DRE_PLANO,MATCH($G578,SUBCATEGORIAS_PLANO,0)),"Não classificado"))</f>
        <v/>
      </c>
      <c r="AG578" s="17">
        <f>IF($G578="","",IFERROR(INDEX(TIPOS_FLUXO_PLANO,MATCH($G578,SUBCATEGORIAS_PLANO,0)),"Não classificado"))</f>
        <v/>
      </c>
      <c r="AH578" s="9">
        <f>IF($G578="","",IFERROR(INDEX(GRUPOS_PLANO,MATCH($G578,SUBCATEGORIAS_PLANO,0)),"Não classificado"))</f>
        <v/>
      </c>
      <c r="AI578" s="24">
        <f>IF(OR($C578="",$X578="Pago",$X578="Recebido",$X578="Cancelado"),"",$C578-TODAY())</f>
        <v/>
      </c>
      <c r="AJ578" s="24">
        <f>IF(OR($C578="",$X578="Pago",$X578="Recebido",$X578="Cancelado"),0,MAX(0,TODAY()-$C578))</f>
        <v/>
      </c>
      <c r="AK578" s="24">
        <f>IF($D578="","",$D578-$B578)</f>
        <v/>
      </c>
      <c r="AL578" s="18">
        <f>IF(OR($D578="",$B578=""),"",ROUND(N($R578)*($D578-$B578),2))</f>
        <v/>
      </c>
      <c r="AM578" s="17">
        <f>IF(AND($E578="Saída",$W578&gt;0,$C578&lt;&gt;""),$C578+ROW()/1000000,"")</f>
        <v/>
      </c>
      <c r="AN578" s="17">
        <f>IF(AND($E578="Entrada",$W578&gt;0,$C578&lt;&gt;""),$C578+ROW()/1000000,"")</f>
        <v/>
      </c>
      <c r="AO578" s="9">
        <f>IF(COUNTA($B578:$R578)=0,"",IF(AND($I578&lt;&gt;"",COUNTIF(CLIENTES_NOMES,$I578)+COUNTIF(CLIENTES_FANTASIA,$I578)+COUNTIF(FORNECEDORES_NOMES,$I578)+COUNTIF(FORNECEDORES_FANTASIA,$I578)=0),"⚠ Cliente/Fornecedor não cadastrado",IF(AND($G578&lt;&gt;"",COUNTIF(SUBCATEGORIAS_PLANO,$G578)=0),"⚠ Subcategoria fora do plano de contas",IF(OR($Q578="",N($Q578)=0),"⚠ Valor previsto não informado",IF(AND(OR($X578="Pago",$X578="Recebido"),$D578=""),"⚠ Status pago/recebido sem data",IF(AND($D578&lt;&gt;"",N($R578)=0),"⚠ Data de pagamento sem valor realizado",IF(AND(N($P578)&gt;1,N($O578)&gt;N($P578)),"⚠ Nº da parcela maior que o total",IF(AND($C578&lt;&gt;"",$B578&lt;&gt;"",$C578&lt;$B578),"⚠ Vencimento anterior à competência","OK"))))))))</f>
        <v/>
      </c>
    </row>
    <row r="579">
      <c r="A579" s="14" t="inlineStr">
        <is>
          <t>L0574</t>
        </is>
      </c>
      <c r="B579" s="36" t="n">
        <v>46402</v>
      </c>
      <c r="C579" s="36" t="n">
        <v>46402</v>
      </c>
      <c r="D579" s="36" t="n"/>
      <c r="E579" s="14" t="inlineStr">
        <is>
          <t>Saída</t>
        </is>
      </c>
      <c r="F579" s="29" t="inlineStr">
        <is>
          <t>Empréstimos e Financiamentos</t>
        </is>
      </c>
      <c r="G579" s="29" t="inlineStr">
        <is>
          <t>Pagamento de Principal de Empréstimos</t>
        </is>
      </c>
      <c r="H579" s="29" t="inlineStr">
        <is>
          <t>Financeiro</t>
        </is>
      </c>
      <c r="I579" s="29" t="inlineStr">
        <is>
          <t>BNDES / Banco do Brasil</t>
        </is>
      </c>
      <c r="J579" s="29" t="inlineStr">
        <is>
          <t>Financiamento de Máquinas — parcela 11/36 (principal)</t>
        </is>
      </c>
      <c r="K579" s="14" t="inlineStr">
        <is>
          <t>FIN-2026-1198-P11</t>
        </is>
      </c>
      <c r="L579" s="29" t="inlineStr">
        <is>
          <t>Banco do Brasil — C/C 12345-6</t>
        </is>
      </c>
      <c r="M579" s="14" t="inlineStr">
        <is>
          <t>Débito automático</t>
        </is>
      </c>
      <c r="N579" s="29" t="n"/>
      <c r="O579" s="13" t="n">
        <v>11</v>
      </c>
      <c r="P579" s="13" t="n">
        <v>36</v>
      </c>
      <c r="Q579" s="35" t="n">
        <v>3333.33</v>
      </c>
      <c r="R579" s="35" t="n"/>
      <c r="S579" s="35" t="n"/>
      <c r="T579" s="35" t="n"/>
      <c r="U579" s="35" t="n"/>
      <c r="V579" s="18">
        <f>IF(COUNTA($B579:$R579)=0,"",ROUND(N($R579)+N($S579)+N($T579)-N($U579),2))</f>
        <v/>
      </c>
      <c r="W579" s="18">
        <f>IF(COUNTA($B579:$R579)=0,"",IF(OR($X579="Pago",$X579="Recebido",$X579="Cancelado"),0,ROUND(N($Q579)+N($S579)+N($T579)-N($U579)-N($R579),2)))</f>
        <v/>
      </c>
      <c r="X579" s="14" t="inlineStr">
        <is>
          <t>Previsto</t>
        </is>
      </c>
      <c r="Y579" s="17">
        <f>IF(COUNTA($B579:$R579)=0,"",IF($X579="Cancelado","Cancelado",IF(OR($X579="Pago",$X579="Recebido"),$X579,IF(OR($X579="Parcial",N($R579)&gt;0),"Parcial",IF($C579="","Sem vencimento",IF($C579&lt;TODAY(),"Vencido",IF($C579=TODAY(),"Vence hoje",IF($C579&lt;=TODAY()+7,"Vence em 7 dias",IF($C579&lt;=TODAY()+30,"Vence em 30 dias","Futuro")))))))))</f>
        <v/>
      </c>
      <c r="Z579" s="24">
        <f>IF($B579="","",MONTH($B579))</f>
        <v/>
      </c>
      <c r="AA579" s="24">
        <f>IF($B579="","",YEAR($B579))</f>
        <v/>
      </c>
      <c r="AB579" s="24">
        <f>IF($B579="","",ISOWEEKNUM($B579))</f>
        <v/>
      </c>
      <c r="AC579" s="17">
        <f>IF($B579="","",CHOOSE(WEEKDAY($B579,2),"Segunda","Terça","Quarta","Quinta","Sexta","Sábado","Domingo"))</f>
        <v/>
      </c>
      <c r="AD579" s="17">
        <f>IF($B579="","",TEXT($B579,"MM/AAAA"))</f>
        <v/>
      </c>
      <c r="AE579" s="18">
        <f>IF(COUNTA($B579:$R579)=0,"",IF($X579="Cancelado",0,ROUND(N($Q579)+N($S579)+N($T579)-N($U579),2)))</f>
        <v/>
      </c>
      <c r="AF579" s="9">
        <f>IF($G579="","",IFERROR(INDEX(LINHAS_DRE_PLANO,MATCH($G579,SUBCATEGORIAS_PLANO,0)),"Não classificado"))</f>
        <v/>
      </c>
      <c r="AG579" s="17">
        <f>IF($G579="","",IFERROR(INDEX(TIPOS_FLUXO_PLANO,MATCH($G579,SUBCATEGORIAS_PLANO,0)),"Não classificado"))</f>
        <v/>
      </c>
      <c r="AH579" s="9">
        <f>IF($G579="","",IFERROR(INDEX(GRUPOS_PLANO,MATCH($G579,SUBCATEGORIAS_PLANO,0)),"Não classificado"))</f>
        <v/>
      </c>
      <c r="AI579" s="24">
        <f>IF(OR($C579="",$X579="Pago",$X579="Recebido",$X579="Cancelado"),"",$C579-TODAY())</f>
        <v/>
      </c>
      <c r="AJ579" s="24">
        <f>IF(OR($C579="",$X579="Pago",$X579="Recebido",$X579="Cancelado"),0,MAX(0,TODAY()-$C579))</f>
        <v/>
      </c>
      <c r="AK579" s="24">
        <f>IF($D579="","",$D579-$B579)</f>
        <v/>
      </c>
      <c r="AL579" s="18">
        <f>IF(OR($D579="",$B579=""),"",ROUND(N($R579)*($D579-$B579),2))</f>
        <v/>
      </c>
      <c r="AM579" s="17">
        <f>IF(AND($E579="Saída",$W579&gt;0,$C579&lt;&gt;""),$C579+ROW()/1000000,"")</f>
        <v/>
      </c>
      <c r="AN579" s="17">
        <f>IF(AND($E579="Entrada",$W579&gt;0,$C579&lt;&gt;""),$C579+ROW()/1000000,"")</f>
        <v/>
      </c>
      <c r="AO579" s="9">
        <f>IF(COUNTA($B579:$R579)=0,"",IF(AND($I579&lt;&gt;"",COUNTIF(CLIENTES_NOMES,$I579)+COUNTIF(CLIENTES_FANTASIA,$I579)+COUNTIF(FORNECEDORES_NOMES,$I579)+COUNTIF(FORNECEDORES_FANTASIA,$I579)=0),"⚠ Cliente/Fornecedor não cadastrado",IF(AND($G579&lt;&gt;"",COUNTIF(SUBCATEGORIAS_PLANO,$G579)=0),"⚠ Subcategoria fora do plano de contas",IF(OR($Q579="",N($Q579)=0),"⚠ Valor previsto não informado",IF(AND(OR($X579="Pago",$X579="Recebido"),$D579=""),"⚠ Status pago/recebido sem data",IF(AND($D579&lt;&gt;"",N($R579)=0),"⚠ Data de pagamento sem valor realizado",IF(AND(N($P579)&gt;1,N($O579)&gt;N($P579)),"⚠ Nº da parcela maior que o total",IF(AND($C579&lt;&gt;"",$B579&lt;&gt;"",$C579&lt;$B579),"⚠ Vencimento anterior à competência","OK"))))))))</f>
        <v/>
      </c>
    </row>
    <row r="580">
      <c r="A580" s="14" t="inlineStr">
        <is>
          <t>L0575</t>
        </is>
      </c>
      <c r="B580" s="36" t="n">
        <v>46402</v>
      </c>
      <c r="C580" s="36" t="n">
        <v>46402</v>
      </c>
      <c r="D580" s="36" t="n"/>
      <c r="E580" s="14" t="inlineStr">
        <is>
          <t>Saída</t>
        </is>
      </c>
      <c r="F580" s="29" t="inlineStr">
        <is>
          <t>Despesas Financeiras</t>
        </is>
      </c>
      <c r="G580" s="29" t="inlineStr">
        <is>
          <t>Juros de Empréstimos e Financiamentos</t>
        </is>
      </c>
      <c r="H580" s="29" t="inlineStr">
        <is>
          <t>Financeiro</t>
        </is>
      </c>
      <c r="I580" s="29" t="inlineStr">
        <is>
          <t>BNDES / Banco do Brasil</t>
        </is>
      </c>
      <c r="J580" s="29" t="inlineStr">
        <is>
          <t>Financiamento de Máquinas — parcela 11/36 (juros)</t>
        </is>
      </c>
      <c r="K580" s="14" t="inlineStr">
        <is>
          <t>FIN-2026-1198-P11</t>
        </is>
      </c>
      <c r="L580" s="29" t="inlineStr">
        <is>
          <t>Banco do Brasil — C/C 12345-6</t>
        </is>
      </c>
      <c r="M580" s="14" t="inlineStr">
        <is>
          <t>Débito automático</t>
        </is>
      </c>
      <c r="N580" s="29" t="n"/>
      <c r="O580" s="13" t="n">
        <v>11</v>
      </c>
      <c r="P580" s="13" t="n">
        <v>36</v>
      </c>
      <c r="Q580" s="35" t="n">
        <v>953.33</v>
      </c>
      <c r="R580" s="35" t="n"/>
      <c r="S580" s="35" t="n"/>
      <c r="T580" s="35" t="n"/>
      <c r="U580" s="35" t="n"/>
      <c r="V580" s="18">
        <f>IF(COUNTA($B580:$R580)=0,"",ROUND(N($R580)+N($S580)+N($T580)-N($U580),2))</f>
        <v/>
      </c>
      <c r="W580" s="18">
        <f>IF(COUNTA($B580:$R580)=0,"",IF(OR($X580="Pago",$X580="Recebido",$X580="Cancelado"),0,ROUND(N($Q580)+N($S580)+N($T580)-N($U580)-N($R580),2)))</f>
        <v/>
      </c>
      <c r="X580" s="14" t="inlineStr">
        <is>
          <t>Previsto</t>
        </is>
      </c>
      <c r="Y580" s="17">
        <f>IF(COUNTA($B580:$R580)=0,"",IF($X580="Cancelado","Cancelado",IF(OR($X580="Pago",$X580="Recebido"),$X580,IF(OR($X580="Parcial",N($R580)&gt;0),"Parcial",IF($C580="","Sem vencimento",IF($C580&lt;TODAY(),"Vencido",IF($C580=TODAY(),"Vence hoje",IF($C580&lt;=TODAY()+7,"Vence em 7 dias",IF($C580&lt;=TODAY()+30,"Vence em 30 dias","Futuro")))))))))</f>
        <v/>
      </c>
      <c r="Z580" s="24">
        <f>IF($B580="","",MONTH($B580))</f>
        <v/>
      </c>
      <c r="AA580" s="24">
        <f>IF($B580="","",YEAR($B580))</f>
        <v/>
      </c>
      <c r="AB580" s="24">
        <f>IF($B580="","",ISOWEEKNUM($B580))</f>
        <v/>
      </c>
      <c r="AC580" s="17">
        <f>IF($B580="","",CHOOSE(WEEKDAY($B580,2),"Segunda","Terça","Quarta","Quinta","Sexta","Sábado","Domingo"))</f>
        <v/>
      </c>
      <c r="AD580" s="17">
        <f>IF($B580="","",TEXT($B580,"MM/AAAA"))</f>
        <v/>
      </c>
      <c r="AE580" s="18">
        <f>IF(COUNTA($B580:$R580)=0,"",IF($X580="Cancelado",0,ROUND(N($Q580)+N($S580)+N($T580)-N($U580),2)))</f>
        <v/>
      </c>
      <c r="AF580" s="9">
        <f>IF($G580="","",IFERROR(INDEX(LINHAS_DRE_PLANO,MATCH($G580,SUBCATEGORIAS_PLANO,0)),"Não classificado"))</f>
        <v/>
      </c>
      <c r="AG580" s="17">
        <f>IF($G580="","",IFERROR(INDEX(TIPOS_FLUXO_PLANO,MATCH($G580,SUBCATEGORIAS_PLANO,0)),"Não classificado"))</f>
        <v/>
      </c>
      <c r="AH580" s="9">
        <f>IF($G580="","",IFERROR(INDEX(GRUPOS_PLANO,MATCH($G580,SUBCATEGORIAS_PLANO,0)),"Não classificado"))</f>
        <v/>
      </c>
      <c r="AI580" s="24">
        <f>IF(OR($C580="",$X580="Pago",$X580="Recebido",$X580="Cancelado"),"",$C580-TODAY())</f>
        <v/>
      </c>
      <c r="AJ580" s="24">
        <f>IF(OR($C580="",$X580="Pago",$X580="Recebido",$X580="Cancelado"),0,MAX(0,TODAY()-$C580))</f>
        <v/>
      </c>
      <c r="AK580" s="24">
        <f>IF($D580="","",$D580-$B580)</f>
        <v/>
      </c>
      <c r="AL580" s="18">
        <f>IF(OR($D580="",$B580=""),"",ROUND(N($R580)*($D580-$B580),2))</f>
        <v/>
      </c>
      <c r="AM580" s="17">
        <f>IF(AND($E580="Saída",$W580&gt;0,$C580&lt;&gt;""),$C580+ROW()/1000000,"")</f>
        <v/>
      </c>
      <c r="AN580" s="17">
        <f>IF(AND($E580="Entrada",$W580&gt;0,$C580&lt;&gt;""),$C580+ROW()/1000000,"")</f>
        <v/>
      </c>
      <c r="AO580" s="9">
        <f>IF(COUNTA($B580:$R580)=0,"",IF(AND($I580&lt;&gt;"",COUNTIF(CLIENTES_NOMES,$I580)+COUNTIF(CLIENTES_FANTASIA,$I580)+COUNTIF(FORNECEDORES_NOMES,$I580)+COUNTIF(FORNECEDORES_FANTASIA,$I580)=0),"⚠ Cliente/Fornecedor não cadastrado",IF(AND($G580&lt;&gt;"",COUNTIF(SUBCATEGORIAS_PLANO,$G580)=0),"⚠ Subcategoria fora do plano de contas",IF(OR($Q580="",N($Q580)=0),"⚠ Valor previsto não informado",IF(AND(OR($X580="Pago",$X580="Recebido"),$D580=""),"⚠ Status pago/recebido sem data",IF(AND($D580&lt;&gt;"",N($R580)=0),"⚠ Data de pagamento sem valor realizado",IF(AND(N($P580)&gt;1,N($O580)&gt;N($P580)),"⚠ Nº da parcela maior que o total",IF(AND($C580&lt;&gt;"",$B580&lt;&gt;"",$C580&lt;$B580),"⚠ Vencimento anterior à competência","OK"))))))))</f>
        <v/>
      </c>
    </row>
    <row r="581">
      <c r="A581" s="14" t="inlineStr">
        <is>
          <t>L0576</t>
        </is>
      </c>
      <c r="B581" s="36" t="n">
        <v>46407</v>
      </c>
      <c r="C581" s="36" t="n">
        <v>46407</v>
      </c>
      <c r="D581" s="36" t="n"/>
      <c r="E581" s="14" t="inlineStr">
        <is>
          <t>Saída</t>
        </is>
      </c>
      <c r="F581" s="29" t="inlineStr">
        <is>
          <t>Empréstimos e Financiamentos</t>
        </is>
      </c>
      <c r="G581" s="29" t="inlineStr">
        <is>
          <t>Pagamento de Principal de Empréstimos</t>
        </is>
      </c>
      <c r="H581" s="29" t="inlineStr">
        <is>
          <t>Diretoria</t>
        </is>
      </c>
      <c r="I581" s="29" t="inlineStr">
        <is>
          <t>Banco Santander</t>
        </is>
      </c>
      <c r="J581" s="29" t="inlineStr">
        <is>
          <t>Financiamento de Veículo — parcela 12/48 (principal)</t>
        </is>
      </c>
      <c r="K581" s="14" t="inlineStr">
        <is>
          <t>VEI-2026-0088-P12</t>
        </is>
      </c>
      <c r="L581" s="29" t="inlineStr">
        <is>
          <t>Itaú Unibanco — C/C 45678-9</t>
        </is>
      </c>
      <c r="M581" s="14" t="inlineStr">
        <is>
          <t>Débito automático</t>
        </is>
      </c>
      <c r="N581" s="29" t="n"/>
      <c r="O581" s="13" t="n">
        <v>12</v>
      </c>
      <c r="P581" s="13" t="n">
        <v>48</v>
      </c>
      <c r="Q581" s="35" t="n">
        <v>1406.04</v>
      </c>
      <c r="R581" s="35" t="n"/>
      <c r="S581" s="35" t="n"/>
      <c r="T581" s="35" t="n"/>
      <c r="U581" s="35" t="n"/>
      <c r="V581" s="18">
        <f>IF(COUNTA($B581:$R581)=0,"",ROUND(N($R581)+N($S581)+N($T581)-N($U581),2))</f>
        <v/>
      </c>
      <c r="W581" s="18">
        <f>IF(COUNTA($B581:$R581)=0,"",IF(OR($X581="Pago",$X581="Recebido",$X581="Cancelado"),0,ROUND(N($Q581)+N($S581)+N($T581)-N($U581)-N($R581),2)))</f>
        <v/>
      </c>
      <c r="X581" s="14" t="inlineStr">
        <is>
          <t>Previsto</t>
        </is>
      </c>
      <c r="Y581" s="17">
        <f>IF(COUNTA($B581:$R581)=0,"",IF($X581="Cancelado","Cancelado",IF(OR($X581="Pago",$X581="Recebido"),$X581,IF(OR($X581="Parcial",N($R581)&gt;0),"Parcial",IF($C581="","Sem vencimento",IF($C581&lt;TODAY(),"Vencido",IF($C581=TODAY(),"Vence hoje",IF($C581&lt;=TODAY()+7,"Vence em 7 dias",IF($C581&lt;=TODAY()+30,"Vence em 30 dias","Futuro")))))))))</f>
        <v/>
      </c>
      <c r="Z581" s="24">
        <f>IF($B581="","",MONTH($B581))</f>
        <v/>
      </c>
      <c r="AA581" s="24">
        <f>IF($B581="","",YEAR($B581))</f>
        <v/>
      </c>
      <c r="AB581" s="24">
        <f>IF($B581="","",ISOWEEKNUM($B581))</f>
        <v/>
      </c>
      <c r="AC581" s="17">
        <f>IF($B581="","",CHOOSE(WEEKDAY($B581,2),"Segunda","Terça","Quarta","Quinta","Sexta","Sábado","Domingo"))</f>
        <v/>
      </c>
      <c r="AD581" s="17">
        <f>IF($B581="","",TEXT($B581,"MM/AAAA"))</f>
        <v/>
      </c>
      <c r="AE581" s="18">
        <f>IF(COUNTA($B581:$R581)=0,"",IF($X581="Cancelado",0,ROUND(N($Q581)+N($S581)+N($T581)-N($U581),2)))</f>
        <v/>
      </c>
      <c r="AF581" s="9">
        <f>IF($G581="","",IFERROR(INDEX(LINHAS_DRE_PLANO,MATCH($G581,SUBCATEGORIAS_PLANO,0)),"Não classificado"))</f>
        <v/>
      </c>
      <c r="AG581" s="17">
        <f>IF($G581="","",IFERROR(INDEX(TIPOS_FLUXO_PLANO,MATCH($G581,SUBCATEGORIAS_PLANO,0)),"Não classificado"))</f>
        <v/>
      </c>
      <c r="AH581" s="9">
        <f>IF($G581="","",IFERROR(INDEX(GRUPOS_PLANO,MATCH($G581,SUBCATEGORIAS_PLANO,0)),"Não classificado"))</f>
        <v/>
      </c>
      <c r="AI581" s="24">
        <f>IF(OR($C581="",$X581="Pago",$X581="Recebido",$X581="Cancelado"),"",$C581-TODAY())</f>
        <v/>
      </c>
      <c r="AJ581" s="24">
        <f>IF(OR($C581="",$X581="Pago",$X581="Recebido",$X581="Cancelado"),0,MAX(0,TODAY()-$C581))</f>
        <v/>
      </c>
      <c r="AK581" s="24">
        <f>IF($D581="","",$D581-$B581)</f>
        <v/>
      </c>
      <c r="AL581" s="18">
        <f>IF(OR($D581="",$B581=""),"",ROUND(N($R581)*($D581-$B581),2))</f>
        <v/>
      </c>
      <c r="AM581" s="17">
        <f>IF(AND($E581="Saída",$W581&gt;0,$C581&lt;&gt;""),$C581+ROW()/1000000,"")</f>
        <v/>
      </c>
      <c r="AN581" s="17">
        <f>IF(AND($E581="Entrada",$W581&gt;0,$C581&lt;&gt;""),$C581+ROW()/1000000,"")</f>
        <v/>
      </c>
      <c r="AO581" s="9">
        <f>IF(COUNTA($B581:$R581)=0,"",IF(AND($I581&lt;&gt;"",COUNTIF(CLIENTES_NOMES,$I581)+COUNTIF(CLIENTES_FANTASIA,$I581)+COUNTIF(FORNECEDORES_NOMES,$I581)+COUNTIF(FORNECEDORES_FANTASIA,$I581)=0),"⚠ Cliente/Fornecedor não cadastrado",IF(AND($G581&lt;&gt;"",COUNTIF(SUBCATEGORIAS_PLANO,$G581)=0),"⚠ Subcategoria fora do plano de contas",IF(OR($Q581="",N($Q581)=0),"⚠ Valor previsto não informado",IF(AND(OR($X581="Pago",$X581="Recebido"),$D581=""),"⚠ Status pago/recebido sem data",IF(AND($D581&lt;&gt;"",N($R581)=0),"⚠ Data de pagamento sem valor realizado",IF(AND(N($P581)&gt;1,N($O581)&gt;N($P581)),"⚠ Nº da parcela maior que o total",IF(AND($C581&lt;&gt;"",$B581&lt;&gt;"",$C581&lt;$B581),"⚠ Vencimento anterior à competência","OK"))))))))</f>
        <v/>
      </c>
    </row>
    <row r="582">
      <c r="A582" s="14" t="inlineStr">
        <is>
          <t>L0577</t>
        </is>
      </c>
      <c r="B582" s="36" t="n">
        <v>46407</v>
      </c>
      <c r="C582" s="36" t="n">
        <v>46407</v>
      </c>
      <c r="D582" s="36" t="n"/>
      <c r="E582" s="14" t="inlineStr">
        <is>
          <t>Saída</t>
        </is>
      </c>
      <c r="F582" s="29" t="inlineStr">
        <is>
          <t>Despesas Financeiras</t>
        </is>
      </c>
      <c r="G582" s="29" t="inlineStr">
        <is>
          <t>Juros de Empréstimos e Financiamentos</t>
        </is>
      </c>
      <c r="H582" s="29" t="inlineStr">
        <is>
          <t>Diretoria</t>
        </is>
      </c>
      <c r="I582" s="29" t="inlineStr">
        <is>
          <t>Banco Santander</t>
        </is>
      </c>
      <c r="J582" s="29" t="inlineStr">
        <is>
          <t>Financiamento de Veículo — parcela 12/48 (juros)</t>
        </is>
      </c>
      <c r="K582" s="14" t="inlineStr">
        <is>
          <t>VEI-2026-0088-P12</t>
        </is>
      </c>
      <c r="L582" s="29" t="inlineStr">
        <is>
          <t>Itaú Unibanco — C/C 45678-9</t>
        </is>
      </c>
      <c r="M582" s="14" t="inlineStr">
        <is>
          <t>Débito automático</t>
        </is>
      </c>
      <c r="N582" s="29" t="n"/>
      <c r="O582" s="13" t="n">
        <v>12</v>
      </c>
      <c r="P582" s="13" t="n">
        <v>48</v>
      </c>
      <c r="Q582" s="35" t="n">
        <v>820.42</v>
      </c>
      <c r="R582" s="35" t="n"/>
      <c r="S582" s="35" t="n"/>
      <c r="T582" s="35" t="n"/>
      <c r="U582" s="35" t="n"/>
      <c r="V582" s="18">
        <f>IF(COUNTA($B582:$R582)=0,"",ROUND(N($R582)+N($S582)+N($T582)-N($U582),2))</f>
        <v/>
      </c>
      <c r="W582" s="18">
        <f>IF(COUNTA($B582:$R582)=0,"",IF(OR($X582="Pago",$X582="Recebido",$X582="Cancelado"),0,ROUND(N($Q582)+N($S582)+N($T582)-N($U582)-N($R582),2)))</f>
        <v/>
      </c>
      <c r="X582" s="14" t="inlineStr">
        <is>
          <t>Previsto</t>
        </is>
      </c>
      <c r="Y582" s="17">
        <f>IF(COUNTA($B582:$R582)=0,"",IF($X582="Cancelado","Cancelado",IF(OR($X582="Pago",$X582="Recebido"),$X582,IF(OR($X582="Parcial",N($R582)&gt;0),"Parcial",IF($C582="","Sem vencimento",IF($C582&lt;TODAY(),"Vencido",IF($C582=TODAY(),"Vence hoje",IF($C582&lt;=TODAY()+7,"Vence em 7 dias",IF($C582&lt;=TODAY()+30,"Vence em 30 dias","Futuro")))))))))</f>
        <v/>
      </c>
      <c r="Z582" s="24">
        <f>IF($B582="","",MONTH($B582))</f>
        <v/>
      </c>
      <c r="AA582" s="24">
        <f>IF($B582="","",YEAR($B582))</f>
        <v/>
      </c>
      <c r="AB582" s="24">
        <f>IF($B582="","",ISOWEEKNUM($B582))</f>
        <v/>
      </c>
      <c r="AC582" s="17">
        <f>IF($B582="","",CHOOSE(WEEKDAY($B582,2),"Segunda","Terça","Quarta","Quinta","Sexta","Sábado","Domingo"))</f>
        <v/>
      </c>
      <c r="AD582" s="17">
        <f>IF($B582="","",TEXT($B582,"MM/AAAA"))</f>
        <v/>
      </c>
      <c r="AE582" s="18">
        <f>IF(COUNTA($B582:$R582)=0,"",IF($X582="Cancelado",0,ROUND(N($Q582)+N($S582)+N($T582)-N($U582),2)))</f>
        <v/>
      </c>
      <c r="AF582" s="9">
        <f>IF($G582="","",IFERROR(INDEX(LINHAS_DRE_PLANO,MATCH($G582,SUBCATEGORIAS_PLANO,0)),"Não classificado"))</f>
        <v/>
      </c>
      <c r="AG582" s="17">
        <f>IF($G582="","",IFERROR(INDEX(TIPOS_FLUXO_PLANO,MATCH($G582,SUBCATEGORIAS_PLANO,0)),"Não classificado"))</f>
        <v/>
      </c>
      <c r="AH582" s="9">
        <f>IF($G582="","",IFERROR(INDEX(GRUPOS_PLANO,MATCH($G582,SUBCATEGORIAS_PLANO,0)),"Não classificado"))</f>
        <v/>
      </c>
      <c r="AI582" s="24">
        <f>IF(OR($C582="",$X582="Pago",$X582="Recebido",$X582="Cancelado"),"",$C582-TODAY())</f>
        <v/>
      </c>
      <c r="AJ582" s="24">
        <f>IF(OR($C582="",$X582="Pago",$X582="Recebido",$X582="Cancelado"),0,MAX(0,TODAY()-$C582))</f>
        <v/>
      </c>
      <c r="AK582" s="24">
        <f>IF($D582="","",$D582-$B582)</f>
        <v/>
      </c>
      <c r="AL582" s="18">
        <f>IF(OR($D582="",$B582=""),"",ROUND(N($R582)*($D582-$B582),2))</f>
        <v/>
      </c>
      <c r="AM582" s="17">
        <f>IF(AND($E582="Saída",$W582&gt;0,$C582&lt;&gt;""),$C582+ROW()/1000000,"")</f>
        <v/>
      </c>
      <c r="AN582" s="17">
        <f>IF(AND($E582="Entrada",$W582&gt;0,$C582&lt;&gt;""),$C582+ROW()/1000000,"")</f>
        <v/>
      </c>
      <c r="AO582" s="9">
        <f>IF(COUNTA($B582:$R582)=0,"",IF(AND($I582&lt;&gt;"",COUNTIF(CLIENTES_NOMES,$I582)+COUNTIF(CLIENTES_FANTASIA,$I582)+COUNTIF(FORNECEDORES_NOMES,$I582)+COUNTIF(FORNECEDORES_FANTASIA,$I582)=0),"⚠ Cliente/Fornecedor não cadastrado",IF(AND($G582&lt;&gt;"",COUNTIF(SUBCATEGORIAS_PLANO,$G582)=0),"⚠ Subcategoria fora do plano de contas",IF(OR($Q582="",N($Q582)=0),"⚠ Valor previsto não informado",IF(AND(OR($X582="Pago",$X582="Recebido"),$D582=""),"⚠ Status pago/recebido sem data",IF(AND($D582&lt;&gt;"",N($R582)=0),"⚠ Data de pagamento sem valor realizado",IF(AND(N($P582)&gt;1,N($O582)&gt;N($P582)),"⚠ Nº da parcela maior que o total",IF(AND($C582&lt;&gt;"",$B582&lt;&gt;"",$C582&lt;$B582),"⚠ Vencimento anterior à competência","OK"))))))))</f>
        <v/>
      </c>
    </row>
    <row r="583">
      <c r="A583" s="14" t="inlineStr">
        <is>
          <t>L0578</t>
        </is>
      </c>
      <c r="B583" s="36" t="n">
        <v>46428</v>
      </c>
      <c r="C583" s="36" t="n">
        <v>46428</v>
      </c>
      <c r="D583" s="36" t="n"/>
      <c r="E583" s="14" t="inlineStr">
        <is>
          <t>Saída</t>
        </is>
      </c>
      <c r="F583" s="29" t="inlineStr">
        <is>
          <t>Empréstimos e Financiamentos</t>
        </is>
      </c>
      <c r="G583" s="29" t="inlineStr">
        <is>
          <t>Pagamento de Principal de Empréstimos</t>
        </is>
      </c>
      <c r="H583" s="29" t="inlineStr">
        <is>
          <t>Financeiro</t>
        </is>
      </c>
      <c r="I583" s="29" t="inlineStr">
        <is>
          <t>Banco do Brasil</t>
        </is>
      </c>
      <c r="J583" s="29" t="inlineStr">
        <is>
          <t>Capital de Giro — parcela 13/24 (principal)</t>
        </is>
      </c>
      <c r="K583" s="14" t="inlineStr">
        <is>
          <t>CG-2026-0417-P13</t>
        </is>
      </c>
      <c r="L583" s="29" t="inlineStr">
        <is>
          <t>Banco do Brasil — C/C 12345-6</t>
        </is>
      </c>
      <c r="M583" s="14" t="inlineStr">
        <is>
          <t>Débito automático</t>
        </is>
      </c>
      <c r="N583" s="29" t="n"/>
      <c r="O583" s="13" t="n">
        <v>13</v>
      </c>
      <c r="P583" s="13" t="n">
        <v>24</v>
      </c>
      <c r="Q583" s="35" t="n">
        <v>2505.36</v>
      </c>
      <c r="R583" s="35" t="n"/>
      <c r="S583" s="35" t="n"/>
      <c r="T583" s="35" t="n"/>
      <c r="U583" s="35" t="n"/>
      <c r="V583" s="18">
        <f>IF(COUNTA($B583:$R583)=0,"",ROUND(N($R583)+N($S583)+N($T583)-N($U583),2))</f>
        <v/>
      </c>
      <c r="W583" s="18">
        <f>IF(COUNTA($B583:$R583)=0,"",IF(OR($X583="Pago",$X583="Recebido",$X583="Cancelado"),0,ROUND(N($Q583)+N($S583)+N($T583)-N($U583)-N($R583),2)))</f>
        <v/>
      </c>
      <c r="X583" s="14" t="inlineStr">
        <is>
          <t>Previsto</t>
        </is>
      </c>
      <c r="Y583" s="17">
        <f>IF(COUNTA($B583:$R583)=0,"",IF($X583="Cancelado","Cancelado",IF(OR($X583="Pago",$X583="Recebido"),$X583,IF(OR($X583="Parcial",N($R583)&gt;0),"Parcial",IF($C583="","Sem vencimento",IF($C583&lt;TODAY(),"Vencido",IF($C583=TODAY(),"Vence hoje",IF($C583&lt;=TODAY()+7,"Vence em 7 dias",IF($C583&lt;=TODAY()+30,"Vence em 30 dias","Futuro")))))))))</f>
        <v/>
      </c>
      <c r="Z583" s="24">
        <f>IF($B583="","",MONTH($B583))</f>
        <v/>
      </c>
      <c r="AA583" s="24">
        <f>IF($B583="","",YEAR($B583))</f>
        <v/>
      </c>
      <c r="AB583" s="24">
        <f>IF($B583="","",ISOWEEKNUM($B583))</f>
        <v/>
      </c>
      <c r="AC583" s="17">
        <f>IF($B583="","",CHOOSE(WEEKDAY($B583,2),"Segunda","Terça","Quarta","Quinta","Sexta","Sábado","Domingo"))</f>
        <v/>
      </c>
      <c r="AD583" s="17">
        <f>IF($B583="","",TEXT($B583,"MM/AAAA"))</f>
        <v/>
      </c>
      <c r="AE583" s="18">
        <f>IF(COUNTA($B583:$R583)=0,"",IF($X583="Cancelado",0,ROUND(N($Q583)+N($S583)+N($T583)-N($U583),2)))</f>
        <v/>
      </c>
      <c r="AF583" s="9">
        <f>IF($G583="","",IFERROR(INDEX(LINHAS_DRE_PLANO,MATCH($G583,SUBCATEGORIAS_PLANO,0)),"Não classificado"))</f>
        <v/>
      </c>
      <c r="AG583" s="17">
        <f>IF($G583="","",IFERROR(INDEX(TIPOS_FLUXO_PLANO,MATCH($G583,SUBCATEGORIAS_PLANO,0)),"Não classificado"))</f>
        <v/>
      </c>
      <c r="AH583" s="9">
        <f>IF($G583="","",IFERROR(INDEX(GRUPOS_PLANO,MATCH($G583,SUBCATEGORIAS_PLANO,0)),"Não classificado"))</f>
        <v/>
      </c>
      <c r="AI583" s="24">
        <f>IF(OR($C583="",$X583="Pago",$X583="Recebido",$X583="Cancelado"),"",$C583-TODAY())</f>
        <v/>
      </c>
      <c r="AJ583" s="24">
        <f>IF(OR($C583="",$X583="Pago",$X583="Recebido",$X583="Cancelado"),0,MAX(0,TODAY()-$C583))</f>
        <v/>
      </c>
      <c r="AK583" s="24">
        <f>IF($D583="","",$D583-$B583)</f>
        <v/>
      </c>
      <c r="AL583" s="18">
        <f>IF(OR($D583="",$B583=""),"",ROUND(N($R583)*($D583-$B583),2))</f>
        <v/>
      </c>
      <c r="AM583" s="17">
        <f>IF(AND($E583="Saída",$W583&gt;0,$C583&lt;&gt;""),$C583+ROW()/1000000,"")</f>
        <v/>
      </c>
      <c r="AN583" s="17">
        <f>IF(AND($E583="Entrada",$W583&gt;0,$C583&lt;&gt;""),$C583+ROW()/1000000,"")</f>
        <v/>
      </c>
      <c r="AO583" s="9">
        <f>IF(COUNTA($B583:$R583)=0,"",IF(AND($I583&lt;&gt;"",COUNTIF(CLIENTES_NOMES,$I583)+COUNTIF(CLIENTES_FANTASIA,$I583)+COUNTIF(FORNECEDORES_NOMES,$I583)+COUNTIF(FORNECEDORES_FANTASIA,$I583)=0),"⚠ Cliente/Fornecedor não cadastrado",IF(AND($G583&lt;&gt;"",COUNTIF(SUBCATEGORIAS_PLANO,$G583)=0),"⚠ Subcategoria fora do plano de contas",IF(OR($Q583="",N($Q583)=0),"⚠ Valor previsto não informado",IF(AND(OR($X583="Pago",$X583="Recebido"),$D583=""),"⚠ Status pago/recebido sem data",IF(AND($D583&lt;&gt;"",N($R583)=0),"⚠ Data de pagamento sem valor realizado",IF(AND(N($P583)&gt;1,N($O583)&gt;N($P583)),"⚠ Nº da parcela maior que o total",IF(AND($C583&lt;&gt;"",$B583&lt;&gt;"",$C583&lt;$B583),"⚠ Vencimento anterior à competência","OK"))))))))</f>
        <v/>
      </c>
    </row>
    <row r="584">
      <c r="A584" s="14" t="inlineStr">
        <is>
          <t>L0579</t>
        </is>
      </c>
      <c r="B584" s="36" t="n">
        <v>46428</v>
      </c>
      <c r="C584" s="36" t="n">
        <v>46428</v>
      </c>
      <c r="D584" s="36" t="n"/>
      <c r="E584" s="14" t="inlineStr">
        <is>
          <t>Saída</t>
        </is>
      </c>
      <c r="F584" s="29" t="inlineStr">
        <is>
          <t>Despesas Financeiras</t>
        </is>
      </c>
      <c r="G584" s="29" t="inlineStr">
        <is>
          <t>Juros de Empréstimos e Financiamentos</t>
        </is>
      </c>
      <c r="H584" s="29" t="inlineStr">
        <is>
          <t>Financeiro</t>
        </is>
      </c>
      <c r="I584" s="29" t="inlineStr">
        <is>
          <t>Banco do Brasil</t>
        </is>
      </c>
      <c r="J584" s="29" t="inlineStr">
        <is>
          <t>Capital de Giro — parcela 13/24 (juros)</t>
        </is>
      </c>
      <c r="K584" s="14" t="inlineStr">
        <is>
          <t>CG-2026-0417-P13</t>
        </is>
      </c>
      <c r="L584" s="29" t="inlineStr">
        <is>
          <t>Banco do Brasil — C/C 12345-6</t>
        </is>
      </c>
      <c r="M584" s="14" t="inlineStr">
        <is>
          <t>Débito automático</t>
        </is>
      </c>
      <c r="N584" s="29" t="n"/>
      <c r="O584" s="13" t="n">
        <v>13</v>
      </c>
      <c r="P584" s="13" t="n">
        <v>24</v>
      </c>
      <c r="Q584" s="35" t="n">
        <v>490.09</v>
      </c>
      <c r="R584" s="35" t="n"/>
      <c r="S584" s="35" t="n"/>
      <c r="T584" s="35" t="n"/>
      <c r="U584" s="35" t="n"/>
      <c r="V584" s="18">
        <f>IF(COUNTA($B584:$R584)=0,"",ROUND(N($R584)+N($S584)+N($T584)-N($U584),2))</f>
        <v/>
      </c>
      <c r="W584" s="18">
        <f>IF(COUNTA($B584:$R584)=0,"",IF(OR($X584="Pago",$X584="Recebido",$X584="Cancelado"),0,ROUND(N($Q584)+N($S584)+N($T584)-N($U584)-N($R584),2)))</f>
        <v/>
      </c>
      <c r="X584" s="14" t="inlineStr">
        <is>
          <t>Previsto</t>
        </is>
      </c>
      <c r="Y584" s="17">
        <f>IF(COUNTA($B584:$R584)=0,"",IF($X584="Cancelado","Cancelado",IF(OR($X584="Pago",$X584="Recebido"),$X584,IF(OR($X584="Parcial",N($R584)&gt;0),"Parcial",IF($C584="","Sem vencimento",IF($C584&lt;TODAY(),"Vencido",IF($C584=TODAY(),"Vence hoje",IF($C584&lt;=TODAY()+7,"Vence em 7 dias",IF($C584&lt;=TODAY()+30,"Vence em 30 dias","Futuro")))))))))</f>
        <v/>
      </c>
      <c r="Z584" s="24">
        <f>IF($B584="","",MONTH($B584))</f>
        <v/>
      </c>
      <c r="AA584" s="24">
        <f>IF($B584="","",YEAR($B584))</f>
        <v/>
      </c>
      <c r="AB584" s="24">
        <f>IF($B584="","",ISOWEEKNUM($B584))</f>
        <v/>
      </c>
      <c r="AC584" s="17">
        <f>IF($B584="","",CHOOSE(WEEKDAY($B584,2),"Segunda","Terça","Quarta","Quinta","Sexta","Sábado","Domingo"))</f>
        <v/>
      </c>
      <c r="AD584" s="17">
        <f>IF($B584="","",TEXT($B584,"MM/AAAA"))</f>
        <v/>
      </c>
      <c r="AE584" s="18">
        <f>IF(COUNTA($B584:$R584)=0,"",IF($X584="Cancelado",0,ROUND(N($Q584)+N($S584)+N($T584)-N($U584),2)))</f>
        <v/>
      </c>
      <c r="AF584" s="9">
        <f>IF($G584="","",IFERROR(INDEX(LINHAS_DRE_PLANO,MATCH($G584,SUBCATEGORIAS_PLANO,0)),"Não classificado"))</f>
        <v/>
      </c>
      <c r="AG584" s="17">
        <f>IF($G584="","",IFERROR(INDEX(TIPOS_FLUXO_PLANO,MATCH($G584,SUBCATEGORIAS_PLANO,0)),"Não classificado"))</f>
        <v/>
      </c>
      <c r="AH584" s="9">
        <f>IF($G584="","",IFERROR(INDEX(GRUPOS_PLANO,MATCH($G584,SUBCATEGORIAS_PLANO,0)),"Não classificado"))</f>
        <v/>
      </c>
      <c r="AI584" s="24">
        <f>IF(OR($C584="",$X584="Pago",$X584="Recebido",$X584="Cancelado"),"",$C584-TODAY())</f>
        <v/>
      </c>
      <c r="AJ584" s="24">
        <f>IF(OR($C584="",$X584="Pago",$X584="Recebido",$X584="Cancelado"),0,MAX(0,TODAY()-$C584))</f>
        <v/>
      </c>
      <c r="AK584" s="24">
        <f>IF($D584="","",$D584-$B584)</f>
        <v/>
      </c>
      <c r="AL584" s="18">
        <f>IF(OR($D584="",$B584=""),"",ROUND(N($R584)*($D584-$B584),2))</f>
        <v/>
      </c>
      <c r="AM584" s="17">
        <f>IF(AND($E584="Saída",$W584&gt;0,$C584&lt;&gt;""),$C584+ROW()/1000000,"")</f>
        <v/>
      </c>
      <c r="AN584" s="17">
        <f>IF(AND($E584="Entrada",$W584&gt;0,$C584&lt;&gt;""),$C584+ROW()/1000000,"")</f>
        <v/>
      </c>
      <c r="AO584" s="9">
        <f>IF(COUNTA($B584:$R584)=0,"",IF(AND($I584&lt;&gt;"",COUNTIF(CLIENTES_NOMES,$I584)+COUNTIF(CLIENTES_FANTASIA,$I584)+COUNTIF(FORNECEDORES_NOMES,$I584)+COUNTIF(FORNECEDORES_FANTASIA,$I584)=0),"⚠ Cliente/Fornecedor não cadastrado",IF(AND($G584&lt;&gt;"",COUNTIF(SUBCATEGORIAS_PLANO,$G584)=0),"⚠ Subcategoria fora do plano de contas",IF(OR($Q584="",N($Q584)=0),"⚠ Valor previsto não informado",IF(AND(OR($X584="Pago",$X584="Recebido"),$D584=""),"⚠ Status pago/recebido sem data",IF(AND($D584&lt;&gt;"",N($R584)=0),"⚠ Data de pagamento sem valor realizado",IF(AND(N($P584)&gt;1,N($O584)&gt;N($P584)),"⚠ Nº da parcela maior que o total",IF(AND($C584&lt;&gt;"",$B584&lt;&gt;"",$C584&lt;$B584),"⚠ Vencimento anterior à competência","OK"))))))))</f>
        <v/>
      </c>
    </row>
    <row r="585">
      <c r="A585" s="14" t="inlineStr">
        <is>
          <t>L0580</t>
        </is>
      </c>
      <c r="B585" s="36" t="n">
        <v>46433</v>
      </c>
      <c r="C585" s="36" t="n">
        <v>46433</v>
      </c>
      <c r="D585" s="36" t="n"/>
      <c r="E585" s="14" t="inlineStr">
        <is>
          <t>Saída</t>
        </is>
      </c>
      <c r="F585" s="29" t="inlineStr">
        <is>
          <t>Empréstimos e Financiamentos</t>
        </is>
      </c>
      <c r="G585" s="29" t="inlineStr">
        <is>
          <t>Pagamento de Principal de Empréstimos</t>
        </is>
      </c>
      <c r="H585" s="29" t="inlineStr">
        <is>
          <t>Financeiro</t>
        </is>
      </c>
      <c r="I585" s="29" t="inlineStr">
        <is>
          <t>BNDES / Banco do Brasil</t>
        </is>
      </c>
      <c r="J585" s="29" t="inlineStr">
        <is>
          <t>Financiamento de Máquinas — parcela 12/36 (principal)</t>
        </is>
      </c>
      <c r="K585" s="14" t="inlineStr">
        <is>
          <t>FIN-2026-1198-P12</t>
        </is>
      </c>
      <c r="L585" s="29" t="inlineStr">
        <is>
          <t>Banco do Brasil — C/C 12345-6</t>
        </is>
      </c>
      <c r="M585" s="14" t="inlineStr">
        <is>
          <t>Débito automático</t>
        </is>
      </c>
      <c r="N585" s="29" t="n"/>
      <c r="O585" s="13" t="n">
        <v>12</v>
      </c>
      <c r="P585" s="13" t="n">
        <v>36</v>
      </c>
      <c r="Q585" s="35" t="n">
        <v>3333.33</v>
      </c>
      <c r="R585" s="35" t="n"/>
      <c r="S585" s="35" t="n"/>
      <c r="T585" s="35" t="n"/>
      <c r="U585" s="35" t="n"/>
      <c r="V585" s="18">
        <f>IF(COUNTA($B585:$R585)=0,"",ROUND(N($R585)+N($S585)+N($T585)-N($U585),2))</f>
        <v/>
      </c>
      <c r="W585" s="18">
        <f>IF(COUNTA($B585:$R585)=0,"",IF(OR($X585="Pago",$X585="Recebido",$X585="Cancelado"),0,ROUND(N($Q585)+N($S585)+N($T585)-N($U585)-N($R585),2)))</f>
        <v/>
      </c>
      <c r="X585" s="14" t="inlineStr">
        <is>
          <t>Previsto</t>
        </is>
      </c>
      <c r="Y585" s="17">
        <f>IF(COUNTA($B585:$R585)=0,"",IF($X585="Cancelado","Cancelado",IF(OR($X585="Pago",$X585="Recebido"),$X585,IF(OR($X585="Parcial",N($R585)&gt;0),"Parcial",IF($C585="","Sem vencimento",IF($C585&lt;TODAY(),"Vencido",IF($C585=TODAY(),"Vence hoje",IF($C585&lt;=TODAY()+7,"Vence em 7 dias",IF($C585&lt;=TODAY()+30,"Vence em 30 dias","Futuro")))))))))</f>
        <v/>
      </c>
      <c r="Z585" s="24">
        <f>IF($B585="","",MONTH($B585))</f>
        <v/>
      </c>
      <c r="AA585" s="24">
        <f>IF($B585="","",YEAR($B585))</f>
        <v/>
      </c>
      <c r="AB585" s="24">
        <f>IF($B585="","",ISOWEEKNUM($B585))</f>
        <v/>
      </c>
      <c r="AC585" s="17">
        <f>IF($B585="","",CHOOSE(WEEKDAY($B585,2),"Segunda","Terça","Quarta","Quinta","Sexta","Sábado","Domingo"))</f>
        <v/>
      </c>
      <c r="AD585" s="17">
        <f>IF($B585="","",TEXT($B585,"MM/AAAA"))</f>
        <v/>
      </c>
      <c r="AE585" s="18">
        <f>IF(COUNTA($B585:$R585)=0,"",IF($X585="Cancelado",0,ROUND(N($Q585)+N($S585)+N($T585)-N($U585),2)))</f>
        <v/>
      </c>
      <c r="AF585" s="9">
        <f>IF($G585="","",IFERROR(INDEX(LINHAS_DRE_PLANO,MATCH($G585,SUBCATEGORIAS_PLANO,0)),"Não classificado"))</f>
        <v/>
      </c>
      <c r="AG585" s="17">
        <f>IF($G585="","",IFERROR(INDEX(TIPOS_FLUXO_PLANO,MATCH($G585,SUBCATEGORIAS_PLANO,0)),"Não classificado"))</f>
        <v/>
      </c>
      <c r="AH585" s="9">
        <f>IF($G585="","",IFERROR(INDEX(GRUPOS_PLANO,MATCH($G585,SUBCATEGORIAS_PLANO,0)),"Não classificado"))</f>
        <v/>
      </c>
      <c r="AI585" s="24">
        <f>IF(OR($C585="",$X585="Pago",$X585="Recebido",$X585="Cancelado"),"",$C585-TODAY())</f>
        <v/>
      </c>
      <c r="AJ585" s="24">
        <f>IF(OR($C585="",$X585="Pago",$X585="Recebido",$X585="Cancelado"),0,MAX(0,TODAY()-$C585))</f>
        <v/>
      </c>
      <c r="AK585" s="24">
        <f>IF($D585="","",$D585-$B585)</f>
        <v/>
      </c>
      <c r="AL585" s="18">
        <f>IF(OR($D585="",$B585=""),"",ROUND(N($R585)*($D585-$B585),2))</f>
        <v/>
      </c>
      <c r="AM585" s="17">
        <f>IF(AND($E585="Saída",$W585&gt;0,$C585&lt;&gt;""),$C585+ROW()/1000000,"")</f>
        <v/>
      </c>
      <c r="AN585" s="17">
        <f>IF(AND($E585="Entrada",$W585&gt;0,$C585&lt;&gt;""),$C585+ROW()/1000000,"")</f>
        <v/>
      </c>
      <c r="AO585" s="9">
        <f>IF(COUNTA($B585:$R585)=0,"",IF(AND($I585&lt;&gt;"",COUNTIF(CLIENTES_NOMES,$I585)+COUNTIF(CLIENTES_FANTASIA,$I585)+COUNTIF(FORNECEDORES_NOMES,$I585)+COUNTIF(FORNECEDORES_FANTASIA,$I585)=0),"⚠ Cliente/Fornecedor não cadastrado",IF(AND($G585&lt;&gt;"",COUNTIF(SUBCATEGORIAS_PLANO,$G585)=0),"⚠ Subcategoria fora do plano de contas",IF(OR($Q585="",N($Q585)=0),"⚠ Valor previsto não informado",IF(AND(OR($X585="Pago",$X585="Recebido"),$D585=""),"⚠ Status pago/recebido sem data",IF(AND($D585&lt;&gt;"",N($R585)=0),"⚠ Data de pagamento sem valor realizado",IF(AND(N($P585)&gt;1,N($O585)&gt;N($P585)),"⚠ Nº da parcela maior que o total",IF(AND($C585&lt;&gt;"",$B585&lt;&gt;"",$C585&lt;$B585),"⚠ Vencimento anterior à competência","OK"))))))))</f>
        <v/>
      </c>
    </row>
    <row r="586">
      <c r="A586" s="14" t="inlineStr">
        <is>
          <t>L0581</t>
        </is>
      </c>
      <c r="B586" s="36" t="n">
        <v>46433</v>
      </c>
      <c r="C586" s="36" t="n">
        <v>46433</v>
      </c>
      <c r="D586" s="36" t="n"/>
      <c r="E586" s="14" t="inlineStr">
        <is>
          <t>Saída</t>
        </is>
      </c>
      <c r="F586" s="29" t="inlineStr">
        <is>
          <t>Despesas Financeiras</t>
        </is>
      </c>
      <c r="G586" s="29" t="inlineStr">
        <is>
          <t>Juros de Empréstimos e Financiamentos</t>
        </is>
      </c>
      <c r="H586" s="29" t="inlineStr">
        <is>
          <t>Financeiro</t>
        </is>
      </c>
      <c r="I586" s="29" t="inlineStr">
        <is>
          <t>BNDES / Banco do Brasil</t>
        </is>
      </c>
      <c r="J586" s="29" t="inlineStr">
        <is>
          <t>Financiamento de Máquinas — parcela 12/36 (juros)</t>
        </is>
      </c>
      <c r="K586" s="14" t="inlineStr">
        <is>
          <t>FIN-2026-1198-P12</t>
        </is>
      </c>
      <c r="L586" s="29" t="inlineStr">
        <is>
          <t>Banco do Brasil — C/C 12345-6</t>
        </is>
      </c>
      <c r="M586" s="14" t="inlineStr">
        <is>
          <t>Débito automático</t>
        </is>
      </c>
      <c r="N586" s="29" t="n"/>
      <c r="O586" s="13" t="n">
        <v>12</v>
      </c>
      <c r="P586" s="13" t="n">
        <v>36</v>
      </c>
      <c r="Q586" s="35" t="n">
        <v>916.67</v>
      </c>
      <c r="R586" s="35" t="n"/>
      <c r="S586" s="35" t="n"/>
      <c r="T586" s="35" t="n"/>
      <c r="U586" s="35" t="n"/>
      <c r="V586" s="18">
        <f>IF(COUNTA($B586:$R586)=0,"",ROUND(N($R586)+N($S586)+N($T586)-N($U586),2))</f>
        <v/>
      </c>
      <c r="W586" s="18">
        <f>IF(COUNTA($B586:$R586)=0,"",IF(OR($X586="Pago",$X586="Recebido",$X586="Cancelado"),0,ROUND(N($Q586)+N($S586)+N($T586)-N($U586)-N($R586),2)))</f>
        <v/>
      </c>
      <c r="X586" s="14" t="inlineStr">
        <is>
          <t>Previsto</t>
        </is>
      </c>
      <c r="Y586" s="17">
        <f>IF(COUNTA($B586:$R586)=0,"",IF($X586="Cancelado","Cancelado",IF(OR($X586="Pago",$X586="Recebido"),$X586,IF(OR($X586="Parcial",N($R586)&gt;0),"Parcial",IF($C586="","Sem vencimento",IF($C586&lt;TODAY(),"Vencido",IF($C586=TODAY(),"Vence hoje",IF($C586&lt;=TODAY()+7,"Vence em 7 dias",IF($C586&lt;=TODAY()+30,"Vence em 30 dias","Futuro")))))))))</f>
        <v/>
      </c>
      <c r="Z586" s="24">
        <f>IF($B586="","",MONTH($B586))</f>
        <v/>
      </c>
      <c r="AA586" s="24">
        <f>IF($B586="","",YEAR($B586))</f>
        <v/>
      </c>
      <c r="AB586" s="24">
        <f>IF($B586="","",ISOWEEKNUM($B586))</f>
        <v/>
      </c>
      <c r="AC586" s="17">
        <f>IF($B586="","",CHOOSE(WEEKDAY($B586,2),"Segunda","Terça","Quarta","Quinta","Sexta","Sábado","Domingo"))</f>
        <v/>
      </c>
      <c r="AD586" s="17">
        <f>IF($B586="","",TEXT($B586,"MM/AAAA"))</f>
        <v/>
      </c>
      <c r="AE586" s="18">
        <f>IF(COUNTA($B586:$R586)=0,"",IF($X586="Cancelado",0,ROUND(N($Q586)+N($S586)+N($T586)-N($U586),2)))</f>
        <v/>
      </c>
      <c r="AF586" s="9">
        <f>IF($G586="","",IFERROR(INDEX(LINHAS_DRE_PLANO,MATCH($G586,SUBCATEGORIAS_PLANO,0)),"Não classificado"))</f>
        <v/>
      </c>
      <c r="AG586" s="17">
        <f>IF($G586="","",IFERROR(INDEX(TIPOS_FLUXO_PLANO,MATCH($G586,SUBCATEGORIAS_PLANO,0)),"Não classificado"))</f>
        <v/>
      </c>
      <c r="AH586" s="9">
        <f>IF($G586="","",IFERROR(INDEX(GRUPOS_PLANO,MATCH($G586,SUBCATEGORIAS_PLANO,0)),"Não classificado"))</f>
        <v/>
      </c>
      <c r="AI586" s="24">
        <f>IF(OR($C586="",$X586="Pago",$X586="Recebido",$X586="Cancelado"),"",$C586-TODAY())</f>
        <v/>
      </c>
      <c r="AJ586" s="24">
        <f>IF(OR($C586="",$X586="Pago",$X586="Recebido",$X586="Cancelado"),0,MAX(0,TODAY()-$C586))</f>
        <v/>
      </c>
      <c r="AK586" s="24">
        <f>IF($D586="","",$D586-$B586)</f>
        <v/>
      </c>
      <c r="AL586" s="18">
        <f>IF(OR($D586="",$B586=""),"",ROUND(N($R586)*($D586-$B586),2))</f>
        <v/>
      </c>
      <c r="AM586" s="17">
        <f>IF(AND($E586="Saída",$W586&gt;0,$C586&lt;&gt;""),$C586+ROW()/1000000,"")</f>
        <v/>
      </c>
      <c r="AN586" s="17">
        <f>IF(AND($E586="Entrada",$W586&gt;0,$C586&lt;&gt;""),$C586+ROW()/1000000,"")</f>
        <v/>
      </c>
      <c r="AO586" s="9">
        <f>IF(COUNTA($B586:$R586)=0,"",IF(AND($I586&lt;&gt;"",COUNTIF(CLIENTES_NOMES,$I586)+COUNTIF(CLIENTES_FANTASIA,$I586)+COUNTIF(FORNECEDORES_NOMES,$I586)+COUNTIF(FORNECEDORES_FANTASIA,$I586)=0),"⚠ Cliente/Fornecedor não cadastrado",IF(AND($G586&lt;&gt;"",COUNTIF(SUBCATEGORIAS_PLANO,$G586)=0),"⚠ Subcategoria fora do plano de contas",IF(OR($Q586="",N($Q586)=0),"⚠ Valor previsto não informado",IF(AND(OR($X586="Pago",$X586="Recebido"),$D586=""),"⚠ Status pago/recebido sem data",IF(AND($D586&lt;&gt;"",N($R586)=0),"⚠ Data de pagamento sem valor realizado",IF(AND(N($P586)&gt;1,N($O586)&gt;N($P586)),"⚠ Nº da parcela maior que o total",IF(AND($C586&lt;&gt;"",$B586&lt;&gt;"",$C586&lt;$B586),"⚠ Vencimento anterior à competência","OK"))))))))</f>
        <v/>
      </c>
    </row>
    <row r="587">
      <c r="A587" s="14" t="inlineStr">
        <is>
          <t>L0582</t>
        </is>
      </c>
      <c r="B587" s="36" t="n">
        <v>46438</v>
      </c>
      <c r="C587" s="36" t="n">
        <v>46438</v>
      </c>
      <c r="D587" s="36" t="n"/>
      <c r="E587" s="14" t="inlineStr">
        <is>
          <t>Saída</t>
        </is>
      </c>
      <c r="F587" s="29" t="inlineStr">
        <is>
          <t>Empréstimos e Financiamentos</t>
        </is>
      </c>
      <c r="G587" s="29" t="inlineStr">
        <is>
          <t>Pagamento de Principal de Empréstimos</t>
        </is>
      </c>
      <c r="H587" s="29" t="inlineStr">
        <is>
          <t>Diretoria</t>
        </is>
      </c>
      <c r="I587" s="29" t="inlineStr">
        <is>
          <t>Banco Santander</t>
        </is>
      </c>
      <c r="J587" s="29" t="inlineStr">
        <is>
          <t>Financiamento de Veículo — parcela 13/48 (principal)</t>
        </is>
      </c>
      <c r="K587" s="14" t="inlineStr">
        <is>
          <t>VEI-2026-0088-P13</t>
        </is>
      </c>
      <c r="L587" s="29" t="inlineStr">
        <is>
          <t>Itaú Unibanco — C/C 45678-9</t>
        </is>
      </c>
      <c r="M587" s="14" t="inlineStr">
        <is>
          <t>Débito automático</t>
        </is>
      </c>
      <c r="N587" s="29" t="n"/>
      <c r="O587" s="13" t="n">
        <v>13</v>
      </c>
      <c r="P587" s="13" t="n">
        <v>48</v>
      </c>
      <c r="Q587" s="35" t="n">
        <v>1423.62</v>
      </c>
      <c r="R587" s="35" t="n"/>
      <c r="S587" s="35" t="n"/>
      <c r="T587" s="35" t="n"/>
      <c r="U587" s="35" t="n"/>
      <c r="V587" s="18">
        <f>IF(COUNTA($B587:$R587)=0,"",ROUND(N($R587)+N($S587)+N($T587)-N($U587),2))</f>
        <v/>
      </c>
      <c r="W587" s="18">
        <f>IF(COUNTA($B587:$R587)=0,"",IF(OR($X587="Pago",$X587="Recebido",$X587="Cancelado"),0,ROUND(N($Q587)+N($S587)+N($T587)-N($U587)-N($R587),2)))</f>
        <v/>
      </c>
      <c r="X587" s="14" t="inlineStr">
        <is>
          <t>Previsto</t>
        </is>
      </c>
      <c r="Y587" s="17">
        <f>IF(COUNTA($B587:$R587)=0,"",IF($X587="Cancelado","Cancelado",IF(OR($X587="Pago",$X587="Recebido"),$X587,IF(OR($X587="Parcial",N($R587)&gt;0),"Parcial",IF($C587="","Sem vencimento",IF($C587&lt;TODAY(),"Vencido",IF($C587=TODAY(),"Vence hoje",IF($C587&lt;=TODAY()+7,"Vence em 7 dias",IF($C587&lt;=TODAY()+30,"Vence em 30 dias","Futuro")))))))))</f>
        <v/>
      </c>
      <c r="Z587" s="24">
        <f>IF($B587="","",MONTH($B587))</f>
        <v/>
      </c>
      <c r="AA587" s="24">
        <f>IF($B587="","",YEAR($B587))</f>
        <v/>
      </c>
      <c r="AB587" s="24">
        <f>IF($B587="","",ISOWEEKNUM($B587))</f>
        <v/>
      </c>
      <c r="AC587" s="17">
        <f>IF($B587="","",CHOOSE(WEEKDAY($B587,2),"Segunda","Terça","Quarta","Quinta","Sexta","Sábado","Domingo"))</f>
        <v/>
      </c>
      <c r="AD587" s="17">
        <f>IF($B587="","",TEXT($B587,"MM/AAAA"))</f>
        <v/>
      </c>
      <c r="AE587" s="18">
        <f>IF(COUNTA($B587:$R587)=0,"",IF($X587="Cancelado",0,ROUND(N($Q587)+N($S587)+N($T587)-N($U587),2)))</f>
        <v/>
      </c>
      <c r="AF587" s="9">
        <f>IF($G587="","",IFERROR(INDEX(LINHAS_DRE_PLANO,MATCH($G587,SUBCATEGORIAS_PLANO,0)),"Não classificado"))</f>
        <v/>
      </c>
      <c r="AG587" s="17">
        <f>IF($G587="","",IFERROR(INDEX(TIPOS_FLUXO_PLANO,MATCH($G587,SUBCATEGORIAS_PLANO,0)),"Não classificado"))</f>
        <v/>
      </c>
      <c r="AH587" s="9">
        <f>IF($G587="","",IFERROR(INDEX(GRUPOS_PLANO,MATCH($G587,SUBCATEGORIAS_PLANO,0)),"Não classificado"))</f>
        <v/>
      </c>
      <c r="AI587" s="24">
        <f>IF(OR($C587="",$X587="Pago",$X587="Recebido",$X587="Cancelado"),"",$C587-TODAY())</f>
        <v/>
      </c>
      <c r="AJ587" s="24">
        <f>IF(OR($C587="",$X587="Pago",$X587="Recebido",$X587="Cancelado"),0,MAX(0,TODAY()-$C587))</f>
        <v/>
      </c>
      <c r="AK587" s="24">
        <f>IF($D587="","",$D587-$B587)</f>
        <v/>
      </c>
      <c r="AL587" s="18">
        <f>IF(OR($D587="",$B587=""),"",ROUND(N($R587)*($D587-$B587),2))</f>
        <v/>
      </c>
      <c r="AM587" s="17">
        <f>IF(AND($E587="Saída",$W587&gt;0,$C587&lt;&gt;""),$C587+ROW()/1000000,"")</f>
        <v/>
      </c>
      <c r="AN587" s="17">
        <f>IF(AND($E587="Entrada",$W587&gt;0,$C587&lt;&gt;""),$C587+ROW()/1000000,"")</f>
        <v/>
      </c>
      <c r="AO587" s="9">
        <f>IF(COUNTA($B587:$R587)=0,"",IF(AND($I587&lt;&gt;"",COUNTIF(CLIENTES_NOMES,$I587)+COUNTIF(CLIENTES_FANTASIA,$I587)+COUNTIF(FORNECEDORES_NOMES,$I587)+COUNTIF(FORNECEDORES_FANTASIA,$I587)=0),"⚠ Cliente/Fornecedor não cadastrado",IF(AND($G587&lt;&gt;"",COUNTIF(SUBCATEGORIAS_PLANO,$G587)=0),"⚠ Subcategoria fora do plano de contas",IF(OR($Q587="",N($Q587)=0),"⚠ Valor previsto não informado",IF(AND(OR($X587="Pago",$X587="Recebido"),$D587=""),"⚠ Status pago/recebido sem data",IF(AND($D587&lt;&gt;"",N($R587)=0),"⚠ Data de pagamento sem valor realizado",IF(AND(N($P587)&gt;1,N($O587)&gt;N($P587)),"⚠ Nº da parcela maior que o total",IF(AND($C587&lt;&gt;"",$B587&lt;&gt;"",$C587&lt;$B587),"⚠ Vencimento anterior à competência","OK"))))))))</f>
        <v/>
      </c>
    </row>
    <row r="588">
      <c r="A588" s="14" t="inlineStr">
        <is>
          <t>L0583</t>
        </is>
      </c>
      <c r="B588" s="36" t="n">
        <v>46438</v>
      </c>
      <c r="C588" s="36" t="n">
        <v>46438</v>
      </c>
      <c r="D588" s="36" t="n"/>
      <c r="E588" s="14" t="inlineStr">
        <is>
          <t>Saída</t>
        </is>
      </c>
      <c r="F588" s="29" t="inlineStr">
        <is>
          <t>Despesas Financeiras</t>
        </is>
      </c>
      <c r="G588" s="29" t="inlineStr">
        <is>
          <t>Juros de Empréstimos e Financiamentos</t>
        </is>
      </c>
      <c r="H588" s="29" t="inlineStr">
        <is>
          <t>Diretoria</t>
        </is>
      </c>
      <c r="I588" s="29" t="inlineStr">
        <is>
          <t>Banco Santander</t>
        </is>
      </c>
      <c r="J588" s="29" t="inlineStr">
        <is>
          <t>Financiamento de Veículo — parcela 13/48 (juros)</t>
        </is>
      </c>
      <c r="K588" s="14" t="inlineStr">
        <is>
          <t>VEI-2026-0088-P13</t>
        </is>
      </c>
      <c r="L588" s="29" t="inlineStr">
        <is>
          <t>Itaú Unibanco — C/C 45678-9</t>
        </is>
      </c>
      <c r="M588" s="14" t="inlineStr">
        <is>
          <t>Débito automático</t>
        </is>
      </c>
      <c r="N588" s="29" t="n"/>
      <c r="O588" s="13" t="n">
        <v>13</v>
      </c>
      <c r="P588" s="13" t="n">
        <v>48</v>
      </c>
      <c r="Q588" s="35" t="n">
        <v>802.84</v>
      </c>
      <c r="R588" s="35" t="n"/>
      <c r="S588" s="35" t="n"/>
      <c r="T588" s="35" t="n"/>
      <c r="U588" s="35" t="n"/>
      <c r="V588" s="18">
        <f>IF(COUNTA($B588:$R588)=0,"",ROUND(N($R588)+N($S588)+N($T588)-N($U588),2))</f>
        <v/>
      </c>
      <c r="W588" s="18">
        <f>IF(COUNTA($B588:$R588)=0,"",IF(OR($X588="Pago",$X588="Recebido",$X588="Cancelado"),0,ROUND(N($Q588)+N($S588)+N($T588)-N($U588)-N($R588),2)))</f>
        <v/>
      </c>
      <c r="X588" s="14" t="inlineStr">
        <is>
          <t>Previsto</t>
        </is>
      </c>
      <c r="Y588" s="17">
        <f>IF(COUNTA($B588:$R588)=0,"",IF($X588="Cancelado","Cancelado",IF(OR($X588="Pago",$X588="Recebido"),$X588,IF(OR($X588="Parcial",N($R588)&gt;0),"Parcial",IF($C588="","Sem vencimento",IF($C588&lt;TODAY(),"Vencido",IF($C588=TODAY(),"Vence hoje",IF($C588&lt;=TODAY()+7,"Vence em 7 dias",IF($C588&lt;=TODAY()+30,"Vence em 30 dias","Futuro")))))))))</f>
        <v/>
      </c>
      <c r="Z588" s="24">
        <f>IF($B588="","",MONTH($B588))</f>
        <v/>
      </c>
      <c r="AA588" s="24">
        <f>IF($B588="","",YEAR($B588))</f>
        <v/>
      </c>
      <c r="AB588" s="24">
        <f>IF($B588="","",ISOWEEKNUM($B588))</f>
        <v/>
      </c>
      <c r="AC588" s="17">
        <f>IF($B588="","",CHOOSE(WEEKDAY($B588,2),"Segunda","Terça","Quarta","Quinta","Sexta","Sábado","Domingo"))</f>
        <v/>
      </c>
      <c r="AD588" s="17">
        <f>IF($B588="","",TEXT($B588,"MM/AAAA"))</f>
        <v/>
      </c>
      <c r="AE588" s="18">
        <f>IF(COUNTA($B588:$R588)=0,"",IF($X588="Cancelado",0,ROUND(N($Q588)+N($S588)+N($T588)-N($U588),2)))</f>
        <v/>
      </c>
      <c r="AF588" s="9">
        <f>IF($G588="","",IFERROR(INDEX(LINHAS_DRE_PLANO,MATCH($G588,SUBCATEGORIAS_PLANO,0)),"Não classificado"))</f>
        <v/>
      </c>
      <c r="AG588" s="17">
        <f>IF($G588="","",IFERROR(INDEX(TIPOS_FLUXO_PLANO,MATCH($G588,SUBCATEGORIAS_PLANO,0)),"Não classificado"))</f>
        <v/>
      </c>
      <c r="AH588" s="9">
        <f>IF($G588="","",IFERROR(INDEX(GRUPOS_PLANO,MATCH($G588,SUBCATEGORIAS_PLANO,0)),"Não classificado"))</f>
        <v/>
      </c>
      <c r="AI588" s="24">
        <f>IF(OR($C588="",$X588="Pago",$X588="Recebido",$X588="Cancelado"),"",$C588-TODAY())</f>
        <v/>
      </c>
      <c r="AJ588" s="24">
        <f>IF(OR($C588="",$X588="Pago",$X588="Recebido",$X588="Cancelado"),0,MAX(0,TODAY()-$C588))</f>
        <v/>
      </c>
      <c r="AK588" s="24">
        <f>IF($D588="","",$D588-$B588)</f>
        <v/>
      </c>
      <c r="AL588" s="18">
        <f>IF(OR($D588="",$B588=""),"",ROUND(N($R588)*($D588-$B588),2))</f>
        <v/>
      </c>
      <c r="AM588" s="17">
        <f>IF(AND($E588="Saída",$W588&gt;0,$C588&lt;&gt;""),$C588+ROW()/1000000,"")</f>
        <v/>
      </c>
      <c r="AN588" s="17">
        <f>IF(AND($E588="Entrada",$W588&gt;0,$C588&lt;&gt;""),$C588+ROW()/1000000,"")</f>
        <v/>
      </c>
      <c r="AO588" s="9">
        <f>IF(COUNTA($B588:$R588)=0,"",IF(AND($I588&lt;&gt;"",COUNTIF(CLIENTES_NOMES,$I588)+COUNTIF(CLIENTES_FANTASIA,$I588)+COUNTIF(FORNECEDORES_NOMES,$I588)+COUNTIF(FORNECEDORES_FANTASIA,$I588)=0),"⚠ Cliente/Fornecedor não cadastrado",IF(AND($G588&lt;&gt;"",COUNTIF(SUBCATEGORIAS_PLANO,$G588)=0),"⚠ Subcategoria fora do plano de contas",IF(OR($Q588="",N($Q588)=0),"⚠ Valor previsto não informado",IF(AND(OR($X588="Pago",$X588="Recebido"),$D588=""),"⚠ Status pago/recebido sem data",IF(AND($D588&lt;&gt;"",N($R588)=0),"⚠ Data de pagamento sem valor realizado",IF(AND(N($P588)&gt;1,N($O588)&gt;N($P588)),"⚠ Nº da parcela maior que o total",IF(AND($C588&lt;&gt;"",$B588&lt;&gt;"",$C588&lt;$B588),"⚠ Vencimento anterior à competência","OK"))))))))</f>
        <v/>
      </c>
    </row>
    <row r="589">
      <c r="A589" s="14" t="inlineStr">
        <is>
          <t>L0584</t>
        </is>
      </c>
      <c r="B589" s="36" t="n">
        <v>46456</v>
      </c>
      <c r="C589" s="36" t="n">
        <v>46456</v>
      </c>
      <c r="D589" s="36" t="n"/>
      <c r="E589" s="14" t="inlineStr">
        <is>
          <t>Saída</t>
        </is>
      </c>
      <c r="F589" s="29" t="inlineStr">
        <is>
          <t>Empréstimos e Financiamentos</t>
        </is>
      </c>
      <c r="G589" s="29" t="inlineStr">
        <is>
          <t>Pagamento de Principal de Empréstimos</t>
        </is>
      </c>
      <c r="H589" s="29" t="inlineStr">
        <is>
          <t>Financeiro</t>
        </is>
      </c>
      <c r="I589" s="29" t="inlineStr">
        <is>
          <t>Banco do Brasil</t>
        </is>
      </c>
      <c r="J589" s="29" t="inlineStr">
        <is>
          <t>Capital de Giro — parcela 14/24 (principal)</t>
        </is>
      </c>
      <c r="K589" s="14" t="inlineStr">
        <is>
          <t>CG-2026-0417-P14</t>
        </is>
      </c>
      <c r="L589" s="29" t="inlineStr">
        <is>
          <t>Banco do Brasil — C/C 12345-6</t>
        </is>
      </c>
      <c r="M589" s="14" t="inlineStr">
        <is>
          <t>Débito automático</t>
        </is>
      </c>
      <c r="N589" s="29" t="n"/>
      <c r="O589" s="13" t="n">
        <v>14</v>
      </c>
      <c r="P589" s="13" t="n">
        <v>24</v>
      </c>
      <c r="Q589" s="35" t="n">
        <v>2542.94</v>
      </c>
      <c r="R589" s="35" t="n"/>
      <c r="S589" s="35" t="n"/>
      <c r="T589" s="35" t="n"/>
      <c r="U589" s="35" t="n"/>
      <c r="V589" s="18">
        <f>IF(COUNTA($B589:$R589)=0,"",ROUND(N($R589)+N($S589)+N($T589)-N($U589),2))</f>
        <v/>
      </c>
      <c r="W589" s="18">
        <f>IF(COUNTA($B589:$R589)=0,"",IF(OR($X589="Pago",$X589="Recebido",$X589="Cancelado"),0,ROUND(N($Q589)+N($S589)+N($T589)-N($U589)-N($R589),2)))</f>
        <v/>
      </c>
      <c r="X589" s="14" t="inlineStr">
        <is>
          <t>Previsto</t>
        </is>
      </c>
      <c r="Y589" s="17">
        <f>IF(COUNTA($B589:$R589)=0,"",IF($X589="Cancelado","Cancelado",IF(OR($X589="Pago",$X589="Recebido"),$X589,IF(OR($X589="Parcial",N($R589)&gt;0),"Parcial",IF($C589="","Sem vencimento",IF($C589&lt;TODAY(),"Vencido",IF($C589=TODAY(),"Vence hoje",IF($C589&lt;=TODAY()+7,"Vence em 7 dias",IF($C589&lt;=TODAY()+30,"Vence em 30 dias","Futuro")))))))))</f>
        <v/>
      </c>
      <c r="Z589" s="24">
        <f>IF($B589="","",MONTH($B589))</f>
        <v/>
      </c>
      <c r="AA589" s="24">
        <f>IF($B589="","",YEAR($B589))</f>
        <v/>
      </c>
      <c r="AB589" s="24">
        <f>IF($B589="","",ISOWEEKNUM($B589))</f>
        <v/>
      </c>
      <c r="AC589" s="17">
        <f>IF($B589="","",CHOOSE(WEEKDAY($B589,2),"Segunda","Terça","Quarta","Quinta","Sexta","Sábado","Domingo"))</f>
        <v/>
      </c>
      <c r="AD589" s="17">
        <f>IF($B589="","",TEXT($B589,"MM/AAAA"))</f>
        <v/>
      </c>
      <c r="AE589" s="18">
        <f>IF(COUNTA($B589:$R589)=0,"",IF($X589="Cancelado",0,ROUND(N($Q589)+N($S589)+N($T589)-N($U589),2)))</f>
        <v/>
      </c>
      <c r="AF589" s="9">
        <f>IF($G589="","",IFERROR(INDEX(LINHAS_DRE_PLANO,MATCH($G589,SUBCATEGORIAS_PLANO,0)),"Não classificado"))</f>
        <v/>
      </c>
      <c r="AG589" s="17">
        <f>IF($G589="","",IFERROR(INDEX(TIPOS_FLUXO_PLANO,MATCH($G589,SUBCATEGORIAS_PLANO,0)),"Não classificado"))</f>
        <v/>
      </c>
      <c r="AH589" s="9">
        <f>IF($G589="","",IFERROR(INDEX(GRUPOS_PLANO,MATCH($G589,SUBCATEGORIAS_PLANO,0)),"Não classificado"))</f>
        <v/>
      </c>
      <c r="AI589" s="24">
        <f>IF(OR($C589="",$X589="Pago",$X589="Recebido",$X589="Cancelado"),"",$C589-TODAY())</f>
        <v/>
      </c>
      <c r="AJ589" s="24">
        <f>IF(OR($C589="",$X589="Pago",$X589="Recebido",$X589="Cancelado"),0,MAX(0,TODAY()-$C589))</f>
        <v/>
      </c>
      <c r="AK589" s="24">
        <f>IF($D589="","",$D589-$B589)</f>
        <v/>
      </c>
      <c r="AL589" s="18">
        <f>IF(OR($D589="",$B589=""),"",ROUND(N($R589)*($D589-$B589),2))</f>
        <v/>
      </c>
      <c r="AM589" s="17">
        <f>IF(AND($E589="Saída",$W589&gt;0,$C589&lt;&gt;""),$C589+ROW()/1000000,"")</f>
        <v/>
      </c>
      <c r="AN589" s="17">
        <f>IF(AND($E589="Entrada",$W589&gt;0,$C589&lt;&gt;""),$C589+ROW()/1000000,"")</f>
        <v/>
      </c>
      <c r="AO589" s="9">
        <f>IF(COUNTA($B589:$R589)=0,"",IF(AND($I589&lt;&gt;"",COUNTIF(CLIENTES_NOMES,$I589)+COUNTIF(CLIENTES_FANTASIA,$I589)+COUNTIF(FORNECEDORES_NOMES,$I589)+COUNTIF(FORNECEDORES_FANTASIA,$I589)=0),"⚠ Cliente/Fornecedor não cadastrado",IF(AND($G589&lt;&gt;"",COUNTIF(SUBCATEGORIAS_PLANO,$G589)=0),"⚠ Subcategoria fora do plano de contas",IF(OR($Q589="",N($Q589)=0),"⚠ Valor previsto não informado",IF(AND(OR($X589="Pago",$X589="Recebido"),$D589=""),"⚠ Status pago/recebido sem data",IF(AND($D589&lt;&gt;"",N($R589)=0),"⚠ Data de pagamento sem valor realizado",IF(AND(N($P589)&gt;1,N($O589)&gt;N($P589)),"⚠ Nº da parcela maior que o total",IF(AND($C589&lt;&gt;"",$B589&lt;&gt;"",$C589&lt;$B589),"⚠ Vencimento anterior à competência","OK"))))))))</f>
        <v/>
      </c>
    </row>
    <row r="590">
      <c r="A590" s="14" t="inlineStr">
        <is>
          <t>L0585</t>
        </is>
      </c>
      <c r="B590" s="36" t="n">
        <v>46456</v>
      </c>
      <c r="C590" s="36" t="n">
        <v>46456</v>
      </c>
      <c r="D590" s="36" t="n"/>
      <c r="E590" s="14" t="inlineStr">
        <is>
          <t>Saída</t>
        </is>
      </c>
      <c r="F590" s="29" t="inlineStr">
        <is>
          <t>Despesas Financeiras</t>
        </is>
      </c>
      <c r="G590" s="29" t="inlineStr">
        <is>
          <t>Juros de Empréstimos e Financiamentos</t>
        </is>
      </c>
      <c r="H590" s="29" t="inlineStr">
        <is>
          <t>Financeiro</t>
        </is>
      </c>
      <c r="I590" s="29" t="inlineStr">
        <is>
          <t>Banco do Brasil</t>
        </is>
      </c>
      <c r="J590" s="29" t="inlineStr">
        <is>
          <t>Capital de Giro — parcela 14/24 (juros)</t>
        </is>
      </c>
      <c r="K590" s="14" t="inlineStr">
        <is>
          <t>CG-2026-0417-P14</t>
        </is>
      </c>
      <c r="L590" s="29" t="inlineStr">
        <is>
          <t>Banco do Brasil — C/C 12345-6</t>
        </is>
      </c>
      <c r="M590" s="14" t="inlineStr">
        <is>
          <t>Débito automático</t>
        </is>
      </c>
      <c r="N590" s="29" t="n"/>
      <c r="O590" s="13" t="n">
        <v>14</v>
      </c>
      <c r="P590" s="13" t="n">
        <v>24</v>
      </c>
      <c r="Q590" s="35" t="n">
        <v>452.51</v>
      </c>
      <c r="R590" s="35" t="n"/>
      <c r="S590" s="35" t="n"/>
      <c r="T590" s="35" t="n"/>
      <c r="U590" s="35" t="n"/>
      <c r="V590" s="18">
        <f>IF(COUNTA($B590:$R590)=0,"",ROUND(N($R590)+N($S590)+N($T590)-N($U590),2))</f>
        <v/>
      </c>
      <c r="W590" s="18">
        <f>IF(COUNTA($B590:$R590)=0,"",IF(OR($X590="Pago",$X590="Recebido",$X590="Cancelado"),0,ROUND(N($Q590)+N($S590)+N($T590)-N($U590)-N($R590),2)))</f>
        <v/>
      </c>
      <c r="X590" s="14" t="inlineStr">
        <is>
          <t>Previsto</t>
        </is>
      </c>
      <c r="Y590" s="17">
        <f>IF(COUNTA($B590:$R590)=0,"",IF($X590="Cancelado","Cancelado",IF(OR($X590="Pago",$X590="Recebido"),$X590,IF(OR($X590="Parcial",N($R590)&gt;0),"Parcial",IF($C590="","Sem vencimento",IF($C590&lt;TODAY(),"Vencido",IF($C590=TODAY(),"Vence hoje",IF($C590&lt;=TODAY()+7,"Vence em 7 dias",IF($C590&lt;=TODAY()+30,"Vence em 30 dias","Futuro")))))))))</f>
        <v/>
      </c>
      <c r="Z590" s="24">
        <f>IF($B590="","",MONTH($B590))</f>
        <v/>
      </c>
      <c r="AA590" s="24">
        <f>IF($B590="","",YEAR($B590))</f>
        <v/>
      </c>
      <c r="AB590" s="24">
        <f>IF($B590="","",ISOWEEKNUM($B590))</f>
        <v/>
      </c>
      <c r="AC590" s="17">
        <f>IF($B590="","",CHOOSE(WEEKDAY($B590,2),"Segunda","Terça","Quarta","Quinta","Sexta","Sábado","Domingo"))</f>
        <v/>
      </c>
      <c r="AD590" s="17">
        <f>IF($B590="","",TEXT($B590,"MM/AAAA"))</f>
        <v/>
      </c>
      <c r="AE590" s="18">
        <f>IF(COUNTA($B590:$R590)=0,"",IF($X590="Cancelado",0,ROUND(N($Q590)+N($S590)+N($T590)-N($U590),2)))</f>
        <v/>
      </c>
      <c r="AF590" s="9">
        <f>IF($G590="","",IFERROR(INDEX(LINHAS_DRE_PLANO,MATCH($G590,SUBCATEGORIAS_PLANO,0)),"Não classificado"))</f>
        <v/>
      </c>
      <c r="AG590" s="17">
        <f>IF($G590="","",IFERROR(INDEX(TIPOS_FLUXO_PLANO,MATCH($G590,SUBCATEGORIAS_PLANO,0)),"Não classificado"))</f>
        <v/>
      </c>
      <c r="AH590" s="9">
        <f>IF($G590="","",IFERROR(INDEX(GRUPOS_PLANO,MATCH($G590,SUBCATEGORIAS_PLANO,0)),"Não classificado"))</f>
        <v/>
      </c>
      <c r="AI590" s="24">
        <f>IF(OR($C590="",$X590="Pago",$X590="Recebido",$X590="Cancelado"),"",$C590-TODAY())</f>
        <v/>
      </c>
      <c r="AJ590" s="24">
        <f>IF(OR($C590="",$X590="Pago",$X590="Recebido",$X590="Cancelado"),0,MAX(0,TODAY()-$C590))</f>
        <v/>
      </c>
      <c r="AK590" s="24">
        <f>IF($D590="","",$D590-$B590)</f>
        <v/>
      </c>
      <c r="AL590" s="18">
        <f>IF(OR($D590="",$B590=""),"",ROUND(N($R590)*($D590-$B590),2))</f>
        <v/>
      </c>
      <c r="AM590" s="17">
        <f>IF(AND($E590="Saída",$W590&gt;0,$C590&lt;&gt;""),$C590+ROW()/1000000,"")</f>
        <v/>
      </c>
      <c r="AN590" s="17">
        <f>IF(AND($E590="Entrada",$W590&gt;0,$C590&lt;&gt;""),$C590+ROW()/1000000,"")</f>
        <v/>
      </c>
      <c r="AO590" s="9">
        <f>IF(COUNTA($B590:$R590)=0,"",IF(AND($I590&lt;&gt;"",COUNTIF(CLIENTES_NOMES,$I590)+COUNTIF(CLIENTES_FANTASIA,$I590)+COUNTIF(FORNECEDORES_NOMES,$I590)+COUNTIF(FORNECEDORES_FANTASIA,$I590)=0),"⚠ Cliente/Fornecedor não cadastrado",IF(AND($G590&lt;&gt;"",COUNTIF(SUBCATEGORIAS_PLANO,$G590)=0),"⚠ Subcategoria fora do plano de contas",IF(OR($Q590="",N($Q590)=0),"⚠ Valor previsto não informado",IF(AND(OR($X590="Pago",$X590="Recebido"),$D590=""),"⚠ Status pago/recebido sem data",IF(AND($D590&lt;&gt;"",N($R590)=0),"⚠ Data de pagamento sem valor realizado",IF(AND(N($P590)&gt;1,N($O590)&gt;N($P590)),"⚠ Nº da parcela maior que o total",IF(AND($C590&lt;&gt;"",$B590&lt;&gt;"",$C590&lt;$B590),"⚠ Vencimento anterior à competência","OK"))))))))</f>
        <v/>
      </c>
    </row>
    <row r="591">
      <c r="A591" s="14" t="inlineStr">
        <is>
          <t>L0586</t>
        </is>
      </c>
      <c r="B591" s="36" t="n">
        <v>46461</v>
      </c>
      <c r="C591" s="36" t="n">
        <v>46461</v>
      </c>
      <c r="D591" s="36" t="n"/>
      <c r="E591" s="14" t="inlineStr">
        <is>
          <t>Saída</t>
        </is>
      </c>
      <c r="F591" s="29" t="inlineStr">
        <is>
          <t>Empréstimos e Financiamentos</t>
        </is>
      </c>
      <c r="G591" s="29" t="inlineStr">
        <is>
          <t>Pagamento de Principal de Empréstimos</t>
        </is>
      </c>
      <c r="H591" s="29" t="inlineStr">
        <is>
          <t>Financeiro</t>
        </is>
      </c>
      <c r="I591" s="29" t="inlineStr">
        <is>
          <t>BNDES / Banco do Brasil</t>
        </is>
      </c>
      <c r="J591" s="29" t="inlineStr">
        <is>
          <t>Financiamento de Máquinas — parcela 13/36 (principal)</t>
        </is>
      </c>
      <c r="K591" s="14" t="inlineStr">
        <is>
          <t>FIN-2026-1198-P13</t>
        </is>
      </c>
      <c r="L591" s="29" t="inlineStr">
        <is>
          <t>Banco do Brasil — C/C 12345-6</t>
        </is>
      </c>
      <c r="M591" s="14" t="inlineStr">
        <is>
          <t>Débito automático</t>
        </is>
      </c>
      <c r="N591" s="29" t="n"/>
      <c r="O591" s="13" t="n">
        <v>13</v>
      </c>
      <c r="P591" s="13" t="n">
        <v>36</v>
      </c>
      <c r="Q591" s="35" t="n">
        <v>3333.33</v>
      </c>
      <c r="R591" s="35" t="n"/>
      <c r="S591" s="35" t="n"/>
      <c r="T591" s="35" t="n"/>
      <c r="U591" s="35" t="n"/>
      <c r="V591" s="18">
        <f>IF(COUNTA($B591:$R591)=0,"",ROUND(N($R591)+N($S591)+N($T591)-N($U591),2))</f>
        <v/>
      </c>
      <c r="W591" s="18">
        <f>IF(COUNTA($B591:$R591)=0,"",IF(OR($X591="Pago",$X591="Recebido",$X591="Cancelado"),0,ROUND(N($Q591)+N($S591)+N($T591)-N($U591)-N($R591),2)))</f>
        <v/>
      </c>
      <c r="X591" s="14" t="inlineStr">
        <is>
          <t>Previsto</t>
        </is>
      </c>
      <c r="Y591" s="17">
        <f>IF(COUNTA($B591:$R591)=0,"",IF($X591="Cancelado","Cancelado",IF(OR($X591="Pago",$X591="Recebido"),$X591,IF(OR($X591="Parcial",N($R591)&gt;0),"Parcial",IF($C591="","Sem vencimento",IF($C591&lt;TODAY(),"Vencido",IF($C591=TODAY(),"Vence hoje",IF($C591&lt;=TODAY()+7,"Vence em 7 dias",IF($C591&lt;=TODAY()+30,"Vence em 30 dias","Futuro")))))))))</f>
        <v/>
      </c>
      <c r="Z591" s="24">
        <f>IF($B591="","",MONTH($B591))</f>
        <v/>
      </c>
      <c r="AA591" s="24">
        <f>IF($B591="","",YEAR($B591))</f>
        <v/>
      </c>
      <c r="AB591" s="24">
        <f>IF($B591="","",ISOWEEKNUM($B591))</f>
        <v/>
      </c>
      <c r="AC591" s="17">
        <f>IF($B591="","",CHOOSE(WEEKDAY($B591,2),"Segunda","Terça","Quarta","Quinta","Sexta","Sábado","Domingo"))</f>
        <v/>
      </c>
      <c r="AD591" s="17">
        <f>IF($B591="","",TEXT($B591,"MM/AAAA"))</f>
        <v/>
      </c>
      <c r="AE591" s="18">
        <f>IF(COUNTA($B591:$R591)=0,"",IF($X591="Cancelado",0,ROUND(N($Q591)+N($S591)+N($T591)-N($U591),2)))</f>
        <v/>
      </c>
      <c r="AF591" s="9">
        <f>IF($G591="","",IFERROR(INDEX(LINHAS_DRE_PLANO,MATCH($G591,SUBCATEGORIAS_PLANO,0)),"Não classificado"))</f>
        <v/>
      </c>
      <c r="AG591" s="17">
        <f>IF($G591="","",IFERROR(INDEX(TIPOS_FLUXO_PLANO,MATCH($G591,SUBCATEGORIAS_PLANO,0)),"Não classificado"))</f>
        <v/>
      </c>
      <c r="AH591" s="9">
        <f>IF($G591="","",IFERROR(INDEX(GRUPOS_PLANO,MATCH($G591,SUBCATEGORIAS_PLANO,0)),"Não classificado"))</f>
        <v/>
      </c>
      <c r="AI591" s="24">
        <f>IF(OR($C591="",$X591="Pago",$X591="Recebido",$X591="Cancelado"),"",$C591-TODAY())</f>
        <v/>
      </c>
      <c r="AJ591" s="24">
        <f>IF(OR($C591="",$X591="Pago",$X591="Recebido",$X591="Cancelado"),0,MAX(0,TODAY()-$C591))</f>
        <v/>
      </c>
      <c r="AK591" s="24">
        <f>IF($D591="","",$D591-$B591)</f>
        <v/>
      </c>
      <c r="AL591" s="18">
        <f>IF(OR($D591="",$B591=""),"",ROUND(N($R591)*($D591-$B591),2))</f>
        <v/>
      </c>
      <c r="AM591" s="17">
        <f>IF(AND($E591="Saída",$W591&gt;0,$C591&lt;&gt;""),$C591+ROW()/1000000,"")</f>
        <v/>
      </c>
      <c r="AN591" s="17">
        <f>IF(AND($E591="Entrada",$W591&gt;0,$C591&lt;&gt;""),$C591+ROW()/1000000,"")</f>
        <v/>
      </c>
      <c r="AO591" s="9">
        <f>IF(COUNTA($B591:$R591)=0,"",IF(AND($I591&lt;&gt;"",COUNTIF(CLIENTES_NOMES,$I591)+COUNTIF(CLIENTES_FANTASIA,$I591)+COUNTIF(FORNECEDORES_NOMES,$I591)+COUNTIF(FORNECEDORES_FANTASIA,$I591)=0),"⚠ Cliente/Fornecedor não cadastrado",IF(AND($G591&lt;&gt;"",COUNTIF(SUBCATEGORIAS_PLANO,$G591)=0),"⚠ Subcategoria fora do plano de contas",IF(OR($Q591="",N($Q591)=0),"⚠ Valor previsto não informado",IF(AND(OR($X591="Pago",$X591="Recebido"),$D591=""),"⚠ Status pago/recebido sem data",IF(AND($D591&lt;&gt;"",N($R591)=0),"⚠ Data de pagamento sem valor realizado",IF(AND(N($P591)&gt;1,N($O591)&gt;N($P591)),"⚠ Nº da parcela maior que o total",IF(AND($C591&lt;&gt;"",$B591&lt;&gt;"",$C591&lt;$B591),"⚠ Vencimento anterior à competência","OK"))))))))</f>
        <v/>
      </c>
    </row>
    <row r="592">
      <c r="A592" s="14" t="inlineStr">
        <is>
          <t>L0587</t>
        </is>
      </c>
      <c r="B592" s="36" t="n">
        <v>46461</v>
      </c>
      <c r="C592" s="36" t="n">
        <v>46461</v>
      </c>
      <c r="D592" s="36" t="n"/>
      <c r="E592" s="14" t="inlineStr">
        <is>
          <t>Saída</t>
        </is>
      </c>
      <c r="F592" s="29" t="inlineStr">
        <is>
          <t>Despesas Financeiras</t>
        </is>
      </c>
      <c r="G592" s="29" t="inlineStr">
        <is>
          <t>Juros de Empréstimos e Financiamentos</t>
        </is>
      </c>
      <c r="H592" s="29" t="inlineStr">
        <is>
          <t>Financeiro</t>
        </is>
      </c>
      <c r="I592" s="29" t="inlineStr">
        <is>
          <t>BNDES / Banco do Brasil</t>
        </is>
      </c>
      <c r="J592" s="29" t="inlineStr">
        <is>
          <t>Financiamento de Máquinas — parcela 13/36 (juros)</t>
        </is>
      </c>
      <c r="K592" s="14" t="inlineStr">
        <is>
          <t>FIN-2026-1198-P13</t>
        </is>
      </c>
      <c r="L592" s="29" t="inlineStr">
        <is>
          <t>Banco do Brasil — C/C 12345-6</t>
        </is>
      </c>
      <c r="M592" s="14" t="inlineStr">
        <is>
          <t>Débito automático</t>
        </is>
      </c>
      <c r="N592" s="29" t="n"/>
      <c r="O592" s="13" t="n">
        <v>13</v>
      </c>
      <c r="P592" s="13" t="n">
        <v>36</v>
      </c>
      <c r="Q592" s="35" t="n">
        <v>880</v>
      </c>
      <c r="R592" s="35" t="n"/>
      <c r="S592" s="35" t="n"/>
      <c r="T592" s="35" t="n"/>
      <c r="U592" s="35" t="n"/>
      <c r="V592" s="18">
        <f>IF(COUNTA($B592:$R592)=0,"",ROUND(N($R592)+N($S592)+N($T592)-N($U592),2))</f>
        <v/>
      </c>
      <c r="W592" s="18">
        <f>IF(COUNTA($B592:$R592)=0,"",IF(OR($X592="Pago",$X592="Recebido",$X592="Cancelado"),0,ROUND(N($Q592)+N($S592)+N($T592)-N($U592)-N($R592),2)))</f>
        <v/>
      </c>
      <c r="X592" s="14" t="inlineStr">
        <is>
          <t>Previsto</t>
        </is>
      </c>
      <c r="Y592" s="17">
        <f>IF(COUNTA($B592:$R592)=0,"",IF($X592="Cancelado","Cancelado",IF(OR($X592="Pago",$X592="Recebido"),$X592,IF(OR($X592="Parcial",N($R592)&gt;0),"Parcial",IF($C592="","Sem vencimento",IF($C592&lt;TODAY(),"Vencido",IF($C592=TODAY(),"Vence hoje",IF($C592&lt;=TODAY()+7,"Vence em 7 dias",IF($C592&lt;=TODAY()+30,"Vence em 30 dias","Futuro")))))))))</f>
        <v/>
      </c>
      <c r="Z592" s="24">
        <f>IF($B592="","",MONTH($B592))</f>
        <v/>
      </c>
      <c r="AA592" s="24">
        <f>IF($B592="","",YEAR($B592))</f>
        <v/>
      </c>
      <c r="AB592" s="24">
        <f>IF($B592="","",ISOWEEKNUM($B592))</f>
        <v/>
      </c>
      <c r="AC592" s="17">
        <f>IF($B592="","",CHOOSE(WEEKDAY($B592,2),"Segunda","Terça","Quarta","Quinta","Sexta","Sábado","Domingo"))</f>
        <v/>
      </c>
      <c r="AD592" s="17">
        <f>IF($B592="","",TEXT($B592,"MM/AAAA"))</f>
        <v/>
      </c>
      <c r="AE592" s="18">
        <f>IF(COUNTA($B592:$R592)=0,"",IF($X592="Cancelado",0,ROUND(N($Q592)+N($S592)+N($T592)-N($U592),2)))</f>
        <v/>
      </c>
      <c r="AF592" s="9">
        <f>IF($G592="","",IFERROR(INDEX(LINHAS_DRE_PLANO,MATCH($G592,SUBCATEGORIAS_PLANO,0)),"Não classificado"))</f>
        <v/>
      </c>
      <c r="AG592" s="17">
        <f>IF($G592="","",IFERROR(INDEX(TIPOS_FLUXO_PLANO,MATCH($G592,SUBCATEGORIAS_PLANO,0)),"Não classificado"))</f>
        <v/>
      </c>
      <c r="AH592" s="9">
        <f>IF($G592="","",IFERROR(INDEX(GRUPOS_PLANO,MATCH($G592,SUBCATEGORIAS_PLANO,0)),"Não classificado"))</f>
        <v/>
      </c>
      <c r="AI592" s="24">
        <f>IF(OR($C592="",$X592="Pago",$X592="Recebido",$X592="Cancelado"),"",$C592-TODAY())</f>
        <v/>
      </c>
      <c r="AJ592" s="24">
        <f>IF(OR($C592="",$X592="Pago",$X592="Recebido",$X592="Cancelado"),0,MAX(0,TODAY()-$C592))</f>
        <v/>
      </c>
      <c r="AK592" s="24">
        <f>IF($D592="","",$D592-$B592)</f>
        <v/>
      </c>
      <c r="AL592" s="18">
        <f>IF(OR($D592="",$B592=""),"",ROUND(N($R592)*($D592-$B592),2))</f>
        <v/>
      </c>
      <c r="AM592" s="17">
        <f>IF(AND($E592="Saída",$W592&gt;0,$C592&lt;&gt;""),$C592+ROW()/1000000,"")</f>
        <v/>
      </c>
      <c r="AN592" s="17">
        <f>IF(AND($E592="Entrada",$W592&gt;0,$C592&lt;&gt;""),$C592+ROW()/1000000,"")</f>
        <v/>
      </c>
      <c r="AO592" s="9">
        <f>IF(COUNTA($B592:$R592)=0,"",IF(AND($I592&lt;&gt;"",COUNTIF(CLIENTES_NOMES,$I592)+COUNTIF(CLIENTES_FANTASIA,$I592)+COUNTIF(FORNECEDORES_NOMES,$I592)+COUNTIF(FORNECEDORES_FANTASIA,$I592)=0),"⚠ Cliente/Fornecedor não cadastrado",IF(AND($G592&lt;&gt;"",COUNTIF(SUBCATEGORIAS_PLANO,$G592)=0),"⚠ Subcategoria fora do plano de contas",IF(OR($Q592="",N($Q592)=0),"⚠ Valor previsto não informado",IF(AND(OR($X592="Pago",$X592="Recebido"),$D592=""),"⚠ Status pago/recebido sem data",IF(AND($D592&lt;&gt;"",N($R592)=0),"⚠ Data de pagamento sem valor realizado",IF(AND(N($P592)&gt;1,N($O592)&gt;N($P592)),"⚠ Nº da parcela maior que o total",IF(AND($C592&lt;&gt;"",$B592&lt;&gt;"",$C592&lt;$B592),"⚠ Vencimento anterior à competência","OK"))))))))</f>
        <v/>
      </c>
    </row>
    <row r="593">
      <c r="A593" s="14" t="inlineStr">
        <is>
          <t>L0588</t>
        </is>
      </c>
      <c r="B593" s="36" t="n">
        <v>46466</v>
      </c>
      <c r="C593" s="36" t="n">
        <v>46466</v>
      </c>
      <c r="D593" s="36" t="n"/>
      <c r="E593" s="14" t="inlineStr">
        <is>
          <t>Saída</t>
        </is>
      </c>
      <c r="F593" s="29" t="inlineStr">
        <is>
          <t>Empréstimos e Financiamentos</t>
        </is>
      </c>
      <c r="G593" s="29" t="inlineStr">
        <is>
          <t>Pagamento de Principal de Empréstimos</t>
        </is>
      </c>
      <c r="H593" s="29" t="inlineStr">
        <is>
          <t>Diretoria</t>
        </is>
      </c>
      <c r="I593" s="29" t="inlineStr">
        <is>
          <t>Banco Santander</t>
        </is>
      </c>
      <c r="J593" s="29" t="inlineStr">
        <is>
          <t>Financiamento de Veículo — parcela 14/48 (principal)</t>
        </is>
      </c>
      <c r="K593" s="14" t="inlineStr">
        <is>
          <t>VEI-2026-0088-P14</t>
        </is>
      </c>
      <c r="L593" s="29" t="inlineStr">
        <is>
          <t>Itaú Unibanco — C/C 45678-9</t>
        </is>
      </c>
      <c r="M593" s="14" t="inlineStr">
        <is>
          <t>Débito automático</t>
        </is>
      </c>
      <c r="N593" s="29" t="n"/>
      <c r="O593" s="13" t="n">
        <v>14</v>
      </c>
      <c r="P593" s="13" t="n">
        <v>48</v>
      </c>
      <c r="Q593" s="35" t="n">
        <v>1441.41</v>
      </c>
      <c r="R593" s="35" t="n"/>
      <c r="S593" s="35" t="n"/>
      <c r="T593" s="35" t="n"/>
      <c r="U593" s="35" t="n"/>
      <c r="V593" s="18">
        <f>IF(COUNTA($B593:$R593)=0,"",ROUND(N($R593)+N($S593)+N($T593)-N($U593),2))</f>
        <v/>
      </c>
      <c r="W593" s="18">
        <f>IF(COUNTA($B593:$R593)=0,"",IF(OR($X593="Pago",$X593="Recebido",$X593="Cancelado"),0,ROUND(N($Q593)+N($S593)+N($T593)-N($U593)-N($R593),2)))</f>
        <v/>
      </c>
      <c r="X593" s="14" t="inlineStr">
        <is>
          <t>Previsto</t>
        </is>
      </c>
      <c r="Y593" s="17">
        <f>IF(COUNTA($B593:$R593)=0,"",IF($X593="Cancelado","Cancelado",IF(OR($X593="Pago",$X593="Recebido"),$X593,IF(OR($X593="Parcial",N($R593)&gt;0),"Parcial",IF($C593="","Sem vencimento",IF($C593&lt;TODAY(),"Vencido",IF($C593=TODAY(),"Vence hoje",IF($C593&lt;=TODAY()+7,"Vence em 7 dias",IF($C593&lt;=TODAY()+30,"Vence em 30 dias","Futuro")))))))))</f>
        <v/>
      </c>
      <c r="Z593" s="24">
        <f>IF($B593="","",MONTH($B593))</f>
        <v/>
      </c>
      <c r="AA593" s="24">
        <f>IF($B593="","",YEAR($B593))</f>
        <v/>
      </c>
      <c r="AB593" s="24">
        <f>IF($B593="","",ISOWEEKNUM($B593))</f>
        <v/>
      </c>
      <c r="AC593" s="17">
        <f>IF($B593="","",CHOOSE(WEEKDAY($B593,2),"Segunda","Terça","Quarta","Quinta","Sexta","Sábado","Domingo"))</f>
        <v/>
      </c>
      <c r="AD593" s="17">
        <f>IF($B593="","",TEXT($B593,"MM/AAAA"))</f>
        <v/>
      </c>
      <c r="AE593" s="18">
        <f>IF(COUNTA($B593:$R593)=0,"",IF($X593="Cancelado",0,ROUND(N($Q593)+N($S593)+N($T593)-N($U593),2)))</f>
        <v/>
      </c>
      <c r="AF593" s="9">
        <f>IF($G593="","",IFERROR(INDEX(LINHAS_DRE_PLANO,MATCH($G593,SUBCATEGORIAS_PLANO,0)),"Não classificado"))</f>
        <v/>
      </c>
      <c r="AG593" s="17">
        <f>IF($G593="","",IFERROR(INDEX(TIPOS_FLUXO_PLANO,MATCH($G593,SUBCATEGORIAS_PLANO,0)),"Não classificado"))</f>
        <v/>
      </c>
      <c r="AH593" s="9">
        <f>IF($G593="","",IFERROR(INDEX(GRUPOS_PLANO,MATCH($G593,SUBCATEGORIAS_PLANO,0)),"Não classificado"))</f>
        <v/>
      </c>
      <c r="AI593" s="24">
        <f>IF(OR($C593="",$X593="Pago",$X593="Recebido",$X593="Cancelado"),"",$C593-TODAY())</f>
        <v/>
      </c>
      <c r="AJ593" s="24">
        <f>IF(OR($C593="",$X593="Pago",$X593="Recebido",$X593="Cancelado"),0,MAX(0,TODAY()-$C593))</f>
        <v/>
      </c>
      <c r="AK593" s="24">
        <f>IF($D593="","",$D593-$B593)</f>
        <v/>
      </c>
      <c r="AL593" s="18">
        <f>IF(OR($D593="",$B593=""),"",ROUND(N($R593)*($D593-$B593),2))</f>
        <v/>
      </c>
      <c r="AM593" s="17">
        <f>IF(AND($E593="Saída",$W593&gt;0,$C593&lt;&gt;""),$C593+ROW()/1000000,"")</f>
        <v/>
      </c>
      <c r="AN593" s="17">
        <f>IF(AND($E593="Entrada",$W593&gt;0,$C593&lt;&gt;""),$C593+ROW()/1000000,"")</f>
        <v/>
      </c>
      <c r="AO593" s="9">
        <f>IF(COUNTA($B593:$R593)=0,"",IF(AND($I593&lt;&gt;"",COUNTIF(CLIENTES_NOMES,$I593)+COUNTIF(CLIENTES_FANTASIA,$I593)+COUNTIF(FORNECEDORES_NOMES,$I593)+COUNTIF(FORNECEDORES_FANTASIA,$I593)=0),"⚠ Cliente/Fornecedor não cadastrado",IF(AND($G593&lt;&gt;"",COUNTIF(SUBCATEGORIAS_PLANO,$G593)=0),"⚠ Subcategoria fora do plano de contas",IF(OR($Q593="",N($Q593)=0),"⚠ Valor previsto não informado",IF(AND(OR($X593="Pago",$X593="Recebido"),$D593=""),"⚠ Status pago/recebido sem data",IF(AND($D593&lt;&gt;"",N($R593)=0),"⚠ Data de pagamento sem valor realizado",IF(AND(N($P593)&gt;1,N($O593)&gt;N($P593)),"⚠ Nº da parcela maior que o total",IF(AND($C593&lt;&gt;"",$B593&lt;&gt;"",$C593&lt;$B593),"⚠ Vencimento anterior à competência","OK"))))))))</f>
        <v/>
      </c>
    </row>
    <row r="594">
      <c r="A594" s="14" t="inlineStr">
        <is>
          <t>L0589</t>
        </is>
      </c>
      <c r="B594" s="36" t="n">
        <v>46466</v>
      </c>
      <c r="C594" s="36" t="n">
        <v>46466</v>
      </c>
      <c r="D594" s="36" t="n"/>
      <c r="E594" s="14" t="inlineStr">
        <is>
          <t>Saída</t>
        </is>
      </c>
      <c r="F594" s="29" t="inlineStr">
        <is>
          <t>Despesas Financeiras</t>
        </is>
      </c>
      <c r="G594" s="29" t="inlineStr">
        <is>
          <t>Juros de Empréstimos e Financiamentos</t>
        </is>
      </c>
      <c r="H594" s="29" t="inlineStr">
        <is>
          <t>Diretoria</t>
        </is>
      </c>
      <c r="I594" s="29" t="inlineStr">
        <is>
          <t>Banco Santander</t>
        </is>
      </c>
      <c r="J594" s="29" t="inlineStr">
        <is>
          <t>Financiamento de Veículo — parcela 14/48 (juros)</t>
        </is>
      </c>
      <c r="K594" s="14" t="inlineStr">
        <is>
          <t>VEI-2026-0088-P14</t>
        </is>
      </c>
      <c r="L594" s="29" t="inlineStr">
        <is>
          <t>Itaú Unibanco — C/C 45678-9</t>
        </is>
      </c>
      <c r="M594" s="14" t="inlineStr">
        <is>
          <t>Débito automático</t>
        </is>
      </c>
      <c r="N594" s="29" t="n"/>
      <c r="O594" s="13" t="n">
        <v>14</v>
      </c>
      <c r="P594" s="13" t="n">
        <v>48</v>
      </c>
      <c r="Q594" s="35" t="n">
        <v>785.05</v>
      </c>
      <c r="R594" s="35" t="n"/>
      <c r="S594" s="35" t="n"/>
      <c r="T594" s="35" t="n"/>
      <c r="U594" s="35" t="n"/>
      <c r="V594" s="18">
        <f>IF(COUNTA($B594:$R594)=0,"",ROUND(N($R594)+N($S594)+N($T594)-N($U594),2))</f>
        <v/>
      </c>
      <c r="W594" s="18">
        <f>IF(COUNTA($B594:$R594)=0,"",IF(OR($X594="Pago",$X594="Recebido",$X594="Cancelado"),0,ROUND(N($Q594)+N($S594)+N($T594)-N($U594)-N($R594),2)))</f>
        <v/>
      </c>
      <c r="X594" s="14" t="inlineStr">
        <is>
          <t>Previsto</t>
        </is>
      </c>
      <c r="Y594" s="17">
        <f>IF(COUNTA($B594:$R594)=0,"",IF($X594="Cancelado","Cancelado",IF(OR($X594="Pago",$X594="Recebido"),$X594,IF(OR($X594="Parcial",N($R594)&gt;0),"Parcial",IF($C594="","Sem vencimento",IF($C594&lt;TODAY(),"Vencido",IF($C594=TODAY(),"Vence hoje",IF($C594&lt;=TODAY()+7,"Vence em 7 dias",IF($C594&lt;=TODAY()+30,"Vence em 30 dias","Futuro")))))))))</f>
        <v/>
      </c>
      <c r="Z594" s="24">
        <f>IF($B594="","",MONTH($B594))</f>
        <v/>
      </c>
      <c r="AA594" s="24">
        <f>IF($B594="","",YEAR($B594))</f>
        <v/>
      </c>
      <c r="AB594" s="24">
        <f>IF($B594="","",ISOWEEKNUM($B594))</f>
        <v/>
      </c>
      <c r="AC594" s="17">
        <f>IF($B594="","",CHOOSE(WEEKDAY($B594,2),"Segunda","Terça","Quarta","Quinta","Sexta","Sábado","Domingo"))</f>
        <v/>
      </c>
      <c r="AD594" s="17">
        <f>IF($B594="","",TEXT($B594,"MM/AAAA"))</f>
        <v/>
      </c>
      <c r="AE594" s="18">
        <f>IF(COUNTA($B594:$R594)=0,"",IF($X594="Cancelado",0,ROUND(N($Q594)+N($S594)+N($T594)-N($U594),2)))</f>
        <v/>
      </c>
      <c r="AF594" s="9">
        <f>IF($G594="","",IFERROR(INDEX(LINHAS_DRE_PLANO,MATCH($G594,SUBCATEGORIAS_PLANO,0)),"Não classificado"))</f>
        <v/>
      </c>
      <c r="AG594" s="17">
        <f>IF($G594="","",IFERROR(INDEX(TIPOS_FLUXO_PLANO,MATCH($G594,SUBCATEGORIAS_PLANO,0)),"Não classificado"))</f>
        <v/>
      </c>
      <c r="AH594" s="9">
        <f>IF($G594="","",IFERROR(INDEX(GRUPOS_PLANO,MATCH($G594,SUBCATEGORIAS_PLANO,0)),"Não classificado"))</f>
        <v/>
      </c>
      <c r="AI594" s="24">
        <f>IF(OR($C594="",$X594="Pago",$X594="Recebido",$X594="Cancelado"),"",$C594-TODAY())</f>
        <v/>
      </c>
      <c r="AJ594" s="24">
        <f>IF(OR($C594="",$X594="Pago",$X594="Recebido",$X594="Cancelado"),0,MAX(0,TODAY()-$C594))</f>
        <v/>
      </c>
      <c r="AK594" s="24">
        <f>IF($D594="","",$D594-$B594)</f>
        <v/>
      </c>
      <c r="AL594" s="18">
        <f>IF(OR($D594="",$B594=""),"",ROUND(N($R594)*($D594-$B594),2))</f>
        <v/>
      </c>
      <c r="AM594" s="17">
        <f>IF(AND($E594="Saída",$W594&gt;0,$C594&lt;&gt;""),$C594+ROW()/1000000,"")</f>
        <v/>
      </c>
      <c r="AN594" s="17">
        <f>IF(AND($E594="Entrada",$W594&gt;0,$C594&lt;&gt;""),$C594+ROW()/1000000,"")</f>
        <v/>
      </c>
      <c r="AO594" s="9">
        <f>IF(COUNTA($B594:$R594)=0,"",IF(AND($I594&lt;&gt;"",COUNTIF(CLIENTES_NOMES,$I594)+COUNTIF(CLIENTES_FANTASIA,$I594)+COUNTIF(FORNECEDORES_NOMES,$I594)+COUNTIF(FORNECEDORES_FANTASIA,$I594)=0),"⚠ Cliente/Fornecedor não cadastrado",IF(AND($G594&lt;&gt;"",COUNTIF(SUBCATEGORIAS_PLANO,$G594)=0),"⚠ Subcategoria fora do plano de contas",IF(OR($Q594="",N($Q594)=0),"⚠ Valor previsto não informado",IF(AND(OR($X594="Pago",$X594="Recebido"),$D594=""),"⚠ Status pago/recebido sem data",IF(AND($D594&lt;&gt;"",N($R594)=0),"⚠ Data de pagamento sem valor realizado",IF(AND(N($P594)&gt;1,N($O594)&gt;N($P594)),"⚠ Nº da parcela maior que o total",IF(AND($C594&lt;&gt;"",$B594&lt;&gt;"",$C594&lt;$B594),"⚠ Vencimento anterior à competência","OK"))))))))</f>
        <v/>
      </c>
    </row>
    <row r="595">
      <c r="A595" s="14" t="inlineStr">
        <is>
          <t>L0590</t>
        </is>
      </c>
      <c r="B595" s="36" t="n">
        <v>46487</v>
      </c>
      <c r="C595" s="36" t="n">
        <v>46487</v>
      </c>
      <c r="D595" s="36" t="n"/>
      <c r="E595" s="14" t="inlineStr">
        <is>
          <t>Saída</t>
        </is>
      </c>
      <c r="F595" s="29" t="inlineStr">
        <is>
          <t>Empréstimos e Financiamentos</t>
        </is>
      </c>
      <c r="G595" s="29" t="inlineStr">
        <is>
          <t>Pagamento de Principal de Empréstimos</t>
        </is>
      </c>
      <c r="H595" s="29" t="inlineStr">
        <is>
          <t>Financeiro</t>
        </is>
      </c>
      <c r="I595" s="29" t="inlineStr">
        <is>
          <t>Banco do Brasil</t>
        </is>
      </c>
      <c r="J595" s="29" t="inlineStr">
        <is>
          <t>Capital de Giro — parcela 15/24 (principal)</t>
        </is>
      </c>
      <c r="K595" s="14" t="inlineStr">
        <is>
          <t>CG-2026-0417-P15</t>
        </is>
      </c>
      <c r="L595" s="29" t="inlineStr">
        <is>
          <t>Banco do Brasil — C/C 12345-6</t>
        </is>
      </c>
      <c r="M595" s="14" t="inlineStr">
        <is>
          <t>Débito automático</t>
        </is>
      </c>
      <c r="N595" s="29" t="n"/>
      <c r="O595" s="13" t="n">
        <v>15</v>
      </c>
      <c r="P595" s="13" t="n">
        <v>24</v>
      </c>
      <c r="Q595" s="35" t="n">
        <v>2581.08</v>
      </c>
      <c r="R595" s="35" t="n"/>
      <c r="S595" s="35" t="n"/>
      <c r="T595" s="35" t="n"/>
      <c r="U595" s="35" t="n"/>
      <c r="V595" s="18">
        <f>IF(COUNTA($B595:$R595)=0,"",ROUND(N($R595)+N($S595)+N($T595)-N($U595),2))</f>
        <v/>
      </c>
      <c r="W595" s="18">
        <f>IF(COUNTA($B595:$R595)=0,"",IF(OR($X595="Pago",$X595="Recebido",$X595="Cancelado"),0,ROUND(N($Q595)+N($S595)+N($T595)-N($U595)-N($R595),2)))</f>
        <v/>
      </c>
      <c r="X595" s="14" t="inlineStr">
        <is>
          <t>Previsto</t>
        </is>
      </c>
      <c r="Y595" s="17">
        <f>IF(COUNTA($B595:$R595)=0,"",IF($X595="Cancelado","Cancelado",IF(OR($X595="Pago",$X595="Recebido"),$X595,IF(OR($X595="Parcial",N($R595)&gt;0),"Parcial",IF($C595="","Sem vencimento",IF($C595&lt;TODAY(),"Vencido",IF($C595=TODAY(),"Vence hoje",IF($C595&lt;=TODAY()+7,"Vence em 7 dias",IF($C595&lt;=TODAY()+30,"Vence em 30 dias","Futuro")))))))))</f>
        <v/>
      </c>
      <c r="Z595" s="24">
        <f>IF($B595="","",MONTH($B595))</f>
        <v/>
      </c>
      <c r="AA595" s="24">
        <f>IF($B595="","",YEAR($B595))</f>
        <v/>
      </c>
      <c r="AB595" s="24">
        <f>IF($B595="","",ISOWEEKNUM($B595))</f>
        <v/>
      </c>
      <c r="AC595" s="17">
        <f>IF($B595="","",CHOOSE(WEEKDAY($B595,2),"Segunda","Terça","Quarta","Quinta","Sexta","Sábado","Domingo"))</f>
        <v/>
      </c>
      <c r="AD595" s="17">
        <f>IF($B595="","",TEXT($B595,"MM/AAAA"))</f>
        <v/>
      </c>
      <c r="AE595" s="18">
        <f>IF(COUNTA($B595:$R595)=0,"",IF($X595="Cancelado",0,ROUND(N($Q595)+N($S595)+N($T595)-N($U595),2)))</f>
        <v/>
      </c>
      <c r="AF595" s="9">
        <f>IF($G595="","",IFERROR(INDEX(LINHAS_DRE_PLANO,MATCH($G595,SUBCATEGORIAS_PLANO,0)),"Não classificado"))</f>
        <v/>
      </c>
      <c r="AG595" s="17">
        <f>IF($G595="","",IFERROR(INDEX(TIPOS_FLUXO_PLANO,MATCH($G595,SUBCATEGORIAS_PLANO,0)),"Não classificado"))</f>
        <v/>
      </c>
      <c r="AH595" s="9">
        <f>IF($G595="","",IFERROR(INDEX(GRUPOS_PLANO,MATCH($G595,SUBCATEGORIAS_PLANO,0)),"Não classificado"))</f>
        <v/>
      </c>
      <c r="AI595" s="24">
        <f>IF(OR($C595="",$X595="Pago",$X595="Recebido",$X595="Cancelado"),"",$C595-TODAY())</f>
        <v/>
      </c>
      <c r="AJ595" s="24">
        <f>IF(OR($C595="",$X595="Pago",$X595="Recebido",$X595="Cancelado"),0,MAX(0,TODAY()-$C595))</f>
        <v/>
      </c>
      <c r="AK595" s="24">
        <f>IF($D595="","",$D595-$B595)</f>
        <v/>
      </c>
      <c r="AL595" s="18">
        <f>IF(OR($D595="",$B595=""),"",ROUND(N($R595)*($D595-$B595),2))</f>
        <v/>
      </c>
      <c r="AM595" s="17">
        <f>IF(AND($E595="Saída",$W595&gt;0,$C595&lt;&gt;""),$C595+ROW()/1000000,"")</f>
        <v/>
      </c>
      <c r="AN595" s="17">
        <f>IF(AND($E595="Entrada",$W595&gt;0,$C595&lt;&gt;""),$C595+ROW()/1000000,"")</f>
        <v/>
      </c>
      <c r="AO595" s="9">
        <f>IF(COUNTA($B595:$R595)=0,"",IF(AND($I595&lt;&gt;"",COUNTIF(CLIENTES_NOMES,$I595)+COUNTIF(CLIENTES_FANTASIA,$I595)+COUNTIF(FORNECEDORES_NOMES,$I595)+COUNTIF(FORNECEDORES_FANTASIA,$I595)=0),"⚠ Cliente/Fornecedor não cadastrado",IF(AND($G595&lt;&gt;"",COUNTIF(SUBCATEGORIAS_PLANO,$G595)=0),"⚠ Subcategoria fora do plano de contas",IF(OR($Q595="",N($Q595)=0),"⚠ Valor previsto não informado",IF(AND(OR($X595="Pago",$X595="Recebido"),$D595=""),"⚠ Status pago/recebido sem data",IF(AND($D595&lt;&gt;"",N($R595)=0),"⚠ Data de pagamento sem valor realizado",IF(AND(N($P595)&gt;1,N($O595)&gt;N($P595)),"⚠ Nº da parcela maior que o total",IF(AND($C595&lt;&gt;"",$B595&lt;&gt;"",$C595&lt;$B595),"⚠ Vencimento anterior à competência","OK"))))))))</f>
        <v/>
      </c>
    </row>
    <row r="596">
      <c r="A596" s="14" t="inlineStr">
        <is>
          <t>L0591</t>
        </is>
      </c>
      <c r="B596" s="36" t="n">
        <v>46487</v>
      </c>
      <c r="C596" s="36" t="n">
        <v>46487</v>
      </c>
      <c r="D596" s="36" t="n"/>
      <c r="E596" s="14" t="inlineStr">
        <is>
          <t>Saída</t>
        </is>
      </c>
      <c r="F596" s="29" t="inlineStr">
        <is>
          <t>Despesas Financeiras</t>
        </is>
      </c>
      <c r="G596" s="29" t="inlineStr">
        <is>
          <t>Juros de Empréstimos e Financiamentos</t>
        </is>
      </c>
      <c r="H596" s="29" t="inlineStr">
        <is>
          <t>Financeiro</t>
        </is>
      </c>
      <c r="I596" s="29" t="inlineStr">
        <is>
          <t>Banco do Brasil</t>
        </is>
      </c>
      <c r="J596" s="29" t="inlineStr">
        <is>
          <t>Capital de Giro — parcela 15/24 (juros)</t>
        </is>
      </c>
      <c r="K596" s="14" t="inlineStr">
        <is>
          <t>CG-2026-0417-P15</t>
        </is>
      </c>
      <c r="L596" s="29" t="inlineStr">
        <is>
          <t>Banco do Brasil — C/C 12345-6</t>
        </is>
      </c>
      <c r="M596" s="14" t="inlineStr">
        <is>
          <t>Débito automático</t>
        </is>
      </c>
      <c r="N596" s="29" t="n"/>
      <c r="O596" s="13" t="n">
        <v>15</v>
      </c>
      <c r="P596" s="13" t="n">
        <v>24</v>
      </c>
      <c r="Q596" s="35" t="n">
        <v>414.37</v>
      </c>
      <c r="R596" s="35" t="n"/>
      <c r="S596" s="35" t="n"/>
      <c r="T596" s="35" t="n"/>
      <c r="U596" s="35" t="n"/>
      <c r="V596" s="18">
        <f>IF(COUNTA($B596:$R596)=0,"",ROUND(N($R596)+N($S596)+N($T596)-N($U596),2))</f>
        <v/>
      </c>
      <c r="W596" s="18">
        <f>IF(COUNTA($B596:$R596)=0,"",IF(OR($X596="Pago",$X596="Recebido",$X596="Cancelado"),0,ROUND(N($Q596)+N($S596)+N($T596)-N($U596)-N($R596),2)))</f>
        <v/>
      </c>
      <c r="X596" s="14" t="inlineStr">
        <is>
          <t>Previsto</t>
        </is>
      </c>
      <c r="Y596" s="17">
        <f>IF(COUNTA($B596:$R596)=0,"",IF($X596="Cancelado","Cancelado",IF(OR($X596="Pago",$X596="Recebido"),$X596,IF(OR($X596="Parcial",N($R596)&gt;0),"Parcial",IF($C596="","Sem vencimento",IF($C596&lt;TODAY(),"Vencido",IF($C596=TODAY(),"Vence hoje",IF($C596&lt;=TODAY()+7,"Vence em 7 dias",IF($C596&lt;=TODAY()+30,"Vence em 30 dias","Futuro")))))))))</f>
        <v/>
      </c>
      <c r="Z596" s="24">
        <f>IF($B596="","",MONTH($B596))</f>
        <v/>
      </c>
      <c r="AA596" s="24">
        <f>IF($B596="","",YEAR($B596))</f>
        <v/>
      </c>
      <c r="AB596" s="24">
        <f>IF($B596="","",ISOWEEKNUM($B596))</f>
        <v/>
      </c>
      <c r="AC596" s="17">
        <f>IF($B596="","",CHOOSE(WEEKDAY($B596,2),"Segunda","Terça","Quarta","Quinta","Sexta","Sábado","Domingo"))</f>
        <v/>
      </c>
      <c r="AD596" s="17">
        <f>IF($B596="","",TEXT($B596,"MM/AAAA"))</f>
        <v/>
      </c>
      <c r="AE596" s="18">
        <f>IF(COUNTA($B596:$R596)=0,"",IF($X596="Cancelado",0,ROUND(N($Q596)+N($S596)+N($T596)-N($U596),2)))</f>
        <v/>
      </c>
      <c r="AF596" s="9">
        <f>IF($G596="","",IFERROR(INDEX(LINHAS_DRE_PLANO,MATCH($G596,SUBCATEGORIAS_PLANO,0)),"Não classificado"))</f>
        <v/>
      </c>
      <c r="AG596" s="17">
        <f>IF($G596="","",IFERROR(INDEX(TIPOS_FLUXO_PLANO,MATCH($G596,SUBCATEGORIAS_PLANO,0)),"Não classificado"))</f>
        <v/>
      </c>
      <c r="AH596" s="9">
        <f>IF($G596="","",IFERROR(INDEX(GRUPOS_PLANO,MATCH($G596,SUBCATEGORIAS_PLANO,0)),"Não classificado"))</f>
        <v/>
      </c>
      <c r="AI596" s="24">
        <f>IF(OR($C596="",$X596="Pago",$X596="Recebido",$X596="Cancelado"),"",$C596-TODAY())</f>
        <v/>
      </c>
      <c r="AJ596" s="24">
        <f>IF(OR($C596="",$X596="Pago",$X596="Recebido",$X596="Cancelado"),0,MAX(0,TODAY()-$C596))</f>
        <v/>
      </c>
      <c r="AK596" s="24">
        <f>IF($D596="","",$D596-$B596)</f>
        <v/>
      </c>
      <c r="AL596" s="18">
        <f>IF(OR($D596="",$B596=""),"",ROUND(N($R596)*($D596-$B596),2))</f>
        <v/>
      </c>
      <c r="AM596" s="17">
        <f>IF(AND($E596="Saída",$W596&gt;0,$C596&lt;&gt;""),$C596+ROW()/1000000,"")</f>
        <v/>
      </c>
      <c r="AN596" s="17">
        <f>IF(AND($E596="Entrada",$W596&gt;0,$C596&lt;&gt;""),$C596+ROW()/1000000,"")</f>
        <v/>
      </c>
      <c r="AO596" s="9">
        <f>IF(COUNTA($B596:$R596)=0,"",IF(AND($I596&lt;&gt;"",COUNTIF(CLIENTES_NOMES,$I596)+COUNTIF(CLIENTES_FANTASIA,$I596)+COUNTIF(FORNECEDORES_NOMES,$I596)+COUNTIF(FORNECEDORES_FANTASIA,$I596)=0),"⚠ Cliente/Fornecedor não cadastrado",IF(AND($G596&lt;&gt;"",COUNTIF(SUBCATEGORIAS_PLANO,$G596)=0),"⚠ Subcategoria fora do plano de contas",IF(OR($Q596="",N($Q596)=0),"⚠ Valor previsto não informado",IF(AND(OR($X596="Pago",$X596="Recebido"),$D596=""),"⚠ Status pago/recebido sem data",IF(AND($D596&lt;&gt;"",N($R596)=0),"⚠ Data de pagamento sem valor realizado",IF(AND(N($P596)&gt;1,N($O596)&gt;N($P596)),"⚠ Nº da parcela maior que o total",IF(AND($C596&lt;&gt;"",$B596&lt;&gt;"",$C596&lt;$B596),"⚠ Vencimento anterior à competência","OK"))))))))</f>
        <v/>
      </c>
    </row>
    <row r="597">
      <c r="A597" s="14" t="inlineStr">
        <is>
          <t>L0592</t>
        </is>
      </c>
      <c r="B597" s="36" t="n">
        <v>46492</v>
      </c>
      <c r="C597" s="36" t="n">
        <v>46492</v>
      </c>
      <c r="D597" s="36" t="n"/>
      <c r="E597" s="14" t="inlineStr">
        <is>
          <t>Saída</t>
        </is>
      </c>
      <c r="F597" s="29" t="inlineStr">
        <is>
          <t>Empréstimos e Financiamentos</t>
        </is>
      </c>
      <c r="G597" s="29" t="inlineStr">
        <is>
          <t>Pagamento de Principal de Empréstimos</t>
        </is>
      </c>
      <c r="H597" s="29" t="inlineStr">
        <is>
          <t>Financeiro</t>
        </is>
      </c>
      <c r="I597" s="29" t="inlineStr">
        <is>
          <t>BNDES / Banco do Brasil</t>
        </is>
      </c>
      <c r="J597" s="29" t="inlineStr">
        <is>
          <t>Financiamento de Máquinas — parcela 14/36 (principal)</t>
        </is>
      </c>
      <c r="K597" s="14" t="inlineStr">
        <is>
          <t>FIN-2026-1198-P14</t>
        </is>
      </c>
      <c r="L597" s="29" t="inlineStr">
        <is>
          <t>Banco do Brasil — C/C 12345-6</t>
        </is>
      </c>
      <c r="M597" s="14" t="inlineStr">
        <is>
          <t>Débito automático</t>
        </is>
      </c>
      <c r="N597" s="29" t="n"/>
      <c r="O597" s="13" t="n">
        <v>14</v>
      </c>
      <c r="P597" s="13" t="n">
        <v>36</v>
      </c>
      <c r="Q597" s="35" t="n">
        <v>3333.33</v>
      </c>
      <c r="R597" s="35" t="n"/>
      <c r="S597" s="35" t="n"/>
      <c r="T597" s="35" t="n"/>
      <c r="U597" s="35" t="n"/>
      <c r="V597" s="18">
        <f>IF(COUNTA($B597:$R597)=0,"",ROUND(N($R597)+N($S597)+N($T597)-N($U597),2))</f>
        <v/>
      </c>
      <c r="W597" s="18">
        <f>IF(COUNTA($B597:$R597)=0,"",IF(OR($X597="Pago",$X597="Recebido",$X597="Cancelado"),0,ROUND(N($Q597)+N($S597)+N($T597)-N($U597)-N($R597),2)))</f>
        <v/>
      </c>
      <c r="X597" s="14" t="inlineStr">
        <is>
          <t>Previsto</t>
        </is>
      </c>
      <c r="Y597" s="17">
        <f>IF(COUNTA($B597:$R597)=0,"",IF($X597="Cancelado","Cancelado",IF(OR($X597="Pago",$X597="Recebido"),$X597,IF(OR($X597="Parcial",N($R597)&gt;0),"Parcial",IF($C597="","Sem vencimento",IF($C597&lt;TODAY(),"Vencido",IF($C597=TODAY(),"Vence hoje",IF($C597&lt;=TODAY()+7,"Vence em 7 dias",IF($C597&lt;=TODAY()+30,"Vence em 30 dias","Futuro")))))))))</f>
        <v/>
      </c>
      <c r="Z597" s="24">
        <f>IF($B597="","",MONTH($B597))</f>
        <v/>
      </c>
      <c r="AA597" s="24">
        <f>IF($B597="","",YEAR($B597))</f>
        <v/>
      </c>
      <c r="AB597" s="24">
        <f>IF($B597="","",ISOWEEKNUM($B597))</f>
        <v/>
      </c>
      <c r="AC597" s="17">
        <f>IF($B597="","",CHOOSE(WEEKDAY($B597,2),"Segunda","Terça","Quarta","Quinta","Sexta","Sábado","Domingo"))</f>
        <v/>
      </c>
      <c r="AD597" s="17">
        <f>IF($B597="","",TEXT($B597,"MM/AAAA"))</f>
        <v/>
      </c>
      <c r="AE597" s="18">
        <f>IF(COUNTA($B597:$R597)=0,"",IF($X597="Cancelado",0,ROUND(N($Q597)+N($S597)+N($T597)-N($U597),2)))</f>
        <v/>
      </c>
      <c r="AF597" s="9">
        <f>IF($G597="","",IFERROR(INDEX(LINHAS_DRE_PLANO,MATCH($G597,SUBCATEGORIAS_PLANO,0)),"Não classificado"))</f>
        <v/>
      </c>
      <c r="AG597" s="17">
        <f>IF($G597="","",IFERROR(INDEX(TIPOS_FLUXO_PLANO,MATCH($G597,SUBCATEGORIAS_PLANO,0)),"Não classificado"))</f>
        <v/>
      </c>
      <c r="AH597" s="9">
        <f>IF($G597="","",IFERROR(INDEX(GRUPOS_PLANO,MATCH($G597,SUBCATEGORIAS_PLANO,0)),"Não classificado"))</f>
        <v/>
      </c>
      <c r="AI597" s="24">
        <f>IF(OR($C597="",$X597="Pago",$X597="Recebido",$X597="Cancelado"),"",$C597-TODAY())</f>
        <v/>
      </c>
      <c r="AJ597" s="24">
        <f>IF(OR($C597="",$X597="Pago",$X597="Recebido",$X597="Cancelado"),0,MAX(0,TODAY()-$C597))</f>
        <v/>
      </c>
      <c r="AK597" s="24">
        <f>IF($D597="","",$D597-$B597)</f>
        <v/>
      </c>
      <c r="AL597" s="18">
        <f>IF(OR($D597="",$B597=""),"",ROUND(N($R597)*($D597-$B597),2))</f>
        <v/>
      </c>
      <c r="AM597" s="17">
        <f>IF(AND($E597="Saída",$W597&gt;0,$C597&lt;&gt;""),$C597+ROW()/1000000,"")</f>
        <v/>
      </c>
      <c r="AN597" s="17">
        <f>IF(AND($E597="Entrada",$W597&gt;0,$C597&lt;&gt;""),$C597+ROW()/1000000,"")</f>
        <v/>
      </c>
      <c r="AO597" s="9">
        <f>IF(COUNTA($B597:$R597)=0,"",IF(AND($I597&lt;&gt;"",COUNTIF(CLIENTES_NOMES,$I597)+COUNTIF(CLIENTES_FANTASIA,$I597)+COUNTIF(FORNECEDORES_NOMES,$I597)+COUNTIF(FORNECEDORES_FANTASIA,$I597)=0),"⚠ Cliente/Fornecedor não cadastrado",IF(AND($G597&lt;&gt;"",COUNTIF(SUBCATEGORIAS_PLANO,$G597)=0),"⚠ Subcategoria fora do plano de contas",IF(OR($Q597="",N($Q597)=0),"⚠ Valor previsto não informado",IF(AND(OR($X597="Pago",$X597="Recebido"),$D597=""),"⚠ Status pago/recebido sem data",IF(AND($D597&lt;&gt;"",N($R597)=0),"⚠ Data de pagamento sem valor realizado",IF(AND(N($P597)&gt;1,N($O597)&gt;N($P597)),"⚠ Nº da parcela maior que o total",IF(AND($C597&lt;&gt;"",$B597&lt;&gt;"",$C597&lt;$B597),"⚠ Vencimento anterior à competência","OK"))))))))</f>
        <v/>
      </c>
    </row>
    <row r="598">
      <c r="A598" s="14" t="inlineStr">
        <is>
          <t>L0593</t>
        </is>
      </c>
      <c r="B598" s="36" t="n">
        <v>46492</v>
      </c>
      <c r="C598" s="36" t="n">
        <v>46492</v>
      </c>
      <c r="D598" s="36" t="n"/>
      <c r="E598" s="14" t="inlineStr">
        <is>
          <t>Saída</t>
        </is>
      </c>
      <c r="F598" s="29" t="inlineStr">
        <is>
          <t>Despesas Financeiras</t>
        </is>
      </c>
      <c r="G598" s="29" t="inlineStr">
        <is>
          <t>Juros de Empréstimos e Financiamentos</t>
        </is>
      </c>
      <c r="H598" s="29" t="inlineStr">
        <is>
          <t>Financeiro</t>
        </is>
      </c>
      <c r="I598" s="29" t="inlineStr">
        <is>
          <t>BNDES / Banco do Brasil</t>
        </is>
      </c>
      <c r="J598" s="29" t="inlineStr">
        <is>
          <t>Financiamento de Máquinas — parcela 14/36 (juros)</t>
        </is>
      </c>
      <c r="K598" s="14" t="inlineStr">
        <is>
          <t>FIN-2026-1198-P14</t>
        </is>
      </c>
      <c r="L598" s="29" t="inlineStr">
        <is>
          <t>Banco do Brasil — C/C 12345-6</t>
        </is>
      </c>
      <c r="M598" s="14" t="inlineStr">
        <is>
          <t>Débito automático</t>
        </is>
      </c>
      <c r="N598" s="29" t="n"/>
      <c r="O598" s="13" t="n">
        <v>14</v>
      </c>
      <c r="P598" s="13" t="n">
        <v>36</v>
      </c>
      <c r="Q598" s="35" t="n">
        <v>843.33</v>
      </c>
      <c r="R598" s="35" t="n"/>
      <c r="S598" s="35" t="n"/>
      <c r="T598" s="35" t="n"/>
      <c r="U598" s="35" t="n"/>
      <c r="V598" s="18">
        <f>IF(COUNTA($B598:$R598)=0,"",ROUND(N($R598)+N($S598)+N($T598)-N($U598),2))</f>
        <v/>
      </c>
      <c r="W598" s="18">
        <f>IF(COUNTA($B598:$R598)=0,"",IF(OR($X598="Pago",$X598="Recebido",$X598="Cancelado"),0,ROUND(N($Q598)+N($S598)+N($T598)-N($U598)-N($R598),2)))</f>
        <v/>
      </c>
      <c r="X598" s="14" t="inlineStr">
        <is>
          <t>Previsto</t>
        </is>
      </c>
      <c r="Y598" s="17">
        <f>IF(COUNTA($B598:$R598)=0,"",IF($X598="Cancelado","Cancelado",IF(OR($X598="Pago",$X598="Recebido"),$X598,IF(OR($X598="Parcial",N($R598)&gt;0),"Parcial",IF($C598="","Sem vencimento",IF($C598&lt;TODAY(),"Vencido",IF($C598=TODAY(),"Vence hoje",IF($C598&lt;=TODAY()+7,"Vence em 7 dias",IF($C598&lt;=TODAY()+30,"Vence em 30 dias","Futuro")))))))))</f>
        <v/>
      </c>
      <c r="Z598" s="24">
        <f>IF($B598="","",MONTH($B598))</f>
        <v/>
      </c>
      <c r="AA598" s="24">
        <f>IF($B598="","",YEAR($B598))</f>
        <v/>
      </c>
      <c r="AB598" s="24">
        <f>IF($B598="","",ISOWEEKNUM($B598))</f>
        <v/>
      </c>
      <c r="AC598" s="17">
        <f>IF($B598="","",CHOOSE(WEEKDAY($B598,2),"Segunda","Terça","Quarta","Quinta","Sexta","Sábado","Domingo"))</f>
        <v/>
      </c>
      <c r="AD598" s="17">
        <f>IF($B598="","",TEXT($B598,"MM/AAAA"))</f>
        <v/>
      </c>
      <c r="AE598" s="18">
        <f>IF(COUNTA($B598:$R598)=0,"",IF($X598="Cancelado",0,ROUND(N($Q598)+N($S598)+N($T598)-N($U598),2)))</f>
        <v/>
      </c>
      <c r="AF598" s="9">
        <f>IF($G598="","",IFERROR(INDEX(LINHAS_DRE_PLANO,MATCH($G598,SUBCATEGORIAS_PLANO,0)),"Não classificado"))</f>
        <v/>
      </c>
      <c r="AG598" s="17">
        <f>IF($G598="","",IFERROR(INDEX(TIPOS_FLUXO_PLANO,MATCH($G598,SUBCATEGORIAS_PLANO,0)),"Não classificado"))</f>
        <v/>
      </c>
      <c r="AH598" s="9">
        <f>IF($G598="","",IFERROR(INDEX(GRUPOS_PLANO,MATCH($G598,SUBCATEGORIAS_PLANO,0)),"Não classificado"))</f>
        <v/>
      </c>
      <c r="AI598" s="24">
        <f>IF(OR($C598="",$X598="Pago",$X598="Recebido",$X598="Cancelado"),"",$C598-TODAY())</f>
        <v/>
      </c>
      <c r="AJ598" s="24">
        <f>IF(OR($C598="",$X598="Pago",$X598="Recebido",$X598="Cancelado"),0,MAX(0,TODAY()-$C598))</f>
        <v/>
      </c>
      <c r="AK598" s="24">
        <f>IF($D598="","",$D598-$B598)</f>
        <v/>
      </c>
      <c r="AL598" s="18">
        <f>IF(OR($D598="",$B598=""),"",ROUND(N($R598)*($D598-$B598),2))</f>
        <v/>
      </c>
      <c r="AM598" s="17">
        <f>IF(AND($E598="Saída",$W598&gt;0,$C598&lt;&gt;""),$C598+ROW()/1000000,"")</f>
        <v/>
      </c>
      <c r="AN598" s="17">
        <f>IF(AND($E598="Entrada",$W598&gt;0,$C598&lt;&gt;""),$C598+ROW()/1000000,"")</f>
        <v/>
      </c>
      <c r="AO598" s="9">
        <f>IF(COUNTA($B598:$R598)=0,"",IF(AND($I598&lt;&gt;"",COUNTIF(CLIENTES_NOMES,$I598)+COUNTIF(CLIENTES_FANTASIA,$I598)+COUNTIF(FORNECEDORES_NOMES,$I598)+COUNTIF(FORNECEDORES_FANTASIA,$I598)=0),"⚠ Cliente/Fornecedor não cadastrado",IF(AND($G598&lt;&gt;"",COUNTIF(SUBCATEGORIAS_PLANO,$G598)=0),"⚠ Subcategoria fora do plano de contas",IF(OR($Q598="",N($Q598)=0),"⚠ Valor previsto não informado",IF(AND(OR($X598="Pago",$X598="Recebido"),$D598=""),"⚠ Status pago/recebido sem data",IF(AND($D598&lt;&gt;"",N($R598)=0),"⚠ Data de pagamento sem valor realizado",IF(AND(N($P598)&gt;1,N($O598)&gt;N($P598)),"⚠ Nº da parcela maior que o total",IF(AND($C598&lt;&gt;"",$B598&lt;&gt;"",$C598&lt;$B598),"⚠ Vencimento anterior à competência","OK"))))))))</f>
        <v/>
      </c>
    </row>
    <row r="599">
      <c r="A599" s="14" t="inlineStr">
        <is>
          <t>L0594</t>
        </is>
      </c>
      <c r="B599" s="36" t="n">
        <v>46497</v>
      </c>
      <c r="C599" s="36" t="n">
        <v>46497</v>
      </c>
      <c r="D599" s="36" t="n"/>
      <c r="E599" s="14" t="inlineStr">
        <is>
          <t>Saída</t>
        </is>
      </c>
      <c r="F599" s="29" t="inlineStr">
        <is>
          <t>Empréstimos e Financiamentos</t>
        </is>
      </c>
      <c r="G599" s="29" t="inlineStr">
        <is>
          <t>Pagamento de Principal de Empréstimos</t>
        </is>
      </c>
      <c r="H599" s="29" t="inlineStr">
        <is>
          <t>Diretoria</t>
        </is>
      </c>
      <c r="I599" s="29" t="inlineStr">
        <is>
          <t>Banco Santander</t>
        </is>
      </c>
      <c r="J599" s="29" t="inlineStr">
        <is>
          <t>Financiamento de Veículo — parcela 15/48 (principal)</t>
        </is>
      </c>
      <c r="K599" s="14" t="inlineStr">
        <is>
          <t>VEI-2026-0088-P15</t>
        </is>
      </c>
      <c r="L599" s="29" t="inlineStr">
        <is>
          <t>Itaú Unibanco — C/C 45678-9</t>
        </is>
      </c>
      <c r="M599" s="14" t="inlineStr">
        <is>
          <t>Débito automático</t>
        </is>
      </c>
      <c r="N599" s="29" t="n"/>
      <c r="O599" s="13" t="n">
        <v>15</v>
      </c>
      <c r="P599" s="13" t="n">
        <v>48</v>
      </c>
      <c r="Q599" s="35" t="n">
        <v>1459.43</v>
      </c>
      <c r="R599" s="35" t="n"/>
      <c r="S599" s="35" t="n"/>
      <c r="T599" s="35" t="n"/>
      <c r="U599" s="35" t="n"/>
      <c r="V599" s="18">
        <f>IF(COUNTA($B599:$R599)=0,"",ROUND(N($R599)+N($S599)+N($T599)-N($U599),2))</f>
        <v/>
      </c>
      <c r="W599" s="18">
        <f>IF(COUNTA($B599:$R599)=0,"",IF(OR($X599="Pago",$X599="Recebido",$X599="Cancelado"),0,ROUND(N($Q599)+N($S599)+N($T599)-N($U599)-N($R599),2)))</f>
        <v/>
      </c>
      <c r="X599" s="14" t="inlineStr">
        <is>
          <t>Previsto</t>
        </is>
      </c>
      <c r="Y599" s="17">
        <f>IF(COUNTA($B599:$R599)=0,"",IF($X599="Cancelado","Cancelado",IF(OR($X599="Pago",$X599="Recebido"),$X599,IF(OR($X599="Parcial",N($R599)&gt;0),"Parcial",IF($C599="","Sem vencimento",IF($C599&lt;TODAY(),"Vencido",IF($C599=TODAY(),"Vence hoje",IF($C599&lt;=TODAY()+7,"Vence em 7 dias",IF($C599&lt;=TODAY()+30,"Vence em 30 dias","Futuro")))))))))</f>
        <v/>
      </c>
      <c r="Z599" s="24">
        <f>IF($B599="","",MONTH($B599))</f>
        <v/>
      </c>
      <c r="AA599" s="24">
        <f>IF($B599="","",YEAR($B599))</f>
        <v/>
      </c>
      <c r="AB599" s="24">
        <f>IF($B599="","",ISOWEEKNUM($B599))</f>
        <v/>
      </c>
      <c r="AC599" s="17">
        <f>IF($B599="","",CHOOSE(WEEKDAY($B599,2),"Segunda","Terça","Quarta","Quinta","Sexta","Sábado","Domingo"))</f>
        <v/>
      </c>
      <c r="AD599" s="17">
        <f>IF($B599="","",TEXT($B599,"MM/AAAA"))</f>
        <v/>
      </c>
      <c r="AE599" s="18">
        <f>IF(COUNTA($B599:$R599)=0,"",IF($X599="Cancelado",0,ROUND(N($Q599)+N($S599)+N($T599)-N($U599),2)))</f>
        <v/>
      </c>
      <c r="AF599" s="9">
        <f>IF($G599="","",IFERROR(INDEX(LINHAS_DRE_PLANO,MATCH($G599,SUBCATEGORIAS_PLANO,0)),"Não classificado"))</f>
        <v/>
      </c>
      <c r="AG599" s="17">
        <f>IF($G599="","",IFERROR(INDEX(TIPOS_FLUXO_PLANO,MATCH($G599,SUBCATEGORIAS_PLANO,0)),"Não classificado"))</f>
        <v/>
      </c>
      <c r="AH599" s="9">
        <f>IF($G599="","",IFERROR(INDEX(GRUPOS_PLANO,MATCH($G599,SUBCATEGORIAS_PLANO,0)),"Não classificado"))</f>
        <v/>
      </c>
      <c r="AI599" s="24">
        <f>IF(OR($C599="",$X599="Pago",$X599="Recebido",$X599="Cancelado"),"",$C599-TODAY())</f>
        <v/>
      </c>
      <c r="AJ599" s="24">
        <f>IF(OR($C599="",$X599="Pago",$X599="Recebido",$X599="Cancelado"),0,MAX(0,TODAY()-$C599))</f>
        <v/>
      </c>
      <c r="AK599" s="24">
        <f>IF($D599="","",$D599-$B599)</f>
        <v/>
      </c>
      <c r="AL599" s="18">
        <f>IF(OR($D599="",$B599=""),"",ROUND(N($R599)*($D599-$B599),2))</f>
        <v/>
      </c>
      <c r="AM599" s="17">
        <f>IF(AND($E599="Saída",$W599&gt;0,$C599&lt;&gt;""),$C599+ROW()/1000000,"")</f>
        <v/>
      </c>
      <c r="AN599" s="17">
        <f>IF(AND($E599="Entrada",$W599&gt;0,$C599&lt;&gt;""),$C599+ROW()/1000000,"")</f>
        <v/>
      </c>
      <c r="AO599" s="9">
        <f>IF(COUNTA($B599:$R599)=0,"",IF(AND($I599&lt;&gt;"",COUNTIF(CLIENTES_NOMES,$I599)+COUNTIF(CLIENTES_FANTASIA,$I599)+COUNTIF(FORNECEDORES_NOMES,$I599)+COUNTIF(FORNECEDORES_FANTASIA,$I599)=0),"⚠ Cliente/Fornecedor não cadastrado",IF(AND($G599&lt;&gt;"",COUNTIF(SUBCATEGORIAS_PLANO,$G599)=0),"⚠ Subcategoria fora do plano de contas",IF(OR($Q599="",N($Q599)=0),"⚠ Valor previsto não informado",IF(AND(OR($X599="Pago",$X599="Recebido"),$D599=""),"⚠ Status pago/recebido sem data",IF(AND($D599&lt;&gt;"",N($R599)=0),"⚠ Data de pagamento sem valor realizado",IF(AND(N($P599)&gt;1,N($O599)&gt;N($P599)),"⚠ Nº da parcela maior que o total",IF(AND($C599&lt;&gt;"",$B599&lt;&gt;"",$C599&lt;$B599),"⚠ Vencimento anterior à competência","OK"))))))))</f>
        <v/>
      </c>
    </row>
    <row r="600">
      <c r="A600" s="14" t="inlineStr">
        <is>
          <t>L0595</t>
        </is>
      </c>
      <c r="B600" s="36" t="n">
        <v>46497</v>
      </c>
      <c r="C600" s="36" t="n">
        <v>46497</v>
      </c>
      <c r="D600" s="36" t="n"/>
      <c r="E600" s="14" t="inlineStr">
        <is>
          <t>Saída</t>
        </is>
      </c>
      <c r="F600" s="29" t="inlineStr">
        <is>
          <t>Despesas Financeiras</t>
        </is>
      </c>
      <c r="G600" s="29" t="inlineStr">
        <is>
          <t>Juros de Empréstimos e Financiamentos</t>
        </is>
      </c>
      <c r="H600" s="29" t="inlineStr">
        <is>
          <t>Diretoria</t>
        </is>
      </c>
      <c r="I600" s="29" t="inlineStr">
        <is>
          <t>Banco Santander</t>
        </is>
      </c>
      <c r="J600" s="29" t="inlineStr">
        <is>
          <t>Financiamento de Veículo — parcela 15/48 (juros)</t>
        </is>
      </c>
      <c r="K600" s="14" t="inlineStr">
        <is>
          <t>VEI-2026-0088-P15</t>
        </is>
      </c>
      <c r="L600" s="29" t="inlineStr">
        <is>
          <t>Itaú Unibanco — C/C 45678-9</t>
        </is>
      </c>
      <c r="M600" s="14" t="inlineStr">
        <is>
          <t>Débito automático</t>
        </is>
      </c>
      <c r="N600" s="29" t="n"/>
      <c r="O600" s="13" t="n">
        <v>15</v>
      </c>
      <c r="P600" s="13" t="n">
        <v>48</v>
      </c>
      <c r="Q600" s="35" t="n">
        <v>767.03</v>
      </c>
      <c r="R600" s="35" t="n"/>
      <c r="S600" s="35" t="n"/>
      <c r="T600" s="35" t="n"/>
      <c r="U600" s="35" t="n"/>
      <c r="V600" s="18">
        <f>IF(COUNTA($B600:$R600)=0,"",ROUND(N($R600)+N($S600)+N($T600)-N($U600),2))</f>
        <v/>
      </c>
      <c r="W600" s="18">
        <f>IF(COUNTA($B600:$R600)=0,"",IF(OR($X600="Pago",$X600="Recebido",$X600="Cancelado"),0,ROUND(N($Q600)+N($S600)+N($T600)-N($U600)-N($R600),2)))</f>
        <v/>
      </c>
      <c r="X600" s="14" t="inlineStr">
        <is>
          <t>Previsto</t>
        </is>
      </c>
      <c r="Y600" s="17">
        <f>IF(COUNTA($B600:$R600)=0,"",IF($X600="Cancelado","Cancelado",IF(OR($X600="Pago",$X600="Recebido"),$X600,IF(OR($X600="Parcial",N($R600)&gt;0),"Parcial",IF($C600="","Sem vencimento",IF($C600&lt;TODAY(),"Vencido",IF($C600=TODAY(),"Vence hoje",IF($C600&lt;=TODAY()+7,"Vence em 7 dias",IF($C600&lt;=TODAY()+30,"Vence em 30 dias","Futuro")))))))))</f>
        <v/>
      </c>
      <c r="Z600" s="24">
        <f>IF($B600="","",MONTH($B600))</f>
        <v/>
      </c>
      <c r="AA600" s="24">
        <f>IF($B600="","",YEAR($B600))</f>
        <v/>
      </c>
      <c r="AB600" s="24">
        <f>IF($B600="","",ISOWEEKNUM($B600))</f>
        <v/>
      </c>
      <c r="AC600" s="17">
        <f>IF($B600="","",CHOOSE(WEEKDAY($B600,2),"Segunda","Terça","Quarta","Quinta","Sexta","Sábado","Domingo"))</f>
        <v/>
      </c>
      <c r="AD600" s="17">
        <f>IF($B600="","",TEXT($B600,"MM/AAAA"))</f>
        <v/>
      </c>
      <c r="AE600" s="18">
        <f>IF(COUNTA($B600:$R600)=0,"",IF($X600="Cancelado",0,ROUND(N($Q600)+N($S600)+N($T600)-N($U600),2)))</f>
        <v/>
      </c>
      <c r="AF600" s="9">
        <f>IF($G600="","",IFERROR(INDEX(LINHAS_DRE_PLANO,MATCH($G600,SUBCATEGORIAS_PLANO,0)),"Não classificado"))</f>
        <v/>
      </c>
      <c r="AG600" s="17">
        <f>IF($G600="","",IFERROR(INDEX(TIPOS_FLUXO_PLANO,MATCH($G600,SUBCATEGORIAS_PLANO,0)),"Não classificado"))</f>
        <v/>
      </c>
      <c r="AH600" s="9">
        <f>IF($G600="","",IFERROR(INDEX(GRUPOS_PLANO,MATCH($G600,SUBCATEGORIAS_PLANO,0)),"Não classificado"))</f>
        <v/>
      </c>
      <c r="AI600" s="24">
        <f>IF(OR($C600="",$X600="Pago",$X600="Recebido",$X600="Cancelado"),"",$C600-TODAY())</f>
        <v/>
      </c>
      <c r="AJ600" s="24">
        <f>IF(OR($C600="",$X600="Pago",$X600="Recebido",$X600="Cancelado"),0,MAX(0,TODAY()-$C600))</f>
        <v/>
      </c>
      <c r="AK600" s="24">
        <f>IF($D600="","",$D600-$B600)</f>
        <v/>
      </c>
      <c r="AL600" s="18">
        <f>IF(OR($D600="",$B600=""),"",ROUND(N($R600)*($D600-$B600),2))</f>
        <v/>
      </c>
      <c r="AM600" s="17">
        <f>IF(AND($E600="Saída",$W600&gt;0,$C600&lt;&gt;""),$C600+ROW()/1000000,"")</f>
        <v/>
      </c>
      <c r="AN600" s="17">
        <f>IF(AND($E600="Entrada",$W600&gt;0,$C600&lt;&gt;""),$C600+ROW()/1000000,"")</f>
        <v/>
      </c>
      <c r="AO600" s="9">
        <f>IF(COUNTA($B600:$R600)=0,"",IF(AND($I600&lt;&gt;"",COUNTIF(CLIENTES_NOMES,$I600)+COUNTIF(CLIENTES_FANTASIA,$I600)+COUNTIF(FORNECEDORES_NOMES,$I600)+COUNTIF(FORNECEDORES_FANTASIA,$I600)=0),"⚠ Cliente/Fornecedor não cadastrado",IF(AND($G600&lt;&gt;"",COUNTIF(SUBCATEGORIAS_PLANO,$G600)=0),"⚠ Subcategoria fora do plano de contas",IF(OR($Q600="",N($Q600)=0),"⚠ Valor previsto não informado",IF(AND(OR($X600="Pago",$X600="Recebido"),$D600=""),"⚠ Status pago/recebido sem data",IF(AND($D600&lt;&gt;"",N($R600)=0),"⚠ Data de pagamento sem valor realizado",IF(AND(N($P600)&gt;1,N($O600)&gt;N($P600)),"⚠ Nº da parcela maior que o total",IF(AND($C600&lt;&gt;"",$B600&lt;&gt;"",$C600&lt;$B600),"⚠ Vencimento anterior à competência","OK"))))))))</f>
        <v/>
      </c>
    </row>
    <row r="601">
      <c r="A601" s="14" t="inlineStr">
        <is>
          <t>L0596</t>
        </is>
      </c>
      <c r="B601" s="36" t="n">
        <v>46517</v>
      </c>
      <c r="C601" s="36" t="n">
        <v>46517</v>
      </c>
      <c r="D601" s="36" t="n"/>
      <c r="E601" s="14" t="inlineStr">
        <is>
          <t>Saída</t>
        </is>
      </c>
      <c r="F601" s="29" t="inlineStr">
        <is>
          <t>Empréstimos e Financiamentos</t>
        </is>
      </c>
      <c r="G601" s="29" t="inlineStr">
        <is>
          <t>Pagamento de Principal de Empréstimos</t>
        </is>
      </c>
      <c r="H601" s="29" t="inlineStr">
        <is>
          <t>Financeiro</t>
        </is>
      </c>
      <c r="I601" s="29" t="inlineStr">
        <is>
          <t>Banco do Brasil</t>
        </is>
      </c>
      <c r="J601" s="29" t="inlineStr">
        <is>
          <t>Capital de Giro — parcela 16/24 (principal)</t>
        </is>
      </c>
      <c r="K601" s="14" t="inlineStr">
        <is>
          <t>CG-2026-0417-P16</t>
        </is>
      </c>
      <c r="L601" s="29" t="inlineStr">
        <is>
          <t>Banco do Brasil — C/C 12345-6</t>
        </is>
      </c>
      <c r="M601" s="14" t="inlineStr">
        <is>
          <t>Débito automático</t>
        </is>
      </c>
      <c r="N601" s="29" t="n"/>
      <c r="O601" s="13" t="n">
        <v>16</v>
      </c>
      <c r="P601" s="13" t="n">
        <v>24</v>
      </c>
      <c r="Q601" s="35" t="n">
        <v>2619.8</v>
      </c>
      <c r="R601" s="35" t="n"/>
      <c r="S601" s="35" t="n"/>
      <c r="T601" s="35" t="n"/>
      <c r="U601" s="35" t="n"/>
      <c r="V601" s="18">
        <f>IF(COUNTA($B601:$R601)=0,"",ROUND(N($R601)+N($S601)+N($T601)-N($U601),2))</f>
        <v/>
      </c>
      <c r="W601" s="18">
        <f>IF(COUNTA($B601:$R601)=0,"",IF(OR($X601="Pago",$X601="Recebido",$X601="Cancelado"),0,ROUND(N($Q601)+N($S601)+N($T601)-N($U601)-N($R601),2)))</f>
        <v/>
      </c>
      <c r="X601" s="14" t="inlineStr">
        <is>
          <t>Previsto</t>
        </is>
      </c>
      <c r="Y601" s="17">
        <f>IF(COUNTA($B601:$R601)=0,"",IF($X601="Cancelado","Cancelado",IF(OR($X601="Pago",$X601="Recebido"),$X601,IF(OR($X601="Parcial",N($R601)&gt;0),"Parcial",IF($C601="","Sem vencimento",IF($C601&lt;TODAY(),"Vencido",IF($C601=TODAY(),"Vence hoje",IF($C601&lt;=TODAY()+7,"Vence em 7 dias",IF($C601&lt;=TODAY()+30,"Vence em 30 dias","Futuro")))))))))</f>
        <v/>
      </c>
      <c r="Z601" s="24">
        <f>IF($B601="","",MONTH($B601))</f>
        <v/>
      </c>
      <c r="AA601" s="24">
        <f>IF($B601="","",YEAR($B601))</f>
        <v/>
      </c>
      <c r="AB601" s="24">
        <f>IF($B601="","",ISOWEEKNUM($B601))</f>
        <v/>
      </c>
      <c r="AC601" s="17">
        <f>IF($B601="","",CHOOSE(WEEKDAY($B601,2),"Segunda","Terça","Quarta","Quinta","Sexta","Sábado","Domingo"))</f>
        <v/>
      </c>
      <c r="AD601" s="17">
        <f>IF($B601="","",TEXT($B601,"MM/AAAA"))</f>
        <v/>
      </c>
      <c r="AE601" s="18">
        <f>IF(COUNTA($B601:$R601)=0,"",IF($X601="Cancelado",0,ROUND(N($Q601)+N($S601)+N($T601)-N($U601),2)))</f>
        <v/>
      </c>
      <c r="AF601" s="9">
        <f>IF($G601="","",IFERROR(INDEX(LINHAS_DRE_PLANO,MATCH($G601,SUBCATEGORIAS_PLANO,0)),"Não classificado"))</f>
        <v/>
      </c>
      <c r="AG601" s="17">
        <f>IF($G601="","",IFERROR(INDEX(TIPOS_FLUXO_PLANO,MATCH($G601,SUBCATEGORIAS_PLANO,0)),"Não classificado"))</f>
        <v/>
      </c>
      <c r="AH601" s="9">
        <f>IF($G601="","",IFERROR(INDEX(GRUPOS_PLANO,MATCH($G601,SUBCATEGORIAS_PLANO,0)),"Não classificado"))</f>
        <v/>
      </c>
      <c r="AI601" s="24">
        <f>IF(OR($C601="",$X601="Pago",$X601="Recebido",$X601="Cancelado"),"",$C601-TODAY())</f>
        <v/>
      </c>
      <c r="AJ601" s="24">
        <f>IF(OR($C601="",$X601="Pago",$X601="Recebido",$X601="Cancelado"),0,MAX(0,TODAY()-$C601))</f>
        <v/>
      </c>
      <c r="AK601" s="24">
        <f>IF($D601="","",$D601-$B601)</f>
        <v/>
      </c>
      <c r="AL601" s="18">
        <f>IF(OR($D601="",$B601=""),"",ROUND(N($R601)*($D601-$B601),2))</f>
        <v/>
      </c>
      <c r="AM601" s="17">
        <f>IF(AND($E601="Saída",$W601&gt;0,$C601&lt;&gt;""),$C601+ROW()/1000000,"")</f>
        <v/>
      </c>
      <c r="AN601" s="17">
        <f>IF(AND($E601="Entrada",$W601&gt;0,$C601&lt;&gt;""),$C601+ROW()/1000000,"")</f>
        <v/>
      </c>
      <c r="AO601" s="9">
        <f>IF(COUNTA($B601:$R601)=0,"",IF(AND($I601&lt;&gt;"",COUNTIF(CLIENTES_NOMES,$I601)+COUNTIF(CLIENTES_FANTASIA,$I601)+COUNTIF(FORNECEDORES_NOMES,$I601)+COUNTIF(FORNECEDORES_FANTASIA,$I601)=0),"⚠ Cliente/Fornecedor não cadastrado",IF(AND($G601&lt;&gt;"",COUNTIF(SUBCATEGORIAS_PLANO,$G601)=0),"⚠ Subcategoria fora do plano de contas",IF(OR($Q601="",N($Q601)=0),"⚠ Valor previsto não informado",IF(AND(OR($X601="Pago",$X601="Recebido"),$D601=""),"⚠ Status pago/recebido sem data",IF(AND($D601&lt;&gt;"",N($R601)=0),"⚠ Data de pagamento sem valor realizado",IF(AND(N($P601)&gt;1,N($O601)&gt;N($P601)),"⚠ Nº da parcela maior que o total",IF(AND($C601&lt;&gt;"",$B601&lt;&gt;"",$C601&lt;$B601),"⚠ Vencimento anterior à competência","OK"))))))))</f>
        <v/>
      </c>
    </row>
    <row r="602">
      <c r="A602" s="14" t="inlineStr">
        <is>
          <t>L0597</t>
        </is>
      </c>
      <c r="B602" s="36" t="n">
        <v>46517</v>
      </c>
      <c r="C602" s="36" t="n">
        <v>46517</v>
      </c>
      <c r="D602" s="36" t="n"/>
      <c r="E602" s="14" t="inlineStr">
        <is>
          <t>Saída</t>
        </is>
      </c>
      <c r="F602" s="29" t="inlineStr">
        <is>
          <t>Despesas Financeiras</t>
        </is>
      </c>
      <c r="G602" s="29" t="inlineStr">
        <is>
          <t>Juros de Empréstimos e Financiamentos</t>
        </is>
      </c>
      <c r="H602" s="29" t="inlineStr">
        <is>
          <t>Financeiro</t>
        </is>
      </c>
      <c r="I602" s="29" t="inlineStr">
        <is>
          <t>Banco do Brasil</t>
        </is>
      </c>
      <c r="J602" s="29" t="inlineStr">
        <is>
          <t>Capital de Giro — parcela 16/24 (juros)</t>
        </is>
      </c>
      <c r="K602" s="14" t="inlineStr">
        <is>
          <t>CG-2026-0417-P16</t>
        </is>
      </c>
      <c r="L602" s="29" t="inlineStr">
        <is>
          <t>Banco do Brasil — C/C 12345-6</t>
        </is>
      </c>
      <c r="M602" s="14" t="inlineStr">
        <is>
          <t>Débito automático</t>
        </is>
      </c>
      <c r="N602" s="29" t="n"/>
      <c r="O602" s="13" t="n">
        <v>16</v>
      </c>
      <c r="P602" s="13" t="n">
        <v>24</v>
      </c>
      <c r="Q602" s="35" t="n">
        <v>375.65</v>
      </c>
      <c r="R602" s="35" t="n"/>
      <c r="S602" s="35" t="n"/>
      <c r="T602" s="35" t="n"/>
      <c r="U602" s="35" t="n"/>
      <c r="V602" s="18">
        <f>IF(COUNTA($B602:$R602)=0,"",ROUND(N($R602)+N($S602)+N($T602)-N($U602),2))</f>
        <v/>
      </c>
      <c r="W602" s="18">
        <f>IF(COUNTA($B602:$R602)=0,"",IF(OR($X602="Pago",$X602="Recebido",$X602="Cancelado"),0,ROUND(N($Q602)+N($S602)+N($T602)-N($U602)-N($R602),2)))</f>
        <v/>
      </c>
      <c r="X602" s="14" t="inlineStr">
        <is>
          <t>Previsto</t>
        </is>
      </c>
      <c r="Y602" s="17">
        <f>IF(COUNTA($B602:$R602)=0,"",IF($X602="Cancelado","Cancelado",IF(OR($X602="Pago",$X602="Recebido"),$X602,IF(OR($X602="Parcial",N($R602)&gt;0),"Parcial",IF($C602="","Sem vencimento",IF($C602&lt;TODAY(),"Vencido",IF($C602=TODAY(),"Vence hoje",IF($C602&lt;=TODAY()+7,"Vence em 7 dias",IF($C602&lt;=TODAY()+30,"Vence em 30 dias","Futuro")))))))))</f>
        <v/>
      </c>
      <c r="Z602" s="24">
        <f>IF($B602="","",MONTH($B602))</f>
        <v/>
      </c>
      <c r="AA602" s="24">
        <f>IF($B602="","",YEAR($B602))</f>
        <v/>
      </c>
      <c r="AB602" s="24">
        <f>IF($B602="","",ISOWEEKNUM($B602))</f>
        <v/>
      </c>
      <c r="AC602" s="17">
        <f>IF($B602="","",CHOOSE(WEEKDAY($B602,2),"Segunda","Terça","Quarta","Quinta","Sexta","Sábado","Domingo"))</f>
        <v/>
      </c>
      <c r="AD602" s="17">
        <f>IF($B602="","",TEXT($B602,"MM/AAAA"))</f>
        <v/>
      </c>
      <c r="AE602" s="18">
        <f>IF(COUNTA($B602:$R602)=0,"",IF($X602="Cancelado",0,ROUND(N($Q602)+N($S602)+N($T602)-N($U602),2)))</f>
        <v/>
      </c>
      <c r="AF602" s="9">
        <f>IF($G602="","",IFERROR(INDEX(LINHAS_DRE_PLANO,MATCH($G602,SUBCATEGORIAS_PLANO,0)),"Não classificado"))</f>
        <v/>
      </c>
      <c r="AG602" s="17">
        <f>IF($G602="","",IFERROR(INDEX(TIPOS_FLUXO_PLANO,MATCH($G602,SUBCATEGORIAS_PLANO,0)),"Não classificado"))</f>
        <v/>
      </c>
      <c r="AH602" s="9">
        <f>IF($G602="","",IFERROR(INDEX(GRUPOS_PLANO,MATCH($G602,SUBCATEGORIAS_PLANO,0)),"Não classificado"))</f>
        <v/>
      </c>
      <c r="AI602" s="24">
        <f>IF(OR($C602="",$X602="Pago",$X602="Recebido",$X602="Cancelado"),"",$C602-TODAY())</f>
        <v/>
      </c>
      <c r="AJ602" s="24">
        <f>IF(OR($C602="",$X602="Pago",$X602="Recebido",$X602="Cancelado"),0,MAX(0,TODAY()-$C602))</f>
        <v/>
      </c>
      <c r="AK602" s="24">
        <f>IF($D602="","",$D602-$B602)</f>
        <v/>
      </c>
      <c r="AL602" s="18">
        <f>IF(OR($D602="",$B602=""),"",ROUND(N($R602)*($D602-$B602),2))</f>
        <v/>
      </c>
      <c r="AM602" s="17">
        <f>IF(AND($E602="Saída",$W602&gt;0,$C602&lt;&gt;""),$C602+ROW()/1000000,"")</f>
        <v/>
      </c>
      <c r="AN602" s="17">
        <f>IF(AND($E602="Entrada",$W602&gt;0,$C602&lt;&gt;""),$C602+ROW()/1000000,"")</f>
        <v/>
      </c>
      <c r="AO602" s="9">
        <f>IF(COUNTA($B602:$R602)=0,"",IF(AND($I602&lt;&gt;"",COUNTIF(CLIENTES_NOMES,$I602)+COUNTIF(CLIENTES_FANTASIA,$I602)+COUNTIF(FORNECEDORES_NOMES,$I602)+COUNTIF(FORNECEDORES_FANTASIA,$I602)=0),"⚠ Cliente/Fornecedor não cadastrado",IF(AND($G602&lt;&gt;"",COUNTIF(SUBCATEGORIAS_PLANO,$G602)=0),"⚠ Subcategoria fora do plano de contas",IF(OR($Q602="",N($Q602)=0),"⚠ Valor previsto não informado",IF(AND(OR($X602="Pago",$X602="Recebido"),$D602=""),"⚠ Status pago/recebido sem data",IF(AND($D602&lt;&gt;"",N($R602)=0),"⚠ Data de pagamento sem valor realizado",IF(AND(N($P602)&gt;1,N($O602)&gt;N($P602)),"⚠ Nº da parcela maior que o total",IF(AND($C602&lt;&gt;"",$B602&lt;&gt;"",$C602&lt;$B602),"⚠ Vencimento anterior à competência","OK"))))))))</f>
        <v/>
      </c>
    </row>
    <row r="603">
      <c r="A603" s="14" t="inlineStr">
        <is>
          <t>L0598</t>
        </is>
      </c>
      <c r="B603" s="36" t="n">
        <v>46522</v>
      </c>
      <c r="C603" s="36" t="n">
        <v>46522</v>
      </c>
      <c r="D603" s="36" t="n"/>
      <c r="E603" s="14" t="inlineStr">
        <is>
          <t>Saída</t>
        </is>
      </c>
      <c r="F603" s="29" t="inlineStr">
        <is>
          <t>Empréstimos e Financiamentos</t>
        </is>
      </c>
      <c r="G603" s="29" t="inlineStr">
        <is>
          <t>Pagamento de Principal de Empréstimos</t>
        </is>
      </c>
      <c r="H603" s="29" t="inlineStr">
        <is>
          <t>Financeiro</t>
        </is>
      </c>
      <c r="I603" s="29" t="inlineStr">
        <is>
          <t>BNDES / Banco do Brasil</t>
        </is>
      </c>
      <c r="J603" s="29" t="inlineStr">
        <is>
          <t>Financiamento de Máquinas — parcela 15/36 (principal)</t>
        </is>
      </c>
      <c r="K603" s="14" t="inlineStr">
        <is>
          <t>FIN-2026-1198-P15</t>
        </is>
      </c>
      <c r="L603" s="29" t="inlineStr">
        <is>
          <t>Banco do Brasil — C/C 12345-6</t>
        </is>
      </c>
      <c r="M603" s="14" t="inlineStr">
        <is>
          <t>Débito automático</t>
        </is>
      </c>
      <c r="N603" s="29" t="n"/>
      <c r="O603" s="13" t="n">
        <v>15</v>
      </c>
      <c r="P603" s="13" t="n">
        <v>36</v>
      </c>
      <c r="Q603" s="35" t="n">
        <v>3333.33</v>
      </c>
      <c r="R603" s="35" t="n"/>
      <c r="S603" s="35" t="n"/>
      <c r="T603" s="35" t="n"/>
      <c r="U603" s="35" t="n"/>
      <c r="V603" s="18">
        <f>IF(COUNTA($B603:$R603)=0,"",ROUND(N($R603)+N($S603)+N($T603)-N($U603),2))</f>
        <v/>
      </c>
      <c r="W603" s="18">
        <f>IF(COUNTA($B603:$R603)=0,"",IF(OR($X603="Pago",$X603="Recebido",$X603="Cancelado"),0,ROUND(N($Q603)+N($S603)+N($T603)-N($U603)-N($R603),2)))</f>
        <v/>
      </c>
      <c r="X603" s="14" t="inlineStr">
        <is>
          <t>Previsto</t>
        </is>
      </c>
      <c r="Y603" s="17">
        <f>IF(COUNTA($B603:$R603)=0,"",IF($X603="Cancelado","Cancelado",IF(OR($X603="Pago",$X603="Recebido"),$X603,IF(OR($X603="Parcial",N($R603)&gt;0),"Parcial",IF($C603="","Sem vencimento",IF($C603&lt;TODAY(),"Vencido",IF($C603=TODAY(),"Vence hoje",IF($C603&lt;=TODAY()+7,"Vence em 7 dias",IF($C603&lt;=TODAY()+30,"Vence em 30 dias","Futuro")))))))))</f>
        <v/>
      </c>
      <c r="Z603" s="24">
        <f>IF($B603="","",MONTH($B603))</f>
        <v/>
      </c>
      <c r="AA603" s="24">
        <f>IF($B603="","",YEAR($B603))</f>
        <v/>
      </c>
      <c r="AB603" s="24">
        <f>IF($B603="","",ISOWEEKNUM($B603))</f>
        <v/>
      </c>
      <c r="AC603" s="17">
        <f>IF($B603="","",CHOOSE(WEEKDAY($B603,2),"Segunda","Terça","Quarta","Quinta","Sexta","Sábado","Domingo"))</f>
        <v/>
      </c>
      <c r="AD603" s="17">
        <f>IF($B603="","",TEXT($B603,"MM/AAAA"))</f>
        <v/>
      </c>
      <c r="AE603" s="18">
        <f>IF(COUNTA($B603:$R603)=0,"",IF($X603="Cancelado",0,ROUND(N($Q603)+N($S603)+N($T603)-N($U603),2)))</f>
        <v/>
      </c>
      <c r="AF603" s="9">
        <f>IF($G603="","",IFERROR(INDEX(LINHAS_DRE_PLANO,MATCH($G603,SUBCATEGORIAS_PLANO,0)),"Não classificado"))</f>
        <v/>
      </c>
      <c r="AG603" s="17">
        <f>IF($G603="","",IFERROR(INDEX(TIPOS_FLUXO_PLANO,MATCH($G603,SUBCATEGORIAS_PLANO,0)),"Não classificado"))</f>
        <v/>
      </c>
      <c r="AH603" s="9">
        <f>IF($G603="","",IFERROR(INDEX(GRUPOS_PLANO,MATCH($G603,SUBCATEGORIAS_PLANO,0)),"Não classificado"))</f>
        <v/>
      </c>
      <c r="AI603" s="24">
        <f>IF(OR($C603="",$X603="Pago",$X603="Recebido",$X603="Cancelado"),"",$C603-TODAY())</f>
        <v/>
      </c>
      <c r="AJ603" s="24">
        <f>IF(OR($C603="",$X603="Pago",$X603="Recebido",$X603="Cancelado"),0,MAX(0,TODAY()-$C603))</f>
        <v/>
      </c>
      <c r="AK603" s="24">
        <f>IF($D603="","",$D603-$B603)</f>
        <v/>
      </c>
      <c r="AL603" s="18">
        <f>IF(OR($D603="",$B603=""),"",ROUND(N($R603)*($D603-$B603),2))</f>
        <v/>
      </c>
      <c r="AM603" s="17">
        <f>IF(AND($E603="Saída",$W603&gt;0,$C603&lt;&gt;""),$C603+ROW()/1000000,"")</f>
        <v/>
      </c>
      <c r="AN603" s="17">
        <f>IF(AND($E603="Entrada",$W603&gt;0,$C603&lt;&gt;""),$C603+ROW()/1000000,"")</f>
        <v/>
      </c>
      <c r="AO603" s="9">
        <f>IF(COUNTA($B603:$R603)=0,"",IF(AND($I603&lt;&gt;"",COUNTIF(CLIENTES_NOMES,$I603)+COUNTIF(CLIENTES_FANTASIA,$I603)+COUNTIF(FORNECEDORES_NOMES,$I603)+COUNTIF(FORNECEDORES_FANTASIA,$I603)=0),"⚠ Cliente/Fornecedor não cadastrado",IF(AND($G603&lt;&gt;"",COUNTIF(SUBCATEGORIAS_PLANO,$G603)=0),"⚠ Subcategoria fora do plano de contas",IF(OR($Q603="",N($Q603)=0),"⚠ Valor previsto não informado",IF(AND(OR($X603="Pago",$X603="Recebido"),$D603=""),"⚠ Status pago/recebido sem data",IF(AND($D603&lt;&gt;"",N($R603)=0),"⚠ Data de pagamento sem valor realizado",IF(AND(N($P603)&gt;1,N($O603)&gt;N($P603)),"⚠ Nº da parcela maior que o total",IF(AND($C603&lt;&gt;"",$B603&lt;&gt;"",$C603&lt;$B603),"⚠ Vencimento anterior à competência","OK"))))))))</f>
        <v/>
      </c>
    </row>
    <row r="604">
      <c r="A604" s="14" t="inlineStr">
        <is>
          <t>L0599</t>
        </is>
      </c>
      <c r="B604" s="36" t="n">
        <v>46522</v>
      </c>
      <c r="C604" s="36" t="n">
        <v>46522</v>
      </c>
      <c r="D604" s="36" t="n"/>
      <c r="E604" s="14" t="inlineStr">
        <is>
          <t>Saída</t>
        </is>
      </c>
      <c r="F604" s="29" t="inlineStr">
        <is>
          <t>Despesas Financeiras</t>
        </is>
      </c>
      <c r="G604" s="29" t="inlineStr">
        <is>
          <t>Juros de Empréstimos e Financiamentos</t>
        </is>
      </c>
      <c r="H604" s="29" t="inlineStr">
        <is>
          <t>Financeiro</t>
        </is>
      </c>
      <c r="I604" s="29" t="inlineStr">
        <is>
          <t>BNDES / Banco do Brasil</t>
        </is>
      </c>
      <c r="J604" s="29" t="inlineStr">
        <is>
          <t>Financiamento de Máquinas — parcela 15/36 (juros)</t>
        </is>
      </c>
      <c r="K604" s="14" t="inlineStr">
        <is>
          <t>FIN-2026-1198-P15</t>
        </is>
      </c>
      <c r="L604" s="29" t="inlineStr">
        <is>
          <t>Banco do Brasil — C/C 12345-6</t>
        </is>
      </c>
      <c r="M604" s="14" t="inlineStr">
        <is>
          <t>Débito automático</t>
        </is>
      </c>
      <c r="N604" s="29" t="n"/>
      <c r="O604" s="13" t="n">
        <v>15</v>
      </c>
      <c r="P604" s="13" t="n">
        <v>36</v>
      </c>
      <c r="Q604" s="35" t="n">
        <v>806.67</v>
      </c>
      <c r="R604" s="35" t="n"/>
      <c r="S604" s="35" t="n"/>
      <c r="T604" s="35" t="n"/>
      <c r="U604" s="35" t="n"/>
      <c r="V604" s="18">
        <f>IF(COUNTA($B604:$R604)=0,"",ROUND(N($R604)+N($S604)+N($T604)-N($U604),2))</f>
        <v/>
      </c>
      <c r="W604" s="18">
        <f>IF(COUNTA($B604:$R604)=0,"",IF(OR($X604="Pago",$X604="Recebido",$X604="Cancelado"),0,ROUND(N($Q604)+N($S604)+N($T604)-N($U604)-N($R604),2)))</f>
        <v/>
      </c>
      <c r="X604" s="14" t="inlineStr">
        <is>
          <t>Previsto</t>
        </is>
      </c>
      <c r="Y604" s="17">
        <f>IF(COUNTA($B604:$R604)=0,"",IF($X604="Cancelado","Cancelado",IF(OR($X604="Pago",$X604="Recebido"),$X604,IF(OR($X604="Parcial",N($R604)&gt;0),"Parcial",IF($C604="","Sem vencimento",IF($C604&lt;TODAY(),"Vencido",IF($C604=TODAY(),"Vence hoje",IF($C604&lt;=TODAY()+7,"Vence em 7 dias",IF($C604&lt;=TODAY()+30,"Vence em 30 dias","Futuro")))))))))</f>
        <v/>
      </c>
      <c r="Z604" s="24">
        <f>IF($B604="","",MONTH($B604))</f>
        <v/>
      </c>
      <c r="AA604" s="24">
        <f>IF($B604="","",YEAR($B604))</f>
        <v/>
      </c>
      <c r="AB604" s="24">
        <f>IF($B604="","",ISOWEEKNUM($B604))</f>
        <v/>
      </c>
      <c r="AC604" s="17">
        <f>IF($B604="","",CHOOSE(WEEKDAY($B604,2),"Segunda","Terça","Quarta","Quinta","Sexta","Sábado","Domingo"))</f>
        <v/>
      </c>
      <c r="AD604" s="17">
        <f>IF($B604="","",TEXT($B604,"MM/AAAA"))</f>
        <v/>
      </c>
      <c r="AE604" s="18">
        <f>IF(COUNTA($B604:$R604)=0,"",IF($X604="Cancelado",0,ROUND(N($Q604)+N($S604)+N($T604)-N($U604),2)))</f>
        <v/>
      </c>
      <c r="AF604" s="9">
        <f>IF($G604="","",IFERROR(INDEX(LINHAS_DRE_PLANO,MATCH($G604,SUBCATEGORIAS_PLANO,0)),"Não classificado"))</f>
        <v/>
      </c>
      <c r="AG604" s="17">
        <f>IF($G604="","",IFERROR(INDEX(TIPOS_FLUXO_PLANO,MATCH($G604,SUBCATEGORIAS_PLANO,0)),"Não classificado"))</f>
        <v/>
      </c>
      <c r="AH604" s="9">
        <f>IF($G604="","",IFERROR(INDEX(GRUPOS_PLANO,MATCH($G604,SUBCATEGORIAS_PLANO,0)),"Não classificado"))</f>
        <v/>
      </c>
      <c r="AI604" s="24">
        <f>IF(OR($C604="",$X604="Pago",$X604="Recebido",$X604="Cancelado"),"",$C604-TODAY())</f>
        <v/>
      </c>
      <c r="AJ604" s="24">
        <f>IF(OR($C604="",$X604="Pago",$X604="Recebido",$X604="Cancelado"),0,MAX(0,TODAY()-$C604))</f>
        <v/>
      </c>
      <c r="AK604" s="24">
        <f>IF($D604="","",$D604-$B604)</f>
        <v/>
      </c>
      <c r="AL604" s="18">
        <f>IF(OR($D604="",$B604=""),"",ROUND(N($R604)*($D604-$B604),2))</f>
        <v/>
      </c>
      <c r="AM604" s="17">
        <f>IF(AND($E604="Saída",$W604&gt;0,$C604&lt;&gt;""),$C604+ROW()/1000000,"")</f>
        <v/>
      </c>
      <c r="AN604" s="17">
        <f>IF(AND($E604="Entrada",$W604&gt;0,$C604&lt;&gt;""),$C604+ROW()/1000000,"")</f>
        <v/>
      </c>
      <c r="AO604" s="9">
        <f>IF(COUNTA($B604:$R604)=0,"",IF(AND($I604&lt;&gt;"",COUNTIF(CLIENTES_NOMES,$I604)+COUNTIF(CLIENTES_FANTASIA,$I604)+COUNTIF(FORNECEDORES_NOMES,$I604)+COUNTIF(FORNECEDORES_FANTASIA,$I604)=0),"⚠ Cliente/Fornecedor não cadastrado",IF(AND($G604&lt;&gt;"",COUNTIF(SUBCATEGORIAS_PLANO,$G604)=0),"⚠ Subcategoria fora do plano de contas",IF(OR($Q604="",N($Q604)=0),"⚠ Valor previsto não informado",IF(AND(OR($X604="Pago",$X604="Recebido"),$D604=""),"⚠ Status pago/recebido sem data",IF(AND($D604&lt;&gt;"",N($R604)=0),"⚠ Data de pagamento sem valor realizado",IF(AND(N($P604)&gt;1,N($O604)&gt;N($P604)),"⚠ Nº da parcela maior que o total",IF(AND($C604&lt;&gt;"",$B604&lt;&gt;"",$C604&lt;$B604),"⚠ Vencimento anterior à competência","OK"))))))))</f>
        <v/>
      </c>
    </row>
    <row r="605">
      <c r="A605" s="14" t="inlineStr">
        <is>
          <t>L0600</t>
        </is>
      </c>
      <c r="B605" s="36" t="n">
        <v>46527</v>
      </c>
      <c r="C605" s="36" t="n">
        <v>46527</v>
      </c>
      <c r="D605" s="36" t="n"/>
      <c r="E605" s="14" t="inlineStr">
        <is>
          <t>Saída</t>
        </is>
      </c>
      <c r="F605" s="29" t="inlineStr">
        <is>
          <t>Empréstimos e Financiamentos</t>
        </is>
      </c>
      <c r="G605" s="29" t="inlineStr">
        <is>
          <t>Pagamento de Principal de Empréstimos</t>
        </is>
      </c>
      <c r="H605" s="29" t="inlineStr">
        <is>
          <t>Diretoria</t>
        </is>
      </c>
      <c r="I605" s="29" t="inlineStr">
        <is>
          <t>Banco Santander</t>
        </is>
      </c>
      <c r="J605" s="29" t="inlineStr">
        <is>
          <t>Financiamento de Veículo — parcela 16/48 (principal)</t>
        </is>
      </c>
      <c r="K605" s="14" t="inlineStr">
        <is>
          <t>VEI-2026-0088-P16</t>
        </is>
      </c>
      <c r="L605" s="29" t="inlineStr">
        <is>
          <t>Itaú Unibanco — C/C 45678-9</t>
        </is>
      </c>
      <c r="M605" s="14" t="inlineStr">
        <is>
          <t>Débito automático</t>
        </is>
      </c>
      <c r="N605" s="29" t="n"/>
      <c r="O605" s="13" t="n">
        <v>16</v>
      </c>
      <c r="P605" s="13" t="n">
        <v>48</v>
      </c>
      <c r="Q605" s="35" t="n">
        <v>1477.67</v>
      </c>
      <c r="R605" s="35" t="n"/>
      <c r="S605" s="35" t="n"/>
      <c r="T605" s="35" t="n"/>
      <c r="U605" s="35" t="n"/>
      <c r="V605" s="18">
        <f>IF(COUNTA($B605:$R605)=0,"",ROUND(N($R605)+N($S605)+N($T605)-N($U605),2))</f>
        <v/>
      </c>
      <c r="W605" s="18">
        <f>IF(COUNTA($B605:$R605)=0,"",IF(OR($X605="Pago",$X605="Recebido",$X605="Cancelado"),0,ROUND(N($Q605)+N($S605)+N($T605)-N($U605)-N($R605),2)))</f>
        <v/>
      </c>
      <c r="X605" s="14" t="inlineStr">
        <is>
          <t>Previsto</t>
        </is>
      </c>
      <c r="Y605" s="17">
        <f>IF(COUNTA($B605:$R605)=0,"",IF($X605="Cancelado","Cancelado",IF(OR($X605="Pago",$X605="Recebido"),$X605,IF(OR($X605="Parcial",N($R605)&gt;0),"Parcial",IF($C605="","Sem vencimento",IF($C605&lt;TODAY(),"Vencido",IF($C605=TODAY(),"Vence hoje",IF($C605&lt;=TODAY()+7,"Vence em 7 dias",IF($C605&lt;=TODAY()+30,"Vence em 30 dias","Futuro")))))))))</f>
        <v/>
      </c>
      <c r="Z605" s="24">
        <f>IF($B605="","",MONTH($B605))</f>
        <v/>
      </c>
      <c r="AA605" s="24">
        <f>IF($B605="","",YEAR($B605))</f>
        <v/>
      </c>
      <c r="AB605" s="24">
        <f>IF($B605="","",ISOWEEKNUM($B605))</f>
        <v/>
      </c>
      <c r="AC605" s="17">
        <f>IF($B605="","",CHOOSE(WEEKDAY($B605,2),"Segunda","Terça","Quarta","Quinta","Sexta","Sábado","Domingo"))</f>
        <v/>
      </c>
      <c r="AD605" s="17">
        <f>IF($B605="","",TEXT($B605,"MM/AAAA"))</f>
        <v/>
      </c>
      <c r="AE605" s="18">
        <f>IF(COUNTA($B605:$R605)=0,"",IF($X605="Cancelado",0,ROUND(N($Q605)+N($S605)+N($T605)-N($U605),2)))</f>
        <v/>
      </c>
      <c r="AF605" s="9">
        <f>IF($G605="","",IFERROR(INDEX(LINHAS_DRE_PLANO,MATCH($G605,SUBCATEGORIAS_PLANO,0)),"Não classificado"))</f>
        <v/>
      </c>
      <c r="AG605" s="17">
        <f>IF($G605="","",IFERROR(INDEX(TIPOS_FLUXO_PLANO,MATCH($G605,SUBCATEGORIAS_PLANO,0)),"Não classificado"))</f>
        <v/>
      </c>
      <c r="AH605" s="9">
        <f>IF($G605="","",IFERROR(INDEX(GRUPOS_PLANO,MATCH($G605,SUBCATEGORIAS_PLANO,0)),"Não classificado"))</f>
        <v/>
      </c>
      <c r="AI605" s="24">
        <f>IF(OR($C605="",$X605="Pago",$X605="Recebido",$X605="Cancelado"),"",$C605-TODAY())</f>
        <v/>
      </c>
      <c r="AJ605" s="24">
        <f>IF(OR($C605="",$X605="Pago",$X605="Recebido",$X605="Cancelado"),0,MAX(0,TODAY()-$C605))</f>
        <v/>
      </c>
      <c r="AK605" s="24">
        <f>IF($D605="","",$D605-$B605)</f>
        <v/>
      </c>
      <c r="AL605" s="18">
        <f>IF(OR($D605="",$B605=""),"",ROUND(N($R605)*($D605-$B605),2))</f>
        <v/>
      </c>
      <c r="AM605" s="17">
        <f>IF(AND($E605="Saída",$W605&gt;0,$C605&lt;&gt;""),$C605+ROW()/1000000,"")</f>
        <v/>
      </c>
      <c r="AN605" s="17">
        <f>IF(AND($E605="Entrada",$W605&gt;0,$C605&lt;&gt;""),$C605+ROW()/1000000,"")</f>
        <v/>
      </c>
      <c r="AO605" s="9">
        <f>IF(COUNTA($B605:$R605)=0,"",IF(AND($I605&lt;&gt;"",COUNTIF(CLIENTES_NOMES,$I605)+COUNTIF(CLIENTES_FANTASIA,$I605)+COUNTIF(FORNECEDORES_NOMES,$I605)+COUNTIF(FORNECEDORES_FANTASIA,$I605)=0),"⚠ Cliente/Fornecedor não cadastrado",IF(AND($G605&lt;&gt;"",COUNTIF(SUBCATEGORIAS_PLANO,$G605)=0),"⚠ Subcategoria fora do plano de contas",IF(OR($Q605="",N($Q605)=0),"⚠ Valor previsto não informado",IF(AND(OR($X605="Pago",$X605="Recebido"),$D605=""),"⚠ Status pago/recebido sem data",IF(AND($D605&lt;&gt;"",N($R605)=0),"⚠ Data de pagamento sem valor realizado",IF(AND(N($P605)&gt;1,N($O605)&gt;N($P605)),"⚠ Nº da parcela maior que o total",IF(AND($C605&lt;&gt;"",$B605&lt;&gt;"",$C605&lt;$B605),"⚠ Vencimento anterior à competência","OK"))))))))</f>
        <v/>
      </c>
    </row>
    <row r="606">
      <c r="A606" s="14" t="inlineStr">
        <is>
          <t>L0601</t>
        </is>
      </c>
      <c r="B606" s="36" t="n">
        <v>46527</v>
      </c>
      <c r="C606" s="36" t="n">
        <v>46527</v>
      </c>
      <c r="D606" s="36" t="n"/>
      <c r="E606" s="14" t="inlineStr">
        <is>
          <t>Saída</t>
        </is>
      </c>
      <c r="F606" s="29" t="inlineStr">
        <is>
          <t>Despesas Financeiras</t>
        </is>
      </c>
      <c r="G606" s="29" t="inlineStr">
        <is>
          <t>Juros de Empréstimos e Financiamentos</t>
        </is>
      </c>
      <c r="H606" s="29" t="inlineStr">
        <is>
          <t>Diretoria</t>
        </is>
      </c>
      <c r="I606" s="29" t="inlineStr">
        <is>
          <t>Banco Santander</t>
        </is>
      </c>
      <c r="J606" s="29" t="inlineStr">
        <is>
          <t>Financiamento de Veículo — parcela 16/48 (juros)</t>
        </is>
      </c>
      <c r="K606" s="14" t="inlineStr">
        <is>
          <t>VEI-2026-0088-P16</t>
        </is>
      </c>
      <c r="L606" s="29" t="inlineStr">
        <is>
          <t>Itaú Unibanco — C/C 45678-9</t>
        </is>
      </c>
      <c r="M606" s="14" t="inlineStr">
        <is>
          <t>Débito automático</t>
        </is>
      </c>
      <c r="N606" s="29" t="n"/>
      <c r="O606" s="13" t="n">
        <v>16</v>
      </c>
      <c r="P606" s="13" t="n">
        <v>48</v>
      </c>
      <c r="Q606" s="35" t="n">
        <v>748.79</v>
      </c>
      <c r="R606" s="35" t="n"/>
      <c r="S606" s="35" t="n"/>
      <c r="T606" s="35" t="n"/>
      <c r="U606" s="35" t="n"/>
      <c r="V606" s="18">
        <f>IF(COUNTA($B606:$R606)=0,"",ROUND(N($R606)+N($S606)+N($T606)-N($U606),2))</f>
        <v/>
      </c>
      <c r="W606" s="18">
        <f>IF(COUNTA($B606:$R606)=0,"",IF(OR($X606="Pago",$X606="Recebido",$X606="Cancelado"),0,ROUND(N($Q606)+N($S606)+N($T606)-N($U606)-N($R606),2)))</f>
        <v/>
      </c>
      <c r="X606" s="14" t="inlineStr">
        <is>
          <t>Previsto</t>
        </is>
      </c>
      <c r="Y606" s="17">
        <f>IF(COUNTA($B606:$R606)=0,"",IF($X606="Cancelado","Cancelado",IF(OR($X606="Pago",$X606="Recebido"),$X606,IF(OR($X606="Parcial",N($R606)&gt;0),"Parcial",IF($C606="","Sem vencimento",IF($C606&lt;TODAY(),"Vencido",IF($C606=TODAY(),"Vence hoje",IF($C606&lt;=TODAY()+7,"Vence em 7 dias",IF($C606&lt;=TODAY()+30,"Vence em 30 dias","Futuro")))))))))</f>
        <v/>
      </c>
      <c r="Z606" s="24">
        <f>IF($B606="","",MONTH($B606))</f>
        <v/>
      </c>
      <c r="AA606" s="24">
        <f>IF($B606="","",YEAR($B606))</f>
        <v/>
      </c>
      <c r="AB606" s="24">
        <f>IF($B606="","",ISOWEEKNUM($B606))</f>
        <v/>
      </c>
      <c r="AC606" s="17">
        <f>IF($B606="","",CHOOSE(WEEKDAY($B606,2),"Segunda","Terça","Quarta","Quinta","Sexta","Sábado","Domingo"))</f>
        <v/>
      </c>
      <c r="AD606" s="17">
        <f>IF($B606="","",TEXT($B606,"MM/AAAA"))</f>
        <v/>
      </c>
      <c r="AE606" s="18">
        <f>IF(COUNTA($B606:$R606)=0,"",IF($X606="Cancelado",0,ROUND(N($Q606)+N($S606)+N($T606)-N($U606),2)))</f>
        <v/>
      </c>
      <c r="AF606" s="9">
        <f>IF($G606="","",IFERROR(INDEX(LINHAS_DRE_PLANO,MATCH($G606,SUBCATEGORIAS_PLANO,0)),"Não classificado"))</f>
        <v/>
      </c>
      <c r="AG606" s="17">
        <f>IF($G606="","",IFERROR(INDEX(TIPOS_FLUXO_PLANO,MATCH($G606,SUBCATEGORIAS_PLANO,0)),"Não classificado"))</f>
        <v/>
      </c>
      <c r="AH606" s="9">
        <f>IF($G606="","",IFERROR(INDEX(GRUPOS_PLANO,MATCH($G606,SUBCATEGORIAS_PLANO,0)),"Não classificado"))</f>
        <v/>
      </c>
      <c r="AI606" s="24">
        <f>IF(OR($C606="",$X606="Pago",$X606="Recebido",$X606="Cancelado"),"",$C606-TODAY())</f>
        <v/>
      </c>
      <c r="AJ606" s="24">
        <f>IF(OR($C606="",$X606="Pago",$X606="Recebido",$X606="Cancelado"),0,MAX(0,TODAY()-$C606))</f>
        <v/>
      </c>
      <c r="AK606" s="24">
        <f>IF($D606="","",$D606-$B606)</f>
        <v/>
      </c>
      <c r="AL606" s="18">
        <f>IF(OR($D606="",$B606=""),"",ROUND(N($R606)*($D606-$B606),2))</f>
        <v/>
      </c>
      <c r="AM606" s="17">
        <f>IF(AND($E606="Saída",$W606&gt;0,$C606&lt;&gt;""),$C606+ROW()/1000000,"")</f>
        <v/>
      </c>
      <c r="AN606" s="17">
        <f>IF(AND($E606="Entrada",$W606&gt;0,$C606&lt;&gt;""),$C606+ROW()/1000000,"")</f>
        <v/>
      </c>
      <c r="AO606" s="9">
        <f>IF(COUNTA($B606:$R606)=0,"",IF(AND($I606&lt;&gt;"",COUNTIF(CLIENTES_NOMES,$I606)+COUNTIF(CLIENTES_FANTASIA,$I606)+COUNTIF(FORNECEDORES_NOMES,$I606)+COUNTIF(FORNECEDORES_FANTASIA,$I606)=0),"⚠ Cliente/Fornecedor não cadastrado",IF(AND($G606&lt;&gt;"",COUNTIF(SUBCATEGORIAS_PLANO,$G606)=0),"⚠ Subcategoria fora do plano de contas",IF(OR($Q606="",N($Q606)=0),"⚠ Valor previsto não informado",IF(AND(OR($X606="Pago",$X606="Recebido"),$D606=""),"⚠ Status pago/recebido sem data",IF(AND($D606&lt;&gt;"",N($R606)=0),"⚠ Data de pagamento sem valor realizado",IF(AND(N($P606)&gt;1,N($O606)&gt;N($P606)),"⚠ Nº da parcela maior que o total",IF(AND($C606&lt;&gt;"",$B606&lt;&gt;"",$C606&lt;$B606),"⚠ Vencimento anterior à competência","OK"))))))))</f>
        <v/>
      </c>
    </row>
    <row r="607">
      <c r="A607" s="14" t="inlineStr">
        <is>
          <t>L0602</t>
        </is>
      </c>
      <c r="B607" s="36" t="n">
        <v>46548</v>
      </c>
      <c r="C607" s="36" t="n">
        <v>46548</v>
      </c>
      <c r="D607" s="36" t="n"/>
      <c r="E607" s="14" t="inlineStr">
        <is>
          <t>Saída</t>
        </is>
      </c>
      <c r="F607" s="29" t="inlineStr">
        <is>
          <t>Empréstimos e Financiamentos</t>
        </is>
      </c>
      <c r="G607" s="29" t="inlineStr">
        <is>
          <t>Pagamento de Principal de Empréstimos</t>
        </is>
      </c>
      <c r="H607" s="29" t="inlineStr">
        <is>
          <t>Financeiro</t>
        </is>
      </c>
      <c r="I607" s="29" t="inlineStr">
        <is>
          <t>Banco do Brasil</t>
        </is>
      </c>
      <c r="J607" s="29" t="inlineStr">
        <is>
          <t>Capital de Giro — parcela 17/24 (principal)</t>
        </is>
      </c>
      <c r="K607" s="14" t="inlineStr">
        <is>
          <t>CG-2026-0417-P17</t>
        </is>
      </c>
      <c r="L607" s="29" t="inlineStr">
        <is>
          <t>Banco do Brasil — C/C 12345-6</t>
        </is>
      </c>
      <c r="M607" s="14" t="inlineStr">
        <is>
          <t>Débito automático</t>
        </is>
      </c>
      <c r="N607" s="29" t="n"/>
      <c r="O607" s="13" t="n">
        <v>17</v>
      </c>
      <c r="P607" s="13" t="n">
        <v>24</v>
      </c>
      <c r="Q607" s="35" t="n">
        <v>2659.1</v>
      </c>
      <c r="R607" s="35" t="n"/>
      <c r="S607" s="35" t="n"/>
      <c r="T607" s="35" t="n"/>
      <c r="U607" s="35" t="n"/>
      <c r="V607" s="18">
        <f>IF(COUNTA($B607:$R607)=0,"",ROUND(N($R607)+N($S607)+N($T607)-N($U607),2))</f>
        <v/>
      </c>
      <c r="W607" s="18">
        <f>IF(COUNTA($B607:$R607)=0,"",IF(OR($X607="Pago",$X607="Recebido",$X607="Cancelado"),0,ROUND(N($Q607)+N($S607)+N($T607)-N($U607)-N($R607),2)))</f>
        <v/>
      </c>
      <c r="X607" s="14" t="inlineStr">
        <is>
          <t>Previsto</t>
        </is>
      </c>
      <c r="Y607" s="17">
        <f>IF(COUNTA($B607:$R607)=0,"",IF($X607="Cancelado","Cancelado",IF(OR($X607="Pago",$X607="Recebido"),$X607,IF(OR($X607="Parcial",N($R607)&gt;0),"Parcial",IF($C607="","Sem vencimento",IF($C607&lt;TODAY(),"Vencido",IF($C607=TODAY(),"Vence hoje",IF($C607&lt;=TODAY()+7,"Vence em 7 dias",IF($C607&lt;=TODAY()+30,"Vence em 30 dias","Futuro")))))))))</f>
        <v/>
      </c>
      <c r="Z607" s="24">
        <f>IF($B607="","",MONTH($B607))</f>
        <v/>
      </c>
      <c r="AA607" s="24">
        <f>IF($B607="","",YEAR($B607))</f>
        <v/>
      </c>
      <c r="AB607" s="24">
        <f>IF($B607="","",ISOWEEKNUM($B607))</f>
        <v/>
      </c>
      <c r="AC607" s="17">
        <f>IF($B607="","",CHOOSE(WEEKDAY($B607,2),"Segunda","Terça","Quarta","Quinta","Sexta","Sábado","Domingo"))</f>
        <v/>
      </c>
      <c r="AD607" s="17">
        <f>IF($B607="","",TEXT($B607,"MM/AAAA"))</f>
        <v/>
      </c>
      <c r="AE607" s="18">
        <f>IF(COUNTA($B607:$R607)=0,"",IF($X607="Cancelado",0,ROUND(N($Q607)+N($S607)+N($T607)-N($U607),2)))</f>
        <v/>
      </c>
      <c r="AF607" s="9">
        <f>IF($G607="","",IFERROR(INDEX(LINHAS_DRE_PLANO,MATCH($G607,SUBCATEGORIAS_PLANO,0)),"Não classificado"))</f>
        <v/>
      </c>
      <c r="AG607" s="17">
        <f>IF($G607="","",IFERROR(INDEX(TIPOS_FLUXO_PLANO,MATCH($G607,SUBCATEGORIAS_PLANO,0)),"Não classificado"))</f>
        <v/>
      </c>
      <c r="AH607" s="9">
        <f>IF($G607="","",IFERROR(INDEX(GRUPOS_PLANO,MATCH($G607,SUBCATEGORIAS_PLANO,0)),"Não classificado"))</f>
        <v/>
      </c>
      <c r="AI607" s="24">
        <f>IF(OR($C607="",$X607="Pago",$X607="Recebido",$X607="Cancelado"),"",$C607-TODAY())</f>
        <v/>
      </c>
      <c r="AJ607" s="24">
        <f>IF(OR($C607="",$X607="Pago",$X607="Recebido",$X607="Cancelado"),0,MAX(0,TODAY()-$C607))</f>
        <v/>
      </c>
      <c r="AK607" s="24">
        <f>IF($D607="","",$D607-$B607)</f>
        <v/>
      </c>
      <c r="AL607" s="18">
        <f>IF(OR($D607="",$B607=""),"",ROUND(N($R607)*($D607-$B607),2))</f>
        <v/>
      </c>
      <c r="AM607" s="17">
        <f>IF(AND($E607="Saída",$W607&gt;0,$C607&lt;&gt;""),$C607+ROW()/1000000,"")</f>
        <v/>
      </c>
      <c r="AN607" s="17">
        <f>IF(AND($E607="Entrada",$W607&gt;0,$C607&lt;&gt;""),$C607+ROW()/1000000,"")</f>
        <v/>
      </c>
      <c r="AO607" s="9">
        <f>IF(COUNTA($B607:$R607)=0,"",IF(AND($I607&lt;&gt;"",COUNTIF(CLIENTES_NOMES,$I607)+COUNTIF(CLIENTES_FANTASIA,$I607)+COUNTIF(FORNECEDORES_NOMES,$I607)+COUNTIF(FORNECEDORES_FANTASIA,$I607)=0),"⚠ Cliente/Fornecedor não cadastrado",IF(AND($G607&lt;&gt;"",COUNTIF(SUBCATEGORIAS_PLANO,$G607)=0),"⚠ Subcategoria fora do plano de contas",IF(OR($Q607="",N($Q607)=0),"⚠ Valor previsto não informado",IF(AND(OR($X607="Pago",$X607="Recebido"),$D607=""),"⚠ Status pago/recebido sem data",IF(AND($D607&lt;&gt;"",N($R607)=0),"⚠ Data de pagamento sem valor realizado",IF(AND(N($P607)&gt;1,N($O607)&gt;N($P607)),"⚠ Nº da parcela maior que o total",IF(AND($C607&lt;&gt;"",$B607&lt;&gt;"",$C607&lt;$B607),"⚠ Vencimento anterior à competência","OK"))))))))</f>
        <v/>
      </c>
    </row>
    <row r="608">
      <c r="A608" s="14" t="inlineStr">
        <is>
          <t>L0603</t>
        </is>
      </c>
      <c r="B608" s="36" t="n">
        <v>46548</v>
      </c>
      <c r="C608" s="36" t="n">
        <v>46548</v>
      </c>
      <c r="D608" s="36" t="n"/>
      <c r="E608" s="14" t="inlineStr">
        <is>
          <t>Saída</t>
        </is>
      </c>
      <c r="F608" s="29" t="inlineStr">
        <is>
          <t>Despesas Financeiras</t>
        </is>
      </c>
      <c r="G608" s="29" t="inlineStr">
        <is>
          <t>Juros de Empréstimos e Financiamentos</t>
        </is>
      </c>
      <c r="H608" s="29" t="inlineStr">
        <is>
          <t>Financeiro</t>
        </is>
      </c>
      <c r="I608" s="29" t="inlineStr">
        <is>
          <t>Banco do Brasil</t>
        </is>
      </c>
      <c r="J608" s="29" t="inlineStr">
        <is>
          <t>Capital de Giro — parcela 17/24 (juros)</t>
        </is>
      </c>
      <c r="K608" s="14" t="inlineStr">
        <is>
          <t>CG-2026-0417-P17</t>
        </is>
      </c>
      <c r="L608" s="29" t="inlineStr">
        <is>
          <t>Banco do Brasil — C/C 12345-6</t>
        </is>
      </c>
      <c r="M608" s="14" t="inlineStr">
        <is>
          <t>Débito automático</t>
        </is>
      </c>
      <c r="N608" s="29" t="n"/>
      <c r="O608" s="13" t="n">
        <v>17</v>
      </c>
      <c r="P608" s="13" t="n">
        <v>24</v>
      </c>
      <c r="Q608" s="35" t="n">
        <v>336.35</v>
      </c>
      <c r="R608" s="35" t="n"/>
      <c r="S608" s="35" t="n"/>
      <c r="T608" s="35" t="n"/>
      <c r="U608" s="35" t="n"/>
      <c r="V608" s="18">
        <f>IF(COUNTA($B608:$R608)=0,"",ROUND(N($R608)+N($S608)+N($T608)-N($U608),2))</f>
        <v/>
      </c>
      <c r="W608" s="18">
        <f>IF(COUNTA($B608:$R608)=0,"",IF(OR($X608="Pago",$X608="Recebido",$X608="Cancelado"),0,ROUND(N($Q608)+N($S608)+N($T608)-N($U608)-N($R608),2)))</f>
        <v/>
      </c>
      <c r="X608" s="14" t="inlineStr">
        <is>
          <t>Previsto</t>
        </is>
      </c>
      <c r="Y608" s="17">
        <f>IF(COUNTA($B608:$R608)=0,"",IF($X608="Cancelado","Cancelado",IF(OR($X608="Pago",$X608="Recebido"),$X608,IF(OR($X608="Parcial",N($R608)&gt;0),"Parcial",IF($C608="","Sem vencimento",IF($C608&lt;TODAY(),"Vencido",IF($C608=TODAY(),"Vence hoje",IF($C608&lt;=TODAY()+7,"Vence em 7 dias",IF($C608&lt;=TODAY()+30,"Vence em 30 dias","Futuro")))))))))</f>
        <v/>
      </c>
      <c r="Z608" s="24">
        <f>IF($B608="","",MONTH($B608))</f>
        <v/>
      </c>
      <c r="AA608" s="24">
        <f>IF($B608="","",YEAR($B608))</f>
        <v/>
      </c>
      <c r="AB608" s="24">
        <f>IF($B608="","",ISOWEEKNUM($B608))</f>
        <v/>
      </c>
      <c r="AC608" s="17">
        <f>IF($B608="","",CHOOSE(WEEKDAY($B608,2),"Segunda","Terça","Quarta","Quinta","Sexta","Sábado","Domingo"))</f>
        <v/>
      </c>
      <c r="AD608" s="17">
        <f>IF($B608="","",TEXT($B608,"MM/AAAA"))</f>
        <v/>
      </c>
      <c r="AE608" s="18">
        <f>IF(COUNTA($B608:$R608)=0,"",IF($X608="Cancelado",0,ROUND(N($Q608)+N($S608)+N($T608)-N($U608),2)))</f>
        <v/>
      </c>
      <c r="AF608" s="9">
        <f>IF($G608="","",IFERROR(INDEX(LINHAS_DRE_PLANO,MATCH($G608,SUBCATEGORIAS_PLANO,0)),"Não classificado"))</f>
        <v/>
      </c>
      <c r="AG608" s="17">
        <f>IF($G608="","",IFERROR(INDEX(TIPOS_FLUXO_PLANO,MATCH($G608,SUBCATEGORIAS_PLANO,0)),"Não classificado"))</f>
        <v/>
      </c>
      <c r="AH608" s="9">
        <f>IF($G608="","",IFERROR(INDEX(GRUPOS_PLANO,MATCH($G608,SUBCATEGORIAS_PLANO,0)),"Não classificado"))</f>
        <v/>
      </c>
      <c r="AI608" s="24">
        <f>IF(OR($C608="",$X608="Pago",$X608="Recebido",$X608="Cancelado"),"",$C608-TODAY())</f>
        <v/>
      </c>
      <c r="AJ608" s="24">
        <f>IF(OR($C608="",$X608="Pago",$X608="Recebido",$X608="Cancelado"),0,MAX(0,TODAY()-$C608))</f>
        <v/>
      </c>
      <c r="AK608" s="24">
        <f>IF($D608="","",$D608-$B608)</f>
        <v/>
      </c>
      <c r="AL608" s="18">
        <f>IF(OR($D608="",$B608=""),"",ROUND(N($R608)*($D608-$B608),2))</f>
        <v/>
      </c>
      <c r="AM608" s="17">
        <f>IF(AND($E608="Saída",$W608&gt;0,$C608&lt;&gt;""),$C608+ROW()/1000000,"")</f>
        <v/>
      </c>
      <c r="AN608" s="17">
        <f>IF(AND($E608="Entrada",$W608&gt;0,$C608&lt;&gt;""),$C608+ROW()/1000000,"")</f>
        <v/>
      </c>
      <c r="AO608" s="9">
        <f>IF(COUNTA($B608:$R608)=0,"",IF(AND($I608&lt;&gt;"",COUNTIF(CLIENTES_NOMES,$I608)+COUNTIF(CLIENTES_FANTASIA,$I608)+COUNTIF(FORNECEDORES_NOMES,$I608)+COUNTIF(FORNECEDORES_FANTASIA,$I608)=0),"⚠ Cliente/Fornecedor não cadastrado",IF(AND($G608&lt;&gt;"",COUNTIF(SUBCATEGORIAS_PLANO,$G608)=0),"⚠ Subcategoria fora do plano de contas",IF(OR($Q608="",N($Q608)=0),"⚠ Valor previsto não informado",IF(AND(OR($X608="Pago",$X608="Recebido"),$D608=""),"⚠ Status pago/recebido sem data",IF(AND($D608&lt;&gt;"",N($R608)=0),"⚠ Data de pagamento sem valor realizado",IF(AND(N($P608)&gt;1,N($O608)&gt;N($P608)),"⚠ Nº da parcela maior que o total",IF(AND($C608&lt;&gt;"",$B608&lt;&gt;"",$C608&lt;$B608),"⚠ Vencimento anterior à competência","OK"))))))))</f>
        <v/>
      </c>
    </row>
    <row r="609">
      <c r="A609" s="14" t="inlineStr">
        <is>
          <t>L0604</t>
        </is>
      </c>
      <c r="B609" s="36" t="n">
        <v>46553</v>
      </c>
      <c r="C609" s="36" t="n">
        <v>46553</v>
      </c>
      <c r="D609" s="36" t="n"/>
      <c r="E609" s="14" t="inlineStr">
        <is>
          <t>Saída</t>
        </is>
      </c>
      <c r="F609" s="29" t="inlineStr">
        <is>
          <t>Empréstimos e Financiamentos</t>
        </is>
      </c>
      <c r="G609" s="29" t="inlineStr">
        <is>
          <t>Pagamento de Principal de Empréstimos</t>
        </is>
      </c>
      <c r="H609" s="29" t="inlineStr">
        <is>
          <t>Financeiro</t>
        </is>
      </c>
      <c r="I609" s="29" t="inlineStr">
        <is>
          <t>BNDES / Banco do Brasil</t>
        </is>
      </c>
      <c r="J609" s="29" t="inlineStr">
        <is>
          <t>Financiamento de Máquinas — parcela 16/36 (principal)</t>
        </is>
      </c>
      <c r="K609" s="14" t="inlineStr">
        <is>
          <t>FIN-2026-1198-P16</t>
        </is>
      </c>
      <c r="L609" s="29" t="inlineStr">
        <is>
          <t>Banco do Brasil — C/C 12345-6</t>
        </is>
      </c>
      <c r="M609" s="14" t="inlineStr">
        <is>
          <t>Débito automático</t>
        </is>
      </c>
      <c r="N609" s="29" t="n"/>
      <c r="O609" s="13" t="n">
        <v>16</v>
      </c>
      <c r="P609" s="13" t="n">
        <v>36</v>
      </c>
      <c r="Q609" s="35" t="n">
        <v>3333.33</v>
      </c>
      <c r="R609" s="35" t="n"/>
      <c r="S609" s="35" t="n"/>
      <c r="T609" s="35" t="n"/>
      <c r="U609" s="35" t="n"/>
      <c r="V609" s="18">
        <f>IF(COUNTA($B609:$R609)=0,"",ROUND(N($R609)+N($S609)+N($T609)-N($U609),2))</f>
        <v/>
      </c>
      <c r="W609" s="18">
        <f>IF(COUNTA($B609:$R609)=0,"",IF(OR($X609="Pago",$X609="Recebido",$X609="Cancelado"),0,ROUND(N($Q609)+N($S609)+N($T609)-N($U609)-N($R609),2)))</f>
        <v/>
      </c>
      <c r="X609" s="14" t="inlineStr">
        <is>
          <t>Previsto</t>
        </is>
      </c>
      <c r="Y609" s="17">
        <f>IF(COUNTA($B609:$R609)=0,"",IF($X609="Cancelado","Cancelado",IF(OR($X609="Pago",$X609="Recebido"),$X609,IF(OR($X609="Parcial",N($R609)&gt;0),"Parcial",IF($C609="","Sem vencimento",IF($C609&lt;TODAY(),"Vencido",IF($C609=TODAY(),"Vence hoje",IF($C609&lt;=TODAY()+7,"Vence em 7 dias",IF($C609&lt;=TODAY()+30,"Vence em 30 dias","Futuro")))))))))</f>
        <v/>
      </c>
      <c r="Z609" s="24">
        <f>IF($B609="","",MONTH($B609))</f>
        <v/>
      </c>
      <c r="AA609" s="24">
        <f>IF($B609="","",YEAR($B609))</f>
        <v/>
      </c>
      <c r="AB609" s="24">
        <f>IF($B609="","",ISOWEEKNUM($B609))</f>
        <v/>
      </c>
      <c r="AC609" s="17">
        <f>IF($B609="","",CHOOSE(WEEKDAY($B609,2),"Segunda","Terça","Quarta","Quinta","Sexta","Sábado","Domingo"))</f>
        <v/>
      </c>
      <c r="AD609" s="17">
        <f>IF($B609="","",TEXT($B609,"MM/AAAA"))</f>
        <v/>
      </c>
      <c r="AE609" s="18">
        <f>IF(COUNTA($B609:$R609)=0,"",IF($X609="Cancelado",0,ROUND(N($Q609)+N($S609)+N($T609)-N($U609),2)))</f>
        <v/>
      </c>
      <c r="AF609" s="9">
        <f>IF($G609="","",IFERROR(INDEX(LINHAS_DRE_PLANO,MATCH($G609,SUBCATEGORIAS_PLANO,0)),"Não classificado"))</f>
        <v/>
      </c>
      <c r="AG609" s="17">
        <f>IF($G609="","",IFERROR(INDEX(TIPOS_FLUXO_PLANO,MATCH($G609,SUBCATEGORIAS_PLANO,0)),"Não classificado"))</f>
        <v/>
      </c>
      <c r="AH609" s="9">
        <f>IF($G609="","",IFERROR(INDEX(GRUPOS_PLANO,MATCH($G609,SUBCATEGORIAS_PLANO,0)),"Não classificado"))</f>
        <v/>
      </c>
      <c r="AI609" s="24">
        <f>IF(OR($C609="",$X609="Pago",$X609="Recebido",$X609="Cancelado"),"",$C609-TODAY())</f>
        <v/>
      </c>
      <c r="AJ609" s="24">
        <f>IF(OR($C609="",$X609="Pago",$X609="Recebido",$X609="Cancelado"),0,MAX(0,TODAY()-$C609))</f>
        <v/>
      </c>
      <c r="AK609" s="24">
        <f>IF($D609="","",$D609-$B609)</f>
        <v/>
      </c>
      <c r="AL609" s="18">
        <f>IF(OR($D609="",$B609=""),"",ROUND(N($R609)*($D609-$B609),2))</f>
        <v/>
      </c>
      <c r="AM609" s="17">
        <f>IF(AND($E609="Saída",$W609&gt;0,$C609&lt;&gt;""),$C609+ROW()/1000000,"")</f>
        <v/>
      </c>
      <c r="AN609" s="17">
        <f>IF(AND($E609="Entrada",$W609&gt;0,$C609&lt;&gt;""),$C609+ROW()/1000000,"")</f>
        <v/>
      </c>
      <c r="AO609" s="9">
        <f>IF(COUNTA($B609:$R609)=0,"",IF(AND($I609&lt;&gt;"",COUNTIF(CLIENTES_NOMES,$I609)+COUNTIF(CLIENTES_FANTASIA,$I609)+COUNTIF(FORNECEDORES_NOMES,$I609)+COUNTIF(FORNECEDORES_FANTASIA,$I609)=0),"⚠ Cliente/Fornecedor não cadastrado",IF(AND($G609&lt;&gt;"",COUNTIF(SUBCATEGORIAS_PLANO,$G609)=0),"⚠ Subcategoria fora do plano de contas",IF(OR($Q609="",N($Q609)=0),"⚠ Valor previsto não informado",IF(AND(OR($X609="Pago",$X609="Recebido"),$D609=""),"⚠ Status pago/recebido sem data",IF(AND($D609&lt;&gt;"",N($R609)=0),"⚠ Data de pagamento sem valor realizado",IF(AND(N($P609)&gt;1,N($O609)&gt;N($P609)),"⚠ Nº da parcela maior que o total",IF(AND($C609&lt;&gt;"",$B609&lt;&gt;"",$C609&lt;$B609),"⚠ Vencimento anterior à competência","OK"))))))))</f>
        <v/>
      </c>
    </row>
    <row r="610">
      <c r="A610" s="14" t="inlineStr">
        <is>
          <t>L0605</t>
        </is>
      </c>
      <c r="B610" s="36" t="n">
        <v>46553</v>
      </c>
      <c r="C610" s="36" t="n">
        <v>46553</v>
      </c>
      <c r="D610" s="36" t="n"/>
      <c r="E610" s="14" t="inlineStr">
        <is>
          <t>Saída</t>
        </is>
      </c>
      <c r="F610" s="29" t="inlineStr">
        <is>
          <t>Despesas Financeiras</t>
        </is>
      </c>
      <c r="G610" s="29" t="inlineStr">
        <is>
          <t>Juros de Empréstimos e Financiamentos</t>
        </is>
      </c>
      <c r="H610" s="29" t="inlineStr">
        <is>
          <t>Financeiro</t>
        </is>
      </c>
      <c r="I610" s="29" t="inlineStr">
        <is>
          <t>BNDES / Banco do Brasil</t>
        </is>
      </c>
      <c r="J610" s="29" t="inlineStr">
        <is>
          <t>Financiamento de Máquinas — parcela 16/36 (juros)</t>
        </is>
      </c>
      <c r="K610" s="14" t="inlineStr">
        <is>
          <t>FIN-2026-1198-P16</t>
        </is>
      </c>
      <c r="L610" s="29" t="inlineStr">
        <is>
          <t>Banco do Brasil — C/C 12345-6</t>
        </is>
      </c>
      <c r="M610" s="14" t="inlineStr">
        <is>
          <t>Débito automático</t>
        </is>
      </c>
      <c r="N610" s="29" t="n"/>
      <c r="O610" s="13" t="n">
        <v>16</v>
      </c>
      <c r="P610" s="13" t="n">
        <v>36</v>
      </c>
      <c r="Q610" s="35" t="n">
        <v>770</v>
      </c>
      <c r="R610" s="35" t="n"/>
      <c r="S610" s="35" t="n"/>
      <c r="T610" s="35" t="n"/>
      <c r="U610" s="35" t="n"/>
      <c r="V610" s="18">
        <f>IF(COUNTA($B610:$R610)=0,"",ROUND(N($R610)+N($S610)+N($T610)-N($U610),2))</f>
        <v/>
      </c>
      <c r="W610" s="18">
        <f>IF(COUNTA($B610:$R610)=0,"",IF(OR($X610="Pago",$X610="Recebido",$X610="Cancelado"),0,ROUND(N($Q610)+N($S610)+N($T610)-N($U610)-N($R610),2)))</f>
        <v/>
      </c>
      <c r="X610" s="14" t="inlineStr">
        <is>
          <t>Previsto</t>
        </is>
      </c>
      <c r="Y610" s="17">
        <f>IF(COUNTA($B610:$R610)=0,"",IF($X610="Cancelado","Cancelado",IF(OR($X610="Pago",$X610="Recebido"),$X610,IF(OR($X610="Parcial",N($R610)&gt;0),"Parcial",IF($C610="","Sem vencimento",IF($C610&lt;TODAY(),"Vencido",IF($C610=TODAY(),"Vence hoje",IF($C610&lt;=TODAY()+7,"Vence em 7 dias",IF($C610&lt;=TODAY()+30,"Vence em 30 dias","Futuro")))))))))</f>
        <v/>
      </c>
      <c r="Z610" s="24">
        <f>IF($B610="","",MONTH($B610))</f>
        <v/>
      </c>
      <c r="AA610" s="24">
        <f>IF($B610="","",YEAR($B610))</f>
        <v/>
      </c>
      <c r="AB610" s="24">
        <f>IF($B610="","",ISOWEEKNUM($B610))</f>
        <v/>
      </c>
      <c r="AC610" s="17">
        <f>IF($B610="","",CHOOSE(WEEKDAY($B610,2),"Segunda","Terça","Quarta","Quinta","Sexta","Sábado","Domingo"))</f>
        <v/>
      </c>
      <c r="AD610" s="17">
        <f>IF($B610="","",TEXT($B610,"MM/AAAA"))</f>
        <v/>
      </c>
      <c r="AE610" s="18">
        <f>IF(COUNTA($B610:$R610)=0,"",IF($X610="Cancelado",0,ROUND(N($Q610)+N($S610)+N($T610)-N($U610),2)))</f>
        <v/>
      </c>
      <c r="AF610" s="9">
        <f>IF($G610="","",IFERROR(INDEX(LINHAS_DRE_PLANO,MATCH($G610,SUBCATEGORIAS_PLANO,0)),"Não classificado"))</f>
        <v/>
      </c>
      <c r="AG610" s="17">
        <f>IF($G610="","",IFERROR(INDEX(TIPOS_FLUXO_PLANO,MATCH($G610,SUBCATEGORIAS_PLANO,0)),"Não classificado"))</f>
        <v/>
      </c>
      <c r="AH610" s="9">
        <f>IF($G610="","",IFERROR(INDEX(GRUPOS_PLANO,MATCH($G610,SUBCATEGORIAS_PLANO,0)),"Não classificado"))</f>
        <v/>
      </c>
      <c r="AI610" s="24">
        <f>IF(OR($C610="",$X610="Pago",$X610="Recebido",$X610="Cancelado"),"",$C610-TODAY())</f>
        <v/>
      </c>
      <c r="AJ610" s="24">
        <f>IF(OR($C610="",$X610="Pago",$X610="Recebido",$X610="Cancelado"),0,MAX(0,TODAY()-$C610))</f>
        <v/>
      </c>
      <c r="AK610" s="24">
        <f>IF($D610="","",$D610-$B610)</f>
        <v/>
      </c>
      <c r="AL610" s="18">
        <f>IF(OR($D610="",$B610=""),"",ROUND(N($R610)*($D610-$B610),2))</f>
        <v/>
      </c>
      <c r="AM610" s="17">
        <f>IF(AND($E610="Saída",$W610&gt;0,$C610&lt;&gt;""),$C610+ROW()/1000000,"")</f>
        <v/>
      </c>
      <c r="AN610" s="17">
        <f>IF(AND($E610="Entrada",$W610&gt;0,$C610&lt;&gt;""),$C610+ROW()/1000000,"")</f>
        <v/>
      </c>
      <c r="AO610" s="9">
        <f>IF(COUNTA($B610:$R610)=0,"",IF(AND($I610&lt;&gt;"",COUNTIF(CLIENTES_NOMES,$I610)+COUNTIF(CLIENTES_FANTASIA,$I610)+COUNTIF(FORNECEDORES_NOMES,$I610)+COUNTIF(FORNECEDORES_FANTASIA,$I610)=0),"⚠ Cliente/Fornecedor não cadastrado",IF(AND($G610&lt;&gt;"",COUNTIF(SUBCATEGORIAS_PLANO,$G610)=0),"⚠ Subcategoria fora do plano de contas",IF(OR($Q610="",N($Q610)=0),"⚠ Valor previsto não informado",IF(AND(OR($X610="Pago",$X610="Recebido"),$D610=""),"⚠ Status pago/recebido sem data",IF(AND($D610&lt;&gt;"",N($R610)=0),"⚠ Data de pagamento sem valor realizado",IF(AND(N($P610)&gt;1,N($O610)&gt;N($P610)),"⚠ Nº da parcela maior que o total",IF(AND($C610&lt;&gt;"",$B610&lt;&gt;"",$C610&lt;$B610),"⚠ Vencimento anterior à competência","OK"))))))))</f>
        <v/>
      </c>
    </row>
    <row r="611">
      <c r="A611" s="14" t="inlineStr">
        <is>
          <t>L0606</t>
        </is>
      </c>
      <c r="B611" s="36" t="n">
        <v>46558</v>
      </c>
      <c r="C611" s="36" t="n">
        <v>46558</v>
      </c>
      <c r="D611" s="36" t="n"/>
      <c r="E611" s="14" t="inlineStr">
        <is>
          <t>Saída</t>
        </is>
      </c>
      <c r="F611" s="29" t="inlineStr">
        <is>
          <t>Empréstimos e Financiamentos</t>
        </is>
      </c>
      <c r="G611" s="29" t="inlineStr">
        <is>
          <t>Pagamento de Principal de Empréstimos</t>
        </is>
      </c>
      <c r="H611" s="29" t="inlineStr">
        <is>
          <t>Diretoria</t>
        </is>
      </c>
      <c r="I611" s="29" t="inlineStr">
        <is>
          <t>Banco Santander</t>
        </is>
      </c>
      <c r="J611" s="29" t="inlineStr">
        <is>
          <t>Financiamento de Veículo — parcela 17/48 (principal)</t>
        </is>
      </c>
      <c r="K611" s="14" t="inlineStr">
        <is>
          <t>VEI-2026-0088-P17</t>
        </is>
      </c>
      <c r="L611" s="29" t="inlineStr">
        <is>
          <t>Itaú Unibanco — C/C 45678-9</t>
        </is>
      </c>
      <c r="M611" s="14" t="inlineStr">
        <is>
          <t>Débito automático</t>
        </is>
      </c>
      <c r="N611" s="29" t="n"/>
      <c r="O611" s="13" t="n">
        <v>17</v>
      </c>
      <c r="P611" s="13" t="n">
        <v>48</v>
      </c>
      <c r="Q611" s="35" t="n">
        <v>1496.15</v>
      </c>
      <c r="R611" s="35" t="n"/>
      <c r="S611" s="35" t="n"/>
      <c r="T611" s="35" t="n"/>
      <c r="U611" s="35" t="n"/>
      <c r="V611" s="18">
        <f>IF(COUNTA($B611:$R611)=0,"",ROUND(N($R611)+N($S611)+N($T611)-N($U611),2))</f>
        <v/>
      </c>
      <c r="W611" s="18">
        <f>IF(COUNTA($B611:$R611)=0,"",IF(OR($X611="Pago",$X611="Recebido",$X611="Cancelado"),0,ROUND(N($Q611)+N($S611)+N($T611)-N($U611)-N($R611),2)))</f>
        <v/>
      </c>
      <c r="X611" s="14" t="inlineStr">
        <is>
          <t>Previsto</t>
        </is>
      </c>
      <c r="Y611" s="17">
        <f>IF(COUNTA($B611:$R611)=0,"",IF($X611="Cancelado","Cancelado",IF(OR($X611="Pago",$X611="Recebido"),$X611,IF(OR($X611="Parcial",N($R611)&gt;0),"Parcial",IF($C611="","Sem vencimento",IF($C611&lt;TODAY(),"Vencido",IF($C611=TODAY(),"Vence hoje",IF($C611&lt;=TODAY()+7,"Vence em 7 dias",IF($C611&lt;=TODAY()+30,"Vence em 30 dias","Futuro")))))))))</f>
        <v/>
      </c>
      <c r="Z611" s="24">
        <f>IF($B611="","",MONTH($B611))</f>
        <v/>
      </c>
      <c r="AA611" s="24">
        <f>IF($B611="","",YEAR($B611))</f>
        <v/>
      </c>
      <c r="AB611" s="24">
        <f>IF($B611="","",ISOWEEKNUM($B611))</f>
        <v/>
      </c>
      <c r="AC611" s="17">
        <f>IF($B611="","",CHOOSE(WEEKDAY($B611,2),"Segunda","Terça","Quarta","Quinta","Sexta","Sábado","Domingo"))</f>
        <v/>
      </c>
      <c r="AD611" s="17">
        <f>IF($B611="","",TEXT($B611,"MM/AAAA"))</f>
        <v/>
      </c>
      <c r="AE611" s="18">
        <f>IF(COUNTA($B611:$R611)=0,"",IF($X611="Cancelado",0,ROUND(N($Q611)+N($S611)+N($T611)-N($U611),2)))</f>
        <v/>
      </c>
      <c r="AF611" s="9">
        <f>IF($G611="","",IFERROR(INDEX(LINHAS_DRE_PLANO,MATCH($G611,SUBCATEGORIAS_PLANO,0)),"Não classificado"))</f>
        <v/>
      </c>
      <c r="AG611" s="17">
        <f>IF($G611="","",IFERROR(INDEX(TIPOS_FLUXO_PLANO,MATCH($G611,SUBCATEGORIAS_PLANO,0)),"Não classificado"))</f>
        <v/>
      </c>
      <c r="AH611" s="9">
        <f>IF($G611="","",IFERROR(INDEX(GRUPOS_PLANO,MATCH($G611,SUBCATEGORIAS_PLANO,0)),"Não classificado"))</f>
        <v/>
      </c>
      <c r="AI611" s="24">
        <f>IF(OR($C611="",$X611="Pago",$X611="Recebido",$X611="Cancelado"),"",$C611-TODAY())</f>
        <v/>
      </c>
      <c r="AJ611" s="24">
        <f>IF(OR($C611="",$X611="Pago",$X611="Recebido",$X611="Cancelado"),0,MAX(0,TODAY()-$C611))</f>
        <v/>
      </c>
      <c r="AK611" s="24">
        <f>IF($D611="","",$D611-$B611)</f>
        <v/>
      </c>
      <c r="AL611" s="18">
        <f>IF(OR($D611="",$B611=""),"",ROUND(N($R611)*($D611-$B611),2))</f>
        <v/>
      </c>
      <c r="AM611" s="17">
        <f>IF(AND($E611="Saída",$W611&gt;0,$C611&lt;&gt;""),$C611+ROW()/1000000,"")</f>
        <v/>
      </c>
      <c r="AN611" s="17">
        <f>IF(AND($E611="Entrada",$W611&gt;0,$C611&lt;&gt;""),$C611+ROW()/1000000,"")</f>
        <v/>
      </c>
      <c r="AO611" s="9">
        <f>IF(COUNTA($B611:$R611)=0,"",IF(AND($I611&lt;&gt;"",COUNTIF(CLIENTES_NOMES,$I611)+COUNTIF(CLIENTES_FANTASIA,$I611)+COUNTIF(FORNECEDORES_NOMES,$I611)+COUNTIF(FORNECEDORES_FANTASIA,$I611)=0),"⚠ Cliente/Fornecedor não cadastrado",IF(AND($G611&lt;&gt;"",COUNTIF(SUBCATEGORIAS_PLANO,$G611)=0),"⚠ Subcategoria fora do plano de contas",IF(OR($Q611="",N($Q611)=0),"⚠ Valor previsto não informado",IF(AND(OR($X611="Pago",$X611="Recebido"),$D611=""),"⚠ Status pago/recebido sem data",IF(AND($D611&lt;&gt;"",N($R611)=0),"⚠ Data de pagamento sem valor realizado",IF(AND(N($P611)&gt;1,N($O611)&gt;N($P611)),"⚠ Nº da parcela maior que o total",IF(AND($C611&lt;&gt;"",$B611&lt;&gt;"",$C611&lt;$B611),"⚠ Vencimento anterior à competência","OK"))))))))</f>
        <v/>
      </c>
    </row>
    <row r="612">
      <c r="A612" s="14" t="inlineStr">
        <is>
          <t>L0607</t>
        </is>
      </c>
      <c r="B612" s="36" t="n">
        <v>46558</v>
      </c>
      <c r="C612" s="36" t="n">
        <v>46558</v>
      </c>
      <c r="D612" s="36" t="n"/>
      <c r="E612" s="14" t="inlineStr">
        <is>
          <t>Saída</t>
        </is>
      </c>
      <c r="F612" s="29" t="inlineStr">
        <is>
          <t>Despesas Financeiras</t>
        </is>
      </c>
      <c r="G612" s="29" t="inlineStr">
        <is>
          <t>Juros de Empréstimos e Financiamentos</t>
        </is>
      </c>
      <c r="H612" s="29" t="inlineStr">
        <is>
          <t>Diretoria</t>
        </is>
      </c>
      <c r="I612" s="29" t="inlineStr">
        <is>
          <t>Banco Santander</t>
        </is>
      </c>
      <c r="J612" s="29" t="inlineStr">
        <is>
          <t>Financiamento de Veículo — parcela 17/48 (juros)</t>
        </is>
      </c>
      <c r="K612" s="14" t="inlineStr">
        <is>
          <t>VEI-2026-0088-P17</t>
        </is>
      </c>
      <c r="L612" s="29" t="inlineStr">
        <is>
          <t>Itaú Unibanco — C/C 45678-9</t>
        </is>
      </c>
      <c r="M612" s="14" t="inlineStr">
        <is>
          <t>Débito automático</t>
        </is>
      </c>
      <c r="N612" s="29" t="n"/>
      <c r="O612" s="13" t="n">
        <v>17</v>
      </c>
      <c r="P612" s="13" t="n">
        <v>48</v>
      </c>
      <c r="Q612" s="35" t="n">
        <v>730.3099999999999</v>
      </c>
      <c r="R612" s="35" t="n"/>
      <c r="S612" s="35" t="n"/>
      <c r="T612" s="35" t="n"/>
      <c r="U612" s="35" t="n"/>
      <c r="V612" s="18">
        <f>IF(COUNTA($B612:$R612)=0,"",ROUND(N($R612)+N($S612)+N($T612)-N($U612),2))</f>
        <v/>
      </c>
      <c r="W612" s="18">
        <f>IF(COUNTA($B612:$R612)=0,"",IF(OR($X612="Pago",$X612="Recebido",$X612="Cancelado"),0,ROUND(N($Q612)+N($S612)+N($T612)-N($U612)-N($R612),2)))</f>
        <v/>
      </c>
      <c r="X612" s="14" t="inlineStr">
        <is>
          <t>Previsto</t>
        </is>
      </c>
      <c r="Y612" s="17">
        <f>IF(COUNTA($B612:$R612)=0,"",IF($X612="Cancelado","Cancelado",IF(OR($X612="Pago",$X612="Recebido"),$X612,IF(OR($X612="Parcial",N($R612)&gt;0),"Parcial",IF($C612="","Sem vencimento",IF($C612&lt;TODAY(),"Vencido",IF($C612=TODAY(),"Vence hoje",IF($C612&lt;=TODAY()+7,"Vence em 7 dias",IF($C612&lt;=TODAY()+30,"Vence em 30 dias","Futuro")))))))))</f>
        <v/>
      </c>
      <c r="Z612" s="24">
        <f>IF($B612="","",MONTH($B612))</f>
        <v/>
      </c>
      <c r="AA612" s="24">
        <f>IF($B612="","",YEAR($B612))</f>
        <v/>
      </c>
      <c r="AB612" s="24">
        <f>IF($B612="","",ISOWEEKNUM($B612))</f>
        <v/>
      </c>
      <c r="AC612" s="17">
        <f>IF($B612="","",CHOOSE(WEEKDAY($B612,2),"Segunda","Terça","Quarta","Quinta","Sexta","Sábado","Domingo"))</f>
        <v/>
      </c>
      <c r="AD612" s="17">
        <f>IF($B612="","",TEXT($B612,"MM/AAAA"))</f>
        <v/>
      </c>
      <c r="AE612" s="18">
        <f>IF(COUNTA($B612:$R612)=0,"",IF($X612="Cancelado",0,ROUND(N($Q612)+N($S612)+N($T612)-N($U612),2)))</f>
        <v/>
      </c>
      <c r="AF612" s="9">
        <f>IF($G612="","",IFERROR(INDEX(LINHAS_DRE_PLANO,MATCH($G612,SUBCATEGORIAS_PLANO,0)),"Não classificado"))</f>
        <v/>
      </c>
      <c r="AG612" s="17">
        <f>IF($G612="","",IFERROR(INDEX(TIPOS_FLUXO_PLANO,MATCH($G612,SUBCATEGORIAS_PLANO,0)),"Não classificado"))</f>
        <v/>
      </c>
      <c r="AH612" s="9">
        <f>IF($G612="","",IFERROR(INDEX(GRUPOS_PLANO,MATCH($G612,SUBCATEGORIAS_PLANO,0)),"Não classificado"))</f>
        <v/>
      </c>
      <c r="AI612" s="24">
        <f>IF(OR($C612="",$X612="Pago",$X612="Recebido",$X612="Cancelado"),"",$C612-TODAY())</f>
        <v/>
      </c>
      <c r="AJ612" s="24">
        <f>IF(OR($C612="",$X612="Pago",$X612="Recebido",$X612="Cancelado"),0,MAX(0,TODAY()-$C612))</f>
        <v/>
      </c>
      <c r="AK612" s="24">
        <f>IF($D612="","",$D612-$B612)</f>
        <v/>
      </c>
      <c r="AL612" s="18">
        <f>IF(OR($D612="",$B612=""),"",ROUND(N($R612)*($D612-$B612),2))</f>
        <v/>
      </c>
      <c r="AM612" s="17">
        <f>IF(AND($E612="Saída",$W612&gt;0,$C612&lt;&gt;""),$C612+ROW()/1000000,"")</f>
        <v/>
      </c>
      <c r="AN612" s="17">
        <f>IF(AND($E612="Entrada",$W612&gt;0,$C612&lt;&gt;""),$C612+ROW()/1000000,"")</f>
        <v/>
      </c>
      <c r="AO612" s="9">
        <f>IF(COUNTA($B612:$R612)=0,"",IF(AND($I612&lt;&gt;"",COUNTIF(CLIENTES_NOMES,$I612)+COUNTIF(CLIENTES_FANTASIA,$I612)+COUNTIF(FORNECEDORES_NOMES,$I612)+COUNTIF(FORNECEDORES_FANTASIA,$I612)=0),"⚠ Cliente/Fornecedor não cadastrado",IF(AND($G612&lt;&gt;"",COUNTIF(SUBCATEGORIAS_PLANO,$G612)=0),"⚠ Subcategoria fora do plano de contas",IF(OR($Q612="",N($Q612)=0),"⚠ Valor previsto não informado",IF(AND(OR($X612="Pago",$X612="Recebido"),$D612=""),"⚠ Status pago/recebido sem data",IF(AND($D612&lt;&gt;"",N($R612)=0),"⚠ Data de pagamento sem valor realizado",IF(AND(N($P612)&gt;1,N($O612)&gt;N($P612)),"⚠ Nº da parcela maior que o total",IF(AND($C612&lt;&gt;"",$B612&lt;&gt;"",$C612&lt;$B612),"⚠ Vencimento anterior à competência","OK"))))))))</f>
        <v/>
      </c>
    </row>
    <row r="613">
      <c r="A613" s="14" t="inlineStr">
        <is>
          <t>L0608</t>
        </is>
      </c>
      <c r="B613" s="36" t="n">
        <v>46578</v>
      </c>
      <c r="C613" s="36" t="n">
        <v>46578</v>
      </c>
      <c r="D613" s="36" t="n"/>
      <c r="E613" s="14" t="inlineStr">
        <is>
          <t>Saída</t>
        </is>
      </c>
      <c r="F613" s="29" t="inlineStr">
        <is>
          <t>Empréstimos e Financiamentos</t>
        </is>
      </c>
      <c r="G613" s="29" t="inlineStr">
        <is>
          <t>Pagamento de Principal de Empréstimos</t>
        </is>
      </c>
      <c r="H613" s="29" t="inlineStr">
        <is>
          <t>Financeiro</t>
        </is>
      </c>
      <c r="I613" s="29" t="inlineStr">
        <is>
          <t>Banco do Brasil</t>
        </is>
      </c>
      <c r="J613" s="29" t="inlineStr">
        <is>
          <t>Capital de Giro — parcela 18/24 (principal)</t>
        </is>
      </c>
      <c r="K613" s="14" t="inlineStr">
        <is>
          <t>CG-2026-0417-P18</t>
        </is>
      </c>
      <c r="L613" s="29" t="inlineStr">
        <is>
          <t>Banco do Brasil — C/C 12345-6</t>
        </is>
      </c>
      <c r="M613" s="14" t="inlineStr">
        <is>
          <t>Débito automático</t>
        </is>
      </c>
      <c r="N613" s="29" t="n"/>
      <c r="O613" s="13" t="n">
        <v>18</v>
      </c>
      <c r="P613" s="13" t="n">
        <v>24</v>
      </c>
      <c r="Q613" s="35" t="n">
        <v>2698.98</v>
      </c>
      <c r="R613" s="35" t="n"/>
      <c r="S613" s="35" t="n"/>
      <c r="T613" s="35" t="n"/>
      <c r="U613" s="35" t="n"/>
      <c r="V613" s="18">
        <f>IF(COUNTA($B613:$R613)=0,"",ROUND(N($R613)+N($S613)+N($T613)-N($U613),2))</f>
        <v/>
      </c>
      <c r="W613" s="18">
        <f>IF(COUNTA($B613:$R613)=0,"",IF(OR($X613="Pago",$X613="Recebido",$X613="Cancelado"),0,ROUND(N($Q613)+N($S613)+N($T613)-N($U613)-N($R613),2)))</f>
        <v/>
      </c>
      <c r="X613" s="14" t="inlineStr">
        <is>
          <t>Previsto</t>
        </is>
      </c>
      <c r="Y613" s="17">
        <f>IF(COUNTA($B613:$R613)=0,"",IF($X613="Cancelado","Cancelado",IF(OR($X613="Pago",$X613="Recebido"),$X613,IF(OR($X613="Parcial",N($R613)&gt;0),"Parcial",IF($C613="","Sem vencimento",IF($C613&lt;TODAY(),"Vencido",IF($C613=TODAY(),"Vence hoje",IF($C613&lt;=TODAY()+7,"Vence em 7 dias",IF($C613&lt;=TODAY()+30,"Vence em 30 dias","Futuro")))))))))</f>
        <v/>
      </c>
      <c r="Z613" s="24">
        <f>IF($B613="","",MONTH($B613))</f>
        <v/>
      </c>
      <c r="AA613" s="24">
        <f>IF($B613="","",YEAR($B613))</f>
        <v/>
      </c>
      <c r="AB613" s="24">
        <f>IF($B613="","",ISOWEEKNUM($B613))</f>
        <v/>
      </c>
      <c r="AC613" s="17">
        <f>IF($B613="","",CHOOSE(WEEKDAY($B613,2),"Segunda","Terça","Quarta","Quinta","Sexta","Sábado","Domingo"))</f>
        <v/>
      </c>
      <c r="AD613" s="17">
        <f>IF($B613="","",TEXT($B613,"MM/AAAA"))</f>
        <v/>
      </c>
      <c r="AE613" s="18">
        <f>IF(COUNTA($B613:$R613)=0,"",IF($X613="Cancelado",0,ROUND(N($Q613)+N($S613)+N($T613)-N($U613),2)))</f>
        <v/>
      </c>
      <c r="AF613" s="9">
        <f>IF($G613="","",IFERROR(INDEX(LINHAS_DRE_PLANO,MATCH($G613,SUBCATEGORIAS_PLANO,0)),"Não classificado"))</f>
        <v/>
      </c>
      <c r="AG613" s="17">
        <f>IF($G613="","",IFERROR(INDEX(TIPOS_FLUXO_PLANO,MATCH($G613,SUBCATEGORIAS_PLANO,0)),"Não classificado"))</f>
        <v/>
      </c>
      <c r="AH613" s="9">
        <f>IF($G613="","",IFERROR(INDEX(GRUPOS_PLANO,MATCH($G613,SUBCATEGORIAS_PLANO,0)),"Não classificado"))</f>
        <v/>
      </c>
      <c r="AI613" s="24">
        <f>IF(OR($C613="",$X613="Pago",$X613="Recebido",$X613="Cancelado"),"",$C613-TODAY())</f>
        <v/>
      </c>
      <c r="AJ613" s="24">
        <f>IF(OR($C613="",$X613="Pago",$X613="Recebido",$X613="Cancelado"),0,MAX(0,TODAY()-$C613))</f>
        <v/>
      </c>
      <c r="AK613" s="24">
        <f>IF($D613="","",$D613-$B613)</f>
        <v/>
      </c>
      <c r="AL613" s="18">
        <f>IF(OR($D613="",$B613=""),"",ROUND(N($R613)*($D613-$B613),2))</f>
        <v/>
      </c>
      <c r="AM613" s="17">
        <f>IF(AND($E613="Saída",$W613&gt;0,$C613&lt;&gt;""),$C613+ROW()/1000000,"")</f>
        <v/>
      </c>
      <c r="AN613" s="17">
        <f>IF(AND($E613="Entrada",$W613&gt;0,$C613&lt;&gt;""),$C613+ROW()/1000000,"")</f>
        <v/>
      </c>
      <c r="AO613" s="9">
        <f>IF(COUNTA($B613:$R613)=0,"",IF(AND($I613&lt;&gt;"",COUNTIF(CLIENTES_NOMES,$I613)+COUNTIF(CLIENTES_FANTASIA,$I613)+COUNTIF(FORNECEDORES_NOMES,$I613)+COUNTIF(FORNECEDORES_FANTASIA,$I613)=0),"⚠ Cliente/Fornecedor não cadastrado",IF(AND($G613&lt;&gt;"",COUNTIF(SUBCATEGORIAS_PLANO,$G613)=0),"⚠ Subcategoria fora do plano de contas",IF(OR($Q613="",N($Q613)=0),"⚠ Valor previsto não informado",IF(AND(OR($X613="Pago",$X613="Recebido"),$D613=""),"⚠ Status pago/recebido sem data",IF(AND($D613&lt;&gt;"",N($R613)=0),"⚠ Data de pagamento sem valor realizado",IF(AND(N($P613)&gt;1,N($O613)&gt;N($P613)),"⚠ Nº da parcela maior que o total",IF(AND($C613&lt;&gt;"",$B613&lt;&gt;"",$C613&lt;$B613),"⚠ Vencimento anterior à competência","OK"))))))))</f>
        <v/>
      </c>
    </row>
    <row r="614">
      <c r="A614" s="14" t="inlineStr">
        <is>
          <t>L0609</t>
        </is>
      </c>
      <c r="B614" s="36" t="n">
        <v>46578</v>
      </c>
      <c r="C614" s="36" t="n">
        <v>46578</v>
      </c>
      <c r="D614" s="36" t="n"/>
      <c r="E614" s="14" t="inlineStr">
        <is>
          <t>Saída</t>
        </is>
      </c>
      <c r="F614" s="29" t="inlineStr">
        <is>
          <t>Despesas Financeiras</t>
        </is>
      </c>
      <c r="G614" s="29" t="inlineStr">
        <is>
          <t>Juros de Empréstimos e Financiamentos</t>
        </is>
      </c>
      <c r="H614" s="29" t="inlineStr">
        <is>
          <t>Financeiro</t>
        </is>
      </c>
      <c r="I614" s="29" t="inlineStr">
        <is>
          <t>Banco do Brasil</t>
        </is>
      </c>
      <c r="J614" s="29" t="inlineStr">
        <is>
          <t>Capital de Giro — parcela 18/24 (juros)</t>
        </is>
      </c>
      <c r="K614" s="14" t="inlineStr">
        <is>
          <t>CG-2026-0417-P18</t>
        </is>
      </c>
      <c r="L614" s="29" t="inlineStr">
        <is>
          <t>Banco do Brasil — C/C 12345-6</t>
        </is>
      </c>
      <c r="M614" s="14" t="inlineStr">
        <is>
          <t>Débito automático</t>
        </is>
      </c>
      <c r="N614" s="29" t="n"/>
      <c r="O614" s="13" t="n">
        <v>18</v>
      </c>
      <c r="P614" s="13" t="n">
        <v>24</v>
      </c>
      <c r="Q614" s="35" t="n">
        <v>296.47</v>
      </c>
      <c r="R614" s="35" t="n"/>
      <c r="S614" s="35" t="n"/>
      <c r="T614" s="35" t="n"/>
      <c r="U614" s="35" t="n"/>
      <c r="V614" s="18">
        <f>IF(COUNTA($B614:$R614)=0,"",ROUND(N($R614)+N($S614)+N($T614)-N($U614),2))</f>
        <v/>
      </c>
      <c r="W614" s="18">
        <f>IF(COUNTA($B614:$R614)=0,"",IF(OR($X614="Pago",$X614="Recebido",$X614="Cancelado"),0,ROUND(N($Q614)+N($S614)+N($T614)-N($U614)-N($R614),2)))</f>
        <v/>
      </c>
      <c r="X614" s="14" t="inlineStr">
        <is>
          <t>Previsto</t>
        </is>
      </c>
      <c r="Y614" s="17">
        <f>IF(COUNTA($B614:$R614)=0,"",IF($X614="Cancelado","Cancelado",IF(OR($X614="Pago",$X614="Recebido"),$X614,IF(OR($X614="Parcial",N($R614)&gt;0),"Parcial",IF($C614="","Sem vencimento",IF($C614&lt;TODAY(),"Vencido",IF($C614=TODAY(),"Vence hoje",IF($C614&lt;=TODAY()+7,"Vence em 7 dias",IF($C614&lt;=TODAY()+30,"Vence em 30 dias","Futuro")))))))))</f>
        <v/>
      </c>
      <c r="Z614" s="24">
        <f>IF($B614="","",MONTH($B614))</f>
        <v/>
      </c>
      <c r="AA614" s="24">
        <f>IF($B614="","",YEAR($B614))</f>
        <v/>
      </c>
      <c r="AB614" s="24">
        <f>IF($B614="","",ISOWEEKNUM($B614))</f>
        <v/>
      </c>
      <c r="AC614" s="17">
        <f>IF($B614="","",CHOOSE(WEEKDAY($B614,2),"Segunda","Terça","Quarta","Quinta","Sexta","Sábado","Domingo"))</f>
        <v/>
      </c>
      <c r="AD614" s="17">
        <f>IF($B614="","",TEXT($B614,"MM/AAAA"))</f>
        <v/>
      </c>
      <c r="AE614" s="18">
        <f>IF(COUNTA($B614:$R614)=0,"",IF($X614="Cancelado",0,ROUND(N($Q614)+N($S614)+N($T614)-N($U614),2)))</f>
        <v/>
      </c>
      <c r="AF614" s="9">
        <f>IF($G614="","",IFERROR(INDEX(LINHAS_DRE_PLANO,MATCH($G614,SUBCATEGORIAS_PLANO,0)),"Não classificado"))</f>
        <v/>
      </c>
      <c r="AG614" s="17">
        <f>IF($G614="","",IFERROR(INDEX(TIPOS_FLUXO_PLANO,MATCH($G614,SUBCATEGORIAS_PLANO,0)),"Não classificado"))</f>
        <v/>
      </c>
      <c r="AH614" s="9">
        <f>IF($G614="","",IFERROR(INDEX(GRUPOS_PLANO,MATCH($G614,SUBCATEGORIAS_PLANO,0)),"Não classificado"))</f>
        <v/>
      </c>
      <c r="AI614" s="24">
        <f>IF(OR($C614="",$X614="Pago",$X614="Recebido",$X614="Cancelado"),"",$C614-TODAY())</f>
        <v/>
      </c>
      <c r="AJ614" s="24">
        <f>IF(OR($C614="",$X614="Pago",$X614="Recebido",$X614="Cancelado"),0,MAX(0,TODAY()-$C614))</f>
        <v/>
      </c>
      <c r="AK614" s="24">
        <f>IF($D614="","",$D614-$B614)</f>
        <v/>
      </c>
      <c r="AL614" s="18">
        <f>IF(OR($D614="",$B614=""),"",ROUND(N($R614)*($D614-$B614),2))</f>
        <v/>
      </c>
      <c r="AM614" s="17">
        <f>IF(AND($E614="Saída",$W614&gt;0,$C614&lt;&gt;""),$C614+ROW()/1000000,"")</f>
        <v/>
      </c>
      <c r="AN614" s="17">
        <f>IF(AND($E614="Entrada",$W614&gt;0,$C614&lt;&gt;""),$C614+ROW()/1000000,"")</f>
        <v/>
      </c>
      <c r="AO614" s="9">
        <f>IF(COUNTA($B614:$R614)=0,"",IF(AND($I614&lt;&gt;"",COUNTIF(CLIENTES_NOMES,$I614)+COUNTIF(CLIENTES_FANTASIA,$I614)+COUNTIF(FORNECEDORES_NOMES,$I614)+COUNTIF(FORNECEDORES_FANTASIA,$I614)=0),"⚠ Cliente/Fornecedor não cadastrado",IF(AND($G614&lt;&gt;"",COUNTIF(SUBCATEGORIAS_PLANO,$G614)=0),"⚠ Subcategoria fora do plano de contas",IF(OR($Q614="",N($Q614)=0),"⚠ Valor previsto não informado",IF(AND(OR($X614="Pago",$X614="Recebido"),$D614=""),"⚠ Status pago/recebido sem data",IF(AND($D614&lt;&gt;"",N($R614)=0),"⚠ Data de pagamento sem valor realizado",IF(AND(N($P614)&gt;1,N($O614)&gt;N($P614)),"⚠ Nº da parcela maior que o total",IF(AND($C614&lt;&gt;"",$B614&lt;&gt;"",$C614&lt;$B614),"⚠ Vencimento anterior à competência","OK"))))))))</f>
        <v/>
      </c>
    </row>
    <row r="615">
      <c r="A615" s="14" t="inlineStr">
        <is>
          <t>L0610</t>
        </is>
      </c>
      <c r="B615" s="36" t="n">
        <v>46583</v>
      </c>
      <c r="C615" s="36" t="n">
        <v>46583</v>
      </c>
      <c r="D615" s="36" t="n"/>
      <c r="E615" s="14" t="inlineStr">
        <is>
          <t>Saída</t>
        </is>
      </c>
      <c r="F615" s="29" t="inlineStr">
        <is>
          <t>Empréstimos e Financiamentos</t>
        </is>
      </c>
      <c r="G615" s="29" t="inlineStr">
        <is>
          <t>Pagamento de Principal de Empréstimos</t>
        </is>
      </c>
      <c r="H615" s="29" t="inlineStr">
        <is>
          <t>Financeiro</t>
        </is>
      </c>
      <c r="I615" s="29" t="inlineStr">
        <is>
          <t>BNDES / Banco do Brasil</t>
        </is>
      </c>
      <c r="J615" s="29" t="inlineStr">
        <is>
          <t>Financiamento de Máquinas — parcela 17/36 (principal)</t>
        </is>
      </c>
      <c r="K615" s="14" t="inlineStr">
        <is>
          <t>FIN-2026-1198-P17</t>
        </is>
      </c>
      <c r="L615" s="29" t="inlineStr">
        <is>
          <t>Banco do Brasil — C/C 12345-6</t>
        </is>
      </c>
      <c r="M615" s="14" t="inlineStr">
        <is>
          <t>Débito automático</t>
        </is>
      </c>
      <c r="N615" s="29" t="n"/>
      <c r="O615" s="13" t="n">
        <v>17</v>
      </c>
      <c r="P615" s="13" t="n">
        <v>36</v>
      </c>
      <c r="Q615" s="35" t="n">
        <v>3333.33</v>
      </c>
      <c r="R615" s="35" t="n"/>
      <c r="S615" s="35" t="n"/>
      <c r="T615" s="35" t="n"/>
      <c r="U615" s="35" t="n"/>
      <c r="V615" s="18">
        <f>IF(COUNTA($B615:$R615)=0,"",ROUND(N($R615)+N($S615)+N($T615)-N($U615),2))</f>
        <v/>
      </c>
      <c r="W615" s="18">
        <f>IF(COUNTA($B615:$R615)=0,"",IF(OR($X615="Pago",$X615="Recebido",$X615="Cancelado"),0,ROUND(N($Q615)+N($S615)+N($T615)-N($U615)-N($R615),2)))</f>
        <v/>
      </c>
      <c r="X615" s="14" t="inlineStr">
        <is>
          <t>Previsto</t>
        </is>
      </c>
      <c r="Y615" s="17">
        <f>IF(COUNTA($B615:$R615)=0,"",IF($X615="Cancelado","Cancelado",IF(OR($X615="Pago",$X615="Recebido"),$X615,IF(OR($X615="Parcial",N($R615)&gt;0),"Parcial",IF($C615="","Sem vencimento",IF($C615&lt;TODAY(),"Vencido",IF($C615=TODAY(),"Vence hoje",IF($C615&lt;=TODAY()+7,"Vence em 7 dias",IF($C615&lt;=TODAY()+30,"Vence em 30 dias","Futuro")))))))))</f>
        <v/>
      </c>
      <c r="Z615" s="24">
        <f>IF($B615="","",MONTH($B615))</f>
        <v/>
      </c>
      <c r="AA615" s="24">
        <f>IF($B615="","",YEAR($B615))</f>
        <v/>
      </c>
      <c r="AB615" s="24">
        <f>IF($B615="","",ISOWEEKNUM($B615))</f>
        <v/>
      </c>
      <c r="AC615" s="17">
        <f>IF($B615="","",CHOOSE(WEEKDAY($B615,2),"Segunda","Terça","Quarta","Quinta","Sexta","Sábado","Domingo"))</f>
        <v/>
      </c>
      <c r="AD615" s="17">
        <f>IF($B615="","",TEXT($B615,"MM/AAAA"))</f>
        <v/>
      </c>
      <c r="AE615" s="18">
        <f>IF(COUNTA($B615:$R615)=0,"",IF($X615="Cancelado",0,ROUND(N($Q615)+N($S615)+N($T615)-N($U615),2)))</f>
        <v/>
      </c>
      <c r="AF615" s="9">
        <f>IF($G615="","",IFERROR(INDEX(LINHAS_DRE_PLANO,MATCH($G615,SUBCATEGORIAS_PLANO,0)),"Não classificado"))</f>
        <v/>
      </c>
      <c r="AG615" s="17">
        <f>IF($G615="","",IFERROR(INDEX(TIPOS_FLUXO_PLANO,MATCH($G615,SUBCATEGORIAS_PLANO,0)),"Não classificado"))</f>
        <v/>
      </c>
      <c r="AH615" s="9">
        <f>IF($G615="","",IFERROR(INDEX(GRUPOS_PLANO,MATCH($G615,SUBCATEGORIAS_PLANO,0)),"Não classificado"))</f>
        <v/>
      </c>
      <c r="AI615" s="24">
        <f>IF(OR($C615="",$X615="Pago",$X615="Recebido",$X615="Cancelado"),"",$C615-TODAY())</f>
        <v/>
      </c>
      <c r="AJ615" s="24">
        <f>IF(OR($C615="",$X615="Pago",$X615="Recebido",$X615="Cancelado"),0,MAX(0,TODAY()-$C615))</f>
        <v/>
      </c>
      <c r="AK615" s="24">
        <f>IF($D615="","",$D615-$B615)</f>
        <v/>
      </c>
      <c r="AL615" s="18">
        <f>IF(OR($D615="",$B615=""),"",ROUND(N($R615)*($D615-$B615),2))</f>
        <v/>
      </c>
      <c r="AM615" s="17">
        <f>IF(AND($E615="Saída",$W615&gt;0,$C615&lt;&gt;""),$C615+ROW()/1000000,"")</f>
        <v/>
      </c>
      <c r="AN615" s="17">
        <f>IF(AND($E615="Entrada",$W615&gt;0,$C615&lt;&gt;""),$C615+ROW()/1000000,"")</f>
        <v/>
      </c>
      <c r="AO615" s="9">
        <f>IF(COUNTA($B615:$R615)=0,"",IF(AND($I615&lt;&gt;"",COUNTIF(CLIENTES_NOMES,$I615)+COUNTIF(CLIENTES_FANTASIA,$I615)+COUNTIF(FORNECEDORES_NOMES,$I615)+COUNTIF(FORNECEDORES_FANTASIA,$I615)=0),"⚠ Cliente/Fornecedor não cadastrado",IF(AND($G615&lt;&gt;"",COUNTIF(SUBCATEGORIAS_PLANO,$G615)=0),"⚠ Subcategoria fora do plano de contas",IF(OR($Q615="",N($Q615)=0),"⚠ Valor previsto não informado",IF(AND(OR($X615="Pago",$X615="Recebido"),$D615=""),"⚠ Status pago/recebido sem data",IF(AND($D615&lt;&gt;"",N($R615)=0),"⚠ Data de pagamento sem valor realizado",IF(AND(N($P615)&gt;1,N($O615)&gt;N($P615)),"⚠ Nº da parcela maior que o total",IF(AND($C615&lt;&gt;"",$B615&lt;&gt;"",$C615&lt;$B615),"⚠ Vencimento anterior à competência","OK"))))))))</f>
        <v/>
      </c>
    </row>
    <row r="616">
      <c r="A616" s="14" t="inlineStr">
        <is>
          <t>L0611</t>
        </is>
      </c>
      <c r="B616" s="36" t="n">
        <v>46583</v>
      </c>
      <c r="C616" s="36" t="n">
        <v>46583</v>
      </c>
      <c r="D616" s="36" t="n"/>
      <c r="E616" s="14" t="inlineStr">
        <is>
          <t>Saída</t>
        </is>
      </c>
      <c r="F616" s="29" t="inlineStr">
        <is>
          <t>Despesas Financeiras</t>
        </is>
      </c>
      <c r="G616" s="29" t="inlineStr">
        <is>
          <t>Juros de Empréstimos e Financiamentos</t>
        </is>
      </c>
      <c r="H616" s="29" t="inlineStr">
        <is>
          <t>Financeiro</t>
        </is>
      </c>
      <c r="I616" s="29" t="inlineStr">
        <is>
          <t>BNDES / Banco do Brasil</t>
        </is>
      </c>
      <c r="J616" s="29" t="inlineStr">
        <is>
          <t>Financiamento de Máquinas — parcela 17/36 (juros)</t>
        </is>
      </c>
      <c r="K616" s="14" t="inlineStr">
        <is>
          <t>FIN-2026-1198-P17</t>
        </is>
      </c>
      <c r="L616" s="29" t="inlineStr">
        <is>
          <t>Banco do Brasil — C/C 12345-6</t>
        </is>
      </c>
      <c r="M616" s="14" t="inlineStr">
        <is>
          <t>Débito automático</t>
        </is>
      </c>
      <c r="N616" s="29" t="n"/>
      <c r="O616" s="13" t="n">
        <v>17</v>
      </c>
      <c r="P616" s="13" t="n">
        <v>36</v>
      </c>
      <c r="Q616" s="35" t="n">
        <v>733.33</v>
      </c>
      <c r="R616" s="35" t="n"/>
      <c r="S616" s="35" t="n"/>
      <c r="T616" s="35" t="n"/>
      <c r="U616" s="35" t="n"/>
      <c r="V616" s="18">
        <f>IF(COUNTA($B616:$R616)=0,"",ROUND(N($R616)+N($S616)+N($T616)-N($U616),2))</f>
        <v/>
      </c>
      <c r="W616" s="18">
        <f>IF(COUNTA($B616:$R616)=0,"",IF(OR($X616="Pago",$X616="Recebido",$X616="Cancelado"),0,ROUND(N($Q616)+N($S616)+N($T616)-N($U616)-N($R616),2)))</f>
        <v/>
      </c>
      <c r="X616" s="14" t="inlineStr">
        <is>
          <t>Previsto</t>
        </is>
      </c>
      <c r="Y616" s="17">
        <f>IF(COUNTA($B616:$R616)=0,"",IF($X616="Cancelado","Cancelado",IF(OR($X616="Pago",$X616="Recebido"),$X616,IF(OR($X616="Parcial",N($R616)&gt;0),"Parcial",IF($C616="","Sem vencimento",IF($C616&lt;TODAY(),"Vencido",IF($C616=TODAY(),"Vence hoje",IF($C616&lt;=TODAY()+7,"Vence em 7 dias",IF($C616&lt;=TODAY()+30,"Vence em 30 dias","Futuro")))))))))</f>
        <v/>
      </c>
      <c r="Z616" s="24">
        <f>IF($B616="","",MONTH($B616))</f>
        <v/>
      </c>
      <c r="AA616" s="24">
        <f>IF($B616="","",YEAR($B616))</f>
        <v/>
      </c>
      <c r="AB616" s="24">
        <f>IF($B616="","",ISOWEEKNUM($B616))</f>
        <v/>
      </c>
      <c r="AC616" s="17">
        <f>IF($B616="","",CHOOSE(WEEKDAY($B616,2),"Segunda","Terça","Quarta","Quinta","Sexta","Sábado","Domingo"))</f>
        <v/>
      </c>
      <c r="AD616" s="17">
        <f>IF($B616="","",TEXT($B616,"MM/AAAA"))</f>
        <v/>
      </c>
      <c r="AE616" s="18">
        <f>IF(COUNTA($B616:$R616)=0,"",IF($X616="Cancelado",0,ROUND(N($Q616)+N($S616)+N($T616)-N($U616),2)))</f>
        <v/>
      </c>
      <c r="AF616" s="9">
        <f>IF($G616="","",IFERROR(INDEX(LINHAS_DRE_PLANO,MATCH($G616,SUBCATEGORIAS_PLANO,0)),"Não classificado"))</f>
        <v/>
      </c>
      <c r="AG616" s="17">
        <f>IF($G616="","",IFERROR(INDEX(TIPOS_FLUXO_PLANO,MATCH($G616,SUBCATEGORIAS_PLANO,0)),"Não classificado"))</f>
        <v/>
      </c>
      <c r="AH616" s="9">
        <f>IF($G616="","",IFERROR(INDEX(GRUPOS_PLANO,MATCH($G616,SUBCATEGORIAS_PLANO,0)),"Não classificado"))</f>
        <v/>
      </c>
      <c r="AI616" s="24">
        <f>IF(OR($C616="",$X616="Pago",$X616="Recebido",$X616="Cancelado"),"",$C616-TODAY())</f>
        <v/>
      </c>
      <c r="AJ616" s="24">
        <f>IF(OR($C616="",$X616="Pago",$X616="Recebido",$X616="Cancelado"),0,MAX(0,TODAY()-$C616))</f>
        <v/>
      </c>
      <c r="AK616" s="24">
        <f>IF($D616="","",$D616-$B616)</f>
        <v/>
      </c>
      <c r="AL616" s="18">
        <f>IF(OR($D616="",$B616=""),"",ROUND(N($R616)*($D616-$B616),2))</f>
        <v/>
      </c>
      <c r="AM616" s="17">
        <f>IF(AND($E616="Saída",$W616&gt;0,$C616&lt;&gt;""),$C616+ROW()/1000000,"")</f>
        <v/>
      </c>
      <c r="AN616" s="17">
        <f>IF(AND($E616="Entrada",$W616&gt;0,$C616&lt;&gt;""),$C616+ROW()/1000000,"")</f>
        <v/>
      </c>
      <c r="AO616" s="9">
        <f>IF(COUNTA($B616:$R616)=0,"",IF(AND($I616&lt;&gt;"",COUNTIF(CLIENTES_NOMES,$I616)+COUNTIF(CLIENTES_FANTASIA,$I616)+COUNTIF(FORNECEDORES_NOMES,$I616)+COUNTIF(FORNECEDORES_FANTASIA,$I616)=0),"⚠ Cliente/Fornecedor não cadastrado",IF(AND($G616&lt;&gt;"",COUNTIF(SUBCATEGORIAS_PLANO,$G616)=0),"⚠ Subcategoria fora do plano de contas",IF(OR($Q616="",N($Q616)=0),"⚠ Valor previsto não informado",IF(AND(OR($X616="Pago",$X616="Recebido"),$D616=""),"⚠ Status pago/recebido sem data",IF(AND($D616&lt;&gt;"",N($R616)=0),"⚠ Data de pagamento sem valor realizado",IF(AND(N($P616)&gt;1,N($O616)&gt;N($P616)),"⚠ Nº da parcela maior que o total",IF(AND($C616&lt;&gt;"",$B616&lt;&gt;"",$C616&lt;$B616),"⚠ Vencimento anterior à competência","OK"))))))))</f>
        <v/>
      </c>
    </row>
    <row r="617">
      <c r="A617" s="14" t="inlineStr">
        <is>
          <t>L0612</t>
        </is>
      </c>
      <c r="B617" s="36" t="n">
        <v>46588</v>
      </c>
      <c r="C617" s="36" t="n">
        <v>46588</v>
      </c>
      <c r="D617" s="36" t="n"/>
      <c r="E617" s="14" t="inlineStr">
        <is>
          <t>Saída</t>
        </is>
      </c>
      <c r="F617" s="29" t="inlineStr">
        <is>
          <t>Empréstimos e Financiamentos</t>
        </is>
      </c>
      <c r="G617" s="29" t="inlineStr">
        <is>
          <t>Pagamento de Principal de Empréstimos</t>
        </is>
      </c>
      <c r="H617" s="29" t="inlineStr">
        <is>
          <t>Diretoria</t>
        </is>
      </c>
      <c r="I617" s="29" t="inlineStr">
        <is>
          <t>Banco Santander</t>
        </is>
      </c>
      <c r="J617" s="29" t="inlineStr">
        <is>
          <t>Financiamento de Veículo — parcela 18/48 (principal)</t>
        </is>
      </c>
      <c r="K617" s="14" t="inlineStr">
        <is>
          <t>VEI-2026-0088-P18</t>
        </is>
      </c>
      <c r="L617" s="29" t="inlineStr">
        <is>
          <t>Itaú Unibanco — C/C 45678-9</t>
        </is>
      </c>
      <c r="M617" s="14" t="inlineStr">
        <is>
          <t>Débito automático</t>
        </is>
      </c>
      <c r="N617" s="29" t="n"/>
      <c r="O617" s="13" t="n">
        <v>18</v>
      </c>
      <c r="P617" s="13" t="n">
        <v>48</v>
      </c>
      <c r="Q617" s="35" t="n">
        <v>1514.85</v>
      </c>
      <c r="R617" s="35" t="n"/>
      <c r="S617" s="35" t="n"/>
      <c r="T617" s="35" t="n"/>
      <c r="U617" s="35" t="n"/>
      <c r="V617" s="18">
        <f>IF(COUNTA($B617:$R617)=0,"",ROUND(N($R617)+N($S617)+N($T617)-N($U617),2))</f>
        <v/>
      </c>
      <c r="W617" s="18">
        <f>IF(COUNTA($B617:$R617)=0,"",IF(OR($X617="Pago",$X617="Recebido",$X617="Cancelado"),0,ROUND(N($Q617)+N($S617)+N($T617)-N($U617)-N($R617),2)))</f>
        <v/>
      </c>
      <c r="X617" s="14" t="inlineStr">
        <is>
          <t>Previsto</t>
        </is>
      </c>
      <c r="Y617" s="17">
        <f>IF(COUNTA($B617:$R617)=0,"",IF($X617="Cancelado","Cancelado",IF(OR($X617="Pago",$X617="Recebido"),$X617,IF(OR($X617="Parcial",N($R617)&gt;0),"Parcial",IF($C617="","Sem vencimento",IF($C617&lt;TODAY(),"Vencido",IF($C617=TODAY(),"Vence hoje",IF($C617&lt;=TODAY()+7,"Vence em 7 dias",IF($C617&lt;=TODAY()+30,"Vence em 30 dias","Futuro")))))))))</f>
        <v/>
      </c>
      <c r="Z617" s="24">
        <f>IF($B617="","",MONTH($B617))</f>
        <v/>
      </c>
      <c r="AA617" s="24">
        <f>IF($B617="","",YEAR($B617))</f>
        <v/>
      </c>
      <c r="AB617" s="24">
        <f>IF($B617="","",ISOWEEKNUM($B617))</f>
        <v/>
      </c>
      <c r="AC617" s="17">
        <f>IF($B617="","",CHOOSE(WEEKDAY($B617,2),"Segunda","Terça","Quarta","Quinta","Sexta","Sábado","Domingo"))</f>
        <v/>
      </c>
      <c r="AD617" s="17">
        <f>IF($B617="","",TEXT($B617,"MM/AAAA"))</f>
        <v/>
      </c>
      <c r="AE617" s="18">
        <f>IF(COUNTA($B617:$R617)=0,"",IF($X617="Cancelado",0,ROUND(N($Q617)+N($S617)+N($T617)-N($U617),2)))</f>
        <v/>
      </c>
      <c r="AF617" s="9">
        <f>IF($G617="","",IFERROR(INDEX(LINHAS_DRE_PLANO,MATCH($G617,SUBCATEGORIAS_PLANO,0)),"Não classificado"))</f>
        <v/>
      </c>
      <c r="AG617" s="17">
        <f>IF($G617="","",IFERROR(INDEX(TIPOS_FLUXO_PLANO,MATCH($G617,SUBCATEGORIAS_PLANO,0)),"Não classificado"))</f>
        <v/>
      </c>
      <c r="AH617" s="9">
        <f>IF($G617="","",IFERROR(INDEX(GRUPOS_PLANO,MATCH($G617,SUBCATEGORIAS_PLANO,0)),"Não classificado"))</f>
        <v/>
      </c>
      <c r="AI617" s="24">
        <f>IF(OR($C617="",$X617="Pago",$X617="Recebido",$X617="Cancelado"),"",$C617-TODAY())</f>
        <v/>
      </c>
      <c r="AJ617" s="24">
        <f>IF(OR($C617="",$X617="Pago",$X617="Recebido",$X617="Cancelado"),0,MAX(0,TODAY()-$C617))</f>
        <v/>
      </c>
      <c r="AK617" s="24">
        <f>IF($D617="","",$D617-$B617)</f>
        <v/>
      </c>
      <c r="AL617" s="18">
        <f>IF(OR($D617="",$B617=""),"",ROUND(N($R617)*($D617-$B617),2))</f>
        <v/>
      </c>
      <c r="AM617" s="17">
        <f>IF(AND($E617="Saída",$W617&gt;0,$C617&lt;&gt;""),$C617+ROW()/1000000,"")</f>
        <v/>
      </c>
      <c r="AN617" s="17">
        <f>IF(AND($E617="Entrada",$W617&gt;0,$C617&lt;&gt;""),$C617+ROW()/1000000,"")</f>
        <v/>
      </c>
      <c r="AO617" s="9">
        <f>IF(COUNTA($B617:$R617)=0,"",IF(AND($I617&lt;&gt;"",COUNTIF(CLIENTES_NOMES,$I617)+COUNTIF(CLIENTES_FANTASIA,$I617)+COUNTIF(FORNECEDORES_NOMES,$I617)+COUNTIF(FORNECEDORES_FANTASIA,$I617)=0),"⚠ Cliente/Fornecedor não cadastrado",IF(AND($G617&lt;&gt;"",COUNTIF(SUBCATEGORIAS_PLANO,$G617)=0),"⚠ Subcategoria fora do plano de contas",IF(OR($Q617="",N($Q617)=0),"⚠ Valor previsto não informado",IF(AND(OR($X617="Pago",$X617="Recebido"),$D617=""),"⚠ Status pago/recebido sem data",IF(AND($D617&lt;&gt;"",N($R617)=0),"⚠ Data de pagamento sem valor realizado",IF(AND(N($P617)&gt;1,N($O617)&gt;N($P617)),"⚠ Nº da parcela maior que o total",IF(AND($C617&lt;&gt;"",$B617&lt;&gt;"",$C617&lt;$B617),"⚠ Vencimento anterior à competência","OK"))))))))</f>
        <v/>
      </c>
    </row>
    <row r="618">
      <c r="A618" s="14" t="inlineStr">
        <is>
          <t>L0613</t>
        </is>
      </c>
      <c r="B618" s="36" t="n">
        <v>46588</v>
      </c>
      <c r="C618" s="36" t="n">
        <v>46588</v>
      </c>
      <c r="D618" s="36" t="n"/>
      <c r="E618" s="14" t="inlineStr">
        <is>
          <t>Saída</t>
        </is>
      </c>
      <c r="F618" s="29" t="inlineStr">
        <is>
          <t>Despesas Financeiras</t>
        </is>
      </c>
      <c r="G618" s="29" t="inlineStr">
        <is>
          <t>Juros de Empréstimos e Financiamentos</t>
        </is>
      </c>
      <c r="H618" s="29" t="inlineStr">
        <is>
          <t>Diretoria</t>
        </is>
      </c>
      <c r="I618" s="29" t="inlineStr">
        <is>
          <t>Banco Santander</t>
        </is>
      </c>
      <c r="J618" s="29" t="inlineStr">
        <is>
          <t>Financiamento de Veículo — parcela 18/48 (juros)</t>
        </is>
      </c>
      <c r="K618" s="14" t="inlineStr">
        <is>
          <t>VEI-2026-0088-P18</t>
        </is>
      </c>
      <c r="L618" s="29" t="inlineStr">
        <is>
          <t>Itaú Unibanco — C/C 45678-9</t>
        </is>
      </c>
      <c r="M618" s="14" t="inlineStr">
        <is>
          <t>Débito automático</t>
        </is>
      </c>
      <c r="N618" s="29" t="n"/>
      <c r="O618" s="13" t="n">
        <v>18</v>
      </c>
      <c r="P618" s="13" t="n">
        <v>48</v>
      </c>
      <c r="Q618" s="35" t="n">
        <v>711.61</v>
      </c>
      <c r="R618" s="35" t="n"/>
      <c r="S618" s="35" t="n"/>
      <c r="T618" s="35" t="n"/>
      <c r="U618" s="35" t="n"/>
      <c r="V618" s="18">
        <f>IF(COUNTA($B618:$R618)=0,"",ROUND(N($R618)+N($S618)+N($T618)-N($U618),2))</f>
        <v/>
      </c>
      <c r="W618" s="18">
        <f>IF(COUNTA($B618:$R618)=0,"",IF(OR($X618="Pago",$X618="Recebido",$X618="Cancelado"),0,ROUND(N($Q618)+N($S618)+N($T618)-N($U618)-N($R618),2)))</f>
        <v/>
      </c>
      <c r="X618" s="14" t="inlineStr">
        <is>
          <t>Previsto</t>
        </is>
      </c>
      <c r="Y618" s="17">
        <f>IF(COUNTA($B618:$R618)=0,"",IF($X618="Cancelado","Cancelado",IF(OR($X618="Pago",$X618="Recebido"),$X618,IF(OR($X618="Parcial",N($R618)&gt;0),"Parcial",IF($C618="","Sem vencimento",IF($C618&lt;TODAY(),"Vencido",IF($C618=TODAY(),"Vence hoje",IF($C618&lt;=TODAY()+7,"Vence em 7 dias",IF($C618&lt;=TODAY()+30,"Vence em 30 dias","Futuro")))))))))</f>
        <v/>
      </c>
      <c r="Z618" s="24">
        <f>IF($B618="","",MONTH($B618))</f>
        <v/>
      </c>
      <c r="AA618" s="24">
        <f>IF($B618="","",YEAR($B618))</f>
        <v/>
      </c>
      <c r="AB618" s="24">
        <f>IF($B618="","",ISOWEEKNUM($B618))</f>
        <v/>
      </c>
      <c r="AC618" s="17">
        <f>IF($B618="","",CHOOSE(WEEKDAY($B618,2),"Segunda","Terça","Quarta","Quinta","Sexta","Sábado","Domingo"))</f>
        <v/>
      </c>
      <c r="AD618" s="17">
        <f>IF($B618="","",TEXT($B618,"MM/AAAA"))</f>
        <v/>
      </c>
      <c r="AE618" s="18">
        <f>IF(COUNTA($B618:$R618)=0,"",IF($X618="Cancelado",0,ROUND(N($Q618)+N($S618)+N($T618)-N($U618),2)))</f>
        <v/>
      </c>
      <c r="AF618" s="9">
        <f>IF($G618="","",IFERROR(INDEX(LINHAS_DRE_PLANO,MATCH($G618,SUBCATEGORIAS_PLANO,0)),"Não classificado"))</f>
        <v/>
      </c>
      <c r="AG618" s="17">
        <f>IF($G618="","",IFERROR(INDEX(TIPOS_FLUXO_PLANO,MATCH($G618,SUBCATEGORIAS_PLANO,0)),"Não classificado"))</f>
        <v/>
      </c>
      <c r="AH618" s="9">
        <f>IF($G618="","",IFERROR(INDEX(GRUPOS_PLANO,MATCH($G618,SUBCATEGORIAS_PLANO,0)),"Não classificado"))</f>
        <v/>
      </c>
      <c r="AI618" s="24">
        <f>IF(OR($C618="",$X618="Pago",$X618="Recebido",$X618="Cancelado"),"",$C618-TODAY())</f>
        <v/>
      </c>
      <c r="AJ618" s="24">
        <f>IF(OR($C618="",$X618="Pago",$X618="Recebido",$X618="Cancelado"),0,MAX(0,TODAY()-$C618))</f>
        <v/>
      </c>
      <c r="AK618" s="24">
        <f>IF($D618="","",$D618-$B618)</f>
        <v/>
      </c>
      <c r="AL618" s="18">
        <f>IF(OR($D618="",$B618=""),"",ROUND(N($R618)*($D618-$B618),2))</f>
        <v/>
      </c>
      <c r="AM618" s="17">
        <f>IF(AND($E618="Saída",$W618&gt;0,$C618&lt;&gt;""),$C618+ROW()/1000000,"")</f>
        <v/>
      </c>
      <c r="AN618" s="17">
        <f>IF(AND($E618="Entrada",$W618&gt;0,$C618&lt;&gt;""),$C618+ROW()/1000000,"")</f>
        <v/>
      </c>
      <c r="AO618" s="9">
        <f>IF(COUNTA($B618:$R618)=0,"",IF(AND($I618&lt;&gt;"",COUNTIF(CLIENTES_NOMES,$I618)+COUNTIF(CLIENTES_FANTASIA,$I618)+COUNTIF(FORNECEDORES_NOMES,$I618)+COUNTIF(FORNECEDORES_FANTASIA,$I618)=0),"⚠ Cliente/Fornecedor não cadastrado",IF(AND($G618&lt;&gt;"",COUNTIF(SUBCATEGORIAS_PLANO,$G618)=0),"⚠ Subcategoria fora do plano de contas",IF(OR($Q618="",N($Q618)=0),"⚠ Valor previsto não informado",IF(AND(OR($X618="Pago",$X618="Recebido"),$D618=""),"⚠ Status pago/recebido sem data",IF(AND($D618&lt;&gt;"",N($R618)=0),"⚠ Data de pagamento sem valor realizado",IF(AND(N($P618)&gt;1,N($O618)&gt;N($P618)),"⚠ Nº da parcela maior que o total",IF(AND($C618&lt;&gt;"",$B618&lt;&gt;"",$C618&lt;$B618),"⚠ Vencimento anterior à competência","OK"))))))))</f>
        <v/>
      </c>
    </row>
    <row r="619">
      <c r="A619" s="14" t="inlineStr">
        <is>
          <t>L0614</t>
        </is>
      </c>
      <c r="B619" s="36" t="n">
        <v>46609</v>
      </c>
      <c r="C619" s="36" t="n">
        <v>46609</v>
      </c>
      <c r="D619" s="36" t="n"/>
      <c r="E619" s="14" t="inlineStr">
        <is>
          <t>Saída</t>
        </is>
      </c>
      <c r="F619" s="29" t="inlineStr">
        <is>
          <t>Empréstimos e Financiamentos</t>
        </is>
      </c>
      <c r="G619" s="29" t="inlineStr">
        <is>
          <t>Pagamento de Principal de Empréstimos</t>
        </is>
      </c>
      <c r="H619" s="29" t="inlineStr">
        <is>
          <t>Financeiro</t>
        </is>
      </c>
      <c r="I619" s="29" t="inlineStr">
        <is>
          <t>Banco do Brasil</t>
        </is>
      </c>
      <c r="J619" s="29" t="inlineStr">
        <is>
          <t>Capital de Giro — parcela 19/24 (principal)</t>
        </is>
      </c>
      <c r="K619" s="14" t="inlineStr">
        <is>
          <t>CG-2026-0417-P19</t>
        </is>
      </c>
      <c r="L619" s="29" t="inlineStr">
        <is>
          <t>Banco do Brasil — C/C 12345-6</t>
        </is>
      </c>
      <c r="M619" s="14" t="inlineStr">
        <is>
          <t>Débito automático</t>
        </is>
      </c>
      <c r="N619" s="29" t="n"/>
      <c r="O619" s="13" t="n">
        <v>19</v>
      </c>
      <c r="P619" s="13" t="n">
        <v>24</v>
      </c>
      <c r="Q619" s="35" t="n">
        <v>2739.47</v>
      </c>
      <c r="R619" s="35" t="n"/>
      <c r="S619" s="35" t="n"/>
      <c r="T619" s="35" t="n"/>
      <c r="U619" s="35" t="n"/>
      <c r="V619" s="18">
        <f>IF(COUNTA($B619:$R619)=0,"",ROUND(N($R619)+N($S619)+N($T619)-N($U619),2))</f>
        <v/>
      </c>
      <c r="W619" s="18">
        <f>IF(COUNTA($B619:$R619)=0,"",IF(OR($X619="Pago",$X619="Recebido",$X619="Cancelado"),0,ROUND(N($Q619)+N($S619)+N($T619)-N($U619)-N($R619),2)))</f>
        <v/>
      </c>
      <c r="X619" s="14" t="inlineStr">
        <is>
          <t>Previsto</t>
        </is>
      </c>
      <c r="Y619" s="17">
        <f>IF(COUNTA($B619:$R619)=0,"",IF($X619="Cancelado","Cancelado",IF(OR($X619="Pago",$X619="Recebido"),$X619,IF(OR($X619="Parcial",N($R619)&gt;0),"Parcial",IF($C619="","Sem vencimento",IF($C619&lt;TODAY(),"Vencido",IF($C619=TODAY(),"Vence hoje",IF($C619&lt;=TODAY()+7,"Vence em 7 dias",IF($C619&lt;=TODAY()+30,"Vence em 30 dias","Futuro")))))))))</f>
        <v/>
      </c>
      <c r="Z619" s="24">
        <f>IF($B619="","",MONTH($B619))</f>
        <v/>
      </c>
      <c r="AA619" s="24">
        <f>IF($B619="","",YEAR($B619))</f>
        <v/>
      </c>
      <c r="AB619" s="24">
        <f>IF($B619="","",ISOWEEKNUM($B619))</f>
        <v/>
      </c>
      <c r="AC619" s="17">
        <f>IF($B619="","",CHOOSE(WEEKDAY($B619,2),"Segunda","Terça","Quarta","Quinta","Sexta","Sábado","Domingo"))</f>
        <v/>
      </c>
      <c r="AD619" s="17">
        <f>IF($B619="","",TEXT($B619,"MM/AAAA"))</f>
        <v/>
      </c>
      <c r="AE619" s="18">
        <f>IF(COUNTA($B619:$R619)=0,"",IF($X619="Cancelado",0,ROUND(N($Q619)+N($S619)+N($T619)-N($U619),2)))</f>
        <v/>
      </c>
      <c r="AF619" s="9">
        <f>IF($G619="","",IFERROR(INDEX(LINHAS_DRE_PLANO,MATCH($G619,SUBCATEGORIAS_PLANO,0)),"Não classificado"))</f>
        <v/>
      </c>
      <c r="AG619" s="17">
        <f>IF($G619="","",IFERROR(INDEX(TIPOS_FLUXO_PLANO,MATCH($G619,SUBCATEGORIAS_PLANO,0)),"Não classificado"))</f>
        <v/>
      </c>
      <c r="AH619" s="9">
        <f>IF($G619="","",IFERROR(INDEX(GRUPOS_PLANO,MATCH($G619,SUBCATEGORIAS_PLANO,0)),"Não classificado"))</f>
        <v/>
      </c>
      <c r="AI619" s="24">
        <f>IF(OR($C619="",$X619="Pago",$X619="Recebido",$X619="Cancelado"),"",$C619-TODAY())</f>
        <v/>
      </c>
      <c r="AJ619" s="24">
        <f>IF(OR($C619="",$X619="Pago",$X619="Recebido",$X619="Cancelado"),0,MAX(0,TODAY()-$C619))</f>
        <v/>
      </c>
      <c r="AK619" s="24">
        <f>IF($D619="","",$D619-$B619)</f>
        <v/>
      </c>
      <c r="AL619" s="18">
        <f>IF(OR($D619="",$B619=""),"",ROUND(N($R619)*($D619-$B619),2))</f>
        <v/>
      </c>
      <c r="AM619" s="17">
        <f>IF(AND($E619="Saída",$W619&gt;0,$C619&lt;&gt;""),$C619+ROW()/1000000,"")</f>
        <v/>
      </c>
      <c r="AN619" s="17">
        <f>IF(AND($E619="Entrada",$W619&gt;0,$C619&lt;&gt;""),$C619+ROW()/1000000,"")</f>
        <v/>
      </c>
      <c r="AO619" s="9">
        <f>IF(COUNTA($B619:$R619)=0,"",IF(AND($I619&lt;&gt;"",COUNTIF(CLIENTES_NOMES,$I619)+COUNTIF(CLIENTES_FANTASIA,$I619)+COUNTIF(FORNECEDORES_NOMES,$I619)+COUNTIF(FORNECEDORES_FANTASIA,$I619)=0),"⚠ Cliente/Fornecedor não cadastrado",IF(AND($G619&lt;&gt;"",COUNTIF(SUBCATEGORIAS_PLANO,$G619)=0),"⚠ Subcategoria fora do plano de contas",IF(OR($Q619="",N($Q619)=0),"⚠ Valor previsto não informado",IF(AND(OR($X619="Pago",$X619="Recebido"),$D619=""),"⚠ Status pago/recebido sem data",IF(AND($D619&lt;&gt;"",N($R619)=0),"⚠ Data de pagamento sem valor realizado",IF(AND(N($P619)&gt;1,N($O619)&gt;N($P619)),"⚠ Nº da parcela maior que o total",IF(AND($C619&lt;&gt;"",$B619&lt;&gt;"",$C619&lt;$B619),"⚠ Vencimento anterior à competência","OK"))))))))</f>
        <v/>
      </c>
    </row>
    <row r="620">
      <c r="A620" s="14" t="inlineStr">
        <is>
          <t>L0615</t>
        </is>
      </c>
      <c r="B620" s="36" t="n">
        <v>46609</v>
      </c>
      <c r="C620" s="36" t="n">
        <v>46609</v>
      </c>
      <c r="D620" s="36" t="n"/>
      <c r="E620" s="14" t="inlineStr">
        <is>
          <t>Saída</t>
        </is>
      </c>
      <c r="F620" s="29" t="inlineStr">
        <is>
          <t>Despesas Financeiras</t>
        </is>
      </c>
      <c r="G620" s="29" t="inlineStr">
        <is>
          <t>Juros de Empréstimos e Financiamentos</t>
        </is>
      </c>
      <c r="H620" s="29" t="inlineStr">
        <is>
          <t>Financeiro</t>
        </is>
      </c>
      <c r="I620" s="29" t="inlineStr">
        <is>
          <t>Banco do Brasil</t>
        </is>
      </c>
      <c r="J620" s="29" t="inlineStr">
        <is>
          <t>Capital de Giro — parcela 19/24 (juros)</t>
        </is>
      </c>
      <c r="K620" s="14" t="inlineStr">
        <is>
          <t>CG-2026-0417-P19</t>
        </is>
      </c>
      <c r="L620" s="29" t="inlineStr">
        <is>
          <t>Banco do Brasil — C/C 12345-6</t>
        </is>
      </c>
      <c r="M620" s="14" t="inlineStr">
        <is>
          <t>Débito automático</t>
        </is>
      </c>
      <c r="N620" s="29" t="n"/>
      <c r="O620" s="13" t="n">
        <v>19</v>
      </c>
      <c r="P620" s="13" t="n">
        <v>24</v>
      </c>
      <c r="Q620" s="35" t="n">
        <v>255.98</v>
      </c>
      <c r="R620" s="35" t="n"/>
      <c r="S620" s="35" t="n"/>
      <c r="T620" s="35" t="n"/>
      <c r="U620" s="35" t="n"/>
      <c r="V620" s="18">
        <f>IF(COUNTA($B620:$R620)=0,"",ROUND(N($R620)+N($S620)+N($T620)-N($U620),2))</f>
        <v/>
      </c>
      <c r="W620" s="18">
        <f>IF(COUNTA($B620:$R620)=0,"",IF(OR($X620="Pago",$X620="Recebido",$X620="Cancelado"),0,ROUND(N($Q620)+N($S620)+N($T620)-N($U620)-N($R620),2)))</f>
        <v/>
      </c>
      <c r="X620" s="14" t="inlineStr">
        <is>
          <t>Previsto</t>
        </is>
      </c>
      <c r="Y620" s="17">
        <f>IF(COUNTA($B620:$R620)=0,"",IF($X620="Cancelado","Cancelado",IF(OR($X620="Pago",$X620="Recebido"),$X620,IF(OR($X620="Parcial",N($R620)&gt;0),"Parcial",IF($C620="","Sem vencimento",IF($C620&lt;TODAY(),"Vencido",IF($C620=TODAY(),"Vence hoje",IF($C620&lt;=TODAY()+7,"Vence em 7 dias",IF($C620&lt;=TODAY()+30,"Vence em 30 dias","Futuro")))))))))</f>
        <v/>
      </c>
      <c r="Z620" s="24">
        <f>IF($B620="","",MONTH($B620))</f>
        <v/>
      </c>
      <c r="AA620" s="24">
        <f>IF($B620="","",YEAR($B620))</f>
        <v/>
      </c>
      <c r="AB620" s="24">
        <f>IF($B620="","",ISOWEEKNUM($B620))</f>
        <v/>
      </c>
      <c r="AC620" s="17">
        <f>IF($B620="","",CHOOSE(WEEKDAY($B620,2),"Segunda","Terça","Quarta","Quinta","Sexta","Sábado","Domingo"))</f>
        <v/>
      </c>
      <c r="AD620" s="17">
        <f>IF($B620="","",TEXT($B620,"MM/AAAA"))</f>
        <v/>
      </c>
      <c r="AE620" s="18">
        <f>IF(COUNTA($B620:$R620)=0,"",IF($X620="Cancelado",0,ROUND(N($Q620)+N($S620)+N($T620)-N($U620),2)))</f>
        <v/>
      </c>
      <c r="AF620" s="9">
        <f>IF($G620="","",IFERROR(INDEX(LINHAS_DRE_PLANO,MATCH($G620,SUBCATEGORIAS_PLANO,0)),"Não classificado"))</f>
        <v/>
      </c>
      <c r="AG620" s="17">
        <f>IF($G620="","",IFERROR(INDEX(TIPOS_FLUXO_PLANO,MATCH($G620,SUBCATEGORIAS_PLANO,0)),"Não classificado"))</f>
        <v/>
      </c>
      <c r="AH620" s="9">
        <f>IF($G620="","",IFERROR(INDEX(GRUPOS_PLANO,MATCH($G620,SUBCATEGORIAS_PLANO,0)),"Não classificado"))</f>
        <v/>
      </c>
      <c r="AI620" s="24">
        <f>IF(OR($C620="",$X620="Pago",$X620="Recebido",$X620="Cancelado"),"",$C620-TODAY())</f>
        <v/>
      </c>
      <c r="AJ620" s="24">
        <f>IF(OR($C620="",$X620="Pago",$X620="Recebido",$X620="Cancelado"),0,MAX(0,TODAY()-$C620))</f>
        <v/>
      </c>
      <c r="AK620" s="24">
        <f>IF($D620="","",$D620-$B620)</f>
        <v/>
      </c>
      <c r="AL620" s="18">
        <f>IF(OR($D620="",$B620=""),"",ROUND(N($R620)*($D620-$B620),2))</f>
        <v/>
      </c>
      <c r="AM620" s="17">
        <f>IF(AND($E620="Saída",$W620&gt;0,$C620&lt;&gt;""),$C620+ROW()/1000000,"")</f>
        <v/>
      </c>
      <c r="AN620" s="17">
        <f>IF(AND($E620="Entrada",$W620&gt;0,$C620&lt;&gt;""),$C620+ROW()/1000000,"")</f>
        <v/>
      </c>
      <c r="AO620" s="9">
        <f>IF(COUNTA($B620:$R620)=0,"",IF(AND($I620&lt;&gt;"",COUNTIF(CLIENTES_NOMES,$I620)+COUNTIF(CLIENTES_FANTASIA,$I620)+COUNTIF(FORNECEDORES_NOMES,$I620)+COUNTIF(FORNECEDORES_FANTASIA,$I620)=0),"⚠ Cliente/Fornecedor não cadastrado",IF(AND($G620&lt;&gt;"",COUNTIF(SUBCATEGORIAS_PLANO,$G620)=0),"⚠ Subcategoria fora do plano de contas",IF(OR($Q620="",N($Q620)=0),"⚠ Valor previsto não informado",IF(AND(OR($X620="Pago",$X620="Recebido"),$D620=""),"⚠ Status pago/recebido sem data",IF(AND($D620&lt;&gt;"",N($R620)=0),"⚠ Data de pagamento sem valor realizado",IF(AND(N($P620)&gt;1,N($O620)&gt;N($P620)),"⚠ Nº da parcela maior que o total",IF(AND($C620&lt;&gt;"",$B620&lt;&gt;"",$C620&lt;$B620),"⚠ Vencimento anterior à competência","OK"))))))))</f>
        <v/>
      </c>
    </row>
    <row r="621">
      <c r="A621" s="14" t="inlineStr">
        <is>
          <t>L0616</t>
        </is>
      </c>
      <c r="B621" s="36" t="n">
        <v>46614</v>
      </c>
      <c r="C621" s="36" t="n">
        <v>46614</v>
      </c>
      <c r="D621" s="36" t="n"/>
      <c r="E621" s="14" t="inlineStr">
        <is>
          <t>Saída</t>
        </is>
      </c>
      <c r="F621" s="29" t="inlineStr">
        <is>
          <t>Empréstimos e Financiamentos</t>
        </is>
      </c>
      <c r="G621" s="29" t="inlineStr">
        <is>
          <t>Pagamento de Principal de Empréstimos</t>
        </is>
      </c>
      <c r="H621" s="29" t="inlineStr">
        <is>
          <t>Financeiro</t>
        </is>
      </c>
      <c r="I621" s="29" t="inlineStr">
        <is>
          <t>BNDES / Banco do Brasil</t>
        </is>
      </c>
      <c r="J621" s="29" t="inlineStr">
        <is>
          <t>Financiamento de Máquinas — parcela 18/36 (principal)</t>
        </is>
      </c>
      <c r="K621" s="14" t="inlineStr">
        <is>
          <t>FIN-2026-1198-P18</t>
        </is>
      </c>
      <c r="L621" s="29" t="inlineStr">
        <is>
          <t>Banco do Brasil — C/C 12345-6</t>
        </is>
      </c>
      <c r="M621" s="14" t="inlineStr">
        <is>
          <t>Débito automático</t>
        </is>
      </c>
      <c r="N621" s="29" t="n"/>
      <c r="O621" s="13" t="n">
        <v>18</v>
      </c>
      <c r="P621" s="13" t="n">
        <v>36</v>
      </c>
      <c r="Q621" s="35" t="n">
        <v>3333.33</v>
      </c>
      <c r="R621" s="35" t="n"/>
      <c r="S621" s="35" t="n"/>
      <c r="T621" s="35" t="n"/>
      <c r="U621" s="35" t="n"/>
      <c r="V621" s="18">
        <f>IF(COUNTA($B621:$R621)=0,"",ROUND(N($R621)+N($S621)+N($T621)-N($U621),2))</f>
        <v/>
      </c>
      <c r="W621" s="18">
        <f>IF(COUNTA($B621:$R621)=0,"",IF(OR($X621="Pago",$X621="Recebido",$X621="Cancelado"),0,ROUND(N($Q621)+N($S621)+N($T621)-N($U621)-N($R621),2)))</f>
        <v/>
      </c>
      <c r="X621" s="14" t="inlineStr">
        <is>
          <t>Previsto</t>
        </is>
      </c>
      <c r="Y621" s="17">
        <f>IF(COUNTA($B621:$R621)=0,"",IF($X621="Cancelado","Cancelado",IF(OR($X621="Pago",$X621="Recebido"),$X621,IF(OR($X621="Parcial",N($R621)&gt;0),"Parcial",IF($C621="","Sem vencimento",IF($C621&lt;TODAY(),"Vencido",IF($C621=TODAY(),"Vence hoje",IF($C621&lt;=TODAY()+7,"Vence em 7 dias",IF($C621&lt;=TODAY()+30,"Vence em 30 dias","Futuro")))))))))</f>
        <v/>
      </c>
      <c r="Z621" s="24">
        <f>IF($B621="","",MONTH($B621))</f>
        <v/>
      </c>
      <c r="AA621" s="24">
        <f>IF($B621="","",YEAR($B621))</f>
        <v/>
      </c>
      <c r="AB621" s="24">
        <f>IF($B621="","",ISOWEEKNUM($B621))</f>
        <v/>
      </c>
      <c r="AC621" s="17">
        <f>IF($B621="","",CHOOSE(WEEKDAY($B621,2),"Segunda","Terça","Quarta","Quinta","Sexta","Sábado","Domingo"))</f>
        <v/>
      </c>
      <c r="AD621" s="17">
        <f>IF($B621="","",TEXT($B621,"MM/AAAA"))</f>
        <v/>
      </c>
      <c r="AE621" s="18">
        <f>IF(COUNTA($B621:$R621)=0,"",IF($X621="Cancelado",0,ROUND(N($Q621)+N($S621)+N($T621)-N($U621),2)))</f>
        <v/>
      </c>
      <c r="AF621" s="9">
        <f>IF($G621="","",IFERROR(INDEX(LINHAS_DRE_PLANO,MATCH($G621,SUBCATEGORIAS_PLANO,0)),"Não classificado"))</f>
        <v/>
      </c>
      <c r="AG621" s="17">
        <f>IF($G621="","",IFERROR(INDEX(TIPOS_FLUXO_PLANO,MATCH($G621,SUBCATEGORIAS_PLANO,0)),"Não classificado"))</f>
        <v/>
      </c>
      <c r="AH621" s="9">
        <f>IF($G621="","",IFERROR(INDEX(GRUPOS_PLANO,MATCH($G621,SUBCATEGORIAS_PLANO,0)),"Não classificado"))</f>
        <v/>
      </c>
      <c r="AI621" s="24">
        <f>IF(OR($C621="",$X621="Pago",$X621="Recebido",$X621="Cancelado"),"",$C621-TODAY())</f>
        <v/>
      </c>
      <c r="AJ621" s="24">
        <f>IF(OR($C621="",$X621="Pago",$X621="Recebido",$X621="Cancelado"),0,MAX(0,TODAY()-$C621))</f>
        <v/>
      </c>
      <c r="AK621" s="24">
        <f>IF($D621="","",$D621-$B621)</f>
        <v/>
      </c>
      <c r="AL621" s="18">
        <f>IF(OR($D621="",$B621=""),"",ROUND(N($R621)*($D621-$B621),2))</f>
        <v/>
      </c>
      <c r="AM621" s="17">
        <f>IF(AND($E621="Saída",$W621&gt;0,$C621&lt;&gt;""),$C621+ROW()/1000000,"")</f>
        <v/>
      </c>
      <c r="AN621" s="17">
        <f>IF(AND($E621="Entrada",$W621&gt;0,$C621&lt;&gt;""),$C621+ROW()/1000000,"")</f>
        <v/>
      </c>
      <c r="AO621" s="9">
        <f>IF(COUNTA($B621:$R621)=0,"",IF(AND($I621&lt;&gt;"",COUNTIF(CLIENTES_NOMES,$I621)+COUNTIF(CLIENTES_FANTASIA,$I621)+COUNTIF(FORNECEDORES_NOMES,$I621)+COUNTIF(FORNECEDORES_FANTASIA,$I621)=0),"⚠ Cliente/Fornecedor não cadastrado",IF(AND($G621&lt;&gt;"",COUNTIF(SUBCATEGORIAS_PLANO,$G621)=0),"⚠ Subcategoria fora do plano de contas",IF(OR($Q621="",N($Q621)=0),"⚠ Valor previsto não informado",IF(AND(OR($X621="Pago",$X621="Recebido"),$D621=""),"⚠ Status pago/recebido sem data",IF(AND($D621&lt;&gt;"",N($R621)=0),"⚠ Data de pagamento sem valor realizado",IF(AND(N($P621)&gt;1,N($O621)&gt;N($P621)),"⚠ Nº da parcela maior que o total",IF(AND($C621&lt;&gt;"",$B621&lt;&gt;"",$C621&lt;$B621),"⚠ Vencimento anterior à competência","OK"))))))))</f>
        <v/>
      </c>
    </row>
    <row r="622">
      <c r="A622" s="14" t="inlineStr">
        <is>
          <t>L0617</t>
        </is>
      </c>
      <c r="B622" s="36" t="n">
        <v>46614</v>
      </c>
      <c r="C622" s="36" t="n">
        <v>46614</v>
      </c>
      <c r="D622" s="36" t="n"/>
      <c r="E622" s="14" t="inlineStr">
        <is>
          <t>Saída</t>
        </is>
      </c>
      <c r="F622" s="29" t="inlineStr">
        <is>
          <t>Despesas Financeiras</t>
        </is>
      </c>
      <c r="G622" s="29" t="inlineStr">
        <is>
          <t>Juros de Empréstimos e Financiamentos</t>
        </is>
      </c>
      <c r="H622" s="29" t="inlineStr">
        <is>
          <t>Financeiro</t>
        </is>
      </c>
      <c r="I622" s="29" t="inlineStr">
        <is>
          <t>BNDES / Banco do Brasil</t>
        </is>
      </c>
      <c r="J622" s="29" t="inlineStr">
        <is>
          <t>Financiamento de Máquinas — parcela 18/36 (juros)</t>
        </is>
      </c>
      <c r="K622" s="14" t="inlineStr">
        <is>
          <t>FIN-2026-1198-P18</t>
        </is>
      </c>
      <c r="L622" s="29" t="inlineStr">
        <is>
          <t>Banco do Brasil — C/C 12345-6</t>
        </is>
      </c>
      <c r="M622" s="14" t="inlineStr">
        <is>
          <t>Débito automático</t>
        </is>
      </c>
      <c r="N622" s="29" t="n"/>
      <c r="O622" s="13" t="n">
        <v>18</v>
      </c>
      <c r="P622" s="13" t="n">
        <v>36</v>
      </c>
      <c r="Q622" s="35" t="n">
        <v>696.67</v>
      </c>
      <c r="R622" s="35" t="n"/>
      <c r="S622" s="35" t="n"/>
      <c r="T622" s="35" t="n"/>
      <c r="U622" s="35" t="n"/>
      <c r="V622" s="18">
        <f>IF(COUNTA($B622:$R622)=0,"",ROUND(N($R622)+N($S622)+N($T622)-N($U622),2))</f>
        <v/>
      </c>
      <c r="W622" s="18">
        <f>IF(COUNTA($B622:$R622)=0,"",IF(OR($X622="Pago",$X622="Recebido",$X622="Cancelado"),0,ROUND(N($Q622)+N($S622)+N($T622)-N($U622)-N($R622),2)))</f>
        <v/>
      </c>
      <c r="X622" s="14" t="inlineStr">
        <is>
          <t>Previsto</t>
        </is>
      </c>
      <c r="Y622" s="17">
        <f>IF(COUNTA($B622:$R622)=0,"",IF($X622="Cancelado","Cancelado",IF(OR($X622="Pago",$X622="Recebido"),$X622,IF(OR($X622="Parcial",N($R622)&gt;0),"Parcial",IF($C622="","Sem vencimento",IF($C622&lt;TODAY(),"Vencido",IF($C622=TODAY(),"Vence hoje",IF($C622&lt;=TODAY()+7,"Vence em 7 dias",IF($C622&lt;=TODAY()+30,"Vence em 30 dias","Futuro")))))))))</f>
        <v/>
      </c>
      <c r="Z622" s="24">
        <f>IF($B622="","",MONTH($B622))</f>
        <v/>
      </c>
      <c r="AA622" s="24">
        <f>IF($B622="","",YEAR($B622))</f>
        <v/>
      </c>
      <c r="AB622" s="24">
        <f>IF($B622="","",ISOWEEKNUM($B622))</f>
        <v/>
      </c>
      <c r="AC622" s="17">
        <f>IF($B622="","",CHOOSE(WEEKDAY($B622,2),"Segunda","Terça","Quarta","Quinta","Sexta","Sábado","Domingo"))</f>
        <v/>
      </c>
      <c r="AD622" s="17">
        <f>IF($B622="","",TEXT($B622,"MM/AAAA"))</f>
        <v/>
      </c>
      <c r="AE622" s="18">
        <f>IF(COUNTA($B622:$R622)=0,"",IF($X622="Cancelado",0,ROUND(N($Q622)+N($S622)+N($T622)-N($U622),2)))</f>
        <v/>
      </c>
      <c r="AF622" s="9">
        <f>IF($G622="","",IFERROR(INDEX(LINHAS_DRE_PLANO,MATCH($G622,SUBCATEGORIAS_PLANO,0)),"Não classificado"))</f>
        <v/>
      </c>
      <c r="AG622" s="17">
        <f>IF($G622="","",IFERROR(INDEX(TIPOS_FLUXO_PLANO,MATCH($G622,SUBCATEGORIAS_PLANO,0)),"Não classificado"))</f>
        <v/>
      </c>
      <c r="AH622" s="9">
        <f>IF($G622="","",IFERROR(INDEX(GRUPOS_PLANO,MATCH($G622,SUBCATEGORIAS_PLANO,0)),"Não classificado"))</f>
        <v/>
      </c>
      <c r="AI622" s="24">
        <f>IF(OR($C622="",$X622="Pago",$X622="Recebido",$X622="Cancelado"),"",$C622-TODAY())</f>
        <v/>
      </c>
      <c r="AJ622" s="24">
        <f>IF(OR($C622="",$X622="Pago",$X622="Recebido",$X622="Cancelado"),0,MAX(0,TODAY()-$C622))</f>
        <v/>
      </c>
      <c r="AK622" s="24">
        <f>IF($D622="","",$D622-$B622)</f>
        <v/>
      </c>
      <c r="AL622" s="18">
        <f>IF(OR($D622="",$B622=""),"",ROUND(N($R622)*($D622-$B622),2))</f>
        <v/>
      </c>
      <c r="AM622" s="17">
        <f>IF(AND($E622="Saída",$W622&gt;0,$C622&lt;&gt;""),$C622+ROW()/1000000,"")</f>
        <v/>
      </c>
      <c r="AN622" s="17">
        <f>IF(AND($E622="Entrada",$W622&gt;0,$C622&lt;&gt;""),$C622+ROW()/1000000,"")</f>
        <v/>
      </c>
      <c r="AO622" s="9">
        <f>IF(COUNTA($B622:$R622)=0,"",IF(AND($I622&lt;&gt;"",COUNTIF(CLIENTES_NOMES,$I622)+COUNTIF(CLIENTES_FANTASIA,$I622)+COUNTIF(FORNECEDORES_NOMES,$I622)+COUNTIF(FORNECEDORES_FANTASIA,$I622)=0),"⚠ Cliente/Fornecedor não cadastrado",IF(AND($G622&lt;&gt;"",COUNTIF(SUBCATEGORIAS_PLANO,$G622)=0),"⚠ Subcategoria fora do plano de contas",IF(OR($Q622="",N($Q622)=0),"⚠ Valor previsto não informado",IF(AND(OR($X622="Pago",$X622="Recebido"),$D622=""),"⚠ Status pago/recebido sem data",IF(AND($D622&lt;&gt;"",N($R622)=0),"⚠ Data de pagamento sem valor realizado",IF(AND(N($P622)&gt;1,N($O622)&gt;N($P622)),"⚠ Nº da parcela maior que o total",IF(AND($C622&lt;&gt;"",$B622&lt;&gt;"",$C622&lt;$B622),"⚠ Vencimento anterior à competência","OK"))))))))</f>
        <v/>
      </c>
    </row>
    <row r="623">
      <c r="A623" s="14" t="inlineStr">
        <is>
          <t>L0618</t>
        </is>
      </c>
      <c r="B623" s="36" t="n">
        <v>46619</v>
      </c>
      <c r="C623" s="36" t="n">
        <v>46619</v>
      </c>
      <c r="D623" s="36" t="n"/>
      <c r="E623" s="14" t="inlineStr">
        <is>
          <t>Saída</t>
        </is>
      </c>
      <c r="F623" s="29" t="inlineStr">
        <is>
          <t>Empréstimos e Financiamentos</t>
        </is>
      </c>
      <c r="G623" s="29" t="inlineStr">
        <is>
          <t>Pagamento de Principal de Empréstimos</t>
        </is>
      </c>
      <c r="H623" s="29" t="inlineStr">
        <is>
          <t>Diretoria</t>
        </is>
      </c>
      <c r="I623" s="29" t="inlineStr">
        <is>
          <t>Banco Santander</t>
        </is>
      </c>
      <c r="J623" s="29" t="inlineStr">
        <is>
          <t>Financiamento de Veículo — parcela 19/48 (principal)</t>
        </is>
      </c>
      <c r="K623" s="14" t="inlineStr">
        <is>
          <t>VEI-2026-0088-P19</t>
        </is>
      </c>
      <c r="L623" s="29" t="inlineStr">
        <is>
          <t>Itaú Unibanco — C/C 45678-9</t>
        </is>
      </c>
      <c r="M623" s="14" t="inlineStr">
        <is>
          <t>Débito automático</t>
        </is>
      </c>
      <c r="N623" s="29" t="n"/>
      <c r="O623" s="13" t="n">
        <v>19</v>
      </c>
      <c r="P623" s="13" t="n">
        <v>48</v>
      </c>
      <c r="Q623" s="35" t="n">
        <v>1533.78</v>
      </c>
      <c r="R623" s="35" t="n"/>
      <c r="S623" s="35" t="n"/>
      <c r="T623" s="35" t="n"/>
      <c r="U623" s="35" t="n"/>
      <c r="V623" s="18">
        <f>IF(COUNTA($B623:$R623)=0,"",ROUND(N($R623)+N($S623)+N($T623)-N($U623),2))</f>
        <v/>
      </c>
      <c r="W623" s="18">
        <f>IF(COUNTA($B623:$R623)=0,"",IF(OR($X623="Pago",$X623="Recebido",$X623="Cancelado"),0,ROUND(N($Q623)+N($S623)+N($T623)-N($U623)-N($R623),2)))</f>
        <v/>
      </c>
      <c r="X623" s="14" t="inlineStr">
        <is>
          <t>Previsto</t>
        </is>
      </c>
      <c r="Y623" s="17">
        <f>IF(COUNTA($B623:$R623)=0,"",IF($X623="Cancelado","Cancelado",IF(OR($X623="Pago",$X623="Recebido"),$X623,IF(OR($X623="Parcial",N($R623)&gt;0),"Parcial",IF($C623="","Sem vencimento",IF($C623&lt;TODAY(),"Vencido",IF($C623=TODAY(),"Vence hoje",IF($C623&lt;=TODAY()+7,"Vence em 7 dias",IF($C623&lt;=TODAY()+30,"Vence em 30 dias","Futuro")))))))))</f>
        <v/>
      </c>
      <c r="Z623" s="24">
        <f>IF($B623="","",MONTH($B623))</f>
        <v/>
      </c>
      <c r="AA623" s="24">
        <f>IF($B623="","",YEAR($B623))</f>
        <v/>
      </c>
      <c r="AB623" s="24">
        <f>IF($B623="","",ISOWEEKNUM($B623))</f>
        <v/>
      </c>
      <c r="AC623" s="17">
        <f>IF($B623="","",CHOOSE(WEEKDAY($B623,2),"Segunda","Terça","Quarta","Quinta","Sexta","Sábado","Domingo"))</f>
        <v/>
      </c>
      <c r="AD623" s="17">
        <f>IF($B623="","",TEXT($B623,"MM/AAAA"))</f>
        <v/>
      </c>
      <c r="AE623" s="18">
        <f>IF(COUNTA($B623:$R623)=0,"",IF($X623="Cancelado",0,ROUND(N($Q623)+N($S623)+N($T623)-N($U623),2)))</f>
        <v/>
      </c>
      <c r="AF623" s="9">
        <f>IF($G623="","",IFERROR(INDEX(LINHAS_DRE_PLANO,MATCH($G623,SUBCATEGORIAS_PLANO,0)),"Não classificado"))</f>
        <v/>
      </c>
      <c r="AG623" s="17">
        <f>IF($G623="","",IFERROR(INDEX(TIPOS_FLUXO_PLANO,MATCH($G623,SUBCATEGORIAS_PLANO,0)),"Não classificado"))</f>
        <v/>
      </c>
      <c r="AH623" s="9">
        <f>IF($G623="","",IFERROR(INDEX(GRUPOS_PLANO,MATCH($G623,SUBCATEGORIAS_PLANO,0)),"Não classificado"))</f>
        <v/>
      </c>
      <c r="AI623" s="24">
        <f>IF(OR($C623="",$X623="Pago",$X623="Recebido",$X623="Cancelado"),"",$C623-TODAY())</f>
        <v/>
      </c>
      <c r="AJ623" s="24">
        <f>IF(OR($C623="",$X623="Pago",$X623="Recebido",$X623="Cancelado"),0,MAX(0,TODAY()-$C623))</f>
        <v/>
      </c>
      <c r="AK623" s="24">
        <f>IF($D623="","",$D623-$B623)</f>
        <v/>
      </c>
      <c r="AL623" s="18">
        <f>IF(OR($D623="",$B623=""),"",ROUND(N($R623)*($D623-$B623),2))</f>
        <v/>
      </c>
      <c r="AM623" s="17">
        <f>IF(AND($E623="Saída",$W623&gt;0,$C623&lt;&gt;""),$C623+ROW()/1000000,"")</f>
        <v/>
      </c>
      <c r="AN623" s="17">
        <f>IF(AND($E623="Entrada",$W623&gt;0,$C623&lt;&gt;""),$C623+ROW()/1000000,"")</f>
        <v/>
      </c>
      <c r="AO623" s="9">
        <f>IF(COUNTA($B623:$R623)=0,"",IF(AND($I623&lt;&gt;"",COUNTIF(CLIENTES_NOMES,$I623)+COUNTIF(CLIENTES_FANTASIA,$I623)+COUNTIF(FORNECEDORES_NOMES,$I623)+COUNTIF(FORNECEDORES_FANTASIA,$I623)=0),"⚠ Cliente/Fornecedor não cadastrado",IF(AND($G623&lt;&gt;"",COUNTIF(SUBCATEGORIAS_PLANO,$G623)=0),"⚠ Subcategoria fora do plano de contas",IF(OR($Q623="",N($Q623)=0),"⚠ Valor previsto não informado",IF(AND(OR($X623="Pago",$X623="Recebido"),$D623=""),"⚠ Status pago/recebido sem data",IF(AND($D623&lt;&gt;"",N($R623)=0),"⚠ Data de pagamento sem valor realizado",IF(AND(N($P623)&gt;1,N($O623)&gt;N($P623)),"⚠ Nº da parcela maior que o total",IF(AND($C623&lt;&gt;"",$B623&lt;&gt;"",$C623&lt;$B623),"⚠ Vencimento anterior à competência","OK"))))))))</f>
        <v/>
      </c>
    </row>
    <row r="624">
      <c r="A624" s="14" t="inlineStr">
        <is>
          <t>L0619</t>
        </is>
      </c>
      <c r="B624" s="36" t="n">
        <v>46619</v>
      </c>
      <c r="C624" s="36" t="n">
        <v>46619</v>
      </c>
      <c r="D624" s="36" t="n"/>
      <c r="E624" s="14" t="inlineStr">
        <is>
          <t>Saída</t>
        </is>
      </c>
      <c r="F624" s="29" t="inlineStr">
        <is>
          <t>Despesas Financeiras</t>
        </is>
      </c>
      <c r="G624" s="29" t="inlineStr">
        <is>
          <t>Juros de Empréstimos e Financiamentos</t>
        </is>
      </c>
      <c r="H624" s="29" t="inlineStr">
        <is>
          <t>Diretoria</t>
        </is>
      </c>
      <c r="I624" s="29" t="inlineStr">
        <is>
          <t>Banco Santander</t>
        </is>
      </c>
      <c r="J624" s="29" t="inlineStr">
        <is>
          <t>Financiamento de Veículo — parcela 19/48 (juros)</t>
        </is>
      </c>
      <c r="K624" s="14" t="inlineStr">
        <is>
          <t>VEI-2026-0088-P19</t>
        </is>
      </c>
      <c r="L624" s="29" t="inlineStr">
        <is>
          <t>Itaú Unibanco — C/C 45678-9</t>
        </is>
      </c>
      <c r="M624" s="14" t="inlineStr">
        <is>
          <t>Débito automático</t>
        </is>
      </c>
      <c r="N624" s="29" t="n"/>
      <c r="O624" s="13" t="n">
        <v>19</v>
      </c>
      <c r="P624" s="13" t="n">
        <v>48</v>
      </c>
      <c r="Q624" s="35" t="n">
        <v>692.6799999999999</v>
      </c>
      <c r="R624" s="35" t="n"/>
      <c r="S624" s="35" t="n"/>
      <c r="T624" s="35" t="n"/>
      <c r="U624" s="35" t="n"/>
      <c r="V624" s="18">
        <f>IF(COUNTA($B624:$R624)=0,"",ROUND(N($R624)+N($S624)+N($T624)-N($U624),2))</f>
        <v/>
      </c>
      <c r="W624" s="18">
        <f>IF(COUNTA($B624:$R624)=0,"",IF(OR($X624="Pago",$X624="Recebido",$X624="Cancelado"),0,ROUND(N($Q624)+N($S624)+N($T624)-N($U624)-N($R624),2)))</f>
        <v/>
      </c>
      <c r="X624" s="14" t="inlineStr">
        <is>
          <t>Previsto</t>
        </is>
      </c>
      <c r="Y624" s="17">
        <f>IF(COUNTA($B624:$R624)=0,"",IF($X624="Cancelado","Cancelado",IF(OR($X624="Pago",$X624="Recebido"),$X624,IF(OR($X624="Parcial",N($R624)&gt;0),"Parcial",IF($C624="","Sem vencimento",IF($C624&lt;TODAY(),"Vencido",IF($C624=TODAY(),"Vence hoje",IF($C624&lt;=TODAY()+7,"Vence em 7 dias",IF($C624&lt;=TODAY()+30,"Vence em 30 dias","Futuro")))))))))</f>
        <v/>
      </c>
      <c r="Z624" s="24">
        <f>IF($B624="","",MONTH($B624))</f>
        <v/>
      </c>
      <c r="AA624" s="24">
        <f>IF($B624="","",YEAR($B624))</f>
        <v/>
      </c>
      <c r="AB624" s="24">
        <f>IF($B624="","",ISOWEEKNUM($B624))</f>
        <v/>
      </c>
      <c r="AC624" s="17">
        <f>IF($B624="","",CHOOSE(WEEKDAY($B624,2),"Segunda","Terça","Quarta","Quinta","Sexta","Sábado","Domingo"))</f>
        <v/>
      </c>
      <c r="AD624" s="17">
        <f>IF($B624="","",TEXT($B624,"MM/AAAA"))</f>
        <v/>
      </c>
      <c r="AE624" s="18">
        <f>IF(COUNTA($B624:$R624)=0,"",IF($X624="Cancelado",0,ROUND(N($Q624)+N($S624)+N($T624)-N($U624),2)))</f>
        <v/>
      </c>
      <c r="AF624" s="9">
        <f>IF($G624="","",IFERROR(INDEX(LINHAS_DRE_PLANO,MATCH($G624,SUBCATEGORIAS_PLANO,0)),"Não classificado"))</f>
        <v/>
      </c>
      <c r="AG624" s="17">
        <f>IF($G624="","",IFERROR(INDEX(TIPOS_FLUXO_PLANO,MATCH($G624,SUBCATEGORIAS_PLANO,0)),"Não classificado"))</f>
        <v/>
      </c>
      <c r="AH624" s="9">
        <f>IF($G624="","",IFERROR(INDEX(GRUPOS_PLANO,MATCH($G624,SUBCATEGORIAS_PLANO,0)),"Não classificado"))</f>
        <v/>
      </c>
      <c r="AI624" s="24">
        <f>IF(OR($C624="",$X624="Pago",$X624="Recebido",$X624="Cancelado"),"",$C624-TODAY())</f>
        <v/>
      </c>
      <c r="AJ624" s="24">
        <f>IF(OR($C624="",$X624="Pago",$X624="Recebido",$X624="Cancelado"),0,MAX(0,TODAY()-$C624))</f>
        <v/>
      </c>
      <c r="AK624" s="24">
        <f>IF($D624="","",$D624-$B624)</f>
        <v/>
      </c>
      <c r="AL624" s="18">
        <f>IF(OR($D624="",$B624=""),"",ROUND(N($R624)*($D624-$B624),2))</f>
        <v/>
      </c>
      <c r="AM624" s="17">
        <f>IF(AND($E624="Saída",$W624&gt;0,$C624&lt;&gt;""),$C624+ROW()/1000000,"")</f>
        <v/>
      </c>
      <c r="AN624" s="17">
        <f>IF(AND($E624="Entrada",$W624&gt;0,$C624&lt;&gt;""),$C624+ROW()/1000000,"")</f>
        <v/>
      </c>
      <c r="AO624" s="9">
        <f>IF(COUNTA($B624:$R624)=0,"",IF(AND($I624&lt;&gt;"",COUNTIF(CLIENTES_NOMES,$I624)+COUNTIF(CLIENTES_FANTASIA,$I624)+COUNTIF(FORNECEDORES_NOMES,$I624)+COUNTIF(FORNECEDORES_FANTASIA,$I624)=0),"⚠ Cliente/Fornecedor não cadastrado",IF(AND($G624&lt;&gt;"",COUNTIF(SUBCATEGORIAS_PLANO,$G624)=0),"⚠ Subcategoria fora do plano de contas",IF(OR($Q624="",N($Q624)=0),"⚠ Valor previsto não informado",IF(AND(OR($X624="Pago",$X624="Recebido"),$D624=""),"⚠ Status pago/recebido sem data",IF(AND($D624&lt;&gt;"",N($R624)=0),"⚠ Data de pagamento sem valor realizado",IF(AND(N($P624)&gt;1,N($O624)&gt;N($P624)),"⚠ Nº da parcela maior que o total",IF(AND($C624&lt;&gt;"",$B624&lt;&gt;"",$C624&lt;$B624),"⚠ Vencimento anterior à competência","OK"))))))))</f>
        <v/>
      </c>
    </row>
    <row r="625">
      <c r="A625" s="14" t="inlineStr">
        <is>
          <t>L0620</t>
        </is>
      </c>
      <c r="B625" s="36" t="n">
        <v>46640</v>
      </c>
      <c r="C625" s="36" t="n">
        <v>46640</v>
      </c>
      <c r="D625" s="36" t="n"/>
      <c r="E625" s="14" t="inlineStr">
        <is>
          <t>Saída</t>
        </is>
      </c>
      <c r="F625" s="29" t="inlineStr">
        <is>
          <t>Empréstimos e Financiamentos</t>
        </is>
      </c>
      <c r="G625" s="29" t="inlineStr">
        <is>
          <t>Pagamento de Principal de Empréstimos</t>
        </is>
      </c>
      <c r="H625" s="29" t="inlineStr">
        <is>
          <t>Financeiro</t>
        </is>
      </c>
      <c r="I625" s="29" t="inlineStr">
        <is>
          <t>Banco do Brasil</t>
        </is>
      </c>
      <c r="J625" s="29" t="inlineStr">
        <is>
          <t>Capital de Giro — parcela 20/24 (principal)</t>
        </is>
      </c>
      <c r="K625" s="14" t="inlineStr">
        <is>
          <t>CG-2026-0417-P20</t>
        </is>
      </c>
      <c r="L625" s="29" t="inlineStr">
        <is>
          <t>Banco do Brasil — C/C 12345-6</t>
        </is>
      </c>
      <c r="M625" s="14" t="inlineStr">
        <is>
          <t>Débito automático</t>
        </is>
      </c>
      <c r="N625" s="29" t="n"/>
      <c r="O625" s="13" t="n">
        <v>20</v>
      </c>
      <c r="P625" s="13" t="n">
        <v>24</v>
      </c>
      <c r="Q625" s="35" t="n">
        <v>2780.56</v>
      </c>
      <c r="R625" s="35" t="n"/>
      <c r="S625" s="35" t="n"/>
      <c r="T625" s="35" t="n"/>
      <c r="U625" s="35" t="n"/>
      <c r="V625" s="18">
        <f>IF(COUNTA($B625:$R625)=0,"",ROUND(N($R625)+N($S625)+N($T625)-N($U625),2))</f>
        <v/>
      </c>
      <c r="W625" s="18">
        <f>IF(COUNTA($B625:$R625)=0,"",IF(OR($X625="Pago",$X625="Recebido",$X625="Cancelado"),0,ROUND(N($Q625)+N($S625)+N($T625)-N($U625)-N($R625),2)))</f>
        <v/>
      </c>
      <c r="X625" s="14" t="inlineStr">
        <is>
          <t>Previsto</t>
        </is>
      </c>
      <c r="Y625" s="17">
        <f>IF(COUNTA($B625:$R625)=0,"",IF($X625="Cancelado","Cancelado",IF(OR($X625="Pago",$X625="Recebido"),$X625,IF(OR($X625="Parcial",N($R625)&gt;0),"Parcial",IF($C625="","Sem vencimento",IF($C625&lt;TODAY(),"Vencido",IF($C625=TODAY(),"Vence hoje",IF($C625&lt;=TODAY()+7,"Vence em 7 dias",IF($C625&lt;=TODAY()+30,"Vence em 30 dias","Futuro")))))))))</f>
        <v/>
      </c>
      <c r="Z625" s="24">
        <f>IF($B625="","",MONTH($B625))</f>
        <v/>
      </c>
      <c r="AA625" s="24">
        <f>IF($B625="","",YEAR($B625))</f>
        <v/>
      </c>
      <c r="AB625" s="24">
        <f>IF($B625="","",ISOWEEKNUM($B625))</f>
        <v/>
      </c>
      <c r="AC625" s="17">
        <f>IF($B625="","",CHOOSE(WEEKDAY($B625,2),"Segunda","Terça","Quarta","Quinta","Sexta","Sábado","Domingo"))</f>
        <v/>
      </c>
      <c r="AD625" s="17">
        <f>IF($B625="","",TEXT($B625,"MM/AAAA"))</f>
        <v/>
      </c>
      <c r="AE625" s="18">
        <f>IF(COUNTA($B625:$R625)=0,"",IF($X625="Cancelado",0,ROUND(N($Q625)+N($S625)+N($T625)-N($U625),2)))</f>
        <v/>
      </c>
      <c r="AF625" s="9">
        <f>IF($G625="","",IFERROR(INDEX(LINHAS_DRE_PLANO,MATCH($G625,SUBCATEGORIAS_PLANO,0)),"Não classificado"))</f>
        <v/>
      </c>
      <c r="AG625" s="17">
        <f>IF($G625="","",IFERROR(INDEX(TIPOS_FLUXO_PLANO,MATCH($G625,SUBCATEGORIAS_PLANO,0)),"Não classificado"))</f>
        <v/>
      </c>
      <c r="AH625" s="9">
        <f>IF($G625="","",IFERROR(INDEX(GRUPOS_PLANO,MATCH($G625,SUBCATEGORIAS_PLANO,0)),"Não classificado"))</f>
        <v/>
      </c>
      <c r="AI625" s="24">
        <f>IF(OR($C625="",$X625="Pago",$X625="Recebido",$X625="Cancelado"),"",$C625-TODAY())</f>
        <v/>
      </c>
      <c r="AJ625" s="24">
        <f>IF(OR($C625="",$X625="Pago",$X625="Recebido",$X625="Cancelado"),0,MAX(0,TODAY()-$C625))</f>
        <v/>
      </c>
      <c r="AK625" s="24">
        <f>IF($D625="","",$D625-$B625)</f>
        <v/>
      </c>
      <c r="AL625" s="18">
        <f>IF(OR($D625="",$B625=""),"",ROUND(N($R625)*($D625-$B625),2))</f>
        <v/>
      </c>
      <c r="AM625" s="17">
        <f>IF(AND($E625="Saída",$W625&gt;0,$C625&lt;&gt;""),$C625+ROW()/1000000,"")</f>
        <v/>
      </c>
      <c r="AN625" s="17">
        <f>IF(AND($E625="Entrada",$W625&gt;0,$C625&lt;&gt;""),$C625+ROW()/1000000,"")</f>
        <v/>
      </c>
      <c r="AO625" s="9">
        <f>IF(COUNTA($B625:$R625)=0,"",IF(AND($I625&lt;&gt;"",COUNTIF(CLIENTES_NOMES,$I625)+COUNTIF(CLIENTES_FANTASIA,$I625)+COUNTIF(FORNECEDORES_NOMES,$I625)+COUNTIF(FORNECEDORES_FANTASIA,$I625)=0),"⚠ Cliente/Fornecedor não cadastrado",IF(AND($G625&lt;&gt;"",COUNTIF(SUBCATEGORIAS_PLANO,$G625)=0),"⚠ Subcategoria fora do plano de contas",IF(OR($Q625="",N($Q625)=0),"⚠ Valor previsto não informado",IF(AND(OR($X625="Pago",$X625="Recebido"),$D625=""),"⚠ Status pago/recebido sem data",IF(AND($D625&lt;&gt;"",N($R625)=0),"⚠ Data de pagamento sem valor realizado",IF(AND(N($P625)&gt;1,N($O625)&gt;N($P625)),"⚠ Nº da parcela maior que o total",IF(AND($C625&lt;&gt;"",$B625&lt;&gt;"",$C625&lt;$B625),"⚠ Vencimento anterior à competência","OK"))))))))</f>
        <v/>
      </c>
    </row>
    <row r="626">
      <c r="A626" s="14" t="inlineStr">
        <is>
          <t>L0621</t>
        </is>
      </c>
      <c r="B626" s="36" t="n">
        <v>46640</v>
      </c>
      <c r="C626" s="36" t="n">
        <v>46640</v>
      </c>
      <c r="D626" s="36" t="n"/>
      <c r="E626" s="14" t="inlineStr">
        <is>
          <t>Saída</t>
        </is>
      </c>
      <c r="F626" s="29" t="inlineStr">
        <is>
          <t>Despesas Financeiras</t>
        </is>
      </c>
      <c r="G626" s="29" t="inlineStr">
        <is>
          <t>Juros de Empréstimos e Financiamentos</t>
        </is>
      </c>
      <c r="H626" s="29" t="inlineStr">
        <is>
          <t>Financeiro</t>
        </is>
      </c>
      <c r="I626" s="29" t="inlineStr">
        <is>
          <t>Banco do Brasil</t>
        </is>
      </c>
      <c r="J626" s="29" t="inlineStr">
        <is>
          <t>Capital de Giro — parcela 20/24 (juros)</t>
        </is>
      </c>
      <c r="K626" s="14" t="inlineStr">
        <is>
          <t>CG-2026-0417-P20</t>
        </is>
      </c>
      <c r="L626" s="29" t="inlineStr">
        <is>
          <t>Banco do Brasil — C/C 12345-6</t>
        </is>
      </c>
      <c r="M626" s="14" t="inlineStr">
        <is>
          <t>Débito automático</t>
        </is>
      </c>
      <c r="N626" s="29" t="n"/>
      <c r="O626" s="13" t="n">
        <v>20</v>
      </c>
      <c r="P626" s="13" t="n">
        <v>24</v>
      </c>
      <c r="Q626" s="35" t="n">
        <v>214.89</v>
      </c>
      <c r="R626" s="35" t="n"/>
      <c r="S626" s="35" t="n"/>
      <c r="T626" s="35" t="n"/>
      <c r="U626" s="35" t="n"/>
      <c r="V626" s="18">
        <f>IF(COUNTA($B626:$R626)=0,"",ROUND(N($R626)+N($S626)+N($T626)-N($U626),2))</f>
        <v/>
      </c>
      <c r="W626" s="18">
        <f>IF(COUNTA($B626:$R626)=0,"",IF(OR($X626="Pago",$X626="Recebido",$X626="Cancelado"),0,ROUND(N($Q626)+N($S626)+N($T626)-N($U626)-N($R626),2)))</f>
        <v/>
      </c>
      <c r="X626" s="14" t="inlineStr">
        <is>
          <t>Previsto</t>
        </is>
      </c>
      <c r="Y626" s="17">
        <f>IF(COUNTA($B626:$R626)=0,"",IF($X626="Cancelado","Cancelado",IF(OR($X626="Pago",$X626="Recebido"),$X626,IF(OR($X626="Parcial",N($R626)&gt;0),"Parcial",IF($C626="","Sem vencimento",IF($C626&lt;TODAY(),"Vencido",IF($C626=TODAY(),"Vence hoje",IF($C626&lt;=TODAY()+7,"Vence em 7 dias",IF($C626&lt;=TODAY()+30,"Vence em 30 dias","Futuro")))))))))</f>
        <v/>
      </c>
      <c r="Z626" s="24">
        <f>IF($B626="","",MONTH($B626))</f>
        <v/>
      </c>
      <c r="AA626" s="24">
        <f>IF($B626="","",YEAR($B626))</f>
        <v/>
      </c>
      <c r="AB626" s="24">
        <f>IF($B626="","",ISOWEEKNUM($B626))</f>
        <v/>
      </c>
      <c r="AC626" s="17">
        <f>IF($B626="","",CHOOSE(WEEKDAY($B626,2),"Segunda","Terça","Quarta","Quinta","Sexta","Sábado","Domingo"))</f>
        <v/>
      </c>
      <c r="AD626" s="17">
        <f>IF($B626="","",TEXT($B626,"MM/AAAA"))</f>
        <v/>
      </c>
      <c r="AE626" s="18">
        <f>IF(COUNTA($B626:$R626)=0,"",IF($X626="Cancelado",0,ROUND(N($Q626)+N($S626)+N($T626)-N($U626),2)))</f>
        <v/>
      </c>
      <c r="AF626" s="9">
        <f>IF($G626="","",IFERROR(INDEX(LINHAS_DRE_PLANO,MATCH($G626,SUBCATEGORIAS_PLANO,0)),"Não classificado"))</f>
        <v/>
      </c>
      <c r="AG626" s="17">
        <f>IF($G626="","",IFERROR(INDEX(TIPOS_FLUXO_PLANO,MATCH($G626,SUBCATEGORIAS_PLANO,0)),"Não classificado"))</f>
        <v/>
      </c>
      <c r="AH626" s="9">
        <f>IF($G626="","",IFERROR(INDEX(GRUPOS_PLANO,MATCH($G626,SUBCATEGORIAS_PLANO,0)),"Não classificado"))</f>
        <v/>
      </c>
      <c r="AI626" s="24">
        <f>IF(OR($C626="",$X626="Pago",$X626="Recebido",$X626="Cancelado"),"",$C626-TODAY())</f>
        <v/>
      </c>
      <c r="AJ626" s="24">
        <f>IF(OR($C626="",$X626="Pago",$X626="Recebido",$X626="Cancelado"),0,MAX(0,TODAY()-$C626))</f>
        <v/>
      </c>
      <c r="AK626" s="24">
        <f>IF($D626="","",$D626-$B626)</f>
        <v/>
      </c>
      <c r="AL626" s="18">
        <f>IF(OR($D626="",$B626=""),"",ROUND(N($R626)*($D626-$B626),2))</f>
        <v/>
      </c>
      <c r="AM626" s="17">
        <f>IF(AND($E626="Saída",$W626&gt;0,$C626&lt;&gt;""),$C626+ROW()/1000000,"")</f>
        <v/>
      </c>
      <c r="AN626" s="17">
        <f>IF(AND($E626="Entrada",$W626&gt;0,$C626&lt;&gt;""),$C626+ROW()/1000000,"")</f>
        <v/>
      </c>
      <c r="AO626" s="9">
        <f>IF(COUNTA($B626:$R626)=0,"",IF(AND($I626&lt;&gt;"",COUNTIF(CLIENTES_NOMES,$I626)+COUNTIF(CLIENTES_FANTASIA,$I626)+COUNTIF(FORNECEDORES_NOMES,$I626)+COUNTIF(FORNECEDORES_FANTASIA,$I626)=0),"⚠ Cliente/Fornecedor não cadastrado",IF(AND($G626&lt;&gt;"",COUNTIF(SUBCATEGORIAS_PLANO,$G626)=0),"⚠ Subcategoria fora do plano de contas",IF(OR($Q626="",N($Q626)=0),"⚠ Valor previsto não informado",IF(AND(OR($X626="Pago",$X626="Recebido"),$D626=""),"⚠ Status pago/recebido sem data",IF(AND($D626&lt;&gt;"",N($R626)=0),"⚠ Data de pagamento sem valor realizado",IF(AND(N($P626)&gt;1,N($O626)&gt;N($P626)),"⚠ Nº da parcela maior que o total",IF(AND($C626&lt;&gt;"",$B626&lt;&gt;"",$C626&lt;$B626),"⚠ Vencimento anterior à competência","OK"))))))))</f>
        <v/>
      </c>
    </row>
    <row r="627">
      <c r="A627" s="14" t="inlineStr">
        <is>
          <t>L0622</t>
        </is>
      </c>
      <c r="B627" s="36" t="n">
        <v>46645</v>
      </c>
      <c r="C627" s="36" t="n">
        <v>46645</v>
      </c>
      <c r="D627" s="36" t="n"/>
      <c r="E627" s="14" t="inlineStr">
        <is>
          <t>Saída</t>
        </is>
      </c>
      <c r="F627" s="29" t="inlineStr">
        <is>
          <t>Empréstimos e Financiamentos</t>
        </is>
      </c>
      <c r="G627" s="29" t="inlineStr">
        <is>
          <t>Pagamento de Principal de Empréstimos</t>
        </is>
      </c>
      <c r="H627" s="29" t="inlineStr">
        <is>
          <t>Financeiro</t>
        </is>
      </c>
      <c r="I627" s="29" t="inlineStr">
        <is>
          <t>BNDES / Banco do Brasil</t>
        </is>
      </c>
      <c r="J627" s="29" t="inlineStr">
        <is>
          <t>Financiamento de Máquinas — parcela 19/36 (principal)</t>
        </is>
      </c>
      <c r="K627" s="14" t="inlineStr">
        <is>
          <t>FIN-2026-1198-P19</t>
        </is>
      </c>
      <c r="L627" s="29" t="inlineStr">
        <is>
          <t>Banco do Brasil — C/C 12345-6</t>
        </is>
      </c>
      <c r="M627" s="14" t="inlineStr">
        <is>
          <t>Débito automático</t>
        </is>
      </c>
      <c r="N627" s="29" t="n"/>
      <c r="O627" s="13" t="n">
        <v>19</v>
      </c>
      <c r="P627" s="13" t="n">
        <v>36</v>
      </c>
      <c r="Q627" s="35" t="n">
        <v>3333.33</v>
      </c>
      <c r="R627" s="35" t="n"/>
      <c r="S627" s="35" t="n"/>
      <c r="T627" s="35" t="n"/>
      <c r="U627" s="35" t="n"/>
      <c r="V627" s="18">
        <f>IF(COUNTA($B627:$R627)=0,"",ROUND(N($R627)+N($S627)+N($T627)-N($U627),2))</f>
        <v/>
      </c>
      <c r="W627" s="18">
        <f>IF(COUNTA($B627:$R627)=0,"",IF(OR($X627="Pago",$X627="Recebido",$X627="Cancelado"),0,ROUND(N($Q627)+N($S627)+N($T627)-N($U627)-N($R627),2)))</f>
        <v/>
      </c>
      <c r="X627" s="14" t="inlineStr">
        <is>
          <t>Previsto</t>
        </is>
      </c>
      <c r="Y627" s="17">
        <f>IF(COUNTA($B627:$R627)=0,"",IF($X627="Cancelado","Cancelado",IF(OR($X627="Pago",$X627="Recebido"),$X627,IF(OR($X627="Parcial",N($R627)&gt;0),"Parcial",IF($C627="","Sem vencimento",IF($C627&lt;TODAY(),"Vencido",IF($C627=TODAY(),"Vence hoje",IF($C627&lt;=TODAY()+7,"Vence em 7 dias",IF($C627&lt;=TODAY()+30,"Vence em 30 dias","Futuro")))))))))</f>
        <v/>
      </c>
      <c r="Z627" s="24">
        <f>IF($B627="","",MONTH($B627))</f>
        <v/>
      </c>
      <c r="AA627" s="24">
        <f>IF($B627="","",YEAR($B627))</f>
        <v/>
      </c>
      <c r="AB627" s="24">
        <f>IF($B627="","",ISOWEEKNUM($B627))</f>
        <v/>
      </c>
      <c r="AC627" s="17">
        <f>IF($B627="","",CHOOSE(WEEKDAY($B627,2),"Segunda","Terça","Quarta","Quinta","Sexta","Sábado","Domingo"))</f>
        <v/>
      </c>
      <c r="AD627" s="17">
        <f>IF($B627="","",TEXT($B627,"MM/AAAA"))</f>
        <v/>
      </c>
      <c r="AE627" s="18">
        <f>IF(COUNTA($B627:$R627)=0,"",IF($X627="Cancelado",0,ROUND(N($Q627)+N($S627)+N($T627)-N($U627),2)))</f>
        <v/>
      </c>
      <c r="AF627" s="9">
        <f>IF($G627="","",IFERROR(INDEX(LINHAS_DRE_PLANO,MATCH($G627,SUBCATEGORIAS_PLANO,0)),"Não classificado"))</f>
        <v/>
      </c>
      <c r="AG627" s="17">
        <f>IF($G627="","",IFERROR(INDEX(TIPOS_FLUXO_PLANO,MATCH($G627,SUBCATEGORIAS_PLANO,0)),"Não classificado"))</f>
        <v/>
      </c>
      <c r="AH627" s="9">
        <f>IF($G627="","",IFERROR(INDEX(GRUPOS_PLANO,MATCH($G627,SUBCATEGORIAS_PLANO,0)),"Não classificado"))</f>
        <v/>
      </c>
      <c r="AI627" s="24">
        <f>IF(OR($C627="",$X627="Pago",$X627="Recebido",$X627="Cancelado"),"",$C627-TODAY())</f>
        <v/>
      </c>
      <c r="AJ627" s="24">
        <f>IF(OR($C627="",$X627="Pago",$X627="Recebido",$X627="Cancelado"),0,MAX(0,TODAY()-$C627))</f>
        <v/>
      </c>
      <c r="AK627" s="24">
        <f>IF($D627="","",$D627-$B627)</f>
        <v/>
      </c>
      <c r="AL627" s="18">
        <f>IF(OR($D627="",$B627=""),"",ROUND(N($R627)*($D627-$B627),2))</f>
        <v/>
      </c>
      <c r="AM627" s="17">
        <f>IF(AND($E627="Saída",$W627&gt;0,$C627&lt;&gt;""),$C627+ROW()/1000000,"")</f>
        <v/>
      </c>
      <c r="AN627" s="17">
        <f>IF(AND($E627="Entrada",$W627&gt;0,$C627&lt;&gt;""),$C627+ROW()/1000000,"")</f>
        <v/>
      </c>
      <c r="AO627" s="9">
        <f>IF(COUNTA($B627:$R627)=0,"",IF(AND($I627&lt;&gt;"",COUNTIF(CLIENTES_NOMES,$I627)+COUNTIF(CLIENTES_FANTASIA,$I627)+COUNTIF(FORNECEDORES_NOMES,$I627)+COUNTIF(FORNECEDORES_FANTASIA,$I627)=0),"⚠ Cliente/Fornecedor não cadastrado",IF(AND($G627&lt;&gt;"",COUNTIF(SUBCATEGORIAS_PLANO,$G627)=0),"⚠ Subcategoria fora do plano de contas",IF(OR($Q627="",N($Q627)=0),"⚠ Valor previsto não informado",IF(AND(OR($X627="Pago",$X627="Recebido"),$D627=""),"⚠ Status pago/recebido sem data",IF(AND($D627&lt;&gt;"",N($R627)=0),"⚠ Data de pagamento sem valor realizado",IF(AND(N($P627)&gt;1,N($O627)&gt;N($P627)),"⚠ Nº da parcela maior que o total",IF(AND($C627&lt;&gt;"",$B627&lt;&gt;"",$C627&lt;$B627),"⚠ Vencimento anterior à competência","OK"))))))))</f>
        <v/>
      </c>
    </row>
    <row r="628">
      <c r="A628" s="14" t="inlineStr">
        <is>
          <t>L0623</t>
        </is>
      </c>
      <c r="B628" s="36" t="n">
        <v>46645</v>
      </c>
      <c r="C628" s="36" t="n">
        <v>46645</v>
      </c>
      <c r="D628" s="36" t="n"/>
      <c r="E628" s="14" t="inlineStr">
        <is>
          <t>Saída</t>
        </is>
      </c>
      <c r="F628" s="29" t="inlineStr">
        <is>
          <t>Despesas Financeiras</t>
        </is>
      </c>
      <c r="G628" s="29" t="inlineStr">
        <is>
          <t>Juros de Empréstimos e Financiamentos</t>
        </is>
      </c>
      <c r="H628" s="29" t="inlineStr">
        <is>
          <t>Financeiro</t>
        </is>
      </c>
      <c r="I628" s="29" t="inlineStr">
        <is>
          <t>BNDES / Banco do Brasil</t>
        </is>
      </c>
      <c r="J628" s="29" t="inlineStr">
        <is>
          <t>Financiamento de Máquinas — parcela 19/36 (juros)</t>
        </is>
      </c>
      <c r="K628" s="14" t="inlineStr">
        <is>
          <t>FIN-2026-1198-P19</t>
        </is>
      </c>
      <c r="L628" s="29" t="inlineStr">
        <is>
          <t>Banco do Brasil — C/C 12345-6</t>
        </is>
      </c>
      <c r="M628" s="14" t="inlineStr">
        <is>
          <t>Débito automático</t>
        </is>
      </c>
      <c r="N628" s="29" t="n"/>
      <c r="O628" s="13" t="n">
        <v>19</v>
      </c>
      <c r="P628" s="13" t="n">
        <v>36</v>
      </c>
      <c r="Q628" s="35" t="n">
        <v>660</v>
      </c>
      <c r="R628" s="35" t="n"/>
      <c r="S628" s="35" t="n"/>
      <c r="T628" s="35" t="n"/>
      <c r="U628" s="35" t="n"/>
      <c r="V628" s="18">
        <f>IF(COUNTA($B628:$R628)=0,"",ROUND(N($R628)+N($S628)+N($T628)-N($U628),2))</f>
        <v/>
      </c>
      <c r="W628" s="18">
        <f>IF(COUNTA($B628:$R628)=0,"",IF(OR($X628="Pago",$X628="Recebido",$X628="Cancelado"),0,ROUND(N($Q628)+N($S628)+N($T628)-N($U628)-N($R628),2)))</f>
        <v/>
      </c>
      <c r="X628" s="14" t="inlineStr">
        <is>
          <t>Previsto</t>
        </is>
      </c>
      <c r="Y628" s="17">
        <f>IF(COUNTA($B628:$R628)=0,"",IF($X628="Cancelado","Cancelado",IF(OR($X628="Pago",$X628="Recebido"),$X628,IF(OR($X628="Parcial",N($R628)&gt;0),"Parcial",IF($C628="","Sem vencimento",IF($C628&lt;TODAY(),"Vencido",IF($C628=TODAY(),"Vence hoje",IF($C628&lt;=TODAY()+7,"Vence em 7 dias",IF($C628&lt;=TODAY()+30,"Vence em 30 dias","Futuro")))))))))</f>
        <v/>
      </c>
      <c r="Z628" s="24">
        <f>IF($B628="","",MONTH($B628))</f>
        <v/>
      </c>
      <c r="AA628" s="24">
        <f>IF($B628="","",YEAR($B628))</f>
        <v/>
      </c>
      <c r="AB628" s="24">
        <f>IF($B628="","",ISOWEEKNUM($B628))</f>
        <v/>
      </c>
      <c r="AC628" s="17">
        <f>IF($B628="","",CHOOSE(WEEKDAY($B628,2),"Segunda","Terça","Quarta","Quinta","Sexta","Sábado","Domingo"))</f>
        <v/>
      </c>
      <c r="AD628" s="17">
        <f>IF($B628="","",TEXT($B628,"MM/AAAA"))</f>
        <v/>
      </c>
      <c r="AE628" s="18">
        <f>IF(COUNTA($B628:$R628)=0,"",IF($X628="Cancelado",0,ROUND(N($Q628)+N($S628)+N($T628)-N($U628),2)))</f>
        <v/>
      </c>
      <c r="AF628" s="9">
        <f>IF($G628="","",IFERROR(INDEX(LINHAS_DRE_PLANO,MATCH($G628,SUBCATEGORIAS_PLANO,0)),"Não classificado"))</f>
        <v/>
      </c>
      <c r="AG628" s="17">
        <f>IF($G628="","",IFERROR(INDEX(TIPOS_FLUXO_PLANO,MATCH($G628,SUBCATEGORIAS_PLANO,0)),"Não classificado"))</f>
        <v/>
      </c>
      <c r="AH628" s="9">
        <f>IF($G628="","",IFERROR(INDEX(GRUPOS_PLANO,MATCH($G628,SUBCATEGORIAS_PLANO,0)),"Não classificado"))</f>
        <v/>
      </c>
      <c r="AI628" s="24">
        <f>IF(OR($C628="",$X628="Pago",$X628="Recebido",$X628="Cancelado"),"",$C628-TODAY())</f>
        <v/>
      </c>
      <c r="AJ628" s="24">
        <f>IF(OR($C628="",$X628="Pago",$X628="Recebido",$X628="Cancelado"),0,MAX(0,TODAY()-$C628))</f>
        <v/>
      </c>
      <c r="AK628" s="24">
        <f>IF($D628="","",$D628-$B628)</f>
        <v/>
      </c>
      <c r="AL628" s="18">
        <f>IF(OR($D628="",$B628=""),"",ROUND(N($R628)*($D628-$B628),2))</f>
        <v/>
      </c>
      <c r="AM628" s="17">
        <f>IF(AND($E628="Saída",$W628&gt;0,$C628&lt;&gt;""),$C628+ROW()/1000000,"")</f>
        <v/>
      </c>
      <c r="AN628" s="17">
        <f>IF(AND($E628="Entrada",$W628&gt;0,$C628&lt;&gt;""),$C628+ROW()/1000000,"")</f>
        <v/>
      </c>
      <c r="AO628" s="9">
        <f>IF(COUNTA($B628:$R628)=0,"",IF(AND($I628&lt;&gt;"",COUNTIF(CLIENTES_NOMES,$I628)+COUNTIF(CLIENTES_FANTASIA,$I628)+COUNTIF(FORNECEDORES_NOMES,$I628)+COUNTIF(FORNECEDORES_FANTASIA,$I628)=0),"⚠ Cliente/Fornecedor não cadastrado",IF(AND($G628&lt;&gt;"",COUNTIF(SUBCATEGORIAS_PLANO,$G628)=0),"⚠ Subcategoria fora do plano de contas",IF(OR($Q628="",N($Q628)=0),"⚠ Valor previsto não informado",IF(AND(OR($X628="Pago",$X628="Recebido"),$D628=""),"⚠ Status pago/recebido sem data",IF(AND($D628&lt;&gt;"",N($R628)=0),"⚠ Data de pagamento sem valor realizado",IF(AND(N($P628)&gt;1,N($O628)&gt;N($P628)),"⚠ Nº da parcela maior que o total",IF(AND($C628&lt;&gt;"",$B628&lt;&gt;"",$C628&lt;$B628),"⚠ Vencimento anterior à competência","OK"))))))))</f>
        <v/>
      </c>
    </row>
    <row r="629">
      <c r="A629" s="14" t="inlineStr">
        <is>
          <t>L0624</t>
        </is>
      </c>
      <c r="B629" s="36" t="n">
        <v>46650</v>
      </c>
      <c r="C629" s="36" t="n">
        <v>46650</v>
      </c>
      <c r="D629" s="36" t="n"/>
      <c r="E629" s="14" t="inlineStr">
        <is>
          <t>Saída</t>
        </is>
      </c>
      <c r="F629" s="29" t="inlineStr">
        <is>
          <t>Empréstimos e Financiamentos</t>
        </is>
      </c>
      <c r="G629" s="29" t="inlineStr">
        <is>
          <t>Pagamento de Principal de Empréstimos</t>
        </is>
      </c>
      <c r="H629" s="29" t="inlineStr">
        <is>
          <t>Diretoria</t>
        </is>
      </c>
      <c r="I629" s="29" t="inlineStr">
        <is>
          <t>Banco Santander</t>
        </is>
      </c>
      <c r="J629" s="29" t="inlineStr">
        <is>
          <t>Financiamento de Veículo — parcela 20/48 (principal)</t>
        </is>
      </c>
      <c r="K629" s="14" t="inlineStr">
        <is>
          <t>VEI-2026-0088-P20</t>
        </is>
      </c>
      <c r="L629" s="29" t="inlineStr">
        <is>
          <t>Itaú Unibanco — C/C 45678-9</t>
        </is>
      </c>
      <c r="M629" s="14" t="inlineStr">
        <is>
          <t>Débito automático</t>
        </is>
      </c>
      <c r="N629" s="29" t="n"/>
      <c r="O629" s="13" t="n">
        <v>20</v>
      </c>
      <c r="P629" s="13" t="n">
        <v>48</v>
      </c>
      <c r="Q629" s="35" t="n">
        <v>1552.96</v>
      </c>
      <c r="R629" s="35" t="n"/>
      <c r="S629" s="35" t="n"/>
      <c r="T629" s="35" t="n"/>
      <c r="U629" s="35" t="n"/>
      <c r="V629" s="18">
        <f>IF(COUNTA($B629:$R629)=0,"",ROUND(N($R629)+N($S629)+N($T629)-N($U629),2))</f>
        <v/>
      </c>
      <c r="W629" s="18">
        <f>IF(COUNTA($B629:$R629)=0,"",IF(OR($X629="Pago",$X629="Recebido",$X629="Cancelado"),0,ROUND(N($Q629)+N($S629)+N($T629)-N($U629)-N($R629),2)))</f>
        <v/>
      </c>
      <c r="X629" s="14" t="inlineStr">
        <is>
          <t>Previsto</t>
        </is>
      </c>
      <c r="Y629" s="17">
        <f>IF(COUNTA($B629:$R629)=0,"",IF($X629="Cancelado","Cancelado",IF(OR($X629="Pago",$X629="Recebido"),$X629,IF(OR($X629="Parcial",N($R629)&gt;0),"Parcial",IF($C629="","Sem vencimento",IF($C629&lt;TODAY(),"Vencido",IF($C629=TODAY(),"Vence hoje",IF($C629&lt;=TODAY()+7,"Vence em 7 dias",IF($C629&lt;=TODAY()+30,"Vence em 30 dias","Futuro")))))))))</f>
        <v/>
      </c>
      <c r="Z629" s="24">
        <f>IF($B629="","",MONTH($B629))</f>
        <v/>
      </c>
      <c r="AA629" s="24">
        <f>IF($B629="","",YEAR($B629))</f>
        <v/>
      </c>
      <c r="AB629" s="24">
        <f>IF($B629="","",ISOWEEKNUM($B629))</f>
        <v/>
      </c>
      <c r="AC629" s="17">
        <f>IF($B629="","",CHOOSE(WEEKDAY($B629,2),"Segunda","Terça","Quarta","Quinta","Sexta","Sábado","Domingo"))</f>
        <v/>
      </c>
      <c r="AD629" s="17">
        <f>IF($B629="","",TEXT($B629,"MM/AAAA"))</f>
        <v/>
      </c>
      <c r="AE629" s="18">
        <f>IF(COUNTA($B629:$R629)=0,"",IF($X629="Cancelado",0,ROUND(N($Q629)+N($S629)+N($T629)-N($U629),2)))</f>
        <v/>
      </c>
      <c r="AF629" s="9">
        <f>IF($G629="","",IFERROR(INDEX(LINHAS_DRE_PLANO,MATCH($G629,SUBCATEGORIAS_PLANO,0)),"Não classificado"))</f>
        <v/>
      </c>
      <c r="AG629" s="17">
        <f>IF($G629="","",IFERROR(INDEX(TIPOS_FLUXO_PLANO,MATCH($G629,SUBCATEGORIAS_PLANO,0)),"Não classificado"))</f>
        <v/>
      </c>
      <c r="AH629" s="9">
        <f>IF($G629="","",IFERROR(INDEX(GRUPOS_PLANO,MATCH($G629,SUBCATEGORIAS_PLANO,0)),"Não classificado"))</f>
        <v/>
      </c>
      <c r="AI629" s="24">
        <f>IF(OR($C629="",$X629="Pago",$X629="Recebido",$X629="Cancelado"),"",$C629-TODAY())</f>
        <v/>
      </c>
      <c r="AJ629" s="24">
        <f>IF(OR($C629="",$X629="Pago",$X629="Recebido",$X629="Cancelado"),0,MAX(0,TODAY()-$C629))</f>
        <v/>
      </c>
      <c r="AK629" s="24">
        <f>IF($D629="","",$D629-$B629)</f>
        <v/>
      </c>
      <c r="AL629" s="18">
        <f>IF(OR($D629="",$B629=""),"",ROUND(N($R629)*($D629-$B629),2))</f>
        <v/>
      </c>
      <c r="AM629" s="17">
        <f>IF(AND($E629="Saída",$W629&gt;0,$C629&lt;&gt;""),$C629+ROW()/1000000,"")</f>
        <v/>
      </c>
      <c r="AN629" s="17">
        <f>IF(AND($E629="Entrada",$W629&gt;0,$C629&lt;&gt;""),$C629+ROW()/1000000,"")</f>
        <v/>
      </c>
      <c r="AO629" s="9">
        <f>IF(COUNTA($B629:$R629)=0,"",IF(AND($I629&lt;&gt;"",COUNTIF(CLIENTES_NOMES,$I629)+COUNTIF(CLIENTES_FANTASIA,$I629)+COUNTIF(FORNECEDORES_NOMES,$I629)+COUNTIF(FORNECEDORES_FANTASIA,$I629)=0),"⚠ Cliente/Fornecedor não cadastrado",IF(AND($G629&lt;&gt;"",COUNTIF(SUBCATEGORIAS_PLANO,$G629)=0),"⚠ Subcategoria fora do plano de contas",IF(OR($Q629="",N($Q629)=0),"⚠ Valor previsto não informado",IF(AND(OR($X629="Pago",$X629="Recebido"),$D629=""),"⚠ Status pago/recebido sem data",IF(AND($D629&lt;&gt;"",N($R629)=0),"⚠ Data de pagamento sem valor realizado",IF(AND(N($P629)&gt;1,N($O629)&gt;N($P629)),"⚠ Nº da parcela maior que o total",IF(AND($C629&lt;&gt;"",$B629&lt;&gt;"",$C629&lt;$B629),"⚠ Vencimento anterior à competência","OK"))))))))</f>
        <v/>
      </c>
    </row>
    <row r="630">
      <c r="A630" s="14" t="inlineStr">
        <is>
          <t>L0625</t>
        </is>
      </c>
      <c r="B630" s="36" t="n">
        <v>46650</v>
      </c>
      <c r="C630" s="36" t="n">
        <v>46650</v>
      </c>
      <c r="D630" s="36" t="n"/>
      <c r="E630" s="14" t="inlineStr">
        <is>
          <t>Saída</t>
        </is>
      </c>
      <c r="F630" s="29" t="inlineStr">
        <is>
          <t>Despesas Financeiras</t>
        </is>
      </c>
      <c r="G630" s="29" t="inlineStr">
        <is>
          <t>Juros de Empréstimos e Financiamentos</t>
        </is>
      </c>
      <c r="H630" s="29" t="inlineStr">
        <is>
          <t>Diretoria</t>
        </is>
      </c>
      <c r="I630" s="29" t="inlineStr">
        <is>
          <t>Banco Santander</t>
        </is>
      </c>
      <c r="J630" s="29" t="inlineStr">
        <is>
          <t>Financiamento de Veículo — parcela 20/48 (juros)</t>
        </is>
      </c>
      <c r="K630" s="14" t="inlineStr">
        <is>
          <t>VEI-2026-0088-P20</t>
        </is>
      </c>
      <c r="L630" s="29" t="inlineStr">
        <is>
          <t>Itaú Unibanco — C/C 45678-9</t>
        </is>
      </c>
      <c r="M630" s="14" t="inlineStr">
        <is>
          <t>Débito automático</t>
        </is>
      </c>
      <c r="N630" s="29" t="n"/>
      <c r="O630" s="13" t="n">
        <v>20</v>
      </c>
      <c r="P630" s="13" t="n">
        <v>48</v>
      </c>
      <c r="Q630" s="35" t="n">
        <v>673.5</v>
      </c>
      <c r="R630" s="35" t="n"/>
      <c r="S630" s="35" t="n"/>
      <c r="T630" s="35" t="n"/>
      <c r="U630" s="35" t="n"/>
      <c r="V630" s="18">
        <f>IF(COUNTA($B630:$R630)=0,"",ROUND(N($R630)+N($S630)+N($T630)-N($U630),2))</f>
        <v/>
      </c>
      <c r="W630" s="18">
        <f>IF(COUNTA($B630:$R630)=0,"",IF(OR($X630="Pago",$X630="Recebido",$X630="Cancelado"),0,ROUND(N($Q630)+N($S630)+N($T630)-N($U630)-N($R630),2)))</f>
        <v/>
      </c>
      <c r="X630" s="14" t="inlineStr">
        <is>
          <t>Previsto</t>
        </is>
      </c>
      <c r="Y630" s="17">
        <f>IF(COUNTA($B630:$R630)=0,"",IF($X630="Cancelado","Cancelado",IF(OR($X630="Pago",$X630="Recebido"),$X630,IF(OR($X630="Parcial",N($R630)&gt;0),"Parcial",IF($C630="","Sem vencimento",IF($C630&lt;TODAY(),"Vencido",IF($C630=TODAY(),"Vence hoje",IF($C630&lt;=TODAY()+7,"Vence em 7 dias",IF($C630&lt;=TODAY()+30,"Vence em 30 dias","Futuro")))))))))</f>
        <v/>
      </c>
      <c r="Z630" s="24">
        <f>IF($B630="","",MONTH($B630))</f>
        <v/>
      </c>
      <c r="AA630" s="24">
        <f>IF($B630="","",YEAR($B630))</f>
        <v/>
      </c>
      <c r="AB630" s="24">
        <f>IF($B630="","",ISOWEEKNUM($B630))</f>
        <v/>
      </c>
      <c r="AC630" s="17">
        <f>IF($B630="","",CHOOSE(WEEKDAY($B630,2),"Segunda","Terça","Quarta","Quinta","Sexta","Sábado","Domingo"))</f>
        <v/>
      </c>
      <c r="AD630" s="17">
        <f>IF($B630="","",TEXT($B630,"MM/AAAA"))</f>
        <v/>
      </c>
      <c r="AE630" s="18">
        <f>IF(COUNTA($B630:$R630)=0,"",IF($X630="Cancelado",0,ROUND(N($Q630)+N($S630)+N($T630)-N($U630),2)))</f>
        <v/>
      </c>
      <c r="AF630" s="9">
        <f>IF($G630="","",IFERROR(INDEX(LINHAS_DRE_PLANO,MATCH($G630,SUBCATEGORIAS_PLANO,0)),"Não classificado"))</f>
        <v/>
      </c>
      <c r="AG630" s="17">
        <f>IF($G630="","",IFERROR(INDEX(TIPOS_FLUXO_PLANO,MATCH($G630,SUBCATEGORIAS_PLANO,0)),"Não classificado"))</f>
        <v/>
      </c>
      <c r="AH630" s="9">
        <f>IF($G630="","",IFERROR(INDEX(GRUPOS_PLANO,MATCH($G630,SUBCATEGORIAS_PLANO,0)),"Não classificado"))</f>
        <v/>
      </c>
      <c r="AI630" s="24">
        <f>IF(OR($C630="",$X630="Pago",$X630="Recebido",$X630="Cancelado"),"",$C630-TODAY())</f>
        <v/>
      </c>
      <c r="AJ630" s="24">
        <f>IF(OR($C630="",$X630="Pago",$X630="Recebido",$X630="Cancelado"),0,MAX(0,TODAY()-$C630))</f>
        <v/>
      </c>
      <c r="AK630" s="24">
        <f>IF($D630="","",$D630-$B630)</f>
        <v/>
      </c>
      <c r="AL630" s="18">
        <f>IF(OR($D630="",$B630=""),"",ROUND(N($R630)*($D630-$B630),2))</f>
        <v/>
      </c>
      <c r="AM630" s="17">
        <f>IF(AND($E630="Saída",$W630&gt;0,$C630&lt;&gt;""),$C630+ROW()/1000000,"")</f>
        <v/>
      </c>
      <c r="AN630" s="17">
        <f>IF(AND($E630="Entrada",$W630&gt;0,$C630&lt;&gt;""),$C630+ROW()/1000000,"")</f>
        <v/>
      </c>
      <c r="AO630" s="9">
        <f>IF(COUNTA($B630:$R630)=0,"",IF(AND($I630&lt;&gt;"",COUNTIF(CLIENTES_NOMES,$I630)+COUNTIF(CLIENTES_FANTASIA,$I630)+COUNTIF(FORNECEDORES_NOMES,$I630)+COUNTIF(FORNECEDORES_FANTASIA,$I630)=0),"⚠ Cliente/Fornecedor não cadastrado",IF(AND($G630&lt;&gt;"",COUNTIF(SUBCATEGORIAS_PLANO,$G630)=0),"⚠ Subcategoria fora do plano de contas",IF(OR($Q630="",N($Q630)=0),"⚠ Valor previsto não informado",IF(AND(OR($X630="Pago",$X630="Recebido"),$D630=""),"⚠ Status pago/recebido sem data",IF(AND($D630&lt;&gt;"",N($R630)=0),"⚠ Data de pagamento sem valor realizado",IF(AND(N($P630)&gt;1,N($O630)&gt;N($P630)),"⚠ Nº da parcela maior que o total",IF(AND($C630&lt;&gt;"",$B630&lt;&gt;"",$C630&lt;$B630),"⚠ Vencimento anterior à competência","OK"))))))))</f>
        <v/>
      </c>
    </row>
    <row r="631">
      <c r="A631" s="14" t="inlineStr">
        <is>
          <t>L0626</t>
        </is>
      </c>
      <c r="B631" s="36" t="n">
        <v>46670</v>
      </c>
      <c r="C631" s="36" t="n">
        <v>46670</v>
      </c>
      <c r="D631" s="36" t="n"/>
      <c r="E631" s="14" t="inlineStr">
        <is>
          <t>Saída</t>
        </is>
      </c>
      <c r="F631" s="29" t="inlineStr">
        <is>
          <t>Empréstimos e Financiamentos</t>
        </is>
      </c>
      <c r="G631" s="29" t="inlineStr">
        <is>
          <t>Pagamento de Principal de Empréstimos</t>
        </is>
      </c>
      <c r="H631" s="29" t="inlineStr">
        <is>
          <t>Financeiro</t>
        </is>
      </c>
      <c r="I631" s="29" t="inlineStr">
        <is>
          <t>Banco do Brasil</t>
        </is>
      </c>
      <c r="J631" s="29" t="inlineStr">
        <is>
          <t>Capital de Giro — parcela 21/24 (principal)</t>
        </is>
      </c>
      <c r="K631" s="14" t="inlineStr">
        <is>
          <t>CG-2026-0417-P21</t>
        </is>
      </c>
      <c r="L631" s="29" t="inlineStr">
        <is>
          <t>Banco do Brasil — C/C 12345-6</t>
        </is>
      </c>
      <c r="M631" s="14" t="inlineStr">
        <is>
          <t>Débito automático</t>
        </is>
      </c>
      <c r="N631" s="29" t="n"/>
      <c r="O631" s="13" t="n">
        <v>21</v>
      </c>
      <c r="P631" s="13" t="n">
        <v>24</v>
      </c>
      <c r="Q631" s="35" t="n">
        <v>2822.27</v>
      </c>
      <c r="R631" s="35" t="n"/>
      <c r="S631" s="35" t="n"/>
      <c r="T631" s="35" t="n"/>
      <c r="U631" s="35" t="n"/>
      <c r="V631" s="18">
        <f>IF(COUNTA($B631:$R631)=0,"",ROUND(N($R631)+N($S631)+N($T631)-N($U631),2))</f>
        <v/>
      </c>
      <c r="W631" s="18">
        <f>IF(COUNTA($B631:$R631)=0,"",IF(OR($X631="Pago",$X631="Recebido",$X631="Cancelado"),0,ROUND(N($Q631)+N($S631)+N($T631)-N($U631)-N($R631),2)))</f>
        <v/>
      </c>
      <c r="X631" s="14" t="inlineStr">
        <is>
          <t>Previsto</t>
        </is>
      </c>
      <c r="Y631" s="17">
        <f>IF(COUNTA($B631:$R631)=0,"",IF($X631="Cancelado","Cancelado",IF(OR($X631="Pago",$X631="Recebido"),$X631,IF(OR($X631="Parcial",N($R631)&gt;0),"Parcial",IF($C631="","Sem vencimento",IF($C631&lt;TODAY(),"Vencido",IF($C631=TODAY(),"Vence hoje",IF($C631&lt;=TODAY()+7,"Vence em 7 dias",IF($C631&lt;=TODAY()+30,"Vence em 30 dias","Futuro")))))))))</f>
        <v/>
      </c>
      <c r="Z631" s="24">
        <f>IF($B631="","",MONTH($B631))</f>
        <v/>
      </c>
      <c r="AA631" s="24">
        <f>IF($B631="","",YEAR($B631))</f>
        <v/>
      </c>
      <c r="AB631" s="24">
        <f>IF($B631="","",ISOWEEKNUM($B631))</f>
        <v/>
      </c>
      <c r="AC631" s="17">
        <f>IF($B631="","",CHOOSE(WEEKDAY($B631,2),"Segunda","Terça","Quarta","Quinta","Sexta","Sábado","Domingo"))</f>
        <v/>
      </c>
      <c r="AD631" s="17">
        <f>IF($B631="","",TEXT($B631,"MM/AAAA"))</f>
        <v/>
      </c>
      <c r="AE631" s="18">
        <f>IF(COUNTA($B631:$R631)=0,"",IF($X631="Cancelado",0,ROUND(N($Q631)+N($S631)+N($T631)-N($U631),2)))</f>
        <v/>
      </c>
      <c r="AF631" s="9">
        <f>IF($G631="","",IFERROR(INDEX(LINHAS_DRE_PLANO,MATCH($G631,SUBCATEGORIAS_PLANO,0)),"Não classificado"))</f>
        <v/>
      </c>
      <c r="AG631" s="17">
        <f>IF($G631="","",IFERROR(INDEX(TIPOS_FLUXO_PLANO,MATCH($G631,SUBCATEGORIAS_PLANO,0)),"Não classificado"))</f>
        <v/>
      </c>
      <c r="AH631" s="9">
        <f>IF($G631="","",IFERROR(INDEX(GRUPOS_PLANO,MATCH($G631,SUBCATEGORIAS_PLANO,0)),"Não classificado"))</f>
        <v/>
      </c>
      <c r="AI631" s="24">
        <f>IF(OR($C631="",$X631="Pago",$X631="Recebido",$X631="Cancelado"),"",$C631-TODAY())</f>
        <v/>
      </c>
      <c r="AJ631" s="24">
        <f>IF(OR($C631="",$X631="Pago",$X631="Recebido",$X631="Cancelado"),0,MAX(0,TODAY()-$C631))</f>
        <v/>
      </c>
      <c r="AK631" s="24">
        <f>IF($D631="","",$D631-$B631)</f>
        <v/>
      </c>
      <c r="AL631" s="18">
        <f>IF(OR($D631="",$B631=""),"",ROUND(N($R631)*($D631-$B631),2))</f>
        <v/>
      </c>
      <c r="AM631" s="17">
        <f>IF(AND($E631="Saída",$W631&gt;0,$C631&lt;&gt;""),$C631+ROW()/1000000,"")</f>
        <v/>
      </c>
      <c r="AN631" s="17">
        <f>IF(AND($E631="Entrada",$W631&gt;0,$C631&lt;&gt;""),$C631+ROW()/1000000,"")</f>
        <v/>
      </c>
      <c r="AO631" s="9">
        <f>IF(COUNTA($B631:$R631)=0,"",IF(AND($I631&lt;&gt;"",COUNTIF(CLIENTES_NOMES,$I631)+COUNTIF(CLIENTES_FANTASIA,$I631)+COUNTIF(FORNECEDORES_NOMES,$I631)+COUNTIF(FORNECEDORES_FANTASIA,$I631)=0),"⚠ Cliente/Fornecedor não cadastrado",IF(AND($G631&lt;&gt;"",COUNTIF(SUBCATEGORIAS_PLANO,$G631)=0),"⚠ Subcategoria fora do plano de contas",IF(OR($Q631="",N($Q631)=0),"⚠ Valor previsto não informado",IF(AND(OR($X631="Pago",$X631="Recebido"),$D631=""),"⚠ Status pago/recebido sem data",IF(AND($D631&lt;&gt;"",N($R631)=0),"⚠ Data de pagamento sem valor realizado",IF(AND(N($P631)&gt;1,N($O631)&gt;N($P631)),"⚠ Nº da parcela maior que o total",IF(AND($C631&lt;&gt;"",$B631&lt;&gt;"",$C631&lt;$B631),"⚠ Vencimento anterior à competência","OK"))))))))</f>
        <v/>
      </c>
    </row>
    <row r="632">
      <c r="A632" s="14" t="inlineStr">
        <is>
          <t>L0627</t>
        </is>
      </c>
      <c r="B632" s="36" t="n">
        <v>46670</v>
      </c>
      <c r="C632" s="36" t="n">
        <v>46670</v>
      </c>
      <c r="D632" s="36" t="n"/>
      <c r="E632" s="14" t="inlineStr">
        <is>
          <t>Saída</t>
        </is>
      </c>
      <c r="F632" s="29" t="inlineStr">
        <is>
          <t>Despesas Financeiras</t>
        </is>
      </c>
      <c r="G632" s="29" t="inlineStr">
        <is>
          <t>Juros de Empréstimos e Financiamentos</t>
        </is>
      </c>
      <c r="H632" s="29" t="inlineStr">
        <is>
          <t>Financeiro</t>
        </is>
      </c>
      <c r="I632" s="29" t="inlineStr">
        <is>
          <t>Banco do Brasil</t>
        </is>
      </c>
      <c r="J632" s="29" t="inlineStr">
        <is>
          <t>Capital de Giro — parcela 21/24 (juros)</t>
        </is>
      </c>
      <c r="K632" s="14" t="inlineStr">
        <is>
          <t>CG-2026-0417-P21</t>
        </is>
      </c>
      <c r="L632" s="29" t="inlineStr">
        <is>
          <t>Banco do Brasil — C/C 12345-6</t>
        </is>
      </c>
      <c r="M632" s="14" t="inlineStr">
        <is>
          <t>Débito automático</t>
        </is>
      </c>
      <c r="N632" s="29" t="n"/>
      <c r="O632" s="13" t="n">
        <v>21</v>
      </c>
      <c r="P632" s="13" t="n">
        <v>24</v>
      </c>
      <c r="Q632" s="35" t="n">
        <v>173.18</v>
      </c>
      <c r="R632" s="35" t="n"/>
      <c r="S632" s="35" t="n"/>
      <c r="T632" s="35" t="n"/>
      <c r="U632" s="35" t="n"/>
      <c r="V632" s="18">
        <f>IF(COUNTA($B632:$R632)=0,"",ROUND(N($R632)+N($S632)+N($T632)-N($U632),2))</f>
        <v/>
      </c>
      <c r="W632" s="18">
        <f>IF(COUNTA($B632:$R632)=0,"",IF(OR($X632="Pago",$X632="Recebido",$X632="Cancelado"),0,ROUND(N($Q632)+N($S632)+N($T632)-N($U632)-N($R632),2)))</f>
        <v/>
      </c>
      <c r="X632" s="14" t="inlineStr">
        <is>
          <t>Previsto</t>
        </is>
      </c>
      <c r="Y632" s="17">
        <f>IF(COUNTA($B632:$R632)=0,"",IF($X632="Cancelado","Cancelado",IF(OR($X632="Pago",$X632="Recebido"),$X632,IF(OR($X632="Parcial",N($R632)&gt;0),"Parcial",IF($C632="","Sem vencimento",IF($C632&lt;TODAY(),"Vencido",IF($C632=TODAY(),"Vence hoje",IF($C632&lt;=TODAY()+7,"Vence em 7 dias",IF($C632&lt;=TODAY()+30,"Vence em 30 dias","Futuro")))))))))</f>
        <v/>
      </c>
      <c r="Z632" s="24">
        <f>IF($B632="","",MONTH($B632))</f>
        <v/>
      </c>
      <c r="AA632" s="24">
        <f>IF($B632="","",YEAR($B632))</f>
        <v/>
      </c>
      <c r="AB632" s="24">
        <f>IF($B632="","",ISOWEEKNUM($B632))</f>
        <v/>
      </c>
      <c r="AC632" s="17">
        <f>IF($B632="","",CHOOSE(WEEKDAY($B632,2),"Segunda","Terça","Quarta","Quinta","Sexta","Sábado","Domingo"))</f>
        <v/>
      </c>
      <c r="AD632" s="17">
        <f>IF($B632="","",TEXT($B632,"MM/AAAA"))</f>
        <v/>
      </c>
      <c r="AE632" s="18">
        <f>IF(COUNTA($B632:$R632)=0,"",IF($X632="Cancelado",0,ROUND(N($Q632)+N($S632)+N($T632)-N($U632),2)))</f>
        <v/>
      </c>
      <c r="AF632" s="9">
        <f>IF($G632="","",IFERROR(INDEX(LINHAS_DRE_PLANO,MATCH($G632,SUBCATEGORIAS_PLANO,0)),"Não classificado"))</f>
        <v/>
      </c>
      <c r="AG632" s="17">
        <f>IF($G632="","",IFERROR(INDEX(TIPOS_FLUXO_PLANO,MATCH($G632,SUBCATEGORIAS_PLANO,0)),"Não classificado"))</f>
        <v/>
      </c>
      <c r="AH632" s="9">
        <f>IF($G632="","",IFERROR(INDEX(GRUPOS_PLANO,MATCH($G632,SUBCATEGORIAS_PLANO,0)),"Não classificado"))</f>
        <v/>
      </c>
      <c r="AI632" s="24">
        <f>IF(OR($C632="",$X632="Pago",$X632="Recebido",$X632="Cancelado"),"",$C632-TODAY())</f>
        <v/>
      </c>
      <c r="AJ632" s="24">
        <f>IF(OR($C632="",$X632="Pago",$X632="Recebido",$X632="Cancelado"),0,MAX(0,TODAY()-$C632))</f>
        <v/>
      </c>
      <c r="AK632" s="24">
        <f>IF($D632="","",$D632-$B632)</f>
        <v/>
      </c>
      <c r="AL632" s="18">
        <f>IF(OR($D632="",$B632=""),"",ROUND(N($R632)*($D632-$B632),2))</f>
        <v/>
      </c>
      <c r="AM632" s="17">
        <f>IF(AND($E632="Saída",$W632&gt;0,$C632&lt;&gt;""),$C632+ROW()/1000000,"")</f>
        <v/>
      </c>
      <c r="AN632" s="17">
        <f>IF(AND($E632="Entrada",$W632&gt;0,$C632&lt;&gt;""),$C632+ROW()/1000000,"")</f>
        <v/>
      </c>
      <c r="AO632" s="9">
        <f>IF(COUNTA($B632:$R632)=0,"",IF(AND($I632&lt;&gt;"",COUNTIF(CLIENTES_NOMES,$I632)+COUNTIF(CLIENTES_FANTASIA,$I632)+COUNTIF(FORNECEDORES_NOMES,$I632)+COUNTIF(FORNECEDORES_FANTASIA,$I632)=0),"⚠ Cliente/Fornecedor não cadastrado",IF(AND($G632&lt;&gt;"",COUNTIF(SUBCATEGORIAS_PLANO,$G632)=0),"⚠ Subcategoria fora do plano de contas",IF(OR($Q632="",N($Q632)=0),"⚠ Valor previsto não informado",IF(AND(OR($X632="Pago",$X632="Recebido"),$D632=""),"⚠ Status pago/recebido sem data",IF(AND($D632&lt;&gt;"",N($R632)=0),"⚠ Data de pagamento sem valor realizado",IF(AND(N($P632)&gt;1,N($O632)&gt;N($P632)),"⚠ Nº da parcela maior que o total",IF(AND($C632&lt;&gt;"",$B632&lt;&gt;"",$C632&lt;$B632),"⚠ Vencimento anterior à competência","OK"))))))))</f>
        <v/>
      </c>
    </row>
    <row r="633">
      <c r="A633" s="14" t="inlineStr">
        <is>
          <t>L0628</t>
        </is>
      </c>
      <c r="B633" s="36" t="n">
        <v>46675</v>
      </c>
      <c r="C633" s="36" t="n">
        <v>46675</v>
      </c>
      <c r="D633" s="36" t="n"/>
      <c r="E633" s="14" t="inlineStr">
        <is>
          <t>Saída</t>
        </is>
      </c>
      <c r="F633" s="29" t="inlineStr">
        <is>
          <t>Empréstimos e Financiamentos</t>
        </is>
      </c>
      <c r="G633" s="29" t="inlineStr">
        <is>
          <t>Pagamento de Principal de Empréstimos</t>
        </is>
      </c>
      <c r="H633" s="29" t="inlineStr">
        <is>
          <t>Financeiro</t>
        </is>
      </c>
      <c r="I633" s="29" t="inlineStr">
        <is>
          <t>BNDES / Banco do Brasil</t>
        </is>
      </c>
      <c r="J633" s="29" t="inlineStr">
        <is>
          <t>Financiamento de Máquinas — parcela 20/36 (principal)</t>
        </is>
      </c>
      <c r="K633" s="14" t="inlineStr">
        <is>
          <t>FIN-2026-1198-P20</t>
        </is>
      </c>
      <c r="L633" s="29" t="inlineStr">
        <is>
          <t>Banco do Brasil — C/C 12345-6</t>
        </is>
      </c>
      <c r="M633" s="14" t="inlineStr">
        <is>
          <t>Débito automático</t>
        </is>
      </c>
      <c r="N633" s="29" t="n"/>
      <c r="O633" s="13" t="n">
        <v>20</v>
      </c>
      <c r="P633" s="13" t="n">
        <v>36</v>
      </c>
      <c r="Q633" s="35" t="n">
        <v>3333.33</v>
      </c>
      <c r="R633" s="35" t="n"/>
      <c r="S633" s="35" t="n"/>
      <c r="T633" s="35" t="n"/>
      <c r="U633" s="35" t="n"/>
      <c r="V633" s="18">
        <f>IF(COUNTA($B633:$R633)=0,"",ROUND(N($R633)+N($S633)+N($T633)-N($U633),2))</f>
        <v/>
      </c>
      <c r="W633" s="18">
        <f>IF(COUNTA($B633:$R633)=0,"",IF(OR($X633="Pago",$X633="Recebido",$X633="Cancelado"),0,ROUND(N($Q633)+N($S633)+N($T633)-N($U633)-N($R633),2)))</f>
        <v/>
      </c>
      <c r="X633" s="14" t="inlineStr">
        <is>
          <t>Previsto</t>
        </is>
      </c>
      <c r="Y633" s="17">
        <f>IF(COUNTA($B633:$R633)=0,"",IF($X633="Cancelado","Cancelado",IF(OR($X633="Pago",$X633="Recebido"),$X633,IF(OR($X633="Parcial",N($R633)&gt;0),"Parcial",IF($C633="","Sem vencimento",IF($C633&lt;TODAY(),"Vencido",IF($C633=TODAY(),"Vence hoje",IF($C633&lt;=TODAY()+7,"Vence em 7 dias",IF($C633&lt;=TODAY()+30,"Vence em 30 dias","Futuro")))))))))</f>
        <v/>
      </c>
      <c r="Z633" s="24">
        <f>IF($B633="","",MONTH($B633))</f>
        <v/>
      </c>
      <c r="AA633" s="24">
        <f>IF($B633="","",YEAR($B633))</f>
        <v/>
      </c>
      <c r="AB633" s="24">
        <f>IF($B633="","",ISOWEEKNUM($B633))</f>
        <v/>
      </c>
      <c r="AC633" s="17">
        <f>IF($B633="","",CHOOSE(WEEKDAY($B633,2),"Segunda","Terça","Quarta","Quinta","Sexta","Sábado","Domingo"))</f>
        <v/>
      </c>
      <c r="AD633" s="17">
        <f>IF($B633="","",TEXT($B633,"MM/AAAA"))</f>
        <v/>
      </c>
      <c r="AE633" s="18">
        <f>IF(COUNTA($B633:$R633)=0,"",IF($X633="Cancelado",0,ROUND(N($Q633)+N($S633)+N($T633)-N($U633),2)))</f>
        <v/>
      </c>
      <c r="AF633" s="9">
        <f>IF($G633="","",IFERROR(INDEX(LINHAS_DRE_PLANO,MATCH($G633,SUBCATEGORIAS_PLANO,0)),"Não classificado"))</f>
        <v/>
      </c>
      <c r="AG633" s="17">
        <f>IF($G633="","",IFERROR(INDEX(TIPOS_FLUXO_PLANO,MATCH($G633,SUBCATEGORIAS_PLANO,0)),"Não classificado"))</f>
        <v/>
      </c>
      <c r="AH633" s="9">
        <f>IF($G633="","",IFERROR(INDEX(GRUPOS_PLANO,MATCH($G633,SUBCATEGORIAS_PLANO,0)),"Não classificado"))</f>
        <v/>
      </c>
      <c r="AI633" s="24">
        <f>IF(OR($C633="",$X633="Pago",$X633="Recebido",$X633="Cancelado"),"",$C633-TODAY())</f>
        <v/>
      </c>
      <c r="AJ633" s="24">
        <f>IF(OR($C633="",$X633="Pago",$X633="Recebido",$X633="Cancelado"),0,MAX(0,TODAY()-$C633))</f>
        <v/>
      </c>
      <c r="AK633" s="24">
        <f>IF($D633="","",$D633-$B633)</f>
        <v/>
      </c>
      <c r="AL633" s="18">
        <f>IF(OR($D633="",$B633=""),"",ROUND(N($R633)*($D633-$B633),2))</f>
        <v/>
      </c>
      <c r="AM633" s="17">
        <f>IF(AND($E633="Saída",$W633&gt;0,$C633&lt;&gt;""),$C633+ROW()/1000000,"")</f>
        <v/>
      </c>
      <c r="AN633" s="17">
        <f>IF(AND($E633="Entrada",$W633&gt;0,$C633&lt;&gt;""),$C633+ROW()/1000000,"")</f>
        <v/>
      </c>
      <c r="AO633" s="9">
        <f>IF(COUNTA($B633:$R633)=0,"",IF(AND($I633&lt;&gt;"",COUNTIF(CLIENTES_NOMES,$I633)+COUNTIF(CLIENTES_FANTASIA,$I633)+COUNTIF(FORNECEDORES_NOMES,$I633)+COUNTIF(FORNECEDORES_FANTASIA,$I633)=0),"⚠ Cliente/Fornecedor não cadastrado",IF(AND($G633&lt;&gt;"",COUNTIF(SUBCATEGORIAS_PLANO,$G633)=0),"⚠ Subcategoria fora do plano de contas",IF(OR($Q633="",N($Q633)=0),"⚠ Valor previsto não informado",IF(AND(OR($X633="Pago",$X633="Recebido"),$D633=""),"⚠ Status pago/recebido sem data",IF(AND($D633&lt;&gt;"",N($R633)=0),"⚠ Data de pagamento sem valor realizado",IF(AND(N($P633)&gt;1,N($O633)&gt;N($P633)),"⚠ Nº da parcela maior que o total",IF(AND($C633&lt;&gt;"",$B633&lt;&gt;"",$C633&lt;$B633),"⚠ Vencimento anterior à competência","OK"))))))))</f>
        <v/>
      </c>
    </row>
    <row r="634">
      <c r="A634" s="14" t="inlineStr">
        <is>
          <t>L0629</t>
        </is>
      </c>
      <c r="B634" s="36" t="n">
        <v>46675</v>
      </c>
      <c r="C634" s="36" t="n">
        <v>46675</v>
      </c>
      <c r="D634" s="36" t="n"/>
      <c r="E634" s="14" t="inlineStr">
        <is>
          <t>Saída</t>
        </is>
      </c>
      <c r="F634" s="29" t="inlineStr">
        <is>
          <t>Despesas Financeiras</t>
        </is>
      </c>
      <c r="G634" s="29" t="inlineStr">
        <is>
          <t>Juros de Empréstimos e Financiamentos</t>
        </is>
      </c>
      <c r="H634" s="29" t="inlineStr">
        <is>
          <t>Financeiro</t>
        </is>
      </c>
      <c r="I634" s="29" t="inlineStr">
        <is>
          <t>BNDES / Banco do Brasil</t>
        </is>
      </c>
      <c r="J634" s="29" t="inlineStr">
        <is>
          <t>Financiamento de Máquinas — parcela 20/36 (juros)</t>
        </is>
      </c>
      <c r="K634" s="14" t="inlineStr">
        <is>
          <t>FIN-2026-1198-P20</t>
        </is>
      </c>
      <c r="L634" s="29" t="inlineStr">
        <is>
          <t>Banco do Brasil — C/C 12345-6</t>
        </is>
      </c>
      <c r="M634" s="14" t="inlineStr">
        <is>
          <t>Débito automático</t>
        </is>
      </c>
      <c r="N634" s="29" t="n"/>
      <c r="O634" s="13" t="n">
        <v>20</v>
      </c>
      <c r="P634" s="13" t="n">
        <v>36</v>
      </c>
      <c r="Q634" s="35" t="n">
        <v>623.33</v>
      </c>
      <c r="R634" s="35" t="n"/>
      <c r="S634" s="35" t="n"/>
      <c r="T634" s="35" t="n"/>
      <c r="U634" s="35" t="n"/>
      <c r="V634" s="18">
        <f>IF(COUNTA($B634:$R634)=0,"",ROUND(N($R634)+N($S634)+N($T634)-N($U634),2))</f>
        <v/>
      </c>
      <c r="W634" s="18">
        <f>IF(COUNTA($B634:$R634)=0,"",IF(OR($X634="Pago",$X634="Recebido",$X634="Cancelado"),0,ROUND(N($Q634)+N($S634)+N($T634)-N($U634)-N($R634),2)))</f>
        <v/>
      </c>
      <c r="X634" s="14" t="inlineStr">
        <is>
          <t>Previsto</t>
        </is>
      </c>
      <c r="Y634" s="17">
        <f>IF(COUNTA($B634:$R634)=0,"",IF($X634="Cancelado","Cancelado",IF(OR($X634="Pago",$X634="Recebido"),$X634,IF(OR($X634="Parcial",N($R634)&gt;0),"Parcial",IF($C634="","Sem vencimento",IF($C634&lt;TODAY(),"Vencido",IF($C634=TODAY(),"Vence hoje",IF($C634&lt;=TODAY()+7,"Vence em 7 dias",IF($C634&lt;=TODAY()+30,"Vence em 30 dias","Futuro")))))))))</f>
        <v/>
      </c>
      <c r="Z634" s="24">
        <f>IF($B634="","",MONTH($B634))</f>
        <v/>
      </c>
      <c r="AA634" s="24">
        <f>IF($B634="","",YEAR($B634))</f>
        <v/>
      </c>
      <c r="AB634" s="24">
        <f>IF($B634="","",ISOWEEKNUM($B634))</f>
        <v/>
      </c>
      <c r="AC634" s="17">
        <f>IF($B634="","",CHOOSE(WEEKDAY($B634,2),"Segunda","Terça","Quarta","Quinta","Sexta","Sábado","Domingo"))</f>
        <v/>
      </c>
      <c r="AD634" s="17">
        <f>IF($B634="","",TEXT($B634,"MM/AAAA"))</f>
        <v/>
      </c>
      <c r="AE634" s="18">
        <f>IF(COUNTA($B634:$R634)=0,"",IF($X634="Cancelado",0,ROUND(N($Q634)+N($S634)+N($T634)-N($U634),2)))</f>
        <v/>
      </c>
      <c r="AF634" s="9">
        <f>IF($G634="","",IFERROR(INDEX(LINHAS_DRE_PLANO,MATCH($G634,SUBCATEGORIAS_PLANO,0)),"Não classificado"))</f>
        <v/>
      </c>
      <c r="AG634" s="17">
        <f>IF($G634="","",IFERROR(INDEX(TIPOS_FLUXO_PLANO,MATCH($G634,SUBCATEGORIAS_PLANO,0)),"Não classificado"))</f>
        <v/>
      </c>
      <c r="AH634" s="9">
        <f>IF($G634="","",IFERROR(INDEX(GRUPOS_PLANO,MATCH($G634,SUBCATEGORIAS_PLANO,0)),"Não classificado"))</f>
        <v/>
      </c>
      <c r="AI634" s="24">
        <f>IF(OR($C634="",$X634="Pago",$X634="Recebido",$X634="Cancelado"),"",$C634-TODAY())</f>
        <v/>
      </c>
      <c r="AJ634" s="24">
        <f>IF(OR($C634="",$X634="Pago",$X634="Recebido",$X634="Cancelado"),0,MAX(0,TODAY()-$C634))</f>
        <v/>
      </c>
      <c r="AK634" s="24">
        <f>IF($D634="","",$D634-$B634)</f>
        <v/>
      </c>
      <c r="AL634" s="18">
        <f>IF(OR($D634="",$B634=""),"",ROUND(N($R634)*($D634-$B634),2))</f>
        <v/>
      </c>
      <c r="AM634" s="17">
        <f>IF(AND($E634="Saída",$W634&gt;0,$C634&lt;&gt;""),$C634+ROW()/1000000,"")</f>
        <v/>
      </c>
      <c r="AN634" s="17">
        <f>IF(AND($E634="Entrada",$W634&gt;0,$C634&lt;&gt;""),$C634+ROW()/1000000,"")</f>
        <v/>
      </c>
      <c r="AO634" s="9">
        <f>IF(COUNTA($B634:$R634)=0,"",IF(AND($I634&lt;&gt;"",COUNTIF(CLIENTES_NOMES,$I634)+COUNTIF(CLIENTES_FANTASIA,$I634)+COUNTIF(FORNECEDORES_NOMES,$I634)+COUNTIF(FORNECEDORES_FANTASIA,$I634)=0),"⚠ Cliente/Fornecedor não cadastrado",IF(AND($G634&lt;&gt;"",COUNTIF(SUBCATEGORIAS_PLANO,$G634)=0),"⚠ Subcategoria fora do plano de contas",IF(OR($Q634="",N($Q634)=0),"⚠ Valor previsto não informado",IF(AND(OR($X634="Pago",$X634="Recebido"),$D634=""),"⚠ Status pago/recebido sem data",IF(AND($D634&lt;&gt;"",N($R634)=0),"⚠ Data de pagamento sem valor realizado",IF(AND(N($P634)&gt;1,N($O634)&gt;N($P634)),"⚠ Nº da parcela maior que o total",IF(AND($C634&lt;&gt;"",$B634&lt;&gt;"",$C634&lt;$B634),"⚠ Vencimento anterior à competência","OK"))))))))</f>
        <v/>
      </c>
    </row>
    <row r="635">
      <c r="A635" s="14" t="inlineStr">
        <is>
          <t>L0630</t>
        </is>
      </c>
      <c r="B635" s="36" t="n">
        <v>46680</v>
      </c>
      <c r="C635" s="36" t="n">
        <v>46680</v>
      </c>
      <c r="D635" s="36" t="n"/>
      <c r="E635" s="14" t="inlineStr">
        <is>
          <t>Saída</t>
        </is>
      </c>
      <c r="F635" s="29" t="inlineStr">
        <is>
          <t>Empréstimos e Financiamentos</t>
        </is>
      </c>
      <c r="G635" s="29" t="inlineStr">
        <is>
          <t>Pagamento de Principal de Empréstimos</t>
        </is>
      </c>
      <c r="H635" s="29" t="inlineStr">
        <is>
          <t>Diretoria</t>
        </is>
      </c>
      <c r="I635" s="29" t="inlineStr">
        <is>
          <t>Banco Santander</t>
        </is>
      </c>
      <c r="J635" s="29" t="inlineStr">
        <is>
          <t>Financiamento de Veículo — parcela 21/48 (principal)</t>
        </is>
      </c>
      <c r="K635" s="14" t="inlineStr">
        <is>
          <t>VEI-2026-0088-P21</t>
        </is>
      </c>
      <c r="L635" s="29" t="inlineStr">
        <is>
          <t>Itaú Unibanco — C/C 45678-9</t>
        </is>
      </c>
      <c r="M635" s="14" t="inlineStr">
        <is>
          <t>Débito automático</t>
        </is>
      </c>
      <c r="N635" s="29" t="n"/>
      <c r="O635" s="13" t="n">
        <v>21</v>
      </c>
      <c r="P635" s="13" t="n">
        <v>48</v>
      </c>
      <c r="Q635" s="35" t="n">
        <v>1572.37</v>
      </c>
      <c r="R635" s="35" t="n"/>
      <c r="S635" s="35" t="n"/>
      <c r="T635" s="35" t="n"/>
      <c r="U635" s="35" t="n"/>
      <c r="V635" s="18">
        <f>IF(COUNTA($B635:$R635)=0,"",ROUND(N($R635)+N($S635)+N($T635)-N($U635),2))</f>
        <v/>
      </c>
      <c r="W635" s="18">
        <f>IF(COUNTA($B635:$R635)=0,"",IF(OR($X635="Pago",$X635="Recebido",$X635="Cancelado"),0,ROUND(N($Q635)+N($S635)+N($T635)-N($U635)-N($R635),2)))</f>
        <v/>
      </c>
      <c r="X635" s="14" t="inlineStr">
        <is>
          <t>Previsto</t>
        </is>
      </c>
      <c r="Y635" s="17">
        <f>IF(COUNTA($B635:$R635)=0,"",IF($X635="Cancelado","Cancelado",IF(OR($X635="Pago",$X635="Recebido"),$X635,IF(OR($X635="Parcial",N($R635)&gt;0),"Parcial",IF($C635="","Sem vencimento",IF($C635&lt;TODAY(),"Vencido",IF($C635=TODAY(),"Vence hoje",IF($C635&lt;=TODAY()+7,"Vence em 7 dias",IF($C635&lt;=TODAY()+30,"Vence em 30 dias","Futuro")))))))))</f>
        <v/>
      </c>
      <c r="Z635" s="24">
        <f>IF($B635="","",MONTH($B635))</f>
        <v/>
      </c>
      <c r="AA635" s="24">
        <f>IF($B635="","",YEAR($B635))</f>
        <v/>
      </c>
      <c r="AB635" s="24">
        <f>IF($B635="","",ISOWEEKNUM($B635))</f>
        <v/>
      </c>
      <c r="AC635" s="17">
        <f>IF($B635="","",CHOOSE(WEEKDAY($B635,2),"Segunda","Terça","Quarta","Quinta","Sexta","Sábado","Domingo"))</f>
        <v/>
      </c>
      <c r="AD635" s="17">
        <f>IF($B635="","",TEXT($B635,"MM/AAAA"))</f>
        <v/>
      </c>
      <c r="AE635" s="18">
        <f>IF(COUNTA($B635:$R635)=0,"",IF($X635="Cancelado",0,ROUND(N($Q635)+N($S635)+N($T635)-N($U635),2)))</f>
        <v/>
      </c>
      <c r="AF635" s="9">
        <f>IF($G635="","",IFERROR(INDEX(LINHAS_DRE_PLANO,MATCH($G635,SUBCATEGORIAS_PLANO,0)),"Não classificado"))</f>
        <v/>
      </c>
      <c r="AG635" s="17">
        <f>IF($G635="","",IFERROR(INDEX(TIPOS_FLUXO_PLANO,MATCH($G635,SUBCATEGORIAS_PLANO,0)),"Não classificado"))</f>
        <v/>
      </c>
      <c r="AH635" s="9">
        <f>IF($G635="","",IFERROR(INDEX(GRUPOS_PLANO,MATCH($G635,SUBCATEGORIAS_PLANO,0)),"Não classificado"))</f>
        <v/>
      </c>
      <c r="AI635" s="24">
        <f>IF(OR($C635="",$X635="Pago",$X635="Recebido",$X635="Cancelado"),"",$C635-TODAY())</f>
        <v/>
      </c>
      <c r="AJ635" s="24">
        <f>IF(OR($C635="",$X635="Pago",$X635="Recebido",$X635="Cancelado"),0,MAX(0,TODAY()-$C635))</f>
        <v/>
      </c>
      <c r="AK635" s="24">
        <f>IF($D635="","",$D635-$B635)</f>
        <v/>
      </c>
      <c r="AL635" s="18">
        <f>IF(OR($D635="",$B635=""),"",ROUND(N($R635)*($D635-$B635),2))</f>
        <v/>
      </c>
      <c r="AM635" s="17">
        <f>IF(AND($E635="Saída",$W635&gt;0,$C635&lt;&gt;""),$C635+ROW()/1000000,"")</f>
        <v/>
      </c>
      <c r="AN635" s="17">
        <f>IF(AND($E635="Entrada",$W635&gt;0,$C635&lt;&gt;""),$C635+ROW()/1000000,"")</f>
        <v/>
      </c>
      <c r="AO635" s="9">
        <f>IF(COUNTA($B635:$R635)=0,"",IF(AND($I635&lt;&gt;"",COUNTIF(CLIENTES_NOMES,$I635)+COUNTIF(CLIENTES_FANTASIA,$I635)+COUNTIF(FORNECEDORES_NOMES,$I635)+COUNTIF(FORNECEDORES_FANTASIA,$I635)=0),"⚠ Cliente/Fornecedor não cadastrado",IF(AND($G635&lt;&gt;"",COUNTIF(SUBCATEGORIAS_PLANO,$G635)=0),"⚠ Subcategoria fora do plano de contas",IF(OR($Q635="",N($Q635)=0),"⚠ Valor previsto não informado",IF(AND(OR($X635="Pago",$X635="Recebido"),$D635=""),"⚠ Status pago/recebido sem data",IF(AND($D635&lt;&gt;"",N($R635)=0),"⚠ Data de pagamento sem valor realizado",IF(AND(N($P635)&gt;1,N($O635)&gt;N($P635)),"⚠ Nº da parcela maior que o total",IF(AND($C635&lt;&gt;"",$B635&lt;&gt;"",$C635&lt;$B635),"⚠ Vencimento anterior à competência","OK"))))))))</f>
        <v/>
      </c>
    </row>
    <row r="636">
      <c r="A636" s="14" t="inlineStr">
        <is>
          <t>L0631</t>
        </is>
      </c>
      <c r="B636" s="36" t="n">
        <v>46680</v>
      </c>
      <c r="C636" s="36" t="n">
        <v>46680</v>
      </c>
      <c r="D636" s="36" t="n"/>
      <c r="E636" s="14" t="inlineStr">
        <is>
          <t>Saída</t>
        </is>
      </c>
      <c r="F636" s="29" t="inlineStr">
        <is>
          <t>Despesas Financeiras</t>
        </is>
      </c>
      <c r="G636" s="29" t="inlineStr">
        <is>
          <t>Juros de Empréstimos e Financiamentos</t>
        </is>
      </c>
      <c r="H636" s="29" t="inlineStr">
        <is>
          <t>Diretoria</t>
        </is>
      </c>
      <c r="I636" s="29" t="inlineStr">
        <is>
          <t>Banco Santander</t>
        </is>
      </c>
      <c r="J636" s="29" t="inlineStr">
        <is>
          <t>Financiamento de Veículo — parcela 21/48 (juros)</t>
        </is>
      </c>
      <c r="K636" s="14" t="inlineStr">
        <is>
          <t>VEI-2026-0088-P21</t>
        </is>
      </c>
      <c r="L636" s="29" t="inlineStr">
        <is>
          <t>Itaú Unibanco — C/C 45678-9</t>
        </is>
      </c>
      <c r="M636" s="14" t="inlineStr">
        <is>
          <t>Débito automático</t>
        </is>
      </c>
      <c r="N636" s="29" t="n"/>
      <c r="O636" s="13" t="n">
        <v>21</v>
      </c>
      <c r="P636" s="13" t="n">
        <v>48</v>
      </c>
      <c r="Q636" s="35" t="n">
        <v>654.09</v>
      </c>
      <c r="R636" s="35" t="n"/>
      <c r="S636" s="35" t="n"/>
      <c r="T636" s="35" t="n"/>
      <c r="U636" s="35" t="n"/>
      <c r="V636" s="18">
        <f>IF(COUNTA($B636:$R636)=0,"",ROUND(N($R636)+N($S636)+N($T636)-N($U636),2))</f>
        <v/>
      </c>
      <c r="W636" s="18">
        <f>IF(COUNTA($B636:$R636)=0,"",IF(OR($X636="Pago",$X636="Recebido",$X636="Cancelado"),0,ROUND(N($Q636)+N($S636)+N($T636)-N($U636)-N($R636),2)))</f>
        <v/>
      </c>
      <c r="X636" s="14" t="inlineStr">
        <is>
          <t>Previsto</t>
        </is>
      </c>
      <c r="Y636" s="17">
        <f>IF(COUNTA($B636:$R636)=0,"",IF($X636="Cancelado","Cancelado",IF(OR($X636="Pago",$X636="Recebido"),$X636,IF(OR($X636="Parcial",N($R636)&gt;0),"Parcial",IF($C636="","Sem vencimento",IF($C636&lt;TODAY(),"Vencido",IF($C636=TODAY(),"Vence hoje",IF($C636&lt;=TODAY()+7,"Vence em 7 dias",IF($C636&lt;=TODAY()+30,"Vence em 30 dias","Futuro")))))))))</f>
        <v/>
      </c>
      <c r="Z636" s="24">
        <f>IF($B636="","",MONTH($B636))</f>
        <v/>
      </c>
      <c r="AA636" s="24">
        <f>IF($B636="","",YEAR($B636))</f>
        <v/>
      </c>
      <c r="AB636" s="24">
        <f>IF($B636="","",ISOWEEKNUM($B636))</f>
        <v/>
      </c>
      <c r="AC636" s="17">
        <f>IF($B636="","",CHOOSE(WEEKDAY($B636,2),"Segunda","Terça","Quarta","Quinta","Sexta","Sábado","Domingo"))</f>
        <v/>
      </c>
      <c r="AD636" s="17">
        <f>IF($B636="","",TEXT($B636,"MM/AAAA"))</f>
        <v/>
      </c>
      <c r="AE636" s="18">
        <f>IF(COUNTA($B636:$R636)=0,"",IF($X636="Cancelado",0,ROUND(N($Q636)+N($S636)+N($T636)-N($U636),2)))</f>
        <v/>
      </c>
      <c r="AF636" s="9">
        <f>IF($G636="","",IFERROR(INDEX(LINHAS_DRE_PLANO,MATCH($G636,SUBCATEGORIAS_PLANO,0)),"Não classificado"))</f>
        <v/>
      </c>
      <c r="AG636" s="17">
        <f>IF($G636="","",IFERROR(INDEX(TIPOS_FLUXO_PLANO,MATCH($G636,SUBCATEGORIAS_PLANO,0)),"Não classificado"))</f>
        <v/>
      </c>
      <c r="AH636" s="9">
        <f>IF($G636="","",IFERROR(INDEX(GRUPOS_PLANO,MATCH($G636,SUBCATEGORIAS_PLANO,0)),"Não classificado"))</f>
        <v/>
      </c>
      <c r="AI636" s="24">
        <f>IF(OR($C636="",$X636="Pago",$X636="Recebido",$X636="Cancelado"),"",$C636-TODAY())</f>
        <v/>
      </c>
      <c r="AJ636" s="24">
        <f>IF(OR($C636="",$X636="Pago",$X636="Recebido",$X636="Cancelado"),0,MAX(0,TODAY()-$C636))</f>
        <v/>
      </c>
      <c r="AK636" s="24">
        <f>IF($D636="","",$D636-$B636)</f>
        <v/>
      </c>
      <c r="AL636" s="18">
        <f>IF(OR($D636="",$B636=""),"",ROUND(N($R636)*($D636-$B636),2))</f>
        <v/>
      </c>
      <c r="AM636" s="17">
        <f>IF(AND($E636="Saída",$W636&gt;0,$C636&lt;&gt;""),$C636+ROW()/1000000,"")</f>
        <v/>
      </c>
      <c r="AN636" s="17">
        <f>IF(AND($E636="Entrada",$W636&gt;0,$C636&lt;&gt;""),$C636+ROW()/1000000,"")</f>
        <v/>
      </c>
      <c r="AO636" s="9">
        <f>IF(COUNTA($B636:$R636)=0,"",IF(AND($I636&lt;&gt;"",COUNTIF(CLIENTES_NOMES,$I636)+COUNTIF(CLIENTES_FANTASIA,$I636)+COUNTIF(FORNECEDORES_NOMES,$I636)+COUNTIF(FORNECEDORES_FANTASIA,$I636)=0),"⚠ Cliente/Fornecedor não cadastrado",IF(AND($G636&lt;&gt;"",COUNTIF(SUBCATEGORIAS_PLANO,$G636)=0),"⚠ Subcategoria fora do plano de contas",IF(OR($Q636="",N($Q636)=0),"⚠ Valor previsto não informado",IF(AND(OR($X636="Pago",$X636="Recebido"),$D636=""),"⚠ Status pago/recebido sem data",IF(AND($D636&lt;&gt;"",N($R636)=0),"⚠ Data de pagamento sem valor realizado",IF(AND(N($P636)&gt;1,N($O636)&gt;N($P636)),"⚠ Nº da parcela maior que o total",IF(AND($C636&lt;&gt;"",$B636&lt;&gt;"",$C636&lt;$B636),"⚠ Vencimento anterior à competência","OK"))))))))</f>
        <v/>
      </c>
    </row>
    <row r="637">
      <c r="A637" s="14" t="inlineStr">
        <is>
          <t>L0632</t>
        </is>
      </c>
      <c r="B637" s="36" t="n">
        <v>46701</v>
      </c>
      <c r="C637" s="36" t="n">
        <v>46701</v>
      </c>
      <c r="D637" s="36" t="n"/>
      <c r="E637" s="14" t="inlineStr">
        <is>
          <t>Saída</t>
        </is>
      </c>
      <c r="F637" s="29" t="inlineStr">
        <is>
          <t>Empréstimos e Financiamentos</t>
        </is>
      </c>
      <c r="G637" s="29" t="inlineStr">
        <is>
          <t>Pagamento de Principal de Empréstimos</t>
        </is>
      </c>
      <c r="H637" s="29" t="inlineStr">
        <is>
          <t>Financeiro</t>
        </is>
      </c>
      <c r="I637" s="29" t="inlineStr">
        <is>
          <t>Banco do Brasil</t>
        </is>
      </c>
      <c r="J637" s="29" t="inlineStr">
        <is>
          <t>Capital de Giro — parcela 22/24 (principal)</t>
        </is>
      </c>
      <c r="K637" s="14" t="inlineStr">
        <is>
          <t>CG-2026-0417-P22</t>
        </is>
      </c>
      <c r="L637" s="29" t="inlineStr">
        <is>
          <t>Banco do Brasil — C/C 12345-6</t>
        </is>
      </c>
      <c r="M637" s="14" t="inlineStr">
        <is>
          <t>Débito automático</t>
        </is>
      </c>
      <c r="N637" s="29" t="n"/>
      <c r="O637" s="13" t="n">
        <v>22</v>
      </c>
      <c r="P637" s="13" t="n">
        <v>24</v>
      </c>
      <c r="Q637" s="35" t="n">
        <v>2864.6</v>
      </c>
      <c r="R637" s="35" t="n"/>
      <c r="S637" s="35" t="n"/>
      <c r="T637" s="35" t="n"/>
      <c r="U637" s="35" t="n"/>
      <c r="V637" s="18">
        <f>IF(COUNTA($B637:$R637)=0,"",ROUND(N($R637)+N($S637)+N($T637)-N($U637),2))</f>
        <v/>
      </c>
      <c r="W637" s="18">
        <f>IF(COUNTA($B637:$R637)=0,"",IF(OR($X637="Pago",$X637="Recebido",$X637="Cancelado"),0,ROUND(N($Q637)+N($S637)+N($T637)-N($U637)-N($R637),2)))</f>
        <v/>
      </c>
      <c r="X637" s="14" t="inlineStr">
        <is>
          <t>Previsto</t>
        </is>
      </c>
      <c r="Y637" s="17">
        <f>IF(COUNTA($B637:$R637)=0,"",IF($X637="Cancelado","Cancelado",IF(OR($X637="Pago",$X637="Recebido"),$X637,IF(OR($X637="Parcial",N($R637)&gt;0),"Parcial",IF($C637="","Sem vencimento",IF($C637&lt;TODAY(),"Vencido",IF($C637=TODAY(),"Vence hoje",IF($C637&lt;=TODAY()+7,"Vence em 7 dias",IF($C637&lt;=TODAY()+30,"Vence em 30 dias","Futuro")))))))))</f>
        <v/>
      </c>
      <c r="Z637" s="24">
        <f>IF($B637="","",MONTH($B637))</f>
        <v/>
      </c>
      <c r="AA637" s="24">
        <f>IF($B637="","",YEAR($B637))</f>
        <v/>
      </c>
      <c r="AB637" s="24">
        <f>IF($B637="","",ISOWEEKNUM($B637))</f>
        <v/>
      </c>
      <c r="AC637" s="17">
        <f>IF($B637="","",CHOOSE(WEEKDAY($B637,2),"Segunda","Terça","Quarta","Quinta","Sexta","Sábado","Domingo"))</f>
        <v/>
      </c>
      <c r="AD637" s="17">
        <f>IF($B637="","",TEXT($B637,"MM/AAAA"))</f>
        <v/>
      </c>
      <c r="AE637" s="18">
        <f>IF(COUNTA($B637:$R637)=0,"",IF($X637="Cancelado",0,ROUND(N($Q637)+N($S637)+N($T637)-N($U637),2)))</f>
        <v/>
      </c>
      <c r="AF637" s="9">
        <f>IF($G637="","",IFERROR(INDEX(LINHAS_DRE_PLANO,MATCH($G637,SUBCATEGORIAS_PLANO,0)),"Não classificado"))</f>
        <v/>
      </c>
      <c r="AG637" s="17">
        <f>IF($G637="","",IFERROR(INDEX(TIPOS_FLUXO_PLANO,MATCH($G637,SUBCATEGORIAS_PLANO,0)),"Não classificado"))</f>
        <v/>
      </c>
      <c r="AH637" s="9">
        <f>IF($G637="","",IFERROR(INDEX(GRUPOS_PLANO,MATCH($G637,SUBCATEGORIAS_PLANO,0)),"Não classificado"))</f>
        <v/>
      </c>
      <c r="AI637" s="24">
        <f>IF(OR($C637="",$X637="Pago",$X637="Recebido",$X637="Cancelado"),"",$C637-TODAY())</f>
        <v/>
      </c>
      <c r="AJ637" s="24">
        <f>IF(OR($C637="",$X637="Pago",$X637="Recebido",$X637="Cancelado"),0,MAX(0,TODAY()-$C637))</f>
        <v/>
      </c>
      <c r="AK637" s="24">
        <f>IF($D637="","",$D637-$B637)</f>
        <v/>
      </c>
      <c r="AL637" s="18">
        <f>IF(OR($D637="",$B637=""),"",ROUND(N($R637)*($D637-$B637),2))</f>
        <v/>
      </c>
      <c r="AM637" s="17">
        <f>IF(AND($E637="Saída",$W637&gt;0,$C637&lt;&gt;""),$C637+ROW()/1000000,"")</f>
        <v/>
      </c>
      <c r="AN637" s="17">
        <f>IF(AND($E637="Entrada",$W637&gt;0,$C637&lt;&gt;""),$C637+ROW()/1000000,"")</f>
        <v/>
      </c>
      <c r="AO637" s="9">
        <f>IF(COUNTA($B637:$R637)=0,"",IF(AND($I637&lt;&gt;"",COUNTIF(CLIENTES_NOMES,$I637)+COUNTIF(CLIENTES_FANTASIA,$I637)+COUNTIF(FORNECEDORES_NOMES,$I637)+COUNTIF(FORNECEDORES_FANTASIA,$I637)=0),"⚠ Cliente/Fornecedor não cadastrado",IF(AND($G637&lt;&gt;"",COUNTIF(SUBCATEGORIAS_PLANO,$G637)=0),"⚠ Subcategoria fora do plano de contas",IF(OR($Q637="",N($Q637)=0),"⚠ Valor previsto não informado",IF(AND(OR($X637="Pago",$X637="Recebido"),$D637=""),"⚠ Status pago/recebido sem data",IF(AND($D637&lt;&gt;"",N($R637)=0),"⚠ Data de pagamento sem valor realizado",IF(AND(N($P637)&gt;1,N($O637)&gt;N($P637)),"⚠ Nº da parcela maior que o total",IF(AND($C637&lt;&gt;"",$B637&lt;&gt;"",$C637&lt;$B637),"⚠ Vencimento anterior à competência","OK"))))))))</f>
        <v/>
      </c>
    </row>
    <row r="638">
      <c r="A638" s="14" t="inlineStr">
        <is>
          <t>L0633</t>
        </is>
      </c>
      <c r="B638" s="36" t="n">
        <v>46701</v>
      </c>
      <c r="C638" s="36" t="n">
        <v>46701</v>
      </c>
      <c r="D638" s="36" t="n"/>
      <c r="E638" s="14" t="inlineStr">
        <is>
          <t>Saída</t>
        </is>
      </c>
      <c r="F638" s="29" t="inlineStr">
        <is>
          <t>Despesas Financeiras</t>
        </is>
      </c>
      <c r="G638" s="29" t="inlineStr">
        <is>
          <t>Juros de Empréstimos e Financiamentos</t>
        </is>
      </c>
      <c r="H638" s="29" t="inlineStr">
        <is>
          <t>Financeiro</t>
        </is>
      </c>
      <c r="I638" s="29" t="inlineStr">
        <is>
          <t>Banco do Brasil</t>
        </is>
      </c>
      <c r="J638" s="29" t="inlineStr">
        <is>
          <t>Capital de Giro — parcela 22/24 (juros)</t>
        </is>
      </c>
      <c r="K638" s="14" t="inlineStr">
        <is>
          <t>CG-2026-0417-P22</t>
        </is>
      </c>
      <c r="L638" s="29" t="inlineStr">
        <is>
          <t>Banco do Brasil — C/C 12345-6</t>
        </is>
      </c>
      <c r="M638" s="14" t="inlineStr">
        <is>
          <t>Débito automático</t>
        </is>
      </c>
      <c r="N638" s="29" t="n"/>
      <c r="O638" s="13" t="n">
        <v>22</v>
      </c>
      <c r="P638" s="13" t="n">
        <v>24</v>
      </c>
      <c r="Q638" s="35" t="n">
        <v>130.85</v>
      </c>
      <c r="R638" s="35" t="n"/>
      <c r="S638" s="35" t="n"/>
      <c r="T638" s="35" t="n"/>
      <c r="U638" s="35" t="n"/>
      <c r="V638" s="18">
        <f>IF(COUNTA($B638:$R638)=0,"",ROUND(N($R638)+N($S638)+N($T638)-N($U638),2))</f>
        <v/>
      </c>
      <c r="W638" s="18">
        <f>IF(COUNTA($B638:$R638)=0,"",IF(OR($X638="Pago",$X638="Recebido",$X638="Cancelado"),0,ROUND(N($Q638)+N($S638)+N($T638)-N($U638)-N($R638),2)))</f>
        <v/>
      </c>
      <c r="X638" s="14" t="inlineStr">
        <is>
          <t>Previsto</t>
        </is>
      </c>
      <c r="Y638" s="17">
        <f>IF(COUNTA($B638:$R638)=0,"",IF($X638="Cancelado","Cancelado",IF(OR($X638="Pago",$X638="Recebido"),$X638,IF(OR($X638="Parcial",N($R638)&gt;0),"Parcial",IF($C638="","Sem vencimento",IF($C638&lt;TODAY(),"Vencido",IF($C638=TODAY(),"Vence hoje",IF($C638&lt;=TODAY()+7,"Vence em 7 dias",IF($C638&lt;=TODAY()+30,"Vence em 30 dias","Futuro")))))))))</f>
        <v/>
      </c>
      <c r="Z638" s="24">
        <f>IF($B638="","",MONTH($B638))</f>
        <v/>
      </c>
      <c r="AA638" s="24">
        <f>IF($B638="","",YEAR($B638))</f>
        <v/>
      </c>
      <c r="AB638" s="24">
        <f>IF($B638="","",ISOWEEKNUM($B638))</f>
        <v/>
      </c>
      <c r="AC638" s="17">
        <f>IF($B638="","",CHOOSE(WEEKDAY($B638,2),"Segunda","Terça","Quarta","Quinta","Sexta","Sábado","Domingo"))</f>
        <v/>
      </c>
      <c r="AD638" s="17">
        <f>IF($B638="","",TEXT($B638,"MM/AAAA"))</f>
        <v/>
      </c>
      <c r="AE638" s="18">
        <f>IF(COUNTA($B638:$R638)=0,"",IF($X638="Cancelado",0,ROUND(N($Q638)+N($S638)+N($T638)-N($U638),2)))</f>
        <v/>
      </c>
      <c r="AF638" s="9">
        <f>IF($G638="","",IFERROR(INDEX(LINHAS_DRE_PLANO,MATCH($G638,SUBCATEGORIAS_PLANO,0)),"Não classificado"))</f>
        <v/>
      </c>
      <c r="AG638" s="17">
        <f>IF($G638="","",IFERROR(INDEX(TIPOS_FLUXO_PLANO,MATCH($G638,SUBCATEGORIAS_PLANO,0)),"Não classificado"))</f>
        <v/>
      </c>
      <c r="AH638" s="9">
        <f>IF($G638="","",IFERROR(INDEX(GRUPOS_PLANO,MATCH($G638,SUBCATEGORIAS_PLANO,0)),"Não classificado"))</f>
        <v/>
      </c>
      <c r="AI638" s="24">
        <f>IF(OR($C638="",$X638="Pago",$X638="Recebido",$X638="Cancelado"),"",$C638-TODAY())</f>
        <v/>
      </c>
      <c r="AJ638" s="24">
        <f>IF(OR($C638="",$X638="Pago",$X638="Recebido",$X638="Cancelado"),0,MAX(0,TODAY()-$C638))</f>
        <v/>
      </c>
      <c r="AK638" s="24">
        <f>IF($D638="","",$D638-$B638)</f>
        <v/>
      </c>
      <c r="AL638" s="18">
        <f>IF(OR($D638="",$B638=""),"",ROUND(N($R638)*($D638-$B638),2))</f>
        <v/>
      </c>
      <c r="AM638" s="17">
        <f>IF(AND($E638="Saída",$W638&gt;0,$C638&lt;&gt;""),$C638+ROW()/1000000,"")</f>
        <v/>
      </c>
      <c r="AN638" s="17">
        <f>IF(AND($E638="Entrada",$W638&gt;0,$C638&lt;&gt;""),$C638+ROW()/1000000,"")</f>
        <v/>
      </c>
      <c r="AO638" s="9">
        <f>IF(COUNTA($B638:$R638)=0,"",IF(AND($I638&lt;&gt;"",COUNTIF(CLIENTES_NOMES,$I638)+COUNTIF(CLIENTES_FANTASIA,$I638)+COUNTIF(FORNECEDORES_NOMES,$I638)+COUNTIF(FORNECEDORES_FANTASIA,$I638)=0),"⚠ Cliente/Fornecedor não cadastrado",IF(AND($G638&lt;&gt;"",COUNTIF(SUBCATEGORIAS_PLANO,$G638)=0),"⚠ Subcategoria fora do plano de contas",IF(OR($Q638="",N($Q638)=0),"⚠ Valor previsto não informado",IF(AND(OR($X638="Pago",$X638="Recebido"),$D638=""),"⚠ Status pago/recebido sem data",IF(AND($D638&lt;&gt;"",N($R638)=0),"⚠ Data de pagamento sem valor realizado",IF(AND(N($P638)&gt;1,N($O638)&gt;N($P638)),"⚠ Nº da parcela maior que o total",IF(AND($C638&lt;&gt;"",$B638&lt;&gt;"",$C638&lt;$B638),"⚠ Vencimento anterior à competência","OK"))))))))</f>
        <v/>
      </c>
    </row>
    <row r="639">
      <c r="A639" s="14" t="inlineStr">
        <is>
          <t>L0634</t>
        </is>
      </c>
      <c r="B639" s="36" t="n">
        <v>46706</v>
      </c>
      <c r="C639" s="36" t="n">
        <v>46706</v>
      </c>
      <c r="D639" s="36" t="n"/>
      <c r="E639" s="14" t="inlineStr">
        <is>
          <t>Saída</t>
        </is>
      </c>
      <c r="F639" s="29" t="inlineStr">
        <is>
          <t>Empréstimos e Financiamentos</t>
        </is>
      </c>
      <c r="G639" s="29" t="inlineStr">
        <is>
          <t>Pagamento de Principal de Empréstimos</t>
        </is>
      </c>
      <c r="H639" s="29" t="inlineStr">
        <is>
          <t>Financeiro</t>
        </is>
      </c>
      <c r="I639" s="29" t="inlineStr">
        <is>
          <t>BNDES / Banco do Brasil</t>
        </is>
      </c>
      <c r="J639" s="29" t="inlineStr">
        <is>
          <t>Financiamento de Máquinas — parcela 21/36 (principal)</t>
        </is>
      </c>
      <c r="K639" s="14" t="inlineStr">
        <is>
          <t>FIN-2026-1198-P21</t>
        </is>
      </c>
      <c r="L639" s="29" t="inlineStr">
        <is>
          <t>Banco do Brasil — C/C 12345-6</t>
        </is>
      </c>
      <c r="M639" s="14" t="inlineStr">
        <is>
          <t>Débito automático</t>
        </is>
      </c>
      <c r="N639" s="29" t="n"/>
      <c r="O639" s="13" t="n">
        <v>21</v>
      </c>
      <c r="P639" s="13" t="n">
        <v>36</v>
      </c>
      <c r="Q639" s="35" t="n">
        <v>3333.33</v>
      </c>
      <c r="R639" s="35" t="n"/>
      <c r="S639" s="35" t="n"/>
      <c r="T639" s="35" t="n"/>
      <c r="U639" s="35" t="n"/>
      <c r="V639" s="18">
        <f>IF(COUNTA($B639:$R639)=0,"",ROUND(N($R639)+N($S639)+N($T639)-N($U639),2))</f>
        <v/>
      </c>
      <c r="W639" s="18">
        <f>IF(COUNTA($B639:$R639)=0,"",IF(OR($X639="Pago",$X639="Recebido",$X639="Cancelado"),0,ROUND(N($Q639)+N($S639)+N($T639)-N($U639)-N($R639),2)))</f>
        <v/>
      </c>
      <c r="X639" s="14" t="inlineStr">
        <is>
          <t>Previsto</t>
        </is>
      </c>
      <c r="Y639" s="17">
        <f>IF(COUNTA($B639:$R639)=0,"",IF($X639="Cancelado","Cancelado",IF(OR($X639="Pago",$X639="Recebido"),$X639,IF(OR($X639="Parcial",N($R639)&gt;0),"Parcial",IF($C639="","Sem vencimento",IF($C639&lt;TODAY(),"Vencido",IF($C639=TODAY(),"Vence hoje",IF($C639&lt;=TODAY()+7,"Vence em 7 dias",IF($C639&lt;=TODAY()+30,"Vence em 30 dias","Futuro")))))))))</f>
        <v/>
      </c>
      <c r="Z639" s="24">
        <f>IF($B639="","",MONTH($B639))</f>
        <v/>
      </c>
      <c r="AA639" s="24">
        <f>IF($B639="","",YEAR($B639))</f>
        <v/>
      </c>
      <c r="AB639" s="24">
        <f>IF($B639="","",ISOWEEKNUM($B639))</f>
        <v/>
      </c>
      <c r="AC639" s="17">
        <f>IF($B639="","",CHOOSE(WEEKDAY($B639,2),"Segunda","Terça","Quarta","Quinta","Sexta","Sábado","Domingo"))</f>
        <v/>
      </c>
      <c r="AD639" s="17">
        <f>IF($B639="","",TEXT($B639,"MM/AAAA"))</f>
        <v/>
      </c>
      <c r="AE639" s="18">
        <f>IF(COUNTA($B639:$R639)=0,"",IF($X639="Cancelado",0,ROUND(N($Q639)+N($S639)+N($T639)-N($U639),2)))</f>
        <v/>
      </c>
      <c r="AF639" s="9">
        <f>IF($G639="","",IFERROR(INDEX(LINHAS_DRE_PLANO,MATCH($G639,SUBCATEGORIAS_PLANO,0)),"Não classificado"))</f>
        <v/>
      </c>
      <c r="AG639" s="17">
        <f>IF($G639="","",IFERROR(INDEX(TIPOS_FLUXO_PLANO,MATCH($G639,SUBCATEGORIAS_PLANO,0)),"Não classificado"))</f>
        <v/>
      </c>
      <c r="AH639" s="9">
        <f>IF($G639="","",IFERROR(INDEX(GRUPOS_PLANO,MATCH($G639,SUBCATEGORIAS_PLANO,0)),"Não classificado"))</f>
        <v/>
      </c>
      <c r="AI639" s="24">
        <f>IF(OR($C639="",$X639="Pago",$X639="Recebido",$X639="Cancelado"),"",$C639-TODAY())</f>
        <v/>
      </c>
      <c r="AJ639" s="24">
        <f>IF(OR($C639="",$X639="Pago",$X639="Recebido",$X639="Cancelado"),0,MAX(0,TODAY()-$C639))</f>
        <v/>
      </c>
      <c r="AK639" s="24">
        <f>IF($D639="","",$D639-$B639)</f>
        <v/>
      </c>
      <c r="AL639" s="18">
        <f>IF(OR($D639="",$B639=""),"",ROUND(N($R639)*($D639-$B639),2))</f>
        <v/>
      </c>
      <c r="AM639" s="17">
        <f>IF(AND($E639="Saída",$W639&gt;0,$C639&lt;&gt;""),$C639+ROW()/1000000,"")</f>
        <v/>
      </c>
      <c r="AN639" s="17">
        <f>IF(AND($E639="Entrada",$W639&gt;0,$C639&lt;&gt;""),$C639+ROW()/1000000,"")</f>
        <v/>
      </c>
      <c r="AO639" s="9">
        <f>IF(COUNTA($B639:$R639)=0,"",IF(AND($I639&lt;&gt;"",COUNTIF(CLIENTES_NOMES,$I639)+COUNTIF(CLIENTES_FANTASIA,$I639)+COUNTIF(FORNECEDORES_NOMES,$I639)+COUNTIF(FORNECEDORES_FANTASIA,$I639)=0),"⚠ Cliente/Fornecedor não cadastrado",IF(AND($G639&lt;&gt;"",COUNTIF(SUBCATEGORIAS_PLANO,$G639)=0),"⚠ Subcategoria fora do plano de contas",IF(OR($Q639="",N($Q639)=0),"⚠ Valor previsto não informado",IF(AND(OR($X639="Pago",$X639="Recebido"),$D639=""),"⚠ Status pago/recebido sem data",IF(AND($D639&lt;&gt;"",N($R639)=0),"⚠ Data de pagamento sem valor realizado",IF(AND(N($P639)&gt;1,N($O639)&gt;N($P639)),"⚠ Nº da parcela maior que o total",IF(AND($C639&lt;&gt;"",$B639&lt;&gt;"",$C639&lt;$B639),"⚠ Vencimento anterior à competência","OK"))))))))</f>
        <v/>
      </c>
    </row>
    <row r="640">
      <c r="A640" s="14" t="inlineStr">
        <is>
          <t>L0635</t>
        </is>
      </c>
      <c r="B640" s="36" t="n">
        <v>46706</v>
      </c>
      <c r="C640" s="36" t="n">
        <v>46706</v>
      </c>
      <c r="D640" s="36" t="n"/>
      <c r="E640" s="14" t="inlineStr">
        <is>
          <t>Saída</t>
        </is>
      </c>
      <c r="F640" s="29" t="inlineStr">
        <is>
          <t>Despesas Financeiras</t>
        </is>
      </c>
      <c r="G640" s="29" t="inlineStr">
        <is>
          <t>Juros de Empréstimos e Financiamentos</t>
        </is>
      </c>
      <c r="H640" s="29" t="inlineStr">
        <is>
          <t>Financeiro</t>
        </is>
      </c>
      <c r="I640" s="29" t="inlineStr">
        <is>
          <t>BNDES / Banco do Brasil</t>
        </is>
      </c>
      <c r="J640" s="29" t="inlineStr">
        <is>
          <t>Financiamento de Máquinas — parcela 21/36 (juros)</t>
        </is>
      </c>
      <c r="K640" s="14" t="inlineStr">
        <is>
          <t>FIN-2026-1198-P21</t>
        </is>
      </c>
      <c r="L640" s="29" t="inlineStr">
        <is>
          <t>Banco do Brasil — C/C 12345-6</t>
        </is>
      </c>
      <c r="M640" s="14" t="inlineStr">
        <is>
          <t>Débito automático</t>
        </is>
      </c>
      <c r="N640" s="29" t="n"/>
      <c r="O640" s="13" t="n">
        <v>21</v>
      </c>
      <c r="P640" s="13" t="n">
        <v>36</v>
      </c>
      <c r="Q640" s="35" t="n">
        <v>586.67</v>
      </c>
      <c r="R640" s="35" t="n"/>
      <c r="S640" s="35" t="n"/>
      <c r="T640" s="35" t="n"/>
      <c r="U640" s="35" t="n"/>
      <c r="V640" s="18">
        <f>IF(COUNTA($B640:$R640)=0,"",ROUND(N($R640)+N($S640)+N($T640)-N($U640),2))</f>
        <v/>
      </c>
      <c r="W640" s="18">
        <f>IF(COUNTA($B640:$R640)=0,"",IF(OR($X640="Pago",$X640="Recebido",$X640="Cancelado"),0,ROUND(N($Q640)+N($S640)+N($T640)-N($U640)-N($R640),2)))</f>
        <v/>
      </c>
      <c r="X640" s="14" t="inlineStr">
        <is>
          <t>Previsto</t>
        </is>
      </c>
      <c r="Y640" s="17">
        <f>IF(COUNTA($B640:$R640)=0,"",IF($X640="Cancelado","Cancelado",IF(OR($X640="Pago",$X640="Recebido"),$X640,IF(OR($X640="Parcial",N($R640)&gt;0),"Parcial",IF($C640="","Sem vencimento",IF($C640&lt;TODAY(),"Vencido",IF($C640=TODAY(),"Vence hoje",IF($C640&lt;=TODAY()+7,"Vence em 7 dias",IF($C640&lt;=TODAY()+30,"Vence em 30 dias","Futuro")))))))))</f>
        <v/>
      </c>
      <c r="Z640" s="24">
        <f>IF($B640="","",MONTH($B640))</f>
        <v/>
      </c>
      <c r="AA640" s="24">
        <f>IF($B640="","",YEAR($B640))</f>
        <v/>
      </c>
      <c r="AB640" s="24">
        <f>IF($B640="","",ISOWEEKNUM($B640))</f>
        <v/>
      </c>
      <c r="AC640" s="17">
        <f>IF($B640="","",CHOOSE(WEEKDAY($B640,2),"Segunda","Terça","Quarta","Quinta","Sexta","Sábado","Domingo"))</f>
        <v/>
      </c>
      <c r="AD640" s="17">
        <f>IF($B640="","",TEXT($B640,"MM/AAAA"))</f>
        <v/>
      </c>
      <c r="AE640" s="18">
        <f>IF(COUNTA($B640:$R640)=0,"",IF($X640="Cancelado",0,ROUND(N($Q640)+N($S640)+N($T640)-N($U640),2)))</f>
        <v/>
      </c>
      <c r="AF640" s="9">
        <f>IF($G640="","",IFERROR(INDEX(LINHAS_DRE_PLANO,MATCH($G640,SUBCATEGORIAS_PLANO,0)),"Não classificado"))</f>
        <v/>
      </c>
      <c r="AG640" s="17">
        <f>IF($G640="","",IFERROR(INDEX(TIPOS_FLUXO_PLANO,MATCH($G640,SUBCATEGORIAS_PLANO,0)),"Não classificado"))</f>
        <v/>
      </c>
      <c r="AH640" s="9">
        <f>IF($G640="","",IFERROR(INDEX(GRUPOS_PLANO,MATCH($G640,SUBCATEGORIAS_PLANO,0)),"Não classificado"))</f>
        <v/>
      </c>
      <c r="AI640" s="24">
        <f>IF(OR($C640="",$X640="Pago",$X640="Recebido",$X640="Cancelado"),"",$C640-TODAY())</f>
        <v/>
      </c>
      <c r="AJ640" s="24">
        <f>IF(OR($C640="",$X640="Pago",$X640="Recebido",$X640="Cancelado"),0,MAX(0,TODAY()-$C640))</f>
        <v/>
      </c>
      <c r="AK640" s="24">
        <f>IF($D640="","",$D640-$B640)</f>
        <v/>
      </c>
      <c r="AL640" s="18">
        <f>IF(OR($D640="",$B640=""),"",ROUND(N($R640)*($D640-$B640),2))</f>
        <v/>
      </c>
      <c r="AM640" s="17">
        <f>IF(AND($E640="Saída",$W640&gt;0,$C640&lt;&gt;""),$C640+ROW()/1000000,"")</f>
        <v/>
      </c>
      <c r="AN640" s="17">
        <f>IF(AND($E640="Entrada",$W640&gt;0,$C640&lt;&gt;""),$C640+ROW()/1000000,"")</f>
        <v/>
      </c>
      <c r="AO640" s="9">
        <f>IF(COUNTA($B640:$R640)=0,"",IF(AND($I640&lt;&gt;"",COUNTIF(CLIENTES_NOMES,$I640)+COUNTIF(CLIENTES_FANTASIA,$I640)+COUNTIF(FORNECEDORES_NOMES,$I640)+COUNTIF(FORNECEDORES_FANTASIA,$I640)=0),"⚠ Cliente/Fornecedor não cadastrado",IF(AND($G640&lt;&gt;"",COUNTIF(SUBCATEGORIAS_PLANO,$G640)=0),"⚠ Subcategoria fora do plano de contas",IF(OR($Q640="",N($Q640)=0),"⚠ Valor previsto não informado",IF(AND(OR($X640="Pago",$X640="Recebido"),$D640=""),"⚠ Status pago/recebido sem data",IF(AND($D640&lt;&gt;"",N($R640)=0),"⚠ Data de pagamento sem valor realizado",IF(AND(N($P640)&gt;1,N($O640)&gt;N($P640)),"⚠ Nº da parcela maior que o total",IF(AND($C640&lt;&gt;"",$B640&lt;&gt;"",$C640&lt;$B640),"⚠ Vencimento anterior à competência","OK"))))))))</f>
        <v/>
      </c>
    </row>
    <row r="641">
      <c r="A641" s="14" t="inlineStr">
        <is>
          <t>L0636</t>
        </is>
      </c>
      <c r="B641" s="36" t="n">
        <v>46711</v>
      </c>
      <c r="C641" s="36" t="n">
        <v>46711</v>
      </c>
      <c r="D641" s="36" t="n"/>
      <c r="E641" s="14" t="inlineStr">
        <is>
          <t>Saída</t>
        </is>
      </c>
      <c r="F641" s="29" t="inlineStr">
        <is>
          <t>Empréstimos e Financiamentos</t>
        </is>
      </c>
      <c r="G641" s="29" t="inlineStr">
        <is>
          <t>Pagamento de Principal de Empréstimos</t>
        </is>
      </c>
      <c r="H641" s="29" t="inlineStr">
        <is>
          <t>Diretoria</t>
        </is>
      </c>
      <c r="I641" s="29" t="inlineStr">
        <is>
          <t>Banco Santander</t>
        </is>
      </c>
      <c r="J641" s="29" t="inlineStr">
        <is>
          <t>Financiamento de Veículo — parcela 22/48 (principal)</t>
        </is>
      </c>
      <c r="K641" s="14" t="inlineStr">
        <is>
          <t>VEI-2026-0088-P22</t>
        </is>
      </c>
      <c r="L641" s="29" t="inlineStr">
        <is>
          <t>Itaú Unibanco — C/C 45678-9</t>
        </is>
      </c>
      <c r="M641" s="14" t="inlineStr">
        <is>
          <t>Débito automático</t>
        </is>
      </c>
      <c r="N641" s="29" t="n"/>
      <c r="O641" s="13" t="n">
        <v>22</v>
      </c>
      <c r="P641" s="13" t="n">
        <v>48</v>
      </c>
      <c r="Q641" s="35" t="n">
        <v>1592.02</v>
      </c>
      <c r="R641" s="35" t="n"/>
      <c r="S641" s="35" t="n"/>
      <c r="T641" s="35" t="n"/>
      <c r="U641" s="35" t="n"/>
      <c r="V641" s="18">
        <f>IF(COUNTA($B641:$R641)=0,"",ROUND(N($R641)+N($S641)+N($T641)-N($U641),2))</f>
        <v/>
      </c>
      <c r="W641" s="18">
        <f>IF(COUNTA($B641:$R641)=0,"",IF(OR($X641="Pago",$X641="Recebido",$X641="Cancelado"),0,ROUND(N($Q641)+N($S641)+N($T641)-N($U641)-N($R641),2)))</f>
        <v/>
      </c>
      <c r="X641" s="14" t="inlineStr">
        <is>
          <t>Previsto</t>
        </is>
      </c>
      <c r="Y641" s="17">
        <f>IF(COUNTA($B641:$R641)=0,"",IF($X641="Cancelado","Cancelado",IF(OR($X641="Pago",$X641="Recebido"),$X641,IF(OR($X641="Parcial",N($R641)&gt;0),"Parcial",IF($C641="","Sem vencimento",IF($C641&lt;TODAY(),"Vencido",IF($C641=TODAY(),"Vence hoje",IF($C641&lt;=TODAY()+7,"Vence em 7 dias",IF($C641&lt;=TODAY()+30,"Vence em 30 dias","Futuro")))))))))</f>
        <v/>
      </c>
      <c r="Z641" s="24">
        <f>IF($B641="","",MONTH($B641))</f>
        <v/>
      </c>
      <c r="AA641" s="24">
        <f>IF($B641="","",YEAR($B641))</f>
        <v/>
      </c>
      <c r="AB641" s="24">
        <f>IF($B641="","",ISOWEEKNUM($B641))</f>
        <v/>
      </c>
      <c r="AC641" s="17">
        <f>IF($B641="","",CHOOSE(WEEKDAY($B641,2),"Segunda","Terça","Quarta","Quinta","Sexta","Sábado","Domingo"))</f>
        <v/>
      </c>
      <c r="AD641" s="17">
        <f>IF($B641="","",TEXT($B641,"MM/AAAA"))</f>
        <v/>
      </c>
      <c r="AE641" s="18">
        <f>IF(COUNTA($B641:$R641)=0,"",IF($X641="Cancelado",0,ROUND(N($Q641)+N($S641)+N($T641)-N($U641),2)))</f>
        <v/>
      </c>
      <c r="AF641" s="9">
        <f>IF($G641="","",IFERROR(INDEX(LINHAS_DRE_PLANO,MATCH($G641,SUBCATEGORIAS_PLANO,0)),"Não classificado"))</f>
        <v/>
      </c>
      <c r="AG641" s="17">
        <f>IF($G641="","",IFERROR(INDEX(TIPOS_FLUXO_PLANO,MATCH($G641,SUBCATEGORIAS_PLANO,0)),"Não classificado"))</f>
        <v/>
      </c>
      <c r="AH641" s="9">
        <f>IF($G641="","",IFERROR(INDEX(GRUPOS_PLANO,MATCH($G641,SUBCATEGORIAS_PLANO,0)),"Não classificado"))</f>
        <v/>
      </c>
      <c r="AI641" s="24">
        <f>IF(OR($C641="",$X641="Pago",$X641="Recebido",$X641="Cancelado"),"",$C641-TODAY())</f>
        <v/>
      </c>
      <c r="AJ641" s="24">
        <f>IF(OR($C641="",$X641="Pago",$X641="Recebido",$X641="Cancelado"),0,MAX(0,TODAY()-$C641))</f>
        <v/>
      </c>
      <c r="AK641" s="24">
        <f>IF($D641="","",$D641-$B641)</f>
        <v/>
      </c>
      <c r="AL641" s="18">
        <f>IF(OR($D641="",$B641=""),"",ROUND(N($R641)*($D641-$B641),2))</f>
        <v/>
      </c>
      <c r="AM641" s="17">
        <f>IF(AND($E641="Saída",$W641&gt;0,$C641&lt;&gt;""),$C641+ROW()/1000000,"")</f>
        <v/>
      </c>
      <c r="AN641" s="17">
        <f>IF(AND($E641="Entrada",$W641&gt;0,$C641&lt;&gt;""),$C641+ROW()/1000000,"")</f>
        <v/>
      </c>
      <c r="AO641" s="9">
        <f>IF(COUNTA($B641:$R641)=0,"",IF(AND($I641&lt;&gt;"",COUNTIF(CLIENTES_NOMES,$I641)+COUNTIF(CLIENTES_FANTASIA,$I641)+COUNTIF(FORNECEDORES_NOMES,$I641)+COUNTIF(FORNECEDORES_FANTASIA,$I641)=0),"⚠ Cliente/Fornecedor não cadastrado",IF(AND($G641&lt;&gt;"",COUNTIF(SUBCATEGORIAS_PLANO,$G641)=0),"⚠ Subcategoria fora do plano de contas",IF(OR($Q641="",N($Q641)=0),"⚠ Valor previsto não informado",IF(AND(OR($X641="Pago",$X641="Recebido"),$D641=""),"⚠ Status pago/recebido sem data",IF(AND($D641&lt;&gt;"",N($R641)=0),"⚠ Data de pagamento sem valor realizado",IF(AND(N($P641)&gt;1,N($O641)&gt;N($P641)),"⚠ Nº da parcela maior que o total",IF(AND($C641&lt;&gt;"",$B641&lt;&gt;"",$C641&lt;$B641),"⚠ Vencimento anterior à competência","OK"))))))))</f>
        <v/>
      </c>
    </row>
    <row r="642">
      <c r="A642" s="14" t="inlineStr">
        <is>
          <t>L0637</t>
        </is>
      </c>
      <c r="B642" s="36" t="n">
        <v>46711</v>
      </c>
      <c r="C642" s="36" t="n">
        <v>46711</v>
      </c>
      <c r="D642" s="36" t="n"/>
      <c r="E642" s="14" t="inlineStr">
        <is>
          <t>Saída</t>
        </is>
      </c>
      <c r="F642" s="29" t="inlineStr">
        <is>
          <t>Despesas Financeiras</t>
        </is>
      </c>
      <c r="G642" s="29" t="inlineStr">
        <is>
          <t>Juros de Empréstimos e Financiamentos</t>
        </is>
      </c>
      <c r="H642" s="29" t="inlineStr">
        <is>
          <t>Diretoria</t>
        </is>
      </c>
      <c r="I642" s="29" t="inlineStr">
        <is>
          <t>Banco Santander</t>
        </is>
      </c>
      <c r="J642" s="29" t="inlineStr">
        <is>
          <t>Financiamento de Veículo — parcela 22/48 (juros)</t>
        </is>
      </c>
      <c r="K642" s="14" t="inlineStr">
        <is>
          <t>VEI-2026-0088-P22</t>
        </is>
      </c>
      <c r="L642" s="29" t="inlineStr">
        <is>
          <t>Itaú Unibanco — C/C 45678-9</t>
        </is>
      </c>
      <c r="M642" s="14" t="inlineStr">
        <is>
          <t>Débito automático</t>
        </is>
      </c>
      <c r="N642" s="29" t="n"/>
      <c r="O642" s="13" t="n">
        <v>22</v>
      </c>
      <c r="P642" s="13" t="n">
        <v>48</v>
      </c>
      <c r="Q642" s="35" t="n">
        <v>634.4400000000001</v>
      </c>
      <c r="R642" s="35" t="n"/>
      <c r="S642" s="35" t="n"/>
      <c r="T642" s="35" t="n"/>
      <c r="U642" s="35" t="n"/>
      <c r="V642" s="18">
        <f>IF(COUNTA($B642:$R642)=0,"",ROUND(N($R642)+N($S642)+N($T642)-N($U642),2))</f>
        <v/>
      </c>
      <c r="W642" s="18">
        <f>IF(COUNTA($B642:$R642)=0,"",IF(OR($X642="Pago",$X642="Recebido",$X642="Cancelado"),0,ROUND(N($Q642)+N($S642)+N($T642)-N($U642)-N($R642),2)))</f>
        <v/>
      </c>
      <c r="X642" s="14" t="inlineStr">
        <is>
          <t>Previsto</t>
        </is>
      </c>
      <c r="Y642" s="17">
        <f>IF(COUNTA($B642:$R642)=0,"",IF($X642="Cancelado","Cancelado",IF(OR($X642="Pago",$X642="Recebido"),$X642,IF(OR($X642="Parcial",N($R642)&gt;0),"Parcial",IF($C642="","Sem vencimento",IF($C642&lt;TODAY(),"Vencido",IF($C642=TODAY(),"Vence hoje",IF($C642&lt;=TODAY()+7,"Vence em 7 dias",IF($C642&lt;=TODAY()+30,"Vence em 30 dias","Futuro")))))))))</f>
        <v/>
      </c>
      <c r="Z642" s="24">
        <f>IF($B642="","",MONTH($B642))</f>
        <v/>
      </c>
      <c r="AA642" s="24">
        <f>IF($B642="","",YEAR($B642))</f>
        <v/>
      </c>
      <c r="AB642" s="24">
        <f>IF($B642="","",ISOWEEKNUM($B642))</f>
        <v/>
      </c>
      <c r="AC642" s="17">
        <f>IF($B642="","",CHOOSE(WEEKDAY($B642,2),"Segunda","Terça","Quarta","Quinta","Sexta","Sábado","Domingo"))</f>
        <v/>
      </c>
      <c r="AD642" s="17">
        <f>IF($B642="","",TEXT($B642,"MM/AAAA"))</f>
        <v/>
      </c>
      <c r="AE642" s="18">
        <f>IF(COUNTA($B642:$R642)=0,"",IF($X642="Cancelado",0,ROUND(N($Q642)+N($S642)+N($T642)-N($U642),2)))</f>
        <v/>
      </c>
      <c r="AF642" s="9">
        <f>IF($G642="","",IFERROR(INDEX(LINHAS_DRE_PLANO,MATCH($G642,SUBCATEGORIAS_PLANO,0)),"Não classificado"))</f>
        <v/>
      </c>
      <c r="AG642" s="17">
        <f>IF($G642="","",IFERROR(INDEX(TIPOS_FLUXO_PLANO,MATCH($G642,SUBCATEGORIAS_PLANO,0)),"Não classificado"))</f>
        <v/>
      </c>
      <c r="AH642" s="9">
        <f>IF($G642="","",IFERROR(INDEX(GRUPOS_PLANO,MATCH($G642,SUBCATEGORIAS_PLANO,0)),"Não classificado"))</f>
        <v/>
      </c>
      <c r="AI642" s="24">
        <f>IF(OR($C642="",$X642="Pago",$X642="Recebido",$X642="Cancelado"),"",$C642-TODAY())</f>
        <v/>
      </c>
      <c r="AJ642" s="24">
        <f>IF(OR($C642="",$X642="Pago",$X642="Recebido",$X642="Cancelado"),0,MAX(0,TODAY()-$C642))</f>
        <v/>
      </c>
      <c r="AK642" s="24">
        <f>IF($D642="","",$D642-$B642)</f>
        <v/>
      </c>
      <c r="AL642" s="18">
        <f>IF(OR($D642="",$B642=""),"",ROUND(N($R642)*($D642-$B642),2))</f>
        <v/>
      </c>
      <c r="AM642" s="17">
        <f>IF(AND($E642="Saída",$W642&gt;0,$C642&lt;&gt;""),$C642+ROW()/1000000,"")</f>
        <v/>
      </c>
      <c r="AN642" s="17">
        <f>IF(AND($E642="Entrada",$W642&gt;0,$C642&lt;&gt;""),$C642+ROW()/1000000,"")</f>
        <v/>
      </c>
      <c r="AO642" s="9">
        <f>IF(COUNTA($B642:$R642)=0,"",IF(AND($I642&lt;&gt;"",COUNTIF(CLIENTES_NOMES,$I642)+COUNTIF(CLIENTES_FANTASIA,$I642)+COUNTIF(FORNECEDORES_NOMES,$I642)+COUNTIF(FORNECEDORES_FANTASIA,$I642)=0),"⚠ Cliente/Fornecedor não cadastrado",IF(AND($G642&lt;&gt;"",COUNTIF(SUBCATEGORIAS_PLANO,$G642)=0),"⚠ Subcategoria fora do plano de contas",IF(OR($Q642="",N($Q642)=0),"⚠ Valor previsto não informado",IF(AND(OR($X642="Pago",$X642="Recebido"),$D642=""),"⚠ Status pago/recebido sem data",IF(AND($D642&lt;&gt;"",N($R642)=0),"⚠ Data de pagamento sem valor realizado",IF(AND(N($P642)&gt;1,N($O642)&gt;N($P642)),"⚠ Nº da parcela maior que o total",IF(AND($C642&lt;&gt;"",$B642&lt;&gt;"",$C642&lt;$B642),"⚠ Vencimento anterior à competência","OK"))))))))</f>
        <v/>
      </c>
    </row>
    <row r="643">
      <c r="A643" s="14" t="inlineStr">
        <is>
          <t>L0638</t>
        </is>
      </c>
      <c r="B643" s="36" t="n">
        <v>46731</v>
      </c>
      <c r="C643" s="36" t="n">
        <v>46731</v>
      </c>
      <c r="D643" s="36" t="n"/>
      <c r="E643" s="14" t="inlineStr">
        <is>
          <t>Saída</t>
        </is>
      </c>
      <c r="F643" s="29" t="inlineStr">
        <is>
          <t>Empréstimos e Financiamentos</t>
        </is>
      </c>
      <c r="G643" s="29" t="inlineStr">
        <is>
          <t>Pagamento de Principal de Empréstimos</t>
        </is>
      </c>
      <c r="H643" s="29" t="inlineStr">
        <is>
          <t>Financeiro</t>
        </is>
      </c>
      <c r="I643" s="29" t="inlineStr">
        <is>
          <t>Banco do Brasil</t>
        </is>
      </c>
      <c r="J643" s="29" t="inlineStr">
        <is>
          <t>Capital de Giro — parcela 23/24 (principal)</t>
        </is>
      </c>
      <c r="K643" s="14" t="inlineStr">
        <is>
          <t>CG-2026-0417-P23</t>
        </is>
      </c>
      <c r="L643" s="29" t="inlineStr">
        <is>
          <t>Banco do Brasil — C/C 12345-6</t>
        </is>
      </c>
      <c r="M643" s="14" t="inlineStr">
        <is>
          <t>Débito automático</t>
        </is>
      </c>
      <c r="N643" s="29" t="n"/>
      <c r="O643" s="13" t="n">
        <v>23</v>
      </c>
      <c r="P643" s="13" t="n">
        <v>24</v>
      </c>
      <c r="Q643" s="35" t="n">
        <v>2907.57</v>
      </c>
      <c r="R643" s="35" t="n"/>
      <c r="S643" s="35" t="n"/>
      <c r="T643" s="35" t="n"/>
      <c r="U643" s="35" t="n"/>
      <c r="V643" s="18">
        <f>IF(COUNTA($B643:$R643)=0,"",ROUND(N($R643)+N($S643)+N($T643)-N($U643),2))</f>
        <v/>
      </c>
      <c r="W643" s="18">
        <f>IF(COUNTA($B643:$R643)=0,"",IF(OR($X643="Pago",$X643="Recebido",$X643="Cancelado"),0,ROUND(N($Q643)+N($S643)+N($T643)-N($U643)-N($R643),2)))</f>
        <v/>
      </c>
      <c r="X643" s="14" t="inlineStr">
        <is>
          <t>Previsto</t>
        </is>
      </c>
      <c r="Y643" s="17">
        <f>IF(COUNTA($B643:$R643)=0,"",IF($X643="Cancelado","Cancelado",IF(OR($X643="Pago",$X643="Recebido"),$X643,IF(OR($X643="Parcial",N($R643)&gt;0),"Parcial",IF($C643="","Sem vencimento",IF($C643&lt;TODAY(),"Vencido",IF($C643=TODAY(),"Vence hoje",IF($C643&lt;=TODAY()+7,"Vence em 7 dias",IF($C643&lt;=TODAY()+30,"Vence em 30 dias","Futuro")))))))))</f>
        <v/>
      </c>
      <c r="Z643" s="24">
        <f>IF($B643="","",MONTH($B643))</f>
        <v/>
      </c>
      <c r="AA643" s="24">
        <f>IF($B643="","",YEAR($B643))</f>
        <v/>
      </c>
      <c r="AB643" s="24">
        <f>IF($B643="","",ISOWEEKNUM($B643))</f>
        <v/>
      </c>
      <c r="AC643" s="17">
        <f>IF($B643="","",CHOOSE(WEEKDAY($B643,2),"Segunda","Terça","Quarta","Quinta","Sexta","Sábado","Domingo"))</f>
        <v/>
      </c>
      <c r="AD643" s="17">
        <f>IF($B643="","",TEXT($B643,"MM/AAAA"))</f>
        <v/>
      </c>
      <c r="AE643" s="18">
        <f>IF(COUNTA($B643:$R643)=0,"",IF($X643="Cancelado",0,ROUND(N($Q643)+N($S643)+N($T643)-N($U643),2)))</f>
        <v/>
      </c>
      <c r="AF643" s="9">
        <f>IF($G643="","",IFERROR(INDEX(LINHAS_DRE_PLANO,MATCH($G643,SUBCATEGORIAS_PLANO,0)),"Não classificado"))</f>
        <v/>
      </c>
      <c r="AG643" s="17">
        <f>IF($G643="","",IFERROR(INDEX(TIPOS_FLUXO_PLANO,MATCH($G643,SUBCATEGORIAS_PLANO,0)),"Não classificado"))</f>
        <v/>
      </c>
      <c r="AH643" s="9">
        <f>IF($G643="","",IFERROR(INDEX(GRUPOS_PLANO,MATCH($G643,SUBCATEGORIAS_PLANO,0)),"Não classificado"))</f>
        <v/>
      </c>
      <c r="AI643" s="24">
        <f>IF(OR($C643="",$X643="Pago",$X643="Recebido",$X643="Cancelado"),"",$C643-TODAY())</f>
        <v/>
      </c>
      <c r="AJ643" s="24">
        <f>IF(OR($C643="",$X643="Pago",$X643="Recebido",$X643="Cancelado"),0,MAX(0,TODAY()-$C643))</f>
        <v/>
      </c>
      <c r="AK643" s="24">
        <f>IF($D643="","",$D643-$B643)</f>
        <v/>
      </c>
      <c r="AL643" s="18">
        <f>IF(OR($D643="",$B643=""),"",ROUND(N($R643)*($D643-$B643),2))</f>
        <v/>
      </c>
      <c r="AM643" s="17">
        <f>IF(AND($E643="Saída",$W643&gt;0,$C643&lt;&gt;""),$C643+ROW()/1000000,"")</f>
        <v/>
      </c>
      <c r="AN643" s="17">
        <f>IF(AND($E643="Entrada",$W643&gt;0,$C643&lt;&gt;""),$C643+ROW()/1000000,"")</f>
        <v/>
      </c>
      <c r="AO643" s="9">
        <f>IF(COUNTA($B643:$R643)=0,"",IF(AND($I643&lt;&gt;"",COUNTIF(CLIENTES_NOMES,$I643)+COUNTIF(CLIENTES_FANTASIA,$I643)+COUNTIF(FORNECEDORES_NOMES,$I643)+COUNTIF(FORNECEDORES_FANTASIA,$I643)=0),"⚠ Cliente/Fornecedor não cadastrado",IF(AND($G643&lt;&gt;"",COUNTIF(SUBCATEGORIAS_PLANO,$G643)=0),"⚠ Subcategoria fora do plano de contas",IF(OR($Q643="",N($Q643)=0),"⚠ Valor previsto não informado",IF(AND(OR($X643="Pago",$X643="Recebido"),$D643=""),"⚠ Status pago/recebido sem data",IF(AND($D643&lt;&gt;"",N($R643)=0),"⚠ Data de pagamento sem valor realizado",IF(AND(N($P643)&gt;1,N($O643)&gt;N($P643)),"⚠ Nº da parcela maior que o total",IF(AND($C643&lt;&gt;"",$B643&lt;&gt;"",$C643&lt;$B643),"⚠ Vencimento anterior à competência","OK"))))))))</f>
        <v/>
      </c>
    </row>
    <row r="644">
      <c r="A644" s="14" t="inlineStr">
        <is>
          <t>L0639</t>
        </is>
      </c>
      <c r="B644" s="36" t="n">
        <v>46731</v>
      </c>
      <c r="C644" s="36" t="n">
        <v>46731</v>
      </c>
      <c r="D644" s="36" t="n"/>
      <c r="E644" s="14" t="inlineStr">
        <is>
          <t>Saída</t>
        </is>
      </c>
      <c r="F644" s="29" t="inlineStr">
        <is>
          <t>Despesas Financeiras</t>
        </is>
      </c>
      <c r="G644" s="29" t="inlineStr">
        <is>
          <t>Juros de Empréstimos e Financiamentos</t>
        </is>
      </c>
      <c r="H644" s="29" t="inlineStr">
        <is>
          <t>Financeiro</t>
        </is>
      </c>
      <c r="I644" s="29" t="inlineStr">
        <is>
          <t>Banco do Brasil</t>
        </is>
      </c>
      <c r="J644" s="29" t="inlineStr">
        <is>
          <t>Capital de Giro — parcela 23/24 (juros)</t>
        </is>
      </c>
      <c r="K644" s="14" t="inlineStr">
        <is>
          <t>CG-2026-0417-P23</t>
        </is>
      </c>
      <c r="L644" s="29" t="inlineStr">
        <is>
          <t>Banco do Brasil — C/C 12345-6</t>
        </is>
      </c>
      <c r="M644" s="14" t="inlineStr">
        <is>
          <t>Débito automático</t>
        </is>
      </c>
      <c r="N644" s="29" t="n"/>
      <c r="O644" s="13" t="n">
        <v>23</v>
      </c>
      <c r="P644" s="13" t="n">
        <v>24</v>
      </c>
      <c r="Q644" s="35" t="n">
        <v>87.88</v>
      </c>
      <c r="R644" s="35" t="n"/>
      <c r="S644" s="35" t="n"/>
      <c r="T644" s="35" t="n"/>
      <c r="U644" s="35" t="n"/>
      <c r="V644" s="18">
        <f>IF(COUNTA($B644:$R644)=0,"",ROUND(N($R644)+N($S644)+N($T644)-N($U644),2))</f>
        <v/>
      </c>
      <c r="W644" s="18">
        <f>IF(COUNTA($B644:$R644)=0,"",IF(OR($X644="Pago",$X644="Recebido",$X644="Cancelado"),0,ROUND(N($Q644)+N($S644)+N($T644)-N($U644)-N($R644),2)))</f>
        <v/>
      </c>
      <c r="X644" s="14" t="inlineStr">
        <is>
          <t>Previsto</t>
        </is>
      </c>
      <c r="Y644" s="17">
        <f>IF(COUNTA($B644:$R644)=0,"",IF($X644="Cancelado","Cancelado",IF(OR($X644="Pago",$X644="Recebido"),$X644,IF(OR($X644="Parcial",N($R644)&gt;0),"Parcial",IF($C644="","Sem vencimento",IF($C644&lt;TODAY(),"Vencido",IF($C644=TODAY(),"Vence hoje",IF($C644&lt;=TODAY()+7,"Vence em 7 dias",IF($C644&lt;=TODAY()+30,"Vence em 30 dias","Futuro")))))))))</f>
        <v/>
      </c>
      <c r="Z644" s="24">
        <f>IF($B644="","",MONTH($B644))</f>
        <v/>
      </c>
      <c r="AA644" s="24">
        <f>IF($B644="","",YEAR($B644))</f>
        <v/>
      </c>
      <c r="AB644" s="24">
        <f>IF($B644="","",ISOWEEKNUM($B644))</f>
        <v/>
      </c>
      <c r="AC644" s="17">
        <f>IF($B644="","",CHOOSE(WEEKDAY($B644,2),"Segunda","Terça","Quarta","Quinta","Sexta","Sábado","Domingo"))</f>
        <v/>
      </c>
      <c r="AD644" s="17">
        <f>IF($B644="","",TEXT($B644,"MM/AAAA"))</f>
        <v/>
      </c>
      <c r="AE644" s="18">
        <f>IF(COUNTA($B644:$R644)=0,"",IF($X644="Cancelado",0,ROUND(N($Q644)+N($S644)+N($T644)-N($U644),2)))</f>
        <v/>
      </c>
      <c r="AF644" s="9">
        <f>IF($G644="","",IFERROR(INDEX(LINHAS_DRE_PLANO,MATCH($G644,SUBCATEGORIAS_PLANO,0)),"Não classificado"))</f>
        <v/>
      </c>
      <c r="AG644" s="17">
        <f>IF($G644="","",IFERROR(INDEX(TIPOS_FLUXO_PLANO,MATCH($G644,SUBCATEGORIAS_PLANO,0)),"Não classificado"))</f>
        <v/>
      </c>
      <c r="AH644" s="9">
        <f>IF($G644="","",IFERROR(INDEX(GRUPOS_PLANO,MATCH($G644,SUBCATEGORIAS_PLANO,0)),"Não classificado"))</f>
        <v/>
      </c>
      <c r="AI644" s="24">
        <f>IF(OR($C644="",$X644="Pago",$X644="Recebido",$X644="Cancelado"),"",$C644-TODAY())</f>
        <v/>
      </c>
      <c r="AJ644" s="24">
        <f>IF(OR($C644="",$X644="Pago",$X644="Recebido",$X644="Cancelado"),0,MAX(0,TODAY()-$C644))</f>
        <v/>
      </c>
      <c r="AK644" s="24">
        <f>IF($D644="","",$D644-$B644)</f>
        <v/>
      </c>
      <c r="AL644" s="18">
        <f>IF(OR($D644="",$B644=""),"",ROUND(N($R644)*($D644-$B644),2))</f>
        <v/>
      </c>
      <c r="AM644" s="17">
        <f>IF(AND($E644="Saída",$W644&gt;0,$C644&lt;&gt;""),$C644+ROW()/1000000,"")</f>
        <v/>
      </c>
      <c r="AN644" s="17">
        <f>IF(AND($E644="Entrada",$W644&gt;0,$C644&lt;&gt;""),$C644+ROW()/1000000,"")</f>
        <v/>
      </c>
      <c r="AO644" s="9">
        <f>IF(COUNTA($B644:$R644)=0,"",IF(AND($I644&lt;&gt;"",COUNTIF(CLIENTES_NOMES,$I644)+COUNTIF(CLIENTES_FANTASIA,$I644)+COUNTIF(FORNECEDORES_NOMES,$I644)+COUNTIF(FORNECEDORES_FANTASIA,$I644)=0),"⚠ Cliente/Fornecedor não cadastrado",IF(AND($G644&lt;&gt;"",COUNTIF(SUBCATEGORIAS_PLANO,$G644)=0),"⚠ Subcategoria fora do plano de contas",IF(OR($Q644="",N($Q644)=0),"⚠ Valor previsto não informado",IF(AND(OR($X644="Pago",$X644="Recebido"),$D644=""),"⚠ Status pago/recebido sem data",IF(AND($D644&lt;&gt;"",N($R644)=0),"⚠ Data de pagamento sem valor realizado",IF(AND(N($P644)&gt;1,N($O644)&gt;N($P644)),"⚠ Nº da parcela maior que o total",IF(AND($C644&lt;&gt;"",$B644&lt;&gt;"",$C644&lt;$B644),"⚠ Vencimento anterior à competência","OK"))))))))</f>
        <v/>
      </c>
    </row>
    <row r="645">
      <c r="A645" s="14" t="inlineStr">
        <is>
          <t>L0640</t>
        </is>
      </c>
      <c r="B645" s="36" t="n">
        <v>46736</v>
      </c>
      <c r="C645" s="36" t="n">
        <v>46736</v>
      </c>
      <c r="D645" s="36" t="n"/>
      <c r="E645" s="14" t="inlineStr">
        <is>
          <t>Saída</t>
        </is>
      </c>
      <c r="F645" s="29" t="inlineStr">
        <is>
          <t>Empréstimos e Financiamentos</t>
        </is>
      </c>
      <c r="G645" s="29" t="inlineStr">
        <is>
          <t>Pagamento de Principal de Empréstimos</t>
        </is>
      </c>
      <c r="H645" s="29" t="inlineStr">
        <is>
          <t>Financeiro</t>
        </is>
      </c>
      <c r="I645" s="29" t="inlineStr">
        <is>
          <t>BNDES / Banco do Brasil</t>
        </is>
      </c>
      <c r="J645" s="29" t="inlineStr">
        <is>
          <t>Financiamento de Máquinas — parcela 22/36 (principal)</t>
        </is>
      </c>
      <c r="K645" s="14" t="inlineStr">
        <is>
          <t>FIN-2026-1198-P22</t>
        </is>
      </c>
      <c r="L645" s="29" t="inlineStr">
        <is>
          <t>Banco do Brasil — C/C 12345-6</t>
        </is>
      </c>
      <c r="M645" s="14" t="inlineStr">
        <is>
          <t>Débito automático</t>
        </is>
      </c>
      <c r="N645" s="29" t="n"/>
      <c r="O645" s="13" t="n">
        <v>22</v>
      </c>
      <c r="P645" s="13" t="n">
        <v>36</v>
      </c>
      <c r="Q645" s="35" t="n">
        <v>3333.33</v>
      </c>
      <c r="R645" s="35" t="n"/>
      <c r="S645" s="35" t="n"/>
      <c r="T645" s="35" t="n"/>
      <c r="U645" s="35" t="n"/>
      <c r="V645" s="18">
        <f>IF(COUNTA($B645:$R645)=0,"",ROUND(N($R645)+N($S645)+N($T645)-N($U645),2))</f>
        <v/>
      </c>
      <c r="W645" s="18">
        <f>IF(COUNTA($B645:$R645)=0,"",IF(OR($X645="Pago",$X645="Recebido",$X645="Cancelado"),0,ROUND(N($Q645)+N($S645)+N($T645)-N($U645)-N($R645),2)))</f>
        <v/>
      </c>
      <c r="X645" s="14" t="inlineStr">
        <is>
          <t>Previsto</t>
        </is>
      </c>
      <c r="Y645" s="17">
        <f>IF(COUNTA($B645:$R645)=0,"",IF($X645="Cancelado","Cancelado",IF(OR($X645="Pago",$X645="Recebido"),$X645,IF(OR($X645="Parcial",N($R645)&gt;0),"Parcial",IF($C645="","Sem vencimento",IF($C645&lt;TODAY(),"Vencido",IF($C645=TODAY(),"Vence hoje",IF($C645&lt;=TODAY()+7,"Vence em 7 dias",IF($C645&lt;=TODAY()+30,"Vence em 30 dias","Futuro")))))))))</f>
        <v/>
      </c>
      <c r="Z645" s="24">
        <f>IF($B645="","",MONTH($B645))</f>
        <v/>
      </c>
      <c r="AA645" s="24">
        <f>IF($B645="","",YEAR($B645))</f>
        <v/>
      </c>
      <c r="AB645" s="24">
        <f>IF($B645="","",ISOWEEKNUM($B645))</f>
        <v/>
      </c>
      <c r="AC645" s="17">
        <f>IF($B645="","",CHOOSE(WEEKDAY($B645,2),"Segunda","Terça","Quarta","Quinta","Sexta","Sábado","Domingo"))</f>
        <v/>
      </c>
      <c r="AD645" s="17">
        <f>IF($B645="","",TEXT($B645,"MM/AAAA"))</f>
        <v/>
      </c>
      <c r="AE645" s="18">
        <f>IF(COUNTA($B645:$R645)=0,"",IF($X645="Cancelado",0,ROUND(N($Q645)+N($S645)+N($T645)-N($U645),2)))</f>
        <v/>
      </c>
      <c r="AF645" s="9">
        <f>IF($G645="","",IFERROR(INDEX(LINHAS_DRE_PLANO,MATCH($G645,SUBCATEGORIAS_PLANO,0)),"Não classificado"))</f>
        <v/>
      </c>
      <c r="AG645" s="17">
        <f>IF($G645="","",IFERROR(INDEX(TIPOS_FLUXO_PLANO,MATCH($G645,SUBCATEGORIAS_PLANO,0)),"Não classificado"))</f>
        <v/>
      </c>
      <c r="AH645" s="9">
        <f>IF($G645="","",IFERROR(INDEX(GRUPOS_PLANO,MATCH($G645,SUBCATEGORIAS_PLANO,0)),"Não classificado"))</f>
        <v/>
      </c>
      <c r="AI645" s="24">
        <f>IF(OR($C645="",$X645="Pago",$X645="Recebido",$X645="Cancelado"),"",$C645-TODAY())</f>
        <v/>
      </c>
      <c r="AJ645" s="24">
        <f>IF(OR($C645="",$X645="Pago",$X645="Recebido",$X645="Cancelado"),0,MAX(0,TODAY()-$C645))</f>
        <v/>
      </c>
      <c r="AK645" s="24">
        <f>IF($D645="","",$D645-$B645)</f>
        <v/>
      </c>
      <c r="AL645" s="18">
        <f>IF(OR($D645="",$B645=""),"",ROUND(N($R645)*($D645-$B645),2))</f>
        <v/>
      </c>
      <c r="AM645" s="17">
        <f>IF(AND($E645="Saída",$W645&gt;0,$C645&lt;&gt;""),$C645+ROW()/1000000,"")</f>
        <v/>
      </c>
      <c r="AN645" s="17">
        <f>IF(AND($E645="Entrada",$W645&gt;0,$C645&lt;&gt;""),$C645+ROW()/1000000,"")</f>
        <v/>
      </c>
      <c r="AO645" s="9">
        <f>IF(COUNTA($B645:$R645)=0,"",IF(AND($I645&lt;&gt;"",COUNTIF(CLIENTES_NOMES,$I645)+COUNTIF(CLIENTES_FANTASIA,$I645)+COUNTIF(FORNECEDORES_NOMES,$I645)+COUNTIF(FORNECEDORES_FANTASIA,$I645)=0),"⚠ Cliente/Fornecedor não cadastrado",IF(AND($G645&lt;&gt;"",COUNTIF(SUBCATEGORIAS_PLANO,$G645)=0),"⚠ Subcategoria fora do plano de contas",IF(OR($Q645="",N($Q645)=0),"⚠ Valor previsto não informado",IF(AND(OR($X645="Pago",$X645="Recebido"),$D645=""),"⚠ Status pago/recebido sem data",IF(AND($D645&lt;&gt;"",N($R645)=0),"⚠ Data de pagamento sem valor realizado",IF(AND(N($P645)&gt;1,N($O645)&gt;N($P645)),"⚠ Nº da parcela maior que o total",IF(AND($C645&lt;&gt;"",$B645&lt;&gt;"",$C645&lt;$B645),"⚠ Vencimento anterior à competência","OK"))))))))</f>
        <v/>
      </c>
    </row>
    <row r="646">
      <c r="A646" s="14" t="inlineStr">
        <is>
          <t>L0641</t>
        </is>
      </c>
      <c r="B646" s="36" t="n">
        <v>46736</v>
      </c>
      <c r="C646" s="36" t="n">
        <v>46736</v>
      </c>
      <c r="D646" s="36" t="n"/>
      <c r="E646" s="14" t="inlineStr">
        <is>
          <t>Saída</t>
        </is>
      </c>
      <c r="F646" s="29" t="inlineStr">
        <is>
          <t>Despesas Financeiras</t>
        </is>
      </c>
      <c r="G646" s="29" t="inlineStr">
        <is>
          <t>Juros de Empréstimos e Financiamentos</t>
        </is>
      </c>
      <c r="H646" s="29" t="inlineStr">
        <is>
          <t>Financeiro</t>
        </is>
      </c>
      <c r="I646" s="29" t="inlineStr">
        <is>
          <t>BNDES / Banco do Brasil</t>
        </is>
      </c>
      <c r="J646" s="29" t="inlineStr">
        <is>
          <t>Financiamento de Máquinas — parcela 22/36 (juros)</t>
        </is>
      </c>
      <c r="K646" s="14" t="inlineStr">
        <is>
          <t>FIN-2026-1198-P22</t>
        </is>
      </c>
      <c r="L646" s="29" t="inlineStr">
        <is>
          <t>Banco do Brasil — C/C 12345-6</t>
        </is>
      </c>
      <c r="M646" s="14" t="inlineStr">
        <is>
          <t>Débito automático</t>
        </is>
      </c>
      <c r="N646" s="29" t="n"/>
      <c r="O646" s="13" t="n">
        <v>22</v>
      </c>
      <c r="P646" s="13" t="n">
        <v>36</v>
      </c>
      <c r="Q646" s="35" t="n">
        <v>550</v>
      </c>
      <c r="R646" s="35" t="n"/>
      <c r="S646" s="35" t="n"/>
      <c r="T646" s="35" t="n"/>
      <c r="U646" s="35" t="n"/>
      <c r="V646" s="18">
        <f>IF(COUNTA($B646:$R646)=0,"",ROUND(N($R646)+N($S646)+N($T646)-N($U646),2))</f>
        <v/>
      </c>
      <c r="W646" s="18">
        <f>IF(COUNTA($B646:$R646)=0,"",IF(OR($X646="Pago",$X646="Recebido",$X646="Cancelado"),0,ROUND(N($Q646)+N($S646)+N($T646)-N($U646)-N($R646),2)))</f>
        <v/>
      </c>
      <c r="X646" s="14" t="inlineStr">
        <is>
          <t>Previsto</t>
        </is>
      </c>
      <c r="Y646" s="17">
        <f>IF(COUNTA($B646:$R646)=0,"",IF($X646="Cancelado","Cancelado",IF(OR($X646="Pago",$X646="Recebido"),$X646,IF(OR($X646="Parcial",N($R646)&gt;0),"Parcial",IF($C646="","Sem vencimento",IF($C646&lt;TODAY(),"Vencido",IF($C646=TODAY(),"Vence hoje",IF($C646&lt;=TODAY()+7,"Vence em 7 dias",IF($C646&lt;=TODAY()+30,"Vence em 30 dias","Futuro")))))))))</f>
        <v/>
      </c>
      <c r="Z646" s="24">
        <f>IF($B646="","",MONTH($B646))</f>
        <v/>
      </c>
      <c r="AA646" s="24">
        <f>IF($B646="","",YEAR($B646))</f>
        <v/>
      </c>
      <c r="AB646" s="24">
        <f>IF($B646="","",ISOWEEKNUM($B646))</f>
        <v/>
      </c>
      <c r="AC646" s="17">
        <f>IF($B646="","",CHOOSE(WEEKDAY($B646,2),"Segunda","Terça","Quarta","Quinta","Sexta","Sábado","Domingo"))</f>
        <v/>
      </c>
      <c r="AD646" s="17">
        <f>IF($B646="","",TEXT($B646,"MM/AAAA"))</f>
        <v/>
      </c>
      <c r="AE646" s="18">
        <f>IF(COUNTA($B646:$R646)=0,"",IF($X646="Cancelado",0,ROUND(N($Q646)+N($S646)+N($T646)-N($U646),2)))</f>
        <v/>
      </c>
      <c r="AF646" s="9">
        <f>IF($G646="","",IFERROR(INDEX(LINHAS_DRE_PLANO,MATCH($G646,SUBCATEGORIAS_PLANO,0)),"Não classificado"))</f>
        <v/>
      </c>
      <c r="AG646" s="17">
        <f>IF($G646="","",IFERROR(INDEX(TIPOS_FLUXO_PLANO,MATCH($G646,SUBCATEGORIAS_PLANO,0)),"Não classificado"))</f>
        <v/>
      </c>
      <c r="AH646" s="9">
        <f>IF($G646="","",IFERROR(INDEX(GRUPOS_PLANO,MATCH($G646,SUBCATEGORIAS_PLANO,0)),"Não classificado"))</f>
        <v/>
      </c>
      <c r="AI646" s="24">
        <f>IF(OR($C646="",$X646="Pago",$X646="Recebido",$X646="Cancelado"),"",$C646-TODAY())</f>
        <v/>
      </c>
      <c r="AJ646" s="24">
        <f>IF(OR($C646="",$X646="Pago",$X646="Recebido",$X646="Cancelado"),0,MAX(0,TODAY()-$C646))</f>
        <v/>
      </c>
      <c r="AK646" s="24">
        <f>IF($D646="","",$D646-$B646)</f>
        <v/>
      </c>
      <c r="AL646" s="18">
        <f>IF(OR($D646="",$B646=""),"",ROUND(N($R646)*($D646-$B646),2))</f>
        <v/>
      </c>
      <c r="AM646" s="17">
        <f>IF(AND($E646="Saída",$W646&gt;0,$C646&lt;&gt;""),$C646+ROW()/1000000,"")</f>
        <v/>
      </c>
      <c r="AN646" s="17">
        <f>IF(AND($E646="Entrada",$W646&gt;0,$C646&lt;&gt;""),$C646+ROW()/1000000,"")</f>
        <v/>
      </c>
      <c r="AO646" s="9">
        <f>IF(COUNTA($B646:$R646)=0,"",IF(AND($I646&lt;&gt;"",COUNTIF(CLIENTES_NOMES,$I646)+COUNTIF(CLIENTES_FANTASIA,$I646)+COUNTIF(FORNECEDORES_NOMES,$I646)+COUNTIF(FORNECEDORES_FANTASIA,$I646)=0),"⚠ Cliente/Fornecedor não cadastrado",IF(AND($G646&lt;&gt;"",COUNTIF(SUBCATEGORIAS_PLANO,$G646)=0),"⚠ Subcategoria fora do plano de contas",IF(OR($Q646="",N($Q646)=0),"⚠ Valor previsto não informado",IF(AND(OR($X646="Pago",$X646="Recebido"),$D646=""),"⚠ Status pago/recebido sem data",IF(AND($D646&lt;&gt;"",N($R646)=0),"⚠ Data de pagamento sem valor realizado",IF(AND(N($P646)&gt;1,N($O646)&gt;N($P646)),"⚠ Nº da parcela maior que o total",IF(AND($C646&lt;&gt;"",$B646&lt;&gt;"",$C646&lt;$B646),"⚠ Vencimento anterior à competência","OK"))))))))</f>
        <v/>
      </c>
    </row>
    <row r="647">
      <c r="A647" s="14" t="inlineStr">
        <is>
          <t>L0642</t>
        </is>
      </c>
      <c r="B647" s="36" t="n">
        <v>46741</v>
      </c>
      <c r="C647" s="36" t="n">
        <v>46741</v>
      </c>
      <c r="D647" s="36" t="n"/>
      <c r="E647" s="14" t="inlineStr">
        <is>
          <t>Saída</t>
        </is>
      </c>
      <c r="F647" s="29" t="inlineStr">
        <is>
          <t>Empréstimos e Financiamentos</t>
        </is>
      </c>
      <c r="G647" s="29" t="inlineStr">
        <is>
          <t>Pagamento de Principal de Empréstimos</t>
        </is>
      </c>
      <c r="H647" s="29" t="inlineStr">
        <is>
          <t>Diretoria</t>
        </is>
      </c>
      <c r="I647" s="29" t="inlineStr">
        <is>
          <t>Banco Santander</t>
        </is>
      </c>
      <c r="J647" s="29" t="inlineStr">
        <is>
          <t>Financiamento de Veículo — parcela 23/48 (principal)</t>
        </is>
      </c>
      <c r="K647" s="14" t="inlineStr">
        <is>
          <t>VEI-2026-0088-P23</t>
        </is>
      </c>
      <c r="L647" s="29" t="inlineStr">
        <is>
          <t>Itaú Unibanco — C/C 45678-9</t>
        </is>
      </c>
      <c r="M647" s="14" t="inlineStr">
        <is>
          <t>Débito automático</t>
        </is>
      </c>
      <c r="N647" s="29" t="n"/>
      <c r="O647" s="13" t="n">
        <v>23</v>
      </c>
      <c r="P647" s="13" t="n">
        <v>48</v>
      </c>
      <c r="Q647" s="35" t="n">
        <v>1611.92</v>
      </c>
      <c r="R647" s="35" t="n"/>
      <c r="S647" s="35" t="n"/>
      <c r="T647" s="35" t="n"/>
      <c r="U647" s="35" t="n"/>
      <c r="V647" s="18">
        <f>IF(COUNTA($B647:$R647)=0,"",ROUND(N($R647)+N($S647)+N($T647)-N($U647),2))</f>
        <v/>
      </c>
      <c r="W647" s="18">
        <f>IF(COUNTA($B647:$R647)=0,"",IF(OR($X647="Pago",$X647="Recebido",$X647="Cancelado"),0,ROUND(N($Q647)+N($S647)+N($T647)-N($U647)-N($R647),2)))</f>
        <v/>
      </c>
      <c r="X647" s="14" t="inlineStr">
        <is>
          <t>Previsto</t>
        </is>
      </c>
      <c r="Y647" s="17">
        <f>IF(COUNTA($B647:$R647)=0,"",IF($X647="Cancelado","Cancelado",IF(OR($X647="Pago",$X647="Recebido"),$X647,IF(OR($X647="Parcial",N($R647)&gt;0),"Parcial",IF($C647="","Sem vencimento",IF($C647&lt;TODAY(),"Vencido",IF($C647=TODAY(),"Vence hoje",IF($C647&lt;=TODAY()+7,"Vence em 7 dias",IF($C647&lt;=TODAY()+30,"Vence em 30 dias","Futuro")))))))))</f>
        <v/>
      </c>
      <c r="Z647" s="24">
        <f>IF($B647="","",MONTH($B647))</f>
        <v/>
      </c>
      <c r="AA647" s="24">
        <f>IF($B647="","",YEAR($B647))</f>
        <v/>
      </c>
      <c r="AB647" s="24">
        <f>IF($B647="","",ISOWEEKNUM($B647))</f>
        <v/>
      </c>
      <c r="AC647" s="17">
        <f>IF($B647="","",CHOOSE(WEEKDAY($B647,2),"Segunda","Terça","Quarta","Quinta","Sexta","Sábado","Domingo"))</f>
        <v/>
      </c>
      <c r="AD647" s="17">
        <f>IF($B647="","",TEXT($B647,"MM/AAAA"))</f>
        <v/>
      </c>
      <c r="AE647" s="18">
        <f>IF(COUNTA($B647:$R647)=0,"",IF($X647="Cancelado",0,ROUND(N($Q647)+N($S647)+N($T647)-N($U647),2)))</f>
        <v/>
      </c>
      <c r="AF647" s="9">
        <f>IF($G647="","",IFERROR(INDEX(LINHAS_DRE_PLANO,MATCH($G647,SUBCATEGORIAS_PLANO,0)),"Não classificado"))</f>
        <v/>
      </c>
      <c r="AG647" s="17">
        <f>IF($G647="","",IFERROR(INDEX(TIPOS_FLUXO_PLANO,MATCH($G647,SUBCATEGORIAS_PLANO,0)),"Não classificado"))</f>
        <v/>
      </c>
      <c r="AH647" s="9">
        <f>IF($G647="","",IFERROR(INDEX(GRUPOS_PLANO,MATCH($G647,SUBCATEGORIAS_PLANO,0)),"Não classificado"))</f>
        <v/>
      </c>
      <c r="AI647" s="24">
        <f>IF(OR($C647="",$X647="Pago",$X647="Recebido",$X647="Cancelado"),"",$C647-TODAY())</f>
        <v/>
      </c>
      <c r="AJ647" s="24">
        <f>IF(OR($C647="",$X647="Pago",$X647="Recebido",$X647="Cancelado"),0,MAX(0,TODAY()-$C647))</f>
        <v/>
      </c>
      <c r="AK647" s="24">
        <f>IF($D647="","",$D647-$B647)</f>
        <v/>
      </c>
      <c r="AL647" s="18">
        <f>IF(OR($D647="",$B647=""),"",ROUND(N($R647)*($D647-$B647),2))</f>
        <v/>
      </c>
      <c r="AM647" s="17">
        <f>IF(AND($E647="Saída",$W647&gt;0,$C647&lt;&gt;""),$C647+ROW()/1000000,"")</f>
        <v/>
      </c>
      <c r="AN647" s="17">
        <f>IF(AND($E647="Entrada",$W647&gt;0,$C647&lt;&gt;""),$C647+ROW()/1000000,"")</f>
        <v/>
      </c>
      <c r="AO647" s="9">
        <f>IF(COUNTA($B647:$R647)=0,"",IF(AND($I647&lt;&gt;"",COUNTIF(CLIENTES_NOMES,$I647)+COUNTIF(CLIENTES_FANTASIA,$I647)+COUNTIF(FORNECEDORES_NOMES,$I647)+COUNTIF(FORNECEDORES_FANTASIA,$I647)=0),"⚠ Cliente/Fornecedor não cadastrado",IF(AND($G647&lt;&gt;"",COUNTIF(SUBCATEGORIAS_PLANO,$G647)=0),"⚠ Subcategoria fora do plano de contas",IF(OR($Q647="",N($Q647)=0),"⚠ Valor previsto não informado",IF(AND(OR($X647="Pago",$X647="Recebido"),$D647=""),"⚠ Status pago/recebido sem data",IF(AND($D647&lt;&gt;"",N($R647)=0),"⚠ Data de pagamento sem valor realizado",IF(AND(N($P647)&gt;1,N($O647)&gt;N($P647)),"⚠ Nº da parcela maior que o total",IF(AND($C647&lt;&gt;"",$B647&lt;&gt;"",$C647&lt;$B647),"⚠ Vencimento anterior à competência","OK"))))))))</f>
        <v/>
      </c>
    </row>
    <row r="648">
      <c r="A648" s="14" t="inlineStr">
        <is>
          <t>L0643</t>
        </is>
      </c>
      <c r="B648" s="36" t="n">
        <v>46741</v>
      </c>
      <c r="C648" s="36" t="n">
        <v>46741</v>
      </c>
      <c r="D648" s="36" t="n"/>
      <c r="E648" s="14" t="inlineStr">
        <is>
          <t>Saída</t>
        </is>
      </c>
      <c r="F648" s="29" t="inlineStr">
        <is>
          <t>Despesas Financeiras</t>
        </is>
      </c>
      <c r="G648" s="29" t="inlineStr">
        <is>
          <t>Juros de Empréstimos e Financiamentos</t>
        </is>
      </c>
      <c r="H648" s="29" t="inlineStr">
        <is>
          <t>Diretoria</t>
        </is>
      </c>
      <c r="I648" s="29" t="inlineStr">
        <is>
          <t>Banco Santander</t>
        </is>
      </c>
      <c r="J648" s="29" t="inlineStr">
        <is>
          <t>Financiamento de Veículo — parcela 23/48 (juros)</t>
        </is>
      </c>
      <c r="K648" s="14" t="inlineStr">
        <is>
          <t>VEI-2026-0088-P23</t>
        </is>
      </c>
      <c r="L648" s="29" t="inlineStr">
        <is>
          <t>Itaú Unibanco — C/C 45678-9</t>
        </is>
      </c>
      <c r="M648" s="14" t="inlineStr">
        <is>
          <t>Débito automático</t>
        </is>
      </c>
      <c r="N648" s="29" t="n"/>
      <c r="O648" s="13" t="n">
        <v>23</v>
      </c>
      <c r="P648" s="13" t="n">
        <v>48</v>
      </c>
      <c r="Q648" s="35" t="n">
        <v>614.54</v>
      </c>
      <c r="R648" s="35" t="n"/>
      <c r="S648" s="35" t="n"/>
      <c r="T648" s="35" t="n"/>
      <c r="U648" s="35" t="n"/>
      <c r="V648" s="18">
        <f>IF(COUNTA($B648:$R648)=0,"",ROUND(N($R648)+N($S648)+N($T648)-N($U648),2))</f>
        <v/>
      </c>
      <c r="W648" s="18">
        <f>IF(COUNTA($B648:$R648)=0,"",IF(OR($X648="Pago",$X648="Recebido",$X648="Cancelado"),0,ROUND(N($Q648)+N($S648)+N($T648)-N($U648)-N($R648),2)))</f>
        <v/>
      </c>
      <c r="X648" s="14" t="inlineStr">
        <is>
          <t>Previsto</t>
        </is>
      </c>
      <c r="Y648" s="17">
        <f>IF(COUNTA($B648:$R648)=0,"",IF($X648="Cancelado","Cancelado",IF(OR($X648="Pago",$X648="Recebido"),$X648,IF(OR($X648="Parcial",N($R648)&gt;0),"Parcial",IF($C648="","Sem vencimento",IF($C648&lt;TODAY(),"Vencido",IF($C648=TODAY(),"Vence hoje",IF($C648&lt;=TODAY()+7,"Vence em 7 dias",IF($C648&lt;=TODAY()+30,"Vence em 30 dias","Futuro")))))))))</f>
        <v/>
      </c>
      <c r="Z648" s="24">
        <f>IF($B648="","",MONTH($B648))</f>
        <v/>
      </c>
      <c r="AA648" s="24">
        <f>IF($B648="","",YEAR($B648))</f>
        <v/>
      </c>
      <c r="AB648" s="24">
        <f>IF($B648="","",ISOWEEKNUM($B648))</f>
        <v/>
      </c>
      <c r="AC648" s="17">
        <f>IF($B648="","",CHOOSE(WEEKDAY($B648,2),"Segunda","Terça","Quarta","Quinta","Sexta","Sábado","Domingo"))</f>
        <v/>
      </c>
      <c r="AD648" s="17">
        <f>IF($B648="","",TEXT($B648,"MM/AAAA"))</f>
        <v/>
      </c>
      <c r="AE648" s="18">
        <f>IF(COUNTA($B648:$R648)=0,"",IF($X648="Cancelado",0,ROUND(N($Q648)+N($S648)+N($T648)-N($U648),2)))</f>
        <v/>
      </c>
      <c r="AF648" s="9">
        <f>IF($G648="","",IFERROR(INDEX(LINHAS_DRE_PLANO,MATCH($G648,SUBCATEGORIAS_PLANO,0)),"Não classificado"))</f>
        <v/>
      </c>
      <c r="AG648" s="17">
        <f>IF($G648="","",IFERROR(INDEX(TIPOS_FLUXO_PLANO,MATCH($G648,SUBCATEGORIAS_PLANO,0)),"Não classificado"))</f>
        <v/>
      </c>
      <c r="AH648" s="9">
        <f>IF($G648="","",IFERROR(INDEX(GRUPOS_PLANO,MATCH($G648,SUBCATEGORIAS_PLANO,0)),"Não classificado"))</f>
        <v/>
      </c>
      <c r="AI648" s="24">
        <f>IF(OR($C648="",$X648="Pago",$X648="Recebido",$X648="Cancelado"),"",$C648-TODAY())</f>
        <v/>
      </c>
      <c r="AJ648" s="24">
        <f>IF(OR($C648="",$X648="Pago",$X648="Recebido",$X648="Cancelado"),0,MAX(0,TODAY()-$C648))</f>
        <v/>
      </c>
      <c r="AK648" s="24">
        <f>IF($D648="","",$D648-$B648)</f>
        <v/>
      </c>
      <c r="AL648" s="18">
        <f>IF(OR($D648="",$B648=""),"",ROUND(N($R648)*($D648-$B648),2))</f>
        <v/>
      </c>
      <c r="AM648" s="17">
        <f>IF(AND($E648="Saída",$W648&gt;0,$C648&lt;&gt;""),$C648+ROW()/1000000,"")</f>
        <v/>
      </c>
      <c r="AN648" s="17">
        <f>IF(AND($E648="Entrada",$W648&gt;0,$C648&lt;&gt;""),$C648+ROW()/1000000,"")</f>
        <v/>
      </c>
      <c r="AO648" s="9">
        <f>IF(COUNTA($B648:$R648)=0,"",IF(AND($I648&lt;&gt;"",COUNTIF(CLIENTES_NOMES,$I648)+COUNTIF(CLIENTES_FANTASIA,$I648)+COUNTIF(FORNECEDORES_NOMES,$I648)+COUNTIF(FORNECEDORES_FANTASIA,$I648)=0),"⚠ Cliente/Fornecedor não cadastrado",IF(AND($G648&lt;&gt;"",COUNTIF(SUBCATEGORIAS_PLANO,$G648)=0),"⚠ Subcategoria fora do plano de contas",IF(OR($Q648="",N($Q648)=0),"⚠ Valor previsto não informado",IF(AND(OR($X648="Pago",$X648="Recebido"),$D648=""),"⚠ Status pago/recebido sem data",IF(AND($D648&lt;&gt;"",N($R648)=0),"⚠ Data de pagamento sem valor realizado",IF(AND(N($P648)&gt;1,N($O648)&gt;N($P648)),"⚠ Nº da parcela maior que o total",IF(AND($C648&lt;&gt;"",$B648&lt;&gt;"",$C648&lt;$B648),"⚠ Vencimento anterior à competência","OK"))))))))</f>
        <v/>
      </c>
    </row>
    <row r="649">
      <c r="A649" s="14" t="inlineStr">
        <is>
          <t>L0644</t>
        </is>
      </c>
      <c r="B649" s="36" t="n">
        <v>46762</v>
      </c>
      <c r="C649" s="36" t="n">
        <v>46762</v>
      </c>
      <c r="D649" s="36" t="n"/>
      <c r="E649" s="14" t="inlineStr">
        <is>
          <t>Saída</t>
        </is>
      </c>
      <c r="F649" s="29" t="inlineStr">
        <is>
          <t>Empréstimos e Financiamentos</t>
        </is>
      </c>
      <c r="G649" s="29" t="inlineStr">
        <is>
          <t>Pagamento de Principal de Empréstimos</t>
        </is>
      </c>
      <c r="H649" s="29" t="inlineStr">
        <is>
          <t>Financeiro</t>
        </is>
      </c>
      <c r="I649" s="29" t="inlineStr">
        <is>
          <t>Banco do Brasil</t>
        </is>
      </c>
      <c r="J649" s="29" t="inlineStr">
        <is>
          <t>Capital de Giro — parcela 24/24 (principal)</t>
        </is>
      </c>
      <c r="K649" s="14" t="inlineStr">
        <is>
          <t>CG-2026-0417-P24</t>
        </is>
      </c>
      <c r="L649" s="29" t="inlineStr">
        <is>
          <t>Banco do Brasil — C/C 12345-6</t>
        </is>
      </c>
      <c r="M649" s="14" t="inlineStr">
        <is>
          <t>Débito automático</t>
        </is>
      </c>
      <c r="N649" s="29" t="n"/>
      <c r="O649" s="13" t="n">
        <v>24</v>
      </c>
      <c r="P649" s="13" t="n">
        <v>24</v>
      </c>
      <c r="Q649" s="35" t="n">
        <v>2951.07</v>
      </c>
      <c r="R649" s="35" t="n"/>
      <c r="S649" s="35" t="n"/>
      <c r="T649" s="35" t="n"/>
      <c r="U649" s="35" t="n"/>
      <c r="V649" s="18">
        <f>IF(COUNTA($B649:$R649)=0,"",ROUND(N($R649)+N($S649)+N($T649)-N($U649),2))</f>
        <v/>
      </c>
      <c r="W649" s="18">
        <f>IF(COUNTA($B649:$R649)=0,"",IF(OR($X649="Pago",$X649="Recebido",$X649="Cancelado"),0,ROUND(N($Q649)+N($S649)+N($T649)-N($U649)-N($R649),2)))</f>
        <v/>
      </c>
      <c r="X649" s="14" t="inlineStr">
        <is>
          <t>Previsto</t>
        </is>
      </c>
      <c r="Y649" s="17">
        <f>IF(COUNTA($B649:$R649)=0,"",IF($X649="Cancelado","Cancelado",IF(OR($X649="Pago",$X649="Recebido"),$X649,IF(OR($X649="Parcial",N($R649)&gt;0),"Parcial",IF($C649="","Sem vencimento",IF($C649&lt;TODAY(),"Vencido",IF($C649=TODAY(),"Vence hoje",IF($C649&lt;=TODAY()+7,"Vence em 7 dias",IF($C649&lt;=TODAY()+30,"Vence em 30 dias","Futuro")))))))))</f>
        <v/>
      </c>
      <c r="Z649" s="24">
        <f>IF($B649="","",MONTH($B649))</f>
        <v/>
      </c>
      <c r="AA649" s="24">
        <f>IF($B649="","",YEAR($B649))</f>
        <v/>
      </c>
      <c r="AB649" s="24">
        <f>IF($B649="","",ISOWEEKNUM($B649))</f>
        <v/>
      </c>
      <c r="AC649" s="17">
        <f>IF($B649="","",CHOOSE(WEEKDAY($B649,2),"Segunda","Terça","Quarta","Quinta","Sexta","Sábado","Domingo"))</f>
        <v/>
      </c>
      <c r="AD649" s="17">
        <f>IF($B649="","",TEXT($B649,"MM/AAAA"))</f>
        <v/>
      </c>
      <c r="AE649" s="18">
        <f>IF(COUNTA($B649:$R649)=0,"",IF($X649="Cancelado",0,ROUND(N($Q649)+N($S649)+N($T649)-N($U649),2)))</f>
        <v/>
      </c>
      <c r="AF649" s="9">
        <f>IF($G649="","",IFERROR(INDEX(LINHAS_DRE_PLANO,MATCH($G649,SUBCATEGORIAS_PLANO,0)),"Não classificado"))</f>
        <v/>
      </c>
      <c r="AG649" s="17">
        <f>IF($G649="","",IFERROR(INDEX(TIPOS_FLUXO_PLANO,MATCH($G649,SUBCATEGORIAS_PLANO,0)),"Não classificado"))</f>
        <v/>
      </c>
      <c r="AH649" s="9">
        <f>IF($G649="","",IFERROR(INDEX(GRUPOS_PLANO,MATCH($G649,SUBCATEGORIAS_PLANO,0)),"Não classificado"))</f>
        <v/>
      </c>
      <c r="AI649" s="24">
        <f>IF(OR($C649="",$X649="Pago",$X649="Recebido",$X649="Cancelado"),"",$C649-TODAY())</f>
        <v/>
      </c>
      <c r="AJ649" s="24">
        <f>IF(OR($C649="",$X649="Pago",$X649="Recebido",$X649="Cancelado"),0,MAX(0,TODAY()-$C649))</f>
        <v/>
      </c>
      <c r="AK649" s="24">
        <f>IF($D649="","",$D649-$B649)</f>
        <v/>
      </c>
      <c r="AL649" s="18">
        <f>IF(OR($D649="",$B649=""),"",ROUND(N($R649)*($D649-$B649),2))</f>
        <v/>
      </c>
      <c r="AM649" s="17">
        <f>IF(AND($E649="Saída",$W649&gt;0,$C649&lt;&gt;""),$C649+ROW()/1000000,"")</f>
        <v/>
      </c>
      <c r="AN649" s="17">
        <f>IF(AND($E649="Entrada",$W649&gt;0,$C649&lt;&gt;""),$C649+ROW()/1000000,"")</f>
        <v/>
      </c>
      <c r="AO649" s="9">
        <f>IF(COUNTA($B649:$R649)=0,"",IF(AND($I649&lt;&gt;"",COUNTIF(CLIENTES_NOMES,$I649)+COUNTIF(CLIENTES_FANTASIA,$I649)+COUNTIF(FORNECEDORES_NOMES,$I649)+COUNTIF(FORNECEDORES_FANTASIA,$I649)=0),"⚠ Cliente/Fornecedor não cadastrado",IF(AND($G649&lt;&gt;"",COUNTIF(SUBCATEGORIAS_PLANO,$G649)=0),"⚠ Subcategoria fora do plano de contas",IF(OR($Q649="",N($Q649)=0),"⚠ Valor previsto não informado",IF(AND(OR($X649="Pago",$X649="Recebido"),$D649=""),"⚠ Status pago/recebido sem data",IF(AND($D649&lt;&gt;"",N($R649)=0),"⚠ Data de pagamento sem valor realizado",IF(AND(N($P649)&gt;1,N($O649)&gt;N($P649)),"⚠ Nº da parcela maior que o total",IF(AND($C649&lt;&gt;"",$B649&lt;&gt;"",$C649&lt;$B649),"⚠ Vencimento anterior à competência","OK"))))))))</f>
        <v/>
      </c>
    </row>
    <row r="650">
      <c r="A650" s="14" t="inlineStr">
        <is>
          <t>L0645</t>
        </is>
      </c>
      <c r="B650" s="36" t="n">
        <v>46762</v>
      </c>
      <c r="C650" s="36" t="n">
        <v>46762</v>
      </c>
      <c r="D650" s="36" t="n"/>
      <c r="E650" s="14" t="inlineStr">
        <is>
          <t>Saída</t>
        </is>
      </c>
      <c r="F650" s="29" t="inlineStr">
        <is>
          <t>Despesas Financeiras</t>
        </is>
      </c>
      <c r="G650" s="29" t="inlineStr">
        <is>
          <t>Juros de Empréstimos e Financiamentos</t>
        </is>
      </c>
      <c r="H650" s="29" t="inlineStr">
        <is>
          <t>Financeiro</t>
        </is>
      </c>
      <c r="I650" s="29" t="inlineStr">
        <is>
          <t>Banco do Brasil</t>
        </is>
      </c>
      <c r="J650" s="29" t="inlineStr">
        <is>
          <t>Capital de Giro — parcela 24/24 (juros)</t>
        </is>
      </c>
      <c r="K650" s="14" t="inlineStr">
        <is>
          <t>CG-2026-0417-P24</t>
        </is>
      </c>
      <c r="L650" s="29" t="inlineStr">
        <is>
          <t>Banco do Brasil — C/C 12345-6</t>
        </is>
      </c>
      <c r="M650" s="14" t="inlineStr">
        <is>
          <t>Débito automático</t>
        </is>
      </c>
      <c r="N650" s="29" t="n"/>
      <c r="O650" s="13" t="n">
        <v>24</v>
      </c>
      <c r="P650" s="13" t="n">
        <v>24</v>
      </c>
      <c r="Q650" s="35" t="n">
        <v>44.27</v>
      </c>
      <c r="R650" s="35" t="n"/>
      <c r="S650" s="35" t="n"/>
      <c r="T650" s="35" t="n"/>
      <c r="U650" s="35" t="n"/>
      <c r="V650" s="18">
        <f>IF(COUNTA($B650:$R650)=0,"",ROUND(N($R650)+N($S650)+N($T650)-N($U650),2))</f>
        <v/>
      </c>
      <c r="W650" s="18">
        <f>IF(COUNTA($B650:$R650)=0,"",IF(OR($X650="Pago",$X650="Recebido",$X650="Cancelado"),0,ROUND(N($Q650)+N($S650)+N($T650)-N($U650)-N($R650),2)))</f>
        <v/>
      </c>
      <c r="X650" s="14" t="inlineStr">
        <is>
          <t>Previsto</t>
        </is>
      </c>
      <c r="Y650" s="17">
        <f>IF(COUNTA($B650:$R650)=0,"",IF($X650="Cancelado","Cancelado",IF(OR($X650="Pago",$X650="Recebido"),$X650,IF(OR($X650="Parcial",N($R650)&gt;0),"Parcial",IF($C650="","Sem vencimento",IF($C650&lt;TODAY(),"Vencido",IF($C650=TODAY(),"Vence hoje",IF($C650&lt;=TODAY()+7,"Vence em 7 dias",IF($C650&lt;=TODAY()+30,"Vence em 30 dias","Futuro")))))))))</f>
        <v/>
      </c>
      <c r="Z650" s="24">
        <f>IF($B650="","",MONTH($B650))</f>
        <v/>
      </c>
      <c r="AA650" s="24">
        <f>IF($B650="","",YEAR($B650))</f>
        <v/>
      </c>
      <c r="AB650" s="24">
        <f>IF($B650="","",ISOWEEKNUM($B650))</f>
        <v/>
      </c>
      <c r="AC650" s="17">
        <f>IF($B650="","",CHOOSE(WEEKDAY($B650,2),"Segunda","Terça","Quarta","Quinta","Sexta","Sábado","Domingo"))</f>
        <v/>
      </c>
      <c r="AD650" s="17">
        <f>IF($B650="","",TEXT($B650,"MM/AAAA"))</f>
        <v/>
      </c>
      <c r="AE650" s="18">
        <f>IF(COUNTA($B650:$R650)=0,"",IF($X650="Cancelado",0,ROUND(N($Q650)+N($S650)+N($T650)-N($U650),2)))</f>
        <v/>
      </c>
      <c r="AF650" s="9">
        <f>IF($G650="","",IFERROR(INDEX(LINHAS_DRE_PLANO,MATCH($G650,SUBCATEGORIAS_PLANO,0)),"Não classificado"))</f>
        <v/>
      </c>
      <c r="AG650" s="17">
        <f>IF($G650="","",IFERROR(INDEX(TIPOS_FLUXO_PLANO,MATCH($G650,SUBCATEGORIAS_PLANO,0)),"Não classificado"))</f>
        <v/>
      </c>
      <c r="AH650" s="9">
        <f>IF($G650="","",IFERROR(INDEX(GRUPOS_PLANO,MATCH($G650,SUBCATEGORIAS_PLANO,0)),"Não classificado"))</f>
        <v/>
      </c>
      <c r="AI650" s="24">
        <f>IF(OR($C650="",$X650="Pago",$X650="Recebido",$X650="Cancelado"),"",$C650-TODAY())</f>
        <v/>
      </c>
      <c r="AJ650" s="24">
        <f>IF(OR($C650="",$X650="Pago",$X650="Recebido",$X650="Cancelado"),0,MAX(0,TODAY()-$C650))</f>
        <v/>
      </c>
      <c r="AK650" s="24">
        <f>IF($D650="","",$D650-$B650)</f>
        <v/>
      </c>
      <c r="AL650" s="18">
        <f>IF(OR($D650="",$B650=""),"",ROUND(N($R650)*($D650-$B650),2))</f>
        <v/>
      </c>
      <c r="AM650" s="17">
        <f>IF(AND($E650="Saída",$W650&gt;0,$C650&lt;&gt;""),$C650+ROW()/1000000,"")</f>
        <v/>
      </c>
      <c r="AN650" s="17">
        <f>IF(AND($E650="Entrada",$W650&gt;0,$C650&lt;&gt;""),$C650+ROW()/1000000,"")</f>
        <v/>
      </c>
      <c r="AO650" s="9">
        <f>IF(COUNTA($B650:$R650)=0,"",IF(AND($I650&lt;&gt;"",COUNTIF(CLIENTES_NOMES,$I650)+COUNTIF(CLIENTES_FANTASIA,$I650)+COUNTIF(FORNECEDORES_NOMES,$I650)+COUNTIF(FORNECEDORES_FANTASIA,$I650)=0),"⚠ Cliente/Fornecedor não cadastrado",IF(AND($G650&lt;&gt;"",COUNTIF(SUBCATEGORIAS_PLANO,$G650)=0),"⚠ Subcategoria fora do plano de contas",IF(OR($Q650="",N($Q650)=0),"⚠ Valor previsto não informado",IF(AND(OR($X650="Pago",$X650="Recebido"),$D650=""),"⚠ Status pago/recebido sem data",IF(AND($D650&lt;&gt;"",N($R650)=0),"⚠ Data de pagamento sem valor realizado",IF(AND(N($P650)&gt;1,N($O650)&gt;N($P650)),"⚠ Nº da parcela maior que o total",IF(AND($C650&lt;&gt;"",$B650&lt;&gt;"",$C650&lt;$B650),"⚠ Vencimento anterior à competência","OK"))))))))</f>
        <v/>
      </c>
    </row>
    <row r="651">
      <c r="A651" s="14" t="inlineStr">
        <is>
          <t>L0646</t>
        </is>
      </c>
      <c r="B651" s="36" t="n">
        <v>46767</v>
      </c>
      <c r="C651" s="36" t="n">
        <v>46767</v>
      </c>
      <c r="D651" s="36" t="n"/>
      <c r="E651" s="14" t="inlineStr">
        <is>
          <t>Saída</t>
        </is>
      </c>
      <c r="F651" s="29" t="inlineStr">
        <is>
          <t>Empréstimos e Financiamentos</t>
        </is>
      </c>
      <c r="G651" s="29" t="inlineStr">
        <is>
          <t>Pagamento de Principal de Empréstimos</t>
        </is>
      </c>
      <c r="H651" s="29" t="inlineStr">
        <is>
          <t>Financeiro</t>
        </is>
      </c>
      <c r="I651" s="29" t="inlineStr">
        <is>
          <t>BNDES / Banco do Brasil</t>
        </is>
      </c>
      <c r="J651" s="29" t="inlineStr">
        <is>
          <t>Financiamento de Máquinas — parcela 23/36 (principal)</t>
        </is>
      </c>
      <c r="K651" s="14" t="inlineStr">
        <is>
          <t>FIN-2026-1198-P23</t>
        </is>
      </c>
      <c r="L651" s="29" t="inlineStr">
        <is>
          <t>Banco do Brasil — C/C 12345-6</t>
        </is>
      </c>
      <c r="M651" s="14" t="inlineStr">
        <is>
          <t>Débito automático</t>
        </is>
      </c>
      <c r="N651" s="29" t="n"/>
      <c r="O651" s="13" t="n">
        <v>23</v>
      </c>
      <c r="P651" s="13" t="n">
        <v>36</v>
      </c>
      <c r="Q651" s="35" t="n">
        <v>3333.33</v>
      </c>
      <c r="R651" s="35" t="n"/>
      <c r="S651" s="35" t="n"/>
      <c r="T651" s="35" t="n"/>
      <c r="U651" s="35" t="n"/>
      <c r="V651" s="18">
        <f>IF(COUNTA($B651:$R651)=0,"",ROUND(N($R651)+N($S651)+N($T651)-N($U651),2))</f>
        <v/>
      </c>
      <c r="W651" s="18">
        <f>IF(COUNTA($B651:$R651)=0,"",IF(OR($X651="Pago",$X651="Recebido",$X651="Cancelado"),0,ROUND(N($Q651)+N($S651)+N($T651)-N($U651)-N($R651),2)))</f>
        <v/>
      </c>
      <c r="X651" s="14" t="inlineStr">
        <is>
          <t>Previsto</t>
        </is>
      </c>
      <c r="Y651" s="17">
        <f>IF(COUNTA($B651:$R651)=0,"",IF($X651="Cancelado","Cancelado",IF(OR($X651="Pago",$X651="Recebido"),$X651,IF(OR($X651="Parcial",N($R651)&gt;0),"Parcial",IF($C651="","Sem vencimento",IF($C651&lt;TODAY(),"Vencido",IF($C651=TODAY(),"Vence hoje",IF($C651&lt;=TODAY()+7,"Vence em 7 dias",IF($C651&lt;=TODAY()+30,"Vence em 30 dias","Futuro")))))))))</f>
        <v/>
      </c>
      <c r="Z651" s="24">
        <f>IF($B651="","",MONTH($B651))</f>
        <v/>
      </c>
      <c r="AA651" s="24">
        <f>IF($B651="","",YEAR($B651))</f>
        <v/>
      </c>
      <c r="AB651" s="24">
        <f>IF($B651="","",ISOWEEKNUM($B651))</f>
        <v/>
      </c>
      <c r="AC651" s="17">
        <f>IF($B651="","",CHOOSE(WEEKDAY($B651,2),"Segunda","Terça","Quarta","Quinta","Sexta","Sábado","Domingo"))</f>
        <v/>
      </c>
      <c r="AD651" s="17">
        <f>IF($B651="","",TEXT($B651,"MM/AAAA"))</f>
        <v/>
      </c>
      <c r="AE651" s="18">
        <f>IF(COUNTA($B651:$R651)=0,"",IF($X651="Cancelado",0,ROUND(N($Q651)+N($S651)+N($T651)-N($U651),2)))</f>
        <v/>
      </c>
      <c r="AF651" s="9">
        <f>IF($G651="","",IFERROR(INDEX(LINHAS_DRE_PLANO,MATCH($G651,SUBCATEGORIAS_PLANO,0)),"Não classificado"))</f>
        <v/>
      </c>
      <c r="AG651" s="17">
        <f>IF($G651="","",IFERROR(INDEX(TIPOS_FLUXO_PLANO,MATCH($G651,SUBCATEGORIAS_PLANO,0)),"Não classificado"))</f>
        <v/>
      </c>
      <c r="AH651" s="9">
        <f>IF($G651="","",IFERROR(INDEX(GRUPOS_PLANO,MATCH($G651,SUBCATEGORIAS_PLANO,0)),"Não classificado"))</f>
        <v/>
      </c>
      <c r="AI651" s="24">
        <f>IF(OR($C651="",$X651="Pago",$X651="Recebido",$X651="Cancelado"),"",$C651-TODAY())</f>
        <v/>
      </c>
      <c r="AJ651" s="24">
        <f>IF(OR($C651="",$X651="Pago",$X651="Recebido",$X651="Cancelado"),0,MAX(0,TODAY()-$C651))</f>
        <v/>
      </c>
      <c r="AK651" s="24">
        <f>IF($D651="","",$D651-$B651)</f>
        <v/>
      </c>
      <c r="AL651" s="18">
        <f>IF(OR($D651="",$B651=""),"",ROUND(N($R651)*($D651-$B651),2))</f>
        <v/>
      </c>
      <c r="AM651" s="17">
        <f>IF(AND($E651="Saída",$W651&gt;0,$C651&lt;&gt;""),$C651+ROW()/1000000,"")</f>
        <v/>
      </c>
      <c r="AN651" s="17">
        <f>IF(AND($E651="Entrada",$W651&gt;0,$C651&lt;&gt;""),$C651+ROW()/1000000,"")</f>
        <v/>
      </c>
      <c r="AO651" s="9">
        <f>IF(COUNTA($B651:$R651)=0,"",IF(AND($I651&lt;&gt;"",COUNTIF(CLIENTES_NOMES,$I651)+COUNTIF(CLIENTES_FANTASIA,$I651)+COUNTIF(FORNECEDORES_NOMES,$I651)+COUNTIF(FORNECEDORES_FANTASIA,$I651)=0),"⚠ Cliente/Fornecedor não cadastrado",IF(AND($G651&lt;&gt;"",COUNTIF(SUBCATEGORIAS_PLANO,$G651)=0),"⚠ Subcategoria fora do plano de contas",IF(OR($Q651="",N($Q651)=0),"⚠ Valor previsto não informado",IF(AND(OR($X651="Pago",$X651="Recebido"),$D651=""),"⚠ Status pago/recebido sem data",IF(AND($D651&lt;&gt;"",N($R651)=0),"⚠ Data de pagamento sem valor realizado",IF(AND(N($P651)&gt;1,N($O651)&gt;N($P651)),"⚠ Nº da parcela maior que o total",IF(AND($C651&lt;&gt;"",$B651&lt;&gt;"",$C651&lt;$B651),"⚠ Vencimento anterior à competência","OK"))))))))</f>
        <v/>
      </c>
    </row>
    <row r="652">
      <c r="A652" s="14" t="inlineStr">
        <is>
          <t>L0647</t>
        </is>
      </c>
      <c r="B652" s="36" t="n">
        <v>46767</v>
      </c>
      <c r="C652" s="36" t="n">
        <v>46767</v>
      </c>
      <c r="D652" s="36" t="n"/>
      <c r="E652" s="14" t="inlineStr">
        <is>
          <t>Saída</t>
        </is>
      </c>
      <c r="F652" s="29" t="inlineStr">
        <is>
          <t>Despesas Financeiras</t>
        </is>
      </c>
      <c r="G652" s="29" t="inlineStr">
        <is>
          <t>Juros de Empréstimos e Financiamentos</t>
        </is>
      </c>
      <c r="H652" s="29" t="inlineStr">
        <is>
          <t>Financeiro</t>
        </is>
      </c>
      <c r="I652" s="29" t="inlineStr">
        <is>
          <t>BNDES / Banco do Brasil</t>
        </is>
      </c>
      <c r="J652" s="29" t="inlineStr">
        <is>
          <t>Financiamento de Máquinas — parcela 23/36 (juros)</t>
        </is>
      </c>
      <c r="K652" s="14" t="inlineStr">
        <is>
          <t>FIN-2026-1198-P23</t>
        </is>
      </c>
      <c r="L652" s="29" t="inlineStr">
        <is>
          <t>Banco do Brasil — C/C 12345-6</t>
        </is>
      </c>
      <c r="M652" s="14" t="inlineStr">
        <is>
          <t>Débito automático</t>
        </is>
      </c>
      <c r="N652" s="29" t="n"/>
      <c r="O652" s="13" t="n">
        <v>23</v>
      </c>
      <c r="P652" s="13" t="n">
        <v>36</v>
      </c>
      <c r="Q652" s="35" t="n">
        <v>513.33</v>
      </c>
      <c r="R652" s="35" t="n"/>
      <c r="S652" s="35" t="n"/>
      <c r="T652" s="35" t="n"/>
      <c r="U652" s="35" t="n"/>
      <c r="V652" s="18">
        <f>IF(COUNTA($B652:$R652)=0,"",ROUND(N($R652)+N($S652)+N($T652)-N($U652),2))</f>
        <v/>
      </c>
      <c r="W652" s="18">
        <f>IF(COUNTA($B652:$R652)=0,"",IF(OR($X652="Pago",$X652="Recebido",$X652="Cancelado"),0,ROUND(N($Q652)+N($S652)+N($T652)-N($U652)-N($R652),2)))</f>
        <v/>
      </c>
      <c r="X652" s="14" t="inlineStr">
        <is>
          <t>Previsto</t>
        </is>
      </c>
      <c r="Y652" s="17">
        <f>IF(COUNTA($B652:$R652)=0,"",IF($X652="Cancelado","Cancelado",IF(OR($X652="Pago",$X652="Recebido"),$X652,IF(OR($X652="Parcial",N($R652)&gt;0),"Parcial",IF($C652="","Sem vencimento",IF($C652&lt;TODAY(),"Vencido",IF($C652=TODAY(),"Vence hoje",IF($C652&lt;=TODAY()+7,"Vence em 7 dias",IF($C652&lt;=TODAY()+30,"Vence em 30 dias","Futuro")))))))))</f>
        <v/>
      </c>
      <c r="Z652" s="24">
        <f>IF($B652="","",MONTH($B652))</f>
        <v/>
      </c>
      <c r="AA652" s="24">
        <f>IF($B652="","",YEAR($B652))</f>
        <v/>
      </c>
      <c r="AB652" s="24">
        <f>IF($B652="","",ISOWEEKNUM($B652))</f>
        <v/>
      </c>
      <c r="AC652" s="17">
        <f>IF($B652="","",CHOOSE(WEEKDAY($B652,2),"Segunda","Terça","Quarta","Quinta","Sexta","Sábado","Domingo"))</f>
        <v/>
      </c>
      <c r="AD652" s="17">
        <f>IF($B652="","",TEXT($B652,"MM/AAAA"))</f>
        <v/>
      </c>
      <c r="AE652" s="18">
        <f>IF(COUNTA($B652:$R652)=0,"",IF($X652="Cancelado",0,ROUND(N($Q652)+N($S652)+N($T652)-N($U652),2)))</f>
        <v/>
      </c>
      <c r="AF652" s="9">
        <f>IF($G652="","",IFERROR(INDEX(LINHAS_DRE_PLANO,MATCH($G652,SUBCATEGORIAS_PLANO,0)),"Não classificado"))</f>
        <v/>
      </c>
      <c r="AG652" s="17">
        <f>IF($G652="","",IFERROR(INDEX(TIPOS_FLUXO_PLANO,MATCH($G652,SUBCATEGORIAS_PLANO,0)),"Não classificado"))</f>
        <v/>
      </c>
      <c r="AH652" s="9">
        <f>IF($G652="","",IFERROR(INDEX(GRUPOS_PLANO,MATCH($G652,SUBCATEGORIAS_PLANO,0)),"Não classificado"))</f>
        <v/>
      </c>
      <c r="AI652" s="24">
        <f>IF(OR($C652="",$X652="Pago",$X652="Recebido",$X652="Cancelado"),"",$C652-TODAY())</f>
        <v/>
      </c>
      <c r="AJ652" s="24">
        <f>IF(OR($C652="",$X652="Pago",$X652="Recebido",$X652="Cancelado"),0,MAX(0,TODAY()-$C652))</f>
        <v/>
      </c>
      <c r="AK652" s="24">
        <f>IF($D652="","",$D652-$B652)</f>
        <v/>
      </c>
      <c r="AL652" s="18">
        <f>IF(OR($D652="",$B652=""),"",ROUND(N($R652)*($D652-$B652),2))</f>
        <v/>
      </c>
      <c r="AM652" s="17">
        <f>IF(AND($E652="Saída",$W652&gt;0,$C652&lt;&gt;""),$C652+ROW()/1000000,"")</f>
        <v/>
      </c>
      <c r="AN652" s="17">
        <f>IF(AND($E652="Entrada",$W652&gt;0,$C652&lt;&gt;""),$C652+ROW()/1000000,"")</f>
        <v/>
      </c>
      <c r="AO652" s="9">
        <f>IF(COUNTA($B652:$R652)=0,"",IF(AND($I652&lt;&gt;"",COUNTIF(CLIENTES_NOMES,$I652)+COUNTIF(CLIENTES_FANTASIA,$I652)+COUNTIF(FORNECEDORES_NOMES,$I652)+COUNTIF(FORNECEDORES_FANTASIA,$I652)=0),"⚠ Cliente/Fornecedor não cadastrado",IF(AND($G652&lt;&gt;"",COUNTIF(SUBCATEGORIAS_PLANO,$G652)=0),"⚠ Subcategoria fora do plano de contas",IF(OR($Q652="",N($Q652)=0),"⚠ Valor previsto não informado",IF(AND(OR($X652="Pago",$X652="Recebido"),$D652=""),"⚠ Status pago/recebido sem data",IF(AND($D652&lt;&gt;"",N($R652)=0),"⚠ Data de pagamento sem valor realizado",IF(AND(N($P652)&gt;1,N($O652)&gt;N($P652)),"⚠ Nº da parcela maior que o total",IF(AND($C652&lt;&gt;"",$B652&lt;&gt;"",$C652&lt;$B652),"⚠ Vencimento anterior à competência","OK"))))))))</f>
        <v/>
      </c>
    </row>
    <row r="653">
      <c r="A653" s="14" t="inlineStr">
        <is>
          <t>L0648</t>
        </is>
      </c>
      <c r="B653" s="36" t="n">
        <v>46772</v>
      </c>
      <c r="C653" s="36" t="n">
        <v>46772</v>
      </c>
      <c r="D653" s="36" t="n"/>
      <c r="E653" s="14" t="inlineStr">
        <is>
          <t>Saída</t>
        </is>
      </c>
      <c r="F653" s="29" t="inlineStr">
        <is>
          <t>Empréstimos e Financiamentos</t>
        </is>
      </c>
      <c r="G653" s="29" t="inlineStr">
        <is>
          <t>Pagamento de Principal de Empréstimos</t>
        </is>
      </c>
      <c r="H653" s="29" t="inlineStr">
        <is>
          <t>Diretoria</t>
        </is>
      </c>
      <c r="I653" s="29" t="inlineStr">
        <is>
          <t>Banco Santander</t>
        </is>
      </c>
      <c r="J653" s="29" t="inlineStr">
        <is>
          <t>Financiamento de Veículo — parcela 24/48 (principal)</t>
        </is>
      </c>
      <c r="K653" s="14" t="inlineStr">
        <is>
          <t>VEI-2026-0088-P24</t>
        </is>
      </c>
      <c r="L653" s="29" t="inlineStr">
        <is>
          <t>Itaú Unibanco — C/C 45678-9</t>
        </is>
      </c>
      <c r="M653" s="14" t="inlineStr">
        <is>
          <t>Débito automático</t>
        </is>
      </c>
      <c r="N653" s="29" t="n"/>
      <c r="O653" s="13" t="n">
        <v>24</v>
      </c>
      <c r="P653" s="13" t="n">
        <v>48</v>
      </c>
      <c r="Q653" s="35" t="n">
        <v>1632.07</v>
      </c>
      <c r="R653" s="35" t="n"/>
      <c r="S653" s="35" t="n"/>
      <c r="T653" s="35" t="n"/>
      <c r="U653" s="35" t="n"/>
      <c r="V653" s="18">
        <f>IF(COUNTA($B653:$R653)=0,"",ROUND(N($R653)+N($S653)+N($T653)-N($U653),2))</f>
        <v/>
      </c>
      <c r="W653" s="18">
        <f>IF(COUNTA($B653:$R653)=0,"",IF(OR($X653="Pago",$X653="Recebido",$X653="Cancelado"),0,ROUND(N($Q653)+N($S653)+N($T653)-N($U653)-N($R653),2)))</f>
        <v/>
      </c>
      <c r="X653" s="14" t="inlineStr">
        <is>
          <t>Previsto</t>
        </is>
      </c>
      <c r="Y653" s="17">
        <f>IF(COUNTA($B653:$R653)=0,"",IF($X653="Cancelado","Cancelado",IF(OR($X653="Pago",$X653="Recebido"),$X653,IF(OR($X653="Parcial",N($R653)&gt;0),"Parcial",IF($C653="","Sem vencimento",IF($C653&lt;TODAY(),"Vencido",IF($C653=TODAY(),"Vence hoje",IF($C653&lt;=TODAY()+7,"Vence em 7 dias",IF($C653&lt;=TODAY()+30,"Vence em 30 dias","Futuro")))))))))</f>
        <v/>
      </c>
      <c r="Z653" s="24">
        <f>IF($B653="","",MONTH($B653))</f>
        <v/>
      </c>
      <c r="AA653" s="24">
        <f>IF($B653="","",YEAR($B653))</f>
        <v/>
      </c>
      <c r="AB653" s="24">
        <f>IF($B653="","",ISOWEEKNUM($B653))</f>
        <v/>
      </c>
      <c r="AC653" s="17">
        <f>IF($B653="","",CHOOSE(WEEKDAY($B653,2),"Segunda","Terça","Quarta","Quinta","Sexta","Sábado","Domingo"))</f>
        <v/>
      </c>
      <c r="AD653" s="17">
        <f>IF($B653="","",TEXT($B653,"MM/AAAA"))</f>
        <v/>
      </c>
      <c r="AE653" s="18">
        <f>IF(COUNTA($B653:$R653)=0,"",IF($X653="Cancelado",0,ROUND(N($Q653)+N($S653)+N($T653)-N($U653),2)))</f>
        <v/>
      </c>
      <c r="AF653" s="9">
        <f>IF($G653="","",IFERROR(INDEX(LINHAS_DRE_PLANO,MATCH($G653,SUBCATEGORIAS_PLANO,0)),"Não classificado"))</f>
        <v/>
      </c>
      <c r="AG653" s="17">
        <f>IF($G653="","",IFERROR(INDEX(TIPOS_FLUXO_PLANO,MATCH($G653,SUBCATEGORIAS_PLANO,0)),"Não classificado"))</f>
        <v/>
      </c>
      <c r="AH653" s="9">
        <f>IF($G653="","",IFERROR(INDEX(GRUPOS_PLANO,MATCH($G653,SUBCATEGORIAS_PLANO,0)),"Não classificado"))</f>
        <v/>
      </c>
      <c r="AI653" s="24">
        <f>IF(OR($C653="",$X653="Pago",$X653="Recebido",$X653="Cancelado"),"",$C653-TODAY())</f>
        <v/>
      </c>
      <c r="AJ653" s="24">
        <f>IF(OR($C653="",$X653="Pago",$X653="Recebido",$X653="Cancelado"),0,MAX(0,TODAY()-$C653))</f>
        <v/>
      </c>
      <c r="AK653" s="24">
        <f>IF($D653="","",$D653-$B653)</f>
        <v/>
      </c>
      <c r="AL653" s="18">
        <f>IF(OR($D653="",$B653=""),"",ROUND(N($R653)*($D653-$B653),2))</f>
        <v/>
      </c>
      <c r="AM653" s="17">
        <f>IF(AND($E653="Saída",$W653&gt;0,$C653&lt;&gt;""),$C653+ROW()/1000000,"")</f>
        <v/>
      </c>
      <c r="AN653" s="17">
        <f>IF(AND($E653="Entrada",$W653&gt;0,$C653&lt;&gt;""),$C653+ROW()/1000000,"")</f>
        <v/>
      </c>
      <c r="AO653" s="9">
        <f>IF(COUNTA($B653:$R653)=0,"",IF(AND($I653&lt;&gt;"",COUNTIF(CLIENTES_NOMES,$I653)+COUNTIF(CLIENTES_FANTASIA,$I653)+COUNTIF(FORNECEDORES_NOMES,$I653)+COUNTIF(FORNECEDORES_FANTASIA,$I653)=0),"⚠ Cliente/Fornecedor não cadastrado",IF(AND($G653&lt;&gt;"",COUNTIF(SUBCATEGORIAS_PLANO,$G653)=0),"⚠ Subcategoria fora do plano de contas",IF(OR($Q653="",N($Q653)=0),"⚠ Valor previsto não informado",IF(AND(OR($X653="Pago",$X653="Recebido"),$D653=""),"⚠ Status pago/recebido sem data",IF(AND($D653&lt;&gt;"",N($R653)=0),"⚠ Data de pagamento sem valor realizado",IF(AND(N($P653)&gt;1,N($O653)&gt;N($P653)),"⚠ Nº da parcela maior que o total",IF(AND($C653&lt;&gt;"",$B653&lt;&gt;"",$C653&lt;$B653),"⚠ Vencimento anterior à competência","OK"))))))))</f>
        <v/>
      </c>
    </row>
    <row r="654">
      <c r="A654" s="14" t="inlineStr">
        <is>
          <t>L0649</t>
        </is>
      </c>
      <c r="B654" s="36" t="n">
        <v>46772</v>
      </c>
      <c r="C654" s="36" t="n">
        <v>46772</v>
      </c>
      <c r="D654" s="36" t="n"/>
      <c r="E654" s="14" t="inlineStr">
        <is>
          <t>Saída</t>
        </is>
      </c>
      <c r="F654" s="29" t="inlineStr">
        <is>
          <t>Despesas Financeiras</t>
        </is>
      </c>
      <c r="G654" s="29" t="inlineStr">
        <is>
          <t>Juros de Empréstimos e Financiamentos</t>
        </is>
      </c>
      <c r="H654" s="29" t="inlineStr">
        <is>
          <t>Diretoria</t>
        </is>
      </c>
      <c r="I654" s="29" t="inlineStr">
        <is>
          <t>Banco Santander</t>
        </is>
      </c>
      <c r="J654" s="29" t="inlineStr">
        <is>
          <t>Financiamento de Veículo — parcela 24/48 (juros)</t>
        </is>
      </c>
      <c r="K654" s="14" t="inlineStr">
        <is>
          <t>VEI-2026-0088-P24</t>
        </is>
      </c>
      <c r="L654" s="29" t="inlineStr">
        <is>
          <t>Itaú Unibanco — C/C 45678-9</t>
        </is>
      </c>
      <c r="M654" s="14" t="inlineStr">
        <is>
          <t>Débito automático</t>
        </is>
      </c>
      <c r="N654" s="29" t="n"/>
      <c r="O654" s="13" t="n">
        <v>24</v>
      </c>
      <c r="P654" s="13" t="n">
        <v>48</v>
      </c>
      <c r="Q654" s="35" t="n">
        <v>594.39</v>
      </c>
      <c r="R654" s="35" t="n"/>
      <c r="S654" s="35" t="n"/>
      <c r="T654" s="35" t="n"/>
      <c r="U654" s="35" t="n"/>
      <c r="V654" s="18">
        <f>IF(COUNTA($B654:$R654)=0,"",ROUND(N($R654)+N($S654)+N($T654)-N($U654),2))</f>
        <v/>
      </c>
      <c r="W654" s="18">
        <f>IF(COUNTA($B654:$R654)=0,"",IF(OR($X654="Pago",$X654="Recebido",$X654="Cancelado"),0,ROUND(N($Q654)+N($S654)+N($T654)-N($U654)-N($R654),2)))</f>
        <v/>
      </c>
      <c r="X654" s="14" t="inlineStr">
        <is>
          <t>Previsto</t>
        </is>
      </c>
      <c r="Y654" s="17">
        <f>IF(COUNTA($B654:$R654)=0,"",IF($X654="Cancelado","Cancelado",IF(OR($X654="Pago",$X654="Recebido"),$X654,IF(OR($X654="Parcial",N($R654)&gt;0),"Parcial",IF($C654="","Sem vencimento",IF($C654&lt;TODAY(),"Vencido",IF($C654=TODAY(),"Vence hoje",IF($C654&lt;=TODAY()+7,"Vence em 7 dias",IF($C654&lt;=TODAY()+30,"Vence em 30 dias","Futuro")))))))))</f>
        <v/>
      </c>
      <c r="Z654" s="24">
        <f>IF($B654="","",MONTH($B654))</f>
        <v/>
      </c>
      <c r="AA654" s="24">
        <f>IF($B654="","",YEAR($B654))</f>
        <v/>
      </c>
      <c r="AB654" s="24">
        <f>IF($B654="","",ISOWEEKNUM($B654))</f>
        <v/>
      </c>
      <c r="AC654" s="17">
        <f>IF($B654="","",CHOOSE(WEEKDAY($B654,2),"Segunda","Terça","Quarta","Quinta","Sexta","Sábado","Domingo"))</f>
        <v/>
      </c>
      <c r="AD654" s="17">
        <f>IF($B654="","",TEXT($B654,"MM/AAAA"))</f>
        <v/>
      </c>
      <c r="AE654" s="18">
        <f>IF(COUNTA($B654:$R654)=0,"",IF($X654="Cancelado",0,ROUND(N($Q654)+N($S654)+N($T654)-N($U654),2)))</f>
        <v/>
      </c>
      <c r="AF654" s="9">
        <f>IF($G654="","",IFERROR(INDEX(LINHAS_DRE_PLANO,MATCH($G654,SUBCATEGORIAS_PLANO,0)),"Não classificado"))</f>
        <v/>
      </c>
      <c r="AG654" s="17">
        <f>IF($G654="","",IFERROR(INDEX(TIPOS_FLUXO_PLANO,MATCH($G654,SUBCATEGORIAS_PLANO,0)),"Não classificado"))</f>
        <v/>
      </c>
      <c r="AH654" s="9">
        <f>IF($G654="","",IFERROR(INDEX(GRUPOS_PLANO,MATCH($G654,SUBCATEGORIAS_PLANO,0)),"Não classificado"))</f>
        <v/>
      </c>
      <c r="AI654" s="24">
        <f>IF(OR($C654="",$X654="Pago",$X654="Recebido",$X654="Cancelado"),"",$C654-TODAY())</f>
        <v/>
      </c>
      <c r="AJ654" s="24">
        <f>IF(OR($C654="",$X654="Pago",$X654="Recebido",$X654="Cancelado"),0,MAX(0,TODAY()-$C654))</f>
        <v/>
      </c>
      <c r="AK654" s="24">
        <f>IF($D654="","",$D654-$B654)</f>
        <v/>
      </c>
      <c r="AL654" s="18">
        <f>IF(OR($D654="",$B654=""),"",ROUND(N($R654)*($D654-$B654),2))</f>
        <v/>
      </c>
      <c r="AM654" s="17">
        <f>IF(AND($E654="Saída",$W654&gt;0,$C654&lt;&gt;""),$C654+ROW()/1000000,"")</f>
        <v/>
      </c>
      <c r="AN654" s="17">
        <f>IF(AND($E654="Entrada",$W654&gt;0,$C654&lt;&gt;""),$C654+ROW()/1000000,"")</f>
        <v/>
      </c>
      <c r="AO654" s="9">
        <f>IF(COUNTA($B654:$R654)=0,"",IF(AND($I654&lt;&gt;"",COUNTIF(CLIENTES_NOMES,$I654)+COUNTIF(CLIENTES_FANTASIA,$I654)+COUNTIF(FORNECEDORES_NOMES,$I654)+COUNTIF(FORNECEDORES_FANTASIA,$I654)=0),"⚠ Cliente/Fornecedor não cadastrado",IF(AND($G654&lt;&gt;"",COUNTIF(SUBCATEGORIAS_PLANO,$G654)=0),"⚠ Subcategoria fora do plano de contas",IF(OR($Q654="",N($Q654)=0),"⚠ Valor previsto não informado",IF(AND(OR($X654="Pago",$X654="Recebido"),$D654=""),"⚠ Status pago/recebido sem data",IF(AND($D654&lt;&gt;"",N($R654)=0),"⚠ Data de pagamento sem valor realizado",IF(AND(N($P654)&gt;1,N($O654)&gt;N($P654)),"⚠ Nº da parcela maior que o total",IF(AND($C654&lt;&gt;"",$B654&lt;&gt;"",$C654&lt;$B654),"⚠ Vencimento anterior à competência","OK"))))))))</f>
        <v/>
      </c>
    </row>
    <row r="655">
      <c r="A655" s="14" t="inlineStr">
        <is>
          <t>L0650</t>
        </is>
      </c>
      <c r="B655" s="36" t="n">
        <v>46798</v>
      </c>
      <c r="C655" s="36" t="n">
        <v>46798</v>
      </c>
      <c r="D655" s="36" t="n"/>
      <c r="E655" s="14" t="inlineStr">
        <is>
          <t>Saída</t>
        </is>
      </c>
      <c r="F655" s="29" t="inlineStr">
        <is>
          <t>Empréstimos e Financiamentos</t>
        </is>
      </c>
      <c r="G655" s="29" t="inlineStr">
        <is>
          <t>Pagamento de Principal de Empréstimos</t>
        </is>
      </c>
      <c r="H655" s="29" t="inlineStr">
        <is>
          <t>Financeiro</t>
        </is>
      </c>
      <c r="I655" s="29" t="inlineStr">
        <is>
          <t>BNDES / Banco do Brasil</t>
        </is>
      </c>
      <c r="J655" s="29" t="inlineStr">
        <is>
          <t>Financiamento de Máquinas — parcela 24/36 (principal)</t>
        </is>
      </c>
      <c r="K655" s="14" t="inlineStr">
        <is>
          <t>FIN-2026-1198-P24</t>
        </is>
      </c>
      <c r="L655" s="29" t="inlineStr">
        <is>
          <t>Banco do Brasil — C/C 12345-6</t>
        </is>
      </c>
      <c r="M655" s="14" t="inlineStr">
        <is>
          <t>Débito automático</t>
        </is>
      </c>
      <c r="N655" s="29" t="n"/>
      <c r="O655" s="13" t="n">
        <v>24</v>
      </c>
      <c r="P655" s="13" t="n">
        <v>36</v>
      </c>
      <c r="Q655" s="35" t="n">
        <v>3333.33</v>
      </c>
      <c r="R655" s="35" t="n"/>
      <c r="S655" s="35" t="n"/>
      <c r="T655" s="35" t="n"/>
      <c r="U655" s="35" t="n"/>
      <c r="V655" s="18">
        <f>IF(COUNTA($B655:$R655)=0,"",ROUND(N($R655)+N($S655)+N($T655)-N($U655),2))</f>
        <v/>
      </c>
      <c r="W655" s="18">
        <f>IF(COUNTA($B655:$R655)=0,"",IF(OR($X655="Pago",$X655="Recebido",$X655="Cancelado"),0,ROUND(N($Q655)+N($S655)+N($T655)-N($U655)-N($R655),2)))</f>
        <v/>
      </c>
      <c r="X655" s="14" t="inlineStr">
        <is>
          <t>Previsto</t>
        </is>
      </c>
      <c r="Y655" s="17">
        <f>IF(COUNTA($B655:$R655)=0,"",IF($X655="Cancelado","Cancelado",IF(OR($X655="Pago",$X655="Recebido"),$X655,IF(OR($X655="Parcial",N($R655)&gt;0),"Parcial",IF($C655="","Sem vencimento",IF($C655&lt;TODAY(),"Vencido",IF($C655=TODAY(),"Vence hoje",IF($C655&lt;=TODAY()+7,"Vence em 7 dias",IF($C655&lt;=TODAY()+30,"Vence em 30 dias","Futuro")))))))))</f>
        <v/>
      </c>
      <c r="Z655" s="24">
        <f>IF($B655="","",MONTH($B655))</f>
        <v/>
      </c>
      <c r="AA655" s="24">
        <f>IF($B655="","",YEAR($B655))</f>
        <v/>
      </c>
      <c r="AB655" s="24">
        <f>IF($B655="","",ISOWEEKNUM($B655))</f>
        <v/>
      </c>
      <c r="AC655" s="17">
        <f>IF($B655="","",CHOOSE(WEEKDAY($B655,2),"Segunda","Terça","Quarta","Quinta","Sexta","Sábado","Domingo"))</f>
        <v/>
      </c>
      <c r="AD655" s="17">
        <f>IF($B655="","",TEXT($B655,"MM/AAAA"))</f>
        <v/>
      </c>
      <c r="AE655" s="18">
        <f>IF(COUNTA($B655:$R655)=0,"",IF($X655="Cancelado",0,ROUND(N($Q655)+N($S655)+N($T655)-N($U655),2)))</f>
        <v/>
      </c>
      <c r="AF655" s="9">
        <f>IF($G655="","",IFERROR(INDEX(LINHAS_DRE_PLANO,MATCH($G655,SUBCATEGORIAS_PLANO,0)),"Não classificado"))</f>
        <v/>
      </c>
      <c r="AG655" s="17">
        <f>IF($G655="","",IFERROR(INDEX(TIPOS_FLUXO_PLANO,MATCH($G655,SUBCATEGORIAS_PLANO,0)),"Não classificado"))</f>
        <v/>
      </c>
      <c r="AH655" s="9">
        <f>IF($G655="","",IFERROR(INDEX(GRUPOS_PLANO,MATCH($G655,SUBCATEGORIAS_PLANO,0)),"Não classificado"))</f>
        <v/>
      </c>
      <c r="AI655" s="24">
        <f>IF(OR($C655="",$X655="Pago",$X655="Recebido",$X655="Cancelado"),"",$C655-TODAY())</f>
        <v/>
      </c>
      <c r="AJ655" s="24">
        <f>IF(OR($C655="",$X655="Pago",$X655="Recebido",$X655="Cancelado"),0,MAX(0,TODAY()-$C655))</f>
        <v/>
      </c>
      <c r="AK655" s="24">
        <f>IF($D655="","",$D655-$B655)</f>
        <v/>
      </c>
      <c r="AL655" s="18">
        <f>IF(OR($D655="",$B655=""),"",ROUND(N($R655)*($D655-$B655),2))</f>
        <v/>
      </c>
      <c r="AM655" s="17">
        <f>IF(AND($E655="Saída",$W655&gt;0,$C655&lt;&gt;""),$C655+ROW()/1000000,"")</f>
        <v/>
      </c>
      <c r="AN655" s="17">
        <f>IF(AND($E655="Entrada",$W655&gt;0,$C655&lt;&gt;""),$C655+ROW()/1000000,"")</f>
        <v/>
      </c>
      <c r="AO655" s="9">
        <f>IF(COUNTA($B655:$R655)=0,"",IF(AND($I655&lt;&gt;"",COUNTIF(CLIENTES_NOMES,$I655)+COUNTIF(CLIENTES_FANTASIA,$I655)+COUNTIF(FORNECEDORES_NOMES,$I655)+COUNTIF(FORNECEDORES_FANTASIA,$I655)=0),"⚠ Cliente/Fornecedor não cadastrado",IF(AND($G655&lt;&gt;"",COUNTIF(SUBCATEGORIAS_PLANO,$G655)=0),"⚠ Subcategoria fora do plano de contas",IF(OR($Q655="",N($Q655)=0),"⚠ Valor previsto não informado",IF(AND(OR($X655="Pago",$X655="Recebido"),$D655=""),"⚠ Status pago/recebido sem data",IF(AND($D655&lt;&gt;"",N($R655)=0),"⚠ Data de pagamento sem valor realizado",IF(AND(N($P655)&gt;1,N($O655)&gt;N($P655)),"⚠ Nº da parcela maior que o total",IF(AND($C655&lt;&gt;"",$B655&lt;&gt;"",$C655&lt;$B655),"⚠ Vencimento anterior à competência","OK"))))))))</f>
        <v/>
      </c>
    </row>
    <row r="656">
      <c r="A656" s="14" t="inlineStr">
        <is>
          <t>L0651</t>
        </is>
      </c>
      <c r="B656" s="36" t="n">
        <v>46798</v>
      </c>
      <c r="C656" s="36" t="n">
        <v>46798</v>
      </c>
      <c r="D656" s="36" t="n"/>
      <c r="E656" s="14" t="inlineStr">
        <is>
          <t>Saída</t>
        </is>
      </c>
      <c r="F656" s="29" t="inlineStr">
        <is>
          <t>Despesas Financeiras</t>
        </is>
      </c>
      <c r="G656" s="29" t="inlineStr">
        <is>
          <t>Juros de Empréstimos e Financiamentos</t>
        </is>
      </c>
      <c r="H656" s="29" t="inlineStr">
        <is>
          <t>Financeiro</t>
        </is>
      </c>
      <c r="I656" s="29" t="inlineStr">
        <is>
          <t>BNDES / Banco do Brasil</t>
        </is>
      </c>
      <c r="J656" s="29" t="inlineStr">
        <is>
          <t>Financiamento de Máquinas — parcela 24/36 (juros)</t>
        </is>
      </c>
      <c r="K656" s="14" t="inlineStr">
        <is>
          <t>FIN-2026-1198-P24</t>
        </is>
      </c>
      <c r="L656" s="29" t="inlineStr">
        <is>
          <t>Banco do Brasil — C/C 12345-6</t>
        </is>
      </c>
      <c r="M656" s="14" t="inlineStr">
        <is>
          <t>Débito automático</t>
        </is>
      </c>
      <c r="N656" s="29" t="n"/>
      <c r="O656" s="13" t="n">
        <v>24</v>
      </c>
      <c r="P656" s="13" t="n">
        <v>36</v>
      </c>
      <c r="Q656" s="35" t="n">
        <v>476.67</v>
      </c>
      <c r="R656" s="35" t="n"/>
      <c r="S656" s="35" t="n"/>
      <c r="T656" s="35" t="n"/>
      <c r="U656" s="35" t="n"/>
      <c r="V656" s="18">
        <f>IF(COUNTA($B656:$R656)=0,"",ROUND(N($R656)+N($S656)+N($T656)-N($U656),2))</f>
        <v/>
      </c>
      <c r="W656" s="18">
        <f>IF(COUNTA($B656:$R656)=0,"",IF(OR($X656="Pago",$X656="Recebido",$X656="Cancelado"),0,ROUND(N($Q656)+N($S656)+N($T656)-N($U656)-N($R656),2)))</f>
        <v/>
      </c>
      <c r="X656" s="14" t="inlineStr">
        <is>
          <t>Previsto</t>
        </is>
      </c>
      <c r="Y656" s="17">
        <f>IF(COUNTA($B656:$R656)=0,"",IF($X656="Cancelado","Cancelado",IF(OR($X656="Pago",$X656="Recebido"),$X656,IF(OR($X656="Parcial",N($R656)&gt;0),"Parcial",IF($C656="","Sem vencimento",IF($C656&lt;TODAY(),"Vencido",IF($C656=TODAY(),"Vence hoje",IF($C656&lt;=TODAY()+7,"Vence em 7 dias",IF($C656&lt;=TODAY()+30,"Vence em 30 dias","Futuro")))))))))</f>
        <v/>
      </c>
      <c r="Z656" s="24">
        <f>IF($B656="","",MONTH($B656))</f>
        <v/>
      </c>
      <c r="AA656" s="24">
        <f>IF($B656="","",YEAR($B656))</f>
        <v/>
      </c>
      <c r="AB656" s="24">
        <f>IF($B656="","",ISOWEEKNUM($B656))</f>
        <v/>
      </c>
      <c r="AC656" s="17">
        <f>IF($B656="","",CHOOSE(WEEKDAY($B656,2),"Segunda","Terça","Quarta","Quinta","Sexta","Sábado","Domingo"))</f>
        <v/>
      </c>
      <c r="AD656" s="17">
        <f>IF($B656="","",TEXT($B656,"MM/AAAA"))</f>
        <v/>
      </c>
      <c r="AE656" s="18">
        <f>IF(COUNTA($B656:$R656)=0,"",IF($X656="Cancelado",0,ROUND(N($Q656)+N($S656)+N($T656)-N($U656),2)))</f>
        <v/>
      </c>
      <c r="AF656" s="9">
        <f>IF($G656="","",IFERROR(INDEX(LINHAS_DRE_PLANO,MATCH($G656,SUBCATEGORIAS_PLANO,0)),"Não classificado"))</f>
        <v/>
      </c>
      <c r="AG656" s="17">
        <f>IF($G656="","",IFERROR(INDEX(TIPOS_FLUXO_PLANO,MATCH($G656,SUBCATEGORIAS_PLANO,0)),"Não classificado"))</f>
        <v/>
      </c>
      <c r="AH656" s="9">
        <f>IF($G656="","",IFERROR(INDEX(GRUPOS_PLANO,MATCH($G656,SUBCATEGORIAS_PLANO,0)),"Não classificado"))</f>
        <v/>
      </c>
      <c r="AI656" s="24">
        <f>IF(OR($C656="",$X656="Pago",$X656="Recebido",$X656="Cancelado"),"",$C656-TODAY())</f>
        <v/>
      </c>
      <c r="AJ656" s="24">
        <f>IF(OR($C656="",$X656="Pago",$X656="Recebido",$X656="Cancelado"),0,MAX(0,TODAY()-$C656))</f>
        <v/>
      </c>
      <c r="AK656" s="24">
        <f>IF($D656="","",$D656-$B656)</f>
        <v/>
      </c>
      <c r="AL656" s="18">
        <f>IF(OR($D656="",$B656=""),"",ROUND(N($R656)*($D656-$B656),2))</f>
        <v/>
      </c>
      <c r="AM656" s="17">
        <f>IF(AND($E656="Saída",$W656&gt;0,$C656&lt;&gt;""),$C656+ROW()/1000000,"")</f>
        <v/>
      </c>
      <c r="AN656" s="17">
        <f>IF(AND($E656="Entrada",$W656&gt;0,$C656&lt;&gt;""),$C656+ROW()/1000000,"")</f>
        <v/>
      </c>
      <c r="AO656" s="9">
        <f>IF(COUNTA($B656:$R656)=0,"",IF(AND($I656&lt;&gt;"",COUNTIF(CLIENTES_NOMES,$I656)+COUNTIF(CLIENTES_FANTASIA,$I656)+COUNTIF(FORNECEDORES_NOMES,$I656)+COUNTIF(FORNECEDORES_FANTASIA,$I656)=0),"⚠ Cliente/Fornecedor não cadastrado",IF(AND($G656&lt;&gt;"",COUNTIF(SUBCATEGORIAS_PLANO,$G656)=0),"⚠ Subcategoria fora do plano de contas",IF(OR($Q656="",N($Q656)=0),"⚠ Valor previsto não informado",IF(AND(OR($X656="Pago",$X656="Recebido"),$D656=""),"⚠ Status pago/recebido sem data",IF(AND($D656&lt;&gt;"",N($R656)=0),"⚠ Data de pagamento sem valor realizado",IF(AND(N($P656)&gt;1,N($O656)&gt;N($P656)),"⚠ Nº da parcela maior que o total",IF(AND($C656&lt;&gt;"",$B656&lt;&gt;"",$C656&lt;$B656),"⚠ Vencimento anterior à competência","OK"))))))))</f>
        <v/>
      </c>
    </row>
    <row r="657">
      <c r="A657" s="14" t="inlineStr">
        <is>
          <t>L0652</t>
        </is>
      </c>
      <c r="B657" s="36" t="n">
        <v>46803</v>
      </c>
      <c r="C657" s="36" t="n">
        <v>46803</v>
      </c>
      <c r="D657" s="36" t="n"/>
      <c r="E657" s="14" t="inlineStr">
        <is>
          <t>Saída</t>
        </is>
      </c>
      <c r="F657" s="29" t="inlineStr">
        <is>
          <t>Empréstimos e Financiamentos</t>
        </is>
      </c>
      <c r="G657" s="29" t="inlineStr">
        <is>
          <t>Pagamento de Principal de Empréstimos</t>
        </is>
      </c>
      <c r="H657" s="29" t="inlineStr">
        <is>
          <t>Diretoria</t>
        </is>
      </c>
      <c r="I657" s="29" t="inlineStr">
        <is>
          <t>Banco Santander</t>
        </is>
      </c>
      <c r="J657" s="29" t="inlineStr">
        <is>
          <t>Financiamento de Veículo — parcela 25/48 (principal)</t>
        </is>
      </c>
      <c r="K657" s="14" t="inlineStr">
        <is>
          <t>VEI-2026-0088-P25</t>
        </is>
      </c>
      <c r="L657" s="29" t="inlineStr">
        <is>
          <t>Itaú Unibanco — C/C 45678-9</t>
        </is>
      </c>
      <c r="M657" s="14" t="inlineStr">
        <is>
          <t>Débito automático</t>
        </is>
      </c>
      <c r="N657" s="29" t="n"/>
      <c r="O657" s="13" t="n">
        <v>25</v>
      </c>
      <c r="P657" s="13" t="n">
        <v>48</v>
      </c>
      <c r="Q657" s="35" t="n">
        <v>1652.47</v>
      </c>
      <c r="R657" s="35" t="n"/>
      <c r="S657" s="35" t="n"/>
      <c r="T657" s="35" t="n"/>
      <c r="U657" s="35" t="n"/>
      <c r="V657" s="18">
        <f>IF(COUNTA($B657:$R657)=0,"",ROUND(N($R657)+N($S657)+N($T657)-N($U657),2))</f>
        <v/>
      </c>
      <c r="W657" s="18">
        <f>IF(COUNTA($B657:$R657)=0,"",IF(OR($X657="Pago",$X657="Recebido",$X657="Cancelado"),0,ROUND(N($Q657)+N($S657)+N($T657)-N($U657)-N($R657),2)))</f>
        <v/>
      </c>
      <c r="X657" s="14" t="inlineStr">
        <is>
          <t>Previsto</t>
        </is>
      </c>
      <c r="Y657" s="17">
        <f>IF(COUNTA($B657:$R657)=0,"",IF($X657="Cancelado","Cancelado",IF(OR($X657="Pago",$X657="Recebido"),$X657,IF(OR($X657="Parcial",N($R657)&gt;0),"Parcial",IF($C657="","Sem vencimento",IF($C657&lt;TODAY(),"Vencido",IF($C657=TODAY(),"Vence hoje",IF($C657&lt;=TODAY()+7,"Vence em 7 dias",IF($C657&lt;=TODAY()+30,"Vence em 30 dias","Futuro")))))))))</f>
        <v/>
      </c>
      <c r="Z657" s="24">
        <f>IF($B657="","",MONTH($B657))</f>
        <v/>
      </c>
      <c r="AA657" s="24">
        <f>IF($B657="","",YEAR($B657))</f>
        <v/>
      </c>
      <c r="AB657" s="24">
        <f>IF($B657="","",ISOWEEKNUM($B657))</f>
        <v/>
      </c>
      <c r="AC657" s="17">
        <f>IF($B657="","",CHOOSE(WEEKDAY($B657,2),"Segunda","Terça","Quarta","Quinta","Sexta","Sábado","Domingo"))</f>
        <v/>
      </c>
      <c r="AD657" s="17">
        <f>IF($B657="","",TEXT($B657,"MM/AAAA"))</f>
        <v/>
      </c>
      <c r="AE657" s="18">
        <f>IF(COUNTA($B657:$R657)=0,"",IF($X657="Cancelado",0,ROUND(N($Q657)+N($S657)+N($T657)-N($U657),2)))</f>
        <v/>
      </c>
      <c r="AF657" s="9">
        <f>IF($G657="","",IFERROR(INDEX(LINHAS_DRE_PLANO,MATCH($G657,SUBCATEGORIAS_PLANO,0)),"Não classificado"))</f>
        <v/>
      </c>
      <c r="AG657" s="17">
        <f>IF($G657="","",IFERROR(INDEX(TIPOS_FLUXO_PLANO,MATCH($G657,SUBCATEGORIAS_PLANO,0)),"Não classificado"))</f>
        <v/>
      </c>
      <c r="AH657" s="9">
        <f>IF($G657="","",IFERROR(INDEX(GRUPOS_PLANO,MATCH($G657,SUBCATEGORIAS_PLANO,0)),"Não classificado"))</f>
        <v/>
      </c>
      <c r="AI657" s="24">
        <f>IF(OR($C657="",$X657="Pago",$X657="Recebido",$X657="Cancelado"),"",$C657-TODAY())</f>
        <v/>
      </c>
      <c r="AJ657" s="24">
        <f>IF(OR($C657="",$X657="Pago",$X657="Recebido",$X657="Cancelado"),0,MAX(0,TODAY()-$C657))</f>
        <v/>
      </c>
      <c r="AK657" s="24">
        <f>IF($D657="","",$D657-$B657)</f>
        <v/>
      </c>
      <c r="AL657" s="18">
        <f>IF(OR($D657="",$B657=""),"",ROUND(N($R657)*($D657-$B657),2))</f>
        <v/>
      </c>
      <c r="AM657" s="17">
        <f>IF(AND($E657="Saída",$W657&gt;0,$C657&lt;&gt;""),$C657+ROW()/1000000,"")</f>
        <v/>
      </c>
      <c r="AN657" s="17">
        <f>IF(AND($E657="Entrada",$W657&gt;0,$C657&lt;&gt;""),$C657+ROW()/1000000,"")</f>
        <v/>
      </c>
      <c r="AO657" s="9">
        <f>IF(COUNTA($B657:$R657)=0,"",IF(AND($I657&lt;&gt;"",COUNTIF(CLIENTES_NOMES,$I657)+COUNTIF(CLIENTES_FANTASIA,$I657)+COUNTIF(FORNECEDORES_NOMES,$I657)+COUNTIF(FORNECEDORES_FANTASIA,$I657)=0),"⚠ Cliente/Fornecedor não cadastrado",IF(AND($G657&lt;&gt;"",COUNTIF(SUBCATEGORIAS_PLANO,$G657)=0),"⚠ Subcategoria fora do plano de contas",IF(OR($Q657="",N($Q657)=0),"⚠ Valor previsto não informado",IF(AND(OR($X657="Pago",$X657="Recebido"),$D657=""),"⚠ Status pago/recebido sem data",IF(AND($D657&lt;&gt;"",N($R657)=0),"⚠ Data de pagamento sem valor realizado",IF(AND(N($P657)&gt;1,N($O657)&gt;N($P657)),"⚠ Nº da parcela maior que o total",IF(AND($C657&lt;&gt;"",$B657&lt;&gt;"",$C657&lt;$B657),"⚠ Vencimento anterior à competência","OK"))))))))</f>
        <v/>
      </c>
    </row>
    <row r="658">
      <c r="A658" s="14" t="inlineStr">
        <is>
          <t>L0653</t>
        </is>
      </c>
      <c r="B658" s="36" t="n">
        <v>46803</v>
      </c>
      <c r="C658" s="36" t="n">
        <v>46803</v>
      </c>
      <c r="D658" s="36" t="n"/>
      <c r="E658" s="14" t="inlineStr">
        <is>
          <t>Saída</t>
        </is>
      </c>
      <c r="F658" s="29" t="inlineStr">
        <is>
          <t>Despesas Financeiras</t>
        </is>
      </c>
      <c r="G658" s="29" t="inlineStr">
        <is>
          <t>Juros de Empréstimos e Financiamentos</t>
        </is>
      </c>
      <c r="H658" s="29" t="inlineStr">
        <is>
          <t>Diretoria</t>
        </is>
      </c>
      <c r="I658" s="29" t="inlineStr">
        <is>
          <t>Banco Santander</t>
        </is>
      </c>
      <c r="J658" s="29" t="inlineStr">
        <is>
          <t>Financiamento de Veículo — parcela 25/48 (juros)</t>
        </is>
      </c>
      <c r="K658" s="14" t="inlineStr">
        <is>
          <t>VEI-2026-0088-P25</t>
        </is>
      </c>
      <c r="L658" s="29" t="inlineStr">
        <is>
          <t>Itaú Unibanco — C/C 45678-9</t>
        </is>
      </c>
      <c r="M658" s="14" t="inlineStr">
        <is>
          <t>Débito automático</t>
        </is>
      </c>
      <c r="N658" s="29" t="n"/>
      <c r="O658" s="13" t="n">
        <v>25</v>
      </c>
      <c r="P658" s="13" t="n">
        <v>48</v>
      </c>
      <c r="Q658" s="35" t="n">
        <v>573.99</v>
      </c>
      <c r="R658" s="35" t="n"/>
      <c r="S658" s="35" t="n"/>
      <c r="T658" s="35" t="n"/>
      <c r="U658" s="35" t="n"/>
      <c r="V658" s="18">
        <f>IF(COUNTA($B658:$R658)=0,"",ROUND(N($R658)+N($S658)+N($T658)-N($U658),2))</f>
        <v/>
      </c>
      <c r="W658" s="18">
        <f>IF(COUNTA($B658:$R658)=0,"",IF(OR($X658="Pago",$X658="Recebido",$X658="Cancelado"),0,ROUND(N($Q658)+N($S658)+N($T658)-N($U658)-N($R658),2)))</f>
        <v/>
      </c>
      <c r="X658" s="14" t="inlineStr">
        <is>
          <t>Previsto</t>
        </is>
      </c>
      <c r="Y658" s="17">
        <f>IF(COUNTA($B658:$R658)=0,"",IF($X658="Cancelado","Cancelado",IF(OR($X658="Pago",$X658="Recebido"),$X658,IF(OR($X658="Parcial",N($R658)&gt;0),"Parcial",IF($C658="","Sem vencimento",IF($C658&lt;TODAY(),"Vencido",IF($C658=TODAY(),"Vence hoje",IF($C658&lt;=TODAY()+7,"Vence em 7 dias",IF($C658&lt;=TODAY()+30,"Vence em 30 dias","Futuro")))))))))</f>
        <v/>
      </c>
      <c r="Z658" s="24">
        <f>IF($B658="","",MONTH($B658))</f>
        <v/>
      </c>
      <c r="AA658" s="24">
        <f>IF($B658="","",YEAR($B658))</f>
        <v/>
      </c>
      <c r="AB658" s="24">
        <f>IF($B658="","",ISOWEEKNUM($B658))</f>
        <v/>
      </c>
      <c r="AC658" s="17">
        <f>IF($B658="","",CHOOSE(WEEKDAY($B658,2),"Segunda","Terça","Quarta","Quinta","Sexta","Sábado","Domingo"))</f>
        <v/>
      </c>
      <c r="AD658" s="17">
        <f>IF($B658="","",TEXT($B658,"MM/AAAA"))</f>
        <v/>
      </c>
      <c r="AE658" s="18">
        <f>IF(COUNTA($B658:$R658)=0,"",IF($X658="Cancelado",0,ROUND(N($Q658)+N($S658)+N($T658)-N($U658),2)))</f>
        <v/>
      </c>
      <c r="AF658" s="9">
        <f>IF($G658="","",IFERROR(INDEX(LINHAS_DRE_PLANO,MATCH($G658,SUBCATEGORIAS_PLANO,0)),"Não classificado"))</f>
        <v/>
      </c>
      <c r="AG658" s="17">
        <f>IF($G658="","",IFERROR(INDEX(TIPOS_FLUXO_PLANO,MATCH($G658,SUBCATEGORIAS_PLANO,0)),"Não classificado"))</f>
        <v/>
      </c>
      <c r="AH658" s="9">
        <f>IF($G658="","",IFERROR(INDEX(GRUPOS_PLANO,MATCH($G658,SUBCATEGORIAS_PLANO,0)),"Não classificado"))</f>
        <v/>
      </c>
      <c r="AI658" s="24">
        <f>IF(OR($C658="",$X658="Pago",$X658="Recebido",$X658="Cancelado"),"",$C658-TODAY())</f>
        <v/>
      </c>
      <c r="AJ658" s="24">
        <f>IF(OR($C658="",$X658="Pago",$X658="Recebido",$X658="Cancelado"),0,MAX(0,TODAY()-$C658))</f>
        <v/>
      </c>
      <c r="AK658" s="24">
        <f>IF($D658="","",$D658-$B658)</f>
        <v/>
      </c>
      <c r="AL658" s="18">
        <f>IF(OR($D658="",$B658=""),"",ROUND(N($R658)*($D658-$B658),2))</f>
        <v/>
      </c>
      <c r="AM658" s="17">
        <f>IF(AND($E658="Saída",$W658&gt;0,$C658&lt;&gt;""),$C658+ROW()/1000000,"")</f>
        <v/>
      </c>
      <c r="AN658" s="17">
        <f>IF(AND($E658="Entrada",$W658&gt;0,$C658&lt;&gt;""),$C658+ROW()/1000000,"")</f>
        <v/>
      </c>
      <c r="AO658" s="9">
        <f>IF(COUNTA($B658:$R658)=0,"",IF(AND($I658&lt;&gt;"",COUNTIF(CLIENTES_NOMES,$I658)+COUNTIF(CLIENTES_FANTASIA,$I658)+COUNTIF(FORNECEDORES_NOMES,$I658)+COUNTIF(FORNECEDORES_FANTASIA,$I658)=0),"⚠ Cliente/Fornecedor não cadastrado",IF(AND($G658&lt;&gt;"",COUNTIF(SUBCATEGORIAS_PLANO,$G658)=0),"⚠ Subcategoria fora do plano de contas",IF(OR($Q658="",N($Q658)=0),"⚠ Valor previsto não informado",IF(AND(OR($X658="Pago",$X658="Recebido"),$D658=""),"⚠ Status pago/recebido sem data",IF(AND($D658&lt;&gt;"",N($R658)=0),"⚠ Data de pagamento sem valor realizado",IF(AND(N($P658)&gt;1,N($O658)&gt;N($P658)),"⚠ Nº da parcela maior que o total",IF(AND($C658&lt;&gt;"",$B658&lt;&gt;"",$C658&lt;$B658),"⚠ Vencimento anterior à competência","OK"))))))))</f>
        <v/>
      </c>
    </row>
    <row r="659">
      <c r="A659" s="14" t="inlineStr">
        <is>
          <t>L0654</t>
        </is>
      </c>
      <c r="B659" s="36" t="n">
        <v>46827</v>
      </c>
      <c r="C659" s="36" t="n">
        <v>46827</v>
      </c>
      <c r="D659" s="36" t="n"/>
      <c r="E659" s="14" t="inlineStr">
        <is>
          <t>Saída</t>
        </is>
      </c>
      <c r="F659" s="29" t="inlineStr">
        <is>
          <t>Empréstimos e Financiamentos</t>
        </is>
      </c>
      <c r="G659" s="29" t="inlineStr">
        <is>
          <t>Pagamento de Principal de Empréstimos</t>
        </is>
      </c>
      <c r="H659" s="29" t="inlineStr">
        <is>
          <t>Financeiro</t>
        </is>
      </c>
      <c r="I659" s="29" t="inlineStr">
        <is>
          <t>BNDES / Banco do Brasil</t>
        </is>
      </c>
      <c r="J659" s="29" t="inlineStr">
        <is>
          <t>Financiamento de Máquinas — parcela 25/36 (principal)</t>
        </is>
      </c>
      <c r="K659" s="14" t="inlineStr">
        <is>
          <t>FIN-2026-1198-P25</t>
        </is>
      </c>
      <c r="L659" s="29" t="inlineStr">
        <is>
          <t>Banco do Brasil — C/C 12345-6</t>
        </is>
      </c>
      <c r="M659" s="14" t="inlineStr">
        <is>
          <t>Débito automático</t>
        </is>
      </c>
      <c r="N659" s="29" t="n"/>
      <c r="O659" s="13" t="n">
        <v>25</v>
      </c>
      <c r="P659" s="13" t="n">
        <v>36</v>
      </c>
      <c r="Q659" s="35" t="n">
        <v>3333.33</v>
      </c>
      <c r="R659" s="35" t="n"/>
      <c r="S659" s="35" t="n"/>
      <c r="T659" s="35" t="n"/>
      <c r="U659" s="35" t="n"/>
      <c r="V659" s="18">
        <f>IF(COUNTA($B659:$R659)=0,"",ROUND(N($R659)+N($S659)+N($T659)-N($U659),2))</f>
        <v/>
      </c>
      <c r="W659" s="18">
        <f>IF(COUNTA($B659:$R659)=0,"",IF(OR($X659="Pago",$X659="Recebido",$X659="Cancelado"),0,ROUND(N($Q659)+N($S659)+N($T659)-N($U659)-N($R659),2)))</f>
        <v/>
      </c>
      <c r="X659" s="14" t="inlineStr">
        <is>
          <t>Previsto</t>
        </is>
      </c>
      <c r="Y659" s="17">
        <f>IF(COUNTA($B659:$R659)=0,"",IF($X659="Cancelado","Cancelado",IF(OR($X659="Pago",$X659="Recebido"),$X659,IF(OR($X659="Parcial",N($R659)&gt;0),"Parcial",IF($C659="","Sem vencimento",IF($C659&lt;TODAY(),"Vencido",IF($C659=TODAY(),"Vence hoje",IF($C659&lt;=TODAY()+7,"Vence em 7 dias",IF($C659&lt;=TODAY()+30,"Vence em 30 dias","Futuro")))))))))</f>
        <v/>
      </c>
      <c r="Z659" s="24">
        <f>IF($B659="","",MONTH($B659))</f>
        <v/>
      </c>
      <c r="AA659" s="24">
        <f>IF($B659="","",YEAR($B659))</f>
        <v/>
      </c>
      <c r="AB659" s="24">
        <f>IF($B659="","",ISOWEEKNUM($B659))</f>
        <v/>
      </c>
      <c r="AC659" s="17">
        <f>IF($B659="","",CHOOSE(WEEKDAY($B659,2),"Segunda","Terça","Quarta","Quinta","Sexta","Sábado","Domingo"))</f>
        <v/>
      </c>
      <c r="AD659" s="17">
        <f>IF($B659="","",TEXT($B659,"MM/AAAA"))</f>
        <v/>
      </c>
      <c r="AE659" s="18">
        <f>IF(COUNTA($B659:$R659)=0,"",IF($X659="Cancelado",0,ROUND(N($Q659)+N($S659)+N($T659)-N($U659),2)))</f>
        <v/>
      </c>
      <c r="AF659" s="9">
        <f>IF($G659="","",IFERROR(INDEX(LINHAS_DRE_PLANO,MATCH($G659,SUBCATEGORIAS_PLANO,0)),"Não classificado"))</f>
        <v/>
      </c>
      <c r="AG659" s="17">
        <f>IF($G659="","",IFERROR(INDEX(TIPOS_FLUXO_PLANO,MATCH($G659,SUBCATEGORIAS_PLANO,0)),"Não classificado"))</f>
        <v/>
      </c>
      <c r="AH659" s="9">
        <f>IF($G659="","",IFERROR(INDEX(GRUPOS_PLANO,MATCH($G659,SUBCATEGORIAS_PLANO,0)),"Não classificado"))</f>
        <v/>
      </c>
      <c r="AI659" s="24">
        <f>IF(OR($C659="",$X659="Pago",$X659="Recebido",$X659="Cancelado"),"",$C659-TODAY())</f>
        <v/>
      </c>
      <c r="AJ659" s="24">
        <f>IF(OR($C659="",$X659="Pago",$X659="Recebido",$X659="Cancelado"),0,MAX(0,TODAY()-$C659))</f>
        <v/>
      </c>
      <c r="AK659" s="24">
        <f>IF($D659="","",$D659-$B659)</f>
        <v/>
      </c>
      <c r="AL659" s="18">
        <f>IF(OR($D659="",$B659=""),"",ROUND(N($R659)*($D659-$B659),2))</f>
        <v/>
      </c>
      <c r="AM659" s="17">
        <f>IF(AND($E659="Saída",$W659&gt;0,$C659&lt;&gt;""),$C659+ROW()/1000000,"")</f>
        <v/>
      </c>
      <c r="AN659" s="17">
        <f>IF(AND($E659="Entrada",$W659&gt;0,$C659&lt;&gt;""),$C659+ROW()/1000000,"")</f>
        <v/>
      </c>
      <c r="AO659" s="9">
        <f>IF(COUNTA($B659:$R659)=0,"",IF(AND($I659&lt;&gt;"",COUNTIF(CLIENTES_NOMES,$I659)+COUNTIF(CLIENTES_FANTASIA,$I659)+COUNTIF(FORNECEDORES_NOMES,$I659)+COUNTIF(FORNECEDORES_FANTASIA,$I659)=0),"⚠ Cliente/Fornecedor não cadastrado",IF(AND($G659&lt;&gt;"",COUNTIF(SUBCATEGORIAS_PLANO,$G659)=0),"⚠ Subcategoria fora do plano de contas",IF(OR($Q659="",N($Q659)=0),"⚠ Valor previsto não informado",IF(AND(OR($X659="Pago",$X659="Recebido"),$D659=""),"⚠ Status pago/recebido sem data",IF(AND($D659&lt;&gt;"",N($R659)=0),"⚠ Data de pagamento sem valor realizado",IF(AND(N($P659)&gt;1,N($O659)&gt;N($P659)),"⚠ Nº da parcela maior que o total",IF(AND($C659&lt;&gt;"",$B659&lt;&gt;"",$C659&lt;$B659),"⚠ Vencimento anterior à competência","OK"))))))))</f>
        <v/>
      </c>
    </row>
    <row r="660">
      <c r="A660" s="14" t="inlineStr">
        <is>
          <t>L0655</t>
        </is>
      </c>
      <c r="B660" s="36" t="n">
        <v>46827</v>
      </c>
      <c r="C660" s="36" t="n">
        <v>46827</v>
      </c>
      <c r="D660" s="36" t="n"/>
      <c r="E660" s="14" t="inlineStr">
        <is>
          <t>Saída</t>
        </is>
      </c>
      <c r="F660" s="29" t="inlineStr">
        <is>
          <t>Despesas Financeiras</t>
        </is>
      </c>
      <c r="G660" s="29" t="inlineStr">
        <is>
          <t>Juros de Empréstimos e Financiamentos</t>
        </is>
      </c>
      <c r="H660" s="29" t="inlineStr">
        <is>
          <t>Financeiro</t>
        </is>
      </c>
      <c r="I660" s="29" t="inlineStr">
        <is>
          <t>BNDES / Banco do Brasil</t>
        </is>
      </c>
      <c r="J660" s="29" t="inlineStr">
        <is>
          <t>Financiamento de Máquinas — parcela 25/36 (juros)</t>
        </is>
      </c>
      <c r="K660" s="14" t="inlineStr">
        <is>
          <t>FIN-2026-1198-P25</t>
        </is>
      </c>
      <c r="L660" s="29" t="inlineStr">
        <is>
          <t>Banco do Brasil — C/C 12345-6</t>
        </is>
      </c>
      <c r="M660" s="14" t="inlineStr">
        <is>
          <t>Débito automático</t>
        </is>
      </c>
      <c r="N660" s="29" t="n"/>
      <c r="O660" s="13" t="n">
        <v>25</v>
      </c>
      <c r="P660" s="13" t="n">
        <v>36</v>
      </c>
      <c r="Q660" s="35" t="n">
        <v>440</v>
      </c>
      <c r="R660" s="35" t="n"/>
      <c r="S660" s="35" t="n"/>
      <c r="T660" s="35" t="n"/>
      <c r="U660" s="35" t="n"/>
      <c r="V660" s="18">
        <f>IF(COUNTA($B660:$R660)=0,"",ROUND(N($R660)+N($S660)+N($T660)-N($U660),2))</f>
        <v/>
      </c>
      <c r="W660" s="18">
        <f>IF(COUNTA($B660:$R660)=0,"",IF(OR($X660="Pago",$X660="Recebido",$X660="Cancelado"),0,ROUND(N($Q660)+N($S660)+N($T660)-N($U660)-N($R660),2)))</f>
        <v/>
      </c>
      <c r="X660" s="14" t="inlineStr">
        <is>
          <t>Previsto</t>
        </is>
      </c>
      <c r="Y660" s="17">
        <f>IF(COUNTA($B660:$R660)=0,"",IF($X660="Cancelado","Cancelado",IF(OR($X660="Pago",$X660="Recebido"),$X660,IF(OR($X660="Parcial",N($R660)&gt;0),"Parcial",IF($C660="","Sem vencimento",IF($C660&lt;TODAY(),"Vencido",IF($C660=TODAY(),"Vence hoje",IF($C660&lt;=TODAY()+7,"Vence em 7 dias",IF($C660&lt;=TODAY()+30,"Vence em 30 dias","Futuro")))))))))</f>
        <v/>
      </c>
      <c r="Z660" s="24">
        <f>IF($B660="","",MONTH($B660))</f>
        <v/>
      </c>
      <c r="AA660" s="24">
        <f>IF($B660="","",YEAR($B660))</f>
        <v/>
      </c>
      <c r="AB660" s="24">
        <f>IF($B660="","",ISOWEEKNUM($B660))</f>
        <v/>
      </c>
      <c r="AC660" s="17">
        <f>IF($B660="","",CHOOSE(WEEKDAY($B660,2),"Segunda","Terça","Quarta","Quinta","Sexta","Sábado","Domingo"))</f>
        <v/>
      </c>
      <c r="AD660" s="17">
        <f>IF($B660="","",TEXT($B660,"MM/AAAA"))</f>
        <v/>
      </c>
      <c r="AE660" s="18">
        <f>IF(COUNTA($B660:$R660)=0,"",IF($X660="Cancelado",0,ROUND(N($Q660)+N($S660)+N($T660)-N($U660),2)))</f>
        <v/>
      </c>
      <c r="AF660" s="9">
        <f>IF($G660="","",IFERROR(INDEX(LINHAS_DRE_PLANO,MATCH($G660,SUBCATEGORIAS_PLANO,0)),"Não classificado"))</f>
        <v/>
      </c>
      <c r="AG660" s="17">
        <f>IF($G660="","",IFERROR(INDEX(TIPOS_FLUXO_PLANO,MATCH($G660,SUBCATEGORIAS_PLANO,0)),"Não classificado"))</f>
        <v/>
      </c>
      <c r="AH660" s="9">
        <f>IF($G660="","",IFERROR(INDEX(GRUPOS_PLANO,MATCH($G660,SUBCATEGORIAS_PLANO,0)),"Não classificado"))</f>
        <v/>
      </c>
      <c r="AI660" s="24">
        <f>IF(OR($C660="",$X660="Pago",$X660="Recebido",$X660="Cancelado"),"",$C660-TODAY())</f>
        <v/>
      </c>
      <c r="AJ660" s="24">
        <f>IF(OR($C660="",$X660="Pago",$X660="Recebido",$X660="Cancelado"),0,MAX(0,TODAY()-$C660))</f>
        <v/>
      </c>
      <c r="AK660" s="24">
        <f>IF($D660="","",$D660-$B660)</f>
        <v/>
      </c>
      <c r="AL660" s="18">
        <f>IF(OR($D660="",$B660=""),"",ROUND(N($R660)*($D660-$B660),2))</f>
        <v/>
      </c>
      <c r="AM660" s="17">
        <f>IF(AND($E660="Saída",$W660&gt;0,$C660&lt;&gt;""),$C660+ROW()/1000000,"")</f>
        <v/>
      </c>
      <c r="AN660" s="17">
        <f>IF(AND($E660="Entrada",$W660&gt;0,$C660&lt;&gt;""),$C660+ROW()/1000000,"")</f>
        <v/>
      </c>
      <c r="AO660" s="9">
        <f>IF(COUNTA($B660:$R660)=0,"",IF(AND($I660&lt;&gt;"",COUNTIF(CLIENTES_NOMES,$I660)+COUNTIF(CLIENTES_FANTASIA,$I660)+COUNTIF(FORNECEDORES_NOMES,$I660)+COUNTIF(FORNECEDORES_FANTASIA,$I660)=0),"⚠ Cliente/Fornecedor não cadastrado",IF(AND($G660&lt;&gt;"",COUNTIF(SUBCATEGORIAS_PLANO,$G660)=0),"⚠ Subcategoria fora do plano de contas",IF(OR($Q660="",N($Q660)=0),"⚠ Valor previsto não informado",IF(AND(OR($X660="Pago",$X660="Recebido"),$D660=""),"⚠ Status pago/recebido sem data",IF(AND($D660&lt;&gt;"",N($R660)=0),"⚠ Data de pagamento sem valor realizado",IF(AND(N($P660)&gt;1,N($O660)&gt;N($P660)),"⚠ Nº da parcela maior que o total",IF(AND($C660&lt;&gt;"",$B660&lt;&gt;"",$C660&lt;$B660),"⚠ Vencimento anterior à competência","OK"))))))))</f>
        <v/>
      </c>
    </row>
    <row r="661">
      <c r="A661" s="14" t="inlineStr">
        <is>
          <t>L0656</t>
        </is>
      </c>
      <c r="B661" s="36" t="n">
        <v>46832</v>
      </c>
      <c r="C661" s="36" t="n">
        <v>46832</v>
      </c>
      <c r="D661" s="36" t="n"/>
      <c r="E661" s="14" t="inlineStr">
        <is>
          <t>Saída</t>
        </is>
      </c>
      <c r="F661" s="29" t="inlineStr">
        <is>
          <t>Empréstimos e Financiamentos</t>
        </is>
      </c>
      <c r="G661" s="29" t="inlineStr">
        <is>
          <t>Pagamento de Principal de Empréstimos</t>
        </is>
      </c>
      <c r="H661" s="29" t="inlineStr">
        <is>
          <t>Diretoria</t>
        </is>
      </c>
      <c r="I661" s="29" t="inlineStr">
        <is>
          <t>Banco Santander</t>
        </is>
      </c>
      <c r="J661" s="29" t="inlineStr">
        <is>
          <t>Financiamento de Veículo — parcela 26/48 (principal)</t>
        </is>
      </c>
      <c r="K661" s="14" t="inlineStr">
        <is>
          <t>VEI-2026-0088-P26</t>
        </is>
      </c>
      <c r="L661" s="29" t="inlineStr">
        <is>
          <t>Itaú Unibanco — C/C 45678-9</t>
        </is>
      </c>
      <c r="M661" s="14" t="inlineStr">
        <is>
          <t>Débito automático</t>
        </is>
      </c>
      <c r="N661" s="29" t="n"/>
      <c r="O661" s="13" t="n">
        <v>26</v>
      </c>
      <c r="P661" s="13" t="n">
        <v>48</v>
      </c>
      <c r="Q661" s="35" t="n">
        <v>1673.13</v>
      </c>
      <c r="R661" s="35" t="n"/>
      <c r="S661" s="35" t="n"/>
      <c r="T661" s="35" t="n"/>
      <c r="U661" s="35" t="n"/>
      <c r="V661" s="18">
        <f>IF(COUNTA($B661:$R661)=0,"",ROUND(N($R661)+N($S661)+N($T661)-N($U661),2))</f>
        <v/>
      </c>
      <c r="W661" s="18">
        <f>IF(COUNTA($B661:$R661)=0,"",IF(OR($X661="Pago",$X661="Recebido",$X661="Cancelado"),0,ROUND(N($Q661)+N($S661)+N($T661)-N($U661)-N($R661),2)))</f>
        <v/>
      </c>
      <c r="X661" s="14" t="inlineStr">
        <is>
          <t>Previsto</t>
        </is>
      </c>
      <c r="Y661" s="17">
        <f>IF(COUNTA($B661:$R661)=0,"",IF($X661="Cancelado","Cancelado",IF(OR($X661="Pago",$X661="Recebido"),$X661,IF(OR($X661="Parcial",N($R661)&gt;0),"Parcial",IF($C661="","Sem vencimento",IF($C661&lt;TODAY(),"Vencido",IF($C661=TODAY(),"Vence hoje",IF($C661&lt;=TODAY()+7,"Vence em 7 dias",IF($C661&lt;=TODAY()+30,"Vence em 30 dias","Futuro")))))))))</f>
        <v/>
      </c>
      <c r="Z661" s="24">
        <f>IF($B661="","",MONTH($B661))</f>
        <v/>
      </c>
      <c r="AA661" s="24">
        <f>IF($B661="","",YEAR($B661))</f>
        <v/>
      </c>
      <c r="AB661" s="24">
        <f>IF($B661="","",ISOWEEKNUM($B661))</f>
        <v/>
      </c>
      <c r="AC661" s="17">
        <f>IF($B661="","",CHOOSE(WEEKDAY($B661,2),"Segunda","Terça","Quarta","Quinta","Sexta","Sábado","Domingo"))</f>
        <v/>
      </c>
      <c r="AD661" s="17">
        <f>IF($B661="","",TEXT($B661,"MM/AAAA"))</f>
        <v/>
      </c>
      <c r="AE661" s="18">
        <f>IF(COUNTA($B661:$R661)=0,"",IF($X661="Cancelado",0,ROUND(N($Q661)+N($S661)+N($T661)-N($U661),2)))</f>
        <v/>
      </c>
      <c r="AF661" s="9">
        <f>IF($G661="","",IFERROR(INDEX(LINHAS_DRE_PLANO,MATCH($G661,SUBCATEGORIAS_PLANO,0)),"Não classificado"))</f>
        <v/>
      </c>
      <c r="AG661" s="17">
        <f>IF($G661="","",IFERROR(INDEX(TIPOS_FLUXO_PLANO,MATCH($G661,SUBCATEGORIAS_PLANO,0)),"Não classificado"))</f>
        <v/>
      </c>
      <c r="AH661" s="9">
        <f>IF($G661="","",IFERROR(INDEX(GRUPOS_PLANO,MATCH($G661,SUBCATEGORIAS_PLANO,0)),"Não classificado"))</f>
        <v/>
      </c>
      <c r="AI661" s="24">
        <f>IF(OR($C661="",$X661="Pago",$X661="Recebido",$X661="Cancelado"),"",$C661-TODAY())</f>
        <v/>
      </c>
      <c r="AJ661" s="24">
        <f>IF(OR($C661="",$X661="Pago",$X661="Recebido",$X661="Cancelado"),0,MAX(0,TODAY()-$C661))</f>
        <v/>
      </c>
      <c r="AK661" s="24">
        <f>IF($D661="","",$D661-$B661)</f>
        <v/>
      </c>
      <c r="AL661" s="18">
        <f>IF(OR($D661="",$B661=""),"",ROUND(N($R661)*($D661-$B661),2))</f>
        <v/>
      </c>
      <c r="AM661" s="17">
        <f>IF(AND($E661="Saída",$W661&gt;0,$C661&lt;&gt;""),$C661+ROW()/1000000,"")</f>
        <v/>
      </c>
      <c r="AN661" s="17">
        <f>IF(AND($E661="Entrada",$W661&gt;0,$C661&lt;&gt;""),$C661+ROW()/1000000,"")</f>
        <v/>
      </c>
      <c r="AO661" s="9">
        <f>IF(COUNTA($B661:$R661)=0,"",IF(AND($I661&lt;&gt;"",COUNTIF(CLIENTES_NOMES,$I661)+COUNTIF(CLIENTES_FANTASIA,$I661)+COUNTIF(FORNECEDORES_NOMES,$I661)+COUNTIF(FORNECEDORES_FANTASIA,$I661)=0),"⚠ Cliente/Fornecedor não cadastrado",IF(AND($G661&lt;&gt;"",COUNTIF(SUBCATEGORIAS_PLANO,$G661)=0),"⚠ Subcategoria fora do plano de contas",IF(OR($Q661="",N($Q661)=0),"⚠ Valor previsto não informado",IF(AND(OR($X661="Pago",$X661="Recebido"),$D661=""),"⚠ Status pago/recebido sem data",IF(AND($D661&lt;&gt;"",N($R661)=0),"⚠ Data de pagamento sem valor realizado",IF(AND(N($P661)&gt;1,N($O661)&gt;N($P661)),"⚠ Nº da parcela maior que o total",IF(AND($C661&lt;&gt;"",$B661&lt;&gt;"",$C661&lt;$B661),"⚠ Vencimento anterior à competência","OK"))))))))</f>
        <v/>
      </c>
    </row>
    <row r="662">
      <c r="A662" s="14" t="inlineStr">
        <is>
          <t>L0657</t>
        </is>
      </c>
      <c r="B662" s="36" t="n">
        <v>46832</v>
      </c>
      <c r="C662" s="36" t="n">
        <v>46832</v>
      </c>
      <c r="D662" s="36" t="n"/>
      <c r="E662" s="14" t="inlineStr">
        <is>
          <t>Saída</t>
        </is>
      </c>
      <c r="F662" s="29" t="inlineStr">
        <is>
          <t>Despesas Financeiras</t>
        </is>
      </c>
      <c r="G662" s="29" t="inlineStr">
        <is>
          <t>Juros de Empréstimos e Financiamentos</t>
        </is>
      </c>
      <c r="H662" s="29" t="inlineStr">
        <is>
          <t>Diretoria</t>
        </is>
      </c>
      <c r="I662" s="29" t="inlineStr">
        <is>
          <t>Banco Santander</t>
        </is>
      </c>
      <c r="J662" s="29" t="inlineStr">
        <is>
          <t>Financiamento de Veículo — parcela 26/48 (juros)</t>
        </is>
      </c>
      <c r="K662" s="14" t="inlineStr">
        <is>
          <t>VEI-2026-0088-P26</t>
        </is>
      </c>
      <c r="L662" s="29" t="inlineStr">
        <is>
          <t>Itaú Unibanco — C/C 45678-9</t>
        </is>
      </c>
      <c r="M662" s="14" t="inlineStr">
        <is>
          <t>Débito automático</t>
        </is>
      </c>
      <c r="N662" s="29" t="n"/>
      <c r="O662" s="13" t="n">
        <v>26</v>
      </c>
      <c r="P662" s="13" t="n">
        <v>48</v>
      </c>
      <c r="Q662" s="35" t="n">
        <v>553.33</v>
      </c>
      <c r="R662" s="35" t="n"/>
      <c r="S662" s="35" t="n"/>
      <c r="T662" s="35" t="n"/>
      <c r="U662" s="35" t="n"/>
      <c r="V662" s="18">
        <f>IF(COUNTA($B662:$R662)=0,"",ROUND(N($R662)+N($S662)+N($T662)-N($U662),2))</f>
        <v/>
      </c>
      <c r="W662" s="18">
        <f>IF(COUNTA($B662:$R662)=0,"",IF(OR($X662="Pago",$X662="Recebido",$X662="Cancelado"),0,ROUND(N($Q662)+N($S662)+N($T662)-N($U662)-N($R662),2)))</f>
        <v/>
      </c>
      <c r="X662" s="14" t="inlineStr">
        <is>
          <t>Previsto</t>
        </is>
      </c>
      <c r="Y662" s="17">
        <f>IF(COUNTA($B662:$R662)=0,"",IF($X662="Cancelado","Cancelado",IF(OR($X662="Pago",$X662="Recebido"),$X662,IF(OR($X662="Parcial",N($R662)&gt;0),"Parcial",IF($C662="","Sem vencimento",IF($C662&lt;TODAY(),"Vencido",IF($C662=TODAY(),"Vence hoje",IF($C662&lt;=TODAY()+7,"Vence em 7 dias",IF($C662&lt;=TODAY()+30,"Vence em 30 dias","Futuro")))))))))</f>
        <v/>
      </c>
      <c r="Z662" s="24">
        <f>IF($B662="","",MONTH($B662))</f>
        <v/>
      </c>
      <c r="AA662" s="24">
        <f>IF($B662="","",YEAR($B662))</f>
        <v/>
      </c>
      <c r="AB662" s="24">
        <f>IF($B662="","",ISOWEEKNUM($B662))</f>
        <v/>
      </c>
      <c r="AC662" s="17">
        <f>IF($B662="","",CHOOSE(WEEKDAY($B662,2),"Segunda","Terça","Quarta","Quinta","Sexta","Sábado","Domingo"))</f>
        <v/>
      </c>
      <c r="AD662" s="17">
        <f>IF($B662="","",TEXT($B662,"MM/AAAA"))</f>
        <v/>
      </c>
      <c r="AE662" s="18">
        <f>IF(COUNTA($B662:$R662)=0,"",IF($X662="Cancelado",0,ROUND(N($Q662)+N($S662)+N($T662)-N($U662),2)))</f>
        <v/>
      </c>
      <c r="AF662" s="9">
        <f>IF($G662="","",IFERROR(INDEX(LINHAS_DRE_PLANO,MATCH($G662,SUBCATEGORIAS_PLANO,0)),"Não classificado"))</f>
        <v/>
      </c>
      <c r="AG662" s="17">
        <f>IF($G662="","",IFERROR(INDEX(TIPOS_FLUXO_PLANO,MATCH($G662,SUBCATEGORIAS_PLANO,0)),"Não classificado"))</f>
        <v/>
      </c>
      <c r="AH662" s="9">
        <f>IF($G662="","",IFERROR(INDEX(GRUPOS_PLANO,MATCH($G662,SUBCATEGORIAS_PLANO,0)),"Não classificado"))</f>
        <v/>
      </c>
      <c r="AI662" s="24">
        <f>IF(OR($C662="",$X662="Pago",$X662="Recebido",$X662="Cancelado"),"",$C662-TODAY())</f>
        <v/>
      </c>
      <c r="AJ662" s="24">
        <f>IF(OR($C662="",$X662="Pago",$X662="Recebido",$X662="Cancelado"),0,MAX(0,TODAY()-$C662))</f>
        <v/>
      </c>
      <c r="AK662" s="24">
        <f>IF($D662="","",$D662-$B662)</f>
        <v/>
      </c>
      <c r="AL662" s="18">
        <f>IF(OR($D662="",$B662=""),"",ROUND(N($R662)*($D662-$B662),2))</f>
        <v/>
      </c>
      <c r="AM662" s="17">
        <f>IF(AND($E662="Saída",$W662&gt;0,$C662&lt;&gt;""),$C662+ROW()/1000000,"")</f>
        <v/>
      </c>
      <c r="AN662" s="17">
        <f>IF(AND($E662="Entrada",$W662&gt;0,$C662&lt;&gt;""),$C662+ROW()/1000000,"")</f>
        <v/>
      </c>
      <c r="AO662" s="9">
        <f>IF(COUNTA($B662:$R662)=0,"",IF(AND($I662&lt;&gt;"",COUNTIF(CLIENTES_NOMES,$I662)+COUNTIF(CLIENTES_FANTASIA,$I662)+COUNTIF(FORNECEDORES_NOMES,$I662)+COUNTIF(FORNECEDORES_FANTASIA,$I662)=0),"⚠ Cliente/Fornecedor não cadastrado",IF(AND($G662&lt;&gt;"",COUNTIF(SUBCATEGORIAS_PLANO,$G662)=0),"⚠ Subcategoria fora do plano de contas",IF(OR($Q662="",N($Q662)=0),"⚠ Valor previsto não informado",IF(AND(OR($X662="Pago",$X662="Recebido"),$D662=""),"⚠ Status pago/recebido sem data",IF(AND($D662&lt;&gt;"",N($R662)=0),"⚠ Data de pagamento sem valor realizado",IF(AND(N($P662)&gt;1,N($O662)&gt;N($P662)),"⚠ Nº da parcela maior que o total",IF(AND($C662&lt;&gt;"",$B662&lt;&gt;"",$C662&lt;$B662),"⚠ Vencimento anterior à competência","OK"))))))))</f>
        <v/>
      </c>
    </row>
    <row r="663">
      <c r="A663" s="14" t="inlineStr">
        <is>
          <t>L0658</t>
        </is>
      </c>
      <c r="B663" s="36" t="n">
        <v>46858</v>
      </c>
      <c r="C663" s="36" t="n">
        <v>46858</v>
      </c>
      <c r="D663" s="36" t="n"/>
      <c r="E663" s="14" t="inlineStr">
        <is>
          <t>Saída</t>
        </is>
      </c>
      <c r="F663" s="29" t="inlineStr">
        <is>
          <t>Empréstimos e Financiamentos</t>
        </is>
      </c>
      <c r="G663" s="29" t="inlineStr">
        <is>
          <t>Pagamento de Principal de Empréstimos</t>
        </is>
      </c>
      <c r="H663" s="29" t="inlineStr">
        <is>
          <t>Financeiro</t>
        </is>
      </c>
      <c r="I663" s="29" t="inlineStr">
        <is>
          <t>BNDES / Banco do Brasil</t>
        </is>
      </c>
      <c r="J663" s="29" t="inlineStr">
        <is>
          <t>Financiamento de Máquinas — parcela 26/36 (principal)</t>
        </is>
      </c>
      <c r="K663" s="14" t="inlineStr">
        <is>
          <t>FIN-2026-1198-P26</t>
        </is>
      </c>
      <c r="L663" s="29" t="inlineStr">
        <is>
          <t>Banco do Brasil — C/C 12345-6</t>
        </is>
      </c>
      <c r="M663" s="14" t="inlineStr">
        <is>
          <t>Débito automático</t>
        </is>
      </c>
      <c r="N663" s="29" t="n"/>
      <c r="O663" s="13" t="n">
        <v>26</v>
      </c>
      <c r="P663" s="13" t="n">
        <v>36</v>
      </c>
      <c r="Q663" s="35" t="n">
        <v>3333.33</v>
      </c>
      <c r="R663" s="35" t="n"/>
      <c r="S663" s="35" t="n"/>
      <c r="T663" s="35" t="n"/>
      <c r="U663" s="35" t="n"/>
      <c r="V663" s="18">
        <f>IF(COUNTA($B663:$R663)=0,"",ROUND(N($R663)+N($S663)+N($T663)-N($U663),2))</f>
        <v/>
      </c>
      <c r="W663" s="18">
        <f>IF(COUNTA($B663:$R663)=0,"",IF(OR($X663="Pago",$X663="Recebido",$X663="Cancelado"),0,ROUND(N($Q663)+N($S663)+N($T663)-N($U663)-N($R663),2)))</f>
        <v/>
      </c>
      <c r="X663" s="14" t="inlineStr">
        <is>
          <t>Previsto</t>
        </is>
      </c>
      <c r="Y663" s="17">
        <f>IF(COUNTA($B663:$R663)=0,"",IF($X663="Cancelado","Cancelado",IF(OR($X663="Pago",$X663="Recebido"),$X663,IF(OR($X663="Parcial",N($R663)&gt;0),"Parcial",IF($C663="","Sem vencimento",IF($C663&lt;TODAY(),"Vencido",IF($C663=TODAY(),"Vence hoje",IF($C663&lt;=TODAY()+7,"Vence em 7 dias",IF($C663&lt;=TODAY()+30,"Vence em 30 dias","Futuro")))))))))</f>
        <v/>
      </c>
      <c r="Z663" s="24">
        <f>IF($B663="","",MONTH($B663))</f>
        <v/>
      </c>
      <c r="AA663" s="24">
        <f>IF($B663="","",YEAR($B663))</f>
        <v/>
      </c>
      <c r="AB663" s="24">
        <f>IF($B663="","",ISOWEEKNUM($B663))</f>
        <v/>
      </c>
      <c r="AC663" s="17">
        <f>IF($B663="","",CHOOSE(WEEKDAY($B663,2),"Segunda","Terça","Quarta","Quinta","Sexta","Sábado","Domingo"))</f>
        <v/>
      </c>
      <c r="AD663" s="17">
        <f>IF($B663="","",TEXT($B663,"MM/AAAA"))</f>
        <v/>
      </c>
      <c r="AE663" s="18">
        <f>IF(COUNTA($B663:$R663)=0,"",IF($X663="Cancelado",0,ROUND(N($Q663)+N($S663)+N($T663)-N($U663),2)))</f>
        <v/>
      </c>
      <c r="AF663" s="9">
        <f>IF($G663="","",IFERROR(INDEX(LINHAS_DRE_PLANO,MATCH($G663,SUBCATEGORIAS_PLANO,0)),"Não classificado"))</f>
        <v/>
      </c>
      <c r="AG663" s="17">
        <f>IF($G663="","",IFERROR(INDEX(TIPOS_FLUXO_PLANO,MATCH($G663,SUBCATEGORIAS_PLANO,0)),"Não classificado"))</f>
        <v/>
      </c>
      <c r="AH663" s="9">
        <f>IF($G663="","",IFERROR(INDEX(GRUPOS_PLANO,MATCH($G663,SUBCATEGORIAS_PLANO,0)),"Não classificado"))</f>
        <v/>
      </c>
      <c r="AI663" s="24">
        <f>IF(OR($C663="",$X663="Pago",$X663="Recebido",$X663="Cancelado"),"",$C663-TODAY())</f>
        <v/>
      </c>
      <c r="AJ663" s="24">
        <f>IF(OR($C663="",$X663="Pago",$X663="Recebido",$X663="Cancelado"),0,MAX(0,TODAY()-$C663))</f>
        <v/>
      </c>
      <c r="AK663" s="24">
        <f>IF($D663="","",$D663-$B663)</f>
        <v/>
      </c>
      <c r="AL663" s="18">
        <f>IF(OR($D663="",$B663=""),"",ROUND(N($R663)*($D663-$B663),2))</f>
        <v/>
      </c>
      <c r="AM663" s="17">
        <f>IF(AND($E663="Saída",$W663&gt;0,$C663&lt;&gt;""),$C663+ROW()/1000000,"")</f>
        <v/>
      </c>
      <c r="AN663" s="17">
        <f>IF(AND($E663="Entrada",$W663&gt;0,$C663&lt;&gt;""),$C663+ROW()/1000000,"")</f>
        <v/>
      </c>
      <c r="AO663" s="9">
        <f>IF(COUNTA($B663:$R663)=0,"",IF(AND($I663&lt;&gt;"",COUNTIF(CLIENTES_NOMES,$I663)+COUNTIF(CLIENTES_FANTASIA,$I663)+COUNTIF(FORNECEDORES_NOMES,$I663)+COUNTIF(FORNECEDORES_FANTASIA,$I663)=0),"⚠ Cliente/Fornecedor não cadastrado",IF(AND($G663&lt;&gt;"",COUNTIF(SUBCATEGORIAS_PLANO,$G663)=0),"⚠ Subcategoria fora do plano de contas",IF(OR($Q663="",N($Q663)=0),"⚠ Valor previsto não informado",IF(AND(OR($X663="Pago",$X663="Recebido"),$D663=""),"⚠ Status pago/recebido sem data",IF(AND($D663&lt;&gt;"",N($R663)=0),"⚠ Data de pagamento sem valor realizado",IF(AND(N($P663)&gt;1,N($O663)&gt;N($P663)),"⚠ Nº da parcela maior que o total",IF(AND($C663&lt;&gt;"",$B663&lt;&gt;"",$C663&lt;$B663),"⚠ Vencimento anterior à competência","OK"))))))))</f>
        <v/>
      </c>
    </row>
    <row r="664">
      <c r="A664" s="14" t="inlineStr">
        <is>
          <t>L0659</t>
        </is>
      </c>
      <c r="B664" s="36" t="n">
        <v>46858</v>
      </c>
      <c r="C664" s="36" t="n">
        <v>46858</v>
      </c>
      <c r="D664" s="36" t="n"/>
      <c r="E664" s="14" t="inlineStr">
        <is>
          <t>Saída</t>
        </is>
      </c>
      <c r="F664" s="29" t="inlineStr">
        <is>
          <t>Despesas Financeiras</t>
        </is>
      </c>
      <c r="G664" s="29" t="inlineStr">
        <is>
          <t>Juros de Empréstimos e Financiamentos</t>
        </is>
      </c>
      <c r="H664" s="29" t="inlineStr">
        <is>
          <t>Financeiro</t>
        </is>
      </c>
      <c r="I664" s="29" t="inlineStr">
        <is>
          <t>BNDES / Banco do Brasil</t>
        </is>
      </c>
      <c r="J664" s="29" t="inlineStr">
        <is>
          <t>Financiamento de Máquinas — parcela 26/36 (juros)</t>
        </is>
      </c>
      <c r="K664" s="14" t="inlineStr">
        <is>
          <t>FIN-2026-1198-P26</t>
        </is>
      </c>
      <c r="L664" s="29" t="inlineStr">
        <is>
          <t>Banco do Brasil — C/C 12345-6</t>
        </is>
      </c>
      <c r="M664" s="14" t="inlineStr">
        <is>
          <t>Débito automático</t>
        </is>
      </c>
      <c r="N664" s="29" t="n"/>
      <c r="O664" s="13" t="n">
        <v>26</v>
      </c>
      <c r="P664" s="13" t="n">
        <v>36</v>
      </c>
      <c r="Q664" s="35" t="n">
        <v>403.33</v>
      </c>
      <c r="R664" s="35" t="n"/>
      <c r="S664" s="35" t="n"/>
      <c r="T664" s="35" t="n"/>
      <c r="U664" s="35" t="n"/>
      <c r="V664" s="18">
        <f>IF(COUNTA($B664:$R664)=0,"",ROUND(N($R664)+N($S664)+N($T664)-N($U664),2))</f>
        <v/>
      </c>
      <c r="W664" s="18">
        <f>IF(COUNTA($B664:$R664)=0,"",IF(OR($X664="Pago",$X664="Recebido",$X664="Cancelado"),0,ROUND(N($Q664)+N($S664)+N($T664)-N($U664)-N($R664),2)))</f>
        <v/>
      </c>
      <c r="X664" s="14" t="inlineStr">
        <is>
          <t>Previsto</t>
        </is>
      </c>
      <c r="Y664" s="17">
        <f>IF(COUNTA($B664:$R664)=0,"",IF($X664="Cancelado","Cancelado",IF(OR($X664="Pago",$X664="Recebido"),$X664,IF(OR($X664="Parcial",N($R664)&gt;0),"Parcial",IF($C664="","Sem vencimento",IF($C664&lt;TODAY(),"Vencido",IF($C664=TODAY(),"Vence hoje",IF($C664&lt;=TODAY()+7,"Vence em 7 dias",IF($C664&lt;=TODAY()+30,"Vence em 30 dias","Futuro")))))))))</f>
        <v/>
      </c>
      <c r="Z664" s="24">
        <f>IF($B664="","",MONTH($B664))</f>
        <v/>
      </c>
      <c r="AA664" s="24">
        <f>IF($B664="","",YEAR($B664))</f>
        <v/>
      </c>
      <c r="AB664" s="24">
        <f>IF($B664="","",ISOWEEKNUM($B664))</f>
        <v/>
      </c>
      <c r="AC664" s="17">
        <f>IF($B664="","",CHOOSE(WEEKDAY($B664,2),"Segunda","Terça","Quarta","Quinta","Sexta","Sábado","Domingo"))</f>
        <v/>
      </c>
      <c r="AD664" s="17">
        <f>IF($B664="","",TEXT($B664,"MM/AAAA"))</f>
        <v/>
      </c>
      <c r="AE664" s="18">
        <f>IF(COUNTA($B664:$R664)=0,"",IF($X664="Cancelado",0,ROUND(N($Q664)+N($S664)+N($T664)-N($U664),2)))</f>
        <v/>
      </c>
      <c r="AF664" s="9">
        <f>IF($G664="","",IFERROR(INDEX(LINHAS_DRE_PLANO,MATCH($G664,SUBCATEGORIAS_PLANO,0)),"Não classificado"))</f>
        <v/>
      </c>
      <c r="AG664" s="17">
        <f>IF($G664="","",IFERROR(INDEX(TIPOS_FLUXO_PLANO,MATCH($G664,SUBCATEGORIAS_PLANO,0)),"Não classificado"))</f>
        <v/>
      </c>
      <c r="AH664" s="9">
        <f>IF($G664="","",IFERROR(INDEX(GRUPOS_PLANO,MATCH($G664,SUBCATEGORIAS_PLANO,0)),"Não classificado"))</f>
        <v/>
      </c>
      <c r="AI664" s="24">
        <f>IF(OR($C664="",$X664="Pago",$X664="Recebido",$X664="Cancelado"),"",$C664-TODAY())</f>
        <v/>
      </c>
      <c r="AJ664" s="24">
        <f>IF(OR($C664="",$X664="Pago",$X664="Recebido",$X664="Cancelado"),0,MAX(0,TODAY()-$C664))</f>
        <v/>
      </c>
      <c r="AK664" s="24">
        <f>IF($D664="","",$D664-$B664)</f>
        <v/>
      </c>
      <c r="AL664" s="18">
        <f>IF(OR($D664="",$B664=""),"",ROUND(N($R664)*($D664-$B664),2))</f>
        <v/>
      </c>
      <c r="AM664" s="17">
        <f>IF(AND($E664="Saída",$W664&gt;0,$C664&lt;&gt;""),$C664+ROW()/1000000,"")</f>
        <v/>
      </c>
      <c r="AN664" s="17">
        <f>IF(AND($E664="Entrada",$W664&gt;0,$C664&lt;&gt;""),$C664+ROW()/1000000,"")</f>
        <v/>
      </c>
      <c r="AO664" s="9">
        <f>IF(COUNTA($B664:$R664)=0,"",IF(AND($I664&lt;&gt;"",COUNTIF(CLIENTES_NOMES,$I664)+COUNTIF(CLIENTES_FANTASIA,$I664)+COUNTIF(FORNECEDORES_NOMES,$I664)+COUNTIF(FORNECEDORES_FANTASIA,$I664)=0),"⚠ Cliente/Fornecedor não cadastrado",IF(AND($G664&lt;&gt;"",COUNTIF(SUBCATEGORIAS_PLANO,$G664)=0),"⚠ Subcategoria fora do plano de contas",IF(OR($Q664="",N($Q664)=0),"⚠ Valor previsto não informado",IF(AND(OR($X664="Pago",$X664="Recebido"),$D664=""),"⚠ Status pago/recebido sem data",IF(AND($D664&lt;&gt;"",N($R664)=0),"⚠ Data de pagamento sem valor realizado",IF(AND(N($P664)&gt;1,N($O664)&gt;N($P664)),"⚠ Nº da parcela maior que o total",IF(AND($C664&lt;&gt;"",$B664&lt;&gt;"",$C664&lt;$B664),"⚠ Vencimento anterior à competência","OK"))))))))</f>
        <v/>
      </c>
    </row>
    <row r="665">
      <c r="A665" s="14" t="inlineStr">
        <is>
          <t>L0660</t>
        </is>
      </c>
      <c r="B665" s="36" t="n">
        <v>46863</v>
      </c>
      <c r="C665" s="36" t="n">
        <v>46863</v>
      </c>
      <c r="D665" s="36" t="n"/>
      <c r="E665" s="14" t="inlineStr">
        <is>
          <t>Saída</t>
        </is>
      </c>
      <c r="F665" s="29" t="inlineStr">
        <is>
          <t>Empréstimos e Financiamentos</t>
        </is>
      </c>
      <c r="G665" s="29" t="inlineStr">
        <is>
          <t>Pagamento de Principal de Empréstimos</t>
        </is>
      </c>
      <c r="H665" s="29" t="inlineStr">
        <is>
          <t>Diretoria</t>
        </is>
      </c>
      <c r="I665" s="29" t="inlineStr">
        <is>
          <t>Banco Santander</t>
        </is>
      </c>
      <c r="J665" s="29" t="inlineStr">
        <is>
          <t>Financiamento de Veículo — parcela 27/48 (principal)</t>
        </is>
      </c>
      <c r="K665" s="14" t="inlineStr">
        <is>
          <t>VEI-2026-0088-P27</t>
        </is>
      </c>
      <c r="L665" s="29" t="inlineStr">
        <is>
          <t>Itaú Unibanco — C/C 45678-9</t>
        </is>
      </c>
      <c r="M665" s="14" t="inlineStr">
        <is>
          <t>Débito automático</t>
        </is>
      </c>
      <c r="N665" s="29" t="n"/>
      <c r="O665" s="13" t="n">
        <v>27</v>
      </c>
      <c r="P665" s="13" t="n">
        <v>48</v>
      </c>
      <c r="Q665" s="35" t="n">
        <v>1694.04</v>
      </c>
      <c r="R665" s="35" t="n"/>
      <c r="S665" s="35" t="n"/>
      <c r="T665" s="35" t="n"/>
      <c r="U665" s="35" t="n"/>
      <c r="V665" s="18">
        <f>IF(COUNTA($B665:$R665)=0,"",ROUND(N($R665)+N($S665)+N($T665)-N($U665),2))</f>
        <v/>
      </c>
      <c r="W665" s="18">
        <f>IF(COUNTA($B665:$R665)=0,"",IF(OR($X665="Pago",$X665="Recebido",$X665="Cancelado"),0,ROUND(N($Q665)+N($S665)+N($T665)-N($U665)-N($R665),2)))</f>
        <v/>
      </c>
      <c r="X665" s="14" t="inlineStr">
        <is>
          <t>Previsto</t>
        </is>
      </c>
      <c r="Y665" s="17">
        <f>IF(COUNTA($B665:$R665)=0,"",IF($X665="Cancelado","Cancelado",IF(OR($X665="Pago",$X665="Recebido"),$X665,IF(OR($X665="Parcial",N($R665)&gt;0),"Parcial",IF($C665="","Sem vencimento",IF($C665&lt;TODAY(),"Vencido",IF($C665=TODAY(),"Vence hoje",IF($C665&lt;=TODAY()+7,"Vence em 7 dias",IF($C665&lt;=TODAY()+30,"Vence em 30 dias","Futuro")))))))))</f>
        <v/>
      </c>
      <c r="Z665" s="24">
        <f>IF($B665="","",MONTH($B665))</f>
        <v/>
      </c>
      <c r="AA665" s="24">
        <f>IF($B665="","",YEAR($B665))</f>
        <v/>
      </c>
      <c r="AB665" s="24">
        <f>IF($B665="","",ISOWEEKNUM($B665))</f>
        <v/>
      </c>
      <c r="AC665" s="17">
        <f>IF($B665="","",CHOOSE(WEEKDAY($B665,2),"Segunda","Terça","Quarta","Quinta","Sexta","Sábado","Domingo"))</f>
        <v/>
      </c>
      <c r="AD665" s="17">
        <f>IF($B665="","",TEXT($B665,"MM/AAAA"))</f>
        <v/>
      </c>
      <c r="AE665" s="18">
        <f>IF(COUNTA($B665:$R665)=0,"",IF($X665="Cancelado",0,ROUND(N($Q665)+N($S665)+N($T665)-N($U665),2)))</f>
        <v/>
      </c>
      <c r="AF665" s="9">
        <f>IF($G665="","",IFERROR(INDEX(LINHAS_DRE_PLANO,MATCH($G665,SUBCATEGORIAS_PLANO,0)),"Não classificado"))</f>
        <v/>
      </c>
      <c r="AG665" s="17">
        <f>IF($G665="","",IFERROR(INDEX(TIPOS_FLUXO_PLANO,MATCH($G665,SUBCATEGORIAS_PLANO,0)),"Não classificado"))</f>
        <v/>
      </c>
      <c r="AH665" s="9">
        <f>IF($G665="","",IFERROR(INDEX(GRUPOS_PLANO,MATCH($G665,SUBCATEGORIAS_PLANO,0)),"Não classificado"))</f>
        <v/>
      </c>
      <c r="AI665" s="24">
        <f>IF(OR($C665="",$X665="Pago",$X665="Recebido",$X665="Cancelado"),"",$C665-TODAY())</f>
        <v/>
      </c>
      <c r="AJ665" s="24">
        <f>IF(OR($C665="",$X665="Pago",$X665="Recebido",$X665="Cancelado"),0,MAX(0,TODAY()-$C665))</f>
        <v/>
      </c>
      <c r="AK665" s="24">
        <f>IF($D665="","",$D665-$B665)</f>
        <v/>
      </c>
      <c r="AL665" s="18">
        <f>IF(OR($D665="",$B665=""),"",ROUND(N($R665)*($D665-$B665),2))</f>
        <v/>
      </c>
      <c r="AM665" s="17">
        <f>IF(AND($E665="Saída",$W665&gt;0,$C665&lt;&gt;""),$C665+ROW()/1000000,"")</f>
        <v/>
      </c>
      <c r="AN665" s="17">
        <f>IF(AND($E665="Entrada",$W665&gt;0,$C665&lt;&gt;""),$C665+ROW()/1000000,"")</f>
        <v/>
      </c>
      <c r="AO665" s="9">
        <f>IF(COUNTA($B665:$R665)=0,"",IF(AND($I665&lt;&gt;"",COUNTIF(CLIENTES_NOMES,$I665)+COUNTIF(CLIENTES_FANTASIA,$I665)+COUNTIF(FORNECEDORES_NOMES,$I665)+COUNTIF(FORNECEDORES_FANTASIA,$I665)=0),"⚠ Cliente/Fornecedor não cadastrado",IF(AND($G665&lt;&gt;"",COUNTIF(SUBCATEGORIAS_PLANO,$G665)=0),"⚠ Subcategoria fora do plano de contas",IF(OR($Q665="",N($Q665)=0),"⚠ Valor previsto não informado",IF(AND(OR($X665="Pago",$X665="Recebido"),$D665=""),"⚠ Status pago/recebido sem data",IF(AND($D665&lt;&gt;"",N($R665)=0),"⚠ Data de pagamento sem valor realizado",IF(AND(N($P665)&gt;1,N($O665)&gt;N($P665)),"⚠ Nº da parcela maior que o total",IF(AND($C665&lt;&gt;"",$B665&lt;&gt;"",$C665&lt;$B665),"⚠ Vencimento anterior à competência","OK"))))))))</f>
        <v/>
      </c>
    </row>
    <row r="666">
      <c r="A666" s="14" t="inlineStr">
        <is>
          <t>L0661</t>
        </is>
      </c>
      <c r="B666" s="36" t="n">
        <v>46863</v>
      </c>
      <c r="C666" s="36" t="n">
        <v>46863</v>
      </c>
      <c r="D666" s="36" t="n"/>
      <c r="E666" s="14" t="inlineStr">
        <is>
          <t>Saída</t>
        </is>
      </c>
      <c r="F666" s="29" t="inlineStr">
        <is>
          <t>Despesas Financeiras</t>
        </is>
      </c>
      <c r="G666" s="29" t="inlineStr">
        <is>
          <t>Juros de Empréstimos e Financiamentos</t>
        </is>
      </c>
      <c r="H666" s="29" t="inlineStr">
        <is>
          <t>Diretoria</t>
        </is>
      </c>
      <c r="I666" s="29" t="inlineStr">
        <is>
          <t>Banco Santander</t>
        </is>
      </c>
      <c r="J666" s="29" t="inlineStr">
        <is>
          <t>Financiamento de Veículo — parcela 27/48 (juros)</t>
        </is>
      </c>
      <c r="K666" s="14" t="inlineStr">
        <is>
          <t>VEI-2026-0088-P27</t>
        </is>
      </c>
      <c r="L666" s="29" t="inlineStr">
        <is>
          <t>Itaú Unibanco — C/C 45678-9</t>
        </is>
      </c>
      <c r="M666" s="14" t="inlineStr">
        <is>
          <t>Débito automático</t>
        </is>
      </c>
      <c r="N666" s="29" t="n"/>
      <c r="O666" s="13" t="n">
        <v>27</v>
      </c>
      <c r="P666" s="13" t="n">
        <v>48</v>
      </c>
      <c r="Q666" s="35" t="n">
        <v>532.42</v>
      </c>
      <c r="R666" s="35" t="n"/>
      <c r="S666" s="35" t="n"/>
      <c r="T666" s="35" t="n"/>
      <c r="U666" s="35" t="n"/>
      <c r="V666" s="18">
        <f>IF(COUNTA($B666:$R666)=0,"",ROUND(N($R666)+N($S666)+N($T666)-N($U666),2))</f>
        <v/>
      </c>
      <c r="W666" s="18">
        <f>IF(COUNTA($B666:$R666)=0,"",IF(OR($X666="Pago",$X666="Recebido",$X666="Cancelado"),0,ROUND(N($Q666)+N($S666)+N($T666)-N($U666)-N($R666),2)))</f>
        <v/>
      </c>
      <c r="X666" s="14" t="inlineStr">
        <is>
          <t>Previsto</t>
        </is>
      </c>
      <c r="Y666" s="17">
        <f>IF(COUNTA($B666:$R666)=0,"",IF($X666="Cancelado","Cancelado",IF(OR($X666="Pago",$X666="Recebido"),$X666,IF(OR($X666="Parcial",N($R666)&gt;0),"Parcial",IF($C666="","Sem vencimento",IF($C666&lt;TODAY(),"Vencido",IF($C666=TODAY(),"Vence hoje",IF($C666&lt;=TODAY()+7,"Vence em 7 dias",IF($C666&lt;=TODAY()+30,"Vence em 30 dias","Futuro")))))))))</f>
        <v/>
      </c>
      <c r="Z666" s="24">
        <f>IF($B666="","",MONTH($B666))</f>
        <v/>
      </c>
      <c r="AA666" s="24">
        <f>IF($B666="","",YEAR($B666))</f>
        <v/>
      </c>
      <c r="AB666" s="24">
        <f>IF($B666="","",ISOWEEKNUM($B666))</f>
        <v/>
      </c>
      <c r="AC666" s="17">
        <f>IF($B666="","",CHOOSE(WEEKDAY($B666,2),"Segunda","Terça","Quarta","Quinta","Sexta","Sábado","Domingo"))</f>
        <v/>
      </c>
      <c r="AD666" s="17">
        <f>IF($B666="","",TEXT($B666,"MM/AAAA"))</f>
        <v/>
      </c>
      <c r="AE666" s="18">
        <f>IF(COUNTA($B666:$R666)=0,"",IF($X666="Cancelado",0,ROUND(N($Q666)+N($S666)+N($T666)-N($U666),2)))</f>
        <v/>
      </c>
      <c r="AF666" s="9">
        <f>IF($G666="","",IFERROR(INDEX(LINHAS_DRE_PLANO,MATCH($G666,SUBCATEGORIAS_PLANO,0)),"Não classificado"))</f>
        <v/>
      </c>
      <c r="AG666" s="17">
        <f>IF($G666="","",IFERROR(INDEX(TIPOS_FLUXO_PLANO,MATCH($G666,SUBCATEGORIAS_PLANO,0)),"Não classificado"))</f>
        <v/>
      </c>
      <c r="AH666" s="9">
        <f>IF($G666="","",IFERROR(INDEX(GRUPOS_PLANO,MATCH($G666,SUBCATEGORIAS_PLANO,0)),"Não classificado"))</f>
        <v/>
      </c>
      <c r="AI666" s="24">
        <f>IF(OR($C666="",$X666="Pago",$X666="Recebido",$X666="Cancelado"),"",$C666-TODAY())</f>
        <v/>
      </c>
      <c r="AJ666" s="24">
        <f>IF(OR($C666="",$X666="Pago",$X666="Recebido",$X666="Cancelado"),0,MAX(0,TODAY()-$C666))</f>
        <v/>
      </c>
      <c r="AK666" s="24">
        <f>IF($D666="","",$D666-$B666)</f>
        <v/>
      </c>
      <c r="AL666" s="18">
        <f>IF(OR($D666="",$B666=""),"",ROUND(N($R666)*($D666-$B666),2))</f>
        <v/>
      </c>
      <c r="AM666" s="17">
        <f>IF(AND($E666="Saída",$W666&gt;0,$C666&lt;&gt;""),$C666+ROW()/1000000,"")</f>
        <v/>
      </c>
      <c r="AN666" s="17">
        <f>IF(AND($E666="Entrada",$W666&gt;0,$C666&lt;&gt;""),$C666+ROW()/1000000,"")</f>
        <v/>
      </c>
      <c r="AO666" s="9">
        <f>IF(COUNTA($B666:$R666)=0,"",IF(AND($I666&lt;&gt;"",COUNTIF(CLIENTES_NOMES,$I666)+COUNTIF(CLIENTES_FANTASIA,$I666)+COUNTIF(FORNECEDORES_NOMES,$I666)+COUNTIF(FORNECEDORES_FANTASIA,$I666)=0),"⚠ Cliente/Fornecedor não cadastrado",IF(AND($G666&lt;&gt;"",COUNTIF(SUBCATEGORIAS_PLANO,$G666)=0),"⚠ Subcategoria fora do plano de contas",IF(OR($Q666="",N($Q666)=0),"⚠ Valor previsto não informado",IF(AND(OR($X666="Pago",$X666="Recebido"),$D666=""),"⚠ Status pago/recebido sem data",IF(AND($D666&lt;&gt;"",N($R666)=0),"⚠ Data de pagamento sem valor realizado",IF(AND(N($P666)&gt;1,N($O666)&gt;N($P666)),"⚠ Nº da parcela maior que o total",IF(AND($C666&lt;&gt;"",$B666&lt;&gt;"",$C666&lt;$B666),"⚠ Vencimento anterior à competência","OK"))))))))</f>
        <v/>
      </c>
    </row>
    <row r="667">
      <c r="A667" s="14" t="inlineStr">
        <is>
          <t>L0662</t>
        </is>
      </c>
      <c r="B667" s="36" t="n">
        <v>46888</v>
      </c>
      <c r="C667" s="36" t="n">
        <v>46888</v>
      </c>
      <c r="D667" s="36" t="n"/>
      <c r="E667" s="14" t="inlineStr">
        <is>
          <t>Saída</t>
        </is>
      </c>
      <c r="F667" s="29" t="inlineStr">
        <is>
          <t>Empréstimos e Financiamentos</t>
        </is>
      </c>
      <c r="G667" s="29" t="inlineStr">
        <is>
          <t>Pagamento de Principal de Empréstimos</t>
        </is>
      </c>
      <c r="H667" s="29" t="inlineStr">
        <is>
          <t>Financeiro</t>
        </is>
      </c>
      <c r="I667" s="29" t="inlineStr">
        <is>
          <t>BNDES / Banco do Brasil</t>
        </is>
      </c>
      <c r="J667" s="29" t="inlineStr">
        <is>
          <t>Financiamento de Máquinas — parcela 27/36 (principal)</t>
        </is>
      </c>
      <c r="K667" s="14" t="inlineStr">
        <is>
          <t>FIN-2026-1198-P27</t>
        </is>
      </c>
      <c r="L667" s="29" t="inlineStr">
        <is>
          <t>Banco do Brasil — C/C 12345-6</t>
        </is>
      </c>
      <c r="M667" s="14" t="inlineStr">
        <is>
          <t>Débito automático</t>
        </is>
      </c>
      <c r="N667" s="29" t="n"/>
      <c r="O667" s="13" t="n">
        <v>27</v>
      </c>
      <c r="P667" s="13" t="n">
        <v>36</v>
      </c>
      <c r="Q667" s="35" t="n">
        <v>3333.33</v>
      </c>
      <c r="R667" s="35" t="n"/>
      <c r="S667" s="35" t="n"/>
      <c r="T667" s="35" t="n"/>
      <c r="U667" s="35" t="n"/>
      <c r="V667" s="18">
        <f>IF(COUNTA($B667:$R667)=0,"",ROUND(N($R667)+N($S667)+N($T667)-N($U667),2))</f>
        <v/>
      </c>
      <c r="W667" s="18">
        <f>IF(COUNTA($B667:$R667)=0,"",IF(OR($X667="Pago",$X667="Recebido",$X667="Cancelado"),0,ROUND(N($Q667)+N($S667)+N($T667)-N($U667)-N($R667),2)))</f>
        <v/>
      </c>
      <c r="X667" s="14" t="inlineStr">
        <is>
          <t>Previsto</t>
        </is>
      </c>
      <c r="Y667" s="17">
        <f>IF(COUNTA($B667:$R667)=0,"",IF($X667="Cancelado","Cancelado",IF(OR($X667="Pago",$X667="Recebido"),$X667,IF(OR($X667="Parcial",N($R667)&gt;0),"Parcial",IF($C667="","Sem vencimento",IF($C667&lt;TODAY(),"Vencido",IF($C667=TODAY(),"Vence hoje",IF($C667&lt;=TODAY()+7,"Vence em 7 dias",IF($C667&lt;=TODAY()+30,"Vence em 30 dias","Futuro")))))))))</f>
        <v/>
      </c>
      <c r="Z667" s="24">
        <f>IF($B667="","",MONTH($B667))</f>
        <v/>
      </c>
      <c r="AA667" s="24">
        <f>IF($B667="","",YEAR($B667))</f>
        <v/>
      </c>
      <c r="AB667" s="24">
        <f>IF($B667="","",ISOWEEKNUM($B667))</f>
        <v/>
      </c>
      <c r="AC667" s="17">
        <f>IF($B667="","",CHOOSE(WEEKDAY($B667,2),"Segunda","Terça","Quarta","Quinta","Sexta","Sábado","Domingo"))</f>
        <v/>
      </c>
      <c r="AD667" s="17">
        <f>IF($B667="","",TEXT($B667,"MM/AAAA"))</f>
        <v/>
      </c>
      <c r="AE667" s="18">
        <f>IF(COUNTA($B667:$R667)=0,"",IF($X667="Cancelado",0,ROUND(N($Q667)+N($S667)+N($T667)-N($U667),2)))</f>
        <v/>
      </c>
      <c r="AF667" s="9">
        <f>IF($G667="","",IFERROR(INDEX(LINHAS_DRE_PLANO,MATCH($G667,SUBCATEGORIAS_PLANO,0)),"Não classificado"))</f>
        <v/>
      </c>
      <c r="AG667" s="17">
        <f>IF($G667="","",IFERROR(INDEX(TIPOS_FLUXO_PLANO,MATCH($G667,SUBCATEGORIAS_PLANO,0)),"Não classificado"))</f>
        <v/>
      </c>
      <c r="AH667" s="9">
        <f>IF($G667="","",IFERROR(INDEX(GRUPOS_PLANO,MATCH($G667,SUBCATEGORIAS_PLANO,0)),"Não classificado"))</f>
        <v/>
      </c>
      <c r="AI667" s="24">
        <f>IF(OR($C667="",$X667="Pago",$X667="Recebido",$X667="Cancelado"),"",$C667-TODAY())</f>
        <v/>
      </c>
      <c r="AJ667" s="24">
        <f>IF(OR($C667="",$X667="Pago",$X667="Recebido",$X667="Cancelado"),0,MAX(0,TODAY()-$C667))</f>
        <v/>
      </c>
      <c r="AK667" s="24">
        <f>IF($D667="","",$D667-$B667)</f>
        <v/>
      </c>
      <c r="AL667" s="18">
        <f>IF(OR($D667="",$B667=""),"",ROUND(N($R667)*($D667-$B667),2))</f>
        <v/>
      </c>
      <c r="AM667" s="17">
        <f>IF(AND($E667="Saída",$W667&gt;0,$C667&lt;&gt;""),$C667+ROW()/1000000,"")</f>
        <v/>
      </c>
      <c r="AN667" s="17">
        <f>IF(AND($E667="Entrada",$W667&gt;0,$C667&lt;&gt;""),$C667+ROW()/1000000,"")</f>
        <v/>
      </c>
      <c r="AO667" s="9">
        <f>IF(COUNTA($B667:$R667)=0,"",IF(AND($I667&lt;&gt;"",COUNTIF(CLIENTES_NOMES,$I667)+COUNTIF(CLIENTES_FANTASIA,$I667)+COUNTIF(FORNECEDORES_NOMES,$I667)+COUNTIF(FORNECEDORES_FANTASIA,$I667)=0),"⚠ Cliente/Fornecedor não cadastrado",IF(AND($G667&lt;&gt;"",COUNTIF(SUBCATEGORIAS_PLANO,$G667)=0),"⚠ Subcategoria fora do plano de contas",IF(OR($Q667="",N($Q667)=0),"⚠ Valor previsto não informado",IF(AND(OR($X667="Pago",$X667="Recebido"),$D667=""),"⚠ Status pago/recebido sem data",IF(AND($D667&lt;&gt;"",N($R667)=0),"⚠ Data de pagamento sem valor realizado",IF(AND(N($P667)&gt;1,N($O667)&gt;N($P667)),"⚠ Nº da parcela maior que o total",IF(AND($C667&lt;&gt;"",$B667&lt;&gt;"",$C667&lt;$B667),"⚠ Vencimento anterior à competência","OK"))))))))</f>
        <v/>
      </c>
    </row>
    <row r="668">
      <c r="A668" s="14" t="inlineStr">
        <is>
          <t>L0663</t>
        </is>
      </c>
      <c r="B668" s="36" t="n">
        <v>46888</v>
      </c>
      <c r="C668" s="36" t="n">
        <v>46888</v>
      </c>
      <c r="D668" s="36" t="n"/>
      <c r="E668" s="14" t="inlineStr">
        <is>
          <t>Saída</t>
        </is>
      </c>
      <c r="F668" s="29" t="inlineStr">
        <is>
          <t>Despesas Financeiras</t>
        </is>
      </c>
      <c r="G668" s="29" t="inlineStr">
        <is>
          <t>Juros de Empréstimos e Financiamentos</t>
        </is>
      </c>
      <c r="H668" s="29" t="inlineStr">
        <is>
          <t>Financeiro</t>
        </is>
      </c>
      <c r="I668" s="29" t="inlineStr">
        <is>
          <t>BNDES / Banco do Brasil</t>
        </is>
      </c>
      <c r="J668" s="29" t="inlineStr">
        <is>
          <t>Financiamento de Máquinas — parcela 27/36 (juros)</t>
        </is>
      </c>
      <c r="K668" s="14" t="inlineStr">
        <is>
          <t>FIN-2026-1198-P27</t>
        </is>
      </c>
      <c r="L668" s="29" t="inlineStr">
        <is>
          <t>Banco do Brasil — C/C 12345-6</t>
        </is>
      </c>
      <c r="M668" s="14" t="inlineStr">
        <is>
          <t>Débito automático</t>
        </is>
      </c>
      <c r="N668" s="29" t="n"/>
      <c r="O668" s="13" t="n">
        <v>27</v>
      </c>
      <c r="P668" s="13" t="n">
        <v>36</v>
      </c>
      <c r="Q668" s="35" t="n">
        <v>366.67</v>
      </c>
      <c r="R668" s="35" t="n"/>
      <c r="S668" s="35" t="n"/>
      <c r="T668" s="35" t="n"/>
      <c r="U668" s="35" t="n"/>
      <c r="V668" s="18">
        <f>IF(COUNTA($B668:$R668)=0,"",ROUND(N($R668)+N($S668)+N($T668)-N($U668),2))</f>
        <v/>
      </c>
      <c r="W668" s="18">
        <f>IF(COUNTA($B668:$R668)=0,"",IF(OR($X668="Pago",$X668="Recebido",$X668="Cancelado"),0,ROUND(N($Q668)+N($S668)+N($T668)-N($U668)-N($R668),2)))</f>
        <v/>
      </c>
      <c r="X668" s="14" t="inlineStr">
        <is>
          <t>Previsto</t>
        </is>
      </c>
      <c r="Y668" s="17">
        <f>IF(COUNTA($B668:$R668)=0,"",IF($X668="Cancelado","Cancelado",IF(OR($X668="Pago",$X668="Recebido"),$X668,IF(OR($X668="Parcial",N($R668)&gt;0),"Parcial",IF($C668="","Sem vencimento",IF($C668&lt;TODAY(),"Vencido",IF($C668=TODAY(),"Vence hoje",IF($C668&lt;=TODAY()+7,"Vence em 7 dias",IF($C668&lt;=TODAY()+30,"Vence em 30 dias","Futuro")))))))))</f>
        <v/>
      </c>
      <c r="Z668" s="24">
        <f>IF($B668="","",MONTH($B668))</f>
        <v/>
      </c>
      <c r="AA668" s="24">
        <f>IF($B668="","",YEAR($B668))</f>
        <v/>
      </c>
      <c r="AB668" s="24">
        <f>IF($B668="","",ISOWEEKNUM($B668))</f>
        <v/>
      </c>
      <c r="AC668" s="17">
        <f>IF($B668="","",CHOOSE(WEEKDAY($B668,2),"Segunda","Terça","Quarta","Quinta","Sexta","Sábado","Domingo"))</f>
        <v/>
      </c>
      <c r="AD668" s="17">
        <f>IF($B668="","",TEXT($B668,"MM/AAAA"))</f>
        <v/>
      </c>
      <c r="AE668" s="18">
        <f>IF(COUNTA($B668:$R668)=0,"",IF($X668="Cancelado",0,ROUND(N($Q668)+N($S668)+N($T668)-N($U668),2)))</f>
        <v/>
      </c>
      <c r="AF668" s="9">
        <f>IF($G668="","",IFERROR(INDEX(LINHAS_DRE_PLANO,MATCH($G668,SUBCATEGORIAS_PLANO,0)),"Não classificado"))</f>
        <v/>
      </c>
      <c r="AG668" s="17">
        <f>IF($G668="","",IFERROR(INDEX(TIPOS_FLUXO_PLANO,MATCH($G668,SUBCATEGORIAS_PLANO,0)),"Não classificado"))</f>
        <v/>
      </c>
      <c r="AH668" s="9">
        <f>IF($G668="","",IFERROR(INDEX(GRUPOS_PLANO,MATCH($G668,SUBCATEGORIAS_PLANO,0)),"Não classificado"))</f>
        <v/>
      </c>
      <c r="AI668" s="24">
        <f>IF(OR($C668="",$X668="Pago",$X668="Recebido",$X668="Cancelado"),"",$C668-TODAY())</f>
        <v/>
      </c>
      <c r="AJ668" s="24">
        <f>IF(OR($C668="",$X668="Pago",$X668="Recebido",$X668="Cancelado"),0,MAX(0,TODAY()-$C668))</f>
        <v/>
      </c>
      <c r="AK668" s="24">
        <f>IF($D668="","",$D668-$B668)</f>
        <v/>
      </c>
      <c r="AL668" s="18">
        <f>IF(OR($D668="",$B668=""),"",ROUND(N($R668)*($D668-$B668),2))</f>
        <v/>
      </c>
      <c r="AM668" s="17">
        <f>IF(AND($E668="Saída",$W668&gt;0,$C668&lt;&gt;""),$C668+ROW()/1000000,"")</f>
        <v/>
      </c>
      <c r="AN668" s="17">
        <f>IF(AND($E668="Entrada",$W668&gt;0,$C668&lt;&gt;""),$C668+ROW()/1000000,"")</f>
        <v/>
      </c>
      <c r="AO668" s="9">
        <f>IF(COUNTA($B668:$R668)=0,"",IF(AND($I668&lt;&gt;"",COUNTIF(CLIENTES_NOMES,$I668)+COUNTIF(CLIENTES_FANTASIA,$I668)+COUNTIF(FORNECEDORES_NOMES,$I668)+COUNTIF(FORNECEDORES_FANTASIA,$I668)=0),"⚠ Cliente/Fornecedor não cadastrado",IF(AND($G668&lt;&gt;"",COUNTIF(SUBCATEGORIAS_PLANO,$G668)=0),"⚠ Subcategoria fora do plano de contas",IF(OR($Q668="",N($Q668)=0),"⚠ Valor previsto não informado",IF(AND(OR($X668="Pago",$X668="Recebido"),$D668=""),"⚠ Status pago/recebido sem data",IF(AND($D668&lt;&gt;"",N($R668)=0),"⚠ Data de pagamento sem valor realizado",IF(AND(N($P668)&gt;1,N($O668)&gt;N($P668)),"⚠ Nº da parcela maior que o total",IF(AND($C668&lt;&gt;"",$B668&lt;&gt;"",$C668&lt;$B668),"⚠ Vencimento anterior à competência","OK"))))))))</f>
        <v/>
      </c>
    </row>
    <row r="669">
      <c r="A669" s="14" t="inlineStr">
        <is>
          <t>L0664</t>
        </is>
      </c>
      <c r="B669" s="36" t="n">
        <v>46893</v>
      </c>
      <c r="C669" s="36" t="n">
        <v>46893</v>
      </c>
      <c r="D669" s="36" t="n"/>
      <c r="E669" s="14" t="inlineStr">
        <is>
          <t>Saída</t>
        </is>
      </c>
      <c r="F669" s="29" t="inlineStr">
        <is>
          <t>Empréstimos e Financiamentos</t>
        </is>
      </c>
      <c r="G669" s="29" t="inlineStr">
        <is>
          <t>Pagamento de Principal de Empréstimos</t>
        </is>
      </c>
      <c r="H669" s="29" t="inlineStr">
        <is>
          <t>Diretoria</t>
        </is>
      </c>
      <c r="I669" s="29" t="inlineStr">
        <is>
          <t>Banco Santander</t>
        </is>
      </c>
      <c r="J669" s="29" t="inlineStr">
        <is>
          <t>Financiamento de Veículo — parcela 28/48 (principal)</t>
        </is>
      </c>
      <c r="K669" s="14" t="inlineStr">
        <is>
          <t>VEI-2026-0088-P28</t>
        </is>
      </c>
      <c r="L669" s="29" t="inlineStr">
        <is>
          <t>Itaú Unibanco — C/C 45678-9</t>
        </is>
      </c>
      <c r="M669" s="14" t="inlineStr">
        <is>
          <t>Débito automático</t>
        </is>
      </c>
      <c r="N669" s="29" t="n"/>
      <c r="O669" s="13" t="n">
        <v>28</v>
      </c>
      <c r="P669" s="13" t="n">
        <v>48</v>
      </c>
      <c r="Q669" s="35" t="n">
        <v>1715.22</v>
      </c>
      <c r="R669" s="35" t="n"/>
      <c r="S669" s="35" t="n"/>
      <c r="T669" s="35" t="n"/>
      <c r="U669" s="35" t="n"/>
      <c r="V669" s="18">
        <f>IF(COUNTA($B669:$R669)=0,"",ROUND(N($R669)+N($S669)+N($T669)-N($U669),2))</f>
        <v/>
      </c>
      <c r="W669" s="18">
        <f>IF(COUNTA($B669:$R669)=0,"",IF(OR($X669="Pago",$X669="Recebido",$X669="Cancelado"),0,ROUND(N($Q669)+N($S669)+N($T669)-N($U669)-N($R669),2)))</f>
        <v/>
      </c>
      <c r="X669" s="14" t="inlineStr">
        <is>
          <t>Previsto</t>
        </is>
      </c>
      <c r="Y669" s="17">
        <f>IF(COUNTA($B669:$R669)=0,"",IF($X669="Cancelado","Cancelado",IF(OR($X669="Pago",$X669="Recebido"),$X669,IF(OR($X669="Parcial",N($R669)&gt;0),"Parcial",IF($C669="","Sem vencimento",IF($C669&lt;TODAY(),"Vencido",IF($C669=TODAY(),"Vence hoje",IF($C669&lt;=TODAY()+7,"Vence em 7 dias",IF($C669&lt;=TODAY()+30,"Vence em 30 dias","Futuro")))))))))</f>
        <v/>
      </c>
      <c r="Z669" s="24">
        <f>IF($B669="","",MONTH($B669))</f>
        <v/>
      </c>
      <c r="AA669" s="24">
        <f>IF($B669="","",YEAR($B669))</f>
        <v/>
      </c>
      <c r="AB669" s="24">
        <f>IF($B669="","",ISOWEEKNUM($B669))</f>
        <v/>
      </c>
      <c r="AC669" s="17">
        <f>IF($B669="","",CHOOSE(WEEKDAY($B669,2),"Segunda","Terça","Quarta","Quinta","Sexta","Sábado","Domingo"))</f>
        <v/>
      </c>
      <c r="AD669" s="17">
        <f>IF($B669="","",TEXT($B669,"MM/AAAA"))</f>
        <v/>
      </c>
      <c r="AE669" s="18">
        <f>IF(COUNTA($B669:$R669)=0,"",IF($X669="Cancelado",0,ROUND(N($Q669)+N($S669)+N($T669)-N($U669),2)))</f>
        <v/>
      </c>
      <c r="AF669" s="9">
        <f>IF($G669="","",IFERROR(INDEX(LINHAS_DRE_PLANO,MATCH($G669,SUBCATEGORIAS_PLANO,0)),"Não classificado"))</f>
        <v/>
      </c>
      <c r="AG669" s="17">
        <f>IF($G669="","",IFERROR(INDEX(TIPOS_FLUXO_PLANO,MATCH($G669,SUBCATEGORIAS_PLANO,0)),"Não classificado"))</f>
        <v/>
      </c>
      <c r="AH669" s="9">
        <f>IF($G669="","",IFERROR(INDEX(GRUPOS_PLANO,MATCH($G669,SUBCATEGORIAS_PLANO,0)),"Não classificado"))</f>
        <v/>
      </c>
      <c r="AI669" s="24">
        <f>IF(OR($C669="",$X669="Pago",$X669="Recebido",$X669="Cancelado"),"",$C669-TODAY())</f>
        <v/>
      </c>
      <c r="AJ669" s="24">
        <f>IF(OR($C669="",$X669="Pago",$X669="Recebido",$X669="Cancelado"),0,MAX(0,TODAY()-$C669))</f>
        <v/>
      </c>
      <c r="AK669" s="24">
        <f>IF($D669="","",$D669-$B669)</f>
        <v/>
      </c>
      <c r="AL669" s="18">
        <f>IF(OR($D669="",$B669=""),"",ROUND(N($R669)*($D669-$B669),2))</f>
        <v/>
      </c>
      <c r="AM669" s="17">
        <f>IF(AND($E669="Saída",$W669&gt;0,$C669&lt;&gt;""),$C669+ROW()/1000000,"")</f>
        <v/>
      </c>
      <c r="AN669" s="17">
        <f>IF(AND($E669="Entrada",$W669&gt;0,$C669&lt;&gt;""),$C669+ROW()/1000000,"")</f>
        <v/>
      </c>
      <c r="AO669" s="9">
        <f>IF(COUNTA($B669:$R669)=0,"",IF(AND($I669&lt;&gt;"",COUNTIF(CLIENTES_NOMES,$I669)+COUNTIF(CLIENTES_FANTASIA,$I669)+COUNTIF(FORNECEDORES_NOMES,$I669)+COUNTIF(FORNECEDORES_FANTASIA,$I669)=0),"⚠ Cliente/Fornecedor não cadastrado",IF(AND($G669&lt;&gt;"",COUNTIF(SUBCATEGORIAS_PLANO,$G669)=0),"⚠ Subcategoria fora do plano de contas",IF(OR($Q669="",N($Q669)=0),"⚠ Valor previsto não informado",IF(AND(OR($X669="Pago",$X669="Recebido"),$D669=""),"⚠ Status pago/recebido sem data",IF(AND($D669&lt;&gt;"",N($R669)=0),"⚠ Data de pagamento sem valor realizado",IF(AND(N($P669)&gt;1,N($O669)&gt;N($P669)),"⚠ Nº da parcela maior que o total",IF(AND($C669&lt;&gt;"",$B669&lt;&gt;"",$C669&lt;$B669),"⚠ Vencimento anterior à competência","OK"))))))))</f>
        <v/>
      </c>
    </row>
    <row r="670">
      <c r="A670" s="14" t="inlineStr">
        <is>
          <t>L0665</t>
        </is>
      </c>
      <c r="B670" s="36" t="n">
        <v>46893</v>
      </c>
      <c r="C670" s="36" t="n">
        <v>46893</v>
      </c>
      <c r="D670" s="36" t="n"/>
      <c r="E670" s="14" t="inlineStr">
        <is>
          <t>Saída</t>
        </is>
      </c>
      <c r="F670" s="29" t="inlineStr">
        <is>
          <t>Despesas Financeiras</t>
        </is>
      </c>
      <c r="G670" s="29" t="inlineStr">
        <is>
          <t>Juros de Empréstimos e Financiamentos</t>
        </is>
      </c>
      <c r="H670" s="29" t="inlineStr">
        <is>
          <t>Diretoria</t>
        </is>
      </c>
      <c r="I670" s="29" t="inlineStr">
        <is>
          <t>Banco Santander</t>
        </is>
      </c>
      <c r="J670" s="29" t="inlineStr">
        <is>
          <t>Financiamento de Veículo — parcela 28/48 (juros)</t>
        </is>
      </c>
      <c r="K670" s="14" t="inlineStr">
        <is>
          <t>VEI-2026-0088-P28</t>
        </is>
      </c>
      <c r="L670" s="29" t="inlineStr">
        <is>
          <t>Itaú Unibanco — C/C 45678-9</t>
        </is>
      </c>
      <c r="M670" s="14" t="inlineStr">
        <is>
          <t>Débito automático</t>
        </is>
      </c>
      <c r="N670" s="29" t="n"/>
      <c r="O670" s="13" t="n">
        <v>28</v>
      </c>
      <c r="P670" s="13" t="n">
        <v>48</v>
      </c>
      <c r="Q670" s="35" t="n">
        <v>511.24</v>
      </c>
      <c r="R670" s="35" t="n"/>
      <c r="S670" s="35" t="n"/>
      <c r="T670" s="35" t="n"/>
      <c r="U670" s="35" t="n"/>
      <c r="V670" s="18">
        <f>IF(COUNTA($B670:$R670)=0,"",ROUND(N($R670)+N($S670)+N($T670)-N($U670),2))</f>
        <v/>
      </c>
      <c r="W670" s="18">
        <f>IF(COUNTA($B670:$R670)=0,"",IF(OR($X670="Pago",$X670="Recebido",$X670="Cancelado"),0,ROUND(N($Q670)+N($S670)+N($T670)-N($U670)-N($R670),2)))</f>
        <v/>
      </c>
      <c r="X670" s="14" t="inlineStr">
        <is>
          <t>Previsto</t>
        </is>
      </c>
      <c r="Y670" s="17">
        <f>IF(COUNTA($B670:$R670)=0,"",IF($X670="Cancelado","Cancelado",IF(OR($X670="Pago",$X670="Recebido"),$X670,IF(OR($X670="Parcial",N($R670)&gt;0),"Parcial",IF($C670="","Sem vencimento",IF($C670&lt;TODAY(),"Vencido",IF($C670=TODAY(),"Vence hoje",IF($C670&lt;=TODAY()+7,"Vence em 7 dias",IF($C670&lt;=TODAY()+30,"Vence em 30 dias","Futuro")))))))))</f>
        <v/>
      </c>
      <c r="Z670" s="24">
        <f>IF($B670="","",MONTH($B670))</f>
        <v/>
      </c>
      <c r="AA670" s="24">
        <f>IF($B670="","",YEAR($B670))</f>
        <v/>
      </c>
      <c r="AB670" s="24">
        <f>IF($B670="","",ISOWEEKNUM($B670))</f>
        <v/>
      </c>
      <c r="AC670" s="17">
        <f>IF($B670="","",CHOOSE(WEEKDAY($B670,2),"Segunda","Terça","Quarta","Quinta","Sexta","Sábado","Domingo"))</f>
        <v/>
      </c>
      <c r="AD670" s="17">
        <f>IF($B670="","",TEXT($B670,"MM/AAAA"))</f>
        <v/>
      </c>
      <c r="AE670" s="18">
        <f>IF(COUNTA($B670:$R670)=0,"",IF($X670="Cancelado",0,ROUND(N($Q670)+N($S670)+N($T670)-N($U670),2)))</f>
        <v/>
      </c>
      <c r="AF670" s="9">
        <f>IF($G670="","",IFERROR(INDEX(LINHAS_DRE_PLANO,MATCH($G670,SUBCATEGORIAS_PLANO,0)),"Não classificado"))</f>
        <v/>
      </c>
      <c r="AG670" s="17">
        <f>IF($G670="","",IFERROR(INDEX(TIPOS_FLUXO_PLANO,MATCH($G670,SUBCATEGORIAS_PLANO,0)),"Não classificado"))</f>
        <v/>
      </c>
      <c r="AH670" s="9">
        <f>IF($G670="","",IFERROR(INDEX(GRUPOS_PLANO,MATCH($G670,SUBCATEGORIAS_PLANO,0)),"Não classificado"))</f>
        <v/>
      </c>
      <c r="AI670" s="24">
        <f>IF(OR($C670="",$X670="Pago",$X670="Recebido",$X670="Cancelado"),"",$C670-TODAY())</f>
        <v/>
      </c>
      <c r="AJ670" s="24">
        <f>IF(OR($C670="",$X670="Pago",$X670="Recebido",$X670="Cancelado"),0,MAX(0,TODAY()-$C670))</f>
        <v/>
      </c>
      <c r="AK670" s="24">
        <f>IF($D670="","",$D670-$B670)</f>
        <v/>
      </c>
      <c r="AL670" s="18">
        <f>IF(OR($D670="",$B670=""),"",ROUND(N($R670)*($D670-$B670),2))</f>
        <v/>
      </c>
      <c r="AM670" s="17">
        <f>IF(AND($E670="Saída",$W670&gt;0,$C670&lt;&gt;""),$C670+ROW()/1000000,"")</f>
        <v/>
      </c>
      <c r="AN670" s="17">
        <f>IF(AND($E670="Entrada",$W670&gt;0,$C670&lt;&gt;""),$C670+ROW()/1000000,"")</f>
        <v/>
      </c>
      <c r="AO670" s="9">
        <f>IF(COUNTA($B670:$R670)=0,"",IF(AND($I670&lt;&gt;"",COUNTIF(CLIENTES_NOMES,$I670)+COUNTIF(CLIENTES_FANTASIA,$I670)+COUNTIF(FORNECEDORES_NOMES,$I670)+COUNTIF(FORNECEDORES_FANTASIA,$I670)=0),"⚠ Cliente/Fornecedor não cadastrado",IF(AND($G670&lt;&gt;"",COUNTIF(SUBCATEGORIAS_PLANO,$G670)=0),"⚠ Subcategoria fora do plano de contas",IF(OR($Q670="",N($Q670)=0),"⚠ Valor previsto não informado",IF(AND(OR($X670="Pago",$X670="Recebido"),$D670=""),"⚠ Status pago/recebido sem data",IF(AND($D670&lt;&gt;"",N($R670)=0),"⚠ Data de pagamento sem valor realizado",IF(AND(N($P670)&gt;1,N($O670)&gt;N($P670)),"⚠ Nº da parcela maior que o total",IF(AND($C670&lt;&gt;"",$B670&lt;&gt;"",$C670&lt;$B670),"⚠ Vencimento anterior à competência","OK"))))))))</f>
        <v/>
      </c>
    </row>
    <row r="671">
      <c r="A671" s="14" t="inlineStr">
        <is>
          <t>L0666</t>
        </is>
      </c>
      <c r="B671" s="36" t="n">
        <v>46919</v>
      </c>
      <c r="C671" s="36" t="n">
        <v>46919</v>
      </c>
      <c r="D671" s="36" t="n"/>
      <c r="E671" s="14" t="inlineStr">
        <is>
          <t>Saída</t>
        </is>
      </c>
      <c r="F671" s="29" t="inlineStr">
        <is>
          <t>Empréstimos e Financiamentos</t>
        </is>
      </c>
      <c r="G671" s="29" t="inlineStr">
        <is>
          <t>Pagamento de Principal de Empréstimos</t>
        </is>
      </c>
      <c r="H671" s="29" t="inlineStr">
        <is>
          <t>Financeiro</t>
        </is>
      </c>
      <c r="I671" s="29" t="inlineStr">
        <is>
          <t>BNDES / Banco do Brasil</t>
        </is>
      </c>
      <c r="J671" s="29" t="inlineStr">
        <is>
          <t>Financiamento de Máquinas — parcela 28/36 (principal)</t>
        </is>
      </c>
      <c r="K671" s="14" t="inlineStr">
        <is>
          <t>FIN-2026-1198-P28</t>
        </is>
      </c>
      <c r="L671" s="29" t="inlineStr">
        <is>
          <t>Banco do Brasil — C/C 12345-6</t>
        </is>
      </c>
      <c r="M671" s="14" t="inlineStr">
        <is>
          <t>Débito automático</t>
        </is>
      </c>
      <c r="N671" s="29" t="n"/>
      <c r="O671" s="13" t="n">
        <v>28</v>
      </c>
      <c r="P671" s="13" t="n">
        <v>36</v>
      </c>
      <c r="Q671" s="35" t="n">
        <v>3333.33</v>
      </c>
      <c r="R671" s="35" t="n"/>
      <c r="S671" s="35" t="n"/>
      <c r="T671" s="35" t="n"/>
      <c r="U671" s="35" t="n"/>
      <c r="V671" s="18">
        <f>IF(COUNTA($B671:$R671)=0,"",ROUND(N($R671)+N($S671)+N($T671)-N($U671),2))</f>
        <v/>
      </c>
      <c r="W671" s="18">
        <f>IF(COUNTA($B671:$R671)=0,"",IF(OR($X671="Pago",$X671="Recebido",$X671="Cancelado"),0,ROUND(N($Q671)+N($S671)+N($T671)-N($U671)-N($R671),2)))</f>
        <v/>
      </c>
      <c r="X671" s="14" t="inlineStr">
        <is>
          <t>Previsto</t>
        </is>
      </c>
      <c r="Y671" s="17">
        <f>IF(COUNTA($B671:$R671)=0,"",IF($X671="Cancelado","Cancelado",IF(OR($X671="Pago",$X671="Recebido"),$X671,IF(OR($X671="Parcial",N($R671)&gt;0),"Parcial",IF($C671="","Sem vencimento",IF($C671&lt;TODAY(),"Vencido",IF($C671=TODAY(),"Vence hoje",IF($C671&lt;=TODAY()+7,"Vence em 7 dias",IF($C671&lt;=TODAY()+30,"Vence em 30 dias","Futuro")))))))))</f>
        <v/>
      </c>
      <c r="Z671" s="24">
        <f>IF($B671="","",MONTH($B671))</f>
        <v/>
      </c>
      <c r="AA671" s="24">
        <f>IF($B671="","",YEAR($B671))</f>
        <v/>
      </c>
      <c r="AB671" s="24">
        <f>IF($B671="","",ISOWEEKNUM($B671))</f>
        <v/>
      </c>
      <c r="AC671" s="17">
        <f>IF($B671="","",CHOOSE(WEEKDAY($B671,2),"Segunda","Terça","Quarta","Quinta","Sexta","Sábado","Domingo"))</f>
        <v/>
      </c>
      <c r="AD671" s="17">
        <f>IF($B671="","",TEXT($B671,"MM/AAAA"))</f>
        <v/>
      </c>
      <c r="AE671" s="18">
        <f>IF(COUNTA($B671:$R671)=0,"",IF($X671="Cancelado",0,ROUND(N($Q671)+N($S671)+N($T671)-N($U671),2)))</f>
        <v/>
      </c>
      <c r="AF671" s="9">
        <f>IF($G671="","",IFERROR(INDEX(LINHAS_DRE_PLANO,MATCH($G671,SUBCATEGORIAS_PLANO,0)),"Não classificado"))</f>
        <v/>
      </c>
      <c r="AG671" s="17">
        <f>IF($G671="","",IFERROR(INDEX(TIPOS_FLUXO_PLANO,MATCH($G671,SUBCATEGORIAS_PLANO,0)),"Não classificado"))</f>
        <v/>
      </c>
      <c r="AH671" s="9">
        <f>IF($G671="","",IFERROR(INDEX(GRUPOS_PLANO,MATCH($G671,SUBCATEGORIAS_PLANO,0)),"Não classificado"))</f>
        <v/>
      </c>
      <c r="AI671" s="24">
        <f>IF(OR($C671="",$X671="Pago",$X671="Recebido",$X671="Cancelado"),"",$C671-TODAY())</f>
        <v/>
      </c>
      <c r="AJ671" s="24">
        <f>IF(OR($C671="",$X671="Pago",$X671="Recebido",$X671="Cancelado"),0,MAX(0,TODAY()-$C671))</f>
        <v/>
      </c>
      <c r="AK671" s="24">
        <f>IF($D671="","",$D671-$B671)</f>
        <v/>
      </c>
      <c r="AL671" s="18">
        <f>IF(OR($D671="",$B671=""),"",ROUND(N($R671)*($D671-$B671),2))</f>
        <v/>
      </c>
      <c r="AM671" s="17">
        <f>IF(AND($E671="Saída",$W671&gt;0,$C671&lt;&gt;""),$C671+ROW()/1000000,"")</f>
        <v/>
      </c>
      <c r="AN671" s="17">
        <f>IF(AND($E671="Entrada",$W671&gt;0,$C671&lt;&gt;""),$C671+ROW()/1000000,"")</f>
        <v/>
      </c>
      <c r="AO671" s="9">
        <f>IF(COUNTA($B671:$R671)=0,"",IF(AND($I671&lt;&gt;"",COUNTIF(CLIENTES_NOMES,$I671)+COUNTIF(CLIENTES_FANTASIA,$I671)+COUNTIF(FORNECEDORES_NOMES,$I671)+COUNTIF(FORNECEDORES_FANTASIA,$I671)=0),"⚠ Cliente/Fornecedor não cadastrado",IF(AND($G671&lt;&gt;"",COUNTIF(SUBCATEGORIAS_PLANO,$G671)=0),"⚠ Subcategoria fora do plano de contas",IF(OR($Q671="",N($Q671)=0),"⚠ Valor previsto não informado",IF(AND(OR($X671="Pago",$X671="Recebido"),$D671=""),"⚠ Status pago/recebido sem data",IF(AND($D671&lt;&gt;"",N($R671)=0),"⚠ Data de pagamento sem valor realizado",IF(AND(N($P671)&gt;1,N($O671)&gt;N($P671)),"⚠ Nº da parcela maior que o total",IF(AND($C671&lt;&gt;"",$B671&lt;&gt;"",$C671&lt;$B671),"⚠ Vencimento anterior à competência","OK"))))))))</f>
        <v/>
      </c>
    </row>
    <row r="672">
      <c r="A672" s="14" t="inlineStr">
        <is>
          <t>L0667</t>
        </is>
      </c>
      <c r="B672" s="36" t="n">
        <v>46919</v>
      </c>
      <c r="C672" s="36" t="n">
        <v>46919</v>
      </c>
      <c r="D672" s="36" t="n"/>
      <c r="E672" s="14" t="inlineStr">
        <is>
          <t>Saída</t>
        </is>
      </c>
      <c r="F672" s="29" t="inlineStr">
        <is>
          <t>Despesas Financeiras</t>
        </is>
      </c>
      <c r="G672" s="29" t="inlineStr">
        <is>
          <t>Juros de Empréstimos e Financiamentos</t>
        </is>
      </c>
      <c r="H672" s="29" t="inlineStr">
        <is>
          <t>Financeiro</t>
        </is>
      </c>
      <c r="I672" s="29" t="inlineStr">
        <is>
          <t>BNDES / Banco do Brasil</t>
        </is>
      </c>
      <c r="J672" s="29" t="inlineStr">
        <is>
          <t>Financiamento de Máquinas — parcela 28/36 (juros)</t>
        </is>
      </c>
      <c r="K672" s="14" t="inlineStr">
        <is>
          <t>FIN-2026-1198-P28</t>
        </is>
      </c>
      <c r="L672" s="29" t="inlineStr">
        <is>
          <t>Banco do Brasil — C/C 12345-6</t>
        </is>
      </c>
      <c r="M672" s="14" t="inlineStr">
        <is>
          <t>Débito automático</t>
        </is>
      </c>
      <c r="N672" s="29" t="n"/>
      <c r="O672" s="13" t="n">
        <v>28</v>
      </c>
      <c r="P672" s="13" t="n">
        <v>36</v>
      </c>
      <c r="Q672" s="35" t="n">
        <v>330</v>
      </c>
      <c r="R672" s="35" t="n"/>
      <c r="S672" s="35" t="n"/>
      <c r="T672" s="35" t="n"/>
      <c r="U672" s="35" t="n"/>
      <c r="V672" s="18">
        <f>IF(COUNTA($B672:$R672)=0,"",ROUND(N($R672)+N($S672)+N($T672)-N($U672),2))</f>
        <v/>
      </c>
      <c r="W672" s="18">
        <f>IF(COUNTA($B672:$R672)=0,"",IF(OR($X672="Pago",$X672="Recebido",$X672="Cancelado"),0,ROUND(N($Q672)+N($S672)+N($T672)-N($U672)-N($R672),2)))</f>
        <v/>
      </c>
      <c r="X672" s="14" t="inlineStr">
        <is>
          <t>Previsto</t>
        </is>
      </c>
      <c r="Y672" s="17">
        <f>IF(COUNTA($B672:$R672)=0,"",IF($X672="Cancelado","Cancelado",IF(OR($X672="Pago",$X672="Recebido"),$X672,IF(OR($X672="Parcial",N($R672)&gt;0),"Parcial",IF($C672="","Sem vencimento",IF($C672&lt;TODAY(),"Vencido",IF($C672=TODAY(),"Vence hoje",IF($C672&lt;=TODAY()+7,"Vence em 7 dias",IF($C672&lt;=TODAY()+30,"Vence em 30 dias","Futuro")))))))))</f>
        <v/>
      </c>
      <c r="Z672" s="24">
        <f>IF($B672="","",MONTH($B672))</f>
        <v/>
      </c>
      <c r="AA672" s="24">
        <f>IF($B672="","",YEAR($B672))</f>
        <v/>
      </c>
      <c r="AB672" s="24">
        <f>IF($B672="","",ISOWEEKNUM($B672))</f>
        <v/>
      </c>
      <c r="AC672" s="17">
        <f>IF($B672="","",CHOOSE(WEEKDAY($B672,2),"Segunda","Terça","Quarta","Quinta","Sexta","Sábado","Domingo"))</f>
        <v/>
      </c>
      <c r="AD672" s="17">
        <f>IF($B672="","",TEXT($B672,"MM/AAAA"))</f>
        <v/>
      </c>
      <c r="AE672" s="18">
        <f>IF(COUNTA($B672:$R672)=0,"",IF($X672="Cancelado",0,ROUND(N($Q672)+N($S672)+N($T672)-N($U672),2)))</f>
        <v/>
      </c>
      <c r="AF672" s="9">
        <f>IF($G672="","",IFERROR(INDEX(LINHAS_DRE_PLANO,MATCH($G672,SUBCATEGORIAS_PLANO,0)),"Não classificado"))</f>
        <v/>
      </c>
      <c r="AG672" s="17">
        <f>IF($G672="","",IFERROR(INDEX(TIPOS_FLUXO_PLANO,MATCH($G672,SUBCATEGORIAS_PLANO,0)),"Não classificado"))</f>
        <v/>
      </c>
      <c r="AH672" s="9">
        <f>IF($G672="","",IFERROR(INDEX(GRUPOS_PLANO,MATCH($G672,SUBCATEGORIAS_PLANO,0)),"Não classificado"))</f>
        <v/>
      </c>
      <c r="AI672" s="24">
        <f>IF(OR($C672="",$X672="Pago",$X672="Recebido",$X672="Cancelado"),"",$C672-TODAY())</f>
        <v/>
      </c>
      <c r="AJ672" s="24">
        <f>IF(OR($C672="",$X672="Pago",$X672="Recebido",$X672="Cancelado"),0,MAX(0,TODAY()-$C672))</f>
        <v/>
      </c>
      <c r="AK672" s="24">
        <f>IF($D672="","",$D672-$B672)</f>
        <v/>
      </c>
      <c r="AL672" s="18">
        <f>IF(OR($D672="",$B672=""),"",ROUND(N($R672)*($D672-$B672),2))</f>
        <v/>
      </c>
      <c r="AM672" s="17">
        <f>IF(AND($E672="Saída",$W672&gt;0,$C672&lt;&gt;""),$C672+ROW()/1000000,"")</f>
        <v/>
      </c>
      <c r="AN672" s="17">
        <f>IF(AND($E672="Entrada",$W672&gt;0,$C672&lt;&gt;""),$C672+ROW()/1000000,"")</f>
        <v/>
      </c>
      <c r="AO672" s="9">
        <f>IF(COUNTA($B672:$R672)=0,"",IF(AND($I672&lt;&gt;"",COUNTIF(CLIENTES_NOMES,$I672)+COUNTIF(CLIENTES_FANTASIA,$I672)+COUNTIF(FORNECEDORES_NOMES,$I672)+COUNTIF(FORNECEDORES_FANTASIA,$I672)=0),"⚠ Cliente/Fornecedor não cadastrado",IF(AND($G672&lt;&gt;"",COUNTIF(SUBCATEGORIAS_PLANO,$G672)=0),"⚠ Subcategoria fora do plano de contas",IF(OR($Q672="",N($Q672)=0),"⚠ Valor previsto não informado",IF(AND(OR($X672="Pago",$X672="Recebido"),$D672=""),"⚠ Status pago/recebido sem data",IF(AND($D672&lt;&gt;"",N($R672)=0),"⚠ Data de pagamento sem valor realizado",IF(AND(N($P672)&gt;1,N($O672)&gt;N($P672)),"⚠ Nº da parcela maior que o total",IF(AND($C672&lt;&gt;"",$B672&lt;&gt;"",$C672&lt;$B672),"⚠ Vencimento anterior à competência","OK"))))))))</f>
        <v/>
      </c>
    </row>
    <row r="673">
      <c r="A673" s="14" t="inlineStr">
        <is>
          <t>L0668</t>
        </is>
      </c>
      <c r="B673" s="36" t="n">
        <v>46924</v>
      </c>
      <c r="C673" s="36" t="n">
        <v>46924</v>
      </c>
      <c r="D673" s="36" t="n"/>
      <c r="E673" s="14" t="inlineStr">
        <is>
          <t>Saída</t>
        </is>
      </c>
      <c r="F673" s="29" t="inlineStr">
        <is>
          <t>Empréstimos e Financiamentos</t>
        </is>
      </c>
      <c r="G673" s="29" t="inlineStr">
        <is>
          <t>Pagamento de Principal de Empréstimos</t>
        </is>
      </c>
      <c r="H673" s="29" t="inlineStr">
        <is>
          <t>Diretoria</t>
        </is>
      </c>
      <c r="I673" s="29" t="inlineStr">
        <is>
          <t>Banco Santander</t>
        </is>
      </c>
      <c r="J673" s="29" t="inlineStr">
        <is>
          <t>Financiamento de Veículo — parcela 29/48 (principal)</t>
        </is>
      </c>
      <c r="K673" s="14" t="inlineStr">
        <is>
          <t>VEI-2026-0088-P29</t>
        </is>
      </c>
      <c r="L673" s="29" t="inlineStr">
        <is>
          <t>Itaú Unibanco — C/C 45678-9</t>
        </is>
      </c>
      <c r="M673" s="14" t="inlineStr">
        <is>
          <t>Débito automático</t>
        </is>
      </c>
      <c r="N673" s="29" t="n"/>
      <c r="O673" s="13" t="n">
        <v>29</v>
      </c>
      <c r="P673" s="13" t="n">
        <v>48</v>
      </c>
      <c r="Q673" s="35" t="n">
        <v>1736.66</v>
      </c>
      <c r="R673" s="35" t="n"/>
      <c r="S673" s="35" t="n"/>
      <c r="T673" s="35" t="n"/>
      <c r="U673" s="35" t="n"/>
      <c r="V673" s="18">
        <f>IF(COUNTA($B673:$R673)=0,"",ROUND(N($R673)+N($S673)+N($T673)-N($U673),2))</f>
        <v/>
      </c>
      <c r="W673" s="18">
        <f>IF(COUNTA($B673:$R673)=0,"",IF(OR($X673="Pago",$X673="Recebido",$X673="Cancelado"),0,ROUND(N($Q673)+N($S673)+N($T673)-N($U673)-N($R673),2)))</f>
        <v/>
      </c>
      <c r="X673" s="14" t="inlineStr">
        <is>
          <t>Previsto</t>
        </is>
      </c>
      <c r="Y673" s="17">
        <f>IF(COUNTA($B673:$R673)=0,"",IF($X673="Cancelado","Cancelado",IF(OR($X673="Pago",$X673="Recebido"),$X673,IF(OR($X673="Parcial",N($R673)&gt;0),"Parcial",IF($C673="","Sem vencimento",IF($C673&lt;TODAY(),"Vencido",IF($C673=TODAY(),"Vence hoje",IF($C673&lt;=TODAY()+7,"Vence em 7 dias",IF($C673&lt;=TODAY()+30,"Vence em 30 dias","Futuro")))))))))</f>
        <v/>
      </c>
      <c r="Z673" s="24">
        <f>IF($B673="","",MONTH($B673))</f>
        <v/>
      </c>
      <c r="AA673" s="24">
        <f>IF($B673="","",YEAR($B673))</f>
        <v/>
      </c>
      <c r="AB673" s="24">
        <f>IF($B673="","",ISOWEEKNUM($B673))</f>
        <v/>
      </c>
      <c r="AC673" s="17">
        <f>IF($B673="","",CHOOSE(WEEKDAY($B673,2),"Segunda","Terça","Quarta","Quinta","Sexta","Sábado","Domingo"))</f>
        <v/>
      </c>
      <c r="AD673" s="17">
        <f>IF($B673="","",TEXT($B673,"MM/AAAA"))</f>
        <v/>
      </c>
      <c r="AE673" s="18">
        <f>IF(COUNTA($B673:$R673)=0,"",IF($X673="Cancelado",0,ROUND(N($Q673)+N($S673)+N($T673)-N($U673),2)))</f>
        <v/>
      </c>
      <c r="AF673" s="9">
        <f>IF($G673="","",IFERROR(INDEX(LINHAS_DRE_PLANO,MATCH($G673,SUBCATEGORIAS_PLANO,0)),"Não classificado"))</f>
        <v/>
      </c>
      <c r="AG673" s="17">
        <f>IF($G673="","",IFERROR(INDEX(TIPOS_FLUXO_PLANO,MATCH($G673,SUBCATEGORIAS_PLANO,0)),"Não classificado"))</f>
        <v/>
      </c>
      <c r="AH673" s="9">
        <f>IF($G673="","",IFERROR(INDEX(GRUPOS_PLANO,MATCH($G673,SUBCATEGORIAS_PLANO,0)),"Não classificado"))</f>
        <v/>
      </c>
      <c r="AI673" s="24">
        <f>IF(OR($C673="",$X673="Pago",$X673="Recebido",$X673="Cancelado"),"",$C673-TODAY())</f>
        <v/>
      </c>
      <c r="AJ673" s="24">
        <f>IF(OR($C673="",$X673="Pago",$X673="Recebido",$X673="Cancelado"),0,MAX(0,TODAY()-$C673))</f>
        <v/>
      </c>
      <c r="AK673" s="24">
        <f>IF($D673="","",$D673-$B673)</f>
        <v/>
      </c>
      <c r="AL673" s="18">
        <f>IF(OR($D673="",$B673=""),"",ROUND(N($R673)*($D673-$B673),2))</f>
        <v/>
      </c>
      <c r="AM673" s="17">
        <f>IF(AND($E673="Saída",$W673&gt;0,$C673&lt;&gt;""),$C673+ROW()/1000000,"")</f>
        <v/>
      </c>
      <c r="AN673" s="17">
        <f>IF(AND($E673="Entrada",$W673&gt;0,$C673&lt;&gt;""),$C673+ROW()/1000000,"")</f>
        <v/>
      </c>
      <c r="AO673" s="9">
        <f>IF(COUNTA($B673:$R673)=0,"",IF(AND($I673&lt;&gt;"",COUNTIF(CLIENTES_NOMES,$I673)+COUNTIF(CLIENTES_FANTASIA,$I673)+COUNTIF(FORNECEDORES_NOMES,$I673)+COUNTIF(FORNECEDORES_FANTASIA,$I673)=0),"⚠ Cliente/Fornecedor não cadastrado",IF(AND($G673&lt;&gt;"",COUNTIF(SUBCATEGORIAS_PLANO,$G673)=0),"⚠ Subcategoria fora do plano de contas",IF(OR($Q673="",N($Q673)=0),"⚠ Valor previsto não informado",IF(AND(OR($X673="Pago",$X673="Recebido"),$D673=""),"⚠ Status pago/recebido sem data",IF(AND($D673&lt;&gt;"",N($R673)=0),"⚠ Data de pagamento sem valor realizado",IF(AND(N($P673)&gt;1,N($O673)&gt;N($P673)),"⚠ Nº da parcela maior que o total",IF(AND($C673&lt;&gt;"",$B673&lt;&gt;"",$C673&lt;$B673),"⚠ Vencimento anterior à competência","OK"))))))))</f>
        <v/>
      </c>
    </row>
    <row r="674">
      <c r="A674" s="14" t="inlineStr">
        <is>
          <t>L0669</t>
        </is>
      </c>
      <c r="B674" s="36" t="n">
        <v>46924</v>
      </c>
      <c r="C674" s="36" t="n">
        <v>46924</v>
      </c>
      <c r="D674" s="36" t="n"/>
      <c r="E674" s="14" t="inlineStr">
        <is>
          <t>Saída</t>
        </is>
      </c>
      <c r="F674" s="29" t="inlineStr">
        <is>
          <t>Despesas Financeiras</t>
        </is>
      </c>
      <c r="G674" s="29" t="inlineStr">
        <is>
          <t>Juros de Empréstimos e Financiamentos</t>
        </is>
      </c>
      <c r="H674" s="29" t="inlineStr">
        <is>
          <t>Diretoria</t>
        </is>
      </c>
      <c r="I674" s="29" t="inlineStr">
        <is>
          <t>Banco Santander</t>
        </is>
      </c>
      <c r="J674" s="29" t="inlineStr">
        <is>
          <t>Financiamento de Veículo — parcela 29/48 (juros)</t>
        </is>
      </c>
      <c r="K674" s="14" t="inlineStr">
        <is>
          <t>VEI-2026-0088-P29</t>
        </is>
      </c>
      <c r="L674" s="29" t="inlineStr">
        <is>
          <t>Itaú Unibanco — C/C 45678-9</t>
        </is>
      </c>
      <c r="M674" s="14" t="inlineStr">
        <is>
          <t>Débito automático</t>
        </is>
      </c>
      <c r="N674" s="29" t="n"/>
      <c r="O674" s="13" t="n">
        <v>29</v>
      </c>
      <c r="P674" s="13" t="n">
        <v>48</v>
      </c>
      <c r="Q674" s="35" t="n">
        <v>489.8</v>
      </c>
      <c r="R674" s="35" t="n"/>
      <c r="S674" s="35" t="n"/>
      <c r="T674" s="35" t="n"/>
      <c r="U674" s="35" t="n"/>
      <c r="V674" s="18">
        <f>IF(COUNTA($B674:$R674)=0,"",ROUND(N($R674)+N($S674)+N($T674)-N($U674),2))</f>
        <v/>
      </c>
      <c r="W674" s="18">
        <f>IF(COUNTA($B674:$R674)=0,"",IF(OR($X674="Pago",$X674="Recebido",$X674="Cancelado"),0,ROUND(N($Q674)+N($S674)+N($T674)-N($U674)-N($R674),2)))</f>
        <v/>
      </c>
      <c r="X674" s="14" t="inlineStr">
        <is>
          <t>Previsto</t>
        </is>
      </c>
      <c r="Y674" s="17">
        <f>IF(COUNTA($B674:$R674)=0,"",IF($X674="Cancelado","Cancelado",IF(OR($X674="Pago",$X674="Recebido"),$X674,IF(OR($X674="Parcial",N($R674)&gt;0),"Parcial",IF($C674="","Sem vencimento",IF($C674&lt;TODAY(),"Vencido",IF($C674=TODAY(),"Vence hoje",IF($C674&lt;=TODAY()+7,"Vence em 7 dias",IF($C674&lt;=TODAY()+30,"Vence em 30 dias","Futuro")))))))))</f>
        <v/>
      </c>
      <c r="Z674" s="24">
        <f>IF($B674="","",MONTH($B674))</f>
        <v/>
      </c>
      <c r="AA674" s="24">
        <f>IF($B674="","",YEAR($B674))</f>
        <v/>
      </c>
      <c r="AB674" s="24">
        <f>IF($B674="","",ISOWEEKNUM($B674))</f>
        <v/>
      </c>
      <c r="AC674" s="17">
        <f>IF($B674="","",CHOOSE(WEEKDAY($B674,2),"Segunda","Terça","Quarta","Quinta","Sexta","Sábado","Domingo"))</f>
        <v/>
      </c>
      <c r="AD674" s="17">
        <f>IF($B674="","",TEXT($B674,"MM/AAAA"))</f>
        <v/>
      </c>
      <c r="AE674" s="18">
        <f>IF(COUNTA($B674:$R674)=0,"",IF($X674="Cancelado",0,ROUND(N($Q674)+N($S674)+N($T674)-N($U674),2)))</f>
        <v/>
      </c>
      <c r="AF674" s="9">
        <f>IF($G674="","",IFERROR(INDEX(LINHAS_DRE_PLANO,MATCH($G674,SUBCATEGORIAS_PLANO,0)),"Não classificado"))</f>
        <v/>
      </c>
      <c r="AG674" s="17">
        <f>IF($G674="","",IFERROR(INDEX(TIPOS_FLUXO_PLANO,MATCH($G674,SUBCATEGORIAS_PLANO,0)),"Não classificado"))</f>
        <v/>
      </c>
      <c r="AH674" s="9">
        <f>IF($G674="","",IFERROR(INDEX(GRUPOS_PLANO,MATCH($G674,SUBCATEGORIAS_PLANO,0)),"Não classificado"))</f>
        <v/>
      </c>
      <c r="AI674" s="24">
        <f>IF(OR($C674="",$X674="Pago",$X674="Recebido",$X674="Cancelado"),"",$C674-TODAY())</f>
        <v/>
      </c>
      <c r="AJ674" s="24">
        <f>IF(OR($C674="",$X674="Pago",$X674="Recebido",$X674="Cancelado"),0,MAX(0,TODAY()-$C674))</f>
        <v/>
      </c>
      <c r="AK674" s="24">
        <f>IF($D674="","",$D674-$B674)</f>
        <v/>
      </c>
      <c r="AL674" s="18">
        <f>IF(OR($D674="",$B674=""),"",ROUND(N($R674)*($D674-$B674),2))</f>
        <v/>
      </c>
      <c r="AM674" s="17">
        <f>IF(AND($E674="Saída",$W674&gt;0,$C674&lt;&gt;""),$C674+ROW()/1000000,"")</f>
        <v/>
      </c>
      <c r="AN674" s="17">
        <f>IF(AND($E674="Entrada",$W674&gt;0,$C674&lt;&gt;""),$C674+ROW()/1000000,"")</f>
        <v/>
      </c>
      <c r="AO674" s="9">
        <f>IF(COUNTA($B674:$R674)=0,"",IF(AND($I674&lt;&gt;"",COUNTIF(CLIENTES_NOMES,$I674)+COUNTIF(CLIENTES_FANTASIA,$I674)+COUNTIF(FORNECEDORES_NOMES,$I674)+COUNTIF(FORNECEDORES_FANTASIA,$I674)=0),"⚠ Cliente/Fornecedor não cadastrado",IF(AND($G674&lt;&gt;"",COUNTIF(SUBCATEGORIAS_PLANO,$G674)=0),"⚠ Subcategoria fora do plano de contas",IF(OR($Q674="",N($Q674)=0),"⚠ Valor previsto não informado",IF(AND(OR($X674="Pago",$X674="Recebido"),$D674=""),"⚠ Status pago/recebido sem data",IF(AND($D674&lt;&gt;"",N($R674)=0),"⚠ Data de pagamento sem valor realizado",IF(AND(N($P674)&gt;1,N($O674)&gt;N($P674)),"⚠ Nº da parcela maior que o total",IF(AND($C674&lt;&gt;"",$B674&lt;&gt;"",$C674&lt;$B674),"⚠ Vencimento anterior à competência","OK"))))))))</f>
        <v/>
      </c>
    </row>
    <row r="675">
      <c r="A675" s="14" t="inlineStr">
        <is>
          <t>L0670</t>
        </is>
      </c>
      <c r="B675" s="36" t="n">
        <v>46949</v>
      </c>
      <c r="C675" s="36" t="n">
        <v>46949</v>
      </c>
      <c r="D675" s="36" t="n"/>
      <c r="E675" s="14" t="inlineStr">
        <is>
          <t>Saída</t>
        </is>
      </c>
      <c r="F675" s="29" t="inlineStr">
        <is>
          <t>Empréstimos e Financiamentos</t>
        </is>
      </c>
      <c r="G675" s="29" t="inlineStr">
        <is>
          <t>Pagamento de Principal de Empréstimos</t>
        </is>
      </c>
      <c r="H675" s="29" t="inlineStr">
        <is>
          <t>Financeiro</t>
        </is>
      </c>
      <c r="I675" s="29" t="inlineStr">
        <is>
          <t>BNDES / Banco do Brasil</t>
        </is>
      </c>
      <c r="J675" s="29" t="inlineStr">
        <is>
          <t>Financiamento de Máquinas — parcela 29/36 (principal)</t>
        </is>
      </c>
      <c r="K675" s="14" t="inlineStr">
        <is>
          <t>FIN-2026-1198-P29</t>
        </is>
      </c>
      <c r="L675" s="29" t="inlineStr">
        <is>
          <t>Banco do Brasil — C/C 12345-6</t>
        </is>
      </c>
      <c r="M675" s="14" t="inlineStr">
        <is>
          <t>Débito automático</t>
        </is>
      </c>
      <c r="N675" s="29" t="n"/>
      <c r="O675" s="13" t="n">
        <v>29</v>
      </c>
      <c r="P675" s="13" t="n">
        <v>36</v>
      </c>
      <c r="Q675" s="35" t="n">
        <v>3333.33</v>
      </c>
      <c r="R675" s="35" t="n"/>
      <c r="S675" s="35" t="n"/>
      <c r="T675" s="35" t="n"/>
      <c r="U675" s="35" t="n"/>
      <c r="V675" s="18">
        <f>IF(COUNTA($B675:$R675)=0,"",ROUND(N($R675)+N($S675)+N($T675)-N($U675),2))</f>
        <v/>
      </c>
      <c r="W675" s="18">
        <f>IF(COUNTA($B675:$R675)=0,"",IF(OR($X675="Pago",$X675="Recebido",$X675="Cancelado"),0,ROUND(N($Q675)+N($S675)+N($T675)-N($U675)-N($R675),2)))</f>
        <v/>
      </c>
      <c r="X675" s="14" t="inlineStr">
        <is>
          <t>Previsto</t>
        </is>
      </c>
      <c r="Y675" s="17">
        <f>IF(COUNTA($B675:$R675)=0,"",IF($X675="Cancelado","Cancelado",IF(OR($X675="Pago",$X675="Recebido"),$X675,IF(OR($X675="Parcial",N($R675)&gt;0),"Parcial",IF($C675="","Sem vencimento",IF($C675&lt;TODAY(),"Vencido",IF($C675=TODAY(),"Vence hoje",IF($C675&lt;=TODAY()+7,"Vence em 7 dias",IF($C675&lt;=TODAY()+30,"Vence em 30 dias","Futuro")))))))))</f>
        <v/>
      </c>
      <c r="Z675" s="24">
        <f>IF($B675="","",MONTH($B675))</f>
        <v/>
      </c>
      <c r="AA675" s="24">
        <f>IF($B675="","",YEAR($B675))</f>
        <v/>
      </c>
      <c r="AB675" s="24">
        <f>IF($B675="","",ISOWEEKNUM($B675))</f>
        <v/>
      </c>
      <c r="AC675" s="17">
        <f>IF($B675="","",CHOOSE(WEEKDAY($B675,2),"Segunda","Terça","Quarta","Quinta","Sexta","Sábado","Domingo"))</f>
        <v/>
      </c>
      <c r="AD675" s="17">
        <f>IF($B675="","",TEXT($B675,"MM/AAAA"))</f>
        <v/>
      </c>
      <c r="AE675" s="18">
        <f>IF(COUNTA($B675:$R675)=0,"",IF($X675="Cancelado",0,ROUND(N($Q675)+N($S675)+N($T675)-N($U675),2)))</f>
        <v/>
      </c>
      <c r="AF675" s="9">
        <f>IF($G675="","",IFERROR(INDEX(LINHAS_DRE_PLANO,MATCH($G675,SUBCATEGORIAS_PLANO,0)),"Não classificado"))</f>
        <v/>
      </c>
      <c r="AG675" s="17">
        <f>IF($G675="","",IFERROR(INDEX(TIPOS_FLUXO_PLANO,MATCH($G675,SUBCATEGORIAS_PLANO,0)),"Não classificado"))</f>
        <v/>
      </c>
      <c r="AH675" s="9">
        <f>IF($G675="","",IFERROR(INDEX(GRUPOS_PLANO,MATCH($G675,SUBCATEGORIAS_PLANO,0)),"Não classificado"))</f>
        <v/>
      </c>
      <c r="AI675" s="24">
        <f>IF(OR($C675="",$X675="Pago",$X675="Recebido",$X675="Cancelado"),"",$C675-TODAY())</f>
        <v/>
      </c>
      <c r="AJ675" s="24">
        <f>IF(OR($C675="",$X675="Pago",$X675="Recebido",$X675="Cancelado"),0,MAX(0,TODAY()-$C675))</f>
        <v/>
      </c>
      <c r="AK675" s="24">
        <f>IF($D675="","",$D675-$B675)</f>
        <v/>
      </c>
      <c r="AL675" s="18">
        <f>IF(OR($D675="",$B675=""),"",ROUND(N($R675)*($D675-$B675),2))</f>
        <v/>
      </c>
      <c r="AM675" s="17">
        <f>IF(AND($E675="Saída",$W675&gt;0,$C675&lt;&gt;""),$C675+ROW()/1000000,"")</f>
        <v/>
      </c>
      <c r="AN675" s="17">
        <f>IF(AND($E675="Entrada",$W675&gt;0,$C675&lt;&gt;""),$C675+ROW()/1000000,"")</f>
        <v/>
      </c>
      <c r="AO675" s="9">
        <f>IF(COUNTA($B675:$R675)=0,"",IF(AND($I675&lt;&gt;"",COUNTIF(CLIENTES_NOMES,$I675)+COUNTIF(CLIENTES_FANTASIA,$I675)+COUNTIF(FORNECEDORES_NOMES,$I675)+COUNTIF(FORNECEDORES_FANTASIA,$I675)=0),"⚠ Cliente/Fornecedor não cadastrado",IF(AND($G675&lt;&gt;"",COUNTIF(SUBCATEGORIAS_PLANO,$G675)=0),"⚠ Subcategoria fora do plano de contas",IF(OR($Q675="",N($Q675)=0),"⚠ Valor previsto não informado",IF(AND(OR($X675="Pago",$X675="Recebido"),$D675=""),"⚠ Status pago/recebido sem data",IF(AND($D675&lt;&gt;"",N($R675)=0),"⚠ Data de pagamento sem valor realizado",IF(AND(N($P675)&gt;1,N($O675)&gt;N($P675)),"⚠ Nº da parcela maior que o total",IF(AND($C675&lt;&gt;"",$B675&lt;&gt;"",$C675&lt;$B675),"⚠ Vencimento anterior à competência","OK"))))))))</f>
        <v/>
      </c>
    </row>
    <row r="676">
      <c r="A676" s="14" t="inlineStr">
        <is>
          <t>L0671</t>
        </is>
      </c>
      <c r="B676" s="36" t="n">
        <v>46949</v>
      </c>
      <c r="C676" s="36" t="n">
        <v>46949</v>
      </c>
      <c r="D676" s="36" t="n"/>
      <c r="E676" s="14" t="inlineStr">
        <is>
          <t>Saída</t>
        </is>
      </c>
      <c r="F676" s="29" t="inlineStr">
        <is>
          <t>Despesas Financeiras</t>
        </is>
      </c>
      <c r="G676" s="29" t="inlineStr">
        <is>
          <t>Juros de Empréstimos e Financiamentos</t>
        </is>
      </c>
      <c r="H676" s="29" t="inlineStr">
        <is>
          <t>Financeiro</t>
        </is>
      </c>
      <c r="I676" s="29" t="inlineStr">
        <is>
          <t>BNDES / Banco do Brasil</t>
        </is>
      </c>
      <c r="J676" s="29" t="inlineStr">
        <is>
          <t>Financiamento de Máquinas — parcela 29/36 (juros)</t>
        </is>
      </c>
      <c r="K676" s="14" t="inlineStr">
        <is>
          <t>FIN-2026-1198-P29</t>
        </is>
      </c>
      <c r="L676" s="29" t="inlineStr">
        <is>
          <t>Banco do Brasil — C/C 12345-6</t>
        </is>
      </c>
      <c r="M676" s="14" t="inlineStr">
        <is>
          <t>Débito automático</t>
        </is>
      </c>
      <c r="N676" s="29" t="n"/>
      <c r="O676" s="13" t="n">
        <v>29</v>
      </c>
      <c r="P676" s="13" t="n">
        <v>36</v>
      </c>
      <c r="Q676" s="35" t="n">
        <v>293.33</v>
      </c>
      <c r="R676" s="35" t="n"/>
      <c r="S676" s="35" t="n"/>
      <c r="T676" s="35" t="n"/>
      <c r="U676" s="35" t="n"/>
      <c r="V676" s="18">
        <f>IF(COUNTA($B676:$R676)=0,"",ROUND(N($R676)+N($S676)+N($T676)-N($U676),2))</f>
        <v/>
      </c>
      <c r="W676" s="18">
        <f>IF(COUNTA($B676:$R676)=0,"",IF(OR($X676="Pago",$X676="Recebido",$X676="Cancelado"),0,ROUND(N($Q676)+N($S676)+N($T676)-N($U676)-N($R676),2)))</f>
        <v/>
      </c>
      <c r="X676" s="14" t="inlineStr">
        <is>
          <t>Previsto</t>
        </is>
      </c>
      <c r="Y676" s="17">
        <f>IF(COUNTA($B676:$R676)=0,"",IF($X676="Cancelado","Cancelado",IF(OR($X676="Pago",$X676="Recebido"),$X676,IF(OR($X676="Parcial",N($R676)&gt;0),"Parcial",IF($C676="","Sem vencimento",IF($C676&lt;TODAY(),"Vencido",IF($C676=TODAY(),"Vence hoje",IF($C676&lt;=TODAY()+7,"Vence em 7 dias",IF($C676&lt;=TODAY()+30,"Vence em 30 dias","Futuro")))))))))</f>
        <v/>
      </c>
      <c r="Z676" s="24">
        <f>IF($B676="","",MONTH($B676))</f>
        <v/>
      </c>
      <c r="AA676" s="24">
        <f>IF($B676="","",YEAR($B676))</f>
        <v/>
      </c>
      <c r="AB676" s="24">
        <f>IF($B676="","",ISOWEEKNUM($B676))</f>
        <v/>
      </c>
      <c r="AC676" s="17">
        <f>IF($B676="","",CHOOSE(WEEKDAY($B676,2),"Segunda","Terça","Quarta","Quinta","Sexta","Sábado","Domingo"))</f>
        <v/>
      </c>
      <c r="AD676" s="17">
        <f>IF($B676="","",TEXT($B676,"MM/AAAA"))</f>
        <v/>
      </c>
      <c r="AE676" s="18">
        <f>IF(COUNTA($B676:$R676)=0,"",IF($X676="Cancelado",0,ROUND(N($Q676)+N($S676)+N($T676)-N($U676),2)))</f>
        <v/>
      </c>
      <c r="AF676" s="9">
        <f>IF($G676="","",IFERROR(INDEX(LINHAS_DRE_PLANO,MATCH($G676,SUBCATEGORIAS_PLANO,0)),"Não classificado"))</f>
        <v/>
      </c>
      <c r="AG676" s="17">
        <f>IF($G676="","",IFERROR(INDEX(TIPOS_FLUXO_PLANO,MATCH($G676,SUBCATEGORIAS_PLANO,0)),"Não classificado"))</f>
        <v/>
      </c>
      <c r="AH676" s="9">
        <f>IF($G676="","",IFERROR(INDEX(GRUPOS_PLANO,MATCH($G676,SUBCATEGORIAS_PLANO,0)),"Não classificado"))</f>
        <v/>
      </c>
      <c r="AI676" s="24">
        <f>IF(OR($C676="",$X676="Pago",$X676="Recebido",$X676="Cancelado"),"",$C676-TODAY())</f>
        <v/>
      </c>
      <c r="AJ676" s="24">
        <f>IF(OR($C676="",$X676="Pago",$X676="Recebido",$X676="Cancelado"),0,MAX(0,TODAY()-$C676))</f>
        <v/>
      </c>
      <c r="AK676" s="24">
        <f>IF($D676="","",$D676-$B676)</f>
        <v/>
      </c>
      <c r="AL676" s="18">
        <f>IF(OR($D676="",$B676=""),"",ROUND(N($R676)*($D676-$B676),2))</f>
        <v/>
      </c>
      <c r="AM676" s="17">
        <f>IF(AND($E676="Saída",$W676&gt;0,$C676&lt;&gt;""),$C676+ROW()/1000000,"")</f>
        <v/>
      </c>
      <c r="AN676" s="17">
        <f>IF(AND($E676="Entrada",$W676&gt;0,$C676&lt;&gt;""),$C676+ROW()/1000000,"")</f>
        <v/>
      </c>
      <c r="AO676" s="9">
        <f>IF(COUNTA($B676:$R676)=0,"",IF(AND($I676&lt;&gt;"",COUNTIF(CLIENTES_NOMES,$I676)+COUNTIF(CLIENTES_FANTASIA,$I676)+COUNTIF(FORNECEDORES_NOMES,$I676)+COUNTIF(FORNECEDORES_FANTASIA,$I676)=0),"⚠ Cliente/Fornecedor não cadastrado",IF(AND($G676&lt;&gt;"",COUNTIF(SUBCATEGORIAS_PLANO,$G676)=0),"⚠ Subcategoria fora do plano de contas",IF(OR($Q676="",N($Q676)=0),"⚠ Valor previsto não informado",IF(AND(OR($X676="Pago",$X676="Recebido"),$D676=""),"⚠ Status pago/recebido sem data",IF(AND($D676&lt;&gt;"",N($R676)=0),"⚠ Data de pagamento sem valor realizado",IF(AND(N($P676)&gt;1,N($O676)&gt;N($P676)),"⚠ Nº da parcela maior que o total",IF(AND($C676&lt;&gt;"",$B676&lt;&gt;"",$C676&lt;$B676),"⚠ Vencimento anterior à competência","OK"))))))))</f>
        <v/>
      </c>
    </row>
    <row r="677">
      <c r="A677" s="14" t="inlineStr">
        <is>
          <t>L0672</t>
        </is>
      </c>
      <c r="B677" s="36" t="n">
        <v>46954</v>
      </c>
      <c r="C677" s="36" t="n">
        <v>46954</v>
      </c>
      <c r="D677" s="36" t="n"/>
      <c r="E677" s="14" t="inlineStr">
        <is>
          <t>Saída</t>
        </is>
      </c>
      <c r="F677" s="29" t="inlineStr">
        <is>
          <t>Empréstimos e Financiamentos</t>
        </is>
      </c>
      <c r="G677" s="29" t="inlineStr">
        <is>
          <t>Pagamento de Principal de Empréstimos</t>
        </is>
      </c>
      <c r="H677" s="29" t="inlineStr">
        <is>
          <t>Diretoria</t>
        </is>
      </c>
      <c r="I677" s="29" t="inlineStr">
        <is>
          <t>Banco Santander</t>
        </is>
      </c>
      <c r="J677" s="29" t="inlineStr">
        <is>
          <t>Financiamento de Veículo — parcela 30/48 (principal)</t>
        </is>
      </c>
      <c r="K677" s="14" t="inlineStr">
        <is>
          <t>VEI-2026-0088-P30</t>
        </is>
      </c>
      <c r="L677" s="29" t="inlineStr">
        <is>
          <t>Itaú Unibanco — C/C 45678-9</t>
        </is>
      </c>
      <c r="M677" s="14" t="inlineStr">
        <is>
          <t>Débito automático</t>
        </is>
      </c>
      <c r="N677" s="29" t="n"/>
      <c r="O677" s="13" t="n">
        <v>30</v>
      </c>
      <c r="P677" s="13" t="n">
        <v>48</v>
      </c>
      <c r="Q677" s="35" t="n">
        <v>1758.37</v>
      </c>
      <c r="R677" s="35" t="n"/>
      <c r="S677" s="35" t="n"/>
      <c r="T677" s="35" t="n"/>
      <c r="U677" s="35" t="n"/>
      <c r="V677" s="18">
        <f>IF(COUNTA($B677:$R677)=0,"",ROUND(N($R677)+N($S677)+N($T677)-N($U677),2))</f>
        <v/>
      </c>
      <c r="W677" s="18">
        <f>IF(COUNTA($B677:$R677)=0,"",IF(OR($X677="Pago",$X677="Recebido",$X677="Cancelado"),0,ROUND(N($Q677)+N($S677)+N($T677)-N($U677)-N($R677),2)))</f>
        <v/>
      </c>
      <c r="X677" s="14" t="inlineStr">
        <is>
          <t>Previsto</t>
        </is>
      </c>
      <c r="Y677" s="17">
        <f>IF(COUNTA($B677:$R677)=0,"",IF($X677="Cancelado","Cancelado",IF(OR($X677="Pago",$X677="Recebido"),$X677,IF(OR($X677="Parcial",N($R677)&gt;0),"Parcial",IF($C677="","Sem vencimento",IF($C677&lt;TODAY(),"Vencido",IF($C677=TODAY(),"Vence hoje",IF($C677&lt;=TODAY()+7,"Vence em 7 dias",IF($C677&lt;=TODAY()+30,"Vence em 30 dias","Futuro")))))))))</f>
        <v/>
      </c>
      <c r="Z677" s="24">
        <f>IF($B677="","",MONTH($B677))</f>
        <v/>
      </c>
      <c r="AA677" s="24">
        <f>IF($B677="","",YEAR($B677))</f>
        <v/>
      </c>
      <c r="AB677" s="24">
        <f>IF($B677="","",ISOWEEKNUM($B677))</f>
        <v/>
      </c>
      <c r="AC677" s="17">
        <f>IF($B677="","",CHOOSE(WEEKDAY($B677,2),"Segunda","Terça","Quarta","Quinta","Sexta","Sábado","Domingo"))</f>
        <v/>
      </c>
      <c r="AD677" s="17">
        <f>IF($B677="","",TEXT($B677,"MM/AAAA"))</f>
        <v/>
      </c>
      <c r="AE677" s="18">
        <f>IF(COUNTA($B677:$R677)=0,"",IF($X677="Cancelado",0,ROUND(N($Q677)+N($S677)+N($T677)-N($U677),2)))</f>
        <v/>
      </c>
      <c r="AF677" s="9">
        <f>IF($G677="","",IFERROR(INDEX(LINHAS_DRE_PLANO,MATCH($G677,SUBCATEGORIAS_PLANO,0)),"Não classificado"))</f>
        <v/>
      </c>
      <c r="AG677" s="17">
        <f>IF($G677="","",IFERROR(INDEX(TIPOS_FLUXO_PLANO,MATCH($G677,SUBCATEGORIAS_PLANO,0)),"Não classificado"))</f>
        <v/>
      </c>
      <c r="AH677" s="9">
        <f>IF($G677="","",IFERROR(INDEX(GRUPOS_PLANO,MATCH($G677,SUBCATEGORIAS_PLANO,0)),"Não classificado"))</f>
        <v/>
      </c>
      <c r="AI677" s="24">
        <f>IF(OR($C677="",$X677="Pago",$X677="Recebido",$X677="Cancelado"),"",$C677-TODAY())</f>
        <v/>
      </c>
      <c r="AJ677" s="24">
        <f>IF(OR($C677="",$X677="Pago",$X677="Recebido",$X677="Cancelado"),0,MAX(0,TODAY()-$C677))</f>
        <v/>
      </c>
      <c r="AK677" s="24">
        <f>IF($D677="","",$D677-$B677)</f>
        <v/>
      </c>
      <c r="AL677" s="18">
        <f>IF(OR($D677="",$B677=""),"",ROUND(N($R677)*($D677-$B677),2))</f>
        <v/>
      </c>
      <c r="AM677" s="17">
        <f>IF(AND($E677="Saída",$W677&gt;0,$C677&lt;&gt;""),$C677+ROW()/1000000,"")</f>
        <v/>
      </c>
      <c r="AN677" s="17">
        <f>IF(AND($E677="Entrada",$W677&gt;0,$C677&lt;&gt;""),$C677+ROW()/1000000,"")</f>
        <v/>
      </c>
      <c r="AO677" s="9">
        <f>IF(COUNTA($B677:$R677)=0,"",IF(AND($I677&lt;&gt;"",COUNTIF(CLIENTES_NOMES,$I677)+COUNTIF(CLIENTES_FANTASIA,$I677)+COUNTIF(FORNECEDORES_NOMES,$I677)+COUNTIF(FORNECEDORES_FANTASIA,$I677)=0),"⚠ Cliente/Fornecedor não cadastrado",IF(AND($G677&lt;&gt;"",COUNTIF(SUBCATEGORIAS_PLANO,$G677)=0),"⚠ Subcategoria fora do plano de contas",IF(OR($Q677="",N($Q677)=0),"⚠ Valor previsto não informado",IF(AND(OR($X677="Pago",$X677="Recebido"),$D677=""),"⚠ Status pago/recebido sem data",IF(AND($D677&lt;&gt;"",N($R677)=0),"⚠ Data de pagamento sem valor realizado",IF(AND(N($P677)&gt;1,N($O677)&gt;N($P677)),"⚠ Nº da parcela maior que o total",IF(AND($C677&lt;&gt;"",$B677&lt;&gt;"",$C677&lt;$B677),"⚠ Vencimento anterior à competência","OK"))))))))</f>
        <v/>
      </c>
    </row>
    <row r="678">
      <c r="A678" s="14" t="inlineStr">
        <is>
          <t>L0673</t>
        </is>
      </c>
      <c r="B678" s="36" t="n">
        <v>46954</v>
      </c>
      <c r="C678" s="36" t="n">
        <v>46954</v>
      </c>
      <c r="D678" s="36" t="n"/>
      <c r="E678" s="14" t="inlineStr">
        <is>
          <t>Saída</t>
        </is>
      </c>
      <c r="F678" s="29" t="inlineStr">
        <is>
          <t>Despesas Financeiras</t>
        </is>
      </c>
      <c r="G678" s="29" t="inlineStr">
        <is>
          <t>Juros de Empréstimos e Financiamentos</t>
        </is>
      </c>
      <c r="H678" s="29" t="inlineStr">
        <is>
          <t>Diretoria</t>
        </is>
      </c>
      <c r="I678" s="29" t="inlineStr">
        <is>
          <t>Banco Santander</t>
        </is>
      </c>
      <c r="J678" s="29" t="inlineStr">
        <is>
          <t>Financiamento de Veículo — parcela 30/48 (juros)</t>
        </is>
      </c>
      <c r="K678" s="14" t="inlineStr">
        <is>
          <t>VEI-2026-0088-P30</t>
        </is>
      </c>
      <c r="L678" s="29" t="inlineStr">
        <is>
          <t>Itaú Unibanco — C/C 45678-9</t>
        </is>
      </c>
      <c r="M678" s="14" t="inlineStr">
        <is>
          <t>Débito automático</t>
        </is>
      </c>
      <c r="N678" s="29" t="n"/>
      <c r="O678" s="13" t="n">
        <v>30</v>
      </c>
      <c r="P678" s="13" t="n">
        <v>48</v>
      </c>
      <c r="Q678" s="35" t="n">
        <v>468.09</v>
      </c>
      <c r="R678" s="35" t="n"/>
      <c r="S678" s="35" t="n"/>
      <c r="T678" s="35" t="n"/>
      <c r="U678" s="35" t="n"/>
      <c r="V678" s="18">
        <f>IF(COUNTA($B678:$R678)=0,"",ROUND(N($R678)+N($S678)+N($T678)-N($U678),2))</f>
        <v/>
      </c>
      <c r="W678" s="18">
        <f>IF(COUNTA($B678:$R678)=0,"",IF(OR($X678="Pago",$X678="Recebido",$X678="Cancelado"),0,ROUND(N($Q678)+N($S678)+N($T678)-N($U678)-N($R678),2)))</f>
        <v/>
      </c>
      <c r="X678" s="14" t="inlineStr">
        <is>
          <t>Previsto</t>
        </is>
      </c>
      <c r="Y678" s="17">
        <f>IF(COUNTA($B678:$R678)=0,"",IF($X678="Cancelado","Cancelado",IF(OR($X678="Pago",$X678="Recebido"),$X678,IF(OR($X678="Parcial",N($R678)&gt;0),"Parcial",IF($C678="","Sem vencimento",IF($C678&lt;TODAY(),"Vencido",IF($C678=TODAY(),"Vence hoje",IF($C678&lt;=TODAY()+7,"Vence em 7 dias",IF($C678&lt;=TODAY()+30,"Vence em 30 dias","Futuro")))))))))</f>
        <v/>
      </c>
      <c r="Z678" s="24">
        <f>IF($B678="","",MONTH($B678))</f>
        <v/>
      </c>
      <c r="AA678" s="24">
        <f>IF($B678="","",YEAR($B678))</f>
        <v/>
      </c>
      <c r="AB678" s="24">
        <f>IF($B678="","",ISOWEEKNUM($B678))</f>
        <v/>
      </c>
      <c r="AC678" s="17">
        <f>IF($B678="","",CHOOSE(WEEKDAY($B678,2),"Segunda","Terça","Quarta","Quinta","Sexta","Sábado","Domingo"))</f>
        <v/>
      </c>
      <c r="AD678" s="17">
        <f>IF($B678="","",TEXT($B678,"MM/AAAA"))</f>
        <v/>
      </c>
      <c r="AE678" s="18">
        <f>IF(COUNTA($B678:$R678)=0,"",IF($X678="Cancelado",0,ROUND(N($Q678)+N($S678)+N($T678)-N($U678),2)))</f>
        <v/>
      </c>
      <c r="AF678" s="9">
        <f>IF($G678="","",IFERROR(INDEX(LINHAS_DRE_PLANO,MATCH($G678,SUBCATEGORIAS_PLANO,0)),"Não classificado"))</f>
        <v/>
      </c>
      <c r="AG678" s="17">
        <f>IF($G678="","",IFERROR(INDEX(TIPOS_FLUXO_PLANO,MATCH($G678,SUBCATEGORIAS_PLANO,0)),"Não classificado"))</f>
        <v/>
      </c>
      <c r="AH678" s="9">
        <f>IF($G678="","",IFERROR(INDEX(GRUPOS_PLANO,MATCH($G678,SUBCATEGORIAS_PLANO,0)),"Não classificado"))</f>
        <v/>
      </c>
      <c r="AI678" s="24">
        <f>IF(OR($C678="",$X678="Pago",$X678="Recebido",$X678="Cancelado"),"",$C678-TODAY())</f>
        <v/>
      </c>
      <c r="AJ678" s="24">
        <f>IF(OR($C678="",$X678="Pago",$X678="Recebido",$X678="Cancelado"),0,MAX(0,TODAY()-$C678))</f>
        <v/>
      </c>
      <c r="AK678" s="24">
        <f>IF($D678="","",$D678-$B678)</f>
        <v/>
      </c>
      <c r="AL678" s="18">
        <f>IF(OR($D678="",$B678=""),"",ROUND(N($R678)*($D678-$B678),2))</f>
        <v/>
      </c>
      <c r="AM678" s="17">
        <f>IF(AND($E678="Saída",$W678&gt;0,$C678&lt;&gt;""),$C678+ROW()/1000000,"")</f>
        <v/>
      </c>
      <c r="AN678" s="17">
        <f>IF(AND($E678="Entrada",$W678&gt;0,$C678&lt;&gt;""),$C678+ROW()/1000000,"")</f>
        <v/>
      </c>
      <c r="AO678" s="9">
        <f>IF(COUNTA($B678:$R678)=0,"",IF(AND($I678&lt;&gt;"",COUNTIF(CLIENTES_NOMES,$I678)+COUNTIF(CLIENTES_FANTASIA,$I678)+COUNTIF(FORNECEDORES_NOMES,$I678)+COUNTIF(FORNECEDORES_FANTASIA,$I678)=0),"⚠ Cliente/Fornecedor não cadastrado",IF(AND($G678&lt;&gt;"",COUNTIF(SUBCATEGORIAS_PLANO,$G678)=0),"⚠ Subcategoria fora do plano de contas",IF(OR($Q678="",N($Q678)=0),"⚠ Valor previsto não informado",IF(AND(OR($X678="Pago",$X678="Recebido"),$D678=""),"⚠ Status pago/recebido sem data",IF(AND($D678&lt;&gt;"",N($R678)=0),"⚠ Data de pagamento sem valor realizado",IF(AND(N($P678)&gt;1,N($O678)&gt;N($P678)),"⚠ Nº da parcela maior que o total",IF(AND($C678&lt;&gt;"",$B678&lt;&gt;"",$C678&lt;$B678),"⚠ Vencimento anterior à competência","OK"))))))))</f>
        <v/>
      </c>
    </row>
    <row r="679">
      <c r="A679" s="14" t="inlineStr">
        <is>
          <t>L0674</t>
        </is>
      </c>
      <c r="B679" s="36" t="n">
        <v>46980</v>
      </c>
      <c r="C679" s="36" t="n">
        <v>46980</v>
      </c>
      <c r="D679" s="36" t="n"/>
      <c r="E679" s="14" t="inlineStr">
        <is>
          <t>Saída</t>
        </is>
      </c>
      <c r="F679" s="29" t="inlineStr">
        <is>
          <t>Empréstimos e Financiamentos</t>
        </is>
      </c>
      <c r="G679" s="29" t="inlineStr">
        <is>
          <t>Pagamento de Principal de Empréstimos</t>
        </is>
      </c>
      <c r="H679" s="29" t="inlineStr">
        <is>
          <t>Financeiro</t>
        </is>
      </c>
      <c r="I679" s="29" t="inlineStr">
        <is>
          <t>BNDES / Banco do Brasil</t>
        </is>
      </c>
      <c r="J679" s="29" t="inlineStr">
        <is>
          <t>Financiamento de Máquinas — parcela 30/36 (principal)</t>
        </is>
      </c>
      <c r="K679" s="14" t="inlineStr">
        <is>
          <t>FIN-2026-1198-P30</t>
        </is>
      </c>
      <c r="L679" s="29" t="inlineStr">
        <is>
          <t>Banco do Brasil — C/C 12345-6</t>
        </is>
      </c>
      <c r="M679" s="14" t="inlineStr">
        <is>
          <t>Débito automático</t>
        </is>
      </c>
      <c r="N679" s="29" t="n"/>
      <c r="O679" s="13" t="n">
        <v>30</v>
      </c>
      <c r="P679" s="13" t="n">
        <v>36</v>
      </c>
      <c r="Q679" s="35" t="n">
        <v>3333.33</v>
      </c>
      <c r="R679" s="35" t="n"/>
      <c r="S679" s="35" t="n"/>
      <c r="T679" s="35" t="n"/>
      <c r="U679" s="35" t="n"/>
      <c r="V679" s="18">
        <f>IF(COUNTA($B679:$R679)=0,"",ROUND(N($R679)+N($S679)+N($T679)-N($U679),2))</f>
        <v/>
      </c>
      <c r="W679" s="18">
        <f>IF(COUNTA($B679:$R679)=0,"",IF(OR($X679="Pago",$X679="Recebido",$X679="Cancelado"),0,ROUND(N($Q679)+N($S679)+N($T679)-N($U679)-N($R679),2)))</f>
        <v/>
      </c>
      <c r="X679" s="14" t="inlineStr">
        <is>
          <t>Previsto</t>
        </is>
      </c>
      <c r="Y679" s="17">
        <f>IF(COUNTA($B679:$R679)=0,"",IF($X679="Cancelado","Cancelado",IF(OR($X679="Pago",$X679="Recebido"),$X679,IF(OR($X679="Parcial",N($R679)&gt;0),"Parcial",IF($C679="","Sem vencimento",IF($C679&lt;TODAY(),"Vencido",IF($C679=TODAY(),"Vence hoje",IF($C679&lt;=TODAY()+7,"Vence em 7 dias",IF($C679&lt;=TODAY()+30,"Vence em 30 dias","Futuro")))))))))</f>
        <v/>
      </c>
      <c r="Z679" s="24">
        <f>IF($B679="","",MONTH($B679))</f>
        <v/>
      </c>
      <c r="AA679" s="24">
        <f>IF($B679="","",YEAR($B679))</f>
        <v/>
      </c>
      <c r="AB679" s="24">
        <f>IF($B679="","",ISOWEEKNUM($B679))</f>
        <v/>
      </c>
      <c r="AC679" s="17">
        <f>IF($B679="","",CHOOSE(WEEKDAY($B679,2),"Segunda","Terça","Quarta","Quinta","Sexta","Sábado","Domingo"))</f>
        <v/>
      </c>
      <c r="AD679" s="17">
        <f>IF($B679="","",TEXT($B679,"MM/AAAA"))</f>
        <v/>
      </c>
      <c r="AE679" s="18">
        <f>IF(COUNTA($B679:$R679)=0,"",IF($X679="Cancelado",0,ROUND(N($Q679)+N($S679)+N($T679)-N($U679),2)))</f>
        <v/>
      </c>
      <c r="AF679" s="9">
        <f>IF($G679="","",IFERROR(INDEX(LINHAS_DRE_PLANO,MATCH($G679,SUBCATEGORIAS_PLANO,0)),"Não classificado"))</f>
        <v/>
      </c>
      <c r="AG679" s="17">
        <f>IF($G679="","",IFERROR(INDEX(TIPOS_FLUXO_PLANO,MATCH($G679,SUBCATEGORIAS_PLANO,0)),"Não classificado"))</f>
        <v/>
      </c>
      <c r="AH679" s="9">
        <f>IF($G679="","",IFERROR(INDEX(GRUPOS_PLANO,MATCH($G679,SUBCATEGORIAS_PLANO,0)),"Não classificado"))</f>
        <v/>
      </c>
      <c r="AI679" s="24">
        <f>IF(OR($C679="",$X679="Pago",$X679="Recebido",$X679="Cancelado"),"",$C679-TODAY())</f>
        <v/>
      </c>
      <c r="AJ679" s="24">
        <f>IF(OR($C679="",$X679="Pago",$X679="Recebido",$X679="Cancelado"),0,MAX(0,TODAY()-$C679))</f>
        <v/>
      </c>
      <c r="AK679" s="24">
        <f>IF($D679="","",$D679-$B679)</f>
        <v/>
      </c>
      <c r="AL679" s="18">
        <f>IF(OR($D679="",$B679=""),"",ROUND(N($R679)*($D679-$B679),2))</f>
        <v/>
      </c>
      <c r="AM679" s="17">
        <f>IF(AND($E679="Saída",$W679&gt;0,$C679&lt;&gt;""),$C679+ROW()/1000000,"")</f>
        <v/>
      </c>
      <c r="AN679" s="17">
        <f>IF(AND($E679="Entrada",$W679&gt;0,$C679&lt;&gt;""),$C679+ROW()/1000000,"")</f>
        <v/>
      </c>
      <c r="AO679" s="9">
        <f>IF(COUNTA($B679:$R679)=0,"",IF(AND($I679&lt;&gt;"",COUNTIF(CLIENTES_NOMES,$I679)+COUNTIF(CLIENTES_FANTASIA,$I679)+COUNTIF(FORNECEDORES_NOMES,$I679)+COUNTIF(FORNECEDORES_FANTASIA,$I679)=0),"⚠ Cliente/Fornecedor não cadastrado",IF(AND($G679&lt;&gt;"",COUNTIF(SUBCATEGORIAS_PLANO,$G679)=0),"⚠ Subcategoria fora do plano de contas",IF(OR($Q679="",N($Q679)=0),"⚠ Valor previsto não informado",IF(AND(OR($X679="Pago",$X679="Recebido"),$D679=""),"⚠ Status pago/recebido sem data",IF(AND($D679&lt;&gt;"",N($R679)=0),"⚠ Data de pagamento sem valor realizado",IF(AND(N($P679)&gt;1,N($O679)&gt;N($P679)),"⚠ Nº da parcela maior que o total",IF(AND($C679&lt;&gt;"",$B679&lt;&gt;"",$C679&lt;$B679),"⚠ Vencimento anterior à competência","OK"))))))))</f>
        <v/>
      </c>
    </row>
    <row r="680">
      <c r="A680" s="14" t="inlineStr">
        <is>
          <t>L0675</t>
        </is>
      </c>
      <c r="B680" s="36" t="n">
        <v>46980</v>
      </c>
      <c r="C680" s="36" t="n">
        <v>46980</v>
      </c>
      <c r="D680" s="36" t="n"/>
      <c r="E680" s="14" t="inlineStr">
        <is>
          <t>Saída</t>
        </is>
      </c>
      <c r="F680" s="29" t="inlineStr">
        <is>
          <t>Despesas Financeiras</t>
        </is>
      </c>
      <c r="G680" s="29" t="inlineStr">
        <is>
          <t>Juros de Empréstimos e Financiamentos</t>
        </is>
      </c>
      <c r="H680" s="29" t="inlineStr">
        <is>
          <t>Financeiro</t>
        </is>
      </c>
      <c r="I680" s="29" t="inlineStr">
        <is>
          <t>BNDES / Banco do Brasil</t>
        </is>
      </c>
      <c r="J680" s="29" t="inlineStr">
        <is>
          <t>Financiamento de Máquinas — parcela 30/36 (juros)</t>
        </is>
      </c>
      <c r="K680" s="14" t="inlineStr">
        <is>
          <t>FIN-2026-1198-P30</t>
        </is>
      </c>
      <c r="L680" s="29" t="inlineStr">
        <is>
          <t>Banco do Brasil — C/C 12345-6</t>
        </is>
      </c>
      <c r="M680" s="14" t="inlineStr">
        <is>
          <t>Débito automático</t>
        </is>
      </c>
      <c r="N680" s="29" t="n"/>
      <c r="O680" s="13" t="n">
        <v>30</v>
      </c>
      <c r="P680" s="13" t="n">
        <v>36</v>
      </c>
      <c r="Q680" s="35" t="n">
        <v>256.67</v>
      </c>
      <c r="R680" s="35" t="n"/>
      <c r="S680" s="35" t="n"/>
      <c r="T680" s="35" t="n"/>
      <c r="U680" s="35" t="n"/>
      <c r="V680" s="18">
        <f>IF(COUNTA($B680:$R680)=0,"",ROUND(N($R680)+N($S680)+N($T680)-N($U680),2))</f>
        <v/>
      </c>
      <c r="W680" s="18">
        <f>IF(COUNTA($B680:$R680)=0,"",IF(OR($X680="Pago",$X680="Recebido",$X680="Cancelado"),0,ROUND(N($Q680)+N($S680)+N($T680)-N($U680)-N($R680),2)))</f>
        <v/>
      </c>
      <c r="X680" s="14" t="inlineStr">
        <is>
          <t>Previsto</t>
        </is>
      </c>
      <c r="Y680" s="17">
        <f>IF(COUNTA($B680:$R680)=0,"",IF($X680="Cancelado","Cancelado",IF(OR($X680="Pago",$X680="Recebido"),$X680,IF(OR($X680="Parcial",N($R680)&gt;0),"Parcial",IF($C680="","Sem vencimento",IF($C680&lt;TODAY(),"Vencido",IF($C680=TODAY(),"Vence hoje",IF($C680&lt;=TODAY()+7,"Vence em 7 dias",IF($C680&lt;=TODAY()+30,"Vence em 30 dias","Futuro")))))))))</f>
        <v/>
      </c>
      <c r="Z680" s="24">
        <f>IF($B680="","",MONTH($B680))</f>
        <v/>
      </c>
      <c r="AA680" s="24">
        <f>IF($B680="","",YEAR($B680))</f>
        <v/>
      </c>
      <c r="AB680" s="24">
        <f>IF($B680="","",ISOWEEKNUM($B680))</f>
        <v/>
      </c>
      <c r="AC680" s="17">
        <f>IF($B680="","",CHOOSE(WEEKDAY($B680,2),"Segunda","Terça","Quarta","Quinta","Sexta","Sábado","Domingo"))</f>
        <v/>
      </c>
      <c r="AD680" s="17">
        <f>IF($B680="","",TEXT($B680,"MM/AAAA"))</f>
        <v/>
      </c>
      <c r="AE680" s="18">
        <f>IF(COUNTA($B680:$R680)=0,"",IF($X680="Cancelado",0,ROUND(N($Q680)+N($S680)+N($T680)-N($U680),2)))</f>
        <v/>
      </c>
      <c r="AF680" s="9">
        <f>IF($G680="","",IFERROR(INDEX(LINHAS_DRE_PLANO,MATCH($G680,SUBCATEGORIAS_PLANO,0)),"Não classificado"))</f>
        <v/>
      </c>
      <c r="AG680" s="17">
        <f>IF($G680="","",IFERROR(INDEX(TIPOS_FLUXO_PLANO,MATCH($G680,SUBCATEGORIAS_PLANO,0)),"Não classificado"))</f>
        <v/>
      </c>
      <c r="AH680" s="9">
        <f>IF($G680="","",IFERROR(INDEX(GRUPOS_PLANO,MATCH($G680,SUBCATEGORIAS_PLANO,0)),"Não classificado"))</f>
        <v/>
      </c>
      <c r="AI680" s="24">
        <f>IF(OR($C680="",$X680="Pago",$X680="Recebido",$X680="Cancelado"),"",$C680-TODAY())</f>
        <v/>
      </c>
      <c r="AJ680" s="24">
        <f>IF(OR($C680="",$X680="Pago",$X680="Recebido",$X680="Cancelado"),0,MAX(0,TODAY()-$C680))</f>
        <v/>
      </c>
      <c r="AK680" s="24">
        <f>IF($D680="","",$D680-$B680)</f>
        <v/>
      </c>
      <c r="AL680" s="18">
        <f>IF(OR($D680="",$B680=""),"",ROUND(N($R680)*($D680-$B680),2))</f>
        <v/>
      </c>
      <c r="AM680" s="17">
        <f>IF(AND($E680="Saída",$W680&gt;0,$C680&lt;&gt;""),$C680+ROW()/1000000,"")</f>
        <v/>
      </c>
      <c r="AN680" s="17">
        <f>IF(AND($E680="Entrada",$W680&gt;0,$C680&lt;&gt;""),$C680+ROW()/1000000,"")</f>
        <v/>
      </c>
      <c r="AO680" s="9">
        <f>IF(COUNTA($B680:$R680)=0,"",IF(AND($I680&lt;&gt;"",COUNTIF(CLIENTES_NOMES,$I680)+COUNTIF(CLIENTES_FANTASIA,$I680)+COUNTIF(FORNECEDORES_NOMES,$I680)+COUNTIF(FORNECEDORES_FANTASIA,$I680)=0),"⚠ Cliente/Fornecedor não cadastrado",IF(AND($G680&lt;&gt;"",COUNTIF(SUBCATEGORIAS_PLANO,$G680)=0),"⚠ Subcategoria fora do plano de contas",IF(OR($Q680="",N($Q680)=0),"⚠ Valor previsto não informado",IF(AND(OR($X680="Pago",$X680="Recebido"),$D680=""),"⚠ Status pago/recebido sem data",IF(AND($D680&lt;&gt;"",N($R680)=0),"⚠ Data de pagamento sem valor realizado",IF(AND(N($P680)&gt;1,N($O680)&gt;N($P680)),"⚠ Nº da parcela maior que o total",IF(AND($C680&lt;&gt;"",$B680&lt;&gt;"",$C680&lt;$B680),"⚠ Vencimento anterior à competência","OK"))))))))</f>
        <v/>
      </c>
    </row>
    <row r="681">
      <c r="A681" s="14" t="inlineStr">
        <is>
          <t>L0676</t>
        </is>
      </c>
      <c r="B681" s="36" t="n">
        <v>46985</v>
      </c>
      <c r="C681" s="36" t="n">
        <v>46985</v>
      </c>
      <c r="D681" s="36" t="n"/>
      <c r="E681" s="14" t="inlineStr">
        <is>
          <t>Saída</t>
        </is>
      </c>
      <c r="F681" s="29" t="inlineStr">
        <is>
          <t>Empréstimos e Financiamentos</t>
        </is>
      </c>
      <c r="G681" s="29" t="inlineStr">
        <is>
          <t>Pagamento de Principal de Empréstimos</t>
        </is>
      </c>
      <c r="H681" s="29" t="inlineStr">
        <is>
          <t>Diretoria</t>
        </is>
      </c>
      <c r="I681" s="29" t="inlineStr">
        <is>
          <t>Banco Santander</t>
        </is>
      </c>
      <c r="J681" s="29" t="inlineStr">
        <is>
          <t>Financiamento de Veículo — parcela 31/48 (principal)</t>
        </is>
      </c>
      <c r="K681" s="14" t="inlineStr">
        <is>
          <t>VEI-2026-0088-P31</t>
        </is>
      </c>
      <c r="L681" s="29" t="inlineStr">
        <is>
          <t>Itaú Unibanco — C/C 45678-9</t>
        </is>
      </c>
      <c r="M681" s="14" t="inlineStr">
        <is>
          <t>Débito automático</t>
        </is>
      </c>
      <c r="N681" s="29" t="n"/>
      <c r="O681" s="13" t="n">
        <v>31</v>
      </c>
      <c r="P681" s="13" t="n">
        <v>48</v>
      </c>
      <c r="Q681" s="35" t="n">
        <v>1780.35</v>
      </c>
      <c r="R681" s="35" t="n"/>
      <c r="S681" s="35" t="n"/>
      <c r="T681" s="35" t="n"/>
      <c r="U681" s="35" t="n"/>
      <c r="V681" s="18">
        <f>IF(COUNTA($B681:$R681)=0,"",ROUND(N($R681)+N($S681)+N($T681)-N($U681),2))</f>
        <v/>
      </c>
      <c r="W681" s="18">
        <f>IF(COUNTA($B681:$R681)=0,"",IF(OR($X681="Pago",$X681="Recebido",$X681="Cancelado"),0,ROUND(N($Q681)+N($S681)+N($T681)-N($U681)-N($R681),2)))</f>
        <v/>
      </c>
      <c r="X681" s="14" t="inlineStr">
        <is>
          <t>Previsto</t>
        </is>
      </c>
      <c r="Y681" s="17">
        <f>IF(COUNTA($B681:$R681)=0,"",IF($X681="Cancelado","Cancelado",IF(OR($X681="Pago",$X681="Recebido"),$X681,IF(OR($X681="Parcial",N($R681)&gt;0),"Parcial",IF($C681="","Sem vencimento",IF($C681&lt;TODAY(),"Vencido",IF($C681=TODAY(),"Vence hoje",IF($C681&lt;=TODAY()+7,"Vence em 7 dias",IF($C681&lt;=TODAY()+30,"Vence em 30 dias","Futuro")))))))))</f>
        <v/>
      </c>
      <c r="Z681" s="24">
        <f>IF($B681="","",MONTH($B681))</f>
        <v/>
      </c>
      <c r="AA681" s="24">
        <f>IF($B681="","",YEAR($B681))</f>
        <v/>
      </c>
      <c r="AB681" s="24">
        <f>IF($B681="","",ISOWEEKNUM($B681))</f>
        <v/>
      </c>
      <c r="AC681" s="17">
        <f>IF($B681="","",CHOOSE(WEEKDAY($B681,2),"Segunda","Terça","Quarta","Quinta","Sexta","Sábado","Domingo"))</f>
        <v/>
      </c>
      <c r="AD681" s="17">
        <f>IF($B681="","",TEXT($B681,"MM/AAAA"))</f>
        <v/>
      </c>
      <c r="AE681" s="18">
        <f>IF(COUNTA($B681:$R681)=0,"",IF($X681="Cancelado",0,ROUND(N($Q681)+N($S681)+N($T681)-N($U681),2)))</f>
        <v/>
      </c>
      <c r="AF681" s="9">
        <f>IF($G681="","",IFERROR(INDEX(LINHAS_DRE_PLANO,MATCH($G681,SUBCATEGORIAS_PLANO,0)),"Não classificado"))</f>
        <v/>
      </c>
      <c r="AG681" s="17">
        <f>IF($G681="","",IFERROR(INDEX(TIPOS_FLUXO_PLANO,MATCH($G681,SUBCATEGORIAS_PLANO,0)),"Não classificado"))</f>
        <v/>
      </c>
      <c r="AH681" s="9">
        <f>IF($G681="","",IFERROR(INDEX(GRUPOS_PLANO,MATCH($G681,SUBCATEGORIAS_PLANO,0)),"Não classificado"))</f>
        <v/>
      </c>
      <c r="AI681" s="24">
        <f>IF(OR($C681="",$X681="Pago",$X681="Recebido",$X681="Cancelado"),"",$C681-TODAY())</f>
        <v/>
      </c>
      <c r="AJ681" s="24">
        <f>IF(OR($C681="",$X681="Pago",$X681="Recebido",$X681="Cancelado"),0,MAX(0,TODAY()-$C681))</f>
        <v/>
      </c>
      <c r="AK681" s="24">
        <f>IF($D681="","",$D681-$B681)</f>
        <v/>
      </c>
      <c r="AL681" s="18">
        <f>IF(OR($D681="",$B681=""),"",ROUND(N($R681)*($D681-$B681),2))</f>
        <v/>
      </c>
      <c r="AM681" s="17">
        <f>IF(AND($E681="Saída",$W681&gt;0,$C681&lt;&gt;""),$C681+ROW()/1000000,"")</f>
        <v/>
      </c>
      <c r="AN681" s="17">
        <f>IF(AND($E681="Entrada",$W681&gt;0,$C681&lt;&gt;""),$C681+ROW()/1000000,"")</f>
        <v/>
      </c>
      <c r="AO681" s="9">
        <f>IF(COUNTA($B681:$R681)=0,"",IF(AND($I681&lt;&gt;"",COUNTIF(CLIENTES_NOMES,$I681)+COUNTIF(CLIENTES_FANTASIA,$I681)+COUNTIF(FORNECEDORES_NOMES,$I681)+COUNTIF(FORNECEDORES_FANTASIA,$I681)=0),"⚠ Cliente/Fornecedor não cadastrado",IF(AND($G681&lt;&gt;"",COUNTIF(SUBCATEGORIAS_PLANO,$G681)=0),"⚠ Subcategoria fora do plano de contas",IF(OR($Q681="",N($Q681)=0),"⚠ Valor previsto não informado",IF(AND(OR($X681="Pago",$X681="Recebido"),$D681=""),"⚠ Status pago/recebido sem data",IF(AND($D681&lt;&gt;"",N($R681)=0),"⚠ Data de pagamento sem valor realizado",IF(AND(N($P681)&gt;1,N($O681)&gt;N($P681)),"⚠ Nº da parcela maior que o total",IF(AND($C681&lt;&gt;"",$B681&lt;&gt;"",$C681&lt;$B681),"⚠ Vencimento anterior à competência","OK"))))))))</f>
        <v/>
      </c>
    </row>
    <row r="682">
      <c r="A682" s="14" t="inlineStr">
        <is>
          <t>L0677</t>
        </is>
      </c>
      <c r="B682" s="36" t="n">
        <v>46985</v>
      </c>
      <c r="C682" s="36" t="n">
        <v>46985</v>
      </c>
      <c r="D682" s="36" t="n"/>
      <c r="E682" s="14" t="inlineStr">
        <is>
          <t>Saída</t>
        </is>
      </c>
      <c r="F682" s="29" t="inlineStr">
        <is>
          <t>Despesas Financeiras</t>
        </is>
      </c>
      <c r="G682" s="29" t="inlineStr">
        <is>
          <t>Juros de Empréstimos e Financiamentos</t>
        </is>
      </c>
      <c r="H682" s="29" t="inlineStr">
        <is>
          <t>Diretoria</t>
        </is>
      </c>
      <c r="I682" s="29" t="inlineStr">
        <is>
          <t>Banco Santander</t>
        </is>
      </c>
      <c r="J682" s="29" t="inlineStr">
        <is>
          <t>Financiamento de Veículo — parcela 31/48 (juros)</t>
        </is>
      </c>
      <c r="K682" s="14" t="inlineStr">
        <is>
          <t>VEI-2026-0088-P31</t>
        </is>
      </c>
      <c r="L682" s="29" t="inlineStr">
        <is>
          <t>Itaú Unibanco — C/C 45678-9</t>
        </is>
      </c>
      <c r="M682" s="14" t="inlineStr">
        <is>
          <t>Débito automático</t>
        </is>
      </c>
      <c r="N682" s="29" t="n"/>
      <c r="O682" s="13" t="n">
        <v>31</v>
      </c>
      <c r="P682" s="13" t="n">
        <v>48</v>
      </c>
      <c r="Q682" s="35" t="n">
        <v>446.11</v>
      </c>
      <c r="R682" s="35" t="n"/>
      <c r="S682" s="35" t="n"/>
      <c r="T682" s="35" t="n"/>
      <c r="U682" s="35" t="n"/>
      <c r="V682" s="18">
        <f>IF(COUNTA($B682:$R682)=0,"",ROUND(N($R682)+N($S682)+N($T682)-N($U682),2))</f>
        <v/>
      </c>
      <c r="W682" s="18">
        <f>IF(COUNTA($B682:$R682)=0,"",IF(OR($X682="Pago",$X682="Recebido",$X682="Cancelado"),0,ROUND(N($Q682)+N($S682)+N($T682)-N($U682)-N($R682),2)))</f>
        <v/>
      </c>
      <c r="X682" s="14" t="inlineStr">
        <is>
          <t>Previsto</t>
        </is>
      </c>
      <c r="Y682" s="17">
        <f>IF(COUNTA($B682:$R682)=0,"",IF($X682="Cancelado","Cancelado",IF(OR($X682="Pago",$X682="Recebido"),$X682,IF(OR($X682="Parcial",N($R682)&gt;0),"Parcial",IF($C682="","Sem vencimento",IF($C682&lt;TODAY(),"Vencido",IF($C682=TODAY(),"Vence hoje",IF($C682&lt;=TODAY()+7,"Vence em 7 dias",IF($C682&lt;=TODAY()+30,"Vence em 30 dias","Futuro")))))))))</f>
        <v/>
      </c>
      <c r="Z682" s="24">
        <f>IF($B682="","",MONTH($B682))</f>
        <v/>
      </c>
      <c r="AA682" s="24">
        <f>IF($B682="","",YEAR($B682))</f>
        <v/>
      </c>
      <c r="AB682" s="24">
        <f>IF($B682="","",ISOWEEKNUM($B682))</f>
        <v/>
      </c>
      <c r="AC682" s="17">
        <f>IF($B682="","",CHOOSE(WEEKDAY($B682,2),"Segunda","Terça","Quarta","Quinta","Sexta","Sábado","Domingo"))</f>
        <v/>
      </c>
      <c r="AD682" s="17">
        <f>IF($B682="","",TEXT($B682,"MM/AAAA"))</f>
        <v/>
      </c>
      <c r="AE682" s="18">
        <f>IF(COUNTA($B682:$R682)=0,"",IF($X682="Cancelado",0,ROUND(N($Q682)+N($S682)+N($T682)-N($U682),2)))</f>
        <v/>
      </c>
      <c r="AF682" s="9">
        <f>IF($G682="","",IFERROR(INDEX(LINHAS_DRE_PLANO,MATCH($G682,SUBCATEGORIAS_PLANO,0)),"Não classificado"))</f>
        <v/>
      </c>
      <c r="AG682" s="17">
        <f>IF($G682="","",IFERROR(INDEX(TIPOS_FLUXO_PLANO,MATCH($G682,SUBCATEGORIAS_PLANO,0)),"Não classificado"))</f>
        <v/>
      </c>
      <c r="AH682" s="9">
        <f>IF($G682="","",IFERROR(INDEX(GRUPOS_PLANO,MATCH($G682,SUBCATEGORIAS_PLANO,0)),"Não classificado"))</f>
        <v/>
      </c>
      <c r="AI682" s="24">
        <f>IF(OR($C682="",$X682="Pago",$X682="Recebido",$X682="Cancelado"),"",$C682-TODAY())</f>
        <v/>
      </c>
      <c r="AJ682" s="24">
        <f>IF(OR($C682="",$X682="Pago",$X682="Recebido",$X682="Cancelado"),0,MAX(0,TODAY()-$C682))</f>
        <v/>
      </c>
      <c r="AK682" s="24">
        <f>IF($D682="","",$D682-$B682)</f>
        <v/>
      </c>
      <c r="AL682" s="18">
        <f>IF(OR($D682="",$B682=""),"",ROUND(N($R682)*($D682-$B682),2))</f>
        <v/>
      </c>
      <c r="AM682" s="17">
        <f>IF(AND($E682="Saída",$W682&gt;0,$C682&lt;&gt;""),$C682+ROW()/1000000,"")</f>
        <v/>
      </c>
      <c r="AN682" s="17">
        <f>IF(AND($E682="Entrada",$W682&gt;0,$C682&lt;&gt;""),$C682+ROW()/1000000,"")</f>
        <v/>
      </c>
      <c r="AO682" s="9">
        <f>IF(COUNTA($B682:$R682)=0,"",IF(AND($I682&lt;&gt;"",COUNTIF(CLIENTES_NOMES,$I682)+COUNTIF(CLIENTES_FANTASIA,$I682)+COUNTIF(FORNECEDORES_NOMES,$I682)+COUNTIF(FORNECEDORES_FANTASIA,$I682)=0),"⚠ Cliente/Fornecedor não cadastrado",IF(AND($G682&lt;&gt;"",COUNTIF(SUBCATEGORIAS_PLANO,$G682)=0),"⚠ Subcategoria fora do plano de contas",IF(OR($Q682="",N($Q682)=0),"⚠ Valor previsto não informado",IF(AND(OR($X682="Pago",$X682="Recebido"),$D682=""),"⚠ Status pago/recebido sem data",IF(AND($D682&lt;&gt;"",N($R682)=0),"⚠ Data de pagamento sem valor realizado",IF(AND(N($P682)&gt;1,N($O682)&gt;N($P682)),"⚠ Nº da parcela maior que o total",IF(AND($C682&lt;&gt;"",$B682&lt;&gt;"",$C682&lt;$B682),"⚠ Vencimento anterior à competência","OK"))))))))</f>
        <v/>
      </c>
    </row>
    <row r="683">
      <c r="A683" s="14" t="inlineStr">
        <is>
          <t>L0678</t>
        </is>
      </c>
      <c r="B683" s="36" t="n">
        <v>47011</v>
      </c>
      <c r="C683" s="36" t="n">
        <v>47011</v>
      </c>
      <c r="D683" s="36" t="n"/>
      <c r="E683" s="14" t="inlineStr">
        <is>
          <t>Saída</t>
        </is>
      </c>
      <c r="F683" s="29" t="inlineStr">
        <is>
          <t>Empréstimos e Financiamentos</t>
        </is>
      </c>
      <c r="G683" s="29" t="inlineStr">
        <is>
          <t>Pagamento de Principal de Empréstimos</t>
        </is>
      </c>
      <c r="H683" s="29" t="inlineStr">
        <is>
          <t>Financeiro</t>
        </is>
      </c>
      <c r="I683" s="29" t="inlineStr">
        <is>
          <t>BNDES / Banco do Brasil</t>
        </is>
      </c>
      <c r="J683" s="29" t="inlineStr">
        <is>
          <t>Financiamento de Máquinas — parcela 31/36 (principal)</t>
        </is>
      </c>
      <c r="K683" s="14" t="inlineStr">
        <is>
          <t>FIN-2026-1198-P31</t>
        </is>
      </c>
      <c r="L683" s="29" t="inlineStr">
        <is>
          <t>Banco do Brasil — C/C 12345-6</t>
        </is>
      </c>
      <c r="M683" s="14" t="inlineStr">
        <is>
          <t>Débito automático</t>
        </is>
      </c>
      <c r="N683" s="29" t="n"/>
      <c r="O683" s="13" t="n">
        <v>31</v>
      </c>
      <c r="P683" s="13" t="n">
        <v>36</v>
      </c>
      <c r="Q683" s="35" t="n">
        <v>3333.33</v>
      </c>
      <c r="R683" s="35" t="n"/>
      <c r="S683" s="35" t="n"/>
      <c r="T683" s="35" t="n"/>
      <c r="U683" s="35" t="n"/>
      <c r="V683" s="18">
        <f>IF(COUNTA($B683:$R683)=0,"",ROUND(N($R683)+N($S683)+N($T683)-N($U683),2))</f>
        <v/>
      </c>
      <c r="W683" s="18">
        <f>IF(COUNTA($B683:$R683)=0,"",IF(OR($X683="Pago",$X683="Recebido",$X683="Cancelado"),0,ROUND(N($Q683)+N($S683)+N($T683)-N($U683)-N($R683),2)))</f>
        <v/>
      </c>
      <c r="X683" s="14" t="inlineStr">
        <is>
          <t>Previsto</t>
        </is>
      </c>
      <c r="Y683" s="17">
        <f>IF(COUNTA($B683:$R683)=0,"",IF($X683="Cancelado","Cancelado",IF(OR($X683="Pago",$X683="Recebido"),$X683,IF(OR($X683="Parcial",N($R683)&gt;0),"Parcial",IF($C683="","Sem vencimento",IF($C683&lt;TODAY(),"Vencido",IF($C683=TODAY(),"Vence hoje",IF($C683&lt;=TODAY()+7,"Vence em 7 dias",IF($C683&lt;=TODAY()+30,"Vence em 30 dias","Futuro")))))))))</f>
        <v/>
      </c>
      <c r="Z683" s="24">
        <f>IF($B683="","",MONTH($B683))</f>
        <v/>
      </c>
      <c r="AA683" s="24">
        <f>IF($B683="","",YEAR($B683))</f>
        <v/>
      </c>
      <c r="AB683" s="24">
        <f>IF($B683="","",ISOWEEKNUM($B683))</f>
        <v/>
      </c>
      <c r="AC683" s="17">
        <f>IF($B683="","",CHOOSE(WEEKDAY($B683,2),"Segunda","Terça","Quarta","Quinta","Sexta","Sábado","Domingo"))</f>
        <v/>
      </c>
      <c r="AD683" s="17">
        <f>IF($B683="","",TEXT($B683,"MM/AAAA"))</f>
        <v/>
      </c>
      <c r="AE683" s="18">
        <f>IF(COUNTA($B683:$R683)=0,"",IF($X683="Cancelado",0,ROUND(N($Q683)+N($S683)+N($T683)-N($U683),2)))</f>
        <v/>
      </c>
      <c r="AF683" s="9">
        <f>IF($G683="","",IFERROR(INDEX(LINHAS_DRE_PLANO,MATCH($G683,SUBCATEGORIAS_PLANO,0)),"Não classificado"))</f>
        <v/>
      </c>
      <c r="AG683" s="17">
        <f>IF($G683="","",IFERROR(INDEX(TIPOS_FLUXO_PLANO,MATCH($G683,SUBCATEGORIAS_PLANO,0)),"Não classificado"))</f>
        <v/>
      </c>
      <c r="AH683" s="9">
        <f>IF($G683="","",IFERROR(INDEX(GRUPOS_PLANO,MATCH($G683,SUBCATEGORIAS_PLANO,0)),"Não classificado"))</f>
        <v/>
      </c>
      <c r="AI683" s="24">
        <f>IF(OR($C683="",$X683="Pago",$X683="Recebido",$X683="Cancelado"),"",$C683-TODAY())</f>
        <v/>
      </c>
      <c r="AJ683" s="24">
        <f>IF(OR($C683="",$X683="Pago",$X683="Recebido",$X683="Cancelado"),0,MAX(0,TODAY()-$C683))</f>
        <v/>
      </c>
      <c r="AK683" s="24">
        <f>IF($D683="","",$D683-$B683)</f>
        <v/>
      </c>
      <c r="AL683" s="18">
        <f>IF(OR($D683="",$B683=""),"",ROUND(N($R683)*($D683-$B683),2))</f>
        <v/>
      </c>
      <c r="AM683" s="17">
        <f>IF(AND($E683="Saída",$W683&gt;0,$C683&lt;&gt;""),$C683+ROW()/1000000,"")</f>
        <v/>
      </c>
      <c r="AN683" s="17">
        <f>IF(AND($E683="Entrada",$W683&gt;0,$C683&lt;&gt;""),$C683+ROW()/1000000,"")</f>
        <v/>
      </c>
      <c r="AO683" s="9">
        <f>IF(COUNTA($B683:$R683)=0,"",IF(AND($I683&lt;&gt;"",COUNTIF(CLIENTES_NOMES,$I683)+COUNTIF(CLIENTES_FANTASIA,$I683)+COUNTIF(FORNECEDORES_NOMES,$I683)+COUNTIF(FORNECEDORES_FANTASIA,$I683)=0),"⚠ Cliente/Fornecedor não cadastrado",IF(AND($G683&lt;&gt;"",COUNTIF(SUBCATEGORIAS_PLANO,$G683)=0),"⚠ Subcategoria fora do plano de contas",IF(OR($Q683="",N($Q683)=0),"⚠ Valor previsto não informado",IF(AND(OR($X683="Pago",$X683="Recebido"),$D683=""),"⚠ Status pago/recebido sem data",IF(AND($D683&lt;&gt;"",N($R683)=0),"⚠ Data de pagamento sem valor realizado",IF(AND(N($P683)&gt;1,N($O683)&gt;N($P683)),"⚠ Nº da parcela maior que o total",IF(AND($C683&lt;&gt;"",$B683&lt;&gt;"",$C683&lt;$B683),"⚠ Vencimento anterior à competência","OK"))))))))</f>
        <v/>
      </c>
    </row>
    <row r="684">
      <c r="A684" s="14" t="inlineStr">
        <is>
          <t>L0679</t>
        </is>
      </c>
      <c r="B684" s="36" t="n">
        <v>47011</v>
      </c>
      <c r="C684" s="36" t="n">
        <v>47011</v>
      </c>
      <c r="D684" s="36" t="n"/>
      <c r="E684" s="14" t="inlineStr">
        <is>
          <t>Saída</t>
        </is>
      </c>
      <c r="F684" s="29" t="inlineStr">
        <is>
          <t>Despesas Financeiras</t>
        </is>
      </c>
      <c r="G684" s="29" t="inlineStr">
        <is>
          <t>Juros de Empréstimos e Financiamentos</t>
        </is>
      </c>
      <c r="H684" s="29" t="inlineStr">
        <is>
          <t>Financeiro</t>
        </is>
      </c>
      <c r="I684" s="29" t="inlineStr">
        <is>
          <t>BNDES / Banco do Brasil</t>
        </is>
      </c>
      <c r="J684" s="29" t="inlineStr">
        <is>
          <t>Financiamento de Máquinas — parcela 31/36 (juros)</t>
        </is>
      </c>
      <c r="K684" s="14" t="inlineStr">
        <is>
          <t>FIN-2026-1198-P31</t>
        </is>
      </c>
      <c r="L684" s="29" t="inlineStr">
        <is>
          <t>Banco do Brasil — C/C 12345-6</t>
        </is>
      </c>
      <c r="M684" s="14" t="inlineStr">
        <is>
          <t>Débito automático</t>
        </is>
      </c>
      <c r="N684" s="29" t="n"/>
      <c r="O684" s="13" t="n">
        <v>31</v>
      </c>
      <c r="P684" s="13" t="n">
        <v>36</v>
      </c>
      <c r="Q684" s="35" t="n">
        <v>220</v>
      </c>
      <c r="R684" s="35" t="n"/>
      <c r="S684" s="35" t="n"/>
      <c r="T684" s="35" t="n"/>
      <c r="U684" s="35" t="n"/>
      <c r="V684" s="18">
        <f>IF(COUNTA($B684:$R684)=0,"",ROUND(N($R684)+N($S684)+N($T684)-N($U684),2))</f>
        <v/>
      </c>
      <c r="W684" s="18">
        <f>IF(COUNTA($B684:$R684)=0,"",IF(OR($X684="Pago",$X684="Recebido",$X684="Cancelado"),0,ROUND(N($Q684)+N($S684)+N($T684)-N($U684)-N($R684),2)))</f>
        <v/>
      </c>
      <c r="X684" s="14" t="inlineStr">
        <is>
          <t>Previsto</t>
        </is>
      </c>
      <c r="Y684" s="17">
        <f>IF(COUNTA($B684:$R684)=0,"",IF($X684="Cancelado","Cancelado",IF(OR($X684="Pago",$X684="Recebido"),$X684,IF(OR($X684="Parcial",N($R684)&gt;0),"Parcial",IF($C684="","Sem vencimento",IF($C684&lt;TODAY(),"Vencido",IF($C684=TODAY(),"Vence hoje",IF($C684&lt;=TODAY()+7,"Vence em 7 dias",IF($C684&lt;=TODAY()+30,"Vence em 30 dias","Futuro")))))))))</f>
        <v/>
      </c>
      <c r="Z684" s="24">
        <f>IF($B684="","",MONTH($B684))</f>
        <v/>
      </c>
      <c r="AA684" s="24">
        <f>IF($B684="","",YEAR($B684))</f>
        <v/>
      </c>
      <c r="AB684" s="24">
        <f>IF($B684="","",ISOWEEKNUM($B684))</f>
        <v/>
      </c>
      <c r="AC684" s="17">
        <f>IF($B684="","",CHOOSE(WEEKDAY($B684,2),"Segunda","Terça","Quarta","Quinta","Sexta","Sábado","Domingo"))</f>
        <v/>
      </c>
      <c r="AD684" s="17">
        <f>IF($B684="","",TEXT($B684,"MM/AAAA"))</f>
        <v/>
      </c>
      <c r="AE684" s="18">
        <f>IF(COUNTA($B684:$R684)=0,"",IF($X684="Cancelado",0,ROUND(N($Q684)+N($S684)+N($T684)-N($U684),2)))</f>
        <v/>
      </c>
      <c r="AF684" s="9">
        <f>IF($G684="","",IFERROR(INDEX(LINHAS_DRE_PLANO,MATCH($G684,SUBCATEGORIAS_PLANO,0)),"Não classificado"))</f>
        <v/>
      </c>
      <c r="AG684" s="17">
        <f>IF($G684="","",IFERROR(INDEX(TIPOS_FLUXO_PLANO,MATCH($G684,SUBCATEGORIAS_PLANO,0)),"Não classificado"))</f>
        <v/>
      </c>
      <c r="AH684" s="9">
        <f>IF($G684="","",IFERROR(INDEX(GRUPOS_PLANO,MATCH($G684,SUBCATEGORIAS_PLANO,0)),"Não classificado"))</f>
        <v/>
      </c>
      <c r="AI684" s="24">
        <f>IF(OR($C684="",$X684="Pago",$X684="Recebido",$X684="Cancelado"),"",$C684-TODAY())</f>
        <v/>
      </c>
      <c r="AJ684" s="24">
        <f>IF(OR($C684="",$X684="Pago",$X684="Recebido",$X684="Cancelado"),0,MAX(0,TODAY()-$C684))</f>
        <v/>
      </c>
      <c r="AK684" s="24">
        <f>IF($D684="","",$D684-$B684)</f>
        <v/>
      </c>
      <c r="AL684" s="18">
        <f>IF(OR($D684="",$B684=""),"",ROUND(N($R684)*($D684-$B684),2))</f>
        <v/>
      </c>
      <c r="AM684" s="17">
        <f>IF(AND($E684="Saída",$W684&gt;0,$C684&lt;&gt;""),$C684+ROW()/1000000,"")</f>
        <v/>
      </c>
      <c r="AN684" s="17">
        <f>IF(AND($E684="Entrada",$W684&gt;0,$C684&lt;&gt;""),$C684+ROW()/1000000,"")</f>
        <v/>
      </c>
      <c r="AO684" s="9">
        <f>IF(COUNTA($B684:$R684)=0,"",IF(AND($I684&lt;&gt;"",COUNTIF(CLIENTES_NOMES,$I684)+COUNTIF(CLIENTES_FANTASIA,$I684)+COUNTIF(FORNECEDORES_NOMES,$I684)+COUNTIF(FORNECEDORES_FANTASIA,$I684)=0),"⚠ Cliente/Fornecedor não cadastrado",IF(AND($G684&lt;&gt;"",COUNTIF(SUBCATEGORIAS_PLANO,$G684)=0),"⚠ Subcategoria fora do plano de contas",IF(OR($Q684="",N($Q684)=0),"⚠ Valor previsto não informado",IF(AND(OR($X684="Pago",$X684="Recebido"),$D684=""),"⚠ Status pago/recebido sem data",IF(AND($D684&lt;&gt;"",N($R684)=0),"⚠ Data de pagamento sem valor realizado",IF(AND(N($P684)&gt;1,N($O684)&gt;N($P684)),"⚠ Nº da parcela maior que o total",IF(AND($C684&lt;&gt;"",$B684&lt;&gt;"",$C684&lt;$B684),"⚠ Vencimento anterior à competência","OK"))))))))</f>
        <v/>
      </c>
    </row>
    <row r="685">
      <c r="A685" s="14" t="inlineStr">
        <is>
          <t>L0680</t>
        </is>
      </c>
      <c r="B685" s="36" t="n">
        <v>47016</v>
      </c>
      <c r="C685" s="36" t="n">
        <v>47016</v>
      </c>
      <c r="D685" s="36" t="n"/>
      <c r="E685" s="14" t="inlineStr">
        <is>
          <t>Saída</t>
        </is>
      </c>
      <c r="F685" s="29" t="inlineStr">
        <is>
          <t>Empréstimos e Financiamentos</t>
        </is>
      </c>
      <c r="G685" s="29" t="inlineStr">
        <is>
          <t>Pagamento de Principal de Empréstimos</t>
        </is>
      </c>
      <c r="H685" s="29" t="inlineStr">
        <is>
          <t>Diretoria</t>
        </is>
      </c>
      <c r="I685" s="29" t="inlineStr">
        <is>
          <t>Banco Santander</t>
        </is>
      </c>
      <c r="J685" s="29" t="inlineStr">
        <is>
          <t>Financiamento de Veículo — parcela 32/48 (principal)</t>
        </is>
      </c>
      <c r="K685" s="14" t="inlineStr">
        <is>
          <t>VEI-2026-0088-P32</t>
        </is>
      </c>
      <c r="L685" s="29" t="inlineStr">
        <is>
          <t>Itaú Unibanco — C/C 45678-9</t>
        </is>
      </c>
      <c r="M685" s="14" t="inlineStr">
        <is>
          <t>Débito automático</t>
        </is>
      </c>
      <c r="N685" s="29" t="n"/>
      <c r="O685" s="13" t="n">
        <v>32</v>
      </c>
      <c r="P685" s="13" t="n">
        <v>48</v>
      </c>
      <c r="Q685" s="35" t="n">
        <v>1802.6</v>
      </c>
      <c r="R685" s="35" t="n"/>
      <c r="S685" s="35" t="n"/>
      <c r="T685" s="35" t="n"/>
      <c r="U685" s="35" t="n"/>
      <c r="V685" s="18">
        <f>IF(COUNTA($B685:$R685)=0,"",ROUND(N($R685)+N($S685)+N($T685)-N($U685),2))</f>
        <v/>
      </c>
      <c r="W685" s="18">
        <f>IF(COUNTA($B685:$R685)=0,"",IF(OR($X685="Pago",$X685="Recebido",$X685="Cancelado"),0,ROUND(N($Q685)+N($S685)+N($T685)-N($U685)-N($R685),2)))</f>
        <v/>
      </c>
      <c r="X685" s="14" t="inlineStr">
        <is>
          <t>Previsto</t>
        </is>
      </c>
      <c r="Y685" s="17">
        <f>IF(COUNTA($B685:$R685)=0,"",IF($X685="Cancelado","Cancelado",IF(OR($X685="Pago",$X685="Recebido"),$X685,IF(OR($X685="Parcial",N($R685)&gt;0),"Parcial",IF($C685="","Sem vencimento",IF($C685&lt;TODAY(),"Vencido",IF($C685=TODAY(),"Vence hoje",IF($C685&lt;=TODAY()+7,"Vence em 7 dias",IF($C685&lt;=TODAY()+30,"Vence em 30 dias","Futuro")))))))))</f>
        <v/>
      </c>
      <c r="Z685" s="24">
        <f>IF($B685="","",MONTH($B685))</f>
        <v/>
      </c>
      <c r="AA685" s="24">
        <f>IF($B685="","",YEAR($B685))</f>
        <v/>
      </c>
      <c r="AB685" s="24">
        <f>IF($B685="","",ISOWEEKNUM($B685))</f>
        <v/>
      </c>
      <c r="AC685" s="17">
        <f>IF($B685="","",CHOOSE(WEEKDAY($B685,2),"Segunda","Terça","Quarta","Quinta","Sexta","Sábado","Domingo"))</f>
        <v/>
      </c>
      <c r="AD685" s="17">
        <f>IF($B685="","",TEXT($B685,"MM/AAAA"))</f>
        <v/>
      </c>
      <c r="AE685" s="18">
        <f>IF(COUNTA($B685:$R685)=0,"",IF($X685="Cancelado",0,ROUND(N($Q685)+N($S685)+N($T685)-N($U685),2)))</f>
        <v/>
      </c>
      <c r="AF685" s="9">
        <f>IF($G685="","",IFERROR(INDEX(LINHAS_DRE_PLANO,MATCH($G685,SUBCATEGORIAS_PLANO,0)),"Não classificado"))</f>
        <v/>
      </c>
      <c r="AG685" s="17">
        <f>IF($G685="","",IFERROR(INDEX(TIPOS_FLUXO_PLANO,MATCH($G685,SUBCATEGORIAS_PLANO,0)),"Não classificado"))</f>
        <v/>
      </c>
      <c r="AH685" s="9">
        <f>IF($G685="","",IFERROR(INDEX(GRUPOS_PLANO,MATCH($G685,SUBCATEGORIAS_PLANO,0)),"Não classificado"))</f>
        <v/>
      </c>
      <c r="AI685" s="24">
        <f>IF(OR($C685="",$X685="Pago",$X685="Recebido",$X685="Cancelado"),"",$C685-TODAY())</f>
        <v/>
      </c>
      <c r="AJ685" s="24">
        <f>IF(OR($C685="",$X685="Pago",$X685="Recebido",$X685="Cancelado"),0,MAX(0,TODAY()-$C685))</f>
        <v/>
      </c>
      <c r="AK685" s="24">
        <f>IF($D685="","",$D685-$B685)</f>
        <v/>
      </c>
      <c r="AL685" s="18">
        <f>IF(OR($D685="",$B685=""),"",ROUND(N($R685)*($D685-$B685),2))</f>
        <v/>
      </c>
      <c r="AM685" s="17">
        <f>IF(AND($E685="Saída",$W685&gt;0,$C685&lt;&gt;""),$C685+ROW()/1000000,"")</f>
        <v/>
      </c>
      <c r="AN685" s="17">
        <f>IF(AND($E685="Entrada",$W685&gt;0,$C685&lt;&gt;""),$C685+ROW()/1000000,"")</f>
        <v/>
      </c>
      <c r="AO685" s="9">
        <f>IF(COUNTA($B685:$R685)=0,"",IF(AND($I685&lt;&gt;"",COUNTIF(CLIENTES_NOMES,$I685)+COUNTIF(CLIENTES_FANTASIA,$I685)+COUNTIF(FORNECEDORES_NOMES,$I685)+COUNTIF(FORNECEDORES_FANTASIA,$I685)=0),"⚠ Cliente/Fornecedor não cadastrado",IF(AND($G685&lt;&gt;"",COUNTIF(SUBCATEGORIAS_PLANO,$G685)=0),"⚠ Subcategoria fora do plano de contas",IF(OR($Q685="",N($Q685)=0),"⚠ Valor previsto não informado",IF(AND(OR($X685="Pago",$X685="Recebido"),$D685=""),"⚠ Status pago/recebido sem data",IF(AND($D685&lt;&gt;"",N($R685)=0),"⚠ Data de pagamento sem valor realizado",IF(AND(N($P685)&gt;1,N($O685)&gt;N($P685)),"⚠ Nº da parcela maior que o total",IF(AND($C685&lt;&gt;"",$B685&lt;&gt;"",$C685&lt;$B685),"⚠ Vencimento anterior à competência","OK"))))))))</f>
        <v/>
      </c>
    </row>
    <row r="686">
      <c r="A686" s="14" t="inlineStr">
        <is>
          <t>L0681</t>
        </is>
      </c>
      <c r="B686" s="36" t="n">
        <v>47016</v>
      </c>
      <c r="C686" s="36" t="n">
        <v>47016</v>
      </c>
      <c r="D686" s="36" t="n"/>
      <c r="E686" s="14" t="inlineStr">
        <is>
          <t>Saída</t>
        </is>
      </c>
      <c r="F686" s="29" t="inlineStr">
        <is>
          <t>Despesas Financeiras</t>
        </is>
      </c>
      <c r="G686" s="29" t="inlineStr">
        <is>
          <t>Juros de Empréstimos e Financiamentos</t>
        </is>
      </c>
      <c r="H686" s="29" t="inlineStr">
        <is>
          <t>Diretoria</t>
        </is>
      </c>
      <c r="I686" s="29" t="inlineStr">
        <is>
          <t>Banco Santander</t>
        </is>
      </c>
      <c r="J686" s="29" t="inlineStr">
        <is>
          <t>Financiamento de Veículo — parcela 32/48 (juros)</t>
        </is>
      </c>
      <c r="K686" s="14" t="inlineStr">
        <is>
          <t>VEI-2026-0088-P32</t>
        </is>
      </c>
      <c r="L686" s="29" t="inlineStr">
        <is>
          <t>Itaú Unibanco — C/C 45678-9</t>
        </is>
      </c>
      <c r="M686" s="14" t="inlineStr">
        <is>
          <t>Débito automático</t>
        </is>
      </c>
      <c r="N686" s="29" t="n"/>
      <c r="O686" s="13" t="n">
        <v>32</v>
      </c>
      <c r="P686" s="13" t="n">
        <v>48</v>
      </c>
      <c r="Q686" s="35" t="n">
        <v>423.86</v>
      </c>
      <c r="R686" s="35" t="n"/>
      <c r="S686" s="35" t="n"/>
      <c r="T686" s="35" t="n"/>
      <c r="U686" s="35" t="n"/>
      <c r="V686" s="18">
        <f>IF(COUNTA($B686:$R686)=0,"",ROUND(N($R686)+N($S686)+N($T686)-N($U686),2))</f>
        <v/>
      </c>
      <c r="W686" s="18">
        <f>IF(COUNTA($B686:$R686)=0,"",IF(OR($X686="Pago",$X686="Recebido",$X686="Cancelado"),0,ROUND(N($Q686)+N($S686)+N($T686)-N($U686)-N($R686),2)))</f>
        <v/>
      </c>
      <c r="X686" s="14" t="inlineStr">
        <is>
          <t>Previsto</t>
        </is>
      </c>
      <c r="Y686" s="17">
        <f>IF(COUNTA($B686:$R686)=0,"",IF($X686="Cancelado","Cancelado",IF(OR($X686="Pago",$X686="Recebido"),$X686,IF(OR($X686="Parcial",N($R686)&gt;0),"Parcial",IF($C686="","Sem vencimento",IF($C686&lt;TODAY(),"Vencido",IF($C686=TODAY(),"Vence hoje",IF($C686&lt;=TODAY()+7,"Vence em 7 dias",IF($C686&lt;=TODAY()+30,"Vence em 30 dias","Futuro")))))))))</f>
        <v/>
      </c>
      <c r="Z686" s="24">
        <f>IF($B686="","",MONTH($B686))</f>
        <v/>
      </c>
      <c r="AA686" s="24">
        <f>IF($B686="","",YEAR($B686))</f>
        <v/>
      </c>
      <c r="AB686" s="24">
        <f>IF($B686="","",ISOWEEKNUM($B686))</f>
        <v/>
      </c>
      <c r="AC686" s="17">
        <f>IF($B686="","",CHOOSE(WEEKDAY($B686,2),"Segunda","Terça","Quarta","Quinta","Sexta","Sábado","Domingo"))</f>
        <v/>
      </c>
      <c r="AD686" s="17">
        <f>IF($B686="","",TEXT($B686,"MM/AAAA"))</f>
        <v/>
      </c>
      <c r="AE686" s="18">
        <f>IF(COUNTA($B686:$R686)=0,"",IF($X686="Cancelado",0,ROUND(N($Q686)+N($S686)+N($T686)-N($U686),2)))</f>
        <v/>
      </c>
      <c r="AF686" s="9">
        <f>IF($G686="","",IFERROR(INDEX(LINHAS_DRE_PLANO,MATCH($G686,SUBCATEGORIAS_PLANO,0)),"Não classificado"))</f>
        <v/>
      </c>
      <c r="AG686" s="17">
        <f>IF($G686="","",IFERROR(INDEX(TIPOS_FLUXO_PLANO,MATCH($G686,SUBCATEGORIAS_PLANO,0)),"Não classificado"))</f>
        <v/>
      </c>
      <c r="AH686" s="9">
        <f>IF($G686="","",IFERROR(INDEX(GRUPOS_PLANO,MATCH($G686,SUBCATEGORIAS_PLANO,0)),"Não classificado"))</f>
        <v/>
      </c>
      <c r="AI686" s="24">
        <f>IF(OR($C686="",$X686="Pago",$X686="Recebido",$X686="Cancelado"),"",$C686-TODAY())</f>
        <v/>
      </c>
      <c r="AJ686" s="24">
        <f>IF(OR($C686="",$X686="Pago",$X686="Recebido",$X686="Cancelado"),0,MAX(0,TODAY()-$C686))</f>
        <v/>
      </c>
      <c r="AK686" s="24">
        <f>IF($D686="","",$D686-$B686)</f>
        <v/>
      </c>
      <c r="AL686" s="18">
        <f>IF(OR($D686="",$B686=""),"",ROUND(N($R686)*($D686-$B686),2))</f>
        <v/>
      </c>
      <c r="AM686" s="17">
        <f>IF(AND($E686="Saída",$W686&gt;0,$C686&lt;&gt;""),$C686+ROW()/1000000,"")</f>
        <v/>
      </c>
      <c r="AN686" s="17">
        <f>IF(AND($E686="Entrada",$W686&gt;0,$C686&lt;&gt;""),$C686+ROW()/1000000,"")</f>
        <v/>
      </c>
      <c r="AO686" s="9">
        <f>IF(COUNTA($B686:$R686)=0,"",IF(AND($I686&lt;&gt;"",COUNTIF(CLIENTES_NOMES,$I686)+COUNTIF(CLIENTES_FANTASIA,$I686)+COUNTIF(FORNECEDORES_NOMES,$I686)+COUNTIF(FORNECEDORES_FANTASIA,$I686)=0),"⚠ Cliente/Fornecedor não cadastrado",IF(AND($G686&lt;&gt;"",COUNTIF(SUBCATEGORIAS_PLANO,$G686)=0),"⚠ Subcategoria fora do plano de contas",IF(OR($Q686="",N($Q686)=0),"⚠ Valor previsto não informado",IF(AND(OR($X686="Pago",$X686="Recebido"),$D686=""),"⚠ Status pago/recebido sem data",IF(AND($D686&lt;&gt;"",N($R686)=0),"⚠ Data de pagamento sem valor realizado",IF(AND(N($P686)&gt;1,N($O686)&gt;N($P686)),"⚠ Nº da parcela maior que o total",IF(AND($C686&lt;&gt;"",$B686&lt;&gt;"",$C686&lt;$B686),"⚠ Vencimento anterior à competência","OK"))))))))</f>
        <v/>
      </c>
    </row>
    <row r="687">
      <c r="A687" s="14" t="inlineStr">
        <is>
          <t>L0682</t>
        </is>
      </c>
      <c r="B687" s="36" t="n">
        <v>47041</v>
      </c>
      <c r="C687" s="36" t="n">
        <v>47041</v>
      </c>
      <c r="D687" s="36" t="n"/>
      <c r="E687" s="14" t="inlineStr">
        <is>
          <t>Saída</t>
        </is>
      </c>
      <c r="F687" s="29" t="inlineStr">
        <is>
          <t>Empréstimos e Financiamentos</t>
        </is>
      </c>
      <c r="G687" s="29" t="inlineStr">
        <is>
          <t>Pagamento de Principal de Empréstimos</t>
        </is>
      </c>
      <c r="H687" s="29" t="inlineStr">
        <is>
          <t>Financeiro</t>
        </is>
      </c>
      <c r="I687" s="29" t="inlineStr">
        <is>
          <t>BNDES / Banco do Brasil</t>
        </is>
      </c>
      <c r="J687" s="29" t="inlineStr">
        <is>
          <t>Financiamento de Máquinas — parcela 32/36 (principal)</t>
        </is>
      </c>
      <c r="K687" s="14" t="inlineStr">
        <is>
          <t>FIN-2026-1198-P32</t>
        </is>
      </c>
      <c r="L687" s="29" t="inlineStr">
        <is>
          <t>Banco do Brasil — C/C 12345-6</t>
        </is>
      </c>
      <c r="M687" s="14" t="inlineStr">
        <is>
          <t>Débito automático</t>
        </is>
      </c>
      <c r="N687" s="29" t="n"/>
      <c r="O687" s="13" t="n">
        <v>32</v>
      </c>
      <c r="P687" s="13" t="n">
        <v>36</v>
      </c>
      <c r="Q687" s="35" t="n">
        <v>3333.33</v>
      </c>
      <c r="R687" s="35" t="n"/>
      <c r="S687" s="35" t="n"/>
      <c r="T687" s="35" t="n"/>
      <c r="U687" s="35" t="n"/>
      <c r="V687" s="18">
        <f>IF(COUNTA($B687:$R687)=0,"",ROUND(N($R687)+N($S687)+N($T687)-N($U687),2))</f>
        <v/>
      </c>
      <c r="W687" s="18">
        <f>IF(COUNTA($B687:$R687)=0,"",IF(OR($X687="Pago",$X687="Recebido",$X687="Cancelado"),0,ROUND(N($Q687)+N($S687)+N($T687)-N($U687)-N($R687),2)))</f>
        <v/>
      </c>
      <c r="X687" s="14" t="inlineStr">
        <is>
          <t>Previsto</t>
        </is>
      </c>
      <c r="Y687" s="17">
        <f>IF(COUNTA($B687:$R687)=0,"",IF($X687="Cancelado","Cancelado",IF(OR($X687="Pago",$X687="Recebido"),$X687,IF(OR($X687="Parcial",N($R687)&gt;0),"Parcial",IF($C687="","Sem vencimento",IF($C687&lt;TODAY(),"Vencido",IF($C687=TODAY(),"Vence hoje",IF($C687&lt;=TODAY()+7,"Vence em 7 dias",IF($C687&lt;=TODAY()+30,"Vence em 30 dias","Futuro")))))))))</f>
        <v/>
      </c>
      <c r="Z687" s="24">
        <f>IF($B687="","",MONTH($B687))</f>
        <v/>
      </c>
      <c r="AA687" s="24">
        <f>IF($B687="","",YEAR($B687))</f>
        <v/>
      </c>
      <c r="AB687" s="24">
        <f>IF($B687="","",ISOWEEKNUM($B687))</f>
        <v/>
      </c>
      <c r="AC687" s="17">
        <f>IF($B687="","",CHOOSE(WEEKDAY($B687,2),"Segunda","Terça","Quarta","Quinta","Sexta","Sábado","Domingo"))</f>
        <v/>
      </c>
      <c r="AD687" s="17">
        <f>IF($B687="","",TEXT($B687,"MM/AAAA"))</f>
        <v/>
      </c>
      <c r="AE687" s="18">
        <f>IF(COUNTA($B687:$R687)=0,"",IF($X687="Cancelado",0,ROUND(N($Q687)+N($S687)+N($T687)-N($U687),2)))</f>
        <v/>
      </c>
      <c r="AF687" s="9">
        <f>IF($G687="","",IFERROR(INDEX(LINHAS_DRE_PLANO,MATCH($G687,SUBCATEGORIAS_PLANO,0)),"Não classificado"))</f>
        <v/>
      </c>
      <c r="AG687" s="17">
        <f>IF($G687="","",IFERROR(INDEX(TIPOS_FLUXO_PLANO,MATCH($G687,SUBCATEGORIAS_PLANO,0)),"Não classificado"))</f>
        <v/>
      </c>
      <c r="AH687" s="9">
        <f>IF($G687="","",IFERROR(INDEX(GRUPOS_PLANO,MATCH($G687,SUBCATEGORIAS_PLANO,0)),"Não classificado"))</f>
        <v/>
      </c>
      <c r="AI687" s="24">
        <f>IF(OR($C687="",$X687="Pago",$X687="Recebido",$X687="Cancelado"),"",$C687-TODAY())</f>
        <v/>
      </c>
      <c r="AJ687" s="24">
        <f>IF(OR($C687="",$X687="Pago",$X687="Recebido",$X687="Cancelado"),0,MAX(0,TODAY()-$C687))</f>
        <v/>
      </c>
      <c r="AK687" s="24">
        <f>IF($D687="","",$D687-$B687)</f>
        <v/>
      </c>
      <c r="AL687" s="18">
        <f>IF(OR($D687="",$B687=""),"",ROUND(N($R687)*($D687-$B687),2))</f>
        <v/>
      </c>
      <c r="AM687" s="17">
        <f>IF(AND($E687="Saída",$W687&gt;0,$C687&lt;&gt;""),$C687+ROW()/1000000,"")</f>
        <v/>
      </c>
      <c r="AN687" s="17">
        <f>IF(AND($E687="Entrada",$W687&gt;0,$C687&lt;&gt;""),$C687+ROW()/1000000,"")</f>
        <v/>
      </c>
      <c r="AO687" s="9">
        <f>IF(COUNTA($B687:$R687)=0,"",IF(AND($I687&lt;&gt;"",COUNTIF(CLIENTES_NOMES,$I687)+COUNTIF(CLIENTES_FANTASIA,$I687)+COUNTIF(FORNECEDORES_NOMES,$I687)+COUNTIF(FORNECEDORES_FANTASIA,$I687)=0),"⚠ Cliente/Fornecedor não cadastrado",IF(AND($G687&lt;&gt;"",COUNTIF(SUBCATEGORIAS_PLANO,$G687)=0),"⚠ Subcategoria fora do plano de contas",IF(OR($Q687="",N($Q687)=0),"⚠ Valor previsto não informado",IF(AND(OR($X687="Pago",$X687="Recebido"),$D687=""),"⚠ Status pago/recebido sem data",IF(AND($D687&lt;&gt;"",N($R687)=0),"⚠ Data de pagamento sem valor realizado",IF(AND(N($P687)&gt;1,N($O687)&gt;N($P687)),"⚠ Nº da parcela maior que o total",IF(AND($C687&lt;&gt;"",$B687&lt;&gt;"",$C687&lt;$B687),"⚠ Vencimento anterior à competência","OK"))))))))</f>
        <v/>
      </c>
    </row>
    <row r="688">
      <c r="A688" s="14" t="inlineStr">
        <is>
          <t>L0683</t>
        </is>
      </c>
      <c r="B688" s="36" t="n">
        <v>47041</v>
      </c>
      <c r="C688" s="36" t="n">
        <v>47041</v>
      </c>
      <c r="D688" s="36" t="n"/>
      <c r="E688" s="14" t="inlineStr">
        <is>
          <t>Saída</t>
        </is>
      </c>
      <c r="F688" s="29" t="inlineStr">
        <is>
          <t>Despesas Financeiras</t>
        </is>
      </c>
      <c r="G688" s="29" t="inlineStr">
        <is>
          <t>Juros de Empréstimos e Financiamentos</t>
        </is>
      </c>
      <c r="H688" s="29" t="inlineStr">
        <is>
          <t>Financeiro</t>
        </is>
      </c>
      <c r="I688" s="29" t="inlineStr">
        <is>
          <t>BNDES / Banco do Brasil</t>
        </is>
      </c>
      <c r="J688" s="29" t="inlineStr">
        <is>
          <t>Financiamento de Máquinas — parcela 32/36 (juros)</t>
        </is>
      </c>
      <c r="K688" s="14" t="inlineStr">
        <is>
          <t>FIN-2026-1198-P32</t>
        </is>
      </c>
      <c r="L688" s="29" t="inlineStr">
        <is>
          <t>Banco do Brasil — C/C 12345-6</t>
        </is>
      </c>
      <c r="M688" s="14" t="inlineStr">
        <is>
          <t>Débito automático</t>
        </is>
      </c>
      <c r="N688" s="29" t="n"/>
      <c r="O688" s="13" t="n">
        <v>32</v>
      </c>
      <c r="P688" s="13" t="n">
        <v>36</v>
      </c>
      <c r="Q688" s="35" t="n">
        <v>183.33</v>
      </c>
      <c r="R688" s="35" t="n"/>
      <c r="S688" s="35" t="n"/>
      <c r="T688" s="35" t="n"/>
      <c r="U688" s="35" t="n"/>
      <c r="V688" s="18">
        <f>IF(COUNTA($B688:$R688)=0,"",ROUND(N($R688)+N($S688)+N($T688)-N($U688),2))</f>
        <v/>
      </c>
      <c r="W688" s="18">
        <f>IF(COUNTA($B688:$R688)=0,"",IF(OR($X688="Pago",$X688="Recebido",$X688="Cancelado"),0,ROUND(N($Q688)+N($S688)+N($T688)-N($U688)-N($R688),2)))</f>
        <v/>
      </c>
      <c r="X688" s="14" t="inlineStr">
        <is>
          <t>Previsto</t>
        </is>
      </c>
      <c r="Y688" s="17">
        <f>IF(COUNTA($B688:$R688)=0,"",IF($X688="Cancelado","Cancelado",IF(OR($X688="Pago",$X688="Recebido"),$X688,IF(OR($X688="Parcial",N($R688)&gt;0),"Parcial",IF($C688="","Sem vencimento",IF($C688&lt;TODAY(),"Vencido",IF($C688=TODAY(),"Vence hoje",IF($C688&lt;=TODAY()+7,"Vence em 7 dias",IF($C688&lt;=TODAY()+30,"Vence em 30 dias","Futuro")))))))))</f>
        <v/>
      </c>
      <c r="Z688" s="24">
        <f>IF($B688="","",MONTH($B688))</f>
        <v/>
      </c>
      <c r="AA688" s="24">
        <f>IF($B688="","",YEAR($B688))</f>
        <v/>
      </c>
      <c r="AB688" s="24">
        <f>IF($B688="","",ISOWEEKNUM($B688))</f>
        <v/>
      </c>
      <c r="AC688" s="17">
        <f>IF($B688="","",CHOOSE(WEEKDAY($B688,2),"Segunda","Terça","Quarta","Quinta","Sexta","Sábado","Domingo"))</f>
        <v/>
      </c>
      <c r="AD688" s="17">
        <f>IF($B688="","",TEXT($B688,"MM/AAAA"))</f>
        <v/>
      </c>
      <c r="AE688" s="18">
        <f>IF(COUNTA($B688:$R688)=0,"",IF($X688="Cancelado",0,ROUND(N($Q688)+N($S688)+N($T688)-N($U688),2)))</f>
        <v/>
      </c>
      <c r="AF688" s="9">
        <f>IF($G688="","",IFERROR(INDEX(LINHAS_DRE_PLANO,MATCH($G688,SUBCATEGORIAS_PLANO,0)),"Não classificado"))</f>
        <v/>
      </c>
      <c r="AG688" s="17">
        <f>IF($G688="","",IFERROR(INDEX(TIPOS_FLUXO_PLANO,MATCH($G688,SUBCATEGORIAS_PLANO,0)),"Não classificado"))</f>
        <v/>
      </c>
      <c r="AH688" s="9">
        <f>IF($G688="","",IFERROR(INDEX(GRUPOS_PLANO,MATCH($G688,SUBCATEGORIAS_PLANO,0)),"Não classificado"))</f>
        <v/>
      </c>
      <c r="AI688" s="24">
        <f>IF(OR($C688="",$X688="Pago",$X688="Recebido",$X688="Cancelado"),"",$C688-TODAY())</f>
        <v/>
      </c>
      <c r="AJ688" s="24">
        <f>IF(OR($C688="",$X688="Pago",$X688="Recebido",$X688="Cancelado"),0,MAX(0,TODAY()-$C688))</f>
        <v/>
      </c>
      <c r="AK688" s="24">
        <f>IF($D688="","",$D688-$B688)</f>
        <v/>
      </c>
      <c r="AL688" s="18">
        <f>IF(OR($D688="",$B688=""),"",ROUND(N($R688)*($D688-$B688),2))</f>
        <v/>
      </c>
      <c r="AM688" s="17">
        <f>IF(AND($E688="Saída",$W688&gt;0,$C688&lt;&gt;""),$C688+ROW()/1000000,"")</f>
        <v/>
      </c>
      <c r="AN688" s="17">
        <f>IF(AND($E688="Entrada",$W688&gt;0,$C688&lt;&gt;""),$C688+ROW()/1000000,"")</f>
        <v/>
      </c>
      <c r="AO688" s="9">
        <f>IF(COUNTA($B688:$R688)=0,"",IF(AND($I688&lt;&gt;"",COUNTIF(CLIENTES_NOMES,$I688)+COUNTIF(CLIENTES_FANTASIA,$I688)+COUNTIF(FORNECEDORES_NOMES,$I688)+COUNTIF(FORNECEDORES_FANTASIA,$I688)=0),"⚠ Cliente/Fornecedor não cadastrado",IF(AND($G688&lt;&gt;"",COUNTIF(SUBCATEGORIAS_PLANO,$G688)=0),"⚠ Subcategoria fora do plano de contas",IF(OR($Q688="",N($Q688)=0),"⚠ Valor previsto não informado",IF(AND(OR($X688="Pago",$X688="Recebido"),$D688=""),"⚠ Status pago/recebido sem data",IF(AND($D688&lt;&gt;"",N($R688)=0),"⚠ Data de pagamento sem valor realizado",IF(AND(N($P688)&gt;1,N($O688)&gt;N($P688)),"⚠ Nº da parcela maior que o total",IF(AND($C688&lt;&gt;"",$B688&lt;&gt;"",$C688&lt;$B688),"⚠ Vencimento anterior à competência","OK"))))))))</f>
        <v/>
      </c>
    </row>
    <row r="689">
      <c r="A689" s="14" t="inlineStr">
        <is>
          <t>L0684</t>
        </is>
      </c>
      <c r="B689" s="36" t="n">
        <v>47046</v>
      </c>
      <c r="C689" s="36" t="n">
        <v>47046</v>
      </c>
      <c r="D689" s="36" t="n"/>
      <c r="E689" s="14" t="inlineStr">
        <is>
          <t>Saída</t>
        </is>
      </c>
      <c r="F689" s="29" t="inlineStr">
        <is>
          <t>Empréstimos e Financiamentos</t>
        </is>
      </c>
      <c r="G689" s="29" t="inlineStr">
        <is>
          <t>Pagamento de Principal de Empréstimos</t>
        </is>
      </c>
      <c r="H689" s="29" t="inlineStr">
        <is>
          <t>Diretoria</t>
        </is>
      </c>
      <c r="I689" s="29" t="inlineStr">
        <is>
          <t>Banco Santander</t>
        </is>
      </c>
      <c r="J689" s="29" t="inlineStr">
        <is>
          <t>Financiamento de Veículo — parcela 33/48 (principal)</t>
        </is>
      </c>
      <c r="K689" s="14" t="inlineStr">
        <is>
          <t>VEI-2026-0088-P33</t>
        </is>
      </c>
      <c r="L689" s="29" t="inlineStr">
        <is>
          <t>Itaú Unibanco — C/C 45678-9</t>
        </is>
      </c>
      <c r="M689" s="14" t="inlineStr">
        <is>
          <t>Débito automático</t>
        </is>
      </c>
      <c r="N689" s="29" t="n"/>
      <c r="O689" s="13" t="n">
        <v>33</v>
      </c>
      <c r="P689" s="13" t="n">
        <v>48</v>
      </c>
      <c r="Q689" s="35" t="n">
        <v>1825.13</v>
      </c>
      <c r="R689" s="35" t="n"/>
      <c r="S689" s="35" t="n"/>
      <c r="T689" s="35" t="n"/>
      <c r="U689" s="35" t="n"/>
      <c r="V689" s="18">
        <f>IF(COUNTA($B689:$R689)=0,"",ROUND(N($R689)+N($S689)+N($T689)-N($U689),2))</f>
        <v/>
      </c>
      <c r="W689" s="18">
        <f>IF(COUNTA($B689:$R689)=0,"",IF(OR($X689="Pago",$X689="Recebido",$X689="Cancelado"),0,ROUND(N($Q689)+N($S689)+N($T689)-N($U689)-N($R689),2)))</f>
        <v/>
      </c>
      <c r="X689" s="14" t="inlineStr">
        <is>
          <t>Previsto</t>
        </is>
      </c>
      <c r="Y689" s="17">
        <f>IF(COUNTA($B689:$R689)=0,"",IF($X689="Cancelado","Cancelado",IF(OR($X689="Pago",$X689="Recebido"),$X689,IF(OR($X689="Parcial",N($R689)&gt;0),"Parcial",IF($C689="","Sem vencimento",IF($C689&lt;TODAY(),"Vencido",IF($C689=TODAY(),"Vence hoje",IF($C689&lt;=TODAY()+7,"Vence em 7 dias",IF($C689&lt;=TODAY()+30,"Vence em 30 dias","Futuro")))))))))</f>
        <v/>
      </c>
      <c r="Z689" s="24">
        <f>IF($B689="","",MONTH($B689))</f>
        <v/>
      </c>
      <c r="AA689" s="24">
        <f>IF($B689="","",YEAR($B689))</f>
        <v/>
      </c>
      <c r="AB689" s="24">
        <f>IF($B689="","",ISOWEEKNUM($B689))</f>
        <v/>
      </c>
      <c r="AC689" s="17">
        <f>IF($B689="","",CHOOSE(WEEKDAY($B689,2),"Segunda","Terça","Quarta","Quinta","Sexta","Sábado","Domingo"))</f>
        <v/>
      </c>
      <c r="AD689" s="17">
        <f>IF($B689="","",TEXT($B689,"MM/AAAA"))</f>
        <v/>
      </c>
      <c r="AE689" s="18">
        <f>IF(COUNTA($B689:$R689)=0,"",IF($X689="Cancelado",0,ROUND(N($Q689)+N($S689)+N($T689)-N($U689),2)))</f>
        <v/>
      </c>
      <c r="AF689" s="9">
        <f>IF($G689="","",IFERROR(INDEX(LINHAS_DRE_PLANO,MATCH($G689,SUBCATEGORIAS_PLANO,0)),"Não classificado"))</f>
        <v/>
      </c>
      <c r="AG689" s="17">
        <f>IF($G689="","",IFERROR(INDEX(TIPOS_FLUXO_PLANO,MATCH($G689,SUBCATEGORIAS_PLANO,0)),"Não classificado"))</f>
        <v/>
      </c>
      <c r="AH689" s="9">
        <f>IF($G689="","",IFERROR(INDEX(GRUPOS_PLANO,MATCH($G689,SUBCATEGORIAS_PLANO,0)),"Não classificado"))</f>
        <v/>
      </c>
      <c r="AI689" s="24">
        <f>IF(OR($C689="",$X689="Pago",$X689="Recebido",$X689="Cancelado"),"",$C689-TODAY())</f>
        <v/>
      </c>
      <c r="AJ689" s="24">
        <f>IF(OR($C689="",$X689="Pago",$X689="Recebido",$X689="Cancelado"),0,MAX(0,TODAY()-$C689))</f>
        <v/>
      </c>
      <c r="AK689" s="24">
        <f>IF($D689="","",$D689-$B689)</f>
        <v/>
      </c>
      <c r="AL689" s="18">
        <f>IF(OR($D689="",$B689=""),"",ROUND(N($R689)*($D689-$B689),2))</f>
        <v/>
      </c>
      <c r="AM689" s="17">
        <f>IF(AND($E689="Saída",$W689&gt;0,$C689&lt;&gt;""),$C689+ROW()/1000000,"")</f>
        <v/>
      </c>
      <c r="AN689" s="17">
        <f>IF(AND($E689="Entrada",$W689&gt;0,$C689&lt;&gt;""),$C689+ROW()/1000000,"")</f>
        <v/>
      </c>
      <c r="AO689" s="9">
        <f>IF(COUNTA($B689:$R689)=0,"",IF(AND($I689&lt;&gt;"",COUNTIF(CLIENTES_NOMES,$I689)+COUNTIF(CLIENTES_FANTASIA,$I689)+COUNTIF(FORNECEDORES_NOMES,$I689)+COUNTIF(FORNECEDORES_FANTASIA,$I689)=0),"⚠ Cliente/Fornecedor não cadastrado",IF(AND($G689&lt;&gt;"",COUNTIF(SUBCATEGORIAS_PLANO,$G689)=0),"⚠ Subcategoria fora do plano de contas",IF(OR($Q689="",N($Q689)=0),"⚠ Valor previsto não informado",IF(AND(OR($X689="Pago",$X689="Recebido"),$D689=""),"⚠ Status pago/recebido sem data",IF(AND($D689&lt;&gt;"",N($R689)=0),"⚠ Data de pagamento sem valor realizado",IF(AND(N($P689)&gt;1,N($O689)&gt;N($P689)),"⚠ Nº da parcela maior que o total",IF(AND($C689&lt;&gt;"",$B689&lt;&gt;"",$C689&lt;$B689),"⚠ Vencimento anterior à competência","OK"))))))))</f>
        <v/>
      </c>
    </row>
    <row r="690">
      <c r="A690" s="14" t="inlineStr">
        <is>
          <t>L0685</t>
        </is>
      </c>
      <c r="B690" s="36" t="n">
        <v>47046</v>
      </c>
      <c r="C690" s="36" t="n">
        <v>47046</v>
      </c>
      <c r="D690" s="36" t="n"/>
      <c r="E690" s="14" t="inlineStr">
        <is>
          <t>Saída</t>
        </is>
      </c>
      <c r="F690" s="29" t="inlineStr">
        <is>
          <t>Despesas Financeiras</t>
        </is>
      </c>
      <c r="G690" s="29" t="inlineStr">
        <is>
          <t>Juros de Empréstimos e Financiamentos</t>
        </is>
      </c>
      <c r="H690" s="29" t="inlineStr">
        <is>
          <t>Diretoria</t>
        </is>
      </c>
      <c r="I690" s="29" t="inlineStr">
        <is>
          <t>Banco Santander</t>
        </is>
      </c>
      <c r="J690" s="29" t="inlineStr">
        <is>
          <t>Financiamento de Veículo — parcela 33/48 (juros)</t>
        </is>
      </c>
      <c r="K690" s="14" t="inlineStr">
        <is>
          <t>VEI-2026-0088-P33</t>
        </is>
      </c>
      <c r="L690" s="29" t="inlineStr">
        <is>
          <t>Itaú Unibanco — C/C 45678-9</t>
        </is>
      </c>
      <c r="M690" s="14" t="inlineStr">
        <is>
          <t>Débito automático</t>
        </is>
      </c>
      <c r="N690" s="29" t="n"/>
      <c r="O690" s="13" t="n">
        <v>33</v>
      </c>
      <c r="P690" s="13" t="n">
        <v>48</v>
      </c>
      <c r="Q690" s="35" t="n">
        <v>401.33</v>
      </c>
      <c r="R690" s="35" t="n"/>
      <c r="S690" s="35" t="n"/>
      <c r="T690" s="35" t="n"/>
      <c r="U690" s="35" t="n"/>
      <c r="V690" s="18">
        <f>IF(COUNTA($B690:$R690)=0,"",ROUND(N($R690)+N($S690)+N($T690)-N($U690),2))</f>
        <v/>
      </c>
      <c r="W690" s="18">
        <f>IF(COUNTA($B690:$R690)=0,"",IF(OR($X690="Pago",$X690="Recebido",$X690="Cancelado"),0,ROUND(N($Q690)+N($S690)+N($T690)-N($U690)-N($R690),2)))</f>
        <v/>
      </c>
      <c r="X690" s="14" t="inlineStr">
        <is>
          <t>Previsto</t>
        </is>
      </c>
      <c r="Y690" s="17">
        <f>IF(COUNTA($B690:$R690)=0,"",IF($X690="Cancelado","Cancelado",IF(OR($X690="Pago",$X690="Recebido"),$X690,IF(OR($X690="Parcial",N($R690)&gt;0),"Parcial",IF($C690="","Sem vencimento",IF($C690&lt;TODAY(),"Vencido",IF($C690=TODAY(),"Vence hoje",IF($C690&lt;=TODAY()+7,"Vence em 7 dias",IF($C690&lt;=TODAY()+30,"Vence em 30 dias","Futuro")))))))))</f>
        <v/>
      </c>
      <c r="Z690" s="24">
        <f>IF($B690="","",MONTH($B690))</f>
        <v/>
      </c>
      <c r="AA690" s="24">
        <f>IF($B690="","",YEAR($B690))</f>
        <v/>
      </c>
      <c r="AB690" s="24">
        <f>IF($B690="","",ISOWEEKNUM($B690))</f>
        <v/>
      </c>
      <c r="AC690" s="17">
        <f>IF($B690="","",CHOOSE(WEEKDAY($B690,2),"Segunda","Terça","Quarta","Quinta","Sexta","Sábado","Domingo"))</f>
        <v/>
      </c>
      <c r="AD690" s="17">
        <f>IF($B690="","",TEXT($B690,"MM/AAAA"))</f>
        <v/>
      </c>
      <c r="AE690" s="18">
        <f>IF(COUNTA($B690:$R690)=0,"",IF($X690="Cancelado",0,ROUND(N($Q690)+N($S690)+N($T690)-N($U690),2)))</f>
        <v/>
      </c>
      <c r="AF690" s="9">
        <f>IF($G690="","",IFERROR(INDEX(LINHAS_DRE_PLANO,MATCH($G690,SUBCATEGORIAS_PLANO,0)),"Não classificado"))</f>
        <v/>
      </c>
      <c r="AG690" s="17">
        <f>IF($G690="","",IFERROR(INDEX(TIPOS_FLUXO_PLANO,MATCH($G690,SUBCATEGORIAS_PLANO,0)),"Não classificado"))</f>
        <v/>
      </c>
      <c r="AH690" s="9">
        <f>IF($G690="","",IFERROR(INDEX(GRUPOS_PLANO,MATCH($G690,SUBCATEGORIAS_PLANO,0)),"Não classificado"))</f>
        <v/>
      </c>
      <c r="AI690" s="24">
        <f>IF(OR($C690="",$X690="Pago",$X690="Recebido",$X690="Cancelado"),"",$C690-TODAY())</f>
        <v/>
      </c>
      <c r="AJ690" s="24">
        <f>IF(OR($C690="",$X690="Pago",$X690="Recebido",$X690="Cancelado"),0,MAX(0,TODAY()-$C690))</f>
        <v/>
      </c>
      <c r="AK690" s="24">
        <f>IF($D690="","",$D690-$B690)</f>
        <v/>
      </c>
      <c r="AL690" s="18">
        <f>IF(OR($D690="",$B690=""),"",ROUND(N($R690)*($D690-$B690),2))</f>
        <v/>
      </c>
      <c r="AM690" s="17">
        <f>IF(AND($E690="Saída",$W690&gt;0,$C690&lt;&gt;""),$C690+ROW()/1000000,"")</f>
        <v/>
      </c>
      <c r="AN690" s="17">
        <f>IF(AND($E690="Entrada",$W690&gt;0,$C690&lt;&gt;""),$C690+ROW()/1000000,"")</f>
        <v/>
      </c>
      <c r="AO690" s="9">
        <f>IF(COUNTA($B690:$R690)=0,"",IF(AND($I690&lt;&gt;"",COUNTIF(CLIENTES_NOMES,$I690)+COUNTIF(CLIENTES_FANTASIA,$I690)+COUNTIF(FORNECEDORES_NOMES,$I690)+COUNTIF(FORNECEDORES_FANTASIA,$I690)=0),"⚠ Cliente/Fornecedor não cadastrado",IF(AND($G690&lt;&gt;"",COUNTIF(SUBCATEGORIAS_PLANO,$G690)=0),"⚠ Subcategoria fora do plano de contas",IF(OR($Q690="",N($Q690)=0),"⚠ Valor previsto não informado",IF(AND(OR($X690="Pago",$X690="Recebido"),$D690=""),"⚠ Status pago/recebido sem data",IF(AND($D690&lt;&gt;"",N($R690)=0),"⚠ Data de pagamento sem valor realizado",IF(AND(N($P690)&gt;1,N($O690)&gt;N($P690)),"⚠ Nº da parcela maior que o total",IF(AND($C690&lt;&gt;"",$B690&lt;&gt;"",$C690&lt;$B690),"⚠ Vencimento anterior à competência","OK"))))))))</f>
        <v/>
      </c>
    </row>
    <row r="691">
      <c r="A691" s="14" t="inlineStr">
        <is>
          <t>L0686</t>
        </is>
      </c>
      <c r="B691" s="36" t="n">
        <v>47072</v>
      </c>
      <c r="C691" s="36" t="n">
        <v>47072</v>
      </c>
      <c r="D691" s="36" t="n"/>
      <c r="E691" s="14" t="inlineStr">
        <is>
          <t>Saída</t>
        </is>
      </c>
      <c r="F691" s="29" t="inlineStr">
        <is>
          <t>Empréstimos e Financiamentos</t>
        </is>
      </c>
      <c r="G691" s="29" t="inlineStr">
        <is>
          <t>Pagamento de Principal de Empréstimos</t>
        </is>
      </c>
      <c r="H691" s="29" t="inlineStr">
        <is>
          <t>Financeiro</t>
        </is>
      </c>
      <c r="I691" s="29" t="inlineStr">
        <is>
          <t>BNDES / Banco do Brasil</t>
        </is>
      </c>
      <c r="J691" s="29" t="inlineStr">
        <is>
          <t>Financiamento de Máquinas — parcela 33/36 (principal)</t>
        </is>
      </c>
      <c r="K691" s="14" t="inlineStr">
        <is>
          <t>FIN-2026-1198-P33</t>
        </is>
      </c>
      <c r="L691" s="29" t="inlineStr">
        <is>
          <t>Banco do Brasil — C/C 12345-6</t>
        </is>
      </c>
      <c r="M691" s="14" t="inlineStr">
        <is>
          <t>Débito automático</t>
        </is>
      </c>
      <c r="N691" s="29" t="n"/>
      <c r="O691" s="13" t="n">
        <v>33</v>
      </c>
      <c r="P691" s="13" t="n">
        <v>36</v>
      </c>
      <c r="Q691" s="35" t="n">
        <v>3333.33</v>
      </c>
      <c r="R691" s="35" t="n"/>
      <c r="S691" s="35" t="n"/>
      <c r="T691" s="35" t="n"/>
      <c r="U691" s="35" t="n"/>
      <c r="V691" s="18">
        <f>IF(COUNTA($B691:$R691)=0,"",ROUND(N($R691)+N($S691)+N($T691)-N($U691),2))</f>
        <v/>
      </c>
      <c r="W691" s="18">
        <f>IF(COUNTA($B691:$R691)=0,"",IF(OR($X691="Pago",$X691="Recebido",$X691="Cancelado"),0,ROUND(N($Q691)+N($S691)+N($T691)-N($U691)-N($R691),2)))</f>
        <v/>
      </c>
      <c r="X691" s="14" t="inlineStr">
        <is>
          <t>Previsto</t>
        </is>
      </c>
      <c r="Y691" s="17">
        <f>IF(COUNTA($B691:$R691)=0,"",IF($X691="Cancelado","Cancelado",IF(OR($X691="Pago",$X691="Recebido"),$X691,IF(OR($X691="Parcial",N($R691)&gt;0),"Parcial",IF($C691="","Sem vencimento",IF($C691&lt;TODAY(),"Vencido",IF($C691=TODAY(),"Vence hoje",IF($C691&lt;=TODAY()+7,"Vence em 7 dias",IF($C691&lt;=TODAY()+30,"Vence em 30 dias","Futuro")))))))))</f>
        <v/>
      </c>
      <c r="Z691" s="24">
        <f>IF($B691="","",MONTH($B691))</f>
        <v/>
      </c>
      <c r="AA691" s="24">
        <f>IF($B691="","",YEAR($B691))</f>
        <v/>
      </c>
      <c r="AB691" s="24">
        <f>IF($B691="","",ISOWEEKNUM($B691))</f>
        <v/>
      </c>
      <c r="AC691" s="17">
        <f>IF($B691="","",CHOOSE(WEEKDAY($B691,2),"Segunda","Terça","Quarta","Quinta","Sexta","Sábado","Domingo"))</f>
        <v/>
      </c>
      <c r="AD691" s="17">
        <f>IF($B691="","",TEXT($B691,"MM/AAAA"))</f>
        <v/>
      </c>
      <c r="AE691" s="18">
        <f>IF(COUNTA($B691:$R691)=0,"",IF($X691="Cancelado",0,ROUND(N($Q691)+N($S691)+N($T691)-N($U691),2)))</f>
        <v/>
      </c>
      <c r="AF691" s="9">
        <f>IF($G691="","",IFERROR(INDEX(LINHAS_DRE_PLANO,MATCH($G691,SUBCATEGORIAS_PLANO,0)),"Não classificado"))</f>
        <v/>
      </c>
      <c r="AG691" s="17">
        <f>IF($G691="","",IFERROR(INDEX(TIPOS_FLUXO_PLANO,MATCH($G691,SUBCATEGORIAS_PLANO,0)),"Não classificado"))</f>
        <v/>
      </c>
      <c r="AH691" s="9">
        <f>IF($G691="","",IFERROR(INDEX(GRUPOS_PLANO,MATCH($G691,SUBCATEGORIAS_PLANO,0)),"Não classificado"))</f>
        <v/>
      </c>
      <c r="AI691" s="24">
        <f>IF(OR($C691="",$X691="Pago",$X691="Recebido",$X691="Cancelado"),"",$C691-TODAY())</f>
        <v/>
      </c>
      <c r="AJ691" s="24">
        <f>IF(OR($C691="",$X691="Pago",$X691="Recebido",$X691="Cancelado"),0,MAX(0,TODAY()-$C691))</f>
        <v/>
      </c>
      <c r="AK691" s="24">
        <f>IF($D691="","",$D691-$B691)</f>
        <v/>
      </c>
      <c r="AL691" s="18">
        <f>IF(OR($D691="",$B691=""),"",ROUND(N($R691)*($D691-$B691),2))</f>
        <v/>
      </c>
      <c r="AM691" s="17">
        <f>IF(AND($E691="Saída",$W691&gt;0,$C691&lt;&gt;""),$C691+ROW()/1000000,"")</f>
        <v/>
      </c>
      <c r="AN691" s="17">
        <f>IF(AND($E691="Entrada",$W691&gt;0,$C691&lt;&gt;""),$C691+ROW()/1000000,"")</f>
        <v/>
      </c>
      <c r="AO691" s="9">
        <f>IF(COUNTA($B691:$R691)=0,"",IF(AND($I691&lt;&gt;"",COUNTIF(CLIENTES_NOMES,$I691)+COUNTIF(CLIENTES_FANTASIA,$I691)+COUNTIF(FORNECEDORES_NOMES,$I691)+COUNTIF(FORNECEDORES_FANTASIA,$I691)=0),"⚠ Cliente/Fornecedor não cadastrado",IF(AND($G691&lt;&gt;"",COUNTIF(SUBCATEGORIAS_PLANO,$G691)=0),"⚠ Subcategoria fora do plano de contas",IF(OR($Q691="",N($Q691)=0),"⚠ Valor previsto não informado",IF(AND(OR($X691="Pago",$X691="Recebido"),$D691=""),"⚠ Status pago/recebido sem data",IF(AND($D691&lt;&gt;"",N($R691)=0),"⚠ Data de pagamento sem valor realizado",IF(AND(N($P691)&gt;1,N($O691)&gt;N($P691)),"⚠ Nº da parcela maior que o total",IF(AND($C691&lt;&gt;"",$B691&lt;&gt;"",$C691&lt;$B691),"⚠ Vencimento anterior à competência","OK"))))))))</f>
        <v/>
      </c>
    </row>
    <row r="692">
      <c r="A692" s="14" t="inlineStr">
        <is>
          <t>L0687</t>
        </is>
      </c>
      <c r="B692" s="36" t="n">
        <v>47072</v>
      </c>
      <c r="C692" s="36" t="n">
        <v>47072</v>
      </c>
      <c r="D692" s="36" t="n"/>
      <c r="E692" s="14" t="inlineStr">
        <is>
          <t>Saída</t>
        </is>
      </c>
      <c r="F692" s="29" t="inlineStr">
        <is>
          <t>Despesas Financeiras</t>
        </is>
      </c>
      <c r="G692" s="29" t="inlineStr">
        <is>
          <t>Juros de Empréstimos e Financiamentos</t>
        </is>
      </c>
      <c r="H692" s="29" t="inlineStr">
        <is>
          <t>Financeiro</t>
        </is>
      </c>
      <c r="I692" s="29" t="inlineStr">
        <is>
          <t>BNDES / Banco do Brasil</t>
        </is>
      </c>
      <c r="J692" s="29" t="inlineStr">
        <is>
          <t>Financiamento de Máquinas — parcela 33/36 (juros)</t>
        </is>
      </c>
      <c r="K692" s="14" t="inlineStr">
        <is>
          <t>FIN-2026-1198-P33</t>
        </is>
      </c>
      <c r="L692" s="29" t="inlineStr">
        <is>
          <t>Banco do Brasil — C/C 12345-6</t>
        </is>
      </c>
      <c r="M692" s="14" t="inlineStr">
        <is>
          <t>Débito automático</t>
        </is>
      </c>
      <c r="N692" s="29" t="n"/>
      <c r="O692" s="13" t="n">
        <v>33</v>
      </c>
      <c r="P692" s="13" t="n">
        <v>36</v>
      </c>
      <c r="Q692" s="35" t="n">
        <v>146.67</v>
      </c>
      <c r="R692" s="35" t="n"/>
      <c r="S692" s="35" t="n"/>
      <c r="T692" s="35" t="n"/>
      <c r="U692" s="35" t="n"/>
      <c r="V692" s="18">
        <f>IF(COUNTA($B692:$R692)=0,"",ROUND(N($R692)+N($S692)+N($T692)-N($U692),2))</f>
        <v/>
      </c>
      <c r="W692" s="18">
        <f>IF(COUNTA($B692:$R692)=0,"",IF(OR($X692="Pago",$X692="Recebido",$X692="Cancelado"),0,ROUND(N($Q692)+N($S692)+N($T692)-N($U692)-N($R692),2)))</f>
        <v/>
      </c>
      <c r="X692" s="14" t="inlineStr">
        <is>
          <t>Previsto</t>
        </is>
      </c>
      <c r="Y692" s="17">
        <f>IF(COUNTA($B692:$R692)=0,"",IF($X692="Cancelado","Cancelado",IF(OR($X692="Pago",$X692="Recebido"),$X692,IF(OR($X692="Parcial",N($R692)&gt;0),"Parcial",IF($C692="","Sem vencimento",IF($C692&lt;TODAY(),"Vencido",IF($C692=TODAY(),"Vence hoje",IF($C692&lt;=TODAY()+7,"Vence em 7 dias",IF($C692&lt;=TODAY()+30,"Vence em 30 dias","Futuro")))))))))</f>
        <v/>
      </c>
      <c r="Z692" s="24">
        <f>IF($B692="","",MONTH($B692))</f>
        <v/>
      </c>
      <c r="AA692" s="24">
        <f>IF($B692="","",YEAR($B692))</f>
        <v/>
      </c>
      <c r="AB692" s="24">
        <f>IF($B692="","",ISOWEEKNUM($B692))</f>
        <v/>
      </c>
      <c r="AC692" s="17">
        <f>IF($B692="","",CHOOSE(WEEKDAY($B692,2),"Segunda","Terça","Quarta","Quinta","Sexta","Sábado","Domingo"))</f>
        <v/>
      </c>
      <c r="AD692" s="17">
        <f>IF($B692="","",TEXT($B692,"MM/AAAA"))</f>
        <v/>
      </c>
      <c r="AE692" s="18">
        <f>IF(COUNTA($B692:$R692)=0,"",IF($X692="Cancelado",0,ROUND(N($Q692)+N($S692)+N($T692)-N($U692),2)))</f>
        <v/>
      </c>
      <c r="AF692" s="9">
        <f>IF($G692="","",IFERROR(INDEX(LINHAS_DRE_PLANO,MATCH($G692,SUBCATEGORIAS_PLANO,0)),"Não classificado"))</f>
        <v/>
      </c>
      <c r="AG692" s="17">
        <f>IF($G692="","",IFERROR(INDEX(TIPOS_FLUXO_PLANO,MATCH($G692,SUBCATEGORIAS_PLANO,0)),"Não classificado"))</f>
        <v/>
      </c>
      <c r="AH692" s="9">
        <f>IF($G692="","",IFERROR(INDEX(GRUPOS_PLANO,MATCH($G692,SUBCATEGORIAS_PLANO,0)),"Não classificado"))</f>
        <v/>
      </c>
      <c r="AI692" s="24">
        <f>IF(OR($C692="",$X692="Pago",$X692="Recebido",$X692="Cancelado"),"",$C692-TODAY())</f>
        <v/>
      </c>
      <c r="AJ692" s="24">
        <f>IF(OR($C692="",$X692="Pago",$X692="Recebido",$X692="Cancelado"),0,MAX(0,TODAY()-$C692))</f>
        <v/>
      </c>
      <c r="AK692" s="24">
        <f>IF($D692="","",$D692-$B692)</f>
        <v/>
      </c>
      <c r="AL692" s="18">
        <f>IF(OR($D692="",$B692=""),"",ROUND(N($R692)*($D692-$B692),2))</f>
        <v/>
      </c>
      <c r="AM692" s="17">
        <f>IF(AND($E692="Saída",$W692&gt;0,$C692&lt;&gt;""),$C692+ROW()/1000000,"")</f>
        <v/>
      </c>
      <c r="AN692" s="17">
        <f>IF(AND($E692="Entrada",$W692&gt;0,$C692&lt;&gt;""),$C692+ROW()/1000000,"")</f>
        <v/>
      </c>
      <c r="AO692" s="9">
        <f>IF(COUNTA($B692:$R692)=0,"",IF(AND($I692&lt;&gt;"",COUNTIF(CLIENTES_NOMES,$I692)+COUNTIF(CLIENTES_FANTASIA,$I692)+COUNTIF(FORNECEDORES_NOMES,$I692)+COUNTIF(FORNECEDORES_FANTASIA,$I692)=0),"⚠ Cliente/Fornecedor não cadastrado",IF(AND($G692&lt;&gt;"",COUNTIF(SUBCATEGORIAS_PLANO,$G692)=0),"⚠ Subcategoria fora do plano de contas",IF(OR($Q692="",N($Q692)=0),"⚠ Valor previsto não informado",IF(AND(OR($X692="Pago",$X692="Recebido"),$D692=""),"⚠ Status pago/recebido sem data",IF(AND($D692&lt;&gt;"",N($R692)=0),"⚠ Data de pagamento sem valor realizado",IF(AND(N($P692)&gt;1,N($O692)&gt;N($P692)),"⚠ Nº da parcela maior que o total",IF(AND($C692&lt;&gt;"",$B692&lt;&gt;"",$C692&lt;$B692),"⚠ Vencimento anterior à competência","OK"))))))))</f>
        <v/>
      </c>
    </row>
    <row r="693">
      <c r="A693" s="14" t="inlineStr">
        <is>
          <t>L0688</t>
        </is>
      </c>
      <c r="B693" s="36" t="n">
        <v>47077</v>
      </c>
      <c r="C693" s="36" t="n">
        <v>47077</v>
      </c>
      <c r="D693" s="36" t="n"/>
      <c r="E693" s="14" t="inlineStr">
        <is>
          <t>Saída</t>
        </is>
      </c>
      <c r="F693" s="29" t="inlineStr">
        <is>
          <t>Empréstimos e Financiamentos</t>
        </is>
      </c>
      <c r="G693" s="29" t="inlineStr">
        <is>
          <t>Pagamento de Principal de Empréstimos</t>
        </is>
      </c>
      <c r="H693" s="29" t="inlineStr">
        <is>
          <t>Diretoria</t>
        </is>
      </c>
      <c r="I693" s="29" t="inlineStr">
        <is>
          <t>Banco Santander</t>
        </is>
      </c>
      <c r="J693" s="29" t="inlineStr">
        <is>
          <t>Financiamento de Veículo — parcela 34/48 (principal)</t>
        </is>
      </c>
      <c r="K693" s="14" t="inlineStr">
        <is>
          <t>VEI-2026-0088-P34</t>
        </is>
      </c>
      <c r="L693" s="29" t="inlineStr">
        <is>
          <t>Itaú Unibanco — C/C 45678-9</t>
        </is>
      </c>
      <c r="M693" s="14" t="inlineStr">
        <is>
          <t>Débito automático</t>
        </is>
      </c>
      <c r="N693" s="29" t="n"/>
      <c r="O693" s="13" t="n">
        <v>34</v>
      </c>
      <c r="P693" s="13" t="n">
        <v>48</v>
      </c>
      <c r="Q693" s="35" t="n">
        <v>1847.95</v>
      </c>
      <c r="R693" s="35" t="n"/>
      <c r="S693" s="35" t="n"/>
      <c r="T693" s="35" t="n"/>
      <c r="U693" s="35" t="n"/>
      <c r="V693" s="18">
        <f>IF(COUNTA($B693:$R693)=0,"",ROUND(N($R693)+N($S693)+N($T693)-N($U693),2))</f>
        <v/>
      </c>
      <c r="W693" s="18">
        <f>IF(COUNTA($B693:$R693)=0,"",IF(OR($X693="Pago",$X693="Recebido",$X693="Cancelado"),0,ROUND(N($Q693)+N($S693)+N($T693)-N($U693)-N($R693),2)))</f>
        <v/>
      </c>
      <c r="X693" s="14" t="inlineStr">
        <is>
          <t>Previsto</t>
        </is>
      </c>
      <c r="Y693" s="17">
        <f>IF(COUNTA($B693:$R693)=0,"",IF($X693="Cancelado","Cancelado",IF(OR($X693="Pago",$X693="Recebido"),$X693,IF(OR($X693="Parcial",N($R693)&gt;0),"Parcial",IF($C693="","Sem vencimento",IF($C693&lt;TODAY(),"Vencido",IF($C693=TODAY(),"Vence hoje",IF($C693&lt;=TODAY()+7,"Vence em 7 dias",IF($C693&lt;=TODAY()+30,"Vence em 30 dias","Futuro")))))))))</f>
        <v/>
      </c>
      <c r="Z693" s="24">
        <f>IF($B693="","",MONTH($B693))</f>
        <v/>
      </c>
      <c r="AA693" s="24">
        <f>IF($B693="","",YEAR($B693))</f>
        <v/>
      </c>
      <c r="AB693" s="24">
        <f>IF($B693="","",ISOWEEKNUM($B693))</f>
        <v/>
      </c>
      <c r="AC693" s="17">
        <f>IF($B693="","",CHOOSE(WEEKDAY($B693,2),"Segunda","Terça","Quarta","Quinta","Sexta","Sábado","Domingo"))</f>
        <v/>
      </c>
      <c r="AD693" s="17">
        <f>IF($B693="","",TEXT($B693,"MM/AAAA"))</f>
        <v/>
      </c>
      <c r="AE693" s="18">
        <f>IF(COUNTA($B693:$R693)=0,"",IF($X693="Cancelado",0,ROUND(N($Q693)+N($S693)+N($T693)-N($U693),2)))</f>
        <v/>
      </c>
      <c r="AF693" s="9">
        <f>IF($G693="","",IFERROR(INDEX(LINHAS_DRE_PLANO,MATCH($G693,SUBCATEGORIAS_PLANO,0)),"Não classificado"))</f>
        <v/>
      </c>
      <c r="AG693" s="17">
        <f>IF($G693="","",IFERROR(INDEX(TIPOS_FLUXO_PLANO,MATCH($G693,SUBCATEGORIAS_PLANO,0)),"Não classificado"))</f>
        <v/>
      </c>
      <c r="AH693" s="9">
        <f>IF($G693="","",IFERROR(INDEX(GRUPOS_PLANO,MATCH($G693,SUBCATEGORIAS_PLANO,0)),"Não classificado"))</f>
        <v/>
      </c>
      <c r="AI693" s="24">
        <f>IF(OR($C693="",$X693="Pago",$X693="Recebido",$X693="Cancelado"),"",$C693-TODAY())</f>
        <v/>
      </c>
      <c r="AJ693" s="24">
        <f>IF(OR($C693="",$X693="Pago",$X693="Recebido",$X693="Cancelado"),0,MAX(0,TODAY()-$C693))</f>
        <v/>
      </c>
      <c r="AK693" s="24">
        <f>IF($D693="","",$D693-$B693)</f>
        <v/>
      </c>
      <c r="AL693" s="18">
        <f>IF(OR($D693="",$B693=""),"",ROUND(N($R693)*($D693-$B693),2))</f>
        <v/>
      </c>
      <c r="AM693" s="17">
        <f>IF(AND($E693="Saída",$W693&gt;0,$C693&lt;&gt;""),$C693+ROW()/1000000,"")</f>
        <v/>
      </c>
      <c r="AN693" s="17">
        <f>IF(AND($E693="Entrada",$W693&gt;0,$C693&lt;&gt;""),$C693+ROW()/1000000,"")</f>
        <v/>
      </c>
      <c r="AO693" s="9">
        <f>IF(COUNTA($B693:$R693)=0,"",IF(AND($I693&lt;&gt;"",COUNTIF(CLIENTES_NOMES,$I693)+COUNTIF(CLIENTES_FANTASIA,$I693)+COUNTIF(FORNECEDORES_NOMES,$I693)+COUNTIF(FORNECEDORES_FANTASIA,$I693)=0),"⚠ Cliente/Fornecedor não cadastrado",IF(AND($G693&lt;&gt;"",COUNTIF(SUBCATEGORIAS_PLANO,$G693)=0),"⚠ Subcategoria fora do plano de contas",IF(OR($Q693="",N($Q693)=0),"⚠ Valor previsto não informado",IF(AND(OR($X693="Pago",$X693="Recebido"),$D693=""),"⚠ Status pago/recebido sem data",IF(AND($D693&lt;&gt;"",N($R693)=0),"⚠ Data de pagamento sem valor realizado",IF(AND(N($P693)&gt;1,N($O693)&gt;N($P693)),"⚠ Nº da parcela maior que o total",IF(AND($C693&lt;&gt;"",$B693&lt;&gt;"",$C693&lt;$B693),"⚠ Vencimento anterior à competência","OK"))))))))</f>
        <v/>
      </c>
    </row>
    <row r="694">
      <c r="A694" s="14" t="inlineStr">
        <is>
          <t>L0689</t>
        </is>
      </c>
      <c r="B694" s="36" t="n">
        <v>47077</v>
      </c>
      <c r="C694" s="36" t="n">
        <v>47077</v>
      </c>
      <c r="D694" s="36" t="n"/>
      <c r="E694" s="14" t="inlineStr">
        <is>
          <t>Saída</t>
        </is>
      </c>
      <c r="F694" s="29" t="inlineStr">
        <is>
          <t>Despesas Financeiras</t>
        </is>
      </c>
      <c r="G694" s="29" t="inlineStr">
        <is>
          <t>Juros de Empréstimos e Financiamentos</t>
        </is>
      </c>
      <c r="H694" s="29" t="inlineStr">
        <is>
          <t>Diretoria</t>
        </is>
      </c>
      <c r="I694" s="29" t="inlineStr">
        <is>
          <t>Banco Santander</t>
        </is>
      </c>
      <c r="J694" s="29" t="inlineStr">
        <is>
          <t>Financiamento de Veículo — parcela 34/48 (juros)</t>
        </is>
      </c>
      <c r="K694" s="14" t="inlineStr">
        <is>
          <t>VEI-2026-0088-P34</t>
        </is>
      </c>
      <c r="L694" s="29" t="inlineStr">
        <is>
          <t>Itaú Unibanco — C/C 45678-9</t>
        </is>
      </c>
      <c r="M694" s="14" t="inlineStr">
        <is>
          <t>Débito automático</t>
        </is>
      </c>
      <c r="N694" s="29" t="n"/>
      <c r="O694" s="13" t="n">
        <v>34</v>
      </c>
      <c r="P694" s="13" t="n">
        <v>48</v>
      </c>
      <c r="Q694" s="35" t="n">
        <v>378.51</v>
      </c>
      <c r="R694" s="35" t="n"/>
      <c r="S694" s="35" t="n"/>
      <c r="T694" s="35" t="n"/>
      <c r="U694" s="35" t="n"/>
      <c r="V694" s="18">
        <f>IF(COUNTA($B694:$R694)=0,"",ROUND(N($R694)+N($S694)+N($T694)-N($U694),2))</f>
        <v/>
      </c>
      <c r="W694" s="18">
        <f>IF(COUNTA($B694:$R694)=0,"",IF(OR($X694="Pago",$X694="Recebido",$X694="Cancelado"),0,ROUND(N($Q694)+N($S694)+N($T694)-N($U694)-N($R694),2)))</f>
        <v/>
      </c>
      <c r="X694" s="14" t="inlineStr">
        <is>
          <t>Previsto</t>
        </is>
      </c>
      <c r="Y694" s="17">
        <f>IF(COUNTA($B694:$R694)=0,"",IF($X694="Cancelado","Cancelado",IF(OR($X694="Pago",$X694="Recebido"),$X694,IF(OR($X694="Parcial",N($R694)&gt;0),"Parcial",IF($C694="","Sem vencimento",IF($C694&lt;TODAY(),"Vencido",IF($C694=TODAY(),"Vence hoje",IF($C694&lt;=TODAY()+7,"Vence em 7 dias",IF($C694&lt;=TODAY()+30,"Vence em 30 dias","Futuro")))))))))</f>
        <v/>
      </c>
      <c r="Z694" s="24">
        <f>IF($B694="","",MONTH($B694))</f>
        <v/>
      </c>
      <c r="AA694" s="24">
        <f>IF($B694="","",YEAR($B694))</f>
        <v/>
      </c>
      <c r="AB694" s="24">
        <f>IF($B694="","",ISOWEEKNUM($B694))</f>
        <v/>
      </c>
      <c r="AC694" s="17">
        <f>IF($B694="","",CHOOSE(WEEKDAY($B694,2),"Segunda","Terça","Quarta","Quinta","Sexta","Sábado","Domingo"))</f>
        <v/>
      </c>
      <c r="AD694" s="17">
        <f>IF($B694="","",TEXT($B694,"MM/AAAA"))</f>
        <v/>
      </c>
      <c r="AE694" s="18">
        <f>IF(COUNTA($B694:$R694)=0,"",IF($X694="Cancelado",0,ROUND(N($Q694)+N($S694)+N($T694)-N($U694),2)))</f>
        <v/>
      </c>
      <c r="AF694" s="9">
        <f>IF($G694="","",IFERROR(INDEX(LINHAS_DRE_PLANO,MATCH($G694,SUBCATEGORIAS_PLANO,0)),"Não classificado"))</f>
        <v/>
      </c>
      <c r="AG694" s="17">
        <f>IF($G694="","",IFERROR(INDEX(TIPOS_FLUXO_PLANO,MATCH($G694,SUBCATEGORIAS_PLANO,0)),"Não classificado"))</f>
        <v/>
      </c>
      <c r="AH694" s="9">
        <f>IF($G694="","",IFERROR(INDEX(GRUPOS_PLANO,MATCH($G694,SUBCATEGORIAS_PLANO,0)),"Não classificado"))</f>
        <v/>
      </c>
      <c r="AI694" s="24">
        <f>IF(OR($C694="",$X694="Pago",$X694="Recebido",$X694="Cancelado"),"",$C694-TODAY())</f>
        <v/>
      </c>
      <c r="AJ694" s="24">
        <f>IF(OR($C694="",$X694="Pago",$X694="Recebido",$X694="Cancelado"),0,MAX(0,TODAY()-$C694))</f>
        <v/>
      </c>
      <c r="AK694" s="24">
        <f>IF($D694="","",$D694-$B694)</f>
        <v/>
      </c>
      <c r="AL694" s="18">
        <f>IF(OR($D694="",$B694=""),"",ROUND(N($R694)*($D694-$B694),2))</f>
        <v/>
      </c>
      <c r="AM694" s="17">
        <f>IF(AND($E694="Saída",$W694&gt;0,$C694&lt;&gt;""),$C694+ROW()/1000000,"")</f>
        <v/>
      </c>
      <c r="AN694" s="17">
        <f>IF(AND($E694="Entrada",$W694&gt;0,$C694&lt;&gt;""),$C694+ROW()/1000000,"")</f>
        <v/>
      </c>
      <c r="AO694" s="9">
        <f>IF(COUNTA($B694:$R694)=0,"",IF(AND($I694&lt;&gt;"",COUNTIF(CLIENTES_NOMES,$I694)+COUNTIF(CLIENTES_FANTASIA,$I694)+COUNTIF(FORNECEDORES_NOMES,$I694)+COUNTIF(FORNECEDORES_FANTASIA,$I694)=0),"⚠ Cliente/Fornecedor não cadastrado",IF(AND($G694&lt;&gt;"",COUNTIF(SUBCATEGORIAS_PLANO,$G694)=0),"⚠ Subcategoria fora do plano de contas",IF(OR($Q694="",N($Q694)=0),"⚠ Valor previsto não informado",IF(AND(OR($X694="Pago",$X694="Recebido"),$D694=""),"⚠ Status pago/recebido sem data",IF(AND($D694&lt;&gt;"",N($R694)=0),"⚠ Data de pagamento sem valor realizado",IF(AND(N($P694)&gt;1,N($O694)&gt;N($P694)),"⚠ Nº da parcela maior que o total",IF(AND($C694&lt;&gt;"",$B694&lt;&gt;"",$C694&lt;$B694),"⚠ Vencimento anterior à competência","OK"))))))))</f>
        <v/>
      </c>
    </row>
    <row r="695">
      <c r="A695" s="14" t="inlineStr">
        <is>
          <t>L0690</t>
        </is>
      </c>
      <c r="B695" s="36" t="n">
        <v>47102</v>
      </c>
      <c r="C695" s="36" t="n">
        <v>47102</v>
      </c>
      <c r="D695" s="36" t="n"/>
      <c r="E695" s="14" t="inlineStr">
        <is>
          <t>Saída</t>
        </is>
      </c>
      <c r="F695" s="29" t="inlineStr">
        <is>
          <t>Empréstimos e Financiamentos</t>
        </is>
      </c>
      <c r="G695" s="29" t="inlineStr">
        <is>
          <t>Pagamento de Principal de Empréstimos</t>
        </is>
      </c>
      <c r="H695" s="29" t="inlineStr">
        <is>
          <t>Financeiro</t>
        </is>
      </c>
      <c r="I695" s="29" t="inlineStr">
        <is>
          <t>BNDES / Banco do Brasil</t>
        </is>
      </c>
      <c r="J695" s="29" t="inlineStr">
        <is>
          <t>Financiamento de Máquinas — parcela 34/36 (principal)</t>
        </is>
      </c>
      <c r="K695" s="14" t="inlineStr">
        <is>
          <t>FIN-2026-1198-P34</t>
        </is>
      </c>
      <c r="L695" s="29" t="inlineStr">
        <is>
          <t>Banco do Brasil — C/C 12345-6</t>
        </is>
      </c>
      <c r="M695" s="14" t="inlineStr">
        <is>
          <t>Débito automático</t>
        </is>
      </c>
      <c r="N695" s="29" t="n"/>
      <c r="O695" s="13" t="n">
        <v>34</v>
      </c>
      <c r="P695" s="13" t="n">
        <v>36</v>
      </c>
      <c r="Q695" s="35" t="n">
        <v>3333.33</v>
      </c>
      <c r="R695" s="35" t="n"/>
      <c r="S695" s="35" t="n"/>
      <c r="T695" s="35" t="n"/>
      <c r="U695" s="35" t="n"/>
      <c r="V695" s="18">
        <f>IF(COUNTA($B695:$R695)=0,"",ROUND(N($R695)+N($S695)+N($T695)-N($U695),2))</f>
        <v/>
      </c>
      <c r="W695" s="18">
        <f>IF(COUNTA($B695:$R695)=0,"",IF(OR($X695="Pago",$X695="Recebido",$X695="Cancelado"),0,ROUND(N($Q695)+N($S695)+N($T695)-N($U695)-N($R695),2)))</f>
        <v/>
      </c>
      <c r="X695" s="14" t="inlineStr">
        <is>
          <t>Previsto</t>
        </is>
      </c>
      <c r="Y695" s="17">
        <f>IF(COUNTA($B695:$R695)=0,"",IF($X695="Cancelado","Cancelado",IF(OR($X695="Pago",$X695="Recebido"),$X695,IF(OR($X695="Parcial",N($R695)&gt;0),"Parcial",IF($C695="","Sem vencimento",IF($C695&lt;TODAY(),"Vencido",IF($C695=TODAY(),"Vence hoje",IF($C695&lt;=TODAY()+7,"Vence em 7 dias",IF($C695&lt;=TODAY()+30,"Vence em 30 dias","Futuro")))))))))</f>
        <v/>
      </c>
      <c r="Z695" s="24">
        <f>IF($B695="","",MONTH($B695))</f>
        <v/>
      </c>
      <c r="AA695" s="24">
        <f>IF($B695="","",YEAR($B695))</f>
        <v/>
      </c>
      <c r="AB695" s="24">
        <f>IF($B695="","",ISOWEEKNUM($B695))</f>
        <v/>
      </c>
      <c r="AC695" s="17">
        <f>IF($B695="","",CHOOSE(WEEKDAY($B695,2),"Segunda","Terça","Quarta","Quinta","Sexta","Sábado","Domingo"))</f>
        <v/>
      </c>
      <c r="AD695" s="17">
        <f>IF($B695="","",TEXT($B695,"MM/AAAA"))</f>
        <v/>
      </c>
      <c r="AE695" s="18">
        <f>IF(COUNTA($B695:$R695)=0,"",IF($X695="Cancelado",0,ROUND(N($Q695)+N($S695)+N($T695)-N($U695),2)))</f>
        <v/>
      </c>
      <c r="AF695" s="9">
        <f>IF($G695="","",IFERROR(INDEX(LINHAS_DRE_PLANO,MATCH($G695,SUBCATEGORIAS_PLANO,0)),"Não classificado"))</f>
        <v/>
      </c>
      <c r="AG695" s="17">
        <f>IF($G695="","",IFERROR(INDEX(TIPOS_FLUXO_PLANO,MATCH($G695,SUBCATEGORIAS_PLANO,0)),"Não classificado"))</f>
        <v/>
      </c>
      <c r="AH695" s="9">
        <f>IF($G695="","",IFERROR(INDEX(GRUPOS_PLANO,MATCH($G695,SUBCATEGORIAS_PLANO,0)),"Não classificado"))</f>
        <v/>
      </c>
      <c r="AI695" s="24">
        <f>IF(OR($C695="",$X695="Pago",$X695="Recebido",$X695="Cancelado"),"",$C695-TODAY())</f>
        <v/>
      </c>
      <c r="AJ695" s="24">
        <f>IF(OR($C695="",$X695="Pago",$X695="Recebido",$X695="Cancelado"),0,MAX(0,TODAY()-$C695))</f>
        <v/>
      </c>
      <c r="AK695" s="24">
        <f>IF($D695="","",$D695-$B695)</f>
        <v/>
      </c>
      <c r="AL695" s="18">
        <f>IF(OR($D695="",$B695=""),"",ROUND(N($R695)*($D695-$B695),2))</f>
        <v/>
      </c>
      <c r="AM695" s="17">
        <f>IF(AND($E695="Saída",$W695&gt;0,$C695&lt;&gt;""),$C695+ROW()/1000000,"")</f>
        <v/>
      </c>
      <c r="AN695" s="17">
        <f>IF(AND($E695="Entrada",$W695&gt;0,$C695&lt;&gt;""),$C695+ROW()/1000000,"")</f>
        <v/>
      </c>
      <c r="AO695" s="9">
        <f>IF(COUNTA($B695:$R695)=0,"",IF(AND($I695&lt;&gt;"",COUNTIF(CLIENTES_NOMES,$I695)+COUNTIF(CLIENTES_FANTASIA,$I695)+COUNTIF(FORNECEDORES_NOMES,$I695)+COUNTIF(FORNECEDORES_FANTASIA,$I695)=0),"⚠ Cliente/Fornecedor não cadastrado",IF(AND($G695&lt;&gt;"",COUNTIF(SUBCATEGORIAS_PLANO,$G695)=0),"⚠ Subcategoria fora do plano de contas",IF(OR($Q695="",N($Q695)=0),"⚠ Valor previsto não informado",IF(AND(OR($X695="Pago",$X695="Recebido"),$D695=""),"⚠ Status pago/recebido sem data",IF(AND($D695&lt;&gt;"",N($R695)=0),"⚠ Data de pagamento sem valor realizado",IF(AND(N($P695)&gt;1,N($O695)&gt;N($P695)),"⚠ Nº da parcela maior que o total",IF(AND($C695&lt;&gt;"",$B695&lt;&gt;"",$C695&lt;$B695),"⚠ Vencimento anterior à competência","OK"))))))))</f>
        <v/>
      </c>
    </row>
    <row r="696">
      <c r="A696" s="14" t="inlineStr">
        <is>
          <t>L0691</t>
        </is>
      </c>
      <c r="B696" s="36" t="n">
        <v>47102</v>
      </c>
      <c r="C696" s="36" t="n">
        <v>47102</v>
      </c>
      <c r="D696" s="36" t="n"/>
      <c r="E696" s="14" t="inlineStr">
        <is>
          <t>Saída</t>
        </is>
      </c>
      <c r="F696" s="29" t="inlineStr">
        <is>
          <t>Despesas Financeiras</t>
        </is>
      </c>
      <c r="G696" s="29" t="inlineStr">
        <is>
          <t>Juros de Empréstimos e Financiamentos</t>
        </is>
      </c>
      <c r="H696" s="29" t="inlineStr">
        <is>
          <t>Financeiro</t>
        </is>
      </c>
      <c r="I696" s="29" t="inlineStr">
        <is>
          <t>BNDES / Banco do Brasil</t>
        </is>
      </c>
      <c r="J696" s="29" t="inlineStr">
        <is>
          <t>Financiamento de Máquinas — parcela 34/36 (juros)</t>
        </is>
      </c>
      <c r="K696" s="14" t="inlineStr">
        <is>
          <t>FIN-2026-1198-P34</t>
        </is>
      </c>
      <c r="L696" s="29" t="inlineStr">
        <is>
          <t>Banco do Brasil — C/C 12345-6</t>
        </is>
      </c>
      <c r="M696" s="14" t="inlineStr">
        <is>
          <t>Débito automático</t>
        </is>
      </c>
      <c r="N696" s="29" t="n"/>
      <c r="O696" s="13" t="n">
        <v>34</v>
      </c>
      <c r="P696" s="13" t="n">
        <v>36</v>
      </c>
      <c r="Q696" s="35" t="n">
        <v>110</v>
      </c>
      <c r="R696" s="35" t="n"/>
      <c r="S696" s="35" t="n"/>
      <c r="T696" s="35" t="n"/>
      <c r="U696" s="35" t="n"/>
      <c r="V696" s="18">
        <f>IF(COUNTA($B696:$R696)=0,"",ROUND(N($R696)+N($S696)+N($T696)-N($U696),2))</f>
        <v/>
      </c>
      <c r="W696" s="18">
        <f>IF(COUNTA($B696:$R696)=0,"",IF(OR($X696="Pago",$X696="Recebido",$X696="Cancelado"),0,ROUND(N($Q696)+N($S696)+N($T696)-N($U696)-N($R696),2)))</f>
        <v/>
      </c>
      <c r="X696" s="14" t="inlineStr">
        <is>
          <t>Previsto</t>
        </is>
      </c>
      <c r="Y696" s="17">
        <f>IF(COUNTA($B696:$R696)=0,"",IF($X696="Cancelado","Cancelado",IF(OR($X696="Pago",$X696="Recebido"),$X696,IF(OR($X696="Parcial",N($R696)&gt;0),"Parcial",IF($C696="","Sem vencimento",IF($C696&lt;TODAY(),"Vencido",IF($C696=TODAY(),"Vence hoje",IF($C696&lt;=TODAY()+7,"Vence em 7 dias",IF($C696&lt;=TODAY()+30,"Vence em 30 dias","Futuro")))))))))</f>
        <v/>
      </c>
      <c r="Z696" s="24">
        <f>IF($B696="","",MONTH($B696))</f>
        <v/>
      </c>
      <c r="AA696" s="24">
        <f>IF($B696="","",YEAR($B696))</f>
        <v/>
      </c>
      <c r="AB696" s="24">
        <f>IF($B696="","",ISOWEEKNUM($B696))</f>
        <v/>
      </c>
      <c r="AC696" s="17">
        <f>IF($B696="","",CHOOSE(WEEKDAY($B696,2),"Segunda","Terça","Quarta","Quinta","Sexta","Sábado","Domingo"))</f>
        <v/>
      </c>
      <c r="AD696" s="17">
        <f>IF($B696="","",TEXT($B696,"MM/AAAA"))</f>
        <v/>
      </c>
      <c r="AE696" s="18">
        <f>IF(COUNTA($B696:$R696)=0,"",IF($X696="Cancelado",0,ROUND(N($Q696)+N($S696)+N($T696)-N($U696),2)))</f>
        <v/>
      </c>
      <c r="AF696" s="9">
        <f>IF($G696="","",IFERROR(INDEX(LINHAS_DRE_PLANO,MATCH($G696,SUBCATEGORIAS_PLANO,0)),"Não classificado"))</f>
        <v/>
      </c>
      <c r="AG696" s="17">
        <f>IF($G696="","",IFERROR(INDEX(TIPOS_FLUXO_PLANO,MATCH($G696,SUBCATEGORIAS_PLANO,0)),"Não classificado"))</f>
        <v/>
      </c>
      <c r="AH696" s="9">
        <f>IF($G696="","",IFERROR(INDEX(GRUPOS_PLANO,MATCH($G696,SUBCATEGORIAS_PLANO,0)),"Não classificado"))</f>
        <v/>
      </c>
      <c r="AI696" s="24">
        <f>IF(OR($C696="",$X696="Pago",$X696="Recebido",$X696="Cancelado"),"",$C696-TODAY())</f>
        <v/>
      </c>
      <c r="AJ696" s="24">
        <f>IF(OR($C696="",$X696="Pago",$X696="Recebido",$X696="Cancelado"),0,MAX(0,TODAY()-$C696))</f>
        <v/>
      </c>
      <c r="AK696" s="24">
        <f>IF($D696="","",$D696-$B696)</f>
        <v/>
      </c>
      <c r="AL696" s="18">
        <f>IF(OR($D696="",$B696=""),"",ROUND(N($R696)*($D696-$B696),2))</f>
        <v/>
      </c>
      <c r="AM696" s="17">
        <f>IF(AND($E696="Saída",$W696&gt;0,$C696&lt;&gt;""),$C696+ROW()/1000000,"")</f>
        <v/>
      </c>
      <c r="AN696" s="17">
        <f>IF(AND($E696="Entrada",$W696&gt;0,$C696&lt;&gt;""),$C696+ROW()/1000000,"")</f>
        <v/>
      </c>
      <c r="AO696" s="9">
        <f>IF(COUNTA($B696:$R696)=0,"",IF(AND($I696&lt;&gt;"",COUNTIF(CLIENTES_NOMES,$I696)+COUNTIF(CLIENTES_FANTASIA,$I696)+COUNTIF(FORNECEDORES_NOMES,$I696)+COUNTIF(FORNECEDORES_FANTASIA,$I696)=0),"⚠ Cliente/Fornecedor não cadastrado",IF(AND($G696&lt;&gt;"",COUNTIF(SUBCATEGORIAS_PLANO,$G696)=0),"⚠ Subcategoria fora do plano de contas",IF(OR($Q696="",N($Q696)=0),"⚠ Valor previsto não informado",IF(AND(OR($X696="Pago",$X696="Recebido"),$D696=""),"⚠ Status pago/recebido sem data",IF(AND($D696&lt;&gt;"",N($R696)=0),"⚠ Data de pagamento sem valor realizado",IF(AND(N($P696)&gt;1,N($O696)&gt;N($P696)),"⚠ Nº da parcela maior que o total",IF(AND($C696&lt;&gt;"",$B696&lt;&gt;"",$C696&lt;$B696),"⚠ Vencimento anterior à competência","OK"))))))))</f>
        <v/>
      </c>
    </row>
    <row r="697">
      <c r="A697" s="14" t="inlineStr">
        <is>
          <t>L0692</t>
        </is>
      </c>
      <c r="B697" s="36" t="n">
        <v>47107</v>
      </c>
      <c r="C697" s="36" t="n">
        <v>47107</v>
      </c>
      <c r="D697" s="36" t="n"/>
      <c r="E697" s="14" t="inlineStr">
        <is>
          <t>Saída</t>
        </is>
      </c>
      <c r="F697" s="29" t="inlineStr">
        <is>
          <t>Empréstimos e Financiamentos</t>
        </is>
      </c>
      <c r="G697" s="29" t="inlineStr">
        <is>
          <t>Pagamento de Principal de Empréstimos</t>
        </is>
      </c>
      <c r="H697" s="29" t="inlineStr">
        <is>
          <t>Diretoria</t>
        </is>
      </c>
      <c r="I697" s="29" t="inlineStr">
        <is>
          <t>Banco Santander</t>
        </is>
      </c>
      <c r="J697" s="29" t="inlineStr">
        <is>
          <t>Financiamento de Veículo — parcela 35/48 (principal)</t>
        </is>
      </c>
      <c r="K697" s="14" t="inlineStr">
        <is>
          <t>VEI-2026-0088-P35</t>
        </is>
      </c>
      <c r="L697" s="29" t="inlineStr">
        <is>
          <t>Itaú Unibanco — C/C 45678-9</t>
        </is>
      </c>
      <c r="M697" s="14" t="inlineStr">
        <is>
          <t>Débito automático</t>
        </is>
      </c>
      <c r="N697" s="29" t="n"/>
      <c r="O697" s="13" t="n">
        <v>35</v>
      </c>
      <c r="P697" s="13" t="n">
        <v>48</v>
      </c>
      <c r="Q697" s="35" t="n">
        <v>1871.05</v>
      </c>
      <c r="R697" s="35" t="n"/>
      <c r="S697" s="35" t="n"/>
      <c r="T697" s="35" t="n"/>
      <c r="U697" s="35" t="n"/>
      <c r="V697" s="18">
        <f>IF(COUNTA($B697:$R697)=0,"",ROUND(N($R697)+N($S697)+N($T697)-N($U697),2))</f>
        <v/>
      </c>
      <c r="W697" s="18">
        <f>IF(COUNTA($B697:$R697)=0,"",IF(OR($X697="Pago",$X697="Recebido",$X697="Cancelado"),0,ROUND(N($Q697)+N($S697)+N($T697)-N($U697)-N($R697),2)))</f>
        <v/>
      </c>
      <c r="X697" s="14" t="inlineStr">
        <is>
          <t>Previsto</t>
        </is>
      </c>
      <c r="Y697" s="17">
        <f>IF(COUNTA($B697:$R697)=0,"",IF($X697="Cancelado","Cancelado",IF(OR($X697="Pago",$X697="Recebido"),$X697,IF(OR($X697="Parcial",N($R697)&gt;0),"Parcial",IF($C697="","Sem vencimento",IF($C697&lt;TODAY(),"Vencido",IF($C697=TODAY(),"Vence hoje",IF($C697&lt;=TODAY()+7,"Vence em 7 dias",IF($C697&lt;=TODAY()+30,"Vence em 30 dias","Futuro")))))))))</f>
        <v/>
      </c>
      <c r="Z697" s="24">
        <f>IF($B697="","",MONTH($B697))</f>
        <v/>
      </c>
      <c r="AA697" s="24">
        <f>IF($B697="","",YEAR($B697))</f>
        <v/>
      </c>
      <c r="AB697" s="24">
        <f>IF($B697="","",ISOWEEKNUM($B697))</f>
        <v/>
      </c>
      <c r="AC697" s="17">
        <f>IF($B697="","",CHOOSE(WEEKDAY($B697,2),"Segunda","Terça","Quarta","Quinta","Sexta","Sábado","Domingo"))</f>
        <v/>
      </c>
      <c r="AD697" s="17">
        <f>IF($B697="","",TEXT($B697,"MM/AAAA"))</f>
        <v/>
      </c>
      <c r="AE697" s="18">
        <f>IF(COUNTA($B697:$R697)=0,"",IF($X697="Cancelado",0,ROUND(N($Q697)+N($S697)+N($T697)-N($U697),2)))</f>
        <v/>
      </c>
      <c r="AF697" s="9">
        <f>IF($G697="","",IFERROR(INDEX(LINHAS_DRE_PLANO,MATCH($G697,SUBCATEGORIAS_PLANO,0)),"Não classificado"))</f>
        <v/>
      </c>
      <c r="AG697" s="17">
        <f>IF($G697="","",IFERROR(INDEX(TIPOS_FLUXO_PLANO,MATCH($G697,SUBCATEGORIAS_PLANO,0)),"Não classificado"))</f>
        <v/>
      </c>
      <c r="AH697" s="9">
        <f>IF($G697="","",IFERROR(INDEX(GRUPOS_PLANO,MATCH($G697,SUBCATEGORIAS_PLANO,0)),"Não classificado"))</f>
        <v/>
      </c>
      <c r="AI697" s="24">
        <f>IF(OR($C697="",$X697="Pago",$X697="Recebido",$X697="Cancelado"),"",$C697-TODAY())</f>
        <v/>
      </c>
      <c r="AJ697" s="24">
        <f>IF(OR($C697="",$X697="Pago",$X697="Recebido",$X697="Cancelado"),0,MAX(0,TODAY()-$C697))</f>
        <v/>
      </c>
      <c r="AK697" s="24">
        <f>IF($D697="","",$D697-$B697)</f>
        <v/>
      </c>
      <c r="AL697" s="18">
        <f>IF(OR($D697="",$B697=""),"",ROUND(N($R697)*($D697-$B697),2))</f>
        <v/>
      </c>
      <c r="AM697" s="17">
        <f>IF(AND($E697="Saída",$W697&gt;0,$C697&lt;&gt;""),$C697+ROW()/1000000,"")</f>
        <v/>
      </c>
      <c r="AN697" s="17">
        <f>IF(AND($E697="Entrada",$W697&gt;0,$C697&lt;&gt;""),$C697+ROW()/1000000,"")</f>
        <v/>
      </c>
      <c r="AO697" s="9">
        <f>IF(COUNTA($B697:$R697)=0,"",IF(AND($I697&lt;&gt;"",COUNTIF(CLIENTES_NOMES,$I697)+COUNTIF(CLIENTES_FANTASIA,$I697)+COUNTIF(FORNECEDORES_NOMES,$I697)+COUNTIF(FORNECEDORES_FANTASIA,$I697)=0),"⚠ Cliente/Fornecedor não cadastrado",IF(AND($G697&lt;&gt;"",COUNTIF(SUBCATEGORIAS_PLANO,$G697)=0),"⚠ Subcategoria fora do plano de contas",IF(OR($Q697="",N($Q697)=0),"⚠ Valor previsto não informado",IF(AND(OR($X697="Pago",$X697="Recebido"),$D697=""),"⚠ Status pago/recebido sem data",IF(AND($D697&lt;&gt;"",N($R697)=0),"⚠ Data de pagamento sem valor realizado",IF(AND(N($P697)&gt;1,N($O697)&gt;N($P697)),"⚠ Nº da parcela maior que o total",IF(AND($C697&lt;&gt;"",$B697&lt;&gt;"",$C697&lt;$B697),"⚠ Vencimento anterior à competência","OK"))))))))</f>
        <v/>
      </c>
    </row>
    <row r="698">
      <c r="A698" s="14" t="inlineStr">
        <is>
          <t>L0693</t>
        </is>
      </c>
      <c r="B698" s="36" t="n">
        <v>47107</v>
      </c>
      <c r="C698" s="36" t="n">
        <v>47107</v>
      </c>
      <c r="D698" s="36" t="n"/>
      <c r="E698" s="14" t="inlineStr">
        <is>
          <t>Saída</t>
        </is>
      </c>
      <c r="F698" s="29" t="inlineStr">
        <is>
          <t>Despesas Financeiras</t>
        </is>
      </c>
      <c r="G698" s="29" t="inlineStr">
        <is>
          <t>Juros de Empréstimos e Financiamentos</t>
        </is>
      </c>
      <c r="H698" s="29" t="inlineStr">
        <is>
          <t>Diretoria</t>
        </is>
      </c>
      <c r="I698" s="29" t="inlineStr">
        <is>
          <t>Banco Santander</t>
        </is>
      </c>
      <c r="J698" s="29" t="inlineStr">
        <is>
          <t>Financiamento de Veículo — parcela 35/48 (juros)</t>
        </is>
      </c>
      <c r="K698" s="14" t="inlineStr">
        <is>
          <t>VEI-2026-0088-P35</t>
        </is>
      </c>
      <c r="L698" s="29" t="inlineStr">
        <is>
          <t>Itaú Unibanco — C/C 45678-9</t>
        </is>
      </c>
      <c r="M698" s="14" t="inlineStr">
        <is>
          <t>Débito automático</t>
        </is>
      </c>
      <c r="N698" s="29" t="n"/>
      <c r="O698" s="13" t="n">
        <v>35</v>
      </c>
      <c r="P698" s="13" t="n">
        <v>48</v>
      </c>
      <c r="Q698" s="35" t="n">
        <v>355.41</v>
      </c>
      <c r="R698" s="35" t="n"/>
      <c r="S698" s="35" t="n"/>
      <c r="T698" s="35" t="n"/>
      <c r="U698" s="35" t="n"/>
      <c r="V698" s="18">
        <f>IF(COUNTA($B698:$R698)=0,"",ROUND(N($R698)+N($S698)+N($T698)-N($U698),2))</f>
        <v/>
      </c>
      <c r="W698" s="18">
        <f>IF(COUNTA($B698:$R698)=0,"",IF(OR($X698="Pago",$X698="Recebido",$X698="Cancelado"),0,ROUND(N($Q698)+N($S698)+N($T698)-N($U698)-N($R698),2)))</f>
        <v/>
      </c>
      <c r="X698" s="14" t="inlineStr">
        <is>
          <t>Previsto</t>
        </is>
      </c>
      <c r="Y698" s="17">
        <f>IF(COUNTA($B698:$R698)=0,"",IF($X698="Cancelado","Cancelado",IF(OR($X698="Pago",$X698="Recebido"),$X698,IF(OR($X698="Parcial",N($R698)&gt;0),"Parcial",IF($C698="","Sem vencimento",IF($C698&lt;TODAY(),"Vencido",IF($C698=TODAY(),"Vence hoje",IF($C698&lt;=TODAY()+7,"Vence em 7 dias",IF($C698&lt;=TODAY()+30,"Vence em 30 dias","Futuro")))))))))</f>
        <v/>
      </c>
      <c r="Z698" s="24">
        <f>IF($B698="","",MONTH($B698))</f>
        <v/>
      </c>
      <c r="AA698" s="24">
        <f>IF($B698="","",YEAR($B698))</f>
        <v/>
      </c>
      <c r="AB698" s="24">
        <f>IF($B698="","",ISOWEEKNUM($B698))</f>
        <v/>
      </c>
      <c r="AC698" s="17">
        <f>IF($B698="","",CHOOSE(WEEKDAY($B698,2),"Segunda","Terça","Quarta","Quinta","Sexta","Sábado","Domingo"))</f>
        <v/>
      </c>
      <c r="AD698" s="17">
        <f>IF($B698="","",TEXT($B698,"MM/AAAA"))</f>
        <v/>
      </c>
      <c r="AE698" s="18">
        <f>IF(COUNTA($B698:$R698)=0,"",IF($X698="Cancelado",0,ROUND(N($Q698)+N($S698)+N($T698)-N($U698),2)))</f>
        <v/>
      </c>
      <c r="AF698" s="9">
        <f>IF($G698="","",IFERROR(INDEX(LINHAS_DRE_PLANO,MATCH($G698,SUBCATEGORIAS_PLANO,0)),"Não classificado"))</f>
        <v/>
      </c>
      <c r="AG698" s="17">
        <f>IF($G698="","",IFERROR(INDEX(TIPOS_FLUXO_PLANO,MATCH($G698,SUBCATEGORIAS_PLANO,0)),"Não classificado"))</f>
        <v/>
      </c>
      <c r="AH698" s="9">
        <f>IF($G698="","",IFERROR(INDEX(GRUPOS_PLANO,MATCH($G698,SUBCATEGORIAS_PLANO,0)),"Não classificado"))</f>
        <v/>
      </c>
      <c r="AI698" s="24">
        <f>IF(OR($C698="",$X698="Pago",$X698="Recebido",$X698="Cancelado"),"",$C698-TODAY())</f>
        <v/>
      </c>
      <c r="AJ698" s="24">
        <f>IF(OR($C698="",$X698="Pago",$X698="Recebido",$X698="Cancelado"),0,MAX(0,TODAY()-$C698))</f>
        <v/>
      </c>
      <c r="AK698" s="24">
        <f>IF($D698="","",$D698-$B698)</f>
        <v/>
      </c>
      <c r="AL698" s="18">
        <f>IF(OR($D698="",$B698=""),"",ROUND(N($R698)*($D698-$B698),2))</f>
        <v/>
      </c>
      <c r="AM698" s="17">
        <f>IF(AND($E698="Saída",$W698&gt;0,$C698&lt;&gt;""),$C698+ROW()/1000000,"")</f>
        <v/>
      </c>
      <c r="AN698" s="17">
        <f>IF(AND($E698="Entrada",$W698&gt;0,$C698&lt;&gt;""),$C698+ROW()/1000000,"")</f>
        <v/>
      </c>
      <c r="AO698" s="9">
        <f>IF(COUNTA($B698:$R698)=0,"",IF(AND($I698&lt;&gt;"",COUNTIF(CLIENTES_NOMES,$I698)+COUNTIF(CLIENTES_FANTASIA,$I698)+COUNTIF(FORNECEDORES_NOMES,$I698)+COUNTIF(FORNECEDORES_FANTASIA,$I698)=0),"⚠ Cliente/Fornecedor não cadastrado",IF(AND($G698&lt;&gt;"",COUNTIF(SUBCATEGORIAS_PLANO,$G698)=0),"⚠ Subcategoria fora do plano de contas",IF(OR($Q698="",N($Q698)=0),"⚠ Valor previsto não informado",IF(AND(OR($X698="Pago",$X698="Recebido"),$D698=""),"⚠ Status pago/recebido sem data",IF(AND($D698&lt;&gt;"",N($R698)=0),"⚠ Data de pagamento sem valor realizado",IF(AND(N($P698)&gt;1,N($O698)&gt;N($P698)),"⚠ Nº da parcela maior que o total",IF(AND($C698&lt;&gt;"",$B698&lt;&gt;"",$C698&lt;$B698),"⚠ Vencimento anterior à competência","OK"))))))))</f>
        <v/>
      </c>
    </row>
    <row r="699">
      <c r="A699" s="14" t="inlineStr">
        <is>
          <t>L0694</t>
        </is>
      </c>
      <c r="B699" s="36" t="n">
        <v>47133</v>
      </c>
      <c r="C699" s="36" t="n">
        <v>47133</v>
      </c>
      <c r="D699" s="36" t="n"/>
      <c r="E699" s="14" t="inlineStr">
        <is>
          <t>Saída</t>
        </is>
      </c>
      <c r="F699" s="29" t="inlineStr">
        <is>
          <t>Empréstimos e Financiamentos</t>
        </is>
      </c>
      <c r="G699" s="29" t="inlineStr">
        <is>
          <t>Pagamento de Principal de Empréstimos</t>
        </is>
      </c>
      <c r="H699" s="29" t="inlineStr">
        <is>
          <t>Financeiro</t>
        </is>
      </c>
      <c r="I699" s="29" t="inlineStr">
        <is>
          <t>BNDES / Banco do Brasil</t>
        </is>
      </c>
      <c r="J699" s="29" t="inlineStr">
        <is>
          <t>Financiamento de Máquinas — parcela 35/36 (principal)</t>
        </is>
      </c>
      <c r="K699" s="14" t="inlineStr">
        <is>
          <t>FIN-2026-1198-P35</t>
        </is>
      </c>
      <c r="L699" s="29" t="inlineStr">
        <is>
          <t>Banco do Brasil — C/C 12345-6</t>
        </is>
      </c>
      <c r="M699" s="14" t="inlineStr">
        <is>
          <t>Débito automático</t>
        </is>
      </c>
      <c r="N699" s="29" t="n"/>
      <c r="O699" s="13" t="n">
        <v>35</v>
      </c>
      <c r="P699" s="13" t="n">
        <v>36</v>
      </c>
      <c r="Q699" s="35" t="n">
        <v>3333.33</v>
      </c>
      <c r="R699" s="35" t="n"/>
      <c r="S699" s="35" t="n"/>
      <c r="T699" s="35" t="n"/>
      <c r="U699" s="35" t="n"/>
      <c r="V699" s="18">
        <f>IF(COUNTA($B699:$R699)=0,"",ROUND(N($R699)+N($S699)+N($T699)-N($U699),2))</f>
        <v/>
      </c>
      <c r="W699" s="18">
        <f>IF(COUNTA($B699:$R699)=0,"",IF(OR($X699="Pago",$X699="Recebido",$X699="Cancelado"),0,ROUND(N($Q699)+N($S699)+N($T699)-N($U699)-N($R699),2)))</f>
        <v/>
      </c>
      <c r="X699" s="14" t="inlineStr">
        <is>
          <t>Previsto</t>
        </is>
      </c>
      <c r="Y699" s="17">
        <f>IF(COUNTA($B699:$R699)=0,"",IF($X699="Cancelado","Cancelado",IF(OR($X699="Pago",$X699="Recebido"),$X699,IF(OR($X699="Parcial",N($R699)&gt;0),"Parcial",IF($C699="","Sem vencimento",IF($C699&lt;TODAY(),"Vencido",IF($C699=TODAY(),"Vence hoje",IF($C699&lt;=TODAY()+7,"Vence em 7 dias",IF($C699&lt;=TODAY()+30,"Vence em 30 dias","Futuro")))))))))</f>
        <v/>
      </c>
      <c r="Z699" s="24">
        <f>IF($B699="","",MONTH($B699))</f>
        <v/>
      </c>
      <c r="AA699" s="24">
        <f>IF($B699="","",YEAR($B699))</f>
        <v/>
      </c>
      <c r="AB699" s="24">
        <f>IF($B699="","",ISOWEEKNUM($B699))</f>
        <v/>
      </c>
      <c r="AC699" s="17">
        <f>IF($B699="","",CHOOSE(WEEKDAY($B699,2),"Segunda","Terça","Quarta","Quinta","Sexta","Sábado","Domingo"))</f>
        <v/>
      </c>
      <c r="AD699" s="17">
        <f>IF($B699="","",TEXT($B699,"MM/AAAA"))</f>
        <v/>
      </c>
      <c r="AE699" s="18">
        <f>IF(COUNTA($B699:$R699)=0,"",IF($X699="Cancelado",0,ROUND(N($Q699)+N($S699)+N($T699)-N($U699),2)))</f>
        <v/>
      </c>
      <c r="AF699" s="9">
        <f>IF($G699="","",IFERROR(INDEX(LINHAS_DRE_PLANO,MATCH($G699,SUBCATEGORIAS_PLANO,0)),"Não classificado"))</f>
        <v/>
      </c>
      <c r="AG699" s="17">
        <f>IF($G699="","",IFERROR(INDEX(TIPOS_FLUXO_PLANO,MATCH($G699,SUBCATEGORIAS_PLANO,0)),"Não classificado"))</f>
        <v/>
      </c>
      <c r="AH699" s="9">
        <f>IF($G699="","",IFERROR(INDEX(GRUPOS_PLANO,MATCH($G699,SUBCATEGORIAS_PLANO,0)),"Não classificado"))</f>
        <v/>
      </c>
      <c r="AI699" s="24">
        <f>IF(OR($C699="",$X699="Pago",$X699="Recebido",$X699="Cancelado"),"",$C699-TODAY())</f>
        <v/>
      </c>
      <c r="AJ699" s="24">
        <f>IF(OR($C699="",$X699="Pago",$X699="Recebido",$X699="Cancelado"),0,MAX(0,TODAY()-$C699))</f>
        <v/>
      </c>
      <c r="AK699" s="24">
        <f>IF($D699="","",$D699-$B699)</f>
        <v/>
      </c>
      <c r="AL699" s="18">
        <f>IF(OR($D699="",$B699=""),"",ROUND(N($R699)*($D699-$B699),2))</f>
        <v/>
      </c>
      <c r="AM699" s="17">
        <f>IF(AND($E699="Saída",$W699&gt;0,$C699&lt;&gt;""),$C699+ROW()/1000000,"")</f>
        <v/>
      </c>
      <c r="AN699" s="17">
        <f>IF(AND($E699="Entrada",$W699&gt;0,$C699&lt;&gt;""),$C699+ROW()/1000000,"")</f>
        <v/>
      </c>
      <c r="AO699" s="9">
        <f>IF(COUNTA($B699:$R699)=0,"",IF(AND($I699&lt;&gt;"",COUNTIF(CLIENTES_NOMES,$I699)+COUNTIF(CLIENTES_FANTASIA,$I699)+COUNTIF(FORNECEDORES_NOMES,$I699)+COUNTIF(FORNECEDORES_FANTASIA,$I699)=0),"⚠ Cliente/Fornecedor não cadastrado",IF(AND($G699&lt;&gt;"",COUNTIF(SUBCATEGORIAS_PLANO,$G699)=0),"⚠ Subcategoria fora do plano de contas",IF(OR($Q699="",N($Q699)=0),"⚠ Valor previsto não informado",IF(AND(OR($X699="Pago",$X699="Recebido"),$D699=""),"⚠ Status pago/recebido sem data",IF(AND($D699&lt;&gt;"",N($R699)=0),"⚠ Data de pagamento sem valor realizado",IF(AND(N($P699)&gt;1,N($O699)&gt;N($P699)),"⚠ Nº da parcela maior que o total",IF(AND($C699&lt;&gt;"",$B699&lt;&gt;"",$C699&lt;$B699),"⚠ Vencimento anterior à competência","OK"))))))))</f>
        <v/>
      </c>
    </row>
    <row r="700">
      <c r="A700" s="14" t="inlineStr">
        <is>
          <t>L0695</t>
        </is>
      </c>
      <c r="B700" s="36" t="n">
        <v>47133</v>
      </c>
      <c r="C700" s="36" t="n">
        <v>47133</v>
      </c>
      <c r="D700" s="36" t="n"/>
      <c r="E700" s="14" t="inlineStr">
        <is>
          <t>Saída</t>
        </is>
      </c>
      <c r="F700" s="29" t="inlineStr">
        <is>
          <t>Despesas Financeiras</t>
        </is>
      </c>
      <c r="G700" s="29" t="inlineStr">
        <is>
          <t>Juros de Empréstimos e Financiamentos</t>
        </is>
      </c>
      <c r="H700" s="29" t="inlineStr">
        <is>
          <t>Financeiro</t>
        </is>
      </c>
      <c r="I700" s="29" t="inlineStr">
        <is>
          <t>BNDES / Banco do Brasil</t>
        </is>
      </c>
      <c r="J700" s="29" t="inlineStr">
        <is>
          <t>Financiamento de Máquinas — parcela 35/36 (juros)</t>
        </is>
      </c>
      <c r="K700" s="14" t="inlineStr">
        <is>
          <t>FIN-2026-1198-P35</t>
        </is>
      </c>
      <c r="L700" s="29" t="inlineStr">
        <is>
          <t>Banco do Brasil — C/C 12345-6</t>
        </is>
      </c>
      <c r="M700" s="14" t="inlineStr">
        <is>
          <t>Débito automático</t>
        </is>
      </c>
      <c r="N700" s="29" t="n"/>
      <c r="O700" s="13" t="n">
        <v>35</v>
      </c>
      <c r="P700" s="13" t="n">
        <v>36</v>
      </c>
      <c r="Q700" s="35" t="n">
        <v>73.33</v>
      </c>
      <c r="R700" s="35" t="n"/>
      <c r="S700" s="35" t="n"/>
      <c r="T700" s="35" t="n"/>
      <c r="U700" s="35" t="n"/>
      <c r="V700" s="18">
        <f>IF(COUNTA($B700:$R700)=0,"",ROUND(N($R700)+N($S700)+N($T700)-N($U700),2))</f>
        <v/>
      </c>
      <c r="W700" s="18">
        <f>IF(COUNTA($B700:$R700)=0,"",IF(OR($X700="Pago",$X700="Recebido",$X700="Cancelado"),0,ROUND(N($Q700)+N($S700)+N($T700)-N($U700)-N($R700),2)))</f>
        <v/>
      </c>
      <c r="X700" s="14" t="inlineStr">
        <is>
          <t>Previsto</t>
        </is>
      </c>
      <c r="Y700" s="17">
        <f>IF(COUNTA($B700:$R700)=0,"",IF($X700="Cancelado","Cancelado",IF(OR($X700="Pago",$X700="Recebido"),$X700,IF(OR($X700="Parcial",N($R700)&gt;0),"Parcial",IF($C700="","Sem vencimento",IF($C700&lt;TODAY(),"Vencido",IF($C700=TODAY(),"Vence hoje",IF($C700&lt;=TODAY()+7,"Vence em 7 dias",IF($C700&lt;=TODAY()+30,"Vence em 30 dias","Futuro")))))))))</f>
        <v/>
      </c>
      <c r="Z700" s="24">
        <f>IF($B700="","",MONTH($B700))</f>
        <v/>
      </c>
      <c r="AA700" s="24">
        <f>IF($B700="","",YEAR($B700))</f>
        <v/>
      </c>
      <c r="AB700" s="24">
        <f>IF($B700="","",ISOWEEKNUM($B700))</f>
        <v/>
      </c>
      <c r="AC700" s="17">
        <f>IF($B700="","",CHOOSE(WEEKDAY($B700,2),"Segunda","Terça","Quarta","Quinta","Sexta","Sábado","Domingo"))</f>
        <v/>
      </c>
      <c r="AD700" s="17">
        <f>IF($B700="","",TEXT($B700,"MM/AAAA"))</f>
        <v/>
      </c>
      <c r="AE700" s="18">
        <f>IF(COUNTA($B700:$R700)=0,"",IF($X700="Cancelado",0,ROUND(N($Q700)+N($S700)+N($T700)-N($U700),2)))</f>
        <v/>
      </c>
      <c r="AF700" s="9">
        <f>IF($G700="","",IFERROR(INDEX(LINHAS_DRE_PLANO,MATCH($G700,SUBCATEGORIAS_PLANO,0)),"Não classificado"))</f>
        <v/>
      </c>
      <c r="AG700" s="17">
        <f>IF($G700="","",IFERROR(INDEX(TIPOS_FLUXO_PLANO,MATCH($G700,SUBCATEGORIAS_PLANO,0)),"Não classificado"))</f>
        <v/>
      </c>
      <c r="AH700" s="9">
        <f>IF($G700="","",IFERROR(INDEX(GRUPOS_PLANO,MATCH($G700,SUBCATEGORIAS_PLANO,0)),"Não classificado"))</f>
        <v/>
      </c>
      <c r="AI700" s="24">
        <f>IF(OR($C700="",$X700="Pago",$X700="Recebido",$X700="Cancelado"),"",$C700-TODAY())</f>
        <v/>
      </c>
      <c r="AJ700" s="24">
        <f>IF(OR($C700="",$X700="Pago",$X700="Recebido",$X700="Cancelado"),0,MAX(0,TODAY()-$C700))</f>
        <v/>
      </c>
      <c r="AK700" s="24">
        <f>IF($D700="","",$D700-$B700)</f>
        <v/>
      </c>
      <c r="AL700" s="18">
        <f>IF(OR($D700="",$B700=""),"",ROUND(N($R700)*($D700-$B700),2))</f>
        <v/>
      </c>
      <c r="AM700" s="17">
        <f>IF(AND($E700="Saída",$W700&gt;0,$C700&lt;&gt;""),$C700+ROW()/1000000,"")</f>
        <v/>
      </c>
      <c r="AN700" s="17">
        <f>IF(AND($E700="Entrada",$W700&gt;0,$C700&lt;&gt;""),$C700+ROW()/1000000,"")</f>
        <v/>
      </c>
      <c r="AO700" s="9">
        <f>IF(COUNTA($B700:$R700)=0,"",IF(AND($I700&lt;&gt;"",COUNTIF(CLIENTES_NOMES,$I700)+COUNTIF(CLIENTES_FANTASIA,$I700)+COUNTIF(FORNECEDORES_NOMES,$I700)+COUNTIF(FORNECEDORES_FANTASIA,$I700)=0),"⚠ Cliente/Fornecedor não cadastrado",IF(AND($G700&lt;&gt;"",COUNTIF(SUBCATEGORIAS_PLANO,$G700)=0),"⚠ Subcategoria fora do plano de contas",IF(OR($Q700="",N($Q700)=0),"⚠ Valor previsto não informado",IF(AND(OR($X700="Pago",$X700="Recebido"),$D700=""),"⚠ Status pago/recebido sem data",IF(AND($D700&lt;&gt;"",N($R700)=0),"⚠ Data de pagamento sem valor realizado",IF(AND(N($P700)&gt;1,N($O700)&gt;N($P700)),"⚠ Nº da parcela maior que o total",IF(AND($C700&lt;&gt;"",$B700&lt;&gt;"",$C700&lt;$B700),"⚠ Vencimento anterior à competência","OK"))))))))</f>
        <v/>
      </c>
    </row>
    <row r="701">
      <c r="A701" s="14" t="inlineStr">
        <is>
          <t>L0696</t>
        </is>
      </c>
      <c r="B701" s="36" t="n">
        <v>47138</v>
      </c>
      <c r="C701" s="36" t="n">
        <v>47138</v>
      </c>
      <c r="D701" s="36" t="n"/>
      <c r="E701" s="14" t="inlineStr">
        <is>
          <t>Saída</t>
        </is>
      </c>
      <c r="F701" s="29" t="inlineStr">
        <is>
          <t>Empréstimos e Financiamentos</t>
        </is>
      </c>
      <c r="G701" s="29" t="inlineStr">
        <is>
          <t>Pagamento de Principal de Empréstimos</t>
        </is>
      </c>
      <c r="H701" s="29" t="inlineStr">
        <is>
          <t>Diretoria</t>
        </is>
      </c>
      <c r="I701" s="29" t="inlineStr">
        <is>
          <t>Banco Santander</t>
        </is>
      </c>
      <c r="J701" s="29" t="inlineStr">
        <is>
          <t>Financiamento de Veículo — parcela 36/48 (principal)</t>
        </is>
      </c>
      <c r="K701" s="14" t="inlineStr">
        <is>
          <t>VEI-2026-0088-P36</t>
        </is>
      </c>
      <c r="L701" s="29" t="inlineStr">
        <is>
          <t>Itaú Unibanco — C/C 45678-9</t>
        </is>
      </c>
      <c r="M701" s="14" t="inlineStr">
        <is>
          <t>Débito automático</t>
        </is>
      </c>
      <c r="N701" s="29" t="n"/>
      <c r="O701" s="13" t="n">
        <v>36</v>
      </c>
      <c r="P701" s="13" t="n">
        <v>48</v>
      </c>
      <c r="Q701" s="35" t="n">
        <v>1894.43</v>
      </c>
      <c r="R701" s="35" t="n"/>
      <c r="S701" s="35" t="n"/>
      <c r="T701" s="35" t="n"/>
      <c r="U701" s="35" t="n"/>
      <c r="V701" s="18">
        <f>IF(COUNTA($B701:$R701)=0,"",ROUND(N($R701)+N($S701)+N($T701)-N($U701),2))</f>
        <v/>
      </c>
      <c r="W701" s="18">
        <f>IF(COUNTA($B701:$R701)=0,"",IF(OR($X701="Pago",$X701="Recebido",$X701="Cancelado"),0,ROUND(N($Q701)+N($S701)+N($T701)-N($U701)-N($R701),2)))</f>
        <v/>
      </c>
      <c r="X701" s="14" t="inlineStr">
        <is>
          <t>Previsto</t>
        </is>
      </c>
      <c r="Y701" s="17">
        <f>IF(COUNTA($B701:$R701)=0,"",IF($X701="Cancelado","Cancelado",IF(OR($X701="Pago",$X701="Recebido"),$X701,IF(OR($X701="Parcial",N($R701)&gt;0),"Parcial",IF($C701="","Sem vencimento",IF($C701&lt;TODAY(),"Vencido",IF($C701=TODAY(),"Vence hoje",IF($C701&lt;=TODAY()+7,"Vence em 7 dias",IF($C701&lt;=TODAY()+30,"Vence em 30 dias","Futuro")))))))))</f>
        <v/>
      </c>
      <c r="Z701" s="24">
        <f>IF($B701="","",MONTH($B701))</f>
        <v/>
      </c>
      <c r="AA701" s="24">
        <f>IF($B701="","",YEAR($B701))</f>
        <v/>
      </c>
      <c r="AB701" s="24">
        <f>IF($B701="","",ISOWEEKNUM($B701))</f>
        <v/>
      </c>
      <c r="AC701" s="17">
        <f>IF($B701="","",CHOOSE(WEEKDAY($B701,2),"Segunda","Terça","Quarta","Quinta","Sexta","Sábado","Domingo"))</f>
        <v/>
      </c>
      <c r="AD701" s="17">
        <f>IF($B701="","",TEXT($B701,"MM/AAAA"))</f>
        <v/>
      </c>
      <c r="AE701" s="18">
        <f>IF(COUNTA($B701:$R701)=0,"",IF($X701="Cancelado",0,ROUND(N($Q701)+N($S701)+N($T701)-N($U701),2)))</f>
        <v/>
      </c>
      <c r="AF701" s="9">
        <f>IF($G701="","",IFERROR(INDEX(LINHAS_DRE_PLANO,MATCH($G701,SUBCATEGORIAS_PLANO,0)),"Não classificado"))</f>
        <v/>
      </c>
      <c r="AG701" s="17">
        <f>IF($G701="","",IFERROR(INDEX(TIPOS_FLUXO_PLANO,MATCH($G701,SUBCATEGORIAS_PLANO,0)),"Não classificado"))</f>
        <v/>
      </c>
      <c r="AH701" s="9">
        <f>IF($G701="","",IFERROR(INDEX(GRUPOS_PLANO,MATCH($G701,SUBCATEGORIAS_PLANO,0)),"Não classificado"))</f>
        <v/>
      </c>
      <c r="AI701" s="24">
        <f>IF(OR($C701="",$X701="Pago",$X701="Recebido",$X701="Cancelado"),"",$C701-TODAY())</f>
        <v/>
      </c>
      <c r="AJ701" s="24">
        <f>IF(OR($C701="",$X701="Pago",$X701="Recebido",$X701="Cancelado"),0,MAX(0,TODAY()-$C701))</f>
        <v/>
      </c>
      <c r="AK701" s="24">
        <f>IF($D701="","",$D701-$B701)</f>
        <v/>
      </c>
      <c r="AL701" s="18">
        <f>IF(OR($D701="",$B701=""),"",ROUND(N($R701)*($D701-$B701),2))</f>
        <v/>
      </c>
      <c r="AM701" s="17">
        <f>IF(AND($E701="Saída",$W701&gt;0,$C701&lt;&gt;""),$C701+ROW()/1000000,"")</f>
        <v/>
      </c>
      <c r="AN701" s="17">
        <f>IF(AND($E701="Entrada",$W701&gt;0,$C701&lt;&gt;""),$C701+ROW()/1000000,"")</f>
        <v/>
      </c>
      <c r="AO701" s="9">
        <f>IF(COUNTA($B701:$R701)=0,"",IF(AND($I701&lt;&gt;"",COUNTIF(CLIENTES_NOMES,$I701)+COUNTIF(CLIENTES_FANTASIA,$I701)+COUNTIF(FORNECEDORES_NOMES,$I701)+COUNTIF(FORNECEDORES_FANTASIA,$I701)=0),"⚠ Cliente/Fornecedor não cadastrado",IF(AND($G701&lt;&gt;"",COUNTIF(SUBCATEGORIAS_PLANO,$G701)=0),"⚠ Subcategoria fora do plano de contas",IF(OR($Q701="",N($Q701)=0),"⚠ Valor previsto não informado",IF(AND(OR($X701="Pago",$X701="Recebido"),$D701=""),"⚠ Status pago/recebido sem data",IF(AND($D701&lt;&gt;"",N($R701)=0),"⚠ Data de pagamento sem valor realizado",IF(AND(N($P701)&gt;1,N($O701)&gt;N($P701)),"⚠ Nº da parcela maior que o total",IF(AND($C701&lt;&gt;"",$B701&lt;&gt;"",$C701&lt;$B701),"⚠ Vencimento anterior à competência","OK"))))))))</f>
        <v/>
      </c>
    </row>
    <row r="702">
      <c r="A702" s="14" t="inlineStr">
        <is>
          <t>L0697</t>
        </is>
      </c>
      <c r="B702" s="36" t="n">
        <v>47138</v>
      </c>
      <c r="C702" s="36" t="n">
        <v>47138</v>
      </c>
      <c r="D702" s="36" t="n"/>
      <c r="E702" s="14" t="inlineStr">
        <is>
          <t>Saída</t>
        </is>
      </c>
      <c r="F702" s="29" t="inlineStr">
        <is>
          <t>Despesas Financeiras</t>
        </is>
      </c>
      <c r="G702" s="29" t="inlineStr">
        <is>
          <t>Juros de Empréstimos e Financiamentos</t>
        </is>
      </c>
      <c r="H702" s="29" t="inlineStr">
        <is>
          <t>Diretoria</t>
        </is>
      </c>
      <c r="I702" s="29" t="inlineStr">
        <is>
          <t>Banco Santander</t>
        </is>
      </c>
      <c r="J702" s="29" t="inlineStr">
        <is>
          <t>Financiamento de Veículo — parcela 36/48 (juros)</t>
        </is>
      </c>
      <c r="K702" s="14" t="inlineStr">
        <is>
          <t>VEI-2026-0088-P36</t>
        </is>
      </c>
      <c r="L702" s="29" t="inlineStr">
        <is>
          <t>Itaú Unibanco — C/C 45678-9</t>
        </is>
      </c>
      <c r="M702" s="14" t="inlineStr">
        <is>
          <t>Débito automático</t>
        </is>
      </c>
      <c r="N702" s="29" t="n"/>
      <c r="O702" s="13" t="n">
        <v>36</v>
      </c>
      <c r="P702" s="13" t="n">
        <v>48</v>
      </c>
      <c r="Q702" s="35" t="n">
        <v>332.03</v>
      </c>
      <c r="R702" s="35" t="n"/>
      <c r="S702" s="35" t="n"/>
      <c r="T702" s="35" t="n"/>
      <c r="U702" s="35" t="n"/>
      <c r="V702" s="18">
        <f>IF(COUNTA($B702:$R702)=0,"",ROUND(N($R702)+N($S702)+N($T702)-N($U702),2))</f>
        <v/>
      </c>
      <c r="W702" s="18">
        <f>IF(COUNTA($B702:$R702)=0,"",IF(OR($X702="Pago",$X702="Recebido",$X702="Cancelado"),0,ROUND(N($Q702)+N($S702)+N($T702)-N($U702)-N($R702),2)))</f>
        <v/>
      </c>
      <c r="X702" s="14" t="inlineStr">
        <is>
          <t>Previsto</t>
        </is>
      </c>
      <c r="Y702" s="17">
        <f>IF(COUNTA($B702:$R702)=0,"",IF($X702="Cancelado","Cancelado",IF(OR($X702="Pago",$X702="Recebido"),$X702,IF(OR($X702="Parcial",N($R702)&gt;0),"Parcial",IF($C702="","Sem vencimento",IF($C702&lt;TODAY(),"Vencido",IF($C702=TODAY(),"Vence hoje",IF($C702&lt;=TODAY()+7,"Vence em 7 dias",IF($C702&lt;=TODAY()+30,"Vence em 30 dias","Futuro")))))))))</f>
        <v/>
      </c>
      <c r="Z702" s="24">
        <f>IF($B702="","",MONTH($B702))</f>
        <v/>
      </c>
      <c r="AA702" s="24">
        <f>IF($B702="","",YEAR($B702))</f>
        <v/>
      </c>
      <c r="AB702" s="24">
        <f>IF($B702="","",ISOWEEKNUM($B702))</f>
        <v/>
      </c>
      <c r="AC702" s="17">
        <f>IF($B702="","",CHOOSE(WEEKDAY($B702,2),"Segunda","Terça","Quarta","Quinta","Sexta","Sábado","Domingo"))</f>
        <v/>
      </c>
      <c r="AD702" s="17">
        <f>IF($B702="","",TEXT($B702,"MM/AAAA"))</f>
        <v/>
      </c>
      <c r="AE702" s="18">
        <f>IF(COUNTA($B702:$R702)=0,"",IF($X702="Cancelado",0,ROUND(N($Q702)+N($S702)+N($T702)-N($U702),2)))</f>
        <v/>
      </c>
      <c r="AF702" s="9">
        <f>IF($G702="","",IFERROR(INDEX(LINHAS_DRE_PLANO,MATCH($G702,SUBCATEGORIAS_PLANO,0)),"Não classificado"))</f>
        <v/>
      </c>
      <c r="AG702" s="17">
        <f>IF($G702="","",IFERROR(INDEX(TIPOS_FLUXO_PLANO,MATCH($G702,SUBCATEGORIAS_PLANO,0)),"Não classificado"))</f>
        <v/>
      </c>
      <c r="AH702" s="9">
        <f>IF($G702="","",IFERROR(INDEX(GRUPOS_PLANO,MATCH($G702,SUBCATEGORIAS_PLANO,0)),"Não classificado"))</f>
        <v/>
      </c>
      <c r="AI702" s="24">
        <f>IF(OR($C702="",$X702="Pago",$X702="Recebido",$X702="Cancelado"),"",$C702-TODAY())</f>
        <v/>
      </c>
      <c r="AJ702" s="24">
        <f>IF(OR($C702="",$X702="Pago",$X702="Recebido",$X702="Cancelado"),0,MAX(0,TODAY()-$C702))</f>
        <v/>
      </c>
      <c r="AK702" s="24">
        <f>IF($D702="","",$D702-$B702)</f>
        <v/>
      </c>
      <c r="AL702" s="18">
        <f>IF(OR($D702="",$B702=""),"",ROUND(N($R702)*($D702-$B702),2))</f>
        <v/>
      </c>
      <c r="AM702" s="17">
        <f>IF(AND($E702="Saída",$W702&gt;0,$C702&lt;&gt;""),$C702+ROW()/1000000,"")</f>
        <v/>
      </c>
      <c r="AN702" s="17">
        <f>IF(AND($E702="Entrada",$W702&gt;0,$C702&lt;&gt;""),$C702+ROW()/1000000,"")</f>
        <v/>
      </c>
      <c r="AO702" s="9">
        <f>IF(COUNTA($B702:$R702)=0,"",IF(AND($I702&lt;&gt;"",COUNTIF(CLIENTES_NOMES,$I702)+COUNTIF(CLIENTES_FANTASIA,$I702)+COUNTIF(FORNECEDORES_NOMES,$I702)+COUNTIF(FORNECEDORES_FANTASIA,$I702)=0),"⚠ Cliente/Fornecedor não cadastrado",IF(AND($G702&lt;&gt;"",COUNTIF(SUBCATEGORIAS_PLANO,$G702)=0),"⚠ Subcategoria fora do plano de contas",IF(OR($Q702="",N($Q702)=0),"⚠ Valor previsto não informado",IF(AND(OR($X702="Pago",$X702="Recebido"),$D702=""),"⚠ Status pago/recebido sem data",IF(AND($D702&lt;&gt;"",N($R702)=0),"⚠ Data de pagamento sem valor realizado",IF(AND(N($P702)&gt;1,N($O702)&gt;N($P702)),"⚠ Nº da parcela maior que o total",IF(AND($C702&lt;&gt;"",$B702&lt;&gt;"",$C702&lt;$B702),"⚠ Vencimento anterior à competência","OK"))))))))</f>
        <v/>
      </c>
    </row>
    <row r="703">
      <c r="A703" s="14" t="inlineStr">
        <is>
          <t>L0698</t>
        </is>
      </c>
      <c r="B703" s="36" t="n">
        <v>47164</v>
      </c>
      <c r="C703" s="36" t="n">
        <v>47164</v>
      </c>
      <c r="D703" s="36" t="n"/>
      <c r="E703" s="14" t="inlineStr">
        <is>
          <t>Saída</t>
        </is>
      </c>
      <c r="F703" s="29" t="inlineStr">
        <is>
          <t>Empréstimos e Financiamentos</t>
        </is>
      </c>
      <c r="G703" s="29" t="inlineStr">
        <is>
          <t>Pagamento de Principal de Empréstimos</t>
        </is>
      </c>
      <c r="H703" s="29" t="inlineStr">
        <is>
          <t>Financeiro</t>
        </is>
      </c>
      <c r="I703" s="29" t="inlineStr">
        <is>
          <t>BNDES / Banco do Brasil</t>
        </is>
      </c>
      <c r="J703" s="29" t="inlineStr">
        <is>
          <t>Financiamento de Máquinas — parcela 36/36 (principal)</t>
        </is>
      </c>
      <c r="K703" s="14" t="inlineStr">
        <is>
          <t>FIN-2026-1198-P36</t>
        </is>
      </c>
      <c r="L703" s="29" t="inlineStr">
        <is>
          <t>Banco do Brasil — C/C 12345-6</t>
        </is>
      </c>
      <c r="M703" s="14" t="inlineStr">
        <is>
          <t>Débito automático</t>
        </is>
      </c>
      <c r="N703" s="29" t="n"/>
      <c r="O703" s="13" t="n">
        <v>36</v>
      </c>
      <c r="P703" s="13" t="n">
        <v>36</v>
      </c>
      <c r="Q703" s="35" t="n">
        <v>3333.45</v>
      </c>
      <c r="R703" s="35" t="n"/>
      <c r="S703" s="35" t="n"/>
      <c r="T703" s="35" t="n"/>
      <c r="U703" s="35" t="n"/>
      <c r="V703" s="18">
        <f>IF(COUNTA($B703:$R703)=0,"",ROUND(N($R703)+N($S703)+N($T703)-N($U703),2))</f>
        <v/>
      </c>
      <c r="W703" s="18">
        <f>IF(COUNTA($B703:$R703)=0,"",IF(OR($X703="Pago",$X703="Recebido",$X703="Cancelado"),0,ROUND(N($Q703)+N($S703)+N($T703)-N($U703)-N($R703),2)))</f>
        <v/>
      </c>
      <c r="X703" s="14" t="inlineStr">
        <is>
          <t>Previsto</t>
        </is>
      </c>
      <c r="Y703" s="17">
        <f>IF(COUNTA($B703:$R703)=0,"",IF($X703="Cancelado","Cancelado",IF(OR($X703="Pago",$X703="Recebido"),$X703,IF(OR($X703="Parcial",N($R703)&gt;0),"Parcial",IF($C703="","Sem vencimento",IF($C703&lt;TODAY(),"Vencido",IF($C703=TODAY(),"Vence hoje",IF($C703&lt;=TODAY()+7,"Vence em 7 dias",IF($C703&lt;=TODAY()+30,"Vence em 30 dias","Futuro")))))))))</f>
        <v/>
      </c>
      <c r="Z703" s="24">
        <f>IF($B703="","",MONTH($B703))</f>
        <v/>
      </c>
      <c r="AA703" s="24">
        <f>IF($B703="","",YEAR($B703))</f>
        <v/>
      </c>
      <c r="AB703" s="24">
        <f>IF($B703="","",ISOWEEKNUM($B703))</f>
        <v/>
      </c>
      <c r="AC703" s="17">
        <f>IF($B703="","",CHOOSE(WEEKDAY($B703,2),"Segunda","Terça","Quarta","Quinta","Sexta","Sábado","Domingo"))</f>
        <v/>
      </c>
      <c r="AD703" s="17">
        <f>IF($B703="","",TEXT($B703,"MM/AAAA"))</f>
        <v/>
      </c>
      <c r="AE703" s="18">
        <f>IF(COUNTA($B703:$R703)=0,"",IF($X703="Cancelado",0,ROUND(N($Q703)+N($S703)+N($T703)-N($U703),2)))</f>
        <v/>
      </c>
      <c r="AF703" s="9">
        <f>IF($G703="","",IFERROR(INDEX(LINHAS_DRE_PLANO,MATCH($G703,SUBCATEGORIAS_PLANO,0)),"Não classificado"))</f>
        <v/>
      </c>
      <c r="AG703" s="17">
        <f>IF($G703="","",IFERROR(INDEX(TIPOS_FLUXO_PLANO,MATCH($G703,SUBCATEGORIAS_PLANO,0)),"Não classificado"))</f>
        <v/>
      </c>
      <c r="AH703" s="9">
        <f>IF($G703="","",IFERROR(INDEX(GRUPOS_PLANO,MATCH($G703,SUBCATEGORIAS_PLANO,0)),"Não classificado"))</f>
        <v/>
      </c>
      <c r="AI703" s="24">
        <f>IF(OR($C703="",$X703="Pago",$X703="Recebido",$X703="Cancelado"),"",$C703-TODAY())</f>
        <v/>
      </c>
      <c r="AJ703" s="24">
        <f>IF(OR($C703="",$X703="Pago",$X703="Recebido",$X703="Cancelado"),0,MAX(0,TODAY()-$C703))</f>
        <v/>
      </c>
      <c r="AK703" s="24">
        <f>IF($D703="","",$D703-$B703)</f>
        <v/>
      </c>
      <c r="AL703" s="18">
        <f>IF(OR($D703="",$B703=""),"",ROUND(N($R703)*($D703-$B703),2))</f>
        <v/>
      </c>
      <c r="AM703" s="17">
        <f>IF(AND($E703="Saída",$W703&gt;0,$C703&lt;&gt;""),$C703+ROW()/1000000,"")</f>
        <v/>
      </c>
      <c r="AN703" s="17">
        <f>IF(AND($E703="Entrada",$W703&gt;0,$C703&lt;&gt;""),$C703+ROW()/1000000,"")</f>
        <v/>
      </c>
      <c r="AO703" s="9">
        <f>IF(COUNTA($B703:$R703)=0,"",IF(AND($I703&lt;&gt;"",COUNTIF(CLIENTES_NOMES,$I703)+COUNTIF(CLIENTES_FANTASIA,$I703)+COUNTIF(FORNECEDORES_NOMES,$I703)+COUNTIF(FORNECEDORES_FANTASIA,$I703)=0),"⚠ Cliente/Fornecedor não cadastrado",IF(AND($G703&lt;&gt;"",COUNTIF(SUBCATEGORIAS_PLANO,$G703)=0),"⚠ Subcategoria fora do plano de contas",IF(OR($Q703="",N($Q703)=0),"⚠ Valor previsto não informado",IF(AND(OR($X703="Pago",$X703="Recebido"),$D703=""),"⚠ Status pago/recebido sem data",IF(AND($D703&lt;&gt;"",N($R703)=0),"⚠ Data de pagamento sem valor realizado",IF(AND(N($P703)&gt;1,N($O703)&gt;N($P703)),"⚠ Nº da parcela maior que o total",IF(AND($C703&lt;&gt;"",$B703&lt;&gt;"",$C703&lt;$B703),"⚠ Vencimento anterior à competência","OK"))))))))</f>
        <v/>
      </c>
    </row>
    <row r="704">
      <c r="A704" s="14" t="inlineStr">
        <is>
          <t>L0699</t>
        </is>
      </c>
      <c r="B704" s="36" t="n">
        <v>47164</v>
      </c>
      <c r="C704" s="36" t="n">
        <v>47164</v>
      </c>
      <c r="D704" s="36" t="n"/>
      <c r="E704" s="14" t="inlineStr">
        <is>
          <t>Saída</t>
        </is>
      </c>
      <c r="F704" s="29" t="inlineStr">
        <is>
          <t>Despesas Financeiras</t>
        </is>
      </c>
      <c r="G704" s="29" t="inlineStr">
        <is>
          <t>Juros de Empréstimos e Financiamentos</t>
        </is>
      </c>
      <c r="H704" s="29" t="inlineStr">
        <is>
          <t>Financeiro</t>
        </is>
      </c>
      <c r="I704" s="29" t="inlineStr">
        <is>
          <t>BNDES / Banco do Brasil</t>
        </is>
      </c>
      <c r="J704" s="29" t="inlineStr">
        <is>
          <t>Financiamento de Máquinas — parcela 36/36 (juros)</t>
        </is>
      </c>
      <c r="K704" s="14" t="inlineStr">
        <is>
          <t>FIN-2026-1198-P36</t>
        </is>
      </c>
      <c r="L704" s="29" t="inlineStr">
        <is>
          <t>Banco do Brasil — C/C 12345-6</t>
        </is>
      </c>
      <c r="M704" s="14" t="inlineStr">
        <is>
          <t>Débito automático</t>
        </is>
      </c>
      <c r="N704" s="29" t="n"/>
      <c r="O704" s="13" t="n">
        <v>36</v>
      </c>
      <c r="P704" s="13" t="n">
        <v>36</v>
      </c>
      <c r="Q704" s="35" t="n">
        <v>36.67</v>
      </c>
      <c r="R704" s="35" t="n"/>
      <c r="S704" s="35" t="n"/>
      <c r="T704" s="35" t="n"/>
      <c r="U704" s="35" t="n"/>
      <c r="V704" s="18">
        <f>IF(COUNTA($B704:$R704)=0,"",ROUND(N($R704)+N($S704)+N($T704)-N($U704),2))</f>
        <v/>
      </c>
      <c r="W704" s="18">
        <f>IF(COUNTA($B704:$R704)=0,"",IF(OR($X704="Pago",$X704="Recebido",$X704="Cancelado"),0,ROUND(N($Q704)+N($S704)+N($T704)-N($U704)-N($R704),2)))</f>
        <v/>
      </c>
      <c r="X704" s="14" t="inlineStr">
        <is>
          <t>Previsto</t>
        </is>
      </c>
      <c r="Y704" s="17">
        <f>IF(COUNTA($B704:$R704)=0,"",IF($X704="Cancelado","Cancelado",IF(OR($X704="Pago",$X704="Recebido"),$X704,IF(OR($X704="Parcial",N($R704)&gt;0),"Parcial",IF($C704="","Sem vencimento",IF($C704&lt;TODAY(),"Vencido",IF($C704=TODAY(),"Vence hoje",IF($C704&lt;=TODAY()+7,"Vence em 7 dias",IF($C704&lt;=TODAY()+30,"Vence em 30 dias","Futuro")))))))))</f>
        <v/>
      </c>
      <c r="Z704" s="24">
        <f>IF($B704="","",MONTH($B704))</f>
        <v/>
      </c>
      <c r="AA704" s="24">
        <f>IF($B704="","",YEAR($B704))</f>
        <v/>
      </c>
      <c r="AB704" s="24">
        <f>IF($B704="","",ISOWEEKNUM($B704))</f>
        <v/>
      </c>
      <c r="AC704" s="17">
        <f>IF($B704="","",CHOOSE(WEEKDAY($B704,2),"Segunda","Terça","Quarta","Quinta","Sexta","Sábado","Domingo"))</f>
        <v/>
      </c>
      <c r="AD704" s="17">
        <f>IF($B704="","",TEXT($B704,"MM/AAAA"))</f>
        <v/>
      </c>
      <c r="AE704" s="18">
        <f>IF(COUNTA($B704:$R704)=0,"",IF($X704="Cancelado",0,ROUND(N($Q704)+N($S704)+N($T704)-N($U704),2)))</f>
        <v/>
      </c>
      <c r="AF704" s="9">
        <f>IF($G704="","",IFERROR(INDEX(LINHAS_DRE_PLANO,MATCH($G704,SUBCATEGORIAS_PLANO,0)),"Não classificado"))</f>
        <v/>
      </c>
      <c r="AG704" s="17">
        <f>IF($G704="","",IFERROR(INDEX(TIPOS_FLUXO_PLANO,MATCH($G704,SUBCATEGORIAS_PLANO,0)),"Não classificado"))</f>
        <v/>
      </c>
      <c r="AH704" s="9">
        <f>IF($G704="","",IFERROR(INDEX(GRUPOS_PLANO,MATCH($G704,SUBCATEGORIAS_PLANO,0)),"Não classificado"))</f>
        <v/>
      </c>
      <c r="AI704" s="24">
        <f>IF(OR($C704="",$X704="Pago",$X704="Recebido",$X704="Cancelado"),"",$C704-TODAY())</f>
        <v/>
      </c>
      <c r="AJ704" s="24">
        <f>IF(OR($C704="",$X704="Pago",$X704="Recebido",$X704="Cancelado"),0,MAX(0,TODAY()-$C704))</f>
        <v/>
      </c>
      <c r="AK704" s="24">
        <f>IF($D704="","",$D704-$B704)</f>
        <v/>
      </c>
      <c r="AL704" s="18">
        <f>IF(OR($D704="",$B704=""),"",ROUND(N($R704)*($D704-$B704),2))</f>
        <v/>
      </c>
      <c r="AM704" s="17">
        <f>IF(AND($E704="Saída",$W704&gt;0,$C704&lt;&gt;""),$C704+ROW()/1000000,"")</f>
        <v/>
      </c>
      <c r="AN704" s="17">
        <f>IF(AND($E704="Entrada",$W704&gt;0,$C704&lt;&gt;""),$C704+ROW()/1000000,"")</f>
        <v/>
      </c>
      <c r="AO704" s="9">
        <f>IF(COUNTA($B704:$R704)=0,"",IF(AND($I704&lt;&gt;"",COUNTIF(CLIENTES_NOMES,$I704)+COUNTIF(CLIENTES_FANTASIA,$I704)+COUNTIF(FORNECEDORES_NOMES,$I704)+COUNTIF(FORNECEDORES_FANTASIA,$I704)=0),"⚠ Cliente/Fornecedor não cadastrado",IF(AND($G704&lt;&gt;"",COUNTIF(SUBCATEGORIAS_PLANO,$G704)=0),"⚠ Subcategoria fora do plano de contas",IF(OR($Q704="",N($Q704)=0),"⚠ Valor previsto não informado",IF(AND(OR($X704="Pago",$X704="Recebido"),$D704=""),"⚠ Status pago/recebido sem data",IF(AND($D704&lt;&gt;"",N($R704)=0),"⚠ Data de pagamento sem valor realizado",IF(AND(N($P704)&gt;1,N($O704)&gt;N($P704)),"⚠ Nº da parcela maior que o total",IF(AND($C704&lt;&gt;"",$B704&lt;&gt;"",$C704&lt;$B704),"⚠ Vencimento anterior à competência","OK"))))))))</f>
        <v/>
      </c>
    </row>
    <row r="705">
      <c r="A705" s="14" t="inlineStr">
        <is>
          <t>L0700</t>
        </is>
      </c>
      <c r="B705" s="36" t="n">
        <v>47169</v>
      </c>
      <c r="C705" s="36" t="n">
        <v>47169</v>
      </c>
      <c r="D705" s="36" t="n"/>
      <c r="E705" s="14" t="inlineStr">
        <is>
          <t>Saída</t>
        </is>
      </c>
      <c r="F705" s="29" t="inlineStr">
        <is>
          <t>Empréstimos e Financiamentos</t>
        </is>
      </c>
      <c r="G705" s="29" t="inlineStr">
        <is>
          <t>Pagamento de Principal de Empréstimos</t>
        </is>
      </c>
      <c r="H705" s="29" t="inlineStr">
        <is>
          <t>Diretoria</t>
        </is>
      </c>
      <c r="I705" s="29" t="inlineStr">
        <is>
          <t>Banco Santander</t>
        </is>
      </c>
      <c r="J705" s="29" t="inlineStr">
        <is>
          <t>Financiamento de Veículo — parcela 37/48 (principal)</t>
        </is>
      </c>
      <c r="K705" s="14" t="inlineStr">
        <is>
          <t>VEI-2026-0088-P37</t>
        </is>
      </c>
      <c r="L705" s="29" t="inlineStr">
        <is>
          <t>Itaú Unibanco — C/C 45678-9</t>
        </is>
      </c>
      <c r="M705" s="14" t="inlineStr">
        <is>
          <t>Débito automático</t>
        </is>
      </c>
      <c r="N705" s="29" t="n"/>
      <c r="O705" s="13" t="n">
        <v>37</v>
      </c>
      <c r="P705" s="13" t="n">
        <v>48</v>
      </c>
      <c r="Q705" s="35" t="n">
        <v>1918.11</v>
      </c>
      <c r="R705" s="35" t="n"/>
      <c r="S705" s="35" t="n"/>
      <c r="T705" s="35" t="n"/>
      <c r="U705" s="35" t="n"/>
      <c r="V705" s="18">
        <f>IF(COUNTA($B705:$R705)=0,"",ROUND(N($R705)+N($S705)+N($T705)-N($U705),2))</f>
        <v/>
      </c>
      <c r="W705" s="18">
        <f>IF(COUNTA($B705:$R705)=0,"",IF(OR($X705="Pago",$X705="Recebido",$X705="Cancelado"),0,ROUND(N($Q705)+N($S705)+N($T705)-N($U705)-N($R705),2)))</f>
        <v/>
      </c>
      <c r="X705" s="14" t="inlineStr">
        <is>
          <t>Previsto</t>
        </is>
      </c>
      <c r="Y705" s="17">
        <f>IF(COUNTA($B705:$R705)=0,"",IF($X705="Cancelado","Cancelado",IF(OR($X705="Pago",$X705="Recebido"),$X705,IF(OR($X705="Parcial",N($R705)&gt;0),"Parcial",IF($C705="","Sem vencimento",IF($C705&lt;TODAY(),"Vencido",IF($C705=TODAY(),"Vence hoje",IF($C705&lt;=TODAY()+7,"Vence em 7 dias",IF($C705&lt;=TODAY()+30,"Vence em 30 dias","Futuro")))))))))</f>
        <v/>
      </c>
      <c r="Z705" s="24">
        <f>IF($B705="","",MONTH($B705))</f>
        <v/>
      </c>
      <c r="AA705" s="24">
        <f>IF($B705="","",YEAR($B705))</f>
        <v/>
      </c>
      <c r="AB705" s="24">
        <f>IF($B705="","",ISOWEEKNUM($B705))</f>
        <v/>
      </c>
      <c r="AC705" s="17">
        <f>IF($B705="","",CHOOSE(WEEKDAY($B705,2),"Segunda","Terça","Quarta","Quinta","Sexta","Sábado","Domingo"))</f>
        <v/>
      </c>
      <c r="AD705" s="17">
        <f>IF($B705="","",TEXT($B705,"MM/AAAA"))</f>
        <v/>
      </c>
      <c r="AE705" s="18">
        <f>IF(COUNTA($B705:$R705)=0,"",IF($X705="Cancelado",0,ROUND(N($Q705)+N($S705)+N($T705)-N($U705),2)))</f>
        <v/>
      </c>
      <c r="AF705" s="9">
        <f>IF($G705="","",IFERROR(INDEX(LINHAS_DRE_PLANO,MATCH($G705,SUBCATEGORIAS_PLANO,0)),"Não classificado"))</f>
        <v/>
      </c>
      <c r="AG705" s="17">
        <f>IF($G705="","",IFERROR(INDEX(TIPOS_FLUXO_PLANO,MATCH($G705,SUBCATEGORIAS_PLANO,0)),"Não classificado"))</f>
        <v/>
      </c>
      <c r="AH705" s="9">
        <f>IF($G705="","",IFERROR(INDEX(GRUPOS_PLANO,MATCH($G705,SUBCATEGORIAS_PLANO,0)),"Não classificado"))</f>
        <v/>
      </c>
      <c r="AI705" s="24">
        <f>IF(OR($C705="",$X705="Pago",$X705="Recebido",$X705="Cancelado"),"",$C705-TODAY())</f>
        <v/>
      </c>
      <c r="AJ705" s="24">
        <f>IF(OR($C705="",$X705="Pago",$X705="Recebido",$X705="Cancelado"),0,MAX(0,TODAY()-$C705))</f>
        <v/>
      </c>
      <c r="AK705" s="24">
        <f>IF($D705="","",$D705-$B705)</f>
        <v/>
      </c>
      <c r="AL705" s="18">
        <f>IF(OR($D705="",$B705=""),"",ROUND(N($R705)*($D705-$B705),2))</f>
        <v/>
      </c>
      <c r="AM705" s="17">
        <f>IF(AND($E705="Saída",$W705&gt;0,$C705&lt;&gt;""),$C705+ROW()/1000000,"")</f>
        <v/>
      </c>
      <c r="AN705" s="17">
        <f>IF(AND($E705="Entrada",$W705&gt;0,$C705&lt;&gt;""),$C705+ROW()/1000000,"")</f>
        <v/>
      </c>
      <c r="AO705" s="9">
        <f>IF(COUNTA($B705:$R705)=0,"",IF(AND($I705&lt;&gt;"",COUNTIF(CLIENTES_NOMES,$I705)+COUNTIF(CLIENTES_FANTASIA,$I705)+COUNTIF(FORNECEDORES_NOMES,$I705)+COUNTIF(FORNECEDORES_FANTASIA,$I705)=0),"⚠ Cliente/Fornecedor não cadastrado",IF(AND($G705&lt;&gt;"",COUNTIF(SUBCATEGORIAS_PLANO,$G705)=0),"⚠ Subcategoria fora do plano de contas",IF(OR($Q705="",N($Q705)=0),"⚠ Valor previsto não informado",IF(AND(OR($X705="Pago",$X705="Recebido"),$D705=""),"⚠ Status pago/recebido sem data",IF(AND($D705&lt;&gt;"",N($R705)=0),"⚠ Data de pagamento sem valor realizado",IF(AND(N($P705)&gt;1,N($O705)&gt;N($P705)),"⚠ Nº da parcela maior que o total",IF(AND($C705&lt;&gt;"",$B705&lt;&gt;"",$C705&lt;$B705),"⚠ Vencimento anterior à competência","OK"))))))))</f>
        <v/>
      </c>
    </row>
    <row r="706">
      <c r="A706" s="14" t="inlineStr">
        <is>
          <t>L0701</t>
        </is>
      </c>
      <c r="B706" s="36" t="n">
        <v>47169</v>
      </c>
      <c r="C706" s="36" t="n">
        <v>47169</v>
      </c>
      <c r="D706" s="36" t="n"/>
      <c r="E706" s="14" t="inlineStr">
        <is>
          <t>Saída</t>
        </is>
      </c>
      <c r="F706" s="29" t="inlineStr">
        <is>
          <t>Despesas Financeiras</t>
        </is>
      </c>
      <c r="G706" s="29" t="inlineStr">
        <is>
          <t>Juros de Empréstimos e Financiamentos</t>
        </is>
      </c>
      <c r="H706" s="29" t="inlineStr">
        <is>
          <t>Diretoria</t>
        </is>
      </c>
      <c r="I706" s="29" t="inlineStr">
        <is>
          <t>Banco Santander</t>
        </is>
      </c>
      <c r="J706" s="29" t="inlineStr">
        <is>
          <t>Financiamento de Veículo — parcela 37/48 (juros)</t>
        </is>
      </c>
      <c r="K706" s="14" t="inlineStr">
        <is>
          <t>VEI-2026-0088-P37</t>
        </is>
      </c>
      <c r="L706" s="29" t="inlineStr">
        <is>
          <t>Itaú Unibanco — C/C 45678-9</t>
        </is>
      </c>
      <c r="M706" s="14" t="inlineStr">
        <is>
          <t>Débito automático</t>
        </is>
      </c>
      <c r="N706" s="29" t="n"/>
      <c r="O706" s="13" t="n">
        <v>37</v>
      </c>
      <c r="P706" s="13" t="n">
        <v>48</v>
      </c>
      <c r="Q706" s="35" t="n">
        <v>308.35</v>
      </c>
      <c r="R706" s="35" t="n"/>
      <c r="S706" s="35" t="n"/>
      <c r="T706" s="35" t="n"/>
      <c r="U706" s="35" t="n"/>
      <c r="V706" s="18">
        <f>IF(COUNTA($B706:$R706)=0,"",ROUND(N($R706)+N($S706)+N($T706)-N($U706),2))</f>
        <v/>
      </c>
      <c r="W706" s="18">
        <f>IF(COUNTA($B706:$R706)=0,"",IF(OR($X706="Pago",$X706="Recebido",$X706="Cancelado"),0,ROUND(N($Q706)+N($S706)+N($T706)-N($U706)-N($R706),2)))</f>
        <v/>
      </c>
      <c r="X706" s="14" t="inlineStr">
        <is>
          <t>Previsto</t>
        </is>
      </c>
      <c r="Y706" s="17">
        <f>IF(COUNTA($B706:$R706)=0,"",IF($X706="Cancelado","Cancelado",IF(OR($X706="Pago",$X706="Recebido"),$X706,IF(OR($X706="Parcial",N($R706)&gt;0),"Parcial",IF($C706="","Sem vencimento",IF($C706&lt;TODAY(),"Vencido",IF($C706=TODAY(),"Vence hoje",IF($C706&lt;=TODAY()+7,"Vence em 7 dias",IF($C706&lt;=TODAY()+30,"Vence em 30 dias","Futuro")))))))))</f>
        <v/>
      </c>
      <c r="Z706" s="24">
        <f>IF($B706="","",MONTH($B706))</f>
        <v/>
      </c>
      <c r="AA706" s="24">
        <f>IF($B706="","",YEAR($B706))</f>
        <v/>
      </c>
      <c r="AB706" s="24">
        <f>IF($B706="","",ISOWEEKNUM($B706))</f>
        <v/>
      </c>
      <c r="AC706" s="17">
        <f>IF($B706="","",CHOOSE(WEEKDAY($B706,2),"Segunda","Terça","Quarta","Quinta","Sexta","Sábado","Domingo"))</f>
        <v/>
      </c>
      <c r="AD706" s="17">
        <f>IF($B706="","",TEXT($B706,"MM/AAAA"))</f>
        <v/>
      </c>
      <c r="AE706" s="18">
        <f>IF(COUNTA($B706:$R706)=0,"",IF($X706="Cancelado",0,ROUND(N($Q706)+N($S706)+N($T706)-N($U706),2)))</f>
        <v/>
      </c>
      <c r="AF706" s="9">
        <f>IF($G706="","",IFERROR(INDEX(LINHAS_DRE_PLANO,MATCH($G706,SUBCATEGORIAS_PLANO,0)),"Não classificado"))</f>
        <v/>
      </c>
      <c r="AG706" s="17">
        <f>IF($G706="","",IFERROR(INDEX(TIPOS_FLUXO_PLANO,MATCH($G706,SUBCATEGORIAS_PLANO,0)),"Não classificado"))</f>
        <v/>
      </c>
      <c r="AH706" s="9">
        <f>IF($G706="","",IFERROR(INDEX(GRUPOS_PLANO,MATCH($G706,SUBCATEGORIAS_PLANO,0)),"Não classificado"))</f>
        <v/>
      </c>
      <c r="AI706" s="24">
        <f>IF(OR($C706="",$X706="Pago",$X706="Recebido",$X706="Cancelado"),"",$C706-TODAY())</f>
        <v/>
      </c>
      <c r="AJ706" s="24">
        <f>IF(OR($C706="",$X706="Pago",$X706="Recebido",$X706="Cancelado"),0,MAX(0,TODAY()-$C706))</f>
        <v/>
      </c>
      <c r="AK706" s="24">
        <f>IF($D706="","",$D706-$B706)</f>
        <v/>
      </c>
      <c r="AL706" s="18">
        <f>IF(OR($D706="",$B706=""),"",ROUND(N($R706)*($D706-$B706),2))</f>
        <v/>
      </c>
      <c r="AM706" s="17">
        <f>IF(AND($E706="Saída",$W706&gt;0,$C706&lt;&gt;""),$C706+ROW()/1000000,"")</f>
        <v/>
      </c>
      <c r="AN706" s="17">
        <f>IF(AND($E706="Entrada",$W706&gt;0,$C706&lt;&gt;""),$C706+ROW()/1000000,"")</f>
        <v/>
      </c>
      <c r="AO706" s="9">
        <f>IF(COUNTA($B706:$R706)=0,"",IF(AND($I706&lt;&gt;"",COUNTIF(CLIENTES_NOMES,$I706)+COUNTIF(CLIENTES_FANTASIA,$I706)+COUNTIF(FORNECEDORES_NOMES,$I706)+COUNTIF(FORNECEDORES_FANTASIA,$I706)=0),"⚠ Cliente/Fornecedor não cadastrado",IF(AND($G706&lt;&gt;"",COUNTIF(SUBCATEGORIAS_PLANO,$G706)=0),"⚠ Subcategoria fora do plano de contas",IF(OR($Q706="",N($Q706)=0),"⚠ Valor previsto não informado",IF(AND(OR($X706="Pago",$X706="Recebido"),$D706=""),"⚠ Status pago/recebido sem data",IF(AND($D706&lt;&gt;"",N($R706)=0),"⚠ Data de pagamento sem valor realizado",IF(AND(N($P706)&gt;1,N($O706)&gt;N($P706)),"⚠ Nº da parcela maior que o total",IF(AND($C706&lt;&gt;"",$B706&lt;&gt;"",$C706&lt;$B706),"⚠ Vencimento anterior à competência","OK"))))))))</f>
        <v/>
      </c>
    </row>
    <row r="707">
      <c r="A707" s="14" t="inlineStr">
        <is>
          <t>L0702</t>
        </is>
      </c>
      <c r="B707" s="36" t="n">
        <v>47197</v>
      </c>
      <c r="C707" s="36" t="n">
        <v>47197</v>
      </c>
      <c r="D707" s="36" t="n"/>
      <c r="E707" s="14" t="inlineStr">
        <is>
          <t>Saída</t>
        </is>
      </c>
      <c r="F707" s="29" t="inlineStr">
        <is>
          <t>Empréstimos e Financiamentos</t>
        </is>
      </c>
      <c r="G707" s="29" t="inlineStr">
        <is>
          <t>Pagamento de Principal de Empréstimos</t>
        </is>
      </c>
      <c r="H707" s="29" t="inlineStr">
        <is>
          <t>Diretoria</t>
        </is>
      </c>
      <c r="I707" s="29" t="inlineStr">
        <is>
          <t>Banco Santander</t>
        </is>
      </c>
      <c r="J707" s="29" t="inlineStr">
        <is>
          <t>Financiamento de Veículo — parcela 38/48 (principal)</t>
        </is>
      </c>
      <c r="K707" s="14" t="inlineStr">
        <is>
          <t>VEI-2026-0088-P38</t>
        </is>
      </c>
      <c r="L707" s="29" t="inlineStr">
        <is>
          <t>Itaú Unibanco — C/C 45678-9</t>
        </is>
      </c>
      <c r="M707" s="14" t="inlineStr">
        <is>
          <t>Débito automático</t>
        </is>
      </c>
      <c r="N707" s="29" t="n"/>
      <c r="O707" s="13" t="n">
        <v>38</v>
      </c>
      <c r="P707" s="13" t="n">
        <v>48</v>
      </c>
      <c r="Q707" s="35" t="n">
        <v>1942.09</v>
      </c>
      <c r="R707" s="35" t="n"/>
      <c r="S707" s="35" t="n"/>
      <c r="T707" s="35" t="n"/>
      <c r="U707" s="35" t="n"/>
      <c r="V707" s="18">
        <f>IF(COUNTA($B707:$R707)=0,"",ROUND(N($R707)+N($S707)+N($T707)-N($U707),2))</f>
        <v/>
      </c>
      <c r="W707" s="18">
        <f>IF(COUNTA($B707:$R707)=0,"",IF(OR($X707="Pago",$X707="Recebido",$X707="Cancelado"),0,ROUND(N($Q707)+N($S707)+N($T707)-N($U707)-N($R707),2)))</f>
        <v/>
      </c>
      <c r="X707" s="14" t="inlineStr">
        <is>
          <t>Previsto</t>
        </is>
      </c>
      <c r="Y707" s="17">
        <f>IF(COUNTA($B707:$R707)=0,"",IF($X707="Cancelado","Cancelado",IF(OR($X707="Pago",$X707="Recebido"),$X707,IF(OR($X707="Parcial",N($R707)&gt;0),"Parcial",IF($C707="","Sem vencimento",IF($C707&lt;TODAY(),"Vencido",IF($C707=TODAY(),"Vence hoje",IF($C707&lt;=TODAY()+7,"Vence em 7 dias",IF($C707&lt;=TODAY()+30,"Vence em 30 dias","Futuro")))))))))</f>
        <v/>
      </c>
      <c r="Z707" s="24">
        <f>IF($B707="","",MONTH($B707))</f>
        <v/>
      </c>
      <c r="AA707" s="24">
        <f>IF($B707="","",YEAR($B707))</f>
        <v/>
      </c>
      <c r="AB707" s="24">
        <f>IF($B707="","",ISOWEEKNUM($B707))</f>
        <v/>
      </c>
      <c r="AC707" s="17">
        <f>IF($B707="","",CHOOSE(WEEKDAY($B707,2),"Segunda","Terça","Quarta","Quinta","Sexta","Sábado","Domingo"))</f>
        <v/>
      </c>
      <c r="AD707" s="17">
        <f>IF($B707="","",TEXT($B707,"MM/AAAA"))</f>
        <v/>
      </c>
      <c r="AE707" s="18">
        <f>IF(COUNTA($B707:$R707)=0,"",IF($X707="Cancelado",0,ROUND(N($Q707)+N($S707)+N($T707)-N($U707),2)))</f>
        <v/>
      </c>
      <c r="AF707" s="9">
        <f>IF($G707="","",IFERROR(INDEX(LINHAS_DRE_PLANO,MATCH($G707,SUBCATEGORIAS_PLANO,0)),"Não classificado"))</f>
        <v/>
      </c>
      <c r="AG707" s="17">
        <f>IF($G707="","",IFERROR(INDEX(TIPOS_FLUXO_PLANO,MATCH($G707,SUBCATEGORIAS_PLANO,0)),"Não classificado"))</f>
        <v/>
      </c>
      <c r="AH707" s="9">
        <f>IF($G707="","",IFERROR(INDEX(GRUPOS_PLANO,MATCH($G707,SUBCATEGORIAS_PLANO,0)),"Não classificado"))</f>
        <v/>
      </c>
      <c r="AI707" s="24">
        <f>IF(OR($C707="",$X707="Pago",$X707="Recebido",$X707="Cancelado"),"",$C707-TODAY())</f>
        <v/>
      </c>
      <c r="AJ707" s="24">
        <f>IF(OR($C707="",$X707="Pago",$X707="Recebido",$X707="Cancelado"),0,MAX(0,TODAY()-$C707))</f>
        <v/>
      </c>
      <c r="AK707" s="24">
        <f>IF($D707="","",$D707-$B707)</f>
        <v/>
      </c>
      <c r="AL707" s="18">
        <f>IF(OR($D707="",$B707=""),"",ROUND(N($R707)*($D707-$B707),2))</f>
        <v/>
      </c>
      <c r="AM707" s="17">
        <f>IF(AND($E707="Saída",$W707&gt;0,$C707&lt;&gt;""),$C707+ROW()/1000000,"")</f>
        <v/>
      </c>
      <c r="AN707" s="17">
        <f>IF(AND($E707="Entrada",$W707&gt;0,$C707&lt;&gt;""),$C707+ROW()/1000000,"")</f>
        <v/>
      </c>
      <c r="AO707" s="9">
        <f>IF(COUNTA($B707:$R707)=0,"",IF(AND($I707&lt;&gt;"",COUNTIF(CLIENTES_NOMES,$I707)+COUNTIF(CLIENTES_FANTASIA,$I707)+COUNTIF(FORNECEDORES_NOMES,$I707)+COUNTIF(FORNECEDORES_FANTASIA,$I707)=0),"⚠ Cliente/Fornecedor não cadastrado",IF(AND($G707&lt;&gt;"",COUNTIF(SUBCATEGORIAS_PLANO,$G707)=0),"⚠ Subcategoria fora do plano de contas",IF(OR($Q707="",N($Q707)=0),"⚠ Valor previsto não informado",IF(AND(OR($X707="Pago",$X707="Recebido"),$D707=""),"⚠ Status pago/recebido sem data",IF(AND($D707&lt;&gt;"",N($R707)=0),"⚠ Data de pagamento sem valor realizado",IF(AND(N($P707)&gt;1,N($O707)&gt;N($P707)),"⚠ Nº da parcela maior que o total",IF(AND($C707&lt;&gt;"",$B707&lt;&gt;"",$C707&lt;$B707),"⚠ Vencimento anterior à competência","OK"))))))))</f>
        <v/>
      </c>
    </row>
    <row r="708">
      <c r="A708" s="14" t="inlineStr">
        <is>
          <t>L0703</t>
        </is>
      </c>
      <c r="B708" s="36" t="n">
        <v>47197</v>
      </c>
      <c r="C708" s="36" t="n">
        <v>47197</v>
      </c>
      <c r="D708" s="36" t="n"/>
      <c r="E708" s="14" t="inlineStr">
        <is>
          <t>Saída</t>
        </is>
      </c>
      <c r="F708" s="29" t="inlineStr">
        <is>
          <t>Despesas Financeiras</t>
        </is>
      </c>
      <c r="G708" s="29" t="inlineStr">
        <is>
          <t>Juros de Empréstimos e Financiamentos</t>
        </is>
      </c>
      <c r="H708" s="29" t="inlineStr">
        <is>
          <t>Diretoria</t>
        </is>
      </c>
      <c r="I708" s="29" t="inlineStr">
        <is>
          <t>Banco Santander</t>
        </is>
      </c>
      <c r="J708" s="29" t="inlineStr">
        <is>
          <t>Financiamento de Veículo — parcela 38/48 (juros)</t>
        </is>
      </c>
      <c r="K708" s="14" t="inlineStr">
        <is>
          <t>VEI-2026-0088-P38</t>
        </is>
      </c>
      <c r="L708" s="29" t="inlineStr">
        <is>
          <t>Itaú Unibanco — C/C 45678-9</t>
        </is>
      </c>
      <c r="M708" s="14" t="inlineStr">
        <is>
          <t>Débito automático</t>
        </is>
      </c>
      <c r="N708" s="29" t="n"/>
      <c r="O708" s="13" t="n">
        <v>38</v>
      </c>
      <c r="P708" s="13" t="n">
        <v>48</v>
      </c>
      <c r="Q708" s="35" t="n">
        <v>284.37</v>
      </c>
      <c r="R708" s="35" t="n"/>
      <c r="S708" s="35" t="n"/>
      <c r="T708" s="35" t="n"/>
      <c r="U708" s="35" t="n"/>
      <c r="V708" s="18">
        <f>IF(COUNTA($B708:$R708)=0,"",ROUND(N($R708)+N($S708)+N($T708)-N($U708),2))</f>
        <v/>
      </c>
      <c r="W708" s="18">
        <f>IF(COUNTA($B708:$R708)=0,"",IF(OR($X708="Pago",$X708="Recebido",$X708="Cancelado"),0,ROUND(N($Q708)+N($S708)+N($T708)-N($U708)-N($R708),2)))</f>
        <v/>
      </c>
      <c r="X708" s="14" t="inlineStr">
        <is>
          <t>Previsto</t>
        </is>
      </c>
      <c r="Y708" s="17">
        <f>IF(COUNTA($B708:$R708)=0,"",IF($X708="Cancelado","Cancelado",IF(OR($X708="Pago",$X708="Recebido"),$X708,IF(OR($X708="Parcial",N($R708)&gt;0),"Parcial",IF($C708="","Sem vencimento",IF($C708&lt;TODAY(),"Vencido",IF($C708=TODAY(),"Vence hoje",IF($C708&lt;=TODAY()+7,"Vence em 7 dias",IF($C708&lt;=TODAY()+30,"Vence em 30 dias","Futuro")))))))))</f>
        <v/>
      </c>
      <c r="Z708" s="24">
        <f>IF($B708="","",MONTH($B708))</f>
        <v/>
      </c>
      <c r="AA708" s="24">
        <f>IF($B708="","",YEAR($B708))</f>
        <v/>
      </c>
      <c r="AB708" s="24">
        <f>IF($B708="","",ISOWEEKNUM($B708))</f>
        <v/>
      </c>
      <c r="AC708" s="17">
        <f>IF($B708="","",CHOOSE(WEEKDAY($B708,2),"Segunda","Terça","Quarta","Quinta","Sexta","Sábado","Domingo"))</f>
        <v/>
      </c>
      <c r="AD708" s="17">
        <f>IF($B708="","",TEXT($B708,"MM/AAAA"))</f>
        <v/>
      </c>
      <c r="AE708" s="18">
        <f>IF(COUNTA($B708:$R708)=0,"",IF($X708="Cancelado",0,ROUND(N($Q708)+N($S708)+N($T708)-N($U708),2)))</f>
        <v/>
      </c>
      <c r="AF708" s="9">
        <f>IF($G708="","",IFERROR(INDEX(LINHAS_DRE_PLANO,MATCH($G708,SUBCATEGORIAS_PLANO,0)),"Não classificado"))</f>
        <v/>
      </c>
      <c r="AG708" s="17">
        <f>IF($G708="","",IFERROR(INDEX(TIPOS_FLUXO_PLANO,MATCH($G708,SUBCATEGORIAS_PLANO,0)),"Não classificado"))</f>
        <v/>
      </c>
      <c r="AH708" s="9">
        <f>IF($G708="","",IFERROR(INDEX(GRUPOS_PLANO,MATCH($G708,SUBCATEGORIAS_PLANO,0)),"Não classificado"))</f>
        <v/>
      </c>
      <c r="AI708" s="24">
        <f>IF(OR($C708="",$X708="Pago",$X708="Recebido",$X708="Cancelado"),"",$C708-TODAY())</f>
        <v/>
      </c>
      <c r="AJ708" s="24">
        <f>IF(OR($C708="",$X708="Pago",$X708="Recebido",$X708="Cancelado"),0,MAX(0,TODAY()-$C708))</f>
        <v/>
      </c>
      <c r="AK708" s="24">
        <f>IF($D708="","",$D708-$B708)</f>
        <v/>
      </c>
      <c r="AL708" s="18">
        <f>IF(OR($D708="",$B708=""),"",ROUND(N($R708)*($D708-$B708),2))</f>
        <v/>
      </c>
      <c r="AM708" s="17">
        <f>IF(AND($E708="Saída",$W708&gt;0,$C708&lt;&gt;""),$C708+ROW()/1000000,"")</f>
        <v/>
      </c>
      <c r="AN708" s="17">
        <f>IF(AND($E708="Entrada",$W708&gt;0,$C708&lt;&gt;""),$C708+ROW()/1000000,"")</f>
        <v/>
      </c>
      <c r="AO708" s="9">
        <f>IF(COUNTA($B708:$R708)=0,"",IF(AND($I708&lt;&gt;"",COUNTIF(CLIENTES_NOMES,$I708)+COUNTIF(CLIENTES_FANTASIA,$I708)+COUNTIF(FORNECEDORES_NOMES,$I708)+COUNTIF(FORNECEDORES_FANTASIA,$I708)=0),"⚠ Cliente/Fornecedor não cadastrado",IF(AND($G708&lt;&gt;"",COUNTIF(SUBCATEGORIAS_PLANO,$G708)=0),"⚠ Subcategoria fora do plano de contas",IF(OR($Q708="",N($Q708)=0),"⚠ Valor previsto não informado",IF(AND(OR($X708="Pago",$X708="Recebido"),$D708=""),"⚠ Status pago/recebido sem data",IF(AND($D708&lt;&gt;"",N($R708)=0),"⚠ Data de pagamento sem valor realizado",IF(AND(N($P708)&gt;1,N($O708)&gt;N($P708)),"⚠ Nº da parcela maior que o total",IF(AND($C708&lt;&gt;"",$B708&lt;&gt;"",$C708&lt;$B708),"⚠ Vencimento anterior à competência","OK"))))))))</f>
        <v/>
      </c>
    </row>
    <row r="709">
      <c r="A709" s="14" t="inlineStr">
        <is>
          <t>L0704</t>
        </is>
      </c>
      <c r="B709" s="36" t="n">
        <v>47228</v>
      </c>
      <c r="C709" s="36" t="n">
        <v>47228</v>
      </c>
      <c r="D709" s="36" t="n"/>
      <c r="E709" s="14" t="inlineStr">
        <is>
          <t>Saída</t>
        </is>
      </c>
      <c r="F709" s="29" t="inlineStr">
        <is>
          <t>Empréstimos e Financiamentos</t>
        </is>
      </c>
      <c r="G709" s="29" t="inlineStr">
        <is>
          <t>Pagamento de Principal de Empréstimos</t>
        </is>
      </c>
      <c r="H709" s="29" t="inlineStr">
        <is>
          <t>Diretoria</t>
        </is>
      </c>
      <c r="I709" s="29" t="inlineStr">
        <is>
          <t>Banco Santander</t>
        </is>
      </c>
      <c r="J709" s="29" t="inlineStr">
        <is>
          <t>Financiamento de Veículo — parcela 39/48 (principal)</t>
        </is>
      </c>
      <c r="K709" s="14" t="inlineStr">
        <is>
          <t>VEI-2026-0088-P39</t>
        </is>
      </c>
      <c r="L709" s="29" t="inlineStr">
        <is>
          <t>Itaú Unibanco — C/C 45678-9</t>
        </is>
      </c>
      <c r="M709" s="14" t="inlineStr">
        <is>
          <t>Débito automático</t>
        </is>
      </c>
      <c r="N709" s="29" t="n"/>
      <c r="O709" s="13" t="n">
        <v>39</v>
      </c>
      <c r="P709" s="13" t="n">
        <v>48</v>
      </c>
      <c r="Q709" s="35" t="n">
        <v>1966.37</v>
      </c>
      <c r="R709" s="35" t="n"/>
      <c r="S709" s="35" t="n"/>
      <c r="T709" s="35" t="n"/>
      <c r="U709" s="35" t="n"/>
      <c r="V709" s="18">
        <f>IF(COUNTA($B709:$R709)=0,"",ROUND(N($R709)+N($S709)+N($T709)-N($U709),2))</f>
        <v/>
      </c>
      <c r="W709" s="18">
        <f>IF(COUNTA($B709:$R709)=0,"",IF(OR($X709="Pago",$X709="Recebido",$X709="Cancelado"),0,ROUND(N($Q709)+N($S709)+N($T709)-N($U709)-N($R709),2)))</f>
        <v/>
      </c>
      <c r="X709" s="14" t="inlineStr">
        <is>
          <t>Previsto</t>
        </is>
      </c>
      <c r="Y709" s="17">
        <f>IF(COUNTA($B709:$R709)=0,"",IF($X709="Cancelado","Cancelado",IF(OR($X709="Pago",$X709="Recebido"),$X709,IF(OR($X709="Parcial",N($R709)&gt;0),"Parcial",IF($C709="","Sem vencimento",IF($C709&lt;TODAY(),"Vencido",IF($C709=TODAY(),"Vence hoje",IF($C709&lt;=TODAY()+7,"Vence em 7 dias",IF($C709&lt;=TODAY()+30,"Vence em 30 dias","Futuro")))))))))</f>
        <v/>
      </c>
      <c r="Z709" s="24">
        <f>IF($B709="","",MONTH($B709))</f>
        <v/>
      </c>
      <c r="AA709" s="24">
        <f>IF($B709="","",YEAR($B709))</f>
        <v/>
      </c>
      <c r="AB709" s="24">
        <f>IF($B709="","",ISOWEEKNUM($B709))</f>
        <v/>
      </c>
      <c r="AC709" s="17">
        <f>IF($B709="","",CHOOSE(WEEKDAY($B709,2),"Segunda","Terça","Quarta","Quinta","Sexta","Sábado","Domingo"))</f>
        <v/>
      </c>
      <c r="AD709" s="17">
        <f>IF($B709="","",TEXT($B709,"MM/AAAA"))</f>
        <v/>
      </c>
      <c r="AE709" s="18">
        <f>IF(COUNTA($B709:$R709)=0,"",IF($X709="Cancelado",0,ROUND(N($Q709)+N($S709)+N($T709)-N($U709),2)))</f>
        <v/>
      </c>
      <c r="AF709" s="9">
        <f>IF($G709="","",IFERROR(INDEX(LINHAS_DRE_PLANO,MATCH($G709,SUBCATEGORIAS_PLANO,0)),"Não classificado"))</f>
        <v/>
      </c>
      <c r="AG709" s="17">
        <f>IF($G709="","",IFERROR(INDEX(TIPOS_FLUXO_PLANO,MATCH($G709,SUBCATEGORIAS_PLANO,0)),"Não classificado"))</f>
        <v/>
      </c>
      <c r="AH709" s="9">
        <f>IF($G709="","",IFERROR(INDEX(GRUPOS_PLANO,MATCH($G709,SUBCATEGORIAS_PLANO,0)),"Não classificado"))</f>
        <v/>
      </c>
      <c r="AI709" s="24">
        <f>IF(OR($C709="",$X709="Pago",$X709="Recebido",$X709="Cancelado"),"",$C709-TODAY())</f>
        <v/>
      </c>
      <c r="AJ709" s="24">
        <f>IF(OR($C709="",$X709="Pago",$X709="Recebido",$X709="Cancelado"),0,MAX(0,TODAY()-$C709))</f>
        <v/>
      </c>
      <c r="AK709" s="24">
        <f>IF($D709="","",$D709-$B709)</f>
        <v/>
      </c>
      <c r="AL709" s="18">
        <f>IF(OR($D709="",$B709=""),"",ROUND(N($R709)*($D709-$B709),2))</f>
        <v/>
      </c>
      <c r="AM709" s="17">
        <f>IF(AND($E709="Saída",$W709&gt;0,$C709&lt;&gt;""),$C709+ROW()/1000000,"")</f>
        <v/>
      </c>
      <c r="AN709" s="17">
        <f>IF(AND($E709="Entrada",$W709&gt;0,$C709&lt;&gt;""),$C709+ROW()/1000000,"")</f>
        <v/>
      </c>
      <c r="AO709" s="9">
        <f>IF(COUNTA($B709:$R709)=0,"",IF(AND($I709&lt;&gt;"",COUNTIF(CLIENTES_NOMES,$I709)+COUNTIF(CLIENTES_FANTASIA,$I709)+COUNTIF(FORNECEDORES_NOMES,$I709)+COUNTIF(FORNECEDORES_FANTASIA,$I709)=0),"⚠ Cliente/Fornecedor não cadastrado",IF(AND($G709&lt;&gt;"",COUNTIF(SUBCATEGORIAS_PLANO,$G709)=0),"⚠ Subcategoria fora do plano de contas",IF(OR($Q709="",N($Q709)=0),"⚠ Valor previsto não informado",IF(AND(OR($X709="Pago",$X709="Recebido"),$D709=""),"⚠ Status pago/recebido sem data",IF(AND($D709&lt;&gt;"",N($R709)=0),"⚠ Data de pagamento sem valor realizado",IF(AND(N($P709)&gt;1,N($O709)&gt;N($P709)),"⚠ Nº da parcela maior que o total",IF(AND($C709&lt;&gt;"",$B709&lt;&gt;"",$C709&lt;$B709),"⚠ Vencimento anterior à competência","OK"))))))))</f>
        <v/>
      </c>
    </row>
    <row r="710">
      <c r="A710" s="14" t="inlineStr">
        <is>
          <t>L0705</t>
        </is>
      </c>
      <c r="B710" s="36" t="n">
        <v>47228</v>
      </c>
      <c r="C710" s="36" t="n">
        <v>47228</v>
      </c>
      <c r="D710" s="36" t="n"/>
      <c r="E710" s="14" t="inlineStr">
        <is>
          <t>Saída</t>
        </is>
      </c>
      <c r="F710" s="29" t="inlineStr">
        <is>
          <t>Despesas Financeiras</t>
        </is>
      </c>
      <c r="G710" s="29" t="inlineStr">
        <is>
          <t>Juros de Empréstimos e Financiamentos</t>
        </is>
      </c>
      <c r="H710" s="29" t="inlineStr">
        <is>
          <t>Diretoria</t>
        </is>
      </c>
      <c r="I710" s="29" t="inlineStr">
        <is>
          <t>Banco Santander</t>
        </is>
      </c>
      <c r="J710" s="29" t="inlineStr">
        <is>
          <t>Financiamento de Veículo — parcela 39/48 (juros)</t>
        </is>
      </c>
      <c r="K710" s="14" t="inlineStr">
        <is>
          <t>VEI-2026-0088-P39</t>
        </is>
      </c>
      <c r="L710" s="29" t="inlineStr">
        <is>
          <t>Itaú Unibanco — C/C 45678-9</t>
        </is>
      </c>
      <c r="M710" s="14" t="inlineStr">
        <is>
          <t>Débito automático</t>
        </is>
      </c>
      <c r="N710" s="29" t="n"/>
      <c r="O710" s="13" t="n">
        <v>39</v>
      </c>
      <c r="P710" s="13" t="n">
        <v>48</v>
      </c>
      <c r="Q710" s="35" t="n">
        <v>260.09</v>
      </c>
      <c r="R710" s="35" t="n"/>
      <c r="S710" s="35" t="n"/>
      <c r="T710" s="35" t="n"/>
      <c r="U710" s="35" t="n"/>
      <c r="V710" s="18">
        <f>IF(COUNTA($B710:$R710)=0,"",ROUND(N($R710)+N($S710)+N($T710)-N($U710),2))</f>
        <v/>
      </c>
      <c r="W710" s="18">
        <f>IF(COUNTA($B710:$R710)=0,"",IF(OR($X710="Pago",$X710="Recebido",$X710="Cancelado"),0,ROUND(N($Q710)+N($S710)+N($T710)-N($U710)-N($R710),2)))</f>
        <v/>
      </c>
      <c r="X710" s="14" t="inlineStr">
        <is>
          <t>Previsto</t>
        </is>
      </c>
      <c r="Y710" s="17">
        <f>IF(COUNTA($B710:$R710)=0,"",IF($X710="Cancelado","Cancelado",IF(OR($X710="Pago",$X710="Recebido"),$X710,IF(OR($X710="Parcial",N($R710)&gt;0),"Parcial",IF($C710="","Sem vencimento",IF($C710&lt;TODAY(),"Vencido",IF($C710=TODAY(),"Vence hoje",IF($C710&lt;=TODAY()+7,"Vence em 7 dias",IF($C710&lt;=TODAY()+30,"Vence em 30 dias","Futuro")))))))))</f>
        <v/>
      </c>
      <c r="Z710" s="24">
        <f>IF($B710="","",MONTH($B710))</f>
        <v/>
      </c>
      <c r="AA710" s="24">
        <f>IF($B710="","",YEAR($B710))</f>
        <v/>
      </c>
      <c r="AB710" s="24">
        <f>IF($B710="","",ISOWEEKNUM($B710))</f>
        <v/>
      </c>
      <c r="AC710" s="17">
        <f>IF($B710="","",CHOOSE(WEEKDAY($B710,2),"Segunda","Terça","Quarta","Quinta","Sexta","Sábado","Domingo"))</f>
        <v/>
      </c>
      <c r="AD710" s="17">
        <f>IF($B710="","",TEXT($B710,"MM/AAAA"))</f>
        <v/>
      </c>
      <c r="AE710" s="18">
        <f>IF(COUNTA($B710:$R710)=0,"",IF($X710="Cancelado",0,ROUND(N($Q710)+N($S710)+N($T710)-N($U710),2)))</f>
        <v/>
      </c>
      <c r="AF710" s="9">
        <f>IF($G710="","",IFERROR(INDEX(LINHAS_DRE_PLANO,MATCH($G710,SUBCATEGORIAS_PLANO,0)),"Não classificado"))</f>
        <v/>
      </c>
      <c r="AG710" s="17">
        <f>IF($G710="","",IFERROR(INDEX(TIPOS_FLUXO_PLANO,MATCH($G710,SUBCATEGORIAS_PLANO,0)),"Não classificado"))</f>
        <v/>
      </c>
      <c r="AH710" s="9">
        <f>IF($G710="","",IFERROR(INDEX(GRUPOS_PLANO,MATCH($G710,SUBCATEGORIAS_PLANO,0)),"Não classificado"))</f>
        <v/>
      </c>
      <c r="AI710" s="24">
        <f>IF(OR($C710="",$X710="Pago",$X710="Recebido",$X710="Cancelado"),"",$C710-TODAY())</f>
        <v/>
      </c>
      <c r="AJ710" s="24">
        <f>IF(OR($C710="",$X710="Pago",$X710="Recebido",$X710="Cancelado"),0,MAX(0,TODAY()-$C710))</f>
        <v/>
      </c>
      <c r="AK710" s="24">
        <f>IF($D710="","",$D710-$B710)</f>
        <v/>
      </c>
      <c r="AL710" s="18">
        <f>IF(OR($D710="",$B710=""),"",ROUND(N($R710)*($D710-$B710),2))</f>
        <v/>
      </c>
      <c r="AM710" s="17">
        <f>IF(AND($E710="Saída",$W710&gt;0,$C710&lt;&gt;""),$C710+ROW()/1000000,"")</f>
        <v/>
      </c>
      <c r="AN710" s="17">
        <f>IF(AND($E710="Entrada",$W710&gt;0,$C710&lt;&gt;""),$C710+ROW()/1000000,"")</f>
        <v/>
      </c>
      <c r="AO710" s="9">
        <f>IF(COUNTA($B710:$R710)=0,"",IF(AND($I710&lt;&gt;"",COUNTIF(CLIENTES_NOMES,$I710)+COUNTIF(CLIENTES_FANTASIA,$I710)+COUNTIF(FORNECEDORES_NOMES,$I710)+COUNTIF(FORNECEDORES_FANTASIA,$I710)=0),"⚠ Cliente/Fornecedor não cadastrado",IF(AND($G710&lt;&gt;"",COUNTIF(SUBCATEGORIAS_PLANO,$G710)=0),"⚠ Subcategoria fora do plano de contas",IF(OR($Q710="",N($Q710)=0),"⚠ Valor previsto não informado",IF(AND(OR($X710="Pago",$X710="Recebido"),$D710=""),"⚠ Status pago/recebido sem data",IF(AND($D710&lt;&gt;"",N($R710)=0),"⚠ Data de pagamento sem valor realizado",IF(AND(N($P710)&gt;1,N($O710)&gt;N($P710)),"⚠ Nº da parcela maior que o total",IF(AND($C710&lt;&gt;"",$B710&lt;&gt;"",$C710&lt;$B710),"⚠ Vencimento anterior à competência","OK"))))))))</f>
        <v/>
      </c>
    </row>
    <row r="711">
      <c r="A711" s="14" t="inlineStr">
        <is>
          <t>L0706</t>
        </is>
      </c>
      <c r="B711" s="36" t="n">
        <v>47258</v>
      </c>
      <c r="C711" s="36" t="n">
        <v>47258</v>
      </c>
      <c r="D711" s="36" t="n"/>
      <c r="E711" s="14" t="inlineStr">
        <is>
          <t>Saída</t>
        </is>
      </c>
      <c r="F711" s="29" t="inlineStr">
        <is>
          <t>Empréstimos e Financiamentos</t>
        </is>
      </c>
      <c r="G711" s="29" t="inlineStr">
        <is>
          <t>Pagamento de Principal de Empréstimos</t>
        </is>
      </c>
      <c r="H711" s="29" t="inlineStr">
        <is>
          <t>Diretoria</t>
        </is>
      </c>
      <c r="I711" s="29" t="inlineStr">
        <is>
          <t>Banco Santander</t>
        </is>
      </c>
      <c r="J711" s="29" t="inlineStr">
        <is>
          <t>Financiamento de Veículo — parcela 40/48 (principal)</t>
        </is>
      </c>
      <c r="K711" s="14" t="inlineStr">
        <is>
          <t>VEI-2026-0088-P40</t>
        </is>
      </c>
      <c r="L711" s="29" t="inlineStr">
        <is>
          <t>Itaú Unibanco — C/C 45678-9</t>
        </is>
      </c>
      <c r="M711" s="14" t="inlineStr">
        <is>
          <t>Débito automático</t>
        </is>
      </c>
      <c r="N711" s="29" t="n"/>
      <c r="O711" s="13" t="n">
        <v>40</v>
      </c>
      <c r="P711" s="13" t="n">
        <v>48</v>
      </c>
      <c r="Q711" s="35" t="n">
        <v>1990.95</v>
      </c>
      <c r="R711" s="35" t="n"/>
      <c r="S711" s="35" t="n"/>
      <c r="T711" s="35" t="n"/>
      <c r="U711" s="35" t="n"/>
      <c r="V711" s="18">
        <f>IF(COUNTA($B711:$R711)=0,"",ROUND(N($R711)+N($S711)+N($T711)-N($U711),2))</f>
        <v/>
      </c>
      <c r="W711" s="18">
        <f>IF(COUNTA($B711:$R711)=0,"",IF(OR($X711="Pago",$X711="Recebido",$X711="Cancelado"),0,ROUND(N($Q711)+N($S711)+N($T711)-N($U711)-N($R711),2)))</f>
        <v/>
      </c>
      <c r="X711" s="14" t="inlineStr">
        <is>
          <t>Previsto</t>
        </is>
      </c>
      <c r="Y711" s="17">
        <f>IF(COUNTA($B711:$R711)=0,"",IF($X711="Cancelado","Cancelado",IF(OR($X711="Pago",$X711="Recebido"),$X711,IF(OR($X711="Parcial",N($R711)&gt;0),"Parcial",IF($C711="","Sem vencimento",IF($C711&lt;TODAY(),"Vencido",IF($C711=TODAY(),"Vence hoje",IF($C711&lt;=TODAY()+7,"Vence em 7 dias",IF($C711&lt;=TODAY()+30,"Vence em 30 dias","Futuro")))))))))</f>
        <v/>
      </c>
      <c r="Z711" s="24">
        <f>IF($B711="","",MONTH($B711))</f>
        <v/>
      </c>
      <c r="AA711" s="24">
        <f>IF($B711="","",YEAR($B711))</f>
        <v/>
      </c>
      <c r="AB711" s="24">
        <f>IF($B711="","",ISOWEEKNUM($B711))</f>
        <v/>
      </c>
      <c r="AC711" s="17">
        <f>IF($B711="","",CHOOSE(WEEKDAY($B711,2),"Segunda","Terça","Quarta","Quinta","Sexta","Sábado","Domingo"))</f>
        <v/>
      </c>
      <c r="AD711" s="17">
        <f>IF($B711="","",TEXT($B711,"MM/AAAA"))</f>
        <v/>
      </c>
      <c r="AE711" s="18">
        <f>IF(COUNTA($B711:$R711)=0,"",IF($X711="Cancelado",0,ROUND(N($Q711)+N($S711)+N($T711)-N($U711),2)))</f>
        <v/>
      </c>
      <c r="AF711" s="9">
        <f>IF($G711="","",IFERROR(INDEX(LINHAS_DRE_PLANO,MATCH($G711,SUBCATEGORIAS_PLANO,0)),"Não classificado"))</f>
        <v/>
      </c>
      <c r="AG711" s="17">
        <f>IF($G711="","",IFERROR(INDEX(TIPOS_FLUXO_PLANO,MATCH($G711,SUBCATEGORIAS_PLANO,0)),"Não classificado"))</f>
        <v/>
      </c>
      <c r="AH711" s="9">
        <f>IF($G711="","",IFERROR(INDEX(GRUPOS_PLANO,MATCH($G711,SUBCATEGORIAS_PLANO,0)),"Não classificado"))</f>
        <v/>
      </c>
      <c r="AI711" s="24">
        <f>IF(OR($C711="",$X711="Pago",$X711="Recebido",$X711="Cancelado"),"",$C711-TODAY())</f>
        <v/>
      </c>
      <c r="AJ711" s="24">
        <f>IF(OR($C711="",$X711="Pago",$X711="Recebido",$X711="Cancelado"),0,MAX(0,TODAY()-$C711))</f>
        <v/>
      </c>
      <c r="AK711" s="24">
        <f>IF($D711="","",$D711-$B711)</f>
        <v/>
      </c>
      <c r="AL711" s="18">
        <f>IF(OR($D711="",$B711=""),"",ROUND(N($R711)*($D711-$B711),2))</f>
        <v/>
      </c>
      <c r="AM711" s="17">
        <f>IF(AND($E711="Saída",$W711&gt;0,$C711&lt;&gt;""),$C711+ROW()/1000000,"")</f>
        <v/>
      </c>
      <c r="AN711" s="17">
        <f>IF(AND($E711="Entrada",$W711&gt;0,$C711&lt;&gt;""),$C711+ROW()/1000000,"")</f>
        <v/>
      </c>
      <c r="AO711" s="9">
        <f>IF(COUNTA($B711:$R711)=0,"",IF(AND($I711&lt;&gt;"",COUNTIF(CLIENTES_NOMES,$I711)+COUNTIF(CLIENTES_FANTASIA,$I711)+COUNTIF(FORNECEDORES_NOMES,$I711)+COUNTIF(FORNECEDORES_FANTASIA,$I711)=0),"⚠ Cliente/Fornecedor não cadastrado",IF(AND($G711&lt;&gt;"",COUNTIF(SUBCATEGORIAS_PLANO,$G711)=0),"⚠ Subcategoria fora do plano de contas",IF(OR($Q711="",N($Q711)=0),"⚠ Valor previsto não informado",IF(AND(OR($X711="Pago",$X711="Recebido"),$D711=""),"⚠ Status pago/recebido sem data",IF(AND($D711&lt;&gt;"",N($R711)=0),"⚠ Data de pagamento sem valor realizado",IF(AND(N($P711)&gt;1,N($O711)&gt;N($P711)),"⚠ Nº da parcela maior que o total",IF(AND($C711&lt;&gt;"",$B711&lt;&gt;"",$C711&lt;$B711),"⚠ Vencimento anterior à competência","OK"))))))))</f>
        <v/>
      </c>
    </row>
    <row r="712">
      <c r="A712" s="14" t="inlineStr">
        <is>
          <t>L0707</t>
        </is>
      </c>
      <c r="B712" s="36" t="n">
        <v>47258</v>
      </c>
      <c r="C712" s="36" t="n">
        <v>47258</v>
      </c>
      <c r="D712" s="36" t="n"/>
      <c r="E712" s="14" t="inlineStr">
        <is>
          <t>Saída</t>
        </is>
      </c>
      <c r="F712" s="29" t="inlineStr">
        <is>
          <t>Despesas Financeiras</t>
        </is>
      </c>
      <c r="G712" s="29" t="inlineStr">
        <is>
          <t>Juros de Empréstimos e Financiamentos</t>
        </is>
      </c>
      <c r="H712" s="29" t="inlineStr">
        <is>
          <t>Diretoria</t>
        </is>
      </c>
      <c r="I712" s="29" t="inlineStr">
        <is>
          <t>Banco Santander</t>
        </is>
      </c>
      <c r="J712" s="29" t="inlineStr">
        <is>
          <t>Financiamento de Veículo — parcela 40/48 (juros)</t>
        </is>
      </c>
      <c r="K712" s="14" t="inlineStr">
        <is>
          <t>VEI-2026-0088-P40</t>
        </is>
      </c>
      <c r="L712" s="29" t="inlineStr">
        <is>
          <t>Itaú Unibanco — C/C 45678-9</t>
        </is>
      </c>
      <c r="M712" s="14" t="inlineStr">
        <is>
          <t>Débito automático</t>
        </is>
      </c>
      <c r="N712" s="29" t="n"/>
      <c r="O712" s="13" t="n">
        <v>40</v>
      </c>
      <c r="P712" s="13" t="n">
        <v>48</v>
      </c>
      <c r="Q712" s="35" t="n">
        <v>235.51</v>
      </c>
      <c r="R712" s="35" t="n"/>
      <c r="S712" s="35" t="n"/>
      <c r="T712" s="35" t="n"/>
      <c r="U712" s="35" t="n"/>
      <c r="V712" s="18">
        <f>IF(COUNTA($B712:$R712)=0,"",ROUND(N($R712)+N($S712)+N($T712)-N($U712),2))</f>
        <v/>
      </c>
      <c r="W712" s="18">
        <f>IF(COUNTA($B712:$R712)=0,"",IF(OR($X712="Pago",$X712="Recebido",$X712="Cancelado"),0,ROUND(N($Q712)+N($S712)+N($T712)-N($U712)-N($R712),2)))</f>
        <v/>
      </c>
      <c r="X712" s="14" t="inlineStr">
        <is>
          <t>Previsto</t>
        </is>
      </c>
      <c r="Y712" s="17">
        <f>IF(COUNTA($B712:$R712)=0,"",IF($X712="Cancelado","Cancelado",IF(OR($X712="Pago",$X712="Recebido"),$X712,IF(OR($X712="Parcial",N($R712)&gt;0),"Parcial",IF($C712="","Sem vencimento",IF($C712&lt;TODAY(),"Vencido",IF($C712=TODAY(),"Vence hoje",IF($C712&lt;=TODAY()+7,"Vence em 7 dias",IF($C712&lt;=TODAY()+30,"Vence em 30 dias","Futuro")))))))))</f>
        <v/>
      </c>
      <c r="Z712" s="24">
        <f>IF($B712="","",MONTH($B712))</f>
        <v/>
      </c>
      <c r="AA712" s="24">
        <f>IF($B712="","",YEAR($B712))</f>
        <v/>
      </c>
      <c r="AB712" s="24">
        <f>IF($B712="","",ISOWEEKNUM($B712))</f>
        <v/>
      </c>
      <c r="AC712" s="17">
        <f>IF($B712="","",CHOOSE(WEEKDAY($B712,2),"Segunda","Terça","Quarta","Quinta","Sexta","Sábado","Domingo"))</f>
        <v/>
      </c>
      <c r="AD712" s="17">
        <f>IF($B712="","",TEXT($B712,"MM/AAAA"))</f>
        <v/>
      </c>
      <c r="AE712" s="18">
        <f>IF(COUNTA($B712:$R712)=0,"",IF($X712="Cancelado",0,ROUND(N($Q712)+N($S712)+N($T712)-N($U712),2)))</f>
        <v/>
      </c>
      <c r="AF712" s="9">
        <f>IF($G712="","",IFERROR(INDEX(LINHAS_DRE_PLANO,MATCH($G712,SUBCATEGORIAS_PLANO,0)),"Não classificado"))</f>
        <v/>
      </c>
      <c r="AG712" s="17">
        <f>IF($G712="","",IFERROR(INDEX(TIPOS_FLUXO_PLANO,MATCH($G712,SUBCATEGORIAS_PLANO,0)),"Não classificado"))</f>
        <v/>
      </c>
      <c r="AH712" s="9">
        <f>IF($G712="","",IFERROR(INDEX(GRUPOS_PLANO,MATCH($G712,SUBCATEGORIAS_PLANO,0)),"Não classificado"))</f>
        <v/>
      </c>
      <c r="AI712" s="24">
        <f>IF(OR($C712="",$X712="Pago",$X712="Recebido",$X712="Cancelado"),"",$C712-TODAY())</f>
        <v/>
      </c>
      <c r="AJ712" s="24">
        <f>IF(OR($C712="",$X712="Pago",$X712="Recebido",$X712="Cancelado"),0,MAX(0,TODAY()-$C712))</f>
        <v/>
      </c>
      <c r="AK712" s="24">
        <f>IF($D712="","",$D712-$B712)</f>
        <v/>
      </c>
      <c r="AL712" s="18">
        <f>IF(OR($D712="",$B712=""),"",ROUND(N($R712)*($D712-$B712),2))</f>
        <v/>
      </c>
      <c r="AM712" s="17">
        <f>IF(AND($E712="Saída",$W712&gt;0,$C712&lt;&gt;""),$C712+ROW()/1000000,"")</f>
        <v/>
      </c>
      <c r="AN712" s="17">
        <f>IF(AND($E712="Entrada",$W712&gt;0,$C712&lt;&gt;""),$C712+ROW()/1000000,"")</f>
        <v/>
      </c>
      <c r="AO712" s="9">
        <f>IF(COUNTA($B712:$R712)=0,"",IF(AND($I712&lt;&gt;"",COUNTIF(CLIENTES_NOMES,$I712)+COUNTIF(CLIENTES_FANTASIA,$I712)+COUNTIF(FORNECEDORES_NOMES,$I712)+COUNTIF(FORNECEDORES_FANTASIA,$I712)=0),"⚠ Cliente/Fornecedor não cadastrado",IF(AND($G712&lt;&gt;"",COUNTIF(SUBCATEGORIAS_PLANO,$G712)=0),"⚠ Subcategoria fora do plano de contas",IF(OR($Q712="",N($Q712)=0),"⚠ Valor previsto não informado",IF(AND(OR($X712="Pago",$X712="Recebido"),$D712=""),"⚠ Status pago/recebido sem data",IF(AND($D712&lt;&gt;"",N($R712)=0),"⚠ Data de pagamento sem valor realizado",IF(AND(N($P712)&gt;1,N($O712)&gt;N($P712)),"⚠ Nº da parcela maior que o total",IF(AND($C712&lt;&gt;"",$B712&lt;&gt;"",$C712&lt;$B712),"⚠ Vencimento anterior à competência","OK"))))))))</f>
        <v/>
      </c>
    </row>
    <row r="713">
      <c r="A713" s="14" t="inlineStr">
        <is>
          <t>L0708</t>
        </is>
      </c>
      <c r="B713" s="36" t="n">
        <v>47289</v>
      </c>
      <c r="C713" s="36" t="n">
        <v>47289</v>
      </c>
      <c r="D713" s="36" t="n"/>
      <c r="E713" s="14" t="inlineStr">
        <is>
          <t>Saída</t>
        </is>
      </c>
      <c r="F713" s="29" t="inlineStr">
        <is>
          <t>Empréstimos e Financiamentos</t>
        </is>
      </c>
      <c r="G713" s="29" t="inlineStr">
        <is>
          <t>Pagamento de Principal de Empréstimos</t>
        </is>
      </c>
      <c r="H713" s="29" t="inlineStr">
        <is>
          <t>Diretoria</t>
        </is>
      </c>
      <c r="I713" s="29" t="inlineStr">
        <is>
          <t>Banco Santander</t>
        </is>
      </c>
      <c r="J713" s="29" t="inlineStr">
        <is>
          <t>Financiamento de Veículo — parcela 41/48 (principal)</t>
        </is>
      </c>
      <c r="K713" s="14" t="inlineStr">
        <is>
          <t>VEI-2026-0088-P41</t>
        </is>
      </c>
      <c r="L713" s="29" t="inlineStr">
        <is>
          <t>Itaú Unibanco — C/C 45678-9</t>
        </is>
      </c>
      <c r="M713" s="14" t="inlineStr">
        <is>
          <t>Débito automático</t>
        </is>
      </c>
      <c r="N713" s="29" t="n"/>
      <c r="O713" s="13" t="n">
        <v>41</v>
      </c>
      <c r="P713" s="13" t="n">
        <v>48</v>
      </c>
      <c r="Q713" s="35" t="n">
        <v>2015.83</v>
      </c>
      <c r="R713" s="35" t="n"/>
      <c r="S713" s="35" t="n"/>
      <c r="T713" s="35" t="n"/>
      <c r="U713" s="35" t="n"/>
      <c r="V713" s="18">
        <f>IF(COUNTA($B713:$R713)=0,"",ROUND(N($R713)+N($S713)+N($T713)-N($U713),2))</f>
        <v/>
      </c>
      <c r="W713" s="18">
        <f>IF(COUNTA($B713:$R713)=0,"",IF(OR($X713="Pago",$X713="Recebido",$X713="Cancelado"),0,ROUND(N($Q713)+N($S713)+N($T713)-N($U713)-N($R713),2)))</f>
        <v/>
      </c>
      <c r="X713" s="14" t="inlineStr">
        <is>
          <t>Previsto</t>
        </is>
      </c>
      <c r="Y713" s="17">
        <f>IF(COUNTA($B713:$R713)=0,"",IF($X713="Cancelado","Cancelado",IF(OR($X713="Pago",$X713="Recebido"),$X713,IF(OR($X713="Parcial",N($R713)&gt;0),"Parcial",IF($C713="","Sem vencimento",IF($C713&lt;TODAY(),"Vencido",IF($C713=TODAY(),"Vence hoje",IF($C713&lt;=TODAY()+7,"Vence em 7 dias",IF($C713&lt;=TODAY()+30,"Vence em 30 dias","Futuro")))))))))</f>
        <v/>
      </c>
      <c r="Z713" s="24">
        <f>IF($B713="","",MONTH($B713))</f>
        <v/>
      </c>
      <c r="AA713" s="24">
        <f>IF($B713="","",YEAR($B713))</f>
        <v/>
      </c>
      <c r="AB713" s="24">
        <f>IF($B713="","",ISOWEEKNUM($B713))</f>
        <v/>
      </c>
      <c r="AC713" s="17">
        <f>IF($B713="","",CHOOSE(WEEKDAY($B713,2),"Segunda","Terça","Quarta","Quinta","Sexta","Sábado","Domingo"))</f>
        <v/>
      </c>
      <c r="AD713" s="17">
        <f>IF($B713="","",TEXT($B713,"MM/AAAA"))</f>
        <v/>
      </c>
      <c r="AE713" s="18">
        <f>IF(COUNTA($B713:$R713)=0,"",IF($X713="Cancelado",0,ROUND(N($Q713)+N($S713)+N($T713)-N($U713),2)))</f>
        <v/>
      </c>
      <c r="AF713" s="9">
        <f>IF($G713="","",IFERROR(INDEX(LINHAS_DRE_PLANO,MATCH($G713,SUBCATEGORIAS_PLANO,0)),"Não classificado"))</f>
        <v/>
      </c>
      <c r="AG713" s="17">
        <f>IF($G713="","",IFERROR(INDEX(TIPOS_FLUXO_PLANO,MATCH($G713,SUBCATEGORIAS_PLANO,0)),"Não classificado"))</f>
        <v/>
      </c>
      <c r="AH713" s="9">
        <f>IF($G713="","",IFERROR(INDEX(GRUPOS_PLANO,MATCH($G713,SUBCATEGORIAS_PLANO,0)),"Não classificado"))</f>
        <v/>
      </c>
      <c r="AI713" s="24">
        <f>IF(OR($C713="",$X713="Pago",$X713="Recebido",$X713="Cancelado"),"",$C713-TODAY())</f>
        <v/>
      </c>
      <c r="AJ713" s="24">
        <f>IF(OR($C713="",$X713="Pago",$X713="Recebido",$X713="Cancelado"),0,MAX(0,TODAY()-$C713))</f>
        <v/>
      </c>
      <c r="AK713" s="24">
        <f>IF($D713="","",$D713-$B713)</f>
        <v/>
      </c>
      <c r="AL713" s="18">
        <f>IF(OR($D713="",$B713=""),"",ROUND(N($R713)*($D713-$B713),2))</f>
        <v/>
      </c>
      <c r="AM713" s="17">
        <f>IF(AND($E713="Saída",$W713&gt;0,$C713&lt;&gt;""),$C713+ROW()/1000000,"")</f>
        <v/>
      </c>
      <c r="AN713" s="17">
        <f>IF(AND($E713="Entrada",$W713&gt;0,$C713&lt;&gt;""),$C713+ROW()/1000000,"")</f>
        <v/>
      </c>
      <c r="AO713" s="9">
        <f>IF(COUNTA($B713:$R713)=0,"",IF(AND($I713&lt;&gt;"",COUNTIF(CLIENTES_NOMES,$I713)+COUNTIF(CLIENTES_FANTASIA,$I713)+COUNTIF(FORNECEDORES_NOMES,$I713)+COUNTIF(FORNECEDORES_FANTASIA,$I713)=0),"⚠ Cliente/Fornecedor não cadastrado",IF(AND($G713&lt;&gt;"",COUNTIF(SUBCATEGORIAS_PLANO,$G713)=0),"⚠ Subcategoria fora do plano de contas",IF(OR($Q713="",N($Q713)=0),"⚠ Valor previsto não informado",IF(AND(OR($X713="Pago",$X713="Recebido"),$D713=""),"⚠ Status pago/recebido sem data",IF(AND($D713&lt;&gt;"",N($R713)=0),"⚠ Data de pagamento sem valor realizado",IF(AND(N($P713)&gt;1,N($O713)&gt;N($P713)),"⚠ Nº da parcela maior que o total",IF(AND($C713&lt;&gt;"",$B713&lt;&gt;"",$C713&lt;$B713),"⚠ Vencimento anterior à competência","OK"))))))))</f>
        <v/>
      </c>
    </row>
    <row r="714">
      <c r="A714" s="14" t="inlineStr">
        <is>
          <t>L0709</t>
        </is>
      </c>
      <c r="B714" s="36" t="n">
        <v>47289</v>
      </c>
      <c r="C714" s="36" t="n">
        <v>47289</v>
      </c>
      <c r="D714" s="36" t="n"/>
      <c r="E714" s="14" t="inlineStr">
        <is>
          <t>Saída</t>
        </is>
      </c>
      <c r="F714" s="29" t="inlineStr">
        <is>
          <t>Despesas Financeiras</t>
        </is>
      </c>
      <c r="G714" s="29" t="inlineStr">
        <is>
          <t>Juros de Empréstimos e Financiamentos</t>
        </is>
      </c>
      <c r="H714" s="29" t="inlineStr">
        <is>
          <t>Diretoria</t>
        </is>
      </c>
      <c r="I714" s="29" t="inlineStr">
        <is>
          <t>Banco Santander</t>
        </is>
      </c>
      <c r="J714" s="29" t="inlineStr">
        <is>
          <t>Financiamento de Veículo — parcela 41/48 (juros)</t>
        </is>
      </c>
      <c r="K714" s="14" t="inlineStr">
        <is>
          <t>VEI-2026-0088-P41</t>
        </is>
      </c>
      <c r="L714" s="29" t="inlineStr">
        <is>
          <t>Itaú Unibanco — C/C 45678-9</t>
        </is>
      </c>
      <c r="M714" s="14" t="inlineStr">
        <is>
          <t>Débito automático</t>
        </is>
      </c>
      <c r="N714" s="29" t="n"/>
      <c r="O714" s="13" t="n">
        <v>41</v>
      </c>
      <c r="P714" s="13" t="n">
        <v>48</v>
      </c>
      <c r="Q714" s="35" t="n">
        <v>210.63</v>
      </c>
      <c r="R714" s="35" t="n"/>
      <c r="S714" s="35" t="n"/>
      <c r="T714" s="35" t="n"/>
      <c r="U714" s="35" t="n"/>
      <c r="V714" s="18">
        <f>IF(COUNTA($B714:$R714)=0,"",ROUND(N($R714)+N($S714)+N($T714)-N($U714),2))</f>
        <v/>
      </c>
      <c r="W714" s="18">
        <f>IF(COUNTA($B714:$R714)=0,"",IF(OR($X714="Pago",$X714="Recebido",$X714="Cancelado"),0,ROUND(N($Q714)+N($S714)+N($T714)-N($U714)-N($R714),2)))</f>
        <v/>
      </c>
      <c r="X714" s="14" t="inlineStr">
        <is>
          <t>Previsto</t>
        </is>
      </c>
      <c r="Y714" s="17">
        <f>IF(COUNTA($B714:$R714)=0,"",IF($X714="Cancelado","Cancelado",IF(OR($X714="Pago",$X714="Recebido"),$X714,IF(OR($X714="Parcial",N($R714)&gt;0),"Parcial",IF($C714="","Sem vencimento",IF($C714&lt;TODAY(),"Vencido",IF($C714=TODAY(),"Vence hoje",IF($C714&lt;=TODAY()+7,"Vence em 7 dias",IF($C714&lt;=TODAY()+30,"Vence em 30 dias","Futuro")))))))))</f>
        <v/>
      </c>
      <c r="Z714" s="24">
        <f>IF($B714="","",MONTH($B714))</f>
        <v/>
      </c>
      <c r="AA714" s="24">
        <f>IF($B714="","",YEAR($B714))</f>
        <v/>
      </c>
      <c r="AB714" s="24">
        <f>IF($B714="","",ISOWEEKNUM($B714))</f>
        <v/>
      </c>
      <c r="AC714" s="17">
        <f>IF($B714="","",CHOOSE(WEEKDAY($B714,2),"Segunda","Terça","Quarta","Quinta","Sexta","Sábado","Domingo"))</f>
        <v/>
      </c>
      <c r="AD714" s="17">
        <f>IF($B714="","",TEXT($B714,"MM/AAAA"))</f>
        <v/>
      </c>
      <c r="AE714" s="18">
        <f>IF(COUNTA($B714:$R714)=0,"",IF($X714="Cancelado",0,ROUND(N($Q714)+N($S714)+N($T714)-N($U714),2)))</f>
        <v/>
      </c>
      <c r="AF714" s="9">
        <f>IF($G714="","",IFERROR(INDEX(LINHAS_DRE_PLANO,MATCH($G714,SUBCATEGORIAS_PLANO,0)),"Não classificado"))</f>
        <v/>
      </c>
      <c r="AG714" s="17">
        <f>IF($G714="","",IFERROR(INDEX(TIPOS_FLUXO_PLANO,MATCH($G714,SUBCATEGORIAS_PLANO,0)),"Não classificado"))</f>
        <v/>
      </c>
      <c r="AH714" s="9">
        <f>IF($G714="","",IFERROR(INDEX(GRUPOS_PLANO,MATCH($G714,SUBCATEGORIAS_PLANO,0)),"Não classificado"))</f>
        <v/>
      </c>
      <c r="AI714" s="24">
        <f>IF(OR($C714="",$X714="Pago",$X714="Recebido",$X714="Cancelado"),"",$C714-TODAY())</f>
        <v/>
      </c>
      <c r="AJ714" s="24">
        <f>IF(OR($C714="",$X714="Pago",$X714="Recebido",$X714="Cancelado"),0,MAX(0,TODAY()-$C714))</f>
        <v/>
      </c>
      <c r="AK714" s="24">
        <f>IF($D714="","",$D714-$B714)</f>
        <v/>
      </c>
      <c r="AL714" s="18">
        <f>IF(OR($D714="",$B714=""),"",ROUND(N($R714)*($D714-$B714),2))</f>
        <v/>
      </c>
      <c r="AM714" s="17">
        <f>IF(AND($E714="Saída",$W714&gt;0,$C714&lt;&gt;""),$C714+ROW()/1000000,"")</f>
        <v/>
      </c>
      <c r="AN714" s="17">
        <f>IF(AND($E714="Entrada",$W714&gt;0,$C714&lt;&gt;""),$C714+ROW()/1000000,"")</f>
        <v/>
      </c>
      <c r="AO714" s="9">
        <f>IF(COUNTA($B714:$R714)=0,"",IF(AND($I714&lt;&gt;"",COUNTIF(CLIENTES_NOMES,$I714)+COUNTIF(CLIENTES_FANTASIA,$I714)+COUNTIF(FORNECEDORES_NOMES,$I714)+COUNTIF(FORNECEDORES_FANTASIA,$I714)=0),"⚠ Cliente/Fornecedor não cadastrado",IF(AND($G714&lt;&gt;"",COUNTIF(SUBCATEGORIAS_PLANO,$G714)=0),"⚠ Subcategoria fora do plano de contas",IF(OR($Q714="",N($Q714)=0),"⚠ Valor previsto não informado",IF(AND(OR($X714="Pago",$X714="Recebido"),$D714=""),"⚠ Status pago/recebido sem data",IF(AND($D714&lt;&gt;"",N($R714)=0),"⚠ Data de pagamento sem valor realizado",IF(AND(N($P714)&gt;1,N($O714)&gt;N($P714)),"⚠ Nº da parcela maior que o total",IF(AND($C714&lt;&gt;"",$B714&lt;&gt;"",$C714&lt;$B714),"⚠ Vencimento anterior à competência","OK"))))))))</f>
        <v/>
      </c>
    </row>
    <row r="715">
      <c r="A715" s="14" t="inlineStr">
        <is>
          <t>L0710</t>
        </is>
      </c>
      <c r="B715" s="36" t="n">
        <v>47319</v>
      </c>
      <c r="C715" s="36" t="n">
        <v>47319</v>
      </c>
      <c r="D715" s="36" t="n"/>
      <c r="E715" s="14" t="inlineStr">
        <is>
          <t>Saída</t>
        </is>
      </c>
      <c r="F715" s="29" t="inlineStr">
        <is>
          <t>Empréstimos e Financiamentos</t>
        </is>
      </c>
      <c r="G715" s="29" t="inlineStr">
        <is>
          <t>Pagamento de Principal de Empréstimos</t>
        </is>
      </c>
      <c r="H715" s="29" t="inlineStr">
        <is>
          <t>Diretoria</t>
        </is>
      </c>
      <c r="I715" s="29" t="inlineStr">
        <is>
          <t>Banco Santander</t>
        </is>
      </c>
      <c r="J715" s="29" t="inlineStr">
        <is>
          <t>Financiamento de Veículo — parcela 42/48 (principal)</t>
        </is>
      </c>
      <c r="K715" s="14" t="inlineStr">
        <is>
          <t>VEI-2026-0088-P42</t>
        </is>
      </c>
      <c r="L715" s="29" t="inlineStr">
        <is>
          <t>Itaú Unibanco — C/C 45678-9</t>
        </is>
      </c>
      <c r="M715" s="14" t="inlineStr">
        <is>
          <t>Débito automático</t>
        </is>
      </c>
      <c r="N715" s="29" t="n"/>
      <c r="O715" s="13" t="n">
        <v>42</v>
      </c>
      <c r="P715" s="13" t="n">
        <v>48</v>
      </c>
      <c r="Q715" s="35" t="n">
        <v>2041.03</v>
      </c>
      <c r="R715" s="35" t="n"/>
      <c r="S715" s="35" t="n"/>
      <c r="T715" s="35" t="n"/>
      <c r="U715" s="35" t="n"/>
      <c r="V715" s="18">
        <f>IF(COUNTA($B715:$R715)=0,"",ROUND(N($R715)+N($S715)+N($T715)-N($U715),2))</f>
        <v/>
      </c>
      <c r="W715" s="18">
        <f>IF(COUNTA($B715:$R715)=0,"",IF(OR($X715="Pago",$X715="Recebido",$X715="Cancelado"),0,ROUND(N($Q715)+N($S715)+N($T715)-N($U715)-N($R715),2)))</f>
        <v/>
      </c>
      <c r="X715" s="14" t="inlineStr">
        <is>
          <t>Previsto</t>
        </is>
      </c>
      <c r="Y715" s="17">
        <f>IF(COUNTA($B715:$R715)=0,"",IF($X715="Cancelado","Cancelado",IF(OR($X715="Pago",$X715="Recebido"),$X715,IF(OR($X715="Parcial",N($R715)&gt;0),"Parcial",IF($C715="","Sem vencimento",IF($C715&lt;TODAY(),"Vencido",IF($C715=TODAY(),"Vence hoje",IF($C715&lt;=TODAY()+7,"Vence em 7 dias",IF($C715&lt;=TODAY()+30,"Vence em 30 dias","Futuro")))))))))</f>
        <v/>
      </c>
      <c r="Z715" s="24">
        <f>IF($B715="","",MONTH($B715))</f>
        <v/>
      </c>
      <c r="AA715" s="24">
        <f>IF($B715="","",YEAR($B715))</f>
        <v/>
      </c>
      <c r="AB715" s="24">
        <f>IF($B715="","",ISOWEEKNUM($B715))</f>
        <v/>
      </c>
      <c r="AC715" s="17">
        <f>IF($B715="","",CHOOSE(WEEKDAY($B715,2),"Segunda","Terça","Quarta","Quinta","Sexta","Sábado","Domingo"))</f>
        <v/>
      </c>
      <c r="AD715" s="17">
        <f>IF($B715="","",TEXT($B715,"MM/AAAA"))</f>
        <v/>
      </c>
      <c r="AE715" s="18">
        <f>IF(COUNTA($B715:$R715)=0,"",IF($X715="Cancelado",0,ROUND(N($Q715)+N($S715)+N($T715)-N($U715),2)))</f>
        <v/>
      </c>
      <c r="AF715" s="9">
        <f>IF($G715="","",IFERROR(INDEX(LINHAS_DRE_PLANO,MATCH($G715,SUBCATEGORIAS_PLANO,0)),"Não classificado"))</f>
        <v/>
      </c>
      <c r="AG715" s="17">
        <f>IF($G715="","",IFERROR(INDEX(TIPOS_FLUXO_PLANO,MATCH($G715,SUBCATEGORIAS_PLANO,0)),"Não classificado"))</f>
        <v/>
      </c>
      <c r="AH715" s="9">
        <f>IF($G715="","",IFERROR(INDEX(GRUPOS_PLANO,MATCH($G715,SUBCATEGORIAS_PLANO,0)),"Não classificado"))</f>
        <v/>
      </c>
      <c r="AI715" s="24">
        <f>IF(OR($C715="",$X715="Pago",$X715="Recebido",$X715="Cancelado"),"",$C715-TODAY())</f>
        <v/>
      </c>
      <c r="AJ715" s="24">
        <f>IF(OR($C715="",$X715="Pago",$X715="Recebido",$X715="Cancelado"),0,MAX(0,TODAY()-$C715))</f>
        <v/>
      </c>
      <c r="AK715" s="24">
        <f>IF($D715="","",$D715-$B715)</f>
        <v/>
      </c>
      <c r="AL715" s="18">
        <f>IF(OR($D715="",$B715=""),"",ROUND(N($R715)*($D715-$B715),2))</f>
        <v/>
      </c>
      <c r="AM715" s="17">
        <f>IF(AND($E715="Saída",$W715&gt;0,$C715&lt;&gt;""),$C715+ROW()/1000000,"")</f>
        <v/>
      </c>
      <c r="AN715" s="17">
        <f>IF(AND($E715="Entrada",$W715&gt;0,$C715&lt;&gt;""),$C715+ROW()/1000000,"")</f>
        <v/>
      </c>
      <c r="AO715" s="9">
        <f>IF(COUNTA($B715:$R715)=0,"",IF(AND($I715&lt;&gt;"",COUNTIF(CLIENTES_NOMES,$I715)+COUNTIF(CLIENTES_FANTASIA,$I715)+COUNTIF(FORNECEDORES_NOMES,$I715)+COUNTIF(FORNECEDORES_FANTASIA,$I715)=0),"⚠ Cliente/Fornecedor não cadastrado",IF(AND($G715&lt;&gt;"",COUNTIF(SUBCATEGORIAS_PLANO,$G715)=0),"⚠ Subcategoria fora do plano de contas",IF(OR($Q715="",N($Q715)=0),"⚠ Valor previsto não informado",IF(AND(OR($X715="Pago",$X715="Recebido"),$D715=""),"⚠ Status pago/recebido sem data",IF(AND($D715&lt;&gt;"",N($R715)=0),"⚠ Data de pagamento sem valor realizado",IF(AND(N($P715)&gt;1,N($O715)&gt;N($P715)),"⚠ Nº da parcela maior que o total",IF(AND($C715&lt;&gt;"",$B715&lt;&gt;"",$C715&lt;$B715),"⚠ Vencimento anterior à competência","OK"))))))))</f>
        <v/>
      </c>
    </row>
    <row r="716">
      <c r="A716" s="14" t="inlineStr">
        <is>
          <t>L0711</t>
        </is>
      </c>
      <c r="B716" s="36" t="n">
        <v>47319</v>
      </c>
      <c r="C716" s="36" t="n">
        <v>47319</v>
      </c>
      <c r="D716" s="36" t="n"/>
      <c r="E716" s="14" t="inlineStr">
        <is>
          <t>Saída</t>
        </is>
      </c>
      <c r="F716" s="29" t="inlineStr">
        <is>
          <t>Despesas Financeiras</t>
        </is>
      </c>
      <c r="G716" s="29" t="inlineStr">
        <is>
          <t>Juros de Empréstimos e Financiamentos</t>
        </is>
      </c>
      <c r="H716" s="29" t="inlineStr">
        <is>
          <t>Diretoria</t>
        </is>
      </c>
      <c r="I716" s="29" t="inlineStr">
        <is>
          <t>Banco Santander</t>
        </is>
      </c>
      <c r="J716" s="29" t="inlineStr">
        <is>
          <t>Financiamento de Veículo — parcela 42/48 (juros)</t>
        </is>
      </c>
      <c r="K716" s="14" t="inlineStr">
        <is>
          <t>VEI-2026-0088-P42</t>
        </is>
      </c>
      <c r="L716" s="29" t="inlineStr">
        <is>
          <t>Itaú Unibanco — C/C 45678-9</t>
        </is>
      </c>
      <c r="M716" s="14" t="inlineStr">
        <is>
          <t>Débito automático</t>
        </is>
      </c>
      <c r="N716" s="29" t="n"/>
      <c r="O716" s="13" t="n">
        <v>42</v>
      </c>
      <c r="P716" s="13" t="n">
        <v>48</v>
      </c>
      <c r="Q716" s="35" t="n">
        <v>185.43</v>
      </c>
      <c r="R716" s="35" t="n"/>
      <c r="S716" s="35" t="n"/>
      <c r="T716" s="35" t="n"/>
      <c r="U716" s="35" t="n"/>
      <c r="V716" s="18">
        <f>IF(COUNTA($B716:$R716)=0,"",ROUND(N($R716)+N($S716)+N($T716)-N($U716),2))</f>
        <v/>
      </c>
      <c r="W716" s="18">
        <f>IF(COUNTA($B716:$R716)=0,"",IF(OR($X716="Pago",$X716="Recebido",$X716="Cancelado"),0,ROUND(N($Q716)+N($S716)+N($T716)-N($U716)-N($R716),2)))</f>
        <v/>
      </c>
      <c r="X716" s="14" t="inlineStr">
        <is>
          <t>Previsto</t>
        </is>
      </c>
      <c r="Y716" s="17">
        <f>IF(COUNTA($B716:$R716)=0,"",IF($X716="Cancelado","Cancelado",IF(OR($X716="Pago",$X716="Recebido"),$X716,IF(OR($X716="Parcial",N($R716)&gt;0),"Parcial",IF($C716="","Sem vencimento",IF($C716&lt;TODAY(),"Vencido",IF($C716=TODAY(),"Vence hoje",IF($C716&lt;=TODAY()+7,"Vence em 7 dias",IF($C716&lt;=TODAY()+30,"Vence em 30 dias","Futuro")))))))))</f>
        <v/>
      </c>
      <c r="Z716" s="24">
        <f>IF($B716="","",MONTH($B716))</f>
        <v/>
      </c>
      <c r="AA716" s="24">
        <f>IF($B716="","",YEAR($B716))</f>
        <v/>
      </c>
      <c r="AB716" s="24">
        <f>IF($B716="","",ISOWEEKNUM($B716))</f>
        <v/>
      </c>
      <c r="AC716" s="17">
        <f>IF($B716="","",CHOOSE(WEEKDAY($B716,2),"Segunda","Terça","Quarta","Quinta","Sexta","Sábado","Domingo"))</f>
        <v/>
      </c>
      <c r="AD716" s="17">
        <f>IF($B716="","",TEXT($B716,"MM/AAAA"))</f>
        <v/>
      </c>
      <c r="AE716" s="18">
        <f>IF(COUNTA($B716:$R716)=0,"",IF($X716="Cancelado",0,ROUND(N($Q716)+N($S716)+N($T716)-N($U716),2)))</f>
        <v/>
      </c>
      <c r="AF716" s="9">
        <f>IF($G716="","",IFERROR(INDEX(LINHAS_DRE_PLANO,MATCH($G716,SUBCATEGORIAS_PLANO,0)),"Não classificado"))</f>
        <v/>
      </c>
      <c r="AG716" s="17">
        <f>IF($G716="","",IFERROR(INDEX(TIPOS_FLUXO_PLANO,MATCH($G716,SUBCATEGORIAS_PLANO,0)),"Não classificado"))</f>
        <v/>
      </c>
      <c r="AH716" s="9">
        <f>IF($G716="","",IFERROR(INDEX(GRUPOS_PLANO,MATCH($G716,SUBCATEGORIAS_PLANO,0)),"Não classificado"))</f>
        <v/>
      </c>
      <c r="AI716" s="24">
        <f>IF(OR($C716="",$X716="Pago",$X716="Recebido",$X716="Cancelado"),"",$C716-TODAY())</f>
        <v/>
      </c>
      <c r="AJ716" s="24">
        <f>IF(OR($C716="",$X716="Pago",$X716="Recebido",$X716="Cancelado"),0,MAX(0,TODAY()-$C716))</f>
        <v/>
      </c>
      <c r="AK716" s="24">
        <f>IF($D716="","",$D716-$B716)</f>
        <v/>
      </c>
      <c r="AL716" s="18">
        <f>IF(OR($D716="",$B716=""),"",ROUND(N($R716)*($D716-$B716),2))</f>
        <v/>
      </c>
      <c r="AM716" s="17">
        <f>IF(AND($E716="Saída",$W716&gt;0,$C716&lt;&gt;""),$C716+ROW()/1000000,"")</f>
        <v/>
      </c>
      <c r="AN716" s="17">
        <f>IF(AND($E716="Entrada",$W716&gt;0,$C716&lt;&gt;""),$C716+ROW()/1000000,"")</f>
        <v/>
      </c>
      <c r="AO716" s="9">
        <f>IF(COUNTA($B716:$R716)=0,"",IF(AND($I716&lt;&gt;"",COUNTIF(CLIENTES_NOMES,$I716)+COUNTIF(CLIENTES_FANTASIA,$I716)+COUNTIF(FORNECEDORES_NOMES,$I716)+COUNTIF(FORNECEDORES_FANTASIA,$I716)=0),"⚠ Cliente/Fornecedor não cadastrado",IF(AND($G716&lt;&gt;"",COUNTIF(SUBCATEGORIAS_PLANO,$G716)=0),"⚠ Subcategoria fora do plano de contas",IF(OR($Q716="",N($Q716)=0),"⚠ Valor previsto não informado",IF(AND(OR($X716="Pago",$X716="Recebido"),$D716=""),"⚠ Status pago/recebido sem data",IF(AND($D716&lt;&gt;"",N($R716)=0),"⚠ Data de pagamento sem valor realizado",IF(AND(N($P716)&gt;1,N($O716)&gt;N($P716)),"⚠ Nº da parcela maior que o total",IF(AND($C716&lt;&gt;"",$B716&lt;&gt;"",$C716&lt;$B716),"⚠ Vencimento anterior à competência","OK"))))))))</f>
        <v/>
      </c>
    </row>
    <row r="717">
      <c r="A717" s="14" t="inlineStr">
        <is>
          <t>L0712</t>
        </is>
      </c>
      <c r="B717" s="36" t="n">
        <v>47350</v>
      </c>
      <c r="C717" s="36" t="n">
        <v>47350</v>
      </c>
      <c r="D717" s="36" t="n"/>
      <c r="E717" s="14" t="inlineStr">
        <is>
          <t>Saída</t>
        </is>
      </c>
      <c r="F717" s="29" t="inlineStr">
        <is>
          <t>Empréstimos e Financiamentos</t>
        </is>
      </c>
      <c r="G717" s="29" t="inlineStr">
        <is>
          <t>Pagamento de Principal de Empréstimos</t>
        </is>
      </c>
      <c r="H717" s="29" t="inlineStr">
        <is>
          <t>Diretoria</t>
        </is>
      </c>
      <c r="I717" s="29" t="inlineStr">
        <is>
          <t>Banco Santander</t>
        </is>
      </c>
      <c r="J717" s="29" t="inlineStr">
        <is>
          <t>Financiamento de Veículo — parcela 43/48 (principal)</t>
        </is>
      </c>
      <c r="K717" s="14" t="inlineStr">
        <is>
          <t>VEI-2026-0088-P43</t>
        </is>
      </c>
      <c r="L717" s="29" t="inlineStr">
        <is>
          <t>Itaú Unibanco — C/C 45678-9</t>
        </is>
      </c>
      <c r="M717" s="14" t="inlineStr">
        <is>
          <t>Débito automático</t>
        </is>
      </c>
      <c r="N717" s="29" t="n"/>
      <c r="O717" s="13" t="n">
        <v>43</v>
      </c>
      <c r="P717" s="13" t="n">
        <v>48</v>
      </c>
      <c r="Q717" s="35" t="n">
        <v>2066.54</v>
      </c>
      <c r="R717" s="35" t="n"/>
      <c r="S717" s="35" t="n"/>
      <c r="T717" s="35" t="n"/>
      <c r="U717" s="35" t="n"/>
      <c r="V717" s="18">
        <f>IF(COUNTA($B717:$R717)=0,"",ROUND(N($R717)+N($S717)+N($T717)-N($U717),2))</f>
        <v/>
      </c>
      <c r="W717" s="18">
        <f>IF(COUNTA($B717:$R717)=0,"",IF(OR($X717="Pago",$X717="Recebido",$X717="Cancelado"),0,ROUND(N($Q717)+N($S717)+N($T717)-N($U717)-N($R717),2)))</f>
        <v/>
      </c>
      <c r="X717" s="14" t="inlineStr">
        <is>
          <t>Previsto</t>
        </is>
      </c>
      <c r="Y717" s="17">
        <f>IF(COUNTA($B717:$R717)=0,"",IF($X717="Cancelado","Cancelado",IF(OR($X717="Pago",$X717="Recebido"),$X717,IF(OR($X717="Parcial",N($R717)&gt;0),"Parcial",IF($C717="","Sem vencimento",IF($C717&lt;TODAY(),"Vencido",IF($C717=TODAY(),"Vence hoje",IF($C717&lt;=TODAY()+7,"Vence em 7 dias",IF($C717&lt;=TODAY()+30,"Vence em 30 dias","Futuro")))))))))</f>
        <v/>
      </c>
      <c r="Z717" s="24">
        <f>IF($B717="","",MONTH($B717))</f>
        <v/>
      </c>
      <c r="AA717" s="24">
        <f>IF($B717="","",YEAR($B717))</f>
        <v/>
      </c>
      <c r="AB717" s="24">
        <f>IF($B717="","",ISOWEEKNUM($B717))</f>
        <v/>
      </c>
      <c r="AC717" s="17">
        <f>IF($B717="","",CHOOSE(WEEKDAY($B717,2),"Segunda","Terça","Quarta","Quinta","Sexta","Sábado","Domingo"))</f>
        <v/>
      </c>
      <c r="AD717" s="17">
        <f>IF($B717="","",TEXT($B717,"MM/AAAA"))</f>
        <v/>
      </c>
      <c r="AE717" s="18">
        <f>IF(COUNTA($B717:$R717)=0,"",IF($X717="Cancelado",0,ROUND(N($Q717)+N($S717)+N($T717)-N($U717),2)))</f>
        <v/>
      </c>
      <c r="AF717" s="9">
        <f>IF($G717="","",IFERROR(INDEX(LINHAS_DRE_PLANO,MATCH($G717,SUBCATEGORIAS_PLANO,0)),"Não classificado"))</f>
        <v/>
      </c>
      <c r="AG717" s="17">
        <f>IF($G717="","",IFERROR(INDEX(TIPOS_FLUXO_PLANO,MATCH($G717,SUBCATEGORIAS_PLANO,0)),"Não classificado"))</f>
        <v/>
      </c>
      <c r="AH717" s="9">
        <f>IF($G717="","",IFERROR(INDEX(GRUPOS_PLANO,MATCH($G717,SUBCATEGORIAS_PLANO,0)),"Não classificado"))</f>
        <v/>
      </c>
      <c r="AI717" s="24">
        <f>IF(OR($C717="",$X717="Pago",$X717="Recebido",$X717="Cancelado"),"",$C717-TODAY())</f>
        <v/>
      </c>
      <c r="AJ717" s="24">
        <f>IF(OR($C717="",$X717="Pago",$X717="Recebido",$X717="Cancelado"),0,MAX(0,TODAY()-$C717))</f>
        <v/>
      </c>
      <c r="AK717" s="24">
        <f>IF($D717="","",$D717-$B717)</f>
        <v/>
      </c>
      <c r="AL717" s="18">
        <f>IF(OR($D717="",$B717=""),"",ROUND(N($R717)*($D717-$B717),2))</f>
        <v/>
      </c>
      <c r="AM717" s="17">
        <f>IF(AND($E717="Saída",$W717&gt;0,$C717&lt;&gt;""),$C717+ROW()/1000000,"")</f>
        <v/>
      </c>
      <c r="AN717" s="17">
        <f>IF(AND($E717="Entrada",$W717&gt;0,$C717&lt;&gt;""),$C717+ROW()/1000000,"")</f>
        <v/>
      </c>
      <c r="AO717" s="9">
        <f>IF(COUNTA($B717:$R717)=0,"",IF(AND($I717&lt;&gt;"",COUNTIF(CLIENTES_NOMES,$I717)+COUNTIF(CLIENTES_FANTASIA,$I717)+COUNTIF(FORNECEDORES_NOMES,$I717)+COUNTIF(FORNECEDORES_FANTASIA,$I717)=0),"⚠ Cliente/Fornecedor não cadastrado",IF(AND($G717&lt;&gt;"",COUNTIF(SUBCATEGORIAS_PLANO,$G717)=0),"⚠ Subcategoria fora do plano de contas",IF(OR($Q717="",N($Q717)=0),"⚠ Valor previsto não informado",IF(AND(OR($X717="Pago",$X717="Recebido"),$D717=""),"⚠ Status pago/recebido sem data",IF(AND($D717&lt;&gt;"",N($R717)=0),"⚠ Data de pagamento sem valor realizado",IF(AND(N($P717)&gt;1,N($O717)&gt;N($P717)),"⚠ Nº da parcela maior que o total",IF(AND($C717&lt;&gt;"",$B717&lt;&gt;"",$C717&lt;$B717),"⚠ Vencimento anterior à competência","OK"))))))))</f>
        <v/>
      </c>
    </row>
    <row r="718">
      <c r="A718" s="14" t="inlineStr">
        <is>
          <t>L0713</t>
        </is>
      </c>
      <c r="B718" s="36" t="n">
        <v>47350</v>
      </c>
      <c r="C718" s="36" t="n">
        <v>47350</v>
      </c>
      <c r="D718" s="36" t="n"/>
      <c r="E718" s="14" t="inlineStr">
        <is>
          <t>Saída</t>
        </is>
      </c>
      <c r="F718" s="29" t="inlineStr">
        <is>
          <t>Despesas Financeiras</t>
        </is>
      </c>
      <c r="G718" s="29" t="inlineStr">
        <is>
          <t>Juros de Empréstimos e Financiamentos</t>
        </is>
      </c>
      <c r="H718" s="29" t="inlineStr">
        <is>
          <t>Diretoria</t>
        </is>
      </c>
      <c r="I718" s="29" t="inlineStr">
        <is>
          <t>Banco Santander</t>
        </is>
      </c>
      <c r="J718" s="29" t="inlineStr">
        <is>
          <t>Financiamento de Veículo — parcela 43/48 (juros)</t>
        </is>
      </c>
      <c r="K718" s="14" t="inlineStr">
        <is>
          <t>VEI-2026-0088-P43</t>
        </is>
      </c>
      <c r="L718" s="29" t="inlineStr">
        <is>
          <t>Itaú Unibanco — C/C 45678-9</t>
        </is>
      </c>
      <c r="M718" s="14" t="inlineStr">
        <is>
          <t>Débito automático</t>
        </is>
      </c>
      <c r="N718" s="29" t="n"/>
      <c r="O718" s="13" t="n">
        <v>43</v>
      </c>
      <c r="P718" s="13" t="n">
        <v>48</v>
      </c>
      <c r="Q718" s="35" t="n">
        <v>159.92</v>
      </c>
      <c r="R718" s="35" t="n"/>
      <c r="S718" s="35" t="n"/>
      <c r="T718" s="35" t="n"/>
      <c r="U718" s="35" t="n"/>
      <c r="V718" s="18">
        <f>IF(COUNTA($B718:$R718)=0,"",ROUND(N($R718)+N($S718)+N($T718)-N($U718),2))</f>
        <v/>
      </c>
      <c r="W718" s="18">
        <f>IF(COUNTA($B718:$R718)=0,"",IF(OR($X718="Pago",$X718="Recebido",$X718="Cancelado"),0,ROUND(N($Q718)+N($S718)+N($T718)-N($U718)-N($R718),2)))</f>
        <v/>
      </c>
      <c r="X718" s="14" t="inlineStr">
        <is>
          <t>Previsto</t>
        </is>
      </c>
      <c r="Y718" s="17">
        <f>IF(COUNTA($B718:$R718)=0,"",IF($X718="Cancelado","Cancelado",IF(OR($X718="Pago",$X718="Recebido"),$X718,IF(OR($X718="Parcial",N($R718)&gt;0),"Parcial",IF($C718="","Sem vencimento",IF($C718&lt;TODAY(),"Vencido",IF($C718=TODAY(),"Vence hoje",IF($C718&lt;=TODAY()+7,"Vence em 7 dias",IF($C718&lt;=TODAY()+30,"Vence em 30 dias","Futuro")))))))))</f>
        <v/>
      </c>
      <c r="Z718" s="24">
        <f>IF($B718="","",MONTH($B718))</f>
        <v/>
      </c>
      <c r="AA718" s="24">
        <f>IF($B718="","",YEAR($B718))</f>
        <v/>
      </c>
      <c r="AB718" s="24">
        <f>IF($B718="","",ISOWEEKNUM($B718))</f>
        <v/>
      </c>
      <c r="AC718" s="17">
        <f>IF($B718="","",CHOOSE(WEEKDAY($B718,2),"Segunda","Terça","Quarta","Quinta","Sexta","Sábado","Domingo"))</f>
        <v/>
      </c>
      <c r="AD718" s="17">
        <f>IF($B718="","",TEXT($B718,"MM/AAAA"))</f>
        <v/>
      </c>
      <c r="AE718" s="18">
        <f>IF(COUNTA($B718:$R718)=0,"",IF($X718="Cancelado",0,ROUND(N($Q718)+N($S718)+N($T718)-N($U718),2)))</f>
        <v/>
      </c>
      <c r="AF718" s="9">
        <f>IF($G718="","",IFERROR(INDEX(LINHAS_DRE_PLANO,MATCH($G718,SUBCATEGORIAS_PLANO,0)),"Não classificado"))</f>
        <v/>
      </c>
      <c r="AG718" s="17">
        <f>IF($G718="","",IFERROR(INDEX(TIPOS_FLUXO_PLANO,MATCH($G718,SUBCATEGORIAS_PLANO,0)),"Não classificado"))</f>
        <v/>
      </c>
      <c r="AH718" s="9">
        <f>IF($G718="","",IFERROR(INDEX(GRUPOS_PLANO,MATCH($G718,SUBCATEGORIAS_PLANO,0)),"Não classificado"))</f>
        <v/>
      </c>
      <c r="AI718" s="24">
        <f>IF(OR($C718="",$X718="Pago",$X718="Recebido",$X718="Cancelado"),"",$C718-TODAY())</f>
        <v/>
      </c>
      <c r="AJ718" s="24">
        <f>IF(OR($C718="",$X718="Pago",$X718="Recebido",$X718="Cancelado"),0,MAX(0,TODAY()-$C718))</f>
        <v/>
      </c>
      <c r="AK718" s="24">
        <f>IF($D718="","",$D718-$B718)</f>
        <v/>
      </c>
      <c r="AL718" s="18">
        <f>IF(OR($D718="",$B718=""),"",ROUND(N($R718)*($D718-$B718),2))</f>
        <v/>
      </c>
      <c r="AM718" s="17">
        <f>IF(AND($E718="Saída",$W718&gt;0,$C718&lt;&gt;""),$C718+ROW()/1000000,"")</f>
        <v/>
      </c>
      <c r="AN718" s="17">
        <f>IF(AND($E718="Entrada",$W718&gt;0,$C718&lt;&gt;""),$C718+ROW()/1000000,"")</f>
        <v/>
      </c>
      <c r="AO718" s="9">
        <f>IF(COUNTA($B718:$R718)=0,"",IF(AND($I718&lt;&gt;"",COUNTIF(CLIENTES_NOMES,$I718)+COUNTIF(CLIENTES_FANTASIA,$I718)+COUNTIF(FORNECEDORES_NOMES,$I718)+COUNTIF(FORNECEDORES_FANTASIA,$I718)=0),"⚠ Cliente/Fornecedor não cadastrado",IF(AND($G718&lt;&gt;"",COUNTIF(SUBCATEGORIAS_PLANO,$G718)=0),"⚠ Subcategoria fora do plano de contas",IF(OR($Q718="",N($Q718)=0),"⚠ Valor previsto não informado",IF(AND(OR($X718="Pago",$X718="Recebido"),$D718=""),"⚠ Status pago/recebido sem data",IF(AND($D718&lt;&gt;"",N($R718)=0),"⚠ Data de pagamento sem valor realizado",IF(AND(N($P718)&gt;1,N($O718)&gt;N($P718)),"⚠ Nº da parcela maior que o total",IF(AND($C718&lt;&gt;"",$B718&lt;&gt;"",$C718&lt;$B718),"⚠ Vencimento anterior à competência","OK"))))))))</f>
        <v/>
      </c>
    </row>
    <row r="719">
      <c r="A719" s="14" t="inlineStr">
        <is>
          <t>L0714</t>
        </is>
      </c>
      <c r="B719" s="36" t="n">
        <v>47381</v>
      </c>
      <c r="C719" s="36" t="n">
        <v>47381</v>
      </c>
      <c r="D719" s="36" t="n"/>
      <c r="E719" s="14" t="inlineStr">
        <is>
          <t>Saída</t>
        </is>
      </c>
      <c r="F719" s="29" t="inlineStr">
        <is>
          <t>Empréstimos e Financiamentos</t>
        </is>
      </c>
      <c r="G719" s="29" t="inlineStr">
        <is>
          <t>Pagamento de Principal de Empréstimos</t>
        </is>
      </c>
      <c r="H719" s="29" t="inlineStr">
        <is>
          <t>Diretoria</t>
        </is>
      </c>
      <c r="I719" s="29" t="inlineStr">
        <is>
          <t>Banco Santander</t>
        </is>
      </c>
      <c r="J719" s="29" t="inlineStr">
        <is>
          <t>Financiamento de Veículo — parcela 44/48 (principal)</t>
        </is>
      </c>
      <c r="K719" s="14" t="inlineStr">
        <is>
          <t>VEI-2026-0088-P44</t>
        </is>
      </c>
      <c r="L719" s="29" t="inlineStr">
        <is>
          <t>Itaú Unibanco — C/C 45678-9</t>
        </is>
      </c>
      <c r="M719" s="14" t="inlineStr">
        <is>
          <t>Débito automático</t>
        </is>
      </c>
      <c r="N719" s="29" t="n"/>
      <c r="O719" s="13" t="n">
        <v>44</v>
      </c>
      <c r="P719" s="13" t="n">
        <v>48</v>
      </c>
      <c r="Q719" s="35" t="n">
        <v>2092.38</v>
      </c>
      <c r="R719" s="35" t="n"/>
      <c r="S719" s="35" t="n"/>
      <c r="T719" s="35" t="n"/>
      <c r="U719" s="35" t="n"/>
      <c r="V719" s="18">
        <f>IF(COUNTA($B719:$R719)=0,"",ROUND(N($R719)+N($S719)+N($T719)-N($U719),2))</f>
        <v/>
      </c>
      <c r="W719" s="18">
        <f>IF(COUNTA($B719:$R719)=0,"",IF(OR($X719="Pago",$X719="Recebido",$X719="Cancelado"),0,ROUND(N($Q719)+N($S719)+N($T719)-N($U719)-N($R719),2)))</f>
        <v/>
      </c>
      <c r="X719" s="14" t="inlineStr">
        <is>
          <t>Previsto</t>
        </is>
      </c>
      <c r="Y719" s="17">
        <f>IF(COUNTA($B719:$R719)=0,"",IF($X719="Cancelado","Cancelado",IF(OR($X719="Pago",$X719="Recebido"),$X719,IF(OR($X719="Parcial",N($R719)&gt;0),"Parcial",IF($C719="","Sem vencimento",IF($C719&lt;TODAY(),"Vencido",IF($C719=TODAY(),"Vence hoje",IF($C719&lt;=TODAY()+7,"Vence em 7 dias",IF($C719&lt;=TODAY()+30,"Vence em 30 dias","Futuro")))))))))</f>
        <v/>
      </c>
      <c r="Z719" s="24">
        <f>IF($B719="","",MONTH($B719))</f>
        <v/>
      </c>
      <c r="AA719" s="24">
        <f>IF($B719="","",YEAR($B719))</f>
        <v/>
      </c>
      <c r="AB719" s="24">
        <f>IF($B719="","",ISOWEEKNUM($B719))</f>
        <v/>
      </c>
      <c r="AC719" s="17">
        <f>IF($B719="","",CHOOSE(WEEKDAY($B719,2),"Segunda","Terça","Quarta","Quinta","Sexta","Sábado","Domingo"))</f>
        <v/>
      </c>
      <c r="AD719" s="17">
        <f>IF($B719="","",TEXT($B719,"MM/AAAA"))</f>
        <v/>
      </c>
      <c r="AE719" s="18">
        <f>IF(COUNTA($B719:$R719)=0,"",IF($X719="Cancelado",0,ROUND(N($Q719)+N($S719)+N($T719)-N($U719),2)))</f>
        <v/>
      </c>
      <c r="AF719" s="9">
        <f>IF($G719="","",IFERROR(INDEX(LINHAS_DRE_PLANO,MATCH($G719,SUBCATEGORIAS_PLANO,0)),"Não classificado"))</f>
        <v/>
      </c>
      <c r="AG719" s="17">
        <f>IF($G719="","",IFERROR(INDEX(TIPOS_FLUXO_PLANO,MATCH($G719,SUBCATEGORIAS_PLANO,0)),"Não classificado"))</f>
        <v/>
      </c>
      <c r="AH719" s="9">
        <f>IF($G719="","",IFERROR(INDEX(GRUPOS_PLANO,MATCH($G719,SUBCATEGORIAS_PLANO,0)),"Não classificado"))</f>
        <v/>
      </c>
      <c r="AI719" s="24">
        <f>IF(OR($C719="",$X719="Pago",$X719="Recebido",$X719="Cancelado"),"",$C719-TODAY())</f>
        <v/>
      </c>
      <c r="AJ719" s="24">
        <f>IF(OR($C719="",$X719="Pago",$X719="Recebido",$X719="Cancelado"),0,MAX(0,TODAY()-$C719))</f>
        <v/>
      </c>
      <c r="AK719" s="24">
        <f>IF($D719="","",$D719-$B719)</f>
        <v/>
      </c>
      <c r="AL719" s="18">
        <f>IF(OR($D719="",$B719=""),"",ROUND(N($R719)*($D719-$B719),2))</f>
        <v/>
      </c>
      <c r="AM719" s="17">
        <f>IF(AND($E719="Saída",$W719&gt;0,$C719&lt;&gt;""),$C719+ROW()/1000000,"")</f>
        <v/>
      </c>
      <c r="AN719" s="17">
        <f>IF(AND($E719="Entrada",$W719&gt;0,$C719&lt;&gt;""),$C719+ROW()/1000000,"")</f>
        <v/>
      </c>
      <c r="AO719" s="9">
        <f>IF(COUNTA($B719:$R719)=0,"",IF(AND($I719&lt;&gt;"",COUNTIF(CLIENTES_NOMES,$I719)+COUNTIF(CLIENTES_FANTASIA,$I719)+COUNTIF(FORNECEDORES_NOMES,$I719)+COUNTIF(FORNECEDORES_FANTASIA,$I719)=0),"⚠ Cliente/Fornecedor não cadastrado",IF(AND($G719&lt;&gt;"",COUNTIF(SUBCATEGORIAS_PLANO,$G719)=0),"⚠ Subcategoria fora do plano de contas",IF(OR($Q719="",N($Q719)=0),"⚠ Valor previsto não informado",IF(AND(OR($X719="Pago",$X719="Recebido"),$D719=""),"⚠ Status pago/recebido sem data",IF(AND($D719&lt;&gt;"",N($R719)=0),"⚠ Data de pagamento sem valor realizado",IF(AND(N($P719)&gt;1,N($O719)&gt;N($P719)),"⚠ Nº da parcela maior que o total",IF(AND($C719&lt;&gt;"",$B719&lt;&gt;"",$C719&lt;$B719),"⚠ Vencimento anterior à competência","OK"))))))))</f>
        <v/>
      </c>
    </row>
    <row r="720">
      <c r="A720" s="14" t="inlineStr">
        <is>
          <t>L0715</t>
        </is>
      </c>
      <c r="B720" s="36" t="n">
        <v>47381</v>
      </c>
      <c r="C720" s="36" t="n">
        <v>47381</v>
      </c>
      <c r="D720" s="36" t="n"/>
      <c r="E720" s="14" t="inlineStr">
        <is>
          <t>Saída</t>
        </is>
      </c>
      <c r="F720" s="29" t="inlineStr">
        <is>
          <t>Despesas Financeiras</t>
        </is>
      </c>
      <c r="G720" s="29" t="inlineStr">
        <is>
          <t>Juros de Empréstimos e Financiamentos</t>
        </is>
      </c>
      <c r="H720" s="29" t="inlineStr">
        <is>
          <t>Diretoria</t>
        </is>
      </c>
      <c r="I720" s="29" t="inlineStr">
        <is>
          <t>Banco Santander</t>
        </is>
      </c>
      <c r="J720" s="29" t="inlineStr">
        <is>
          <t>Financiamento de Veículo — parcela 44/48 (juros)</t>
        </is>
      </c>
      <c r="K720" s="14" t="inlineStr">
        <is>
          <t>VEI-2026-0088-P44</t>
        </is>
      </c>
      <c r="L720" s="29" t="inlineStr">
        <is>
          <t>Itaú Unibanco — C/C 45678-9</t>
        </is>
      </c>
      <c r="M720" s="14" t="inlineStr">
        <is>
          <t>Débito automático</t>
        </is>
      </c>
      <c r="N720" s="29" t="n"/>
      <c r="O720" s="13" t="n">
        <v>44</v>
      </c>
      <c r="P720" s="13" t="n">
        <v>48</v>
      </c>
      <c r="Q720" s="35" t="n">
        <v>134.08</v>
      </c>
      <c r="R720" s="35" t="n"/>
      <c r="S720" s="35" t="n"/>
      <c r="T720" s="35" t="n"/>
      <c r="U720" s="35" t="n"/>
      <c r="V720" s="18">
        <f>IF(COUNTA($B720:$R720)=0,"",ROUND(N($R720)+N($S720)+N($T720)-N($U720),2))</f>
        <v/>
      </c>
      <c r="W720" s="18">
        <f>IF(COUNTA($B720:$R720)=0,"",IF(OR($X720="Pago",$X720="Recebido",$X720="Cancelado"),0,ROUND(N($Q720)+N($S720)+N($T720)-N($U720)-N($R720),2)))</f>
        <v/>
      </c>
      <c r="X720" s="14" t="inlineStr">
        <is>
          <t>Previsto</t>
        </is>
      </c>
      <c r="Y720" s="17">
        <f>IF(COUNTA($B720:$R720)=0,"",IF($X720="Cancelado","Cancelado",IF(OR($X720="Pago",$X720="Recebido"),$X720,IF(OR($X720="Parcial",N($R720)&gt;0),"Parcial",IF($C720="","Sem vencimento",IF($C720&lt;TODAY(),"Vencido",IF($C720=TODAY(),"Vence hoje",IF($C720&lt;=TODAY()+7,"Vence em 7 dias",IF($C720&lt;=TODAY()+30,"Vence em 30 dias","Futuro")))))))))</f>
        <v/>
      </c>
      <c r="Z720" s="24">
        <f>IF($B720="","",MONTH($B720))</f>
        <v/>
      </c>
      <c r="AA720" s="24">
        <f>IF($B720="","",YEAR($B720))</f>
        <v/>
      </c>
      <c r="AB720" s="24">
        <f>IF($B720="","",ISOWEEKNUM($B720))</f>
        <v/>
      </c>
      <c r="AC720" s="17">
        <f>IF($B720="","",CHOOSE(WEEKDAY($B720,2),"Segunda","Terça","Quarta","Quinta","Sexta","Sábado","Domingo"))</f>
        <v/>
      </c>
      <c r="AD720" s="17">
        <f>IF($B720="","",TEXT($B720,"MM/AAAA"))</f>
        <v/>
      </c>
      <c r="AE720" s="18">
        <f>IF(COUNTA($B720:$R720)=0,"",IF($X720="Cancelado",0,ROUND(N($Q720)+N($S720)+N($T720)-N($U720),2)))</f>
        <v/>
      </c>
      <c r="AF720" s="9">
        <f>IF($G720="","",IFERROR(INDEX(LINHAS_DRE_PLANO,MATCH($G720,SUBCATEGORIAS_PLANO,0)),"Não classificado"))</f>
        <v/>
      </c>
      <c r="AG720" s="17">
        <f>IF($G720="","",IFERROR(INDEX(TIPOS_FLUXO_PLANO,MATCH($G720,SUBCATEGORIAS_PLANO,0)),"Não classificado"))</f>
        <v/>
      </c>
      <c r="AH720" s="9">
        <f>IF($G720="","",IFERROR(INDEX(GRUPOS_PLANO,MATCH($G720,SUBCATEGORIAS_PLANO,0)),"Não classificado"))</f>
        <v/>
      </c>
      <c r="AI720" s="24">
        <f>IF(OR($C720="",$X720="Pago",$X720="Recebido",$X720="Cancelado"),"",$C720-TODAY())</f>
        <v/>
      </c>
      <c r="AJ720" s="24">
        <f>IF(OR($C720="",$X720="Pago",$X720="Recebido",$X720="Cancelado"),0,MAX(0,TODAY()-$C720))</f>
        <v/>
      </c>
      <c r="AK720" s="24">
        <f>IF($D720="","",$D720-$B720)</f>
        <v/>
      </c>
      <c r="AL720" s="18">
        <f>IF(OR($D720="",$B720=""),"",ROUND(N($R720)*($D720-$B720),2))</f>
        <v/>
      </c>
      <c r="AM720" s="17">
        <f>IF(AND($E720="Saída",$W720&gt;0,$C720&lt;&gt;""),$C720+ROW()/1000000,"")</f>
        <v/>
      </c>
      <c r="AN720" s="17">
        <f>IF(AND($E720="Entrada",$W720&gt;0,$C720&lt;&gt;""),$C720+ROW()/1000000,"")</f>
        <v/>
      </c>
      <c r="AO720" s="9">
        <f>IF(COUNTA($B720:$R720)=0,"",IF(AND($I720&lt;&gt;"",COUNTIF(CLIENTES_NOMES,$I720)+COUNTIF(CLIENTES_FANTASIA,$I720)+COUNTIF(FORNECEDORES_NOMES,$I720)+COUNTIF(FORNECEDORES_FANTASIA,$I720)=0),"⚠ Cliente/Fornecedor não cadastrado",IF(AND($G720&lt;&gt;"",COUNTIF(SUBCATEGORIAS_PLANO,$G720)=0),"⚠ Subcategoria fora do plano de contas",IF(OR($Q720="",N($Q720)=0),"⚠ Valor previsto não informado",IF(AND(OR($X720="Pago",$X720="Recebido"),$D720=""),"⚠ Status pago/recebido sem data",IF(AND($D720&lt;&gt;"",N($R720)=0),"⚠ Data de pagamento sem valor realizado",IF(AND(N($P720)&gt;1,N($O720)&gt;N($P720)),"⚠ Nº da parcela maior que o total",IF(AND($C720&lt;&gt;"",$B720&lt;&gt;"",$C720&lt;$B720),"⚠ Vencimento anterior à competência","OK"))))))))</f>
        <v/>
      </c>
    </row>
    <row r="721">
      <c r="A721" s="14" t="inlineStr">
        <is>
          <t>L0716</t>
        </is>
      </c>
      <c r="B721" s="36" t="n">
        <v>47411</v>
      </c>
      <c r="C721" s="36" t="n">
        <v>47411</v>
      </c>
      <c r="D721" s="36" t="n"/>
      <c r="E721" s="14" t="inlineStr">
        <is>
          <t>Saída</t>
        </is>
      </c>
      <c r="F721" s="29" t="inlineStr">
        <is>
          <t>Empréstimos e Financiamentos</t>
        </is>
      </c>
      <c r="G721" s="29" t="inlineStr">
        <is>
          <t>Pagamento de Principal de Empréstimos</t>
        </is>
      </c>
      <c r="H721" s="29" t="inlineStr">
        <is>
          <t>Diretoria</t>
        </is>
      </c>
      <c r="I721" s="29" t="inlineStr">
        <is>
          <t>Banco Santander</t>
        </is>
      </c>
      <c r="J721" s="29" t="inlineStr">
        <is>
          <t>Financiamento de Veículo — parcela 45/48 (principal)</t>
        </is>
      </c>
      <c r="K721" s="14" t="inlineStr">
        <is>
          <t>VEI-2026-0088-P45</t>
        </is>
      </c>
      <c r="L721" s="29" t="inlineStr">
        <is>
          <t>Itaú Unibanco — C/C 45678-9</t>
        </is>
      </c>
      <c r="M721" s="14" t="inlineStr">
        <is>
          <t>Débito automático</t>
        </is>
      </c>
      <c r="N721" s="29" t="n"/>
      <c r="O721" s="13" t="n">
        <v>45</v>
      </c>
      <c r="P721" s="13" t="n">
        <v>48</v>
      </c>
      <c r="Q721" s="35" t="n">
        <v>2118.53</v>
      </c>
      <c r="R721" s="35" t="n"/>
      <c r="S721" s="35" t="n"/>
      <c r="T721" s="35" t="n"/>
      <c r="U721" s="35" t="n"/>
      <c r="V721" s="18">
        <f>IF(COUNTA($B721:$R721)=0,"",ROUND(N($R721)+N($S721)+N($T721)-N($U721),2))</f>
        <v/>
      </c>
      <c r="W721" s="18">
        <f>IF(COUNTA($B721:$R721)=0,"",IF(OR($X721="Pago",$X721="Recebido",$X721="Cancelado"),0,ROUND(N($Q721)+N($S721)+N($T721)-N($U721)-N($R721),2)))</f>
        <v/>
      </c>
      <c r="X721" s="14" t="inlineStr">
        <is>
          <t>Previsto</t>
        </is>
      </c>
      <c r="Y721" s="17">
        <f>IF(COUNTA($B721:$R721)=0,"",IF($X721="Cancelado","Cancelado",IF(OR($X721="Pago",$X721="Recebido"),$X721,IF(OR($X721="Parcial",N($R721)&gt;0),"Parcial",IF($C721="","Sem vencimento",IF($C721&lt;TODAY(),"Vencido",IF($C721=TODAY(),"Vence hoje",IF($C721&lt;=TODAY()+7,"Vence em 7 dias",IF($C721&lt;=TODAY()+30,"Vence em 30 dias","Futuro")))))))))</f>
        <v/>
      </c>
      <c r="Z721" s="24">
        <f>IF($B721="","",MONTH($B721))</f>
        <v/>
      </c>
      <c r="AA721" s="24">
        <f>IF($B721="","",YEAR($B721))</f>
        <v/>
      </c>
      <c r="AB721" s="24">
        <f>IF($B721="","",ISOWEEKNUM($B721))</f>
        <v/>
      </c>
      <c r="AC721" s="17">
        <f>IF($B721="","",CHOOSE(WEEKDAY($B721,2),"Segunda","Terça","Quarta","Quinta","Sexta","Sábado","Domingo"))</f>
        <v/>
      </c>
      <c r="AD721" s="17">
        <f>IF($B721="","",TEXT($B721,"MM/AAAA"))</f>
        <v/>
      </c>
      <c r="AE721" s="18">
        <f>IF(COUNTA($B721:$R721)=0,"",IF($X721="Cancelado",0,ROUND(N($Q721)+N($S721)+N($T721)-N($U721),2)))</f>
        <v/>
      </c>
      <c r="AF721" s="9">
        <f>IF($G721="","",IFERROR(INDEX(LINHAS_DRE_PLANO,MATCH($G721,SUBCATEGORIAS_PLANO,0)),"Não classificado"))</f>
        <v/>
      </c>
      <c r="AG721" s="17">
        <f>IF($G721="","",IFERROR(INDEX(TIPOS_FLUXO_PLANO,MATCH($G721,SUBCATEGORIAS_PLANO,0)),"Não classificado"))</f>
        <v/>
      </c>
      <c r="AH721" s="9">
        <f>IF($G721="","",IFERROR(INDEX(GRUPOS_PLANO,MATCH($G721,SUBCATEGORIAS_PLANO,0)),"Não classificado"))</f>
        <v/>
      </c>
      <c r="AI721" s="24">
        <f>IF(OR($C721="",$X721="Pago",$X721="Recebido",$X721="Cancelado"),"",$C721-TODAY())</f>
        <v/>
      </c>
      <c r="AJ721" s="24">
        <f>IF(OR($C721="",$X721="Pago",$X721="Recebido",$X721="Cancelado"),0,MAX(0,TODAY()-$C721))</f>
        <v/>
      </c>
      <c r="AK721" s="24">
        <f>IF($D721="","",$D721-$B721)</f>
        <v/>
      </c>
      <c r="AL721" s="18">
        <f>IF(OR($D721="",$B721=""),"",ROUND(N($R721)*($D721-$B721),2))</f>
        <v/>
      </c>
      <c r="AM721" s="17">
        <f>IF(AND($E721="Saída",$W721&gt;0,$C721&lt;&gt;""),$C721+ROW()/1000000,"")</f>
        <v/>
      </c>
      <c r="AN721" s="17">
        <f>IF(AND($E721="Entrada",$W721&gt;0,$C721&lt;&gt;""),$C721+ROW()/1000000,"")</f>
        <v/>
      </c>
      <c r="AO721" s="9">
        <f>IF(COUNTA($B721:$R721)=0,"",IF(AND($I721&lt;&gt;"",COUNTIF(CLIENTES_NOMES,$I721)+COUNTIF(CLIENTES_FANTASIA,$I721)+COUNTIF(FORNECEDORES_NOMES,$I721)+COUNTIF(FORNECEDORES_FANTASIA,$I721)=0),"⚠ Cliente/Fornecedor não cadastrado",IF(AND($G721&lt;&gt;"",COUNTIF(SUBCATEGORIAS_PLANO,$G721)=0),"⚠ Subcategoria fora do plano de contas",IF(OR($Q721="",N($Q721)=0),"⚠ Valor previsto não informado",IF(AND(OR($X721="Pago",$X721="Recebido"),$D721=""),"⚠ Status pago/recebido sem data",IF(AND($D721&lt;&gt;"",N($R721)=0),"⚠ Data de pagamento sem valor realizado",IF(AND(N($P721)&gt;1,N($O721)&gt;N($P721)),"⚠ Nº da parcela maior que o total",IF(AND($C721&lt;&gt;"",$B721&lt;&gt;"",$C721&lt;$B721),"⚠ Vencimento anterior à competência","OK"))))))))</f>
        <v/>
      </c>
    </row>
    <row r="722">
      <c r="A722" s="14" t="inlineStr">
        <is>
          <t>L0717</t>
        </is>
      </c>
      <c r="B722" s="36" t="n">
        <v>47411</v>
      </c>
      <c r="C722" s="36" t="n">
        <v>47411</v>
      </c>
      <c r="D722" s="36" t="n"/>
      <c r="E722" s="14" t="inlineStr">
        <is>
          <t>Saída</t>
        </is>
      </c>
      <c r="F722" s="29" t="inlineStr">
        <is>
          <t>Despesas Financeiras</t>
        </is>
      </c>
      <c r="G722" s="29" t="inlineStr">
        <is>
          <t>Juros de Empréstimos e Financiamentos</t>
        </is>
      </c>
      <c r="H722" s="29" t="inlineStr">
        <is>
          <t>Diretoria</t>
        </is>
      </c>
      <c r="I722" s="29" t="inlineStr">
        <is>
          <t>Banco Santander</t>
        </is>
      </c>
      <c r="J722" s="29" t="inlineStr">
        <is>
          <t>Financiamento de Veículo — parcela 45/48 (juros)</t>
        </is>
      </c>
      <c r="K722" s="14" t="inlineStr">
        <is>
          <t>VEI-2026-0088-P45</t>
        </is>
      </c>
      <c r="L722" s="29" t="inlineStr">
        <is>
          <t>Itaú Unibanco — C/C 45678-9</t>
        </is>
      </c>
      <c r="M722" s="14" t="inlineStr">
        <is>
          <t>Débito automático</t>
        </is>
      </c>
      <c r="N722" s="29" t="n"/>
      <c r="O722" s="13" t="n">
        <v>45</v>
      </c>
      <c r="P722" s="13" t="n">
        <v>48</v>
      </c>
      <c r="Q722" s="35" t="n">
        <v>107.93</v>
      </c>
      <c r="R722" s="35" t="n"/>
      <c r="S722" s="35" t="n"/>
      <c r="T722" s="35" t="n"/>
      <c r="U722" s="35" t="n"/>
      <c r="V722" s="18">
        <f>IF(COUNTA($B722:$R722)=0,"",ROUND(N($R722)+N($S722)+N($T722)-N($U722),2))</f>
        <v/>
      </c>
      <c r="W722" s="18">
        <f>IF(COUNTA($B722:$R722)=0,"",IF(OR($X722="Pago",$X722="Recebido",$X722="Cancelado"),0,ROUND(N($Q722)+N($S722)+N($T722)-N($U722)-N($R722),2)))</f>
        <v/>
      </c>
      <c r="X722" s="14" t="inlineStr">
        <is>
          <t>Previsto</t>
        </is>
      </c>
      <c r="Y722" s="17">
        <f>IF(COUNTA($B722:$R722)=0,"",IF($X722="Cancelado","Cancelado",IF(OR($X722="Pago",$X722="Recebido"),$X722,IF(OR($X722="Parcial",N($R722)&gt;0),"Parcial",IF($C722="","Sem vencimento",IF($C722&lt;TODAY(),"Vencido",IF($C722=TODAY(),"Vence hoje",IF($C722&lt;=TODAY()+7,"Vence em 7 dias",IF($C722&lt;=TODAY()+30,"Vence em 30 dias","Futuro")))))))))</f>
        <v/>
      </c>
      <c r="Z722" s="24">
        <f>IF($B722="","",MONTH($B722))</f>
        <v/>
      </c>
      <c r="AA722" s="24">
        <f>IF($B722="","",YEAR($B722))</f>
        <v/>
      </c>
      <c r="AB722" s="24">
        <f>IF($B722="","",ISOWEEKNUM($B722))</f>
        <v/>
      </c>
      <c r="AC722" s="17">
        <f>IF($B722="","",CHOOSE(WEEKDAY($B722,2),"Segunda","Terça","Quarta","Quinta","Sexta","Sábado","Domingo"))</f>
        <v/>
      </c>
      <c r="AD722" s="17">
        <f>IF($B722="","",TEXT($B722,"MM/AAAA"))</f>
        <v/>
      </c>
      <c r="AE722" s="18">
        <f>IF(COUNTA($B722:$R722)=0,"",IF($X722="Cancelado",0,ROUND(N($Q722)+N($S722)+N($T722)-N($U722),2)))</f>
        <v/>
      </c>
      <c r="AF722" s="9">
        <f>IF($G722="","",IFERROR(INDEX(LINHAS_DRE_PLANO,MATCH($G722,SUBCATEGORIAS_PLANO,0)),"Não classificado"))</f>
        <v/>
      </c>
      <c r="AG722" s="17">
        <f>IF($G722="","",IFERROR(INDEX(TIPOS_FLUXO_PLANO,MATCH($G722,SUBCATEGORIAS_PLANO,0)),"Não classificado"))</f>
        <v/>
      </c>
      <c r="AH722" s="9">
        <f>IF($G722="","",IFERROR(INDEX(GRUPOS_PLANO,MATCH($G722,SUBCATEGORIAS_PLANO,0)),"Não classificado"))</f>
        <v/>
      </c>
      <c r="AI722" s="24">
        <f>IF(OR($C722="",$X722="Pago",$X722="Recebido",$X722="Cancelado"),"",$C722-TODAY())</f>
        <v/>
      </c>
      <c r="AJ722" s="24">
        <f>IF(OR($C722="",$X722="Pago",$X722="Recebido",$X722="Cancelado"),0,MAX(0,TODAY()-$C722))</f>
        <v/>
      </c>
      <c r="AK722" s="24">
        <f>IF($D722="","",$D722-$B722)</f>
        <v/>
      </c>
      <c r="AL722" s="18">
        <f>IF(OR($D722="",$B722=""),"",ROUND(N($R722)*($D722-$B722),2))</f>
        <v/>
      </c>
      <c r="AM722" s="17">
        <f>IF(AND($E722="Saída",$W722&gt;0,$C722&lt;&gt;""),$C722+ROW()/1000000,"")</f>
        <v/>
      </c>
      <c r="AN722" s="17">
        <f>IF(AND($E722="Entrada",$W722&gt;0,$C722&lt;&gt;""),$C722+ROW()/1000000,"")</f>
        <v/>
      </c>
      <c r="AO722" s="9">
        <f>IF(COUNTA($B722:$R722)=0,"",IF(AND($I722&lt;&gt;"",COUNTIF(CLIENTES_NOMES,$I722)+COUNTIF(CLIENTES_FANTASIA,$I722)+COUNTIF(FORNECEDORES_NOMES,$I722)+COUNTIF(FORNECEDORES_FANTASIA,$I722)=0),"⚠ Cliente/Fornecedor não cadastrado",IF(AND($G722&lt;&gt;"",COUNTIF(SUBCATEGORIAS_PLANO,$G722)=0),"⚠ Subcategoria fora do plano de contas",IF(OR($Q722="",N($Q722)=0),"⚠ Valor previsto não informado",IF(AND(OR($X722="Pago",$X722="Recebido"),$D722=""),"⚠ Status pago/recebido sem data",IF(AND($D722&lt;&gt;"",N($R722)=0),"⚠ Data de pagamento sem valor realizado",IF(AND(N($P722)&gt;1,N($O722)&gt;N($P722)),"⚠ Nº da parcela maior que o total",IF(AND($C722&lt;&gt;"",$B722&lt;&gt;"",$C722&lt;$B722),"⚠ Vencimento anterior à competência","OK"))))))))</f>
        <v/>
      </c>
    </row>
    <row r="723">
      <c r="A723" s="14" t="inlineStr">
        <is>
          <t>L0718</t>
        </is>
      </c>
      <c r="B723" s="36" t="n">
        <v>47442</v>
      </c>
      <c r="C723" s="36" t="n">
        <v>47442</v>
      </c>
      <c r="D723" s="36" t="n"/>
      <c r="E723" s="14" t="inlineStr">
        <is>
          <t>Saída</t>
        </is>
      </c>
      <c r="F723" s="29" t="inlineStr">
        <is>
          <t>Empréstimos e Financiamentos</t>
        </is>
      </c>
      <c r="G723" s="29" t="inlineStr">
        <is>
          <t>Pagamento de Principal de Empréstimos</t>
        </is>
      </c>
      <c r="H723" s="29" t="inlineStr">
        <is>
          <t>Diretoria</t>
        </is>
      </c>
      <c r="I723" s="29" t="inlineStr">
        <is>
          <t>Banco Santander</t>
        </is>
      </c>
      <c r="J723" s="29" t="inlineStr">
        <is>
          <t>Financiamento de Veículo — parcela 46/48 (principal)</t>
        </is>
      </c>
      <c r="K723" s="14" t="inlineStr">
        <is>
          <t>VEI-2026-0088-P46</t>
        </is>
      </c>
      <c r="L723" s="29" t="inlineStr">
        <is>
          <t>Itaú Unibanco — C/C 45678-9</t>
        </is>
      </c>
      <c r="M723" s="14" t="inlineStr">
        <is>
          <t>Débito automático</t>
        </is>
      </c>
      <c r="N723" s="29" t="n"/>
      <c r="O723" s="13" t="n">
        <v>46</v>
      </c>
      <c r="P723" s="13" t="n">
        <v>48</v>
      </c>
      <c r="Q723" s="35" t="n">
        <v>2145.01</v>
      </c>
      <c r="R723" s="35" t="n"/>
      <c r="S723" s="35" t="n"/>
      <c r="T723" s="35" t="n"/>
      <c r="U723" s="35" t="n"/>
      <c r="V723" s="18">
        <f>IF(COUNTA($B723:$R723)=0,"",ROUND(N($R723)+N($S723)+N($T723)-N($U723),2))</f>
        <v/>
      </c>
      <c r="W723" s="18">
        <f>IF(COUNTA($B723:$R723)=0,"",IF(OR($X723="Pago",$X723="Recebido",$X723="Cancelado"),0,ROUND(N($Q723)+N($S723)+N($T723)-N($U723)-N($R723),2)))</f>
        <v/>
      </c>
      <c r="X723" s="14" t="inlineStr">
        <is>
          <t>Previsto</t>
        </is>
      </c>
      <c r="Y723" s="17">
        <f>IF(COUNTA($B723:$R723)=0,"",IF($X723="Cancelado","Cancelado",IF(OR($X723="Pago",$X723="Recebido"),$X723,IF(OR($X723="Parcial",N($R723)&gt;0),"Parcial",IF($C723="","Sem vencimento",IF($C723&lt;TODAY(),"Vencido",IF($C723=TODAY(),"Vence hoje",IF($C723&lt;=TODAY()+7,"Vence em 7 dias",IF($C723&lt;=TODAY()+30,"Vence em 30 dias","Futuro")))))))))</f>
        <v/>
      </c>
      <c r="Z723" s="24">
        <f>IF($B723="","",MONTH($B723))</f>
        <v/>
      </c>
      <c r="AA723" s="24">
        <f>IF($B723="","",YEAR($B723))</f>
        <v/>
      </c>
      <c r="AB723" s="24">
        <f>IF($B723="","",ISOWEEKNUM($B723))</f>
        <v/>
      </c>
      <c r="AC723" s="17">
        <f>IF($B723="","",CHOOSE(WEEKDAY($B723,2),"Segunda","Terça","Quarta","Quinta","Sexta","Sábado","Domingo"))</f>
        <v/>
      </c>
      <c r="AD723" s="17">
        <f>IF($B723="","",TEXT($B723,"MM/AAAA"))</f>
        <v/>
      </c>
      <c r="AE723" s="18">
        <f>IF(COUNTA($B723:$R723)=0,"",IF($X723="Cancelado",0,ROUND(N($Q723)+N($S723)+N($T723)-N($U723),2)))</f>
        <v/>
      </c>
      <c r="AF723" s="9">
        <f>IF($G723="","",IFERROR(INDEX(LINHAS_DRE_PLANO,MATCH($G723,SUBCATEGORIAS_PLANO,0)),"Não classificado"))</f>
        <v/>
      </c>
      <c r="AG723" s="17">
        <f>IF($G723="","",IFERROR(INDEX(TIPOS_FLUXO_PLANO,MATCH($G723,SUBCATEGORIAS_PLANO,0)),"Não classificado"))</f>
        <v/>
      </c>
      <c r="AH723" s="9">
        <f>IF($G723="","",IFERROR(INDEX(GRUPOS_PLANO,MATCH($G723,SUBCATEGORIAS_PLANO,0)),"Não classificado"))</f>
        <v/>
      </c>
      <c r="AI723" s="24">
        <f>IF(OR($C723="",$X723="Pago",$X723="Recebido",$X723="Cancelado"),"",$C723-TODAY())</f>
        <v/>
      </c>
      <c r="AJ723" s="24">
        <f>IF(OR($C723="",$X723="Pago",$X723="Recebido",$X723="Cancelado"),0,MAX(0,TODAY()-$C723))</f>
        <v/>
      </c>
      <c r="AK723" s="24">
        <f>IF($D723="","",$D723-$B723)</f>
        <v/>
      </c>
      <c r="AL723" s="18">
        <f>IF(OR($D723="",$B723=""),"",ROUND(N($R723)*($D723-$B723),2))</f>
        <v/>
      </c>
      <c r="AM723" s="17">
        <f>IF(AND($E723="Saída",$W723&gt;0,$C723&lt;&gt;""),$C723+ROW()/1000000,"")</f>
        <v/>
      </c>
      <c r="AN723" s="17">
        <f>IF(AND($E723="Entrada",$W723&gt;0,$C723&lt;&gt;""),$C723+ROW()/1000000,"")</f>
        <v/>
      </c>
      <c r="AO723" s="9">
        <f>IF(COUNTA($B723:$R723)=0,"",IF(AND($I723&lt;&gt;"",COUNTIF(CLIENTES_NOMES,$I723)+COUNTIF(CLIENTES_FANTASIA,$I723)+COUNTIF(FORNECEDORES_NOMES,$I723)+COUNTIF(FORNECEDORES_FANTASIA,$I723)=0),"⚠ Cliente/Fornecedor não cadastrado",IF(AND($G723&lt;&gt;"",COUNTIF(SUBCATEGORIAS_PLANO,$G723)=0),"⚠ Subcategoria fora do plano de contas",IF(OR($Q723="",N($Q723)=0),"⚠ Valor previsto não informado",IF(AND(OR($X723="Pago",$X723="Recebido"),$D723=""),"⚠ Status pago/recebido sem data",IF(AND($D723&lt;&gt;"",N($R723)=0),"⚠ Data de pagamento sem valor realizado",IF(AND(N($P723)&gt;1,N($O723)&gt;N($P723)),"⚠ Nº da parcela maior que o total",IF(AND($C723&lt;&gt;"",$B723&lt;&gt;"",$C723&lt;$B723),"⚠ Vencimento anterior à competência","OK"))))))))</f>
        <v/>
      </c>
    </row>
    <row r="724">
      <c r="A724" s="14" t="inlineStr">
        <is>
          <t>L0719</t>
        </is>
      </c>
      <c r="B724" s="36" t="n">
        <v>47442</v>
      </c>
      <c r="C724" s="36" t="n">
        <v>47442</v>
      </c>
      <c r="D724" s="36" t="n"/>
      <c r="E724" s="14" t="inlineStr">
        <is>
          <t>Saída</t>
        </is>
      </c>
      <c r="F724" s="29" t="inlineStr">
        <is>
          <t>Despesas Financeiras</t>
        </is>
      </c>
      <c r="G724" s="29" t="inlineStr">
        <is>
          <t>Juros de Empréstimos e Financiamentos</t>
        </is>
      </c>
      <c r="H724" s="29" t="inlineStr">
        <is>
          <t>Diretoria</t>
        </is>
      </c>
      <c r="I724" s="29" t="inlineStr">
        <is>
          <t>Banco Santander</t>
        </is>
      </c>
      <c r="J724" s="29" t="inlineStr">
        <is>
          <t>Financiamento de Veículo — parcela 46/48 (juros)</t>
        </is>
      </c>
      <c r="K724" s="14" t="inlineStr">
        <is>
          <t>VEI-2026-0088-P46</t>
        </is>
      </c>
      <c r="L724" s="29" t="inlineStr">
        <is>
          <t>Itaú Unibanco — C/C 45678-9</t>
        </is>
      </c>
      <c r="M724" s="14" t="inlineStr">
        <is>
          <t>Débito automático</t>
        </is>
      </c>
      <c r="N724" s="29" t="n"/>
      <c r="O724" s="13" t="n">
        <v>46</v>
      </c>
      <c r="P724" s="13" t="n">
        <v>48</v>
      </c>
      <c r="Q724" s="35" t="n">
        <v>81.45</v>
      </c>
      <c r="R724" s="35" t="n"/>
      <c r="S724" s="35" t="n"/>
      <c r="T724" s="35" t="n"/>
      <c r="U724" s="35" t="n"/>
      <c r="V724" s="18">
        <f>IF(COUNTA($B724:$R724)=0,"",ROUND(N($R724)+N($S724)+N($T724)-N($U724),2))</f>
        <v/>
      </c>
      <c r="W724" s="18">
        <f>IF(COUNTA($B724:$R724)=0,"",IF(OR($X724="Pago",$X724="Recebido",$X724="Cancelado"),0,ROUND(N($Q724)+N($S724)+N($T724)-N($U724)-N($R724),2)))</f>
        <v/>
      </c>
      <c r="X724" s="14" t="inlineStr">
        <is>
          <t>Previsto</t>
        </is>
      </c>
      <c r="Y724" s="17">
        <f>IF(COUNTA($B724:$R724)=0,"",IF($X724="Cancelado","Cancelado",IF(OR($X724="Pago",$X724="Recebido"),$X724,IF(OR($X724="Parcial",N($R724)&gt;0),"Parcial",IF($C724="","Sem vencimento",IF($C724&lt;TODAY(),"Vencido",IF($C724=TODAY(),"Vence hoje",IF($C724&lt;=TODAY()+7,"Vence em 7 dias",IF($C724&lt;=TODAY()+30,"Vence em 30 dias","Futuro")))))))))</f>
        <v/>
      </c>
      <c r="Z724" s="24">
        <f>IF($B724="","",MONTH($B724))</f>
        <v/>
      </c>
      <c r="AA724" s="24">
        <f>IF($B724="","",YEAR($B724))</f>
        <v/>
      </c>
      <c r="AB724" s="24">
        <f>IF($B724="","",ISOWEEKNUM($B724))</f>
        <v/>
      </c>
      <c r="AC724" s="17">
        <f>IF($B724="","",CHOOSE(WEEKDAY($B724,2),"Segunda","Terça","Quarta","Quinta","Sexta","Sábado","Domingo"))</f>
        <v/>
      </c>
      <c r="AD724" s="17">
        <f>IF($B724="","",TEXT($B724,"MM/AAAA"))</f>
        <v/>
      </c>
      <c r="AE724" s="18">
        <f>IF(COUNTA($B724:$R724)=0,"",IF($X724="Cancelado",0,ROUND(N($Q724)+N($S724)+N($T724)-N($U724),2)))</f>
        <v/>
      </c>
      <c r="AF724" s="9">
        <f>IF($G724="","",IFERROR(INDEX(LINHAS_DRE_PLANO,MATCH($G724,SUBCATEGORIAS_PLANO,0)),"Não classificado"))</f>
        <v/>
      </c>
      <c r="AG724" s="17">
        <f>IF($G724="","",IFERROR(INDEX(TIPOS_FLUXO_PLANO,MATCH($G724,SUBCATEGORIAS_PLANO,0)),"Não classificado"))</f>
        <v/>
      </c>
      <c r="AH724" s="9">
        <f>IF($G724="","",IFERROR(INDEX(GRUPOS_PLANO,MATCH($G724,SUBCATEGORIAS_PLANO,0)),"Não classificado"))</f>
        <v/>
      </c>
      <c r="AI724" s="24">
        <f>IF(OR($C724="",$X724="Pago",$X724="Recebido",$X724="Cancelado"),"",$C724-TODAY())</f>
        <v/>
      </c>
      <c r="AJ724" s="24">
        <f>IF(OR($C724="",$X724="Pago",$X724="Recebido",$X724="Cancelado"),0,MAX(0,TODAY()-$C724))</f>
        <v/>
      </c>
      <c r="AK724" s="24">
        <f>IF($D724="","",$D724-$B724)</f>
        <v/>
      </c>
      <c r="AL724" s="18">
        <f>IF(OR($D724="",$B724=""),"",ROUND(N($R724)*($D724-$B724),2))</f>
        <v/>
      </c>
      <c r="AM724" s="17">
        <f>IF(AND($E724="Saída",$W724&gt;0,$C724&lt;&gt;""),$C724+ROW()/1000000,"")</f>
        <v/>
      </c>
      <c r="AN724" s="17">
        <f>IF(AND($E724="Entrada",$W724&gt;0,$C724&lt;&gt;""),$C724+ROW()/1000000,"")</f>
        <v/>
      </c>
      <c r="AO724" s="9">
        <f>IF(COUNTA($B724:$R724)=0,"",IF(AND($I724&lt;&gt;"",COUNTIF(CLIENTES_NOMES,$I724)+COUNTIF(CLIENTES_FANTASIA,$I724)+COUNTIF(FORNECEDORES_NOMES,$I724)+COUNTIF(FORNECEDORES_FANTASIA,$I724)=0),"⚠ Cliente/Fornecedor não cadastrado",IF(AND($G724&lt;&gt;"",COUNTIF(SUBCATEGORIAS_PLANO,$G724)=0),"⚠ Subcategoria fora do plano de contas",IF(OR($Q724="",N($Q724)=0),"⚠ Valor previsto não informado",IF(AND(OR($X724="Pago",$X724="Recebido"),$D724=""),"⚠ Status pago/recebido sem data",IF(AND($D724&lt;&gt;"",N($R724)=0),"⚠ Data de pagamento sem valor realizado",IF(AND(N($P724)&gt;1,N($O724)&gt;N($P724)),"⚠ Nº da parcela maior que o total",IF(AND($C724&lt;&gt;"",$B724&lt;&gt;"",$C724&lt;$B724),"⚠ Vencimento anterior à competência","OK"))))))))</f>
        <v/>
      </c>
    </row>
    <row r="725">
      <c r="A725" s="14" t="inlineStr">
        <is>
          <t>L0720</t>
        </is>
      </c>
      <c r="B725" s="36" t="n">
        <v>47472</v>
      </c>
      <c r="C725" s="36" t="n">
        <v>47472</v>
      </c>
      <c r="D725" s="36" t="n"/>
      <c r="E725" s="14" t="inlineStr">
        <is>
          <t>Saída</t>
        </is>
      </c>
      <c r="F725" s="29" t="inlineStr">
        <is>
          <t>Empréstimos e Financiamentos</t>
        </is>
      </c>
      <c r="G725" s="29" t="inlineStr">
        <is>
          <t>Pagamento de Principal de Empréstimos</t>
        </is>
      </c>
      <c r="H725" s="29" t="inlineStr">
        <is>
          <t>Diretoria</t>
        </is>
      </c>
      <c r="I725" s="29" t="inlineStr">
        <is>
          <t>Banco Santander</t>
        </is>
      </c>
      <c r="J725" s="29" t="inlineStr">
        <is>
          <t>Financiamento de Veículo — parcela 47/48 (principal)</t>
        </is>
      </c>
      <c r="K725" s="14" t="inlineStr">
        <is>
          <t>VEI-2026-0088-P47</t>
        </is>
      </c>
      <c r="L725" s="29" t="inlineStr">
        <is>
          <t>Itaú Unibanco — C/C 45678-9</t>
        </is>
      </c>
      <c r="M725" s="14" t="inlineStr">
        <is>
          <t>Débito automático</t>
        </is>
      </c>
      <c r="N725" s="29" t="n"/>
      <c r="O725" s="13" t="n">
        <v>47</v>
      </c>
      <c r="P725" s="13" t="n">
        <v>48</v>
      </c>
      <c r="Q725" s="35" t="n">
        <v>2171.82</v>
      </c>
      <c r="R725" s="35" t="n"/>
      <c r="S725" s="35" t="n"/>
      <c r="T725" s="35" t="n"/>
      <c r="U725" s="35" t="n"/>
      <c r="V725" s="18">
        <f>IF(COUNTA($B725:$R725)=0,"",ROUND(N($R725)+N($S725)+N($T725)-N($U725),2))</f>
        <v/>
      </c>
      <c r="W725" s="18">
        <f>IF(COUNTA($B725:$R725)=0,"",IF(OR($X725="Pago",$X725="Recebido",$X725="Cancelado"),0,ROUND(N($Q725)+N($S725)+N($T725)-N($U725)-N($R725),2)))</f>
        <v/>
      </c>
      <c r="X725" s="14" t="inlineStr">
        <is>
          <t>Previsto</t>
        </is>
      </c>
      <c r="Y725" s="17">
        <f>IF(COUNTA($B725:$R725)=0,"",IF($X725="Cancelado","Cancelado",IF(OR($X725="Pago",$X725="Recebido"),$X725,IF(OR($X725="Parcial",N($R725)&gt;0),"Parcial",IF($C725="","Sem vencimento",IF($C725&lt;TODAY(),"Vencido",IF($C725=TODAY(),"Vence hoje",IF($C725&lt;=TODAY()+7,"Vence em 7 dias",IF($C725&lt;=TODAY()+30,"Vence em 30 dias","Futuro")))))))))</f>
        <v/>
      </c>
      <c r="Z725" s="24">
        <f>IF($B725="","",MONTH($B725))</f>
        <v/>
      </c>
      <c r="AA725" s="24">
        <f>IF($B725="","",YEAR($B725))</f>
        <v/>
      </c>
      <c r="AB725" s="24">
        <f>IF($B725="","",ISOWEEKNUM($B725))</f>
        <v/>
      </c>
      <c r="AC725" s="17">
        <f>IF($B725="","",CHOOSE(WEEKDAY($B725,2),"Segunda","Terça","Quarta","Quinta","Sexta","Sábado","Domingo"))</f>
        <v/>
      </c>
      <c r="AD725" s="17">
        <f>IF($B725="","",TEXT($B725,"MM/AAAA"))</f>
        <v/>
      </c>
      <c r="AE725" s="18">
        <f>IF(COUNTA($B725:$R725)=0,"",IF($X725="Cancelado",0,ROUND(N($Q725)+N($S725)+N($T725)-N($U725),2)))</f>
        <v/>
      </c>
      <c r="AF725" s="9">
        <f>IF($G725="","",IFERROR(INDEX(LINHAS_DRE_PLANO,MATCH($G725,SUBCATEGORIAS_PLANO,0)),"Não classificado"))</f>
        <v/>
      </c>
      <c r="AG725" s="17">
        <f>IF($G725="","",IFERROR(INDEX(TIPOS_FLUXO_PLANO,MATCH($G725,SUBCATEGORIAS_PLANO,0)),"Não classificado"))</f>
        <v/>
      </c>
      <c r="AH725" s="9">
        <f>IF($G725="","",IFERROR(INDEX(GRUPOS_PLANO,MATCH($G725,SUBCATEGORIAS_PLANO,0)),"Não classificado"))</f>
        <v/>
      </c>
      <c r="AI725" s="24">
        <f>IF(OR($C725="",$X725="Pago",$X725="Recebido",$X725="Cancelado"),"",$C725-TODAY())</f>
        <v/>
      </c>
      <c r="AJ725" s="24">
        <f>IF(OR($C725="",$X725="Pago",$X725="Recebido",$X725="Cancelado"),0,MAX(0,TODAY()-$C725))</f>
        <v/>
      </c>
      <c r="AK725" s="24">
        <f>IF($D725="","",$D725-$B725)</f>
        <v/>
      </c>
      <c r="AL725" s="18">
        <f>IF(OR($D725="",$B725=""),"",ROUND(N($R725)*($D725-$B725),2))</f>
        <v/>
      </c>
      <c r="AM725" s="17">
        <f>IF(AND($E725="Saída",$W725&gt;0,$C725&lt;&gt;""),$C725+ROW()/1000000,"")</f>
        <v/>
      </c>
      <c r="AN725" s="17">
        <f>IF(AND($E725="Entrada",$W725&gt;0,$C725&lt;&gt;""),$C725+ROW()/1000000,"")</f>
        <v/>
      </c>
      <c r="AO725" s="9">
        <f>IF(COUNTA($B725:$R725)=0,"",IF(AND($I725&lt;&gt;"",COUNTIF(CLIENTES_NOMES,$I725)+COUNTIF(CLIENTES_FANTASIA,$I725)+COUNTIF(FORNECEDORES_NOMES,$I725)+COUNTIF(FORNECEDORES_FANTASIA,$I725)=0),"⚠ Cliente/Fornecedor não cadastrado",IF(AND($G725&lt;&gt;"",COUNTIF(SUBCATEGORIAS_PLANO,$G725)=0),"⚠ Subcategoria fora do plano de contas",IF(OR($Q725="",N($Q725)=0),"⚠ Valor previsto não informado",IF(AND(OR($X725="Pago",$X725="Recebido"),$D725=""),"⚠ Status pago/recebido sem data",IF(AND($D725&lt;&gt;"",N($R725)=0),"⚠ Data de pagamento sem valor realizado",IF(AND(N($P725)&gt;1,N($O725)&gt;N($P725)),"⚠ Nº da parcela maior que o total",IF(AND($C725&lt;&gt;"",$B725&lt;&gt;"",$C725&lt;$B725),"⚠ Vencimento anterior à competência","OK"))))))))</f>
        <v/>
      </c>
    </row>
    <row r="726">
      <c r="A726" s="14" t="inlineStr">
        <is>
          <t>L0721</t>
        </is>
      </c>
      <c r="B726" s="36" t="n">
        <v>47472</v>
      </c>
      <c r="C726" s="36" t="n">
        <v>47472</v>
      </c>
      <c r="D726" s="36" t="n"/>
      <c r="E726" s="14" t="inlineStr">
        <is>
          <t>Saída</t>
        </is>
      </c>
      <c r="F726" s="29" t="inlineStr">
        <is>
          <t>Despesas Financeiras</t>
        </is>
      </c>
      <c r="G726" s="29" t="inlineStr">
        <is>
          <t>Juros de Empréstimos e Financiamentos</t>
        </is>
      </c>
      <c r="H726" s="29" t="inlineStr">
        <is>
          <t>Diretoria</t>
        </is>
      </c>
      <c r="I726" s="29" t="inlineStr">
        <is>
          <t>Banco Santander</t>
        </is>
      </c>
      <c r="J726" s="29" t="inlineStr">
        <is>
          <t>Financiamento de Veículo — parcela 47/48 (juros)</t>
        </is>
      </c>
      <c r="K726" s="14" t="inlineStr">
        <is>
          <t>VEI-2026-0088-P47</t>
        </is>
      </c>
      <c r="L726" s="29" t="inlineStr">
        <is>
          <t>Itaú Unibanco — C/C 45678-9</t>
        </is>
      </c>
      <c r="M726" s="14" t="inlineStr">
        <is>
          <t>Débito automático</t>
        </is>
      </c>
      <c r="N726" s="29" t="n"/>
      <c r="O726" s="13" t="n">
        <v>47</v>
      </c>
      <c r="P726" s="13" t="n">
        <v>48</v>
      </c>
      <c r="Q726" s="35" t="n">
        <v>54.64</v>
      </c>
      <c r="R726" s="35" t="n"/>
      <c r="S726" s="35" t="n"/>
      <c r="T726" s="35" t="n"/>
      <c r="U726" s="35" t="n"/>
      <c r="V726" s="18">
        <f>IF(COUNTA($B726:$R726)=0,"",ROUND(N($R726)+N($S726)+N($T726)-N($U726),2))</f>
        <v/>
      </c>
      <c r="W726" s="18">
        <f>IF(COUNTA($B726:$R726)=0,"",IF(OR($X726="Pago",$X726="Recebido",$X726="Cancelado"),0,ROUND(N($Q726)+N($S726)+N($T726)-N($U726)-N($R726),2)))</f>
        <v/>
      </c>
      <c r="X726" s="14" t="inlineStr">
        <is>
          <t>Previsto</t>
        </is>
      </c>
      <c r="Y726" s="17">
        <f>IF(COUNTA($B726:$R726)=0,"",IF($X726="Cancelado","Cancelado",IF(OR($X726="Pago",$X726="Recebido"),$X726,IF(OR($X726="Parcial",N($R726)&gt;0),"Parcial",IF($C726="","Sem vencimento",IF($C726&lt;TODAY(),"Vencido",IF($C726=TODAY(),"Vence hoje",IF($C726&lt;=TODAY()+7,"Vence em 7 dias",IF($C726&lt;=TODAY()+30,"Vence em 30 dias","Futuro")))))))))</f>
        <v/>
      </c>
      <c r="Z726" s="24">
        <f>IF($B726="","",MONTH($B726))</f>
        <v/>
      </c>
      <c r="AA726" s="24">
        <f>IF($B726="","",YEAR($B726))</f>
        <v/>
      </c>
      <c r="AB726" s="24">
        <f>IF($B726="","",ISOWEEKNUM($B726))</f>
        <v/>
      </c>
      <c r="AC726" s="17">
        <f>IF($B726="","",CHOOSE(WEEKDAY($B726,2),"Segunda","Terça","Quarta","Quinta","Sexta","Sábado","Domingo"))</f>
        <v/>
      </c>
      <c r="AD726" s="17">
        <f>IF($B726="","",TEXT($B726,"MM/AAAA"))</f>
        <v/>
      </c>
      <c r="AE726" s="18">
        <f>IF(COUNTA($B726:$R726)=0,"",IF($X726="Cancelado",0,ROUND(N($Q726)+N($S726)+N($T726)-N($U726),2)))</f>
        <v/>
      </c>
      <c r="AF726" s="9">
        <f>IF($G726="","",IFERROR(INDEX(LINHAS_DRE_PLANO,MATCH($G726,SUBCATEGORIAS_PLANO,0)),"Não classificado"))</f>
        <v/>
      </c>
      <c r="AG726" s="17">
        <f>IF($G726="","",IFERROR(INDEX(TIPOS_FLUXO_PLANO,MATCH($G726,SUBCATEGORIAS_PLANO,0)),"Não classificado"))</f>
        <v/>
      </c>
      <c r="AH726" s="9">
        <f>IF($G726="","",IFERROR(INDEX(GRUPOS_PLANO,MATCH($G726,SUBCATEGORIAS_PLANO,0)),"Não classificado"))</f>
        <v/>
      </c>
      <c r="AI726" s="24">
        <f>IF(OR($C726="",$X726="Pago",$X726="Recebido",$X726="Cancelado"),"",$C726-TODAY())</f>
        <v/>
      </c>
      <c r="AJ726" s="24">
        <f>IF(OR($C726="",$X726="Pago",$X726="Recebido",$X726="Cancelado"),0,MAX(0,TODAY()-$C726))</f>
        <v/>
      </c>
      <c r="AK726" s="24">
        <f>IF($D726="","",$D726-$B726)</f>
        <v/>
      </c>
      <c r="AL726" s="18">
        <f>IF(OR($D726="",$B726=""),"",ROUND(N($R726)*($D726-$B726),2))</f>
        <v/>
      </c>
      <c r="AM726" s="17">
        <f>IF(AND($E726="Saída",$W726&gt;0,$C726&lt;&gt;""),$C726+ROW()/1000000,"")</f>
        <v/>
      </c>
      <c r="AN726" s="17">
        <f>IF(AND($E726="Entrada",$W726&gt;0,$C726&lt;&gt;""),$C726+ROW()/1000000,"")</f>
        <v/>
      </c>
      <c r="AO726" s="9">
        <f>IF(COUNTA($B726:$R726)=0,"",IF(AND($I726&lt;&gt;"",COUNTIF(CLIENTES_NOMES,$I726)+COUNTIF(CLIENTES_FANTASIA,$I726)+COUNTIF(FORNECEDORES_NOMES,$I726)+COUNTIF(FORNECEDORES_FANTASIA,$I726)=0),"⚠ Cliente/Fornecedor não cadastrado",IF(AND($G726&lt;&gt;"",COUNTIF(SUBCATEGORIAS_PLANO,$G726)=0),"⚠ Subcategoria fora do plano de contas",IF(OR($Q726="",N($Q726)=0),"⚠ Valor previsto não informado",IF(AND(OR($X726="Pago",$X726="Recebido"),$D726=""),"⚠ Status pago/recebido sem data",IF(AND($D726&lt;&gt;"",N($R726)=0),"⚠ Data de pagamento sem valor realizado",IF(AND(N($P726)&gt;1,N($O726)&gt;N($P726)),"⚠ Nº da parcela maior que o total",IF(AND($C726&lt;&gt;"",$B726&lt;&gt;"",$C726&lt;$B726),"⚠ Vencimento anterior à competência","OK"))))))))</f>
        <v/>
      </c>
    </row>
    <row r="727">
      <c r="A727" s="14" t="inlineStr">
        <is>
          <t>L0722</t>
        </is>
      </c>
      <c r="B727" s="36" t="n">
        <v>47503</v>
      </c>
      <c r="C727" s="36" t="n">
        <v>47503</v>
      </c>
      <c r="D727" s="36" t="n"/>
      <c r="E727" s="14" t="inlineStr">
        <is>
          <t>Saída</t>
        </is>
      </c>
      <c r="F727" s="29" t="inlineStr">
        <is>
          <t>Empréstimos e Financiamentos</t>
        </is>
      </c>
      <c r="G727" s="29" t="inlineStr">
        <is>
          <t>Pagamento de Principal de Empréstimos</t>
        </is>
      </c>
      <c r="H727" s="29" t="inlineStr">
        <is>
          <t>Diretoria</t>
        </is>
      </c>
      <c r="I727" s="29" t="inlineStr">
        <is>
          <t>Banco Santander</t>
        </is>
      </c>
      <c r="J727" s="29" t="inlineStr">
        <is>
          <t>Financiamento de Veículo — parcela 48/48 (principal)</t>
        </is>
      </c>
      <c r="K727" s="14" t="inlineStr">
        <is>
          <t>VEI-2026-0088-P48</t>
        </is>
      </c>
      <c r="L727" s="29" t="inlineStr">
        <is>
          <t>Itaú Unibanco — C/C 45678-9</t>
        </is>
      </c>
      <c r="M727" s="14" t="inlineStr">
        <is>
          <t>Débito automático</t>
        </is>
      </c>
      <c r="N727" s="29" t="n"/>
      <c r="O727" s="13" t="n">
        <v>48</v>
      </c>
      <c r="P727" s="13" t="n">
        <v>48</v>
      </c>
      <c r="Q727" s="35" t="n">
        <v>2198.99</v>
      </c>
      <c r="R727" s="35" t="n"/>
      <c r="S727" s="35" t="n"/>
      <c r="T727" s="35" t="n"/>
      <c r="U727" s="35" t="n"/>
      <c r="V727" s="18">
        <f>IF(COUNTA($B727:$R727)=0,"",ROUND(N($R727)+N($S727)+N($T727)-N($U727),2))</f>
        <v/>
      </c>
      <c r="W727" s="18">
        <f>IF(COUNTA($B727:$R727)=0,"",IF(OR($X727="Pago",$X727="Recebido",$X727="Cancelado"),0,ROUND(N($Q727)+N($S727)+N($T727)-N($U727)-N($R727),2)))</f>
        <v/>
      </c>
      <c r="X727" s="14" t="inlineStr">
        <is>
          <t>Previsto</t>
        </is>
      </c>
      <c r="Y727" s="17">
        <f>IF(COUNTA($B727:$R727)=0,"",IF($X727="Cancelado","Cancelado",IF(OR($X727="Pago",$X727="Recebido"),$X727,IF(OR($X727="Parcial",N($R727)&gt;0),"Parcial",IF($C727="","Sem vencimento",IF($C727&lt;TODAY(),"Vencido",IF($C727=TODAY(),"Vence hoje",IF($C727&lt;=TODAY()+7,"Vence em 7 dias",IF($C727&lt;=TODAY()+30,"Vence em 30 dias","Futuro")))))))))</f>
        <v/>
      </c>
      <c r="Z727" s="24">
        <f>IF($B727="","",MONTH($B727))</f>
        <v/>
      </c>
      <c r="AA727" s="24">
        <f>IF($B727="","",YEAR($B727))</f>
        <v/>
      </c>
      <c r="AB727" s="24">
        <f>IF($B727="","",ISOWEEKNUM($B727))</f>
        <v/>
      </c>
      <c r="AC727" s="17">
        <f>IF($B727="","",CHOOSE(WEEKDAY($B727,2),"Segunda","Terça","Quarta","Quinta","Sexta","Sábado","Domingo"))</f>
        <v/>
      </c>
      <c r="AD727" s="17">
        <f>IF($B727="","",TEXT($B727,"MM/AAAA"))</f>
        <v/>
      </c>
      <c r="AE727" s="18">
        <f>IF(COUNTA($B727:$R727)=0,"",IF($X727="Cancelado",0,ROUND(N($Q727)+N($S727)+N($T727)-N($U727),2)))</f>
        <v/>
      </c>
      <c r="AF727" s="9">
        <f>IF($G727="","",IFERROR(INDEX(LINHAS_DRE_PLANO,MATCH($G727,SUBCATEGORIAS_PLANO,0)),"Não classificado"))</f>
        <v/>
      </c>
      <c r="AG727" s="17">
        <f>IF($G727="","",IFERROR(INDEX(TIPOS_FLUXO_PLANO,MATCH($G727,SUBCATEGORIAS_PLANO,0)),"Não classificado"))</f>
        <v/>
      </c>
      <c r="AH727" s="9">
        <f>IF($G727="","",IFERROR(INDEX(GRUPOS_PLANO,MATCH($G727,SUBCATEGORIAS_PLANO,0)),"Não classificado"))</f>
        <v/>
      </c>
      <c r="AI727" s="24">
        <f>IF(OR($C727="",$X727="Pago",$X727="Recebido",$X727="Cancelado"),"",$C727-TODAY())</f>
        <v/>
      </c>
      <c r="AJ727" s="24">
        <f>IF(OR($C727="",$X727="Pago",$X727="Recebido",$X727="Cancelado"),0,MAX(0,TODAY()-$C727))</f>
        <v/>
      </c>
      <c r="AK727" s="24">
        <f>IF($D727="","",$D727-$B727)</f>
        <v/>
      </c>
      <c r="AL727" s="18">
        <f>IF(OR($D727="",$B727=""),"",ROUND(N($R727)*($D727-$B727),2))</f>
        <v/>
      </c>
      <c r="AM727" s="17">
        <f>IF(AND($E727="Saída",$W727&gt;0,$C727&lt;&gt;""),$C727+ROW()/1000000,"")</f>
        <v/>
      </c>
      <c r="AN727" s="17">
        <f>IF(AND($E727="Entrada",$W727&gt;0,$C727&lt;&gt;""),$C727+ROW()/1000000,"")</f>
        <v/>
      </c>
      <c r="AO727" s="9">
        <f>IF(COUNTA($B727:$R727)=0,"",IF(AND($I727&lt;&gt;"",COUNTIF(CLIENTES_NOMES,$I727)+COUNTIF(CLIENTES_FANTASIA,$I727)+COUNTIF(FORNECEDORES_NOMES,$I727)+COUNTIF(FORNECEDORES_FANTASIA,$I727)=0),"⚠ Cliente/Fornecedor não cadastrado",IF(AND($G727&lt;&gt;"",COUNTIF(SUBCATEGORIAS_PLANO,$G727)=0),"⚠ Subcategoria fora do plano de contas",IF(OR($Q727="",N($Q727)=0),"⚠ Valor previsto não informado",IF(AND(OR($X727="Pago",$X727="Recebido"),$D727=""),"⚠ Status pago/recebido sem data",IF(AND($D727&lt;&gt;"",N($R727)=0),"⚠ Data de pagamento sem valor realizado",IF(AND(N($P727)&gt;1,N($O727)&gt;N($P727)),"⚠ Nº da parcela maior que o total",IF(AND($C727&lt;&gt;"",$B727&lt;&gt;"",$C727&lt;$B727),"⚠ Vencimento anterior à competência","OK"))))))))</f>
        <v/>
      </c>
    </row>
    <row r="728">
      <c r="A728" s="14" t="inlineStr">
        <is>
          <t>L0723</t>
        </is>
      </c>
      <c r="B728" s="36" t="n">
        <v>47503</v>
      </c>
      <c r="C728" s="36" t="n">
        <v>47503</v>
      </c>
      <c r="D728" s="36" t="n"/>
      <c r="E728" s="14" t="inlineStr">
        <is>
          <t>Saída</t>
        </is>
      </c>
      <c r="F728" s="29" t="inlineStr">
        <is>
          <t>Despesas Financeiras</t>
        </is>
      </c>
      <c r="G728" s="29" t="inlineStr">
        <is>
          <t>Juros de Empréstimos e Financiamentos</t>
        </is>
      </c>
      <c r="H728" s="29" t="inlineStr">
        <is>
          <t>Diretoria</t>
        </is>
      </c>
      <c r="I728" s="29" t="inlineStr">
        <is>
          <t>Banco Santander</t>
        </is>
      </c>
      <c r="J728" s="29" t="inlineStr">
        <is>
          <t>Financiamento de Veículo — parcela 48/48 (juros)</t>
        </is>
      </c>
      <c r="K728" s="14" t="inlineStr">
        <is>
          <t>VEI-2026-0088-P48</t>
        </is>
      </c>
      <c r="L728" s="29" t="inlineStr">
        <is>
          <t>Itaú Unibanco — C/C 45678-9</t>
        </is>
      </c>
      <c r="M728" s="14" t="inlineStr">
        <is>
          <t>Débito automático</t>
        </is>
      </c>
      <c r="N728" s="29" t="n"/>
      <c r="O728" s="13" t="n">
        <v>48</v>
      </c>
      <c r="P728" s="13" t="n">
        <v>48</v>
      </c>
      <c r="Q728" s="35" t="n">
        <v>27.49</v>
      </c>
      <c r="R728" s="35" t="n"/>
      <c r="S728" s="35" t="n"/>
      <c r="T728" s="35" t="n"/>
      <c r="U728" s="35" t="n"/>
      <c r="V728" s="18">
        <f>IF(COUNTA($B728:$R728)=0,"",ROUND(N($R728)+N($S728)+N($T728)-N($U728),2))</f>
        <v/>
      </c>
      <c r="W728" s="18">
        <f>IF(COUNTA($B728:$R728)=0,"",IF(OR($X728="Pago",$X728="Recebido",$X728="Cancelado"),0,ROUND(N($Q728)+N($S728)+N($T728)-N($U728)-N($R728),2)))</f>
        <v/>
      </c>
      <c r="X728" s="14" t="inlineStr">
        <is>
          <t>Previsto</t>
        </is>
      </c>
      <c r="Y728" s="17">
        <f>IF(COUNTA($B728:$R728)=0,"",IF($X728="Cancelado","Cancelado",IF(OR($X728="Pago",$X728="Recebido"),$X728,IF(OR($X728="Parcial",N($R728)&gt;0),"Parcial",IF($C728="","Sem vencimento",IF($C728&lt;TODAY(),"Vencido",IF($C728=TODAY(),"Vence hoje",IF($C728&lt;=TODAY()+7,"Vence em 7 dias",IF($C728&lt;=TODAY()+30,"Vence em 30 dias","Futuro")))))))))</f>
        <v/>
      </c>
      <c r="Z728" s="24">
        <f>IF($B728="","",MONTH($B728))</f>
        <v/>
      </c>
      <c r="AA728" s="24">
        <f>IF($B728="","",YEAR($B728))</f>
        <v/>
      </c>
      <c r="AB728" s="24">
        <f>IF($B728="","",ISOWEEKNUM($B728))</f>
        <v/>
      </c>
      <c r="AC728" s="17">
        <f>IF($B728="","",CHOOSE(WEEKDAY($B728,2),"Segunda","Terça","Quarta","Quinta","Sexta","Sábado","Domingo"))</f>
        <v/>
      </c>
      <c r="AD728" s="17">
        <f>IF($B728="","",TEXT($B728,"MM/AAAA"))</f>
        <v/>
      </c>
      <c r="AE728" s="18">
        <f>IF(COUNTA($B728:$R728)=0,"",IF($X728="Cancelado",0,ROUND(N($Q728)+N($S728)+N($T728)-N($U728),2)))</f>
        <v/>
      </c>
      <c r="AF728" s="9">
        <f>IF($G728="","",IFERROR(INDEX(LINHAS_DRE_PLANO,MATCH($G728,SUBCATEGORIAS_PLANO,0)),"Não classificado"))</f>
        <v/>
      </c>
      <c r="AG728" s="17">
        <f>IF($G728="","",IFERROR(INDEX(TIPOS_FLUXO_PLANO,MATCH($G728,SUBCATEGORIAS_PLANO,0)),"Não classificado"))</f>
        <v/>
      </c>
      <c r="AH728" s="9">
        <f>IF($G728="","",IFERROR(INDEX(GRUPOS_PLANO,MATCH($G728,SUBCATEGORIAS_PLANO,0)),"Não classificado"))</f>
        <v/>
      </c>
      <c r="AI728" s="24">
        <f>IF(OR($C728="",$X728="Pago",$X728="Recebido",$X728="Cancelado"),"",$C728-TODAY())</f>
        <v/>
      </c>
      <c r="AJ728" s="24">
        <f>IF(OR($C728="",$X728="Pago",$X728="Recebido",$X728="Cancelado"),0,MAX(0,TODAY()-$C728))</f>
        <v/>
      </c>
      <c r="AK728" s="24">
        <f>IF($D728="","",$D728-$B728)</f>
        <v/>
      </c>
      <c r="AL728" s="18">
        <f>IF(OR($D728="",$B728=""),"",ROUND(N($R728)*($D728-$B728),2))</f>
        <v/>
      </c>
      <c r="AM728" s="17">
        <f>IF(AND($E728="Saída",$W728&gt;0,$C728&lt;&gt;""),$C728+ROW()/1000000,"")</f>
        <v/>
      </c>
      <c r="AN728" s="17">
        <f>IF(AND($E728="Entrada",$W728&gt;0,$C728&lt;&gt;""),$C728+ROW()/1000000,"")</f>
        <v/>
      </c>
      <c r="AO728" s="9">
        <f>IF(COUNTA($B728:$R728)=0,"",IF(AND($I728&lt;&gt;"",COUNTIF(CLIENTES_NOMES,$I728)+COUNTIF(CLIENTES_FANTASIA,$I728)+COUNTIF(FORNECEDORES_NOMES,$I728)+COUNTIF(FORNECEDORES_FANTASIA,$I728)=0),"⚠ Cliente/Fornecedor não cadastrado",IF(AND($G728&lt;&gt;"",COUNTIF(SUBCATEGORIAS_PLANO,$G728)=0),"⚠ Subcategoria fora do plano de contas",IF(OR($Q728="",N($Q728)=0),"⚠ Valor previsto não informado",IF(AND(OR($X728="Pago",$X728="Recebido"),$D728=""),"⚠ Status pago/recebido sem data",IF(AND($D728&lt;&gt;"",N($R728)=0),"⚠ Data de pagamento sem valor realizado",IF(AND(N($P728)&gt;1,N($O728)&gt;N($P728)),"⚠ Nº da parcela maior que o total",IF(AND($C728&lt;&gt;"",$B728&lt;&gt;"",$C728&lt;$B728),"⚠ Vencimento anterior à competência","OK"))))))))</f>
        <v/>
      </c>
    </row>
    <row r="729">
      <c r="A729" s="14" t="n"/>
      <c r="B729" s="36" t="n"/>
      <c r="C729" s="36" t="n"/>
      <c r="D729" s="36" t="n"/>
      <c r="E729" s="14" t="n"/>
      <c r="F729" s="29" t="n"/>
      <c r="G729" s="29" t="n"/>
      <c r="H729" s="29" t="n"/>
      <c r="I729" s="29" t="n"/>
      <c r="J729" s="29" t="n"/>
      <c r="K729" s="14" t="n"/>
      <c r="L729" s="29" t="n"/>
      <c r="M729" s="14" t="n"/>
      <c r="N729" s="29" t="n"/>
      <c r="O729" s="13" t="n"/>
      <c r="P729" s="13" t="n"/>
      <c r="Q729" s="35" t="n"/>
      <c r="R729" s="35" t="n"/>
      <c r="S729" s="35" t="n"/>
      <c r="T729" s="35" t="n"/>
      <c r="U729" s="35" t="n"/>
      <c r="V729" s="18">
        <f>IF(COUNTA($B729:$R729)=0,"",ROUND(N($R729)+N($S729)+N($T729)-N($U729),2))</f>
        <v/>
      </c>
      <c r="W729" s="18">
        <f>IF(COUNTA($B729:$R729)=0,"",IF(OR($X729="Pago",$X729="Recebido",$X729="Cancelado"),0,ROUND(N($Q729)+N($S729)+N($T729)-N($U729)-N($R729),2)))</f>
        <v/>
      </c>
      <c r="X729" s="14" t="n"/>
      <c r="Y729" s="17">
        <f>IF(COUNTA($B729:$R729)=0,"",IF($X729="Cancelado","Cancelado",IF(OR($X729="Pago",$X729="Recebido"),$X729,IF(OR($X729="Parcial",N($R729)&gt;0),"Parcial",IF($C729="","Sem vencimento",IF($C729&lt;TODAY(),"Vencido",IF($C729=TODAY(),"Vence hoje",IF($C729&lt;=TODAY()+7,"Vence em 7 dias",IF($C729&lt;=TODAY()+30,"Vence em 30 dias","Futuro")))))))))</f>
        <v/>
      </c>
      <c r="Z729" s="24">
        <f>IF($B729="","",MONTH($B729))</f>
        <v/>
      </c>
      <c r="AA729" s="24">
        <f>IF($B729="","",YEAR($B729))</f>
        <v/>
      </c>
      <c r="AB729" s="24">
        <f>IF($B729="","",ISOWEEKNUM($B729))</f>
        <v/>
      </c>
      <c r="AC729" s="17">
        <f>IF($B729="","",CHOOSE(WEEKDAY($B729,2),"Segunda","Terça","Quarta","Quinta","Sexta","Sábado","Domingo"))</f>
        <v/>
      </c>
      <c r="AD729" s="17">
        <f>IF($B729="","",TEXT($B729,"MM/AAAA"))</f>
        <v/>
      </c>
      <c r="AE729" s="18">
        <f>IF(COUNTA($B729:$R729)=0,"",IF($X729="Cancelado",0,ROUND(N($Q729)+N($S729)+N($T729)-N($U729),2)))</f>
        <v/>
      </c>
      <c r="AF729" s="9">
        <f>IF($G729="","",IFERROR(INDEX(LINHAS_DRE_PLANO,MATCH($G729,SUBCATEGORIAS_PLANO,0)),"Não classificado"))</f>
        <v/>
      </c>
      <c r="AG729" s="17">
        <f>IF($G729="","",IFERROR(INDEX(TIPOS_FLUXO_PLANO,MATCH($G729,SUBCATEGORIAS_PLANO,0)),"Não classificado"))</f>
        <v/>
      </c>
      <c r="AH729" s="9">
        <f>IF($G729="","",IFERROR(INDEX(GRUPOS_PLANO,MATCH($G729,SUBCATEGORIAS_PLANO,0)),"Não classificado"))</f>
        <v/>
      </c>
      <c r="AI729" s="24">
        <f>IF(OR($C729="",$X729="Pago",$X729="Recebido",$X729="Cancelado"),"",$C729-TODAY())</f>
        <v/>
      </c>
      <c r="AJ729" s="24">
        <f>IF(OR($C729="",$X729="Pago",$X729="Recebido",$X729="Cancelado"),0,MAX(0,TODAY()-$C729))</f>
        <v/>
      </c>
      <c r="AK729" s="24">
        <f>IF($D729="","",$D729-$B729)</f>
        <v/>
      </c>
      <c r="AL729" s="18">
        <f>IF(OR($D729="",$B729=""),"",ROUND(N($R729)*($D729-$B729),2))</f>
        <v/>
      </c>
      <c r="AM729" s="17">
        <f>IF(AND($E729="Saída",$W729&gt;0,$C729&lt;&gt;""),$C729+ROW()/1000000,"")</f>
        <v/>
      </c>
      <c r="AN729" s="17">
        <f>IF(AND($E729="Entrada",$W729&gt;0,$C729&lt;&gt;""),$C729+ROW()/1000000,"")</f>
        <v/>
      </c>
      <c r="AO729" s="9">
        <f>IF(COUNTA($B729:$R729)=0,"",IF(AND($I729&lt;&gt;"",COUNTIF(CLIENTES_NOMES,$I729)+COUNTIF(CLIENTES_FANTASIA,$I729)+COUNTIF(FORNECEDORES_NOMES,$I729)+COUNTIF(FORNECEDORES_FANTASIA,$I729)=0),"⚠ Cliente/Fornecedor não cadastrado",IF(AND($G729&lt;&gt;"",COUNTIF(SUBCATEGORIAS_PLANO,$G729)=0),"⚠ Subcategoria fora do plano de contas",IF(OR($Q729="",N($Q729)=0),"⚠ Valor previsto não informado",IF(AND(OR($X729="Pago",$X729="Recebido"),$D729=""),"⚠ Status pago/recebido sem data",IF(AND($D729&lt;&gt;"",N($R729)=0),"⚠ Data de pagamento sem valor realizado",IF(AND(N($P729)&gt;1,N($O729)&gt;N($P729)),"⚠ Nº da parcela maior que o total",IF(AND($C729&lt;&gt;"",$B729&lt;&gt;"",$C729&lt;$B729),"⚠ Vencimento anterior à competência","OK"))))))))</f>
        <v/>
      </c>
    </row>
    <row r="730">
      <c r="A730" s="14" t="n"/>
      <c r="B730" s="36" t="n"/>
      <c r="C730" s="36" t="n"/>
      <c r="D730" s="36" t="n"/>
      <c r="E730" s="14" t="n"/>
      <c r="F730" s="29" t="n"/>
      <c r="G730" s="29" t="n"/>
      <c r="H730" s="29" t="n"/>
      <c r="I730" s="29" t="n"/>
      <c r="J730" s="29" t="n"/>
      <c r="K730" s="14" t="n"/>
      <c r="L730" s="29" t="n"/>
      <c r="M730" s="14" t="n"/>
      <c r="N730" s="29" t="n"/>
      <c r="O730" s="13" t="n"/>
      <c r="P730" s="13" t="n"/>
      <c r="Q730" s="35" t="n"/>
      <c r="R730" s="35" t="n"/>
      <c r="S730" s="35" t="n"/>
      <c r="T730" s="35" t="n"/>
      <c r="U730" s="35" t="n"/>
      <c r="V730" s="18">
        <f>IF(COUNTA($B730:$R730)=0,"",ROUND(N($R730)+N($S730)+N($T730)-N($U730),2))</f>
        <v/>
      </c>
      <c r="W730" s="18">
        <f>IF(COUNTA($B730:$R730)=0,"",IF(OR($X730="Pago",$X730="Recebido",$X730="Cancelado"),0,ROUND(N($Q730)+N($S730)+N($T730)-N($U730)-N($R730),2)))</f>
        <v/>
      </c>
      <c r="X730" s="14" t="n"/>
      <c r="Y730" s="17">
        <f>IF(COUNTA($B730:$R730)=0,"",IF($X730="Cancelado","Cancelado",IF(OR($X730="Pago",$X730="Recebido"),$X730,IF(OR($X730="Parcial",N($R730)&gt;0),"Parcial",IF($C730="","Sem vencimento",IF($C730&lt;TODAY(),"Vencido",IF($C730=TODAY(),"Vence hoje",IF($C730&lt;=TODAY()+7,"Vence em 7 dias",IF($C730&lt;=TODAY()+30,"Vence em 30 dias","Futuro")))))))))</f>
        <v/>
      </c>
      <c r="Z730" s="24">
        <f>IF($B730="","",MONTH($B730))</f>
        <v/>
      </c>
      <c r="AA730" s="24">
        <f>IF($B730="","",YEAR($B730))</f>
        <v/>
      </c>
      <c r="AB730" s="24">
        <f>IF($B730="","",ISOWEEKNUM($B730))</f>
        <v/>
      </c>
      <c r="AC730" s="17">
        <f>IF($B730="","",CHOOSE(WEEKDAY($B730,2),"Segunda","Terça","Quarta","Quinta","Sexta","Sábado","Domingo"))</f>
        <v/>
      </c>
      <c r="AD730" s="17">
        <f>IF($B730="","",TEXT($B730,"MM/AAAA"))</f>
        <v/>
      </c>
      <c r="AE730" s="18">
        <f>IF(COUNTA($B730:$R730)=0,"",IF($X730="Cancelado",0,ROUND(N($Q730)+N($S730)+N($T730)-N($U730),2)))</f>
        <v/>
      </c>
      <c r="AF730" s="9">
        <f>IF($G730="","",IFERROR(INDEX(LINHAS_DRE_PLANO,MATCH($G730,SUBCATEGORIAS_PLANO,0)),"Não classificado"))</f>
        <v/>
      </c>
      <c r="AG730" s="17">
        <f>IF($G730="","",IFERROR(INDEX(TIPOS_FLUXO_PLANO,MATCH($G730,SUBCATEGORIAS_PLANO,0)),"Não classificado"))</f>
        <v/>
      </c>
      <c r="AH730" s="9">
        <f>IF($G730="","",IFERROR(INDEX(GRUPOS_PLANO,MATCH($G730,SUBCATEGORIAS_PLANO,0)),"Não classificado"))</f>
        <v/>
      </c>
      <c r="AI730" s="24">
        <f>IF(OR($C730="",$X730="Pago",$X730="Recebido",$X730="Cancelado"),"",$C730-TODAY())</f>
        <v/>
      </c>
      <c r="AJ730" s="24">
        <f>IF(OR($C730="",$X730="Pago",$X730="Recebido",$X730="Cancelado"),0,MAX(0,TODAY()-$C730))</f>
        <v/>
      </c>
      <c r="AK730" s="24">
        <f>IF($D730="","",$D730-$B730)</f>
        <v/>
      </c>
      <c r="AL730" s="18">
        <f>IF(OR($D730="",$B730=""),"",ROUND(N($R730)*($D730-$B730),2))</f>
        <v/>
      </c>
      <c r="AM730" s="17">
        <f>IF(AND($E730="Saída",$W730&gt;0,$C730&lt;&gt;""),$C730+ROW()/1000000,"")</f>
        <v/>
      </c>
      <c r="AN730" s="17">
        <f>IF(AND($E730="Entrada",$W730&gt;0,$C730&lt;&gt;""),$C730+ROW()/1000000,"")</f>
        <v/>
      </c>
      <c r="AO730" s="9">
        <f>IF(COUNTA($B730:$R730)=0,"",IF(AND($I730&lt;&gt;"",COUNTIF(CLIENTES_NOMES,$I730)+COUNTIF(CLIENTES_FANTASIA,$I730)+COUNTIF(FORNECEDORES_NOMES,$I730)+COUNTIF(FORNECEDORES_FANTASIA,$I730)=0),"⚠ Cliente/Fornecedor não cadastrado",IF(AND($G730&lt;&gt;"",COUNTIF(SUBCATEGORIAS_PLANO,$G730)=0),"⚠ Subcategoria fora do plano de contas",IF(OR($Q730="",N($Q730)=0),"⚠ Valor previsto não informado",IF(AND(OR($X730="Pago",$X730="Recebido"),$D730=""),"⚠ Status pago/recebido sem data",IF(AND($D730&lt;&gt;"",N($R730)=0),"⚠ Data de pagamento sem valor realizado",IF(AND(N($P730)&gt;1,N($O730)&gt;N($P730)),"⚠ Nº da parcela maior que o total",IF(AND($C730&lt;&gt;"",$B730&lt;&gt;"",$C730&lt;$B730),"⚠ Vencimento anterior à competência","OK"))))))))</f>
        <v/>
      </c>
    </row>
    <row r="731">
      <c r="A731" s="14" t="n"/>
      <c r="B731" s="36" t="n"/>
      <c r="C731" s="36" t="n"/>
      <c r="D731" s="36" t="n"/>
      <c r="E731" s="14" t="n"/>
      <c r="F731" s="29" t="n"/>
      <c r="G731" s="29" t="n"/>
      <c r="H731" s="29" t="n"/>
      <c r="I731" s="29" t="n"/>
      <c r="J731" s="29" t="n"/>
      <c r="K731" s="14" t="n"/>
      <c r="L731" s="29" t="n"/>
      <c r="M731" s="14" t="n"/>
      <c r="N731" s="29" t="n"/>
      <c r="O731" s="13" t="n"/>
      <c r="P731" s="13" t="n"/>
      <c r="Q731" s="35" t="n"/>
      <c r="R731" s="35" t="n"/>
      <c r="S731" s="35" t="n"/>
      <c r="T731" s="35" t="n"/>
      <c r="U731" s="35" t="n"/>
      <c r="V731" s="18">
        <f>IF(COUNTA($B731:$R731)=0,"",ROUND(N($R731)+N($S731)+N($T731)-N($U731),2))</f>
        <v/>
      </c>
      <c r="W731" s="18">
        <f>IF(COUNTA($B731:$R731)=0,"",IF(OR($X731="Pago",$X731="Recebido",$X731="Cancelado"),0,ROUND(N($Q731)+N($S731)+N($T731)-N($U731)-N($R731),2)))</f>
        <v/>
      </c>
      <c r="X731" s="14" t="n"/>
      <c r="Y731" s="17">
        <f>IF(COUNTA($B731:$R731)=0,"",IF($X731="Cancelado","Cancelado",IF(OR($X731="Pago",$X731="Recebido"),$X731,IF(OR($X731="Parcial",N($R731)&gt;0),"Parcial",IF($C731="","Sem vencimento",IF($C731&lt;TODAY(),"Vencido",IF($C731=TODAY(),"Vence hoje",IF($C731&lt;=TODAY()+7,"Vence em 7 dias",IF($C731&lt;=TODAY()+30,"Vence em 30 dias","Futuro")))))))))</f>
        <v/>
      </c>
      <c r="Z731" s="24">
        <f>IF($B731="","",MONTH($B731))</f>
        <v/>
      </c>
      <c r="AA731" s="24">
        <f>IF($B731="","",YEAR($B731))</f>
        <v/>
      </c>
      <c r="AB731" s="24">
        <f>IF($B731="","",ISOWEEKNUM($B731))</f>
        <v/>
      </c>
      <c r="AC731" s="17">
        <f>IF($B731="","",CHOOSE(WEEKDAY($B731,2),"Segunda","Terça","Quarta","Quinta","Sexta","Sábado","Domingo"))</f>
        <v/>
      </c>
      <c r="AD731" s="17">
        <f>IF($B731="","",TEXT($B731,"MM/AAAA"))</f>
        <v/>
      </c>
      <c r="AE731" s="18">
        <f>IF(COUNTA($B731:$R731)=0,"",IF($X731="Cancelado",0,ROUND(N($Q731)+N($S731)+N($T731)-N($U731),2)))</f>
        <v/>
      </c>
      <c r="AF731" s="9">
        <f>IF($G731="","",IFERROR(INDEX(LINHAS_DRE_PLANO,MATCH($G731,SUBCATEGORIAS_PLANO,0)),"Não classificado"))</f>
        <v/>
      </c>
      <c r="AG731" s="17">
        <f>IF($G731="","",IFERROR(INDEX(TIPOS_FLUXO_PLANO,MATCH($G731,SUBCATEGORIAS_PLANO,0)),"Não classificado"))</f>
        <v/>
      </c>
      <c r="AH731" s="9">
        <f>IF($G731="","",IFERROR(INDEX(GRUPOS_PLANO,MATCH($G731,SUBCATEGORIAS_PLANO,0)),"Não classificado"))</f>
        <v/>
      </c>
      <c r="AI731" s="24">
        <f>IF(OR($C731="",$X731="Pago",$X731="Recebido",$X731="Cancelado"),"",$C731-TODAY())</f>
        <v/>
      </c>
      <c r="AJ731" s="24">
        <f>IF(OR($C731="",$X731="Pago",$X731="Recebido",$X731="Cancelado"),0,MAX(0,TODAY()-$C731))</f>
        <v/>
      </c>
      <c r="AK731" s="24">
        <f>IF($D731="","",$D731-$B731)</f>
        <v/>
      </c>
      <c r="AL731" s="18">
        <f>IF(OR($D731="",$B731=""),"",ROUND(N($R731)*($D731-$B731),2))</f>
        <v/>
      </c>
      <c r="AM731" s="17">
        <f>IF(AND($E731="Saída",$W731&gt;0,$C731&lt;&gt;""),$C731+ROW()/1000000,"")</f>
        <v/>
      </c>
      <c r="AN731" s="17">
        <f>IF(AND($E731="Entrada",$W731&gt;0,$C731&lt;&gt;""),$C731+ROW()/1000000,"")</f>
        <v/>
      </c>
      <c r="AO731" s="9">
        <f>IF(COUNTA($B731:$R731)=0,"",IF(AND($I731&lt;&gt;"",COUNTIF(CLIENTES_NOMES,$I731)+COUNTIF(CLIENTES_FANTASIA,$I731)+COUNTIF(FORNECEDORES_NOMES,$I731)+COUNTIF(FORNECEDORES_FANTASIA,$I731)=0),"⚠ Cliente/Fornecedor não cadastrado",IF(AND($G731&lt;&gt;"",COUNTIF(SUBCATEGORIAS_PLANO,$G731)=0),"⚠ Subcategoria fora do plano de contas",IF(OR($Q731="",N($Q731)=0),"⚠ Valor previsto não informado",IF(AND(OR($X731="Pago",$X731="Recebido"),$D731=""),"⚠ Status pago/recebido sem data",IF(AND($D731&lt;&gt;"",N($R731)=0),"⚠ Data de pagamento sem valor realizado",IF(AND(N($P731)&gt;1,N($O731)&gt;N($P731)),"⚠ Nº da parcela maior que o total",IF(AND($C731&lt;&gt;"",$B731&lt;&gt;"",$C731&lt;$B731),"⚠ Vencimento anterior à competência","OK"))))))))</f>
        <v/>
      </c>
    </row>
    <row r="732">
      <c r="A732" s="14" t="n"/>
      <c r="B732" s="36" t="n"/>
      <c r="C732" s="36" t="n"/>
      <c r="D732" s="36" t="n"/>
      <c r="E732" s="14" t="n"/>
      <c r="F732" s="29" t="n"/>
      <c r="G732" s="29" t="n"/>
      <c r="H732" s="29" t="n"/>
      <c r="I732" s="29" t="n"/>
      <c r="J732" s="29" t="n"/>
      <c r="K732" s="14" t="n"/>
      <c r="L732" s="29" t="n"/>
      <c r="M732" s="14" t="n"/>
      <c r="N732" s="29" t="n"/>
      <c r="O732" s="13" t="n"/>
      <c r="P732" s="13" t="n"/>
      <c r="Q732" s="35" t="n"/>
      <c r="R732" s="35" t="n"/>
      <c r="S732" s="35" t="n"/>
      <c r="T732" s="35" t="n"/>
      <c r="U732" s="35" t="n"/>
      <c r="V732" s="18">
        <f>IF(COUNTA($B732:$R732)=0,"",ROUND(N($R732)+N($S732)+N($T732)-N($U732),2))</f>
        <v/>
      </c>
      <c r="W732" s="18">
        <f>IF(COUNTA($B732:$R732)=0,"",IF(OR($X732="Pago",$X732="Recebido",$X732="Cancelado"),0,ROUND(N($Q732)+N($S732)+N($T732)-N($U732)-N($R732),2)))</f>
        <v/>
      </c>
      <c r="X732" s="14" t="n"/>
      <c r="Y732" s="17">
        <f>IF(COUNTA($B732:$R732)=0,"",IF($X732="Cancelado","Cancelado",IF(OR($X732="Pago",$X732="Recebido"),$X732,IF(OR($X732="Parcial",N($R732)&gt;0),"Parcial",IF($C732="","Sem vencimento",IF($C732&lt;TODAY(),"Vencido",IF($C732=TODAY(),"Vence hoje",IF($C732&lt;=TODAY()+7,"Vence em 7 dias",IF($C732&lt;=TODAY()+30,"Vence em 30 dias","Futuro")))))))))</f>
        <v/>
      </c>
      <c r="Z732" s="24">
        <f>IF($B732="","",MONTH($B732))</f>
        <v/>
      </c>
      <c r="AA732" s="24">
        <f>IF($B732="","",YEAR($B732))</f>
        <v/>
      </c>
      <c r="AB732" s="24">
        <f>IF($B732="","",ISOWEEKNUM($B732))</f>
        <v/>
      </c>
      <c r="AC732" s="17">
        <f>IF($B732="","",CHOOSE(WEEKDAY($B732,2),"Segunda","Terça","Quarta","Quinta","Sexta","Sábado","Domingo"))</f>
        <v/>
      </c>
      <c r="AD732" s="17">
        <f>IF($B732="","",TEXT($B732,"MM/AAAA"))</f>
        <v/>
      </c>
      <c r="AE732" s="18">
        <f>IF(COUNTA($B732:$R732)=0,"",IF($X732="Cancelado",0,ROUND(N($Q732)+N($S732)+N($T732)-N($U732),2)))</f>
        <v/>
      </c>
      <c r="AF732" s="9">
        <f>IF($G732="","",IFERROR(INDEX(LINHAS_DRE_PLANO,MATCH($G732,SUBCATEGORIAS_PLANO,0)),"Não classificado"))</f>
        <v/>
      </c>
      <c r="AG732" s="17">
        <f>IF($G732="","",IFERROR(INDEX(TIPOS_FLUXO_PLANO,MATCH($G732,SUBCATEGORIAS_PLANO,0)),"Não classificado"))</f>
        <v/>
      </c>
      <c r="AH732" s="9">
        <f>IF($G732="","",IFERROR(INDEX(GRUPOS_PLANO,MATCH($G732,SUBCATEGORIAS_PLANO,0)),"Não classificado"))</f>
        <v/>
      </c>
      <c r="AI732" s="24">
        <f>IF(OR($C732="",$X732="Pago",$X732="Recebido",$X732="Cancelado"),"",$C732-TODAY())</f>
        <v/>
      </c>
      <c r="AJ732" s="24">
        <f>IF(OR($C732="",$X732="Pago",$X732="Recebido",$X732="Cancelado"),0,MAX(0,TODAY()-$C732))</f>
        <v/>
      </c>
      <c r="AK732" s="24">
        <f>IF($D732="","",$D732-$B732)</f>
        <v/>
      </c>
      <c r="AL732" s="18">
        <f>IF(OR($D732="",$B732=""),"",ROUND(N($R732)*($D732-$B732),2))</f>
        <v/>
      </c>
      <c r="AM732" s="17">
        <f>IF(AND($E732="Saída",$W732&gt;0,$C732&lt;&gt;""),$C732+ROW()/1000000,"")</f>
        <v/>
      </c>
      <c r="AN732" s="17">
        <f>IF(AND($E732="Entrada",$W732&gt;0,$C732&lt;&gt;""),$C732+ROW()/1000000,"")</f>
        <v/>
      </c>
      <c r="AO732" s="9">
        <f>IF(COUNTA($B732:$R732)=0,"",IF(AND($I732&lt;&gt;"",COUNTIF(CLIENTES_NOMES,$I732)+COUNTIF(CLIENTES_FANTASIA,$I732)+COUNTIF(FORNECEDORES_NOMES,$I732)+COUNTIF(FORNECEDORES_FANTASIA,$I732)=0),"⚠ Cliente/Fornecedor não cadastrado",IF(AND($G732&lt;&gt;"",COUNTIF(SUBCATEGORIAS_PLANO,$G732)=0),"⚠ Subcategoria fora do plano de contas",IF(OR($Q732="",N($Q732)=0),"⚠ Valor previsto não informado",IF(AND(OR($X732="Pago",$X732="Recebido"),$D732=""),"⚠ Status pago/recebido sem data",IF(AND($D732&lt;&gt;"",N($R732)=0),"⚠ Data de pagamento sem valor realizado",IF(AND(N($P732)&gt;1,N($O732)&gt;N($P732)),"⚠ Nº da parcela maior que o total",IF(AND($C732&lt;&gt;"",$B732&lt;&gt;"",$C732&lt;$B732),"⚠ Vencimento anterior à competência","OK"))))))))</f>
        <v/>
      </c>
    </row>
    <row r="733">
      <c r="A733" s="14" t="n"/>
      <c r="B733" s="36" t="n"/>
      <c r="C733" s="36" t="n"/>
      <c r="D733" s="36" t="n"/>
      <c r="E733" s="14" t="n"/>
      <c r="F733" s="29" t="n"/>
      <c r="G733" s="29" t="n"/>
      <c r="H733" s="29" t="n"/>
      <c r="I733" s="29" t="n"/>
      <c r="J733" s="29" t="n"/>
      <c r="K733" s="14" t="n"/>
      <c r="L733" s="29" t="n"/>
      <c r="M733" s="14" t="n"/>
      <c r="N733" s="29" t="n"/>
      <c r="O733" s="13" t="n"/>
      <c r="P733" s="13" t="n"/>
      <c r="Q733" s="35" t="n"/>
      <c r="R733" s="35" t="n"/>
      <c r="S733" s="35" t="n"/>
      <c r="T733" s="35" t="n"/>
      <c r="U733" s="35" t="n"/>
      <c r="V733" s="18">
        <f>IF(COUNTA($B733:$R733)=0,"",ROUND(N($R733)+N($S733)+N($T733)-N($U733),2))</f>
        <v/>
      </c>
      <c r="W733" s="18">
        <f>IF(COUNTA($B733:$R733)=0,"",IF(OR($X733="Pago",$X733="Recebido",$X733="Cancelado"),0,ROUND(N($Q733)+N($S733)+N($T733)-N($U733)-N($R733),2)))</f>
        <v/>
      </c>
      <c r="X733" s="14" t="n"/>
      <c r="Y733" s="17">
        <f>IF(COUNTA($B733:$R733)=0,"",IF($X733="Cancelado","Cancelado",IF(OR($X733="Pago",$X733="Recebido"),$X733,IF(OR($X733="Parcial",N($R733)&gt;0),"Parcial",IF($C733="","Sem vencimento",IF($C733&lt;TODAY(),"Vencido",IF($C733=TODAY(),"Vence hoje",IF($C733&lt;=TODAY()+7,"Vence em 7 dias",IF($C733&lt;=TODAY()+30,"Vence em 30 dias","Futuro")))))))))</f>
        <v/>
      </c>
      <c r="Z733" s="24">
        <f>IF($B733="","",MONTH($B733))</f>
        <v/>
      </c>
      <c r="AA733" s="24">
        <f>IF($B733="","",YEAR($B733))</f>
        <v/>
      </c>
      <c r="AB733" s="24">
        <f>IF($B733="","",ISOWEEKNUM($B733))</f>
        <v/>
      </c>
      <c r="AC733" s="17">
        <f>IF($B733="","",CHOOSE(WEEKDAY($B733,2),"Segunda","Terça","Quarta","Quinta","Sexta","Sábado","Domingo"))</f>
        <v/>
      </c>
      <c r="AD733" s="17">
        <f>IF($B733="","",TEXT($B733,"MM/AAAA"))</f>
        <v/>
      </c>
      <c r="AE733" s="18">
        <f>IF(COUNTA($B733:$R733)=0,"",IF($X733="Cancelado",0,ROUND(N($Q733)+N($S733)+N($T733)-N($U733),2)))</f>
        <v/>
      </c>
      <c r="AF733" s="9">
        <f>IF($G733="","",IFERROR(INDEX(LINHAS_DRE_PLANO,MATCH($G733,SUBCATEGORIAS_PLANO,0)),"Não classificado"))</f>
        <v/>
      </c>
      <c r="AG733" s="17">
        <f>IF($G733="","",IFERROR(INDEX(TIPOS_FLUXO_PLANO,MATCH($G733,SUBCATEGORIAS_PLANO,0)),"Não classificado"))</f>
        <v/>
      </c>
      <c r="AH733" s="9">
        <f>IF($G733="","",IFERROR(INDEX(GRUPOS_PLANO,MATCH($G733,SUBCATEGORIAS_PLANO,0)),"Não classificado"))</f>
        <v/>
      </c>
      <c r="AI733" s="24">
        <f>IF(OR($C733="",$X733="Pago",$X733="Recebido",$X733="Cancelado"),"",$C733-TODAY())</f>
        <v/>
      </c>
      <c r="AJ733" s="24">
        <f>IF(OR($C733="",$X733="Pago",$X733="Recebido",$X733="Cancelado"),0,MAX(0,TODAY()-$C733))</f>
        <v/>
      </c>
      <c r="AK733" s="24">
        <f>IF($D733="","",$D733-$B733)</f>
        <v/>
      </c>
      <c r="AL733" s="18">
        <f>IF(OR($D733="",$B733=""),"",ROUND(N($R733)*($D733-$B733),2))</f>
        <v/>
      </c>
      <c r="AM733" s="17">
        <f>IF(AND($E733="Saída",$W733&gt;0,$C733&lt;&gt;""),$C733+ROW()/1000000,"")</f>
        <v/>
      </c>
      <c r="AN733" s="17">
        <f>IF(AND($E733="Entrada",$W733&gt;0,$C733&lt;&gt;""),$C733+ROW()/1000000,"")</f>
        <v/>
      </c>
      <c r="AO733" s="9">
        <f>IF(COUNTA($B733:$R733)=0,"",IF(AND($I733&lt;&gt;"",COUNTIF(CLIENTES_NOMES,$I733)+COUNTIF(CLIENTES_FANTASIA,$I733)+COUNTIF(FORNECEDORES_NOMES,$I733)+COUNTIF(FORNECEDORES_FANTASIA,$I733)=0),"⚠ Cliente/Fornecedor não cadastrado",IF(AND($G733&lt;&gt;"",COUNTIF(SUBCATEGORIAS_PLANO,$G733)=0),"⚠ Subcategoria fora do plano de contas",IF(OR($Q733="",N($Q733)=0),"⚠ Valor previsto não informado",IF(AND(OR($X733="Pago",$X733="Recebido"),$D733=""),"⚠ Status pago/recebido sem data",IF(AND($D733&lt;&gt;"",N($R733)=0),"⚠ Data de pagamento sem valor realizado",IF(AND(N($P733)&gt;1,N($O733)&gt;N($P733)),"⚠ Nº da parcela maior que o total",IF(AND($C733&lt;&gt;"",$B733&lt;&gt;"",$C733&lt;$B733),"⚠ Vencimento anterior à competência","OK"))))))))</f>
        <v/>
      </c>
    </row>
    <row r="734">
      <c r="A734" s="14" t="n"/>
      <c r="B734" s="36" t="n"/>
      <c r="C734" s="36" t="n"/>
      <c r="D734" s="36" t="n"/>
      <c r="E734" s="14" t="n"/>
      <c r="F734" s="29" t="n"/>
      <c r="G734" s="29" t="n"/>
      <c r="H734" s="29" t="n"/>
      <c r="I734" s="29" t="n"/>
      <c r="J734" s="29" t="n"/>
      <c r="K734" s="14" t="n"/>
      <c r="L734" s="29" t="n"/>
      <c r="M734" s="14" t="n"/>
      <c r="N734" s="29" t="n"/>
      <c r="O734" s="13" t="n"/>
      <c r="P734" s="13" t="n"/>
      <c r="Q734" s="35" t="n"/>
      <c r="R734" s="35" t="n"/>
      <c r="S734" s="35" t="n"/>
      <c r="T734" s="35" t="n"/>
      <c r="U734" s="35" t="n"/>
      <c r="V734" s="18">
        <f>IF(COUNTA($B734:$R734)=0,"",ROUND(N($R734)+N($S734)+N($T734)-N($U734),2))</f>
        <v/>
      </c>
      <c r="W734" s="18">
        <f>IF(COUNTA($B734:$R734)=0,"",IF(OR($X734="Pago",$X734="Recebido",$X734="Cancelado"),0,ROUND(N($Q734)+N($S734)+N($T734)-N($U734)-N($R734),2)))</f>
        <v/>
      </c>
      <c r="X734" s="14" t="n"/>
      <c r="Y734" s="17">
        <f>IF(COUNTA($B734:$R734)=0,"",IF($X734="Cancelado","Cancelado",IF(OR($X734="Pago",$X734="Recebido"),$X734,IF(OR($X734="Parcial",N($R734)&gt;0),"Parcial",IF($C734="","Sem vencimento",IF($C734&lt;TODAY(),"Vencido",IF($C734=TODAY(),"Vence hoje",IF($C734&lt;=TODAY()+7,"Vence em 7 dias",IF($C734&lt;=TODAY()+30,"Vence em 30 dias","Futuro")))))))))</f>
        <v/>
      </c>
      <c r="Z734" s="24">
        <f>IF($B734="","",MONTH($B734))</f>
        <v/>
      </c>
      <c r="AA734" s="24">
        <f>IF($B734="","",YEAR($B734))</f>
        <v/>
      </c>
      <c r="AB734" s="24">
        <f>IF($B734="","",ISOWEEKNUM($B734))</f>
        <v/>
      </c>
      <c r="AC734" s="17">
        <f>IF($B734="","",CHOOSE(WEEKDAY($B734,2),"Segunda","Terça","Quarta","Quinta","Sexta","Sábado","Domingo"))</f>
        <v/>
      </c>
      <c r="AD734" s="17">
        <f>IF($B734="","",TEXT($B734,"MM/AAAA"))</f>
        <v/>
      </c>
      <c r="AE734" s="18">
        <f>IF(COUNTA($B734:$R734)=0,"",IF($X734="Cancelado",0,ROUND(N($Q734)+N($S734)+N($T734)-N($U734),2)))</f>
        <v/>
      </c>
      <c r="AF734" s="9">
        <f>IF($G734="","",IFERROR(INDEX(LINHAS_DRE_PLANO,MATCH($G734,SUBCATEGORIAS_PLANO,0)),"Não classificado"))</f>
        <v/>
      </c>
      <c r="AG734" s="17">
        <f>IF($G734="","",IFERROR(INDEX(TIPOS_FLUXO_PLANO,MATCH($G734,SUBCATEGORIAS_PLANO,0)),"Não classificado"))</f>
        <v/>
      </c>
      <c r="AH734" s="9">
        <f>IF($G734="","",IFERROR(INDEX(GRUPOS_PLANO,MATCH($G734,SUBCATEGORIAS_PLANO,0)),"Não classificado"))</f>
        <v/>
      </c>
      <c r="AI734" s="24">
        <f>IF(OR($C734="",$X734="Pago",$X734="Recebido",$X734="Cancelado"),"",$C734-TODAY())</f>
        <v/>
      </c>
      <c r="AJ734" s="24">
        <f>IF(OR($C734="",$X734="Pago",$X734="Recebido",$X734="Cancelado"),0,MAX(0,TODAY()-$C734))</f>
        <v/>
      </c>
      <c r="AK734" s="24">
        <f>IF($D734="","",$D734-$B734)</f>
        <v/>
      </c>
      <c r="AL734" s="18">
        <f>IF(OR($D734="",$B734=""),"",ROUND(N($R734)*($D734-$B734),2))</f>
        <v/>
      </c>
      <c r="AM734" s="17">
        <f>IF(AND($E734="Saída",$W734&gt;0,$C734&lt;&gt;""),$C734+ROW()/1000000,"")</f>
        <v/>
      </c>
      <c r="AN734" s="17">
        <f>IF(AND($E734="Entrada",$W734&gt;0,$C734&lt;&gt;""),$C734+ROW()/1000000,"")</f>
        <v/>
      </c>
      <c r="AO734" s="9">
        <f>IF(COUNTA($B734:$R734)=0,"",IF(AND($I734&lt;&gt;"",COUNTIF(CLIENTES_NOMES,$I734)+COUNTIF(CLIENTES_FANTASIA,$I734)+COUNTIF(FORNECEDORES_NOMES,$I734)+COUNTIF(FORNECEDORES_FANTASIA,$I734)=0),"⚠ Cliente/Fornecedor não cadastrado",IF(AND($G734&lt;&gt;"",COUNTIF(SUBCATEGORIAS_PLANO,$G734)=0),"⚠ Subcategoria fora do plano de contas",IF(OR($Q734="",N($Q734)=0),"⚠ Valor previsto não informado",IF(AND(OR($X734="Pago",$X734="Recebido"),$D734=""),"⚠ Status pago/recebido sem data",IF(AND($D734&lt;&gt;"",N($R734)=0),"⚠ Data de pagamento sem valor realizado",IF(AND(N($P734)&gt;1,N($O734)&gt;N($P734)),"⚠ Nº da parcela maior que o total",IF(AND($C734&lt;&gt;"",$B734&lt;&gt;"",$C734&lt;$B734),"⚠ Vencimento anterior à competência","OK"))))))))</f>
        <v/>
      </c>
    </row>
    <row r="735">
      <c r="A735" s="14" t="n"/>
      <c r="B735" s="36" t="n"/>
      <c r="C735" s="36" t="n"/>
      <c r="D735" s="36" t="n"/>
      <c r="E735" s="14" t="n"/>
      <c r="F735" s="29" t="n"/>
      <c r="G735" s="29" t="n"/>
      <c r="H735" s="29" t="n"/>
      <c r="I735" s="29" t="n"/>
      <c r="J735" s="29" t="n"/>
      <c r="K735" s="14" t="n"/>
      <c r="L735" s="29" t="n"/>
      <c r="M735" s="14" t="n"/>
      <c r="N735" s="29" t="n"/>
      <c r="O735" s="13" t="n"/>
      <c r="P735" s="13" t="n"/>
      <c r="Q735" s="35" t="n"/>
      <c r="R735" s="35" t="n"/>
      <c r="S735" s="35" t="n"/>
      <c r="T735" s="35" t="n"/>
      <c r="U735" s="35" t="n"/>
      <c r="V735" s="18">
        <f>IF(COUNTA($B735:$R735)=0,"",ROUND(N($R735)+N($S735)+N($T735)-N($U735),2))</f>
        <v/>
      </c>
      <c r="W735" s="18">
        <f>IF(COUNTA($B735:$R735)=0,"",IF(OR($X735="Pago",$X735="Recebido",$X735="Cancelado"),0,ROUND(N($Q735)+N($S735)+N($T735)-N($U735)-N($R735),2)))</f>
        <v/>
      </c>
      <c r="X735" s="14" t="n"/>
      <c r="Y735" s="17">
        <f>IF(COUNTA($B735:$R735)=0,"",IF($X735="Cancelado","Cancelado",IF(OR($X735="Pago",$X735="Recebido"),$X735,IF(OR($X735="Parcial",N($R735)&gt;0),"Parcial",IF($C735="","Sem vencimento",IF($C735&lt;TODAY(),"Vencido",IF($C735=TODAY(),"Vence hoje",IF($C735&lt;=TODAY()+7,"Vence em 7 dias",IF($C735&lt;=TODAY()+30,"Vence em 30 dias","Futuro")))))))))</f>
        <v/>
      </c>
      <c r="Z735" s="24">
        <f>IF($B735="","",MONTH($B735))</f>
        <v/>
      </c>
      <c r="AA735" s="24">
        <f>IF($B735="","",YEAR($B735))</f>
        <v/>
      </c>
      <c r="AB735" s="24">
        <f>IF($B735="","",ISOWEEKNUM($B735))</f>
        <v/>
      </c>
      <c r="AC735" s="17">
        <f>IF($B735="","",CHOOSE(WEEKDAY($B735,2),"Segunda","Terça","Quarta","Quinta","Sexta","Sábado","Domingo"))</f>
        <v/>
      </c>
      <c r="AD735" s="17">
        <f>IF($B735="","",TEXT($B735,"MM/AAAA"))</f>
        <v/>
      </c>
      <c r="AE735" s="18">
        <f>IF(COUNTA($B735:$R735)=0,"",IF($X735="Cancelado",0,ROUND(N($Q735)+N($S735)+N($T735)-N($U735),2)))</f>
        <v/>
      </c>
      <c r="AF735" s="9">
        <f>IF($G735="","",IFERROR(INDEX(LINHAS_DRE_PLANO,MATCH($G735,SUBCATEGORIAS_PLANO,0)),"Não classificado"))</f>
        <v/>
      </c>
      <c r="AG735" s="17">
        <f>IF($G735="","",IFERROR(INDEX(TIPOS_FLUXO_PLANO,MATCH($G735,SUBCATEGORIAS_PLANO,0)),"Não classificado"))</f>
        <v/>
      </c>
      <c r="AH735" s="9">
        <f>IF($G735="","",IFERROR(INDEX(GRUPOS_PLANO,MATCH($G735,SUBCATEGORIAS_PLANO,0)),"Não classificado"))</f>
        <v/>
      </c>
      <c r="AI735" s="24">
        <f>IF(OR($C735="",$X735="Pago",$X735="Recebido",$X735="Cancelado"),"",$C735-TODAY())</f>
        <v/>
      </c>
      <c r="AJ735" s="24">
        <f>IF(OR($C735="",$X735="Pago",$X735="Recebido",$X735="Cancelado"),0,MAX(0,TODAY()-$C735))</f>
        <v/>
      </c>
      <c r="AK735" s="24">
        <f>IF($D735="","",$D735-$B735)</f>
        <v/>
      </c>
      <c r="AL735" s="18">
        <f>IF(OR($D735="",$B735=""),"",ROUND(N($R735)*($D735-$B735),2))</f>
        <v/>
      </c>
      <c r="AM735" s="17">
        <f>IF(AND($E735="Saída",$W735&gt;0,$C735&lt;&gt;""),$C735+ROW()/1000000,"")</f>
        <v/>
      </c>
      <c r="AN735" s="17">
        <f>IF(AND($E735="Entrada",$W735&gt;0,$C735&lt;&gt;""),$C735+ROW()/1000000,"")</f>
        <v/>
      </c>
      <c r="AO735" s="9">
        <f>IF(COUNTA($B735:$R735)=0,"",IF(AND($I735&lt;&gt;"",COUNTIF(CLIENTES_NOMES,$I735)+COUNTIF(CLIENTES_FANTASIA,$I735)+COUNTIF(FORNECEDORES_NOMES,$I735)+COUNTIF(FORNECEDORES_FANTASIA,$I735)=0),"⚠ Cliente/Fornecedor não cadastrado",IF(AND($G735&lt;&gt;"",COUNTIF(SUBCATEGORIAS_PLANO,$G735)=0),"⚠ Subcategoria fora do plano de contas",IF(OR($Q735="",N($Q735)=0),"⚠ Valor previsto não informado",IF(AND(OR($X735="Pago",$X735="Recebido"),$D735=""),"⚠ Status pago/recebido sem data",IF(AND($D735&lt;&gt;"",N($R735)=0),"⚠ Data de pagamento sem valor realizado",IF(AND(N($P735)&gt;1,N($O735)&gt;N($P735)),"⚠ Nº da parcela maior que o total",IF(AND($C735&lt;&gt;"",$B735&lt;&gt;"",$C735&lt;$B735),"⚠ Vencimento anterior à competência","OK"))))))))</f>
        <v/>
      </c>
    </row>
    <row r="736">
      <c r="A736" s="14" t="n"/>
      <c r="B736" s="36" t="n"/>
      <c r="C736" s="36" t="n"/>
      <c r="D736" s="36" t="n"/>
      <c r="E736" s="14" t="n"/>
      <c r="F736" s="29" t="n"/>
      <c r="G736" s="29" t="n"/>
      <c r="H736" s="29" t="n"/>
      <c r="I736" s="29" t="n"/>
      <c r="J736" s="29" t="n"/>
      <c r="K736" s="14" t="n"/>
      <c r="L736" s="29" t="n"/>
      <c r="M736" s="14" t="n"/>
      <c r="N736" s="29" t="n"/>
      <c r="O736" s="13" t="n"/>
      <c r="P736" s="13" t="n"/>
      <c r="Q736" s="35" t="n"/>
      <c r="R736" s="35" t="n"/>
      <c r="S736" s="35" t="n"/>
      <c r="T736" s="35" t="n"/>
      <c r="U736" s="35" t="n"/>
      <c r="V736" s="18">
        <f>IF(COUNTA($B736:$R736)=0,"",ROUND(N($R736)+N($S736)+N($T736)-N($U736),2))</f>
        <v/>
      </c>
      <c r="W736" s="18">
        <f>IF(COUNTA($B736:$R736)=0,"",IF(OR($X736="Pago",$X736="Recebido",$X736="Cancelado"),0,ROUND(N($Q736)+N($S736)+N($T736)-N($U736)-N($R736),2)))</f>
        <v/>
      </c>
      <c r="X736" s="14" t="n"/>
      <c r="Y736" s="17">
        <f>IF(COUNTA($B736:$R736)=0,"",IF($X736="Cancelado","Cancelado",IF(OR($X736="Pago",$X736="Recebido"),$X736,IF(OR($X736="Parcial",N($R736)&gt;0),"Parcial",IF($C736="","Sem vencimento",IF($C736&lt;TODAY(),"Vencido",IF($C736=TODAY(),"Vence hoje",IF($C736&lt;=TODAY()+7,"Vence em 7 dias",IF($C736&lt;=TODAY()+30,"Vence em 30 dias","Futuro")))))))))</f>
        <v/>
      </c>
      <c r="Z736" s="24">
        <f>IF($B736="","",MONTH($B736))</f>
        <v/>
      </c>
      <c r="AA736" s="24">
        <f>IF($B736="","",YEAR($B736))</f>
        <v/>
      </c>
      <c r="AB736" s="24">
        <f>IF($B736="","",ISOWEEKNUM($B736))</f>
        <v/>
      </c>
      <c r="AC736" s="17">
        <f>IF($B736="","",CHOOSE(WEEKDAY($B736,2),"Segunda","Terça","Quarta","Quinta","Sexta","Sábado","Domingo"))</f>
        <v/>
      </c>
      <c r="AD736" s="17">
        <f>IF($B736="","",TEXT($B736,"MM/AAAA"))</f>
        <v/>
      </c>
      <c r="AE736" s="18">
        <f>IF(COUNTA($B736:$R736)=0,"",IF($X736="Cancelado",0,ROUND(N($Q736)+N($S736)+N($T736)-N($U736),2)))</f>
        <v/>
      </c>
      <c r="AF736" s="9">
        <f>IF($G736="","",IFERROR(INDEX(LINHAS_DRE_PLANO,MATCH($G736,SUBCATEGORIAS_PLANO,0)),"Não classificado"))</f>
        <v/>
      </c>
      <c r="AG736" s="17">
        <f>IF($G736="","",IFERROR(INDEX(TIPOS_FLUXO_PLANO,MATCH($G736,SUBCATEGORIAS_PLANO,0)),"Não classificado"))</f>
        <v/>
      </c>
      <c r="AH736" s="9">
        <f>IF($G736="","",IFERROR(INDEX(GRUPOS_PLANO,MATCH($G736,SUBCATEGORIAS_PLANO,0)),"Não classificado"))</f>
        <v/>
      </c>
      <c r="AI736" s="24">
        <f>IF(OR($C736="",$X736="Pago",$X736="Recebido",$X736="Cancelado"),"",$C736-TODAY())</f>
        <v/>
      </c>
      <c r="AJ736" s="24">
        <f>IF(OR($C736="",$X736="Pago",$X736="Recebido",$X736="Cancelado"),0,MAX(0,TODAY()-$C736))</f>
        <v/>
      </c>
      <c r="AK736" s="24">
        <f>IF($D736="","",$D736-$B736)</f>
        <v/>
      </c>
      <c r="AL736" s="18">
        <f>IF(OR($D736="",$B736=""),"",ROUND(N($R736)*($D736-$B736),2))</f>
        <v/>
      </c>
      <c r="AM736" s="17">
        <f>IF(AND($E736="Saída",$W736&gt;0,$C736&lt;&gt;""),$C736+ROW()/1000000,"")</f>
        <v/>
      </c>
      <c r="AN736" s="17">
        <f>IF(AND($E736="Entrada",$W736&gt;0,$C736&lt;&gt;""),$C736+ROW()/1000000,"")</f>
        <v/>
      </c>
      <c r="AO736" s="9">
        <f>IF(COUNTA($B736:$R736)=0,"",IF(AND($I736&lt;&gt;"",COUNTIF(CLIENTES_NOMES,$I736)+COUNTIF(CLIENTES_FANTASIA,$I736)+COUNTIF(FORNECEDORES_NOMES,$I736)+COUNTIF(FORNECEDORES_FANTASIA,$I736)=0),"⚠ Cliente/Fornecedor não cadastrado",IF(AND($G736&lt;&gt;"",COUNTIF(SUBCATEGORIAS_PLANO,$G736)=0),"⚠ Subcategoria fora do plano de contas",IF(OR($Q736="",N($Q736)=0),"⚠ Valor previsto não informado",IF(AND(OR($X736="Pago",$X736="Recebido"),$D736=""),"⚠ Status pago/recebido sem data",IF(AND($D736&lt;&gt;"",N($R736)=0),"⚠ Data de pagamento sem valor realizado",IF(AND(N($P736)&gt;1,N($O736)&gt;N($P736)),"⚠ Nº da parcela maior que o total",IF(AND($C736&lt;&gt;"",$B736&lt;&gt;"",$C736&lt;$B736),"⚠ Vencimento anterior à competência","OK"))))))))</f>
        <v/>
      </c>
    </row>
    <row r="737">
      <c r="A737" s="14" t="n"/>
      <c r="B737" s="36" t="n"/>
      <c r="C737" s="36" t="n"/>
      <c r="D737" s="36" t="n"/>
      <c r="E737" s="14" t="n"/>
      <c r="F737" s="29" t="n"/>
      <c r="G737" s="29" t="n"/>
      <c r="H737" s="29" t="n"/>
      <c r="I737" s="29" t="n"/>
      <c r="J737" s="29" t="n"/>
      <c r="K737" s="14" t="n"/>
      <c r="L737" s="29" t="n"/>
      <c r="M737" s="14" t="n"/>
      <c r="N737" s="29" t="n"/>
      <c r="O737" s="13" t="n"/>
      <c r="P737" s="13" t="n"/>
      <c r="Q737" s="35" t="n"/>
      <c r="R737" s="35" t="n"/>
      <c r="S737" s="35" t="n"/>
      <c r="T737" s="35" t="n"/>
      <c r="U737" s="35" t="n"/>
      <c r="V737" s="18">
        <f>IF(COUNTA($B737:$R737)=0,"",ROUND(N($R737)+N($S737)+N($T737)-N($U737),2))</f>
        <v/>
      </c>
      <c r="W737" s="18">
        <f>IF(COUNTA($B737:$R737)=0,"",IF(OR($X737="Pago",$X737="Recebido",$X737="Cancelado"),0,ROUND(N($Q737)+N($S737)+N($T737)-N($U737)-N($R737),2)))</f>
        <v/>
      </c>
      <c r="X737" s="14" t="n"/>
      <c r="Y737" s="17">
        <f>IF(COUNTA($B737:$R737)=0,"",IF($X737="Cancelado","Cancelado",IF(OR($X737="Pago",$X737="Recebido"),$X737,IF(OR($X737="Parcial",N($R737)&gt;0),"Parcial",IF($C737="","Sem vencimento",IF($C737&lt;TODAY(),"Vencido",IF($C737=TODAY(),"Vence hoje",IF($C737&lt;=TODAY()+7,"Vence em 7 dias",IF($C737&lt;=TODAY()+30,"Vence em 30 dias","Futuro")))))))))</f>
        <v/>
      </c>
      <c r="Z737" s="24">
        <f>IF($B737="","",MONTH($B737))</f>
        <v/>
      </c>
      <c r="AA737" s="24">
        <f>IF($B737="","",YEAR($B737))</f>
        <v/>
      </c>
      <c r="AB737" s="24">
        <f>IF($B737="","",ISOWEEKNUM($B737))</f>
        <v/>
      </c>
      <c r="AC737" s="17">
        <f>IF($B737="","",CHOOSE(WEEKDAY($B737,2),"Segunda","Terça","Quarta","Quinta","Sexta","Sábado","Domingo"))</f>
        <v/>
      </c>
      <c r="AD737" s="17">
        <f>IF($B737="","",TEXT($B737,"MM/AAAA"))</f>
        <v/>
      </c>
      <c r="AE737" s="18">
        <f>IF(COUNTA($B737:$R737)=0,"",IF($X737="Cancelado",0,ROUND(N($Q737)+N($S737)+N($T737)-N($U737),2)))</f>
        <v/>
      </c>
      <c r="AF737" s="9">
        <f>IF($G737="","",IFERROR(INDEX(LINHAS_DRE_PLANO,MATCH($G737,SUBCATEGORIAS_PLANO,0)),"Não classificado"))</f>
        <v/>
      </c>
      <c r="AG737" s="17">
        <f>IF($G737="","",IFERROR(INDEX(TIPOS_FLUXO_PLANO,MATCH($G737,SUBCATEGORIAS_PLANO,0)),"Não classificado"))</f>
        <v/>
      </c>
      <c r="AH737" s="9">
        <f>IF($G737="","",IFERROR(INDEX(GRUPOS_PLANO,MATCH($G737,SUBCATEGORIAS_PLANO,0)),"Não classificado"))</f>
        <v/>
      </c>
      <c r="AI737" s="24">
        <f>IF(OR($C737="",$X737="Pago",$X737="Recebido",$X737="Cancelado"),"",$C737-TODAY())</f>
        <v/>
      </c>
      <c r="AJ737" s="24">
        <f>IF(OR($C737="",$X737="Pago",$X737="Recebido",$X737="Cancelado"),0,MAX(0,TODAY()-$C737))</f>
        <v/>
      </c>
      <c r="AK737" s="24">
        <f>IF($D737="","",$D737-$B737)</f>
        <v/>
      </c>
      <c r="AL737" s="18">
        <f>IF(OR($D737="",$B737=""),"",ROUND(N($R737)*($D737-$B737),2))</f>
        <v/>
      </c>
      <c r="AM737" s="17">
        <f>IF(AND($E737="Saída",$W737&gt;0,$C737&lt;&gt;""),$C737+ROW()/1000000,"")</f>
        <v/>
      </c>
      <c r="AN737" s="17">
        <f>IF(AND($E737="Entrada",$W737&gt;0,$C737&lt;&gt;""),$C737+ROW()/1000000,"")</f>
        <v/>
      </c>
      <c r="AO737" s="9">
        <f>IF(COUNTA($B737:$R737)=0,"",IF(AND($I737&lt;&gt;"",COUNTIF(CLIENTES_NOMES,$I737)+COUNTIF(CLIENTES_FANTASIA,$I737)+COUNTIF(FORNECEDORES_NOMES,$I737)+COUNTIF(FORNECEDORES_FANTASIA,$I737)=0),"⚠ Cliente/Fornecedor não cadastrado",IF(AND($G737&lt;&gt;"",COUNTIF(SUBCATEGORIAS_PLANO,$G737)=0),"⚠ Subcategoria fora do plano de contas",IF(OR($Q737="",N($Q737)=0),"⚠ Valor previsto não informado",IF(AND(OR($X737="Pago",$X737="Recebido"),$D737=""),"⚠ Status pago/recebido sem data",IF(AND($D737&lt;&gt;"",N($R737)=0),"⚠ Data de pagamento sem valor realizado",IF(AND(N($P737)&gt;1,N($O737)&gt;N($P737)),"⚠ Nº da parcela maior que o total",IF(AND($C737&lt;&gt;"",$B737&lt;&gt;"",$C737&lt;$B737),"⚠ Vencimento anterior à competência","OK"))))))))</f>
        <v/>
      </c>
    </row>
    <row r="738">
      <c r="A738" s="14" t="n"/>
      <c r="B738" s="36" t="n"/>
      <c r="C738" s="36" t="n"/>
      <c r="D738" s="36" t="n"/>
      <c r="E738" s="14" t="n"/>
      <c r="F738" s="29" t="n"/>
      <c r="G738" s="29" t="n"/>
      <c r="H738" s="29" t="n"/>
      <c r="I738" s="29" t="n"/>
      <c r="J738" s="29" t="n"/>
      <c r="K738" s="14" t="n"/>
      <c r="L738" s="29" t="n"/>
      <c r="M738" s="14" t="n"/>
      <c r="N738" s="29" t="n"/>
      <c r="O738" s="13" t="n"/>
      <c r="P738" s="13" t="n"/>
      <c r="Q738" s="35" t="n"/>
      <c r="R738" s="35" t="n"/>
      <c r="S738" s="35" t="n"/>
      <c r="T738" s="35" t="n"/>
      <c r="U738" s="35" t="n"/>
      <c r="V738" s="18">
        <f>IF(COUNTA($B738:$R738)=0,"",ROUND(N($R738)+N($S738)+N($T738)-N($U738),2))</f>
        <v/>
      </c>
      <c r="W738" s="18">
        <f>IF(COUNTA($B738:$R738)=0,"",IF(OR($X738="Pago",$X738="Recebido",$X738="Cancelado"),0,ROUND(N($Q738)+N($S738)+N($T738)-N($U738)-N($R738),2)))</f>
        <v/>
      </c>
      <c r="X738" s="14" t="n"/>
      <c r="Y738" s="17">
        <f>IF(COUNTA($B738:$R738)=0,"",IF($X738="Cancelado","Cancelado",IF(OR($X738="Pago",$X738="Recebido"),$X738,IF(OR($X738="Parcial",N($R738)&gt;0),"Parcial",IF($C738="","Sem vencimento",IF($C738&lt;TODAY(),"Vencido",IF($C738=TODAY(),"Vence hoje",IF($C738&lt;=TODAY()+7,"Vence em 7 dias",IF($C738&lt;=TODAY()+30,"Vence em 30 dias","Futuro")))))))))</f>
        <v/>
      </c>
      <c r="Z738" s="24">
        <f>IF($B738="","",MONTH($B738))</f>
        <v/>
      </c>
      <c r="AA738" s="24">
        <f>IF($B738="","",YEAR($B738))</f>
        <v/>
      </c>
      <c r="AB738" s="24">
        <f>IF($B738="","",ISOWEEKNUM($B738))</f>
        <v/>
      </c>
      <c r="AC738" s="17">
        <f>IF($B738="","",CHOOSE(WEEKDAY($B738,2),"Segunda","Terça","Quarta","Quinta","Sexta","Sábado","Domingo"))</f>
        <v/>
      </c>
      <c r="AD738" s="17">
        <f>IF($B738="","",TEXT($B738,"MM/AAAA"))</f>
        <v/>
      </c>
      <c r="AE738" s="18">
        <f>IF(COUNTA($B738:$R738)=0,"",IF($X738="Cancelado",0,ROUND(N($Q738)+N($S738)+N($T738)-N($U738),2)))</f>
        <v/>
      </c>
      <c r="AF738" s="9">
        <f>IF($G738="","",IFERROR(INDEX(LINHAS_DRE_PLANO,MATCH($G738,SUBCATEGORIAS_PLANO,0)),"Não classificado"))</f>
        <v/>
      </c>
      <c r="AG738" s="17">
        <f>IF($G738="","",IFERROR(INDEX(TIPOS_FLUXO_PLANO,MATCH($G738,SUBCATEGORIAS_PLANO,0)),"Não classificado"))</f>
        <v/>
      </c>
      <c r="AH738" s="9">
        <f>IF($G738="","",IFERROR(INDEX(GRUPOS_PLANO,MATCH($G738,SUBCATEGORIAS_PLANO,0)),"Não classificado"))</f>
        <v/>
      </c>
      <c r="AI738" s="24">
        <f>IF(OR($C738="",$X738="Pago",$X738="Recebido",$X738="Cancelado"),"",$C738-TODAY())</f>
        <v/>
      </c>
      <c r="AJ738" s="24">
        <f>IF(OR($C738="",$X738="Pago",$X738="Recebido",$X738="Cancelado"),0,MAX(0,TODAY()-$C738))</f>
        <v/>
      </c>
      <c r="AK738" s="24">
        <f>IF($D738="","",$D738-$B738)</f>
        <v/>
      </c>
      <c r="AL738" s="18">
        <f>IF(OR($D738="",$B738=""),"",ROUND(N($R738)*($D738-$B738),2))</f>
        <v/>
      </c>
      <c r="AM738" s="17">
        <f>IF(AND($E738="Saída",$W738&gt;0,$C738&lt;&gt;""),$C738+ROW()/1000000,"")</f>
        <v/>
      </c>
      <c r="AN738" s="17">
        <f>IF(AND($E738="Entrada",$W738&gt;0,$C738&lt;&gt;""),$C738+ROW()/1000000,"")</f>
        <v/>
      </c>
      <c r="AO738" s="9">
        <f>IF(COUNTA($B738:$R738)=0,"",IF(AND($I738&lt;&gt;"",COUNTIF(CLIENTES_NOMES,$I738)+COUNTIF(CLIENTES_FANTASIA,$I738)+COUNTIF(FORNECEDORES_NOMES,$I738)+COUNTIF(FORNECEDORES_FANTASIA,$I738)=0),"⚠ Cliente/Fornecedor não cadastrado",IF(AND($G738&lt;&gt;"",COUNTIF(SUBCATEGORIAS_PLANO,$G738)=0),"⚠ Subcategoria fora do plano de contas",IF(OR($Q738="",N($Q738)=0),"⚠ Valor previsto não informado",IF(AND(OR($X738="Pago",$X738="Recebido"),$D738=""),"⚠ Status pago/recebido sem data",IF(AND($D738&lt;&gt;"",N($R738)=0),"⚠ Data de pagamento sem valor realizado",IF(AND(N($P738)&gt;1,N($O738)&gt;N($P738)),"⚠ Nº da parcela maior que o total",IF(AND($C738&lt;&gt;"",$B738&lt;&gt;"",$C738&lt;$B738),"⚠ Vencimento anterior à competência","OK"))))))))</f>
        <v/>
      </c>
    </row>
    <row r="739">
      <c r="A739" s="14" t="n"/>
      <c r="B739" s="36" t="n"/>
      <c r="C739" s="36" t="n"/>
      <c r="D739" s="36" t="n"/>
      <c r="E739" s="14" t="n"/>
      <c r="F739" s="29" t="n"/>
      <c r="G739" s="29" t="n"/>
      <c r="H739" s="29" t="n"/>
      <c r="I739" s="29" t="n"/>
      <c r="J739" s="29" t="n"/>
      <c r="K739" s="14" t="n"/>
      <c r="L739" s="29" t="n"/>
      <c r="M739" s="14" t="n"/>
      <c r="N739" s="29" t="n"/>
      <c r="O739" s="13" t="n"/>
      <c r="P739" s="13" t="n"/>
      <c r="Q739" s="35" t="n"/>
      <c r="R739" s="35" t="n"/>
      <c r="S739" s="35" t="n"/>
      <c r="T739" s="35" t="n"/>
      <c r="U739" s="35" t="n"/>
      <c r="V739" s="18">
        <f>IF(COUNTA($B739:$R739)=0,"",ROUND(N($R739)+N($S739)+N($T739)-N($U739),2))</f>
        <v/>
      </c>
      <c r="W739" s="18">
        <f>IF(COUNTA($B739:$R739)=0,"",IF(OR($X739="Pago",$X739="Recebido",$X739="Cancelado"),0,ROUND(N($Q739)+N($S739)+N($T739)-N($U739)-N($R739),2)))</f>
        <v/>
      </c>
      <c r="X739" s="14" t="n"/>
      <c r="Y739" s="17">
        <f>IF(COUNTA($B739:$R739)=0,"",IF($X739="Cancelado","Cancelado",IF(OR($X739="Pago",$X739="Recebido"),$X739,IF(OR($X739="Parcial",N($R739)&gt;0),"Parcial",IF($C739="","Sem vencimento",IF($C739&lt;TODAY(),"Vencido",IF($C739=TODAY(),"Vence hoje",IF($C739&lt;=TODAY()+7,"Vence em 7 dias",IF($C739&lt;=TODAY()+30,"Vence em 30 dias","Futuro")))))))))</f>
        <v/>
      </c>
      <c r="Z739" s="24">
        <f>IF($B739="","",MONTH($B739))</f>
        <v/>
      </c>
      <c r="AA739" s="24">
        <f>IF($B739="","",YEAR($B739))</f>
        <v/>
      </c>
      <c r="AB739" s="24">
        <f>IF($B739="","",ISOWEEKNUM($B739))</f>
        <v/>
      </c>
      <c r="AC739" s="17">
        <f>IF($B739="","",CHOOSE(WEEKDAY($B739,2),"Segunda","Terça","Quarta","Quinta","Sexta","Sábado","Domingo"))</f>
        <v/>
      </c>
      <c r="AD739" s="17">
        <f>IF($B739="","",TEXT($B739,"MM/AAAA"))</f>
        <v/>
      </c>
      <c r="AE739" s="18">
        <f>IF(COUNTA($B739:$R739)=0,"",IF($X739="Cancelado",0,ROUND(N($Q739)+N($S739)+N($T739)-N($U739),2)))</f>
        <v/>
      </c>
      <c r="AF739" s="9">
        <f>IF($G739="","",IFERROR(INDEX(LINHAS_DRE_PLANO,MATCH($G739,SUBCATEGORIAS_PLANO,0)),"Não classificado"))</f>
        <v/>
      </c>
      <c r="AG739" s="17">
        <f>IF($G739="","",IFERROR(INDEX(TIPOS_FLUXO_PLANO,MATCH($G739,SUBCATEGORIAS_PLANO,0)),"Não classificado"))</f>
        <v/>
      </c>
      <c r="AH739" s="9">
        <f>IF($G739="","",IFERROR(INDEX(GRUPOS_PLANO,MATCH($G739,SUBCATEGORIAS_PLANO,0)),"Não classificado"))</f>
        <v/>
      </c>
      <c r="AI739" s="24">
        <f>IF(OR($C739="",$X739="Pago",$X739="Recebido",$X739="Cancelado"),"",$C739-TODAY())</f>
        <v/>
      </c>
      <c r="AJ739" s="24">
        <f>IF(OR($C739="",$X739="Pago",$X739="Recebido",$X739="Cancelado"),0,MAX(0,TODAY()-$C739))</f>
        <v/>
      </c>
      <c r="AK739" s="24">
        <f>IF($D739="","",$D739-$B739)</f>
        <v/>
      </c>
      <c r="AL739" s="18">
        <f>IF(OR($D739="",$B739=""),"",ROUND(N($R739)*($D739-$B739),2))</f>
        <v/>
      </c>
      <c r="AM739" s="17">
        <f>IF(AND($E739="Saída",$W739&gt;0,$C739&lt;&gt;""),$C739+ROW()/1000000,"")</f>
        <v/>
      </c>
      <c r="AN739" s="17">
        <f>IF(AND($E739="Entrada",$W739&gt;0,$C739&lt;&gt;""),$C739+ROW()/1000000,"")</f>
        <v/>
      </c>
      <c r="AO739" s="9">
        <f>IF(COUNTA($B739:$R739)=0,"",IF(AND($I739&lt;&gt;"",COUNTIF(CLIENTES_NOMES,$I739)+COUNTIF(CLIENTES_FANTASIA,$I739)+COUNTIF(FORNECEDORES_NOMES,$I739)+COUNTIF(FORNECEDORES_FANTASIA,$I739)=0),"⚠ Cliente/Fornecedor não cadastrado",IF(AND($G739&lt;&gt;"",COUNTIF(SUBCATEGORIAS_PLANO,$G739)=0),"⚠ Subcategoria fora do plano de contas",IF(OR($Q739="",N($Q739)=0),"⚠ Valor previsto não informado",IF(AND(OR($X739="Pago",$X739="Recebido"),$D739=""),"⚠ Status pago/recebido sem data",IF(AND($D739&lt;&gt;"",N($R739)=0),"⚠ Data de pagamento sem valor realizado",IF(AND(N($P739)&gt;1,N($O739)&gt;N($P739)),"⚠ Nº da parcela maior que o total",IF(AND($C739&lt;&gt;"",$B739&lt;&gt;"",$C739&lt;$B739),"⚠ Vencimento anterior à competência","OK"))))))))</f>
        <v/>
      </c>
    </row>
    <row r="740">
      <c r="A740" s="14" t="n"/>
      <c r="B740" s="36" t="n"/>
      <c r="C740" s="36" t="n"/>
      <c r="D740" s="36" t="n"/>
      <c r="E740" s="14" t="n"/>
      <c r="F740" s="29" t="n"/>
      <c r="G740" s="29" t="n"/>
      <c r="H740" s="29" t="n"/>
      <c r="I740" s="29" t="n"/>
      <c r="J740" s="29" t="n"/>
      <c r="K740" s="14" t="n"/>
      <c r="L740" s="29" t="n"/>
      <c r="M740" s="14" t="n"/>
      <c r="N740" s="29" t="n"/>
      <c r="O740" s="13" t="n"/>
      <c r="P740" s="13" t="n"/>
      <c r="Q740" s="35" t="n"/>
      <c r="R740" s="35" t="n"/>
      <c r="S740" s="35" t="n"/>
      <c r="T740" s="35" t="n"/>
      <c r="U740" s="35" t="n"/>
      <c r="V740" s="18">
        <f>IF(COUNTA($B740:$R740)=0,"",ROUND(N($R740)+N($S740)+N($T740)-N($U740),2))</f>
        <v/>
      </c>
      <c r="W740" s="18">
        <f>IF(COUNTA($B740:$R740)=0,"",IF(OR($X740="Pago",$X740="Recebido",$X740="Cancelado"),0,ROUND(N($Q740)+N($S740)+N($T740)-N($U740)-N($R740),2)))</f>
        <v/>
      </c>
      <c r="X740" s="14" t="n"/>
      <c r="Y740" s="17">
        <f>IF(COUNTA($B740:$R740)=0,"",IF($X740="Cancelado","Cancelado",IF(OR($X740="Pago",$X740="Recebido"),$X740,IF(OR($X740="Parcial",N($R740)&gt;0),"Parcial",IF($C740="","Sem vencimento",IF($C740&lt;TODAY(),"Vencido",IF($C740=TODAY(),"Vence hoje",IF($C740&lt;=TODAY()+7,"Vence em 7 dias",IF($C740&lt;=TODAY()+30,"Vence em 30 dias","Futuro")))))))))</f>
        <v/>
      </c>
      <c r="Z740" s="24">
        <f>IF($B740="","",MONTH($B740))</f>
        <v/>
      </c>
      <c r="AA740" s="24">
        <f>IF($B740="","",YEAR($B740))</f>
        <v/>
      </c>
      <c r="AB740" s="24">
        <f>IF($B740="","",ISOWEEKNUM($B740))</f>
        <v/>
      </c>
      <c r="AC740" s="17">
        <f>IF($B740="","",CHOOSE(WEEKDAY($B740,2),"Segunda","Terça","Quarta","Quinta","Sexta","Sábado","Domingo"))</f>
        <v/>
      </c>
      <c r="AD740" s="17">
        <f>IF($B740="","",TEXT($B740,"MM/AAAA"))</f>
        <v/>
      </c>
      <c r="AE740" s="18">
        <f>IF(COUNTA($B740:$R740)=0,"",IF($X740="Cancelado",0,ROUND(N($Q740)+N($S740)+N($T740)-N($U740),2)))</f>
        <v/>
      </c>
      <c r="AF740" s="9">
        <f>IF($G740="","",IFERROR(INDEX(LINHAS_DRE_PLANO,MATCH($G740,SUBCATEGORIAS_PLANO,0)),"Não classificado"))</f>
        <v/>
      </c>
      <c r="AG740" s="17">
        <f>IF($G740="","",IFERROR(INDEX(TIPOS_FLUXO_PLANO,MATCH($G740,SUBCATEGORIAS_PLANO,0)),"Não classificado"))</f>
        <v/>
      </c>
      <c r="AH740" s="9">
        <f>IF($G740="","",IFERROR(INDEX(GRUPOS_PLANO,MATCH($G740,SUBCATEGORIAS_PLANO,0)),"Não classificado"))</f>
        <v/>
      </c>
      <c r="AI740" s="24">
        <f>IF(OR($C740="",$X740="Pago",$X740="Recebido",$X740="Cancelado"),"",$C740-TODAY())</f>
        <v/>
      </c>
      <c r="AJ740" s="24">
        <f>IF(OR($C740="",$X740="Pago",$X740="Recebido",$X740="Cancelado"),0,MAX(0,TODAY()-$C740))</f>
        <v/>
      </c>
      <c r="AK740" s="24">
        <f>IF($D740="","",$D740-$B740)</f>
        <v/>
      </c>
      <c r="AL740" s="18">
        <f>IF(OR($D740="",$B740=""),"",ROUND(N($R740)*($D740-$B740),2))</f>
        <v/>
      </c>
      <c r="AM740" s="17">
        <f>IF(AND($E740="Saída",$W740&gt;0,$C740&lt;&gt;""),$C740+ROW()/1000000,"")</f>
        <v/>
      </c>
      <c r="AN740" s="17">
        <f>IF(AND($E740="Entrada",$W740&gt;0,$C740&lt;&gt;""),$C740+ROW()/1000000,"")</f>
        <v/>
      </c>
      <c r="AO740" s="9">
        <f>IF(COUNTA($B740:$R740)=0,"",IF(AND($I740&lt;&gt;"",COUNTIF(CLIENTES_NOMES,$I740)+COUNTIF(CLIENTES_FANTASIA,$I740)+COUNTIF(FORNECEDORES_NOMES,$I740)+COUNTIF(FORNECEDORES_FANTASIA,$I740)=0),"⚠ Cliente/Fornecedor não cadastrado",IF(AND($G740&lt;&gt;"",COUNTIF(SUBCATEGORIAS_PLANO,$G740)=0),"⚠ Subcategoria fora do plano de contas",IF(OR($Q740="",N($Q740)=0),"⚠ Valor previsto não informado",IF(AND(OR($X740="Pago",$X740="Recebido"),$D740=""),"⚠ Status pago/recebido sem data",IF(AND($D740&lt;&gt;"",N($R740)=0),"⚠ Data de pagamento sem valor realizado",IF(AND(N($P740)&gt;1,N($O740)&gt;N($P740)),"⚠ Nº da parcela maior que o total",IF(AND($C740&lt;&gt;"",$B740&lt;&gt;"",$C740&lt;$B740),"⚠ Vencimento anterior à competência","OK"))))))))</f>
        <v/>
      </c>
    </row>
    <row r="741">
      <c r="A741" s="14" t="n"/>
      <c r="B741" s="36" t="n"/>
      <c r="C741" s="36" t="n"/>
      <c r="D741" s="36" t="n"/>
      <c r="E741" s="14" t="n"/>
      <c r="F741" s="29" t="n"/>
      <c r="G741" s="29" t="n"/>
      <c r="H741" s="29" t="n"/>
      <c r="I741" s="29" t="n"/>
      <c r="J741" s="29" t="n"/>
      <c r="K741" s="14" t="n"/>
      <c r="L741" s="29" t="n"/>
      <c r="M741" s="14" t="n"/>
      <c r="N741" s="29" t="n"/>
      <c r="O741" s="13" t="n"/>
      <c r="P741" s="13" t="n"/>
      <c r="Q741" s="35" t="n"/>
      <c r="R741" s="35" t="n"/>
      <c r="S741" s="35" t="n"/>
      <c r="T741" s="35" t="n"/>
      <c r="U741" s="35" t="n"/>
      <c r="V741" s="18">
        <f>IF(COUNTA($B741:$R741)=0,"",ROUND(N($R741)+N($S741)+N($T741)-N($U741),2))</f>
        <v/>
      </c>
      <c r="W741" s="18">
        <f>IF(COUNTA($B741:$R741)=0,"",IF(OR($X741="Pago",$X741="Recebido",$X741="Cancelado"),0,ROUND(N($Q741)+N($S741)+N($T741)-N($U741)-N($R741),2)))</f>
        <v/>
      </c>
      <c r="X741" s="14" t="n"/>
      <c r="Y741" s="17">
        <f>IF(COUNTA($B741:$R741)=0,"",IF($X741="Cancelado","Cancelado",IF(OR($X741="Pago",$X741="Recebido"),$X741,IF(OR($X741="Parcial",N($R741)&gt;0),"Parcial",IF($C741="","Sem vencimento",IF($C741&lt;TODAY(),"Vencido",IF($C741=TODAY(),"Vence hoje",IF($C741&lt;=TODAY()+7,"Vence em 7 dias",IF($C741&lt;=TODAY()+30,"Vence em 30 dias","Futuro")))))))))</f>
        <v/>
      </c>
      <c r="Z741" s="24">
        <f>IF($B741="","",MONTH($B741))</f>
        <v/>
      </c>
      <c r="AA741" s="24">
        <f>IF($B741="","",YEAR($B741))</f>
        <v/>
      </c>
      <c r="AB741" s="24">
        <f>IF($B741="","",ISOWEEKNUM($B741))</f>
        <v/>
      </c>
      <c r="AC741" s="17">
        <f>IF($B741="","",CHOOSE(WEEKDAY($B741,2),"Segunda","Terça","Quarta","Quinta","Sexta","Sábado","Domingo"))</f>
        <v/>
      </c>
      <c r="AD741" s="17">
        <f>IF($B741="","",TEXT($B741,"MM/AAAA"))</f>
        <v/>
      </c>
      <c r="AE741" s="18">
        <f>IF(COUNTA($B741:$R741)=0,"",IF($X741="Cancelado",0,ROUND(N($Q741)+N($S741)+N($T741)-N($U741),2)))</f>
        <v/>
      </c>
      <c r="AF741" s="9">
        <f>IF($G741="","",IFERROR(INDEX(LINHAS_DRE_PLANO,MATCH($G741,SUBCATEGORIAS_PLANO,0)),"Não classificado"))</f>
        <v/>
      </c>
      <c r="AG741" s="17">
        <f>IF($G741="","",IFERROR(INDEX(TIPOS_FLUXO_PLANO,MATCH($G741,SUBCATEGORIAS_PLANO,0)),"Não classificado"))</f>
        <v/>
      </c>
      <c r="AH741" s="9">
        <f>IF($G741="","",IFERROR(INDEX(GRUPOS_PLANO,MATCH($G741,SUBCATEGORIAS_PLANO,0)),"Não classificado"))</f>
        <v/>
      </c>
      <c r="AI741" s="24">
        <f>IF(OR($C741="",$X741="Pago",$X741="Recebido",$X741="Cancelado"),"",$C741-TODAY())</f>
        <v/>
      </c>
      <c r="AJ741" s="24">
        <f>IF(OR($C741="",$X741="Pago",$X741="Recebido",$X741="Cancelado"),0,MAX(0,TODAY()-$C741))</f>
        <v/>
      </c>
      <c r="AK741" s="24">
        <f>IF($D741="","",$D741-$B741)</f>
        <v/>
      </c>
      <c r="AL741" s="18">
        <f>IF(OR($D741="",$B741=""),"",ROUND(N($R741)*($D741-$B741),2))</f>
        <v/>
      </c>
      <c r="AM741" s="17">
        <f>IF(AND($E741="Saída",$W741&gt;0,$C741&lt;&gt;""),$C741+ROW()/1000000,"")</f>
        <v/>
      </c>
      <c r="AN741" s="17">
        <f>IF(AND($E741="Entrada",$W741&gt;0,$C741&lt;&gt;""),$C741+ROW()/1000000,"")</f>
        <v/>
      </c>
      <c r="AO741" s="9">
        <f>IF(COUNTA($B741:$R741)=0,"",IF(AND($I741&lt;&gt;"",COUNTIF(CLIENTES_NOMES,$I741)+COUNTIF(CLIENTES_FANTASIA,$I741)+COUNTIF(FORNECEDORES_NOMES,$I741)+COUNTIF(FORNECEDORES_FANTASIA,$I741)=0),"⚠ Cliente/Fornecedor não cadastrado",IF(AND($G741&lt;&gt;"",COUNTIF(SUBCATEGORIAS_PLANO,$G741)=0),"⚠ Subcategoria fora do plano de contas",IF(OR($Q741="",N($Q741)=0),"⚠ Valor previsto não informado",IF(AND(OR($X741="Pago",$X741="Recebido"),$D741=""),"⚠ Status pago/recebido sem data",IF(AND($D741&lt;&gt;"",N($R741)=0),"⚠ Data de pagamento sem valor realizado",IF(AND(N($P741)&gt;1,N($O741)&gt;N($P741)),"⚠ Nº da parcela maior que o total",IF(AND($C741&lt;&gt;"",$B741&lt;&gt;"",$C741&lt;$B741),"⚠ Vencimento anterior à competência","OK"))))))))</f>
        <v/>
      </c>
    </row>
    <row r="742">
      <c r="A742" s="14" t="n"/>
      <c r="B742" s="36" t="n"/>
      <c r="C742" s="36" t="n"/>
      <c r="D742" s="36" t="n"/>
      <c r="E742" s="14" t="n"/>
      <c r="F742" s="29" t="n"/>
      <c r="G742" s="29" t="n"/>
      <c r="H742" s="29" t="n"/>
      <c r="I742" s="29" t="n"/>
      <c r="J742" s="29" t="n"/>
      <c r="K742" s="14" t="n"/>
      <c r="L742" s="29" t="n"/>
      <c r="M742" s="14" t="n"/>
      <c r="N742" s="29" t="n"/>
      <c r="O742" s="13" t="n"/>
      <c r="P742" s="13" t="n"/>
      <c r="Q742" s="35" t="n"/>
      <c r="R742" s="35" t="n"/>
      <c r="S742" s="35" t="n"/>
      <c r="T742" s="35" t="n"/>
      <c r="U742" s="35" t="n"/>
      <c r="V742" s="18">
        <f>IF(COUNTA($B742:$R742)=0,"",ROUND(N($R742)+N($S742)+N($T742)-N($U742),2))</f>
        <v/>
      </c>
      <c r="W742" s="18">
        <f>IF(COUNTA($B742:$R742)=0,"",IF(OR($X742="Pago",$X742="Recebido",$X742="Cancelado"),0,ROUND(N($Q742)+N($S742)+N($T742)-N($U742)-N($R742),2)))</f>
        <v/>
      </c>
      <c r="X742" s="14" t="n"/>
      <c r="Y742" s="17">
        <f>IF(COUNTA($B742:$R742)=0,"",IF($X742="Cancelado","Cancelado",IF(OR($X742="Pago",$X742="Recebido"),$X742,IF(OR($X742="Parcial",N($R742)&gt;0),"Parcial",IF($C742="","Sem vencimento",IF($C742&lt;TODAY(),"Vencido",IF($C742=TODAY(),"Vence hoje",IF($C742&lt;=TODAY()+7,"Vence em 7 dias",IF($C742&lt;=TODAY()+30,"Vence em 30 dias","Futuro")))))))))</f>
        <v/>
      </c>
      <c r="Z742" s="24">
        <f>IF($B742="","",MONTH($B742))</f>
        <v/>
      </c>
      <c r="AA742" s="24">
        <f>IF($B742="","",YEAR($B742))</f>
        <v/>
      </c>
      <c r="AB742" s="24">
        <f>IF($B742="","",ISOWEEKNUM($B742))</f>
        <v/>
      </c>
      <c r="AC742" s="17">
        <f>IF($B742="","",CHOOSE(WEEKDAY($B742,2),"Segunda","Terça","Quarta","Quinta","Sexta","Sábado","Domingo"))</f>
        <v/>
      </c>
      <c r="AD742" s="17">
        <f>IF($B742="","",TEXT($B742,"MM/AAAA"))</f>
        <v/>
      </c>
      <c r="AE742" s="18">
        <f>IF(COUNTA($B742:$R742)=0,"",IF($X742="Cancelado",0,ROUND(N($Q742)+N($S742)+N($T742)-N($U742),2)))</f>
        <v/>
      </c>
      <c r="AF742" s="9">
        <f>IF($G742="","",IFERROR(INDEX(LINHAS_DRE_PLANO,MATCH($G742,SUBCATEGORIAS_PLANO,0)),"Não classificado"))</f>
        <v/>
      </c>
      <c r="AG742" s="17">
        <f>IF($G742="","",IFERROR(INDEX(TIPOS_FLUXO_PLANO,MATCH($G742,SUBCATEGORIAS_PLANO,0)),"Não classificado"))</f>
        <v/>
      </c>
      <c r="AH742" s="9">
        <f>IF($G742="","",IFERROR(INDEX(GRUPOS_PLANO,MATCH($G742,SUBCATEGORIAS_PLANO,0)),"Não classificado"))</f>
        <v/>
      </c>
      <c r="AI742" s="24">
        <f>IF(OR($C742="",$X742="Pago",$X742="Recebido",$X742="Cancelado"),"",$C742-TODAY())</f>
        <v/>
      </c>
      <c r="AJ742" s="24">
        <f>IF(OR($C742="",$X742="Pago",$X742="Recebido",$X742="Cancelado"),0,MAX(0,TODAY()-$C742))</f>
        <v/>
      </c>
      <c r="AK742" s="24">
        <f>IF($D742="","",$D742-$B742)</f>
        <v/>
      </c>
      <c r="AL742" s="18">
        <f>IF(OR($D742="",$B742=""),"",ROUND(N($R742)*($D742-$B742),2))</f>
        <v/>
      </c>
      <c r="AM742" s="17">
        <f>IF(AND($E742="Saída",$W742&gt;0,$C742&lt;&gt;""),$C742+ROW()/1000000,"")</f>
        <v/>
      </c>
      <c r="AN742" s="17">
        <f>IF(AND($E742="Entrada",$W742&gt;0,$C742&lt;&gt;""),$C742+ROW()/1000000,"")</f>
        <v/>
      </c>
      <c r="AO742" s="9">
        <f>IF(COUNTA($B742:$R742)=0,"",IF(AND($I742&lt;&gt;"",COUNTIF(CLIENTES_NOMES,$I742)+COUNTIF(CLIENTES_FANTASIA,$I742)+COUNTIF(FORNECEDORES_NOMES,$I742)+COUNTIF(FORNECEDORES_FANTASIA,$I742)=0),"⚠ Cliente/Fornecedor não cadastrado",IF(AND($G742&lt;&gt;"",COUNTIF(SUBCATEGORIAS_PLANO,$G742)=0),"⚠ Subcategoria fora do plano de contas",IF(OR($Q742="",N($Q742)=0),"⚠ Valor previsto não informado",IF(AND(OR($X742="Pago",$X742="Recebido"),$D742=""),"⚠ Status pago/recebido sem data",IF(AND($D742&lt;&gt;"",N($R742)=0),"⚠ Data de pagamento sem valor realizado",IF(AND(N($P742)&gt;1,N($O742)&gt;N($P742)),"⚠ Nº da parcela maior que o total",IF(AND($C742&lt;&gt;"",$B742&lt;&gt;"",$C742&lt;$B742),"⚠ Vencimento anterior à competência","OK"))))))))</f>
        <v/>
      </c>
    </row>
    <row r="743">
      <c r="A743" s="14" t="n"/>
      <c r="B743" s="36" t="n"/>
      <c r="C743" s="36" t="n"/>
      <c r="D743" s="36" t="n"/>
      <c r="E743" s="14" t="n"/>
      <c r="F743" s="29" t="n"/>
      <c r="G743" s="29" t="n"/>
      <c r="H743" s="29" t="n"/>
      <c r="I743" s="29" t="n"/>
      <c r="J743" s="29" t="n"/>
      <c r="K743" s="14" t="n"/>
      <c r="L743" s="29" t="n"/>
      <c r="M743" s="14" t="n"/>
      <c r="N743" s="29" t="n"/>
      <c r="O743" s="13" t="n"/>
      <c r="P743" s="13" t="n"/>
      <c r="Q743" s="35" t="n"/>
      <c r="R743" s="35" t="n"/>
      <c r="S743" s="35" t="n"/>
      <c r="T743" s="35" t="n"/>
      <c r="U743" s="35" t="n"/>
      <c r="V743" s="18">
        <f>IF(COUNTA($B743:$R743)=0,"",ROUND(N($R743)+N($S743)+N($T743)-N($U743),2))</f>
        <v/>
      </c>
      <c r="W743" s="18">
        <f>IF(COUNTA($B743:$R743)=0,"",IF(OR($X743="Pago",$X743="Recebido",$X743="Cancelado"),0,ROUND(N($Q743)+N($S743)+N($T743)-N($U743)-N($R743),2)))</f>
        <v/>
      </c>
      <c r="X743" s="14" t="n"/>
      <c r="Y743" s="17">
        <f>IF(COUNTA($B743:$R743)=0,"",IF($X743="Cancelado","Cancelado",IF(OR($X743="Pago",$X743="Recebido"),$X743,IF(OR($X743="Parcial",N($R743)&gt;0),"Parcial",IF($C743="","Sem vencimento",IF($C743&lt;TODAY(),"Vencido",IF($C743=TODAY(),"Vence hoje",IF($C743&lt;=TODAY()+7,"Vence em 7 dias",IF($C743&lt;=TODAY()+30,"Vence em 30 dias","Futuro")))))))))</f>
        <v/>
      </c>
      <c r="Z743" s="24">
        <f>IF($B743="","",MONTH($B743))</f>
        <v/>
      </c>
      <c r="AA743" s="24">
        <f>IF($B743="","",YEAR($B743))</f>
        <v/>
      </c>
      <c r="AB743" s="24">
        <f>IF($B743="","",ISOWEEKNUM($B743))</f>
        <v/>
      </c>
      <c r="AC743" s="17">
        <f>IF($B743="","",CHOOSE(WEEKDAY($B743,2),"Segunda","Terça","Quarta","Quinta","Sexta","Sábado","Domingo"))</f>
        <v/>
      </c>
      <c r="AD743" s="17">
        <f>IF($B743="","",TEXT($B743,"MM/AAAA"))</f>
        <v/>
      </c>
      <c r="AE743" s="18">
        <f>IF(COUNTA($B743:$R743)=0,"",IF($X743="Cancelado",0,ROUND(N($Q743)+N($S743)+N($T743)-N($U743),2)))</f>
        <v/>
      </c>
      <c r="AF743" s="9">
        <f>IF($G743="","",IFERROR(INDEX(LINHAS_DRE_PLANO,MATCH($G743,SUBCATEGORIAS_PLANO,0)),"Não classificado"))</f>
        <v/>
      </c>
      <c r="AG743" s="17">
        <f>IF($G743="","",IFERROR(INDEX(TIPOS_FLUXO_PLANO,MATCH($G743,SUBCATEGORIAS_PLANO,0)),"Não classificado"))</f>
        <v/>
      </c>
      <c r="AH743" s="9">
        <f>IF($G743="","",IFERROR(INDEX(GRUPOS_PLANO,MATCH($G743,SUBCATEGORIAS_PLANO,0)),"Não classificado"))</f>
        <v/>
      </c>
      <c r="AI743" s="24">
        <f>IF(OR($C743="",$X743="Pago",$X743="Recebido",$X743="Cancelado"),"",$C743-TODAY())</f>
        <v/>
      </c>
      <c r="AJ743" s="24">
        <f>IF(OR($C743="",$X743="Pago",$X743="Recebido",$X743="Cancelado"),0,MAX(0,TODAY()-$C743))</f>
        <v/>
      </c>
      <c r="AK743" s="24">
        <f>IF($D743="","",$D743-$B743)</f>
        <v/>
      </c>
      <c r="AL743" s="18">
        <f>IF(OR($D743="",$B743=""),"",ROUND(N($R743)*($D743-$B743),2))</f>
        <v/>
      </c>
      <c r="AM743" s="17">
        <f>IF(AND($E743="Saída",$W743&gt;0,$C743&lt;&gt;""),$C743+ROW()/1000000,"")</f>
        <v/>
      </c>
      <c r="AN743" s="17">
        <f>IF(AND($E743="Entrada",$W743&gt;0,$C743&lt;&gt;""),$C743+ROW()/1000000,"")</f>
        <v/>
      </c>
      <c r="AO743" s="9">
        <f>IF(COUNTA($B743:$R743)=0,"",IF(AND($I743&lt;&gt;"",COUNTIF(CLIENTES_NOMES,$I743)+COUNTIF(CLIENTES_FANTASIA,$I743)+COUNTIF(FORNECEDORES_NOMES,$I743)+COUNTIF(FORNECEDORES_FANTASIA,$I743)=0),"⚠ Cliente/Fornecedor não cadastrado",IF(AND($G743&lt;&gt;"",COUNTIF(SUBCATEGORIAS_PLANO,$G743)=0),"⚠ Subcategoria fora do plano de contas",IF(OR($Q743="",N($Q743)=0),"⚠ Valor previsto não informado",IF(AND(OR($X743="Pago",$X743="Recebido"),$D743=""),"⚠ Status pago/recebido sem data",IF(AND($D743&lt;&gt;"",N($R743)=0),"⚠ Data de pagamento sem valor realizado",IF(AND(N($P743)&gt;1,N($O743)&gt;N($P743)),"⚠ Nº da parcela maior que o total",IF(AND($C743&lt;&gt;"",$B743&lt;&gt;"",$C743&lt;$B743),"⚠ Vencimento anterior à competência","OK"))))))))</f>
        <v/>
      </c>
    </row>
    <row r="744">
      <c r="A744" s="14" t="n"/>
      <c r="B744" s="36" t="n"/>
      <c r="C744" s="36" t="n"/>
      <c r="D744" s="36" t="n"/>
      <c r="E744" s="14" t="n"/>
      <c r="F744" s="29" t="n"/>
      <c r="G744" s="29" t="n"/>
      <c r="H744" s="29" t="n"/>
      <c r="I744" s="29" t="n"/>
      <c r="J744" s="29" t="n"/>
      <c r="K744" s="14" t="n"/>
      <c r="L744" s="29" t="n"/>
      <c r="M744" s="14" t="n"/>
      <c r="N744" s="29" t="n"/>
      <c r="O744" s="13" t="n"/>
      <c r="P744" s="13" t="n"/>
      <c r="Q744" s="35" t="n"/>
      <c r="R744" s="35" t="n"/>
      <c r="S744" s="35" t="n"/>
      <c r="T744" s="35" t="n"/>
      <c r="U744" s="35" t="n"/>
      <c r="V744" s="18">
        <f>IF(COUNTA($B744:$R744)=0,"",ROUND(N($R744)+N($S744)+N($T744)-N($U744),2))</f>
        <v/>
      </c>
      <c r="W744" s="18">
        <f>IF(COUNTA($B744:$R744)=0,"",IF(OR($X744="Pago",$X744="Recebido",$X744="Cancelado"),0,ROUND(N($Q744)+N($S744)+N($T744)-N($U744)-N($R744),2)))</f>
        <v/>
      </c>
      <c r="X744" s="14" t="n"/>
      <c r="Y744" s="17">
        <f>IF(COUNTA($B744:$R744)=0,"",IF($X744="Cancelado","Cancelado",IF(OR($X744="Pago",$X744="Recebido"),$X744,IF(OR($X744="Parcial",N($R744)&gt;0),"Parcial",IF($C744="","Sem vencimento",IF($C744&lt;TODAY(),"Vencido",IF($C744=TODAY(),"Vence hoje",IF($C744&lt;=TODAY()+7,"Vence em 7 dias",IF($C744&lt;=TODAY()+30,"Vence em 30 dias","Futuro")))))))))</f>
        <v/>
      </c>
      <c r="Z744" s="24">
        <f>IF($B744="","",MONTH($B744))</f>
        <v/>
      </c>
      <c r="AA744" s="24">
        <f>IF($B744="","",YEAR($B744))</f>
        <v/>
      </c>
      <c r="AB744" s="24">
        <f>IF($B744="","",ISOWEEKNUM($B744))</f>
        <v/>
      </c>
      <c r="AC744" s="17">
        <f>IF($B744="","",CHOOSE(WEEKDAY($B744,2),"Segunda","Terça","Quarta","Quinta","Sexta","Sábado","Domingo"))</f>
        <v/>
      </c>
      <c r="AD744" s="17">
        <f>IF($B744="","",TEXT($B744,"MM/AAAA"))</f>
        <v/>
      </c>
      <c r="AE744" s="18">
        <f>IF(COUNTA($B744:$R744)=0,"",IF($X744="Cancelado",0,ROUND(N($Q744)+N($S744)+N($T744)-N($U744),2)))</f>
        <v/>
      </c>
      <c r="AF744" s="9">
        <f>IF($G744="","",IFERROR(INDEX(LINHAS_DRE_PLANO,MATCH($G744,SUBCATEGORIAS_PLANO,0)),"Não classificado"))</f>
        <v/>
      </c>
      <c r="AG744" s="17">
        <f>IF($G744="","",IFERROR(INDEX(TIPOS_FLUXO_PLANO,MATCH($G744,SUBCATEGORIAS_PLANO,0)),"Não classificado"))</f>
        <v/>
      </c>
      <c r="AH744" s="9">
        <f>IF($G744="","",IFERROR(INDEX(GRUPOS_PLANO,MATCH($G744,SUBCATEGORIAS_PLANO,0)),"Não classificado"))</f>
        <v/>
      </c>
      <c r="AI744" s="24">
        <f>IF(OR($C744="",$X744="Pago",$X744="Recebido",$X744="Cancelado"),"",$C744-TODAY())</f>
        <v/>
      </c>
      <c r="AJ744" s="24">
        <f>IF(OR($C744="",$X744="Pago",$X744="Recebido",$X744="Cancelado"),0,MAX(0,TODAY()-$C744))</f>
        <v/>
      </c>
      <c r="AK744" s="24">
        <f>IF($D744="","",$D744-$B744)</f>
        <v/>
      </c>
      <c r="AL744" s="18">
        <f>IF(OR($D744="",$B744=""),"",ROUND(N($R744)*($D744-$B744),2))</f>
        <v/>
      </c>
      <c r="AM744" s="17">
        <f>IF(AND($E744="Saída",$W744&gt;0,$C744&lt;&gt;""),$C744+ROW()/1000000,"")</f>
        <v/>
      </c>
      <c r="AN744" s="17">
        <f>IF(AND($E744="Entrada",$W744&gt;0,$C744&lt;&gt;""),$C744+ROW()/1000000,"")</f>
        <v/>
      </c>
      <c r="AO744" s="9">
        <f>IF(COUNTA($B744:$R744)=0,"",IF(AND($I744&lt;&gt;"",COUNTIF(CLIENTES_NOMES,$I744)+COUNTIF(CLIENTES_FANTASIA,$I744)+COUNTIF(FORNECEDORES_NOMES,$I744)+COUNTIF(FORNECEDORES_FANTASIA,$I744)=0),"⚠ Cliente/Fornecedor não cadastrado",IF(AND($G744&lt;&gt;"",COUNTIF(SUBCATEGORIAS_PLANO,$G744)=0),"⚠ Subcategoria fora do plano de contas",IF(OR($Q744="",N($Q744)=0),"⚠ Valor previsto não informado",IF(AND(OR($X744="Pago",$X744="Recebido"),$D744=""),"⚠ Status pago/recebido sem data",IF(AND($D744&lt;&gt;"",N($R744)=0),"⚠ Data de pagamento sem valor realizado",IF(AND(N($P744)&gt;1,N($O744)&gt;N($P744)),"⚠ Nº da parcela maior que o total",IF(AND($C744&lt;&gt;"",$B744&lt;&gt;"",$C744&lt;$B744),"⚠ Vencimento anterior à competência","OK"))))))))</f>
        <v/>
      </c>
    </row>
    <row r="745">
      <c r="A745" s="14" t="n"/>
      <c r="B745" s="36" t="n"/>
      <c r="C745" s="36" t="n"/>
      <c r="D745" s="36" t="n"/>
      <c r="E745" s="14" t="n"/>
      <c r="F745" s="29" t="n"/>
      <c r="G745" s="29" t="n"/>
      <c r="H745" s="29" t="n"/>
      <c r="I745" s="29" t="n"/>
      <c r="J745" s="29" t="n"/>
      <c r="K745" s="14" t="n"/>
      <c r="L745" s="29" t="n"/>
      <c r="M745" s="14" t="n"/>
      <c r="N745" s="29" t="n"/>
      <c r="O745" s="13" t="n"/>
      <c r="P745" s="13" t="n"/>
      <c r="Q745" s="35" t="n"/>
      <c r="R745" s="35" t="n"/>
      <c r="S745" s="35" t="n"/>
      <c r="T745" s="35" t="n"/>
      <c r="U745" s="35" t="n"/>
      <c r="V745" s="18">
        <f>IF(COUNTA($B745:$R745)=0,"",ROUND(N($R745)+N($S745)+N($T745)-N($U745),2))</f>
        <v/>
      </c>
      <c r="W745" s="18">
        <f>IF(COUNTA($B745:$R745)=0,"",IF(OR($X745="Pago",$X745="Recebido",$X745="Cancelado"),0,ROUND(N($Q745)+N($S745)+N($T745)-N($U745)-N($R745),2)))</f>
        <v/>
      </c>
      <c r="X745" s="14" t="n"/>
      <c r="Y745" s="17">
        <f>IF(COUNTA($B745:$R745)=0,"",IF($X745="Cancelado","Cancelado",IF(OR($X745="Pago",$X745="Recebido"),$X745,IF(OR($X745="Parcial",N($R745)&gt;0),"Parcial",IF($C745="","Sem vencimento",IF($C745&lt;TODAY(),"Vencido",IF($C745=TODAY(),"Vence hoje",IF($C745&lt;=TODAY()+7,"Vence em 7 dias",IF($C745&lt;=TODAY()+30,"Vence em 30 dias","Futuro")))))))))</f>
        <v/>
      </c>
      <c r="Z745" s="24">
        <f>IF($B745="","",MONTH($B745))</f>
        <v/>
      </c>
      <c r="AA745" s="24">
        <f>IF($B745="","",YEAR($B745))</f>
        <v/>
      </c>
      <c r="AB745" s="24">
        <f>IF($B745="","",ISOWEEKNUM($B745))</f>
        <v/>
      </c>
      <c r="AC745" s="17">
        <f>IF($B745="","",CHOOSE(WEEKDAY($B745,2),"Segunda","Terça","Quarta","Quinta","Sexta","Sábado","Domingo"))</f>
        <v/>
      </c>
      <c r="AD745" s="17">
        <f>IF($B745="","",TEXT($B745,"MM/AAAA"))</f>
        <v/>
      </c>
      <c r="AE745" s="18">
        <f>IF(COUNTA($B745:$R745)=0,"",IF($X745="Cancelado",0,ROUND(N($Q745)+N($S745)+N($T745)-N($U745),2)))</f>
        <v/>
      </c>
      <c r="AF745" s="9">
        <f>IF($G745="","",IFERROR(INDEX(LINHAS_DRE_PLANO,MATCH($G745,SUBCATEGORIAS_PLANO,0)),"Não classificado"))</f>
        <v/>
      </c>
      <c r="AG745" s="17">
        <f>IF($G745="","",IFERROR(INDEX(TIPOS_FLUXO_PLANO,MATCH($G745,SUBCATEGORIAS_PLANO,0)),"Não classificado"))</f>
        <v/>
      </c>
      <c r="AH745" s="9">
        <f>IF($G745="","",IFERROR(INDEX(GRUPOS_PLANO,MATCH($G745,SUBCATEGORIAS_PLANO,0)),"Não classificado"))</f>
        <v/>
      </c>
      <c r="AI745" s="24">
        <f>IF(OR($C745="",$X745="Pago",$X745="Recebido",$X745="Cancelado"),"",$C745-TODAY())</f>
        <v/>
      </c>
      <c r="AJ745" s="24">
        <f>IF(OR($C745="",$X745="Pago",$X745="Recebido",$X745="Cancelado"),0,MAX(0,TODAY()-$C745))</f>
        <v/>
      </c>
      <c r="AK745" s="24">
        <f>IF($D745="","",$D745-$B745)</f>
        <v/>
      </c>
      <c r="AL745" s="18">
        <f>IF(OR($D745="",$B745=""),"",ROUND(N($R745)*($D745-$B745),2))</f>
        <v/>
      </c>
      <c r="AM745" s="17">
        <f>IF(AND($E745="Saída",$W745&gt;0,$C745&lt;&gt;""),$C745+ROW()/1000000,"")</f>
        <v/>
      </c>
      <c r="AN745" s="17">
        <f>IF(AND($E745="Entrada",$W745&gt;0,$C745&lt;&gt;""),$C745+ROW()/1000000,"")</f>
        <v/>
      </c>
      <c r="AO745" s="9">
        <f>IF(COUNTA($B745:$R745)=0,"",IF(AND($I745&lt;&gt;"",COUNTIF(CLIENTES_NOMES,$I745)+COUNTIF(CLIENTES_FANTASIA,$I745)+COUNTIF(FORNECEDORES_NOMES,$I745)+COUNTIF(FORNECEDORES_FANTASIA,$I745)=0),"⚠ Cliente/Fornecedor não cadastrado",IF(AND($G745&lt;&gt;"",COUNTIF(SUBCATEGORIAS_PLANO,$G745)=0),"⚠ Subcategoria fora do plano de contas",IF(OR($Q745="",N($Q745)=0),"⚠ Valor previsto não informado",IF(AND(OR($X745="Pago",$X745="Recebido"),$D745=""),"⚠ Status pago/recebido sem data",IF(AND($D745&lt;&gt;"",N($R745)=0),"⚠ Data de pagamento sem valor realizado",IF(AND(N($P745)&gt;1,N($O745)&gt;N($P745)),"⚠ Nº da parcela maior que o total",IF(AND($C745&lt;&gt;"",$B745&lt;&gt;"",$C745&lt;$B745),"⚠ Vencimento anterior à competência","OK"))))))))</f>
        <v/>
      </c>
    </row>
    <row r="746">
      <c r="A746" s="14" t="n"/>
      <c r="B746" s="36" t="n"/>
      <c r="C746" s="36" t="n"/>
      <c r="D746" s="36" t="n"/>
      <c r="E746" s="14" t="n"/>
      <c r="F746" s="29" t="n"/>
      <c r="G746" s="29" t="n"/>
      <c r="H746" s="29" t="n"/>
      <c r="I746" s="29" t="n"/>
      <c r="J746" s="29" t="n"/>
      <c r="K746" s="14" t="n"/>
      <c r="L746" s="29" t="n"/>
      <c r="M746" s="14" t="n"/>
      <c r="N746" s="29" t="n"/>
      <c r="O746" s="13" t="n"/>
      <c r="P746" s="13" t="n"/>
      <c r="Q746" s="35" t="n"/>
      <c r="R746" s="35" t="n"/>
      <c r="S746" s="35" t="n"/>
      <c r="T746" s="35" t="n"/>
      <c r="U746" s="35" t="n"/>
      <c r="V746" s="18">
        <f>IF(COUNTA($B746:$R746)=0,"",ROUND(N($R746)+N($S746)+N($T746)-N($U746),2))</f>
        <v/>
      </c>
      <c r="W746" s="18">
        <f>IF(COUNTA($B746:$R746)=0,"",IF(OR($X746="Pago",$X746="Recebido",$X746="Cancelado"),0,ROUND(N($Q746)+N($S746)+N($T746)-N($U746)-N($R746),2)))</f>
        <v/>
      </c>
      <c r="X746" s="14" t="n"/>
      <c r="Y746" s="17">
        <f>IF(COUNTA($B746:$R746)=0,"",IF($X746="Cancelado","Cancelado",IF(OR($X746="Pago",$X746="Recebido"),$X746,IF(OR($X746="Parcial",N($R746)&gt;0),"Parcial",IF($C746="","Sem vencimento",IF($C746&lt;TODAY(),"Vencido",IF($C746=TODAY(),"Vence hoje",IF($C746&lt;=TODAY()+7,"Vence em 7 dias",IF($C746&lt;=TODAY()+30,"Vence em 30 dias","Futuro")))))))))</f>
        <v/>
      </c>
      <c r="Z746" s="24">
        <f>IF($B746="","",MONTH($B746))</f>
        <v/>
      </c>
      <c r="AA746" s="24">
        <f>IF($B746="","",YEAR($B746))</f>
        <v/>
      </c>
      <c r="AB746" s="24">
        <f>IF($B746="","",ISOWEEKNUM($B746))</f>
        <v/>
      </c>
      <c r="AC746" s="17">
        <f>IF($B746="","",CHOOSE(WEEKDAY($B746,2),"Segunda","Terça","Quarta","Quinta","Sexta","Sábado","Domingo"))</f>
        <v/>
      </c>
      <c r="AD746" s="17">
        <f>IF($B746="","",TEXT($B746,"MM/AAAA"))</f>
        <v/>
      </c>
      <c r="AE746" s="18">
        <f>IF(COUNTA($B746:$R746)=0,"",IF($X746="Cancelado",0,ROUND(N($Q746)+N($S746)+N($T746)-N($U746),2)))</f>
        <v/>
      </c>
      <c r="AF746" s="9">
        <f>IF($G746="","",IFERROR(INDEX(LINHAS_DRE_PLANO,MATCH($G746,SUBCATEGORIAS_PLANO,0)),"Não classificado"))</f>
        <v/>
      </c>
      <c r="AG746" s="17">
        <f>IF($G746="","",IFERROR(INDEX(TIPOS_FLUXO_PLANO,MATCH($G746,SUBCATEGORIAS_PLANO,0)),"Não classificado"))</f>
        <v/>
      </c>
      <c r="AH746" s="9">
        <f>IF($G746="","",IFERROR(INDEX(GRUPOS_PLANO,MATCH($G746,SUBCATEGORIAS_PLANO,0)),"Não classificado"))</f>
        <v/>
      </c>
      <c r="AI746" s="24">
        <f>IF(OR($C746="",$X746="Pago",$X746="Recebido",$X746="Cancelado"),"",$C746-TODAY())</f>
        <v/>
      </c>
      <c r="AJ746" s="24">
        <f>IF(OR($C746="",$X746="Pago",$X746="Recebido",$X746="Cancelado"),0,MAX(0,TODAY()-$C746))</f>
        <v/>
      </c>
      <c r="AK746" s="24">
        <f>IF($D746="","",$D746-$B746)</f>
        <v/>
      </c>
      <c r="AL746" s="18">
        <f>IF(OR($D746="",$B746=""),"",ROUND(N($R746)*($D746-$B746),2))</f>
        <v/>
      </c>
      <c r="AM746" s="17">
        <f>IF(AND($E746="Saída",$W746&gt;0,$C746&lt;&gt;""),$C746+ROW()/1000000,"")</f>
        <v/>
      </c>
      <c r="AN746" s="17">
        <f>IF(AND($E746="Entrada",$W746&gt;0,$C746&lt;&gt;""),$C746+ROW()/1000000,"")</f>
        <v/>
      </c>
      <c r="AO746" s="9">
        <f>IF(COUNTA($B746:$R746)=0,"",IF(AND($I746&lt;&gt;"",COUNTIF(CLIENTES_NOMES,$I746)+COUNTIF(CLIENTES_FANTASIA,$I746)+COUNTIF(FORNECEDORES_NOMES,$I746)+COUNTIF(FORNECEDORES_FANTASIA,$I746)=0),"⚠ Cliente/Fornecedor não cadastrado",IF(AND($G746&lt;&gt;"",COUNTIF(SUBCATEGORIAS_PLANO,$G746)=0),"⚠ Subcategoria fora do plano de contas",IF(OR($Q746="",N($Q746)=0),"⚠ Valor previsto não informado",IF(AND(OR($X746="Pago",$X746="Recebido"),$D746=""),"⚠ Status pago/recebido sem data",IF(AND($D746&lt;&gt;"",N($R746)=0),"⚠ Data de pagamento sem valor realizado",IF(AND(N($P746)&gt;1,N($O746)&gt;N($P746)),"⚠ Nº da parcela maior que o total",IF(AND($C746&lt;&gt;"",$B746&lt;&gt;"",$C746&lt;$B746),"⚠ Vencimento anterior à competência","OK"))))))))</f>
        <v/>
      </c>
    </row>
    <row r="747">
      <c r="A747" s="14" t="n"/>
      <c r="B747" s="36" t="n"/>
      <c r="C747" s="36" t="n"/>
      <c r="D747" s="36" t="n"/>
      <c r="E747" s="14" t="n"/>
      <c r="F747" s="29" t="n"/>
      <c r="G747" s="29" t="n"/>
      <c r="H747" s="29" t="n"/>
      <c r="I747" s="29" t="n"/>
      <c r="J747" s="29" t="n"/>
      <c r="K747" s="14" t="n"/>
      <c r="L747" s="29" t="n"/>
      <c r="M747" s="14" t="n"/>
      <c r="N747" s="29" t="n"/>
      <c r="O747" s="13" t="n"/>
      <c r="P747" s="13" t="n"/>
      <c r="Q747" s="35" t="n"/>
      <c r="R747" s="35" t="n"/>
      <c r="S747" s="35" t="n"/>
      <c r="T747" s="35" t="n"/>
      <c r="U747" s="35" t="n"/>
      <c r="V747" s="18">
        <f>IF(COUNTA($B747:$R747)=0,"",ROUND(N($R747)+N($S747)+N($T747)-N($U747),2))</f>
        <v/>
      </c>
      <c r="W747" s="18">
        <f>IF(COUNTA($B747:$R747)=0,"",IF(OR($X747="Pago",$X747="Recebido",$X747="Cancelado"),0,ROUND(N($Q747)+N($S747)+N($T747)-N($U747)-N($R747),2)))</f>
        <v/>
      </c>
      <c r="X747" s="14" t="n"/>
      <c r="Y747" s="17">
        <f>IF(COUNTA($B747:$R747)=0,"",IF($X747="Cancelado","Cancelado",IF(OR($X747="Pago",$X747="Recebido"),$X747,IF(OR($X747="Parcial",N($R747)&gt;0),"Parcial",IF($C747="","Sem vencimento",IF($C747&lt;TODAY(),"Vencido",IF($C747=TODAY(),"Vence hoje",IF($C747&lt;=TODAY()+7,"Vence em 7 dias",IF($C747&lt;=TODAY()+30,"Vence em 30 dias","Futuro")))))))))</f>
        <v/>
      </c>
      <c r="Z747" s="24">
        <f>IF($B747="","",MONTH($B747))</f>
        <v/>
      </c>
      <c r="AA747" s="24">
        <f>IF($B747="","",YEAR($B747))</f>
        <v/>
      </c>
      <c r="AB747" s="24">
        <f>IF($B747="","",ISOWEEKNUM($B747))</f>
        <v/>
      </c>
      <c r="AC747" s="17">
        <f>IF($B747="","",CHOOSE(WEEKDAY($B747,2),"Segunda","Terça","Quarta","Quinta","Sexta","Sábado","Domingo"))</f>
        <v/>
      </c>
      <c r="AD747" s="17">
        <f>IF($B747="","",TEXT($B747,"MM/AAAA"))</f>
        <v/>
      </c>
      <c r="AE747" s="18">
        <f>IF(COUNTA($B747:$R747)=0,"",IF($X747="Cancelado",0,ROUND(N($Q747)+N($S747)+N($T747)-N($U747),2)))</f>
        <v/>
      </c>
      <c r="AF747" s="9">
        <f>IF($G747="","",IFERROR(INDEX(LINHAS_DRE_PLANO,MATCH($G747,SUBCATEGORIAS_PLANO,0)),"Não classificado"))</f>
        <v/>
      </c>
      <c r="AG747" s="17">
        <f>IF($G747="","",IFERROR(INDEX(TIPOS_FLUXO_PLANO,MATCH($G747,SUBCATEGORIAS_PLANO,0)),"Não classificado"))</f>
        <v/>
      </c>
      <c r="AH747" s="9">
        <f>IF($G747="","",IFERROR(INDEX(GRUPOS_PLANO,MATCH($G747,SUBCATEGORIAS_PLANO,0)),"Não classificado"))</f>
        <v/>
      </c>
      <c r="AI747" s="24">
        <f>IF(OR($C747="",$X747="Pago",$X747="Recebido",$X747="Cancelado"),"",$C747-TODAY())</f>
        <v/>
      </c>
      <c r="AJ747" s="24">
        <f>IF(OR($C747="",$X747="Pago",$X747="Recebido",$X747="Cancelado"),0,MAX(0,TODAY()-$C747))</f>
        <v/>
      </c>
      <c r="AK747" s="24">
        <f>IF($D747="","",$D747-$B747)</f>
        <v/>
      </c>
      <c r="AL747" s="18">
        <f>IF(OR($D747="",$B747=""),"",ROUND(N($R747)*($D747-$B747),2))</f>
        <v/>
      </c>
      <c r="AM747" s="17">
        <f>IF(AND($E747="Saída",$W747&gt;0,$C747&lt;&gt;""),$C747+ROW()/1000000,"")</f>
        <v/>
      </c>
      <c r="AN747" s="17">
        <f>IF(AND($E747="Entrada",$W747&gt;0,$C747&lt;&gt;""),$C747+ROW()/1000000,"")</f>
        <v/>
      </c>
      <c r="AO747" s="9">
        <f>IF(COUNTA($B747:$R747)=0,"",IF(AND($I747&lt;&gt;"",COUNTIF(CLIENTES_NOMES,$I747)+COUNTIF(CLIENTES_FANTASIA,$I747)+COUNTIF(FORNECEDORES_NOMES,$I747)+COUNTIF(FORNECEDORES_FANTASIA,$I747)=0),"⚠ Cliente/Fornecedor não cadastrado",IF(AND($G747&lt;&gt;"",COUNTIF(SUBCATEGORIAS_PLANO,$G747)=0),"⚠ Subcategoria fora do plano de contas",IF(OR($Q747="",N($Q747)=0),"⚠ Valor previsto não informado",IF(AND(OR($X747="Pago",$X747="Recebido"),$D747=""),"⚠ Status pago/recebido sem data",IF(AND($D747&lt;&gt;"",N($R747)=0),"⚠ Data de pagamento sem valor realizado",IF(AND(N($P747)&gt;1,N($O747)&gt;N($P747)),"⚠ Nº da parcela maior que o total",IF(AND($C747&lt;&gt;"",$B747&lt;&gt;"",$C747&lt;$B747),"⚠ Vencimento anterior à competência","OK"))))))))</f>
        <v/>
      </c>
    </row>
    <row r="748">
      <c r="A748" s="14" t="n"/>
      <c r="B748" s="36" t="n"/>
      <c r="C748" s="36" t="n"/>
      <c r="D748" s="36" t="n"/>
      <c r="E748" s="14" t="n"/>
      <c r="F748" s="29" t="n"/>
      <c r="G748" s="29" t="n"/>
      <c r="H748" s="29" t="n"/>
      <c r="I748" s="29" t="n"/>
      <c r="J748" s="29" t="n"/>
      <c r="K748" s="14" t="n"/>
      <c r="L748" s="29" t="n"/>
      <c r="M748" s="14" t="n"/>
      <c r="N748" s="29" t="n"/>
      <c r="O748" s="13" t="n"/>
      <c r="P748" s="13" t="n"/>
      <c r="Q748" s="35" t="n"/>
      <c r="R748" s="35" t="n"/>
      <c r="S748" s="35" t="n"/>
      <c r="T748" s="35" t="n"/>
      <c r="U748" s="35" t="n"/>
      <c r="V748" s="18">
        <f>IF(COUNTA($B748:$R748)=0,"",ROUND(N($R748)+N($S748)+N($T748)-N($U748),2))</f>
        <v/>
      </c>
      <c r="W748" s="18">
        <f>IF(COUNTA($B748:$R748)=0,"",IF(OR($X748="Pago",$X748="Recebido",$X748="Cancelado"),0,ROUND(N($Q748)+N($S748)+N($T748)-N($U748)-N($R748),2)))</f>
        <v/>
      </c>
      <c r="X748" s="14" t="n"/>
      <c r="Y748" s="17">
        <f>IF(COUNTA($B748:$R748)=0,"",IF($X748="Cancelado","Cancelado",IF(OR($X748="Pago",$X748="Recebido"),$X748,IF(OR($X748="Parcial",N($R748)&gt;0),"Parcial",IF($C748="","Sem vencimento",IF($C748&lt;TODAY(),"Vencido",IF($C748=TODAY(),"Vence hoje",IF($C748&lt;=TODAY()+7,"Vence em 7 dias",IF($C748&lt;=TODAY()+30,"Vence em 30 dias","Futuro")))))))))</f>
        <v/>
      </c>
      <c r="Z748" s="24">
        <f>IF($B748="","",MONTH($B748))</f>
        <v/>
      </c>
      <c r="AA748" s="24">
        <f>IF($B748="","",YEAR($B748))</f>
        <v/>
      </c>
      <c r="AB748" s="24">
        <f>IF($B748="","",ISOWEEKNUM($B748))</f>
        <v/>
      </c>
      <c r="AC748" s="17">
        <f>IF($B748="","",CHOOSE(WEEKDAY($B748,2),"Segunda","Terça","Quarta","Quinta","Sexta","Sábado","Domingo"))</f>
        <v/>
      </c>
      <c r="AD748" s="17">
        <f>IF($B748="","",TEXT($B748,"MM/AAAA"))</f>
        <v/>
      </c>
      <c r="AE748" s="18">
        <f>IF(COUNTA($B748:$R748)=0,"",IF($X748="Cancelado",0,ROUND(N($Q748)+N($S748)+N($T748)-N($U748),2)))</f>
        <v/>
      </c>
      <c r="AF748" s="9">
        <f>IF($G748="","",IFERROR(INDEX(LINHAS_DRE_PLANO,MATCH($G748,SUBCATEGORIAS_PLANO,0)),"Não classificado"))</f>
        <v/>
      </c>
      <c r="AG748" s="17">
        <f>IF($G748="","",IFERROR(INDEX(TIPOS_FLUXO_PLANO,MATCH($G748,SUBCATEGORIAS_PLANO,0)),"Não classificado"))</f>
        <v/>
      </c>
      <c r="AH748" s="9">
        <f>IF($G748="","",IFERROR(INDEX(GRUPOS_PLANO,MATCH($G748,SUBCATEGORIAS_PLANO,0)),"Não classificado"))</f>
        <v/>
      </c>
      <c r="AI748" s="24">
        <f>IF(OR($C748="",$X748="Pago",$X748="Recebido",$X748="Cancelado"),"",$C748-TODAY())</f>
        <v/>
      </c>
      <c r="AJ748" s="24">
        <f>IF(OR($C748="",$X748="Pago",$X748="Recebido",$X748="Cancelado"),0,MAX(0,TODAY()-$C748))</f>
        <v/>
      </c>
      <c r="AK748" s="24">
        <f>IF($D748="","",$D748-$B748)</f>
        <v/>
      </c>
      <c r="AL748" s="18">
        <f>IF(OR($D748="",$B748=""),"",ROUND(N($R748)*($D748-$B748),2))</f>
        <v/>
      </c>
      <c r="AM748" s="17">
        <f>IF(AND($E748="Saída",$W748&gt;0,$C748&lt;&gt;""),$C748+ROW()/1000000,"")</f>
        <v/>
      </c>
      <c r="AN748" s="17">
        <f>IF(AND($E748="Entrada",$W748&gt;0,$C748&lt;&gt;""),$C748+ROW()/1000000,"")</f>
        <v/>
      </c>
      <c r="AO748" s="9">
        <f>IF(COUNTA($B748:$R748)=0,"",IF(AND($I748&lt;&gt;"",COUNTIF(CLIENTES_NOMES,$I748)+COUNTIF(CLIENTES_FANTASIA,$I748)+COUNTIF(FORNECEDORES_NOMES,$I748)+COUNTIF(FORNECEDORES_FANTASIA,$I748)=0),"⚠ Cliente/Fornecedor não cadastrado",IF(AND($G748&lt;&gt;"",COUNTIF(SUBCATEGORIAS_PLANO,$G748)=0),"⚠ Subcategoria fora do plano de contas",IF(OR($Q748="",N($Q748)=0),"⚠ Valor previsto não informado",IF(AND(OR($X748="Pago",$X748="Recebido"),$D748=""),"⚠ Status pago/recebido sem data",IF(AND($D748&lt;&gt;"",N($R748)=0),"⚠ Data de pagamento sem valor realizado",IF(AND(N($P748)&gt;1,N($O748)&gt;N($P748)),"⚠ Nº da parcela maior que o total",IF(AND($C748&lt;&gt;"",$B748&lt;&gt;"",$C748&lt;$B748),"⚠ Vencimento anterior à competência","OK"))))))))</f>
        <v/>
      </c>
    </row>
    <row r="749">
      <c r="A749" s="14" t="n"/>
      <c r="B749" s="36" t="n"/>
      <c r="C749" s="36" t="n"/>
      <c r="D749" s="36" t="n"/>
      <c r="E749" s="14" t="n"/>
      <c r="F749" s="29" t="n"/>
      <c r="G749" s="29" t="n"/>
      <c r="H749" s="29" t="n"/>
      <c r="I749" s="29" t="n"/>
      <c r="J749" s="29" t="n"/>
      <c r="K749" s="14" t="n"/>
      <c r="L749" s="29" t="n"/>
      <c r="M749" s="14" t="n"/>
      <c r="N749" s="29" t="n"/>
      <c r="O749" s="13" t="n"/>
      <c r="P749" s="13" t="n"/>
      <c r="Q749" s="35" t="n"/>
      <c r="R749" s="35" t="n"/>
      <c r="S749" s="35" t="n"/>
      <c r="T749" s="35" t="n"/>
      <c r="U749" s="35" t="n"/>
      <c r="V749" s="18">
        <f>IF(COUNTA($B749:$R749)=0,"",ROUND(N($R749)+N($S749)+N($T749)-N($U749),2))</f>
        <v/>
      </c>
      <c r="W749" s="18">
        <f>IF(COUNTA($B749:$R749)=0,"",IF(OR($X749="Pago",$X749="Recebido",$X749="Cancelado"),0,ROUND(N($Q749)+N($S749)+N($T749)-N($U749)-N($R749),2)))</f>
        <v/>
      </c>
      <c r="X749" s="14" t="n"/>
      <c r="Y749" s="17">
        <f>IF(COUNTA($B749:$R749)=0,"",IF($X749="Cancelado","Cancelado",IF(OR($X749="Pago",$X749="Recebido"),$X749,IF(OR($X749="Parcial",N($R749)&gt;0),"Parcial",IF($C749="","Sem vencimento",IF($C749&lt;TODAY(),"Vencido",IF($C749=TODAY(),"Vence hoje",IF($C749&lt;=TODAY()+7,"Vence em 7 dias",IF($C749&lt;=TODAY()+30,"Vence em 30 dias","Futuro")))))))))</f>
        <v/>
      </c>
      <c r="Z749" s="24">
        <f>IF($B749="","",MONTH($B749))</f>
        <v/>
      </c>
      <c r="AA749" s="24">
        <f>IF($B749="","",YEAR($B749))</f>
        <v/>
      </c>
      <c r="AB749" s="24">
        <f>IF($B749="","",ISOWEEKNUM($B749))</f>
        <v/>
      </c>
      <c r="AC749" s="17">
        <f>IF($B749="","",CHOOSE(WEEKDAY($B749,2),"Segunda","Terça","Quarta","Quinta","Sexta","Sábado","Domingo"))</f>
        <v/>
      </c>
      <c r="AD749" s="17">
        <f>IF($B749="","",TEXT($B749,"MM/AAAA"))</f>
        <v/>
      </c>
      <c r="AE749" s="18">
        <f>IF(COUNTA($B749:$R749)=0,"",IF($X749="Cancelado",0,ROUND(N($Q749)+N($S749)+N($T749)-N($U749),2)))</f>
        <v/>
      </c>
      <c r="AF749" s="9">
        <f>IF($G749="","",IFERROR(INDEX(LINHAS_DRE_PLANO,MATCH($G749,SUBCATEGORIAS_PLANO,0)),"Não classificado"))</f>
        <v/>
      </c>
      <c r="AG749" s="17">
        <f>IF($G749="","",IFERROR(INDEX(TIPOS_FLUXO_PLANO,MATCH($G749,SUBCATEGORIAS_PLANO,0)),"Não classificado"))</f>
        <v/>
      </c>
      <c r="AH749" s="9">
        <f>IF($G749="","",IFERROR(INDEX(GRUPOS_PLANO,MATCH($G749,SUBCATEGORIAS_PLANO,0)),"Não classificado"))</f>
        <v/>
      </c>
      <c r="AI749" s="24">
        <f>IF(OR($C749="",$X749="Pago",$X749="Recebido",$X749="Cancelado"),"",$C749-TODAY())</f>
        <v/>
      </c>
      <c r="AJ749" s="24">
        <f>IF(OR($C749="",$X749="Pago",$X749="Recebido",$X749="Cancelado"),0,MAX(0,TODAY()-$C749))</f>
        <v/>
      </c>
      <c r="AK749" s="24">
        <f>IF($D749="","",$D749-$B749)</f>
        <v/>
      </c>
      <c r="AL749" s="18">
        <f>IF(OR($D749="",$B749=""),"",ROUND(N($R749)*($D749-$B749),2))</f>
        <v/>
      </c>
      <c r="AM749" s="17">
        <f>IF(AND($E749="Saída",$W749&gt;0,$C749&lt;&gt;""),$C749+ROW()/1000000,"")</f>
        <v/>
      </c>
      <c r="AN749" s="17">
        <f>IF(AND($E749="Entrada",$W749&gt;0,$C749&lt;&gt;""),$C749+ROW()/1000000,"")</f>
        <v/>
      </c>
      <c r="AO749" s="9">
        <f>IF(COUNTA($B749:$R749)=0,"",IF(AND($I749&lt;&gt;"",COUNTIF(CLIENTES_NOMES,$I749)+COUNTIF(CLIENTES_FANTASIA,$I749)+COUNTIF(FORNECEDORES_NOMES,$I749)+COUNTIF(FORNECEDORES_FANTASIA,$I749)=0),"⚠ Cliente/Fornecedor não cadastrado",IF(AND($G749&lt;&gt;"",COUNTIF(SUBCATEGORIAS_PLANO,$G749)=0),"⚠ Subcategoria fora do plano de contas",IF(OR($Q749="",N($Q749)=0),"⚠ Valor previsto não informado",IF(AND(OR($X749="Pago",$X749="Recebido"),$D749=""),"⚠ Status pago/recebido sem data",IF(AND($D749&lt;&gt;"",N($R749)=0),"⚠ Data de pagamento sem valor realizado",IF(AND(N($P749)&gt;1,N($O749)&gt;N($P749)),"⚠ Nº da parcela maior que o total",IF(AND($C749&lt;&gt;"",$B749&lt;&gt;"",$C749&lt;$B749),"⚠ Vencimento anterior à competência","OK"))))))))</f>
        <v/>
      </c>
    </row>
    <row r="750">
      <c r="A750" s="14" t="n"/>
      <c r="B750" s="36" t="n"/>
      <c r="C750" s="36" t="n"/>
      <c r="D750" s="36" t="n"/>
      <c r="E750" s="14" t="n"/>
      <c r="F750" s="29" t="n"/>
      <c r="G750" s="29" t="n"/>
      <c r="H750" s="29" t="n"/>
      <c r="I750" s="29" t="n"/>
      <c r="J750" s="29" t="n"/>
      <c r="K750" s="14" t="n"/>
      <c r="L750" s="29" t="n"/>
      <c r="M750" s="14" t="n"/>
      <c r="N750" s="29" t="n"/>
      <c r="O750" s="13" t="n"/>
      <c r="P750" s="13" t="n"/>
      <c r="Q750" s="35" t="n"/>
      <c r="R750" s="35" t="n"/>
      <c r="S750" s="35" t="n"/>
      <c r="T750" s="35" t="n"/>
      <c r="U750" s="35" t="n"/>
      <c r="V750" s="18">
        <f>IF(COUNTA($B750:$R750)=0,"",ROUND(N($R750)+N($S750)+N($T750)-N($U750),2))</f>
        <v/>
      </c>
      <c r="W750" s="18">
        <f>IF(COUNTA($B750:$R750)=0,"",IF(OR($X750="Pago",$X750="Recebido",$X750="Cancelado"),0,ROUND(N($Q750)+N($S750)+N($T750)-N($U750)-N($R750),2)))</f>
        <v/>
      </c>
      <c r="X750" s="14" t="n"/>
      <c r="Y750" s="17">
        <f>IF(COUNTA($B750:$R750)=0,"",IF($X750="Cancelado","Cancelado",IF(OR($X750="Pago",$X750="Recebido"),$X750,IF(OR($X750="Parcial",N($R750)&gt;0),"Parcial",IF($C750="","Sem vencimento",IF($C750&lt;TODAY(),"Vencido",IF($C750=TODAY(),"Vence hoje",IF($C750&lt;=TODAY()+7,"Vence em 7 dias",IF($C750&lt;=TODAY()+30,"Vence em 30 dias","Futuro")))))))))</f>
        <v/>
      </c>
      <c r="Z750" s="24">
        <f>IF($B750="","",MONTH($B750))</f>
        <v/>
      </c>
      <c r="AA750" s="24">
        <f>IF($B750="","",YEAR($B750))</f>
        <v/>
      </c>
      <c r="AB750" s="24">
        <f>IF($B750="","",ISOWEEKNUM($B750))</f>
        <v/>
      </c>
      <c r="AC750" s="17">
        <f>IF($B750="","",CHOOSE(WEEKDAY($B750,2),"Segunda","Terça","Quarta","Quinta","Sexta","Sábado","Domingo"))</f>
        <v/>
      </c>
      <c r="AD750" s="17">
        <f>IF($B750="","",TEXT($B750,"MM/AAAA"))</f>
        <v/>
      </c>
      <c r="AE750" s="18">
        <f>IF(COUNTA($B750:$R750)=0,"",IF($X750="Cancelado",0,ROUND(N($Q750)+N($S750)+N($T750)-N($U750),2)))</f>
        <v/>
      </c>
      <c r="AF750" s="9">
        <f>IF($G750="","",IFERROR(INDEX(LINHAS_DRE_PLANO,MATCH($G750,SUBCATEGORIAS_PLANO,0)),"Não classificado"))</f>
        <v/>
      </c>
      <c r="AG750" s="17">
        <f>IF($G750="","",IFERROR(INDEX(TIPOS_FLUXO_PLANO,MATCH($G750,SUBCATEGORIAS_PLANO,0)),"Não classificado"))</f>
        <v/>
      </c>
      <c r="AH750" s="9">
        <f>IF($G750="","",IFERROR(INDEX(GRUPOS_PLANO,MATCH($G750,SUBCATEGORIAS_PLANO,0)),"Não classificado"))</f>
        <v/>
      </c>
      <c r="AI750" s="24">
        <f>IF(OR($C750="",$X750="Pago",$X750="Recebido",$X750="Cancelado"),"",$C750-TODAY())</f>
        <v/>
      </c>
      <c r="AJ750" s="24">
        <f>IF(OR($C750="",$X750="Pago",$X750="Recebido",$X750="Cancelado"),0,MAX(0,TODAY()-$C750))</f>
        <v/>
      </c>
      <c r="AK750" s="24">
        <f>IF($D750="","",$D750-$B750)</f>
        <v/>
      </c>
      <c r="AL750" s="18">
        <f>IF(OR($D750="",$B750=""),"",ROUND(N($R750)*($D750-$B750),2))</f>
        <v/>
      </c>
      <c r="AM750" s="17">
        <f>IF(AND($E750="Saída",$W750&gt;0,$C750&lt;&gt;""),$C750+ROW()/1000000,"")</f>
        <v/>
      </c>
      <c r="AN750" s="17">
        <f>IF(AND($E750="Entrada",$W750&gt;0,$C750&lt;&gt;""),$C750+ROW()/1000000,"")</f>
        <v/>
      </c>
      <c r="AO750" s="9">
        <f>IF(COUNTA($B750:$R750)=0,"",IF(AND($I750&lt;&gt;"",COUNTIF(CLIENTES_NOMES,$I750)+COUNTIF(CLIENTES_FANTASIA,$I750)+COUNTIF(FORNECEDORES_NOMES,$I750)+COUNTIF(FORNECEDORES_FANTASIA,$I750)=0),"⚠ Cliente/Fornecedor não cadastrado",IF(AND($G750&lt;&gt;"",COUNTIF(SUBCATEGORIAS_PLANO,$G750)=0),"⚠ Subcategoria fora do plano de contas",IF(OR($Q750="",N($Q750)=0),"⚠ Valor previsto não informado",IF(AND(OR($X750="Pago",$X750="Recebido"),$D750=""),"⚠ Status pago/recebido sem data",IF(AND($D750&lt;&gt;"",N($R750)=0),"⚠ Data de pagamento sem valor realizado",IF(AND(N($P750)&gt;1,N($O750)&gt;N($P750)),"⚠ Nº da parcela maior que o total",IF(AND($C750&lt;&gt;"",$B750&lt;&gt;"",$C750&lt;$B750),"⚠ Vencimento anterior à competência","OK"))))))))</f>
        <v/>
      </c>
    </row>
    <row r="751">
      <c r="A751" s="14" t="n"/>
      <c r="B751" s="36" t="n"/>
      <c r="C751" s="36" t="n"/>
      <c r="D751" s="36" t="n"/>
      <c r="E751" s="14" t="n"/>
      <c r="F751" s="29" t="n"/>
      <c r="G751" s="29" t="n"/>
      <c r="H751" s="29" t="n"/>
      <c r="I751" s="29" t="n"/>
      <c r="J751" s="29" t="n"/>
      <c r="K751" s="14" t="n"/>
      <c r="L751" s="29" t="n"/>
      <c r="M751" s="14" t="n"/>
      <c r="N751" s="29" t="n"/>
      <c r="O751" s="13" t="n"/>
      <c r="P751" s="13" t="n"/>
      <c r="Q751" s="35" t="n"/>
      <c r="R751" s="35" t="n"/>
      <c r="S751" s="35" t="n"/>
      <c r="T751" s="35" t="n"/>
      <c r="U751" s="35" t="n"/>
      <c r="V751" s="18">
        <f>IF(COUNTA($B751:$R751)=0,"",ROUND(N($R751)+N($S751)+N($T751)-N($U751),2))</f>
        <v/>
      </c>
      <c r="W751" s="18">
        <f>IF(COUNTA($B751:$R751)=0,"",IF(OR($X751="Pago",$X751="Recebido",$X751="Cancelado"),0,ROUND(N($Q751)+N($S751)+N($T751)-N($U751)-N($R751),2)))</f>
        <v/>
      </c>
      <c r="X751" s="14" t="n"/>
      <c r="Y751" s="17">
        <f>IF(COUNTA($B751:$R751)=0,"",IF($X751="Cancelado","Cancelado",IF(OR($X751="Pago",$X751="Recebido"),$X751,IF(OR($X751="Parcial",N($R751)&gt;0),"Parcial",IF($C751="","Sem vencimento",IF($C751&lt;TODAY(),"Vencido",IF($C751=TODAY(),"Vence hoje",IF($C751&lt;=TODAY()+7,"Vence em 7 dias",IF($C751&lt;=TODAY()+30,"Vence em 30 dias","Futuro")))))))))</f>
        <v/>
      </c>
      <c r="Z751" s="24">
        <f>IF($B751="","",MONTH($B751))</f>
        <v/>
      </c>
      <c r="AA751" s="24">
        <f>IF($B751="","",YEAR($B751))</f>
        <v/>
      </c>
      <c r="AB751" s="24">
        <f>IF($B751="","",ISOWEEKNUM($B751))</f>
        <v/>
      </c>
      <c r="AC751" s="17">
        <f>IF($B751="","",CHOOSE(WEEKDAY($B751,2),"Segunda","Terça","Quarta","Quinta","Sexta","Sábado","Domingo"))</f>
        <v/>
      </c>
      <c r="AD751" s="17">
        <f>IF($B751="","",TEXT($B751,"MM/AAAA"))</f>
        <v/>
      </c>
      <c r="AE751" s="18">
        <f>IF(COUNTA($B751:$R751)=0,"",IF($X751="Cancelado",0,ROUND(N($Q751)+N($S751)+N($T751)-N($U751),2)))</f>
        <v/>
      </c>
      <c r="AF751" s="9">
        <f>IF($G751="","",IFERROR(INDEX(LINHAS_DRE_PLANO,MATCH($G751,SUBCATEGORIAS_PLANO,0)),"Não classificado"))</f>
        <v/>
      </c>
      <c r="AG751" s="17">
        <f>IF($G751="","",IFERROR(INDEX(TIPOS_FLUXO_PLANO,MATCH($G751,SUBCATEGORIAS_PLANO,0)),"Não classificado"))</f>
        <v/>
      </c>
      <c r="AH751" s="9">
        <f>IF($G751="","",IFERROR(INDEX(GRUPOS_PLANO,MATCH($G751,SUBCATEGORIAS_PLANO,0)),"Não classificado"))</f>
        <v/>
      </c>
      <c r="AI751" s="24">
        <f>IF(OR($C751="",$X751="Pago",$X751="Recebido",$X751="Cancelado"),"",$C751-TODAY())</f>
        <v/>
      </c>
      <c r="AJ751" s="24">
        <f>IF(OR($C751="",$X751="Pago",$X751="Recebido",$X751="Cancelado"),0,MAX(0,TODAY()-$C751))</f>
        <v/>
      </c>
      <c r="AK751" s="24">
        <f>IF($D751="","",$D751-$B751)</f>
        <v/>
      </c>
      <c r="AL751" s="18">
        <f>IF(OR($D751="",$B751=""),"",ROUND(N($R751)*($D751-$B751),2))</f>
        <v/>
      </c>
      <c r="AM751" s="17">
        <f>IF(AND($E751="Saída",$W751&gt;0,$C751&lt;&gt;""),$C751+ROW()/1000000,"")</f>
        <v/>
      </c>
      <c r="AN751" s="17">
        <f>IF(AND($E751="Entrada",$W751&gt;0,$C751&lt;&gt;""),$C751+ROW()/1000000,"")</f>
        <v/>
      </c>
      <c r="AO751" s="9">
        <f>IF(COUNTA($B751:$R751)=0,"",IF(AND($I751&lt;&gt;"",COUNTIF(CLIENTES_NOMES,$I751)+COUNTIF(CLIENTES_FANTASIA,$I751)+COUNTIF(FORNECEDORES_NOMES,$I751)+COUNTIF(FORNECEDORES_FANTASIA,$I751)=0),"⚠ Cliente/Fornecedor não cadastrado",IF(AND($G751&lt;&gt;"",COUNTIF(SUBCATEGORIAS_PLANO,$G751)=0),"⚠ Subcategoria fora do plano de contas",IF(OR($Q751="",N($Q751)=0),"⚠ Valor previsto não informado",IF(AND(OR($X751="Pago",$X751="Recebido"),$D751=""),"⚠ Status pago/recebido sem data",IF(AND($D751&lt;&gt;"",N($R751)=0),"⚠ Data de pagamento sem valor realizado",IF(AND(N($P751)&gt;1,N($O751)&gt;N($P751)),"⚠ Nº da parcela maior que o total",IF(AND($C751&lt;&gt;"",$B751&lt;&gt;"",$C751&lt;$B751),"⚠ Vencimento anterior à competência","OK"))))))))</f>
        <v/>
      </c>
    </row>
    <row r="752">
      <c r="A752" s="14" t="n"/>
      <c r="B752" s="36" t="n"/>
      <c r="C752" s="36" t="n"/>
      <c r="D752" s="36" t="n"/>
      <c r="E752" s="14" t="n"/>
      <c r="F752" s="29" t="n"/>
      <c r="G752" s="29" t="n"/>
      <c r="H752" s="29" t="n"/>
      <c r="I752" s="29" t="n"/>
      <c r="J752" s="29" t="n"/>
      <c r="K752" s="14" t="n"/>
      <c r="L752" s="29" t="n"/>
      <c r="M752" s="14" t="n"/>
      <c r="N752" s="29" t="n"/>
      <c r="O752" s="13" t="n"/>
      <c r="P752" s="13" t="n"/>
      <c r="Q752" s="35" t="n"/>
      <c r="R752" s="35" t="n"/>
      <c r="S752" s="35" t="n"/>
      <c r="T752" s="35" t="n"/>
      <c r="U752" s="35" t="n"/>
      <c r="V752" s="18">
        <f>IF(COUNTA($B752:$R752)=0,"",ROUND(N($R752)+N($S752)+N($T752)-N($U752),2))</f>
        <v/>
      </c>
      <c r="W752" s="18">
        <f>IF(COUNTA($B752:$R752)=0,"",IF(OR($X752="Pago",$X752="Recebido",$X752="Cancelado"),0,ROUND(N($Q752)+N($S752)+N($T752)-N($U752)-N($R752),2)))</f>
        <v/>
      </c>
      <c r="X752" s="14" t="n"/>
      <c r="Y752" s="17">
        <f>IF(COUNTA($B752:$R752)=0,"",IF($X752="Cancelado","Cancelado",IF(OR($X752="Pago",$X752="Recebido"),$X752,IF(OR($X752="Parcial",N($R752)&gt;0),"Parcial",IF($C752="","Sem vencimento",IF($C752&lt;TODAY(),"Vencido",IF($C752=TODAY(),"Vence hoje",IF($C752&lt;=TODAY()+7,"Vence em 7 dias",IF($C752&lt;=TODAY()+30,"Vence em 30 dias","Futuro")))))))))</f>
        <v/>
      </c>
      <c r="Z752" s="24">
        <f>IF($B752="","",MONTH($B752))</f>
        <v/>
      </c>
      <c r="AA752" s="24">
        <f>IF($B752="","",YEAR($B752))</f>
        <v/>
      </c>
      <c r="AB752" s="24">
        <f>IF($B752="","",ISOWEEKNUM($B752))</f>
        <v/>
      </c>
      <c r="AC752" s="17">
        <f>IF($B752="","",CHOOSE(WEEKDAY($B752,2),"Segunda","Terça","Quarta","Quinta","Sexta","Sábado","Domingo"))</f>
        <v/>
      </c>
      <c r="AD752" s="17">
        <f>IF($B752="","",TEXT($B752,"MM/AAAA"))</f>
        <v/>
      </c>
      <c r="AE752" s="18">
        <f>IF(COUNTA($B752:$R752)=0,"",IF($X752="Cancelado",0,ROUND(N($Q752)+N($S752)+N($T752)-N($U752),2)))</f>
        <v/>
      </c>
      <c r="AF752" s="9">
        <f>IF($G752="","",IFERROR(INDEX(LINHAS_DRE_PLANO,MATCH($G752,SUBCATEGORIAS_PLANO,0)),"Não classificado"))</f>
        <v/>
      </c>
      <c r="AG752" s="17">
        <f>IF($G752="","",IFERROR(INDEX(TIPOS_FLUXO_PLANO,MATCH($G752,SUBCATEGORIAS_PLANO,0)),"Não classificado"))</f>
        <v/>
      </c>
      <c r="AH752" s="9">
        <f>IF($G752="","",IFERROR(INDEX(GRUPOS_PLANO,MATCH($G752,SUBCATEGORIAS_PLANO,0)),"Não classificado"))</f>
        <v/>
      </c>
      <c r="AI752" s="24">
        <f>IF(OR($C752="",$X752="Pago",$X752="Recebido",$X752="Cancelado"),"",$C752-TODAY())</f>
        <v/>
      </c>
      <c r="AJ752" s="24">
        <f>IF(OR($C752="",$X752="Pago",$X752="Recebido",$X752="Cancelado"),0,MAX(0,TODAY()-$C752))</f>
        <v/>
      </c>
      <c r="AK752" s="24">
        <f>IF($D752="","",$D752-$B752)</f>
        <v/>
      </c>
      <c r="AL752" s="18">
        <f>IF(OR($D752="",$B752=""),"",ROUND(N($R752)*($D752-$B752),2))</f>
        <v/>
      </c>
      <c r="AM752" s="17">
        <f>IF(AND($E752="Saída",$W752&gt;0,$C752&lt;&gt;""),$C752+ROW()/1000000,"")</f>
        <v/>
      </c>
      <c r="AN752" s="17">
        <f>IF(AND($E752="Entrada",$W752&gt;0,$C752&lt;&gt;""),$C752+ROW()/1000000,"")</f>
        <v/>
      </c>
      <c r="AO752" s="9">
        <f>IF(COUNTA($B752:$R752)=0,"",IF(AND($I752&lt;&gt;"",COUNTIF(CLIENTES_NOMES,$I752)+COUNTIF(CLIENTES_FANTASIA,$I752)+COUNTIF(FORNECEDORES_NOMES,$I752)+COUNTIF(FORNECEDORES_FANTASIA,$I752)=0),"⚠ Cliente/Fornecedor não cadastrado",IF(AND($G752&lt;&gt;"",COUNTIF(SUBCATEGORIAS_PLANO,$G752)=0),"⚠ Subcategoria fora do plano de contas",IF(OR($Q752="",N($Q752)=0),"⚠ Valor previsto não informado",IF(AND(OR($X752="Pago",$X752="Recebido"),$D752=""),"⚠ Status pago/recebido sem data",IF(AND($D752&lt;&gt;"",N($R752)=0),"⚠ Data de pagamento sem valor realizado",IF(AND(N($P752)&gt;1,N($O752)&gt;N($P752)),"⚠ Nº da parcela maior que o total",IF(AND($C752&lt;&gt;"",$B752&lt;&gt;"",$C752&lt;$B752),"⚠ Vencimento anterior à competência","OK"))))))))</f>
        <v/>
      </c>
    </row>
    <row r="753">
      <c r="A753" s="14" t="n"/>
      <c r="B753" s="36" t="n"/>
      <c r="C753" s="36" t="n"/>
      <c r="D753" s="36" t="n"/>
      <c r="E753" s="14" t="n"/>
      <c r="F753" s="29" t="n"/>
      <c r="G753" s="29" t="n"/>
      <c r="H753" s="29" t="n"/>
      <c r="I753" s="29" t="n"/>
      <c r="J753" s="29" t="n"/>
      <c r="K753" s="14" t="n"/>
      <c r="L753" s="29" t="n"/>
      <c r="M753" s="14" t="n"/>
      <c r="N753" s="29" t="n"/>
      <c r="O753" s="13" t="n"/>
      <c r="P753" s="13" t="n"/>
      <c r="Q753" s="35" t="n"/>
      <c r="R753" s="35" t="n"/>
      <c r="S753" s="35" t="n"/>
      <c r="T753" s="35" t="n"/>
      <c r="U753" s="35" t="n"/>
      <c r="V753" s="18">
        <f>IF(COUNTA($B753:$R753)=0,"",ROUND(N($R753)+N($S753)+N($T753)-N($U753),2))</f>
        <v/>
      </c>
      <c r="W753" s="18">
        <f>IF(COUNTA($B753:$R753)=0,"",IF(OR($X753="Pago",$X753="Recebido",$X753="Cancelado"),0,ROUND(N($Q753)+N($S753)+N($T753)-N($U753)-N($R753),2)))</f>
        <v/>
      </c>
      <c r="X753" s="14" t="n"/>
      <c r="Y753" s="17">
        <f>IF(COUNTA($B753:$R753)=0,"",IF($X753="Cancelado","Cancelado",IF(OR($X753="Pago",$X753="Recebido"),$X753,IF(OR($X753="Parcial",N($R753)&gt;0),"Parcial",IF($C753="","Sem vencimento",IF($C753&lt;TODAY(),"Vencido",IF($C753=TODAY(),"Vence hoje",IF($C753&lt;=TODAY()+7,"Vence em 7 dias",IF($C753&lt;=TODAY()+30,"Vence em 30 dias","Futuro")))))))))</f>
        <v/>
      </c>
      <c r="Z753" s="24">
        <f>IF($B753="","",MONTH($B753))</f>
        <v/>
      </c>
      <c r="AA753" s="24">
        <f>IF($B753="","",YEAR($B753))</f>
        <v/>
      </c>
      <c r="AB753" s="24">
        <f>IF($B753="","",ISOWEEKNUM($B753))</f>
        <v/>
      </c>
      <c r="AC753" s="17">
        <f>IF($B753="","",CHOOSE(WEEKDAY($B753,2),"Segunda","Terça","Quarta","Quinta","Sexta","Sábado","Domingo"))</f>
        <v/>
      </c>
      <c r="AD753" s="17">
        <f>IF($B753="","",TEXT($B753,"MM/AAAA"))</f>
        <v/>
      </c>
      <c r="AE753" s="18">
        <f>IF(COUNTA($B753:$R753)=0,"",IF($X753="Cancelado",0,ROUND(N($Q753)+N($S753)+N($T753)-N($U753),2)))</f>
        <v/>
      </c>
      <c r="AF753" s="9">
        <f>IF($G753="","",IFERROR(INDEX(LINHAS_DRE_PLANO,MATCH($G753,SUBCATEGORIAS_PLANO,0)),"Não classificado"))</f>
        <v/>
      </c>
      <c r="AG753" s="17">
        <f>IF($G753="","",IFERROR(INDEX(TIPOS_FLUXO_PLANO,MATCH($G753,SUBCATEGORIAS_PLANO,0)),"Não classificado"))</f>
        <v/>
      </c>
      <c r="AH753" s="9">
        <f>IF($G753="","",IFERROR(INDEX(GRUPOS_PLANO,MATCH($G753,SUBCATEGORIAS_PLANO,0)),"Não classificado"))</f>
        <v/>
      </c>
      <c r="AI753" s="24">
        <f>IF(OR($C753="",$X753="Pago",$X753="Recebido",$X753="Cancelado"),"",$C753-TODAY())</f>
        <v/>
      </c>
      <c r="AJ753" s="24">
        <f>IF(OR($C753="",$X753="Pago",$X753="Recebido",$X753="Cancelado"),0,MAX(0,TODAY()-$C753))</f>
        <v/>
      </c>
      <c r="AK753" s="24">
        <f>IF($D753="","",$D753-$B753)</f>
        <v/>
      </c>
      <c r="AL753" s="18">
        <f>IF(OR($D753="",$B753=""),"",ROUND(N($R753)*($D753-$B753),2))</f>
        <v/>
      </c>
      <c r="AM753" s="17">
        <f>IF(AND($E753="Saída",$W753&gt;0,$C753&lt;&gt;""),$C753+ROW()/1000000,"")</f>
        <v/>
      </c>
      <c r="AN753" s="17">
        <f>IF(AND($E753="Entrada",$W753&gt;0,$C753&lt;&gt;""),$C753+ROW()/1000000,"")</f>
        <v/>
      </c>
      <c r="AO753" s="9">
        <f>IF(COUNTA($B753:$R753)=0,"",IF(AND($I753&lt;&gt;"",COUNTIF(CLIENTES_NOMES,$I753)+COUNTIF(CLIENTES_FANTASIA,$I753)+COUNTIF(FORNECEDORES_NOMES,$I753)+COUNTIF(FORNECEDORES_FANTASIA,$I753)=0),"⚠ Cliente/Fornecedor não cadastrado",IF(AND($G753&lt;&gt;"",COUNTIF(SUBCATEGORIAS_PLANO,$G753)=0),"⚠ Subcategoria fora do plano de contas",IF(OR($Q753="",N($Q753)=0),"⚠ Valor previsto não informado",IF(AND(OR($X753="Pago",$X753="Recebido"),$D753=""),"⚠ Status pago/recebido sem data",IF(AND($D753&lt;&gt;"",N($R753)=0),"⚠ Data de pagamento sem valor realizado",IF(AND(N($P753)&gt;1,N($O753)&gt;N($P753)),"⚠ Nº da parcela maior que o total",IF(AND($C753&lt;&gt;"",$B753&lt;&gt;"",$C753&lt;$B753),"⚠ Vencimento anterior à competência","OK"))))))))</f>
        <v/>
      </c>
    </row>
    <row r="754">
      <c r="A754" s="14" t="n"/>
      <c r="B754" s="36" t="n"/>
      <c r="C754" s="36" t="n"/>
      <c r="D754" s="36" t="n"/>
      <c r="E754" s="14" t="n"/>
      <c r="F754" s="29" t="n"/>
      <c r="G754" s="29" t="n"/>
      <c r="H754" s="29" t="n"/>
      <c r="I754" s="29" t="n"/>
      <c r="J754" s="29" t="n"/>
      <c r="K754" s="14" t="n"/>
      <c r="L754" s="29" t="n"/>
      <c r="M754" s="14" t="n"/>
      <c r="N754" s="29" t="n"/>
      <c r="O754" s="13" t="n"/>
      <c r="P754" s="13" t="n"/>
      <c r="Q754" s="35" t="n"/>
      <c r="R754" s="35" t="n"/>
      <c r="S754" s="35" t="n"/>
      <c r="T754" s="35" t="n"/>
      <c r="U754" s="35" t="n"/>
      <c r="V754" s="18">
        <f>IF(COUNTA($B754:$R754)=0,"",ROUND(N($R754)+N($S754)+N($T754)-N($U754),2))</f>
        <v/>
      </c>
      <c r="W754" s="18">
        <f>IF(COUNTA($B754:$R754)=0,"",IF(OR($X754="Pago",$X754="Recebido",$X754="Cancelado"),0,ROUND(N($Q754)+N($S754)+N($T754)-N($U754)-N($R754),2)))</f>
        <v/>
      </c>
      <c r="X754" s="14" t="n"/>
      <c r="Y754" s="17">
        <f>IF(COUNTA($B754:$R754)=0,"",IF($X754="Cancelado","Cancelado",IF(OR($X754="Pago",$X754="Recebido"),$X754,IF(OR($X754="Parcial",N($R754)&gt;0),"Parcial",IF($C754="","Sem vencimento",IF($C754&lt;TODAY(),"Vencido",IF($C754=TODAY(),"Vence hoje",IF($C754&lt;=TODAY()+7,"Vence em 7 dias",IF($C754&lt;=TODAY()+30,"Vence em 30 dias","Futuro")))))))))</f>
        <v/>
      </c>
      <c r="Z754" s="24">
        <f>IF($B754="","",MONTH($B754))</f>
        <v/>
      </c>
      <c r="AA754" s="24">
        <f>IF($B754="","",YEAR($B754))</f>
        <v/>
      </c>
      <c r="AB754" s="24">
        <f>IF($B754="","",ISOWEEKNUM($B754))</f>
        <v/>
      </c>
      <c r="AC754" s="17">
        <f>IF($B754="","",CHOOSE(WEEKDAY($B754,2),"Segunda","Terça","Quarta","Quinta","Sexta","Sábado","Domingo"))</f>
        <v/>
      </c>
      <c r="AD754" s="17">
        <f>IF($B754="","",TEXT($B754,"MM/AAAA"))</f>
        <v/>
      </c>
      <c r="AE754" s="18">
        <f>IF(COUNTA($B754:$R754)=0,"",IF($X754="Cancelado",0,ROUND(N($Q754)+N($S754)+N($T754)-N($U754),2)))</f>
        <v/>
      </c>
      <c r="AF754" s="9">
        <f>IF($G754="","",IFERROR(INDEX(LINHAS_DRE_PLANO,MATCH($G754,SUBCATEGORIAS_PLANO,0)),"Não classificado"))</f>
        <v/>
      </c>
      <c r="AG754" s="17">
        <f>IF($G754="","",IFERROR(INDEX(TIPOS_FLUXO_PLANO,MATCH($G754,SUBCATEGORIAS_PLANO,0)),"Não classificado"))</f>
        <v/>
      </c>
      <c r="AH754" s="9">
        <f>IF($G754="","",IFERROR(INDEX(GRUPOS_PLANO,MATCH($G754,SUBCATEGORIAS_PLANO,0)),"Não classificado"))</f>
        <v/>
      </c>
      <c r="AI754" s="24">
        <f>IF(OR($C754="",$X754="Pago",$X754="Recebido",$X754="Cancelado"),"",$C754-TODAY())</f>
        <v/>
      </c>
      <c r="AJ754" s="24">
        <f>IF(OR($C754="",$X754="Pago",$X754="Recebido",$X754="Cancelado"),0,MAX(0,TODAY()-$C754))</f>
        <v/>
      </c>
      <c r="AK754" s="24">
        <f>IF($D754="","",$D754-$B754)</f>
        <v/>
      </c>
      <c r="AL754" s="18">
        <f>IF(OR($D754="",$B754=""),"",ROUND(N($R754)*($D754-$B754),2))</f>
        <v/>
      </c>
      <c r="AM754" s="17">
        <f>IF(AND($E754="Saída",$W754&gt;0,$C754&lt;&gt;""),$C754+ROW()/1000000,"")</f>
        <v/>
      </c>
      <c r="AN754" s="17">
        <f>IF(AND($E754="Entrada",$W754&gt;0,$C754&lt;&gt;""),$C754+ROW()/1000000,"")</f>
        <v/>
      </c>
      <c r="AO754" s="9">
        <f>IF(COUNTA($B754:$R754)=0,"",IF(AND($I754&lt;&gt;"",COUNTIF(CLIENTES_NOMES,$I754)+COUNTIF(CLIENTES_FANTASIA,$I754)+COUNTIF(FORNECEDORES_NOMES,$I754)+COUNTIF(FORNECEDORES_FANTASIA,$I754)=0),"⚠ Cliente/Fornecedor não cadastrado",IF(AND($G754&lt;&gt;"",COUNTIF(SUBCATEGORIAS_PLANO,$G754)=0),"⚠ Subcategoria fora do plano de contas",IF(OR($Q754="",N($Q754)=0),"⚠ Valor previsto não informado",IF(AND(OR($X754="Pago",$X754="Recebido"),$D754=""),"⚠ Status pago/recebido sem data",IF(AND($D754&lt;&gt;"",N($R754)=0),"⚠ Data de pagamento sem valor realizado",IF(AND(N($P754)&gt;1,N($O754)&gt;N($P754)),"⚠ Nº da parcela maior que o total",IF(AND($C754&lt;&gt;"",$B754&lt;&gt;"",$C754&lt;$B754),"⚠ Vencimento anterior à competência","OK"))))))))</f>
        <v/>
      </c>
    </row>
    <row r="755">
      <c r="A755" s="14" t="n"/>
      <c r="B755" s="36" t="n"/>
      <c r="C755" s="36" t="n"/>
      <c r="D755" s="36" t="n"/>
      <c r="E755" s="14" t="n"/>
      <c r="F755" s="29" t="n"/>
      <c r="G755" s="29" t="n"/>
      <c r="H755" s="29" t="n"/>
      <c r="I755" s="29" t="n"/>
      <c r="J755" s="29" t="n"/>
      <c r="K755" s="14" t="n"/>
      <c r="L755" s="29" t="n"/>
      <c r="M755" s="14" t="n"/>
      <c r="N755" s="29" t="n"/>
      <c r="O755" s="13" t="n"/>
      <c r="P755" s="13" t="n"/>
      <c r="Q755" s="35" t="n"/>
      <c r="R755" s="35" t="n"/>
      <c r="S755" s="35" t="n"/>
      <c r="T755" s="35" t="n"/>
      <c r="U755" s="35" t="n"/>
      <c r="V755" s="18">
        <f>IF(COUNTA($B755:$R755)=0,"",ROUND(N($R755)+N($S755)+N($T755)-N($U755),2))</f>
        <v/>
      </c>
      <c r="W755" s="18">
        <f>IF(COUNTA($B755:$R755)=0,"",IF(OR($X755="Pago",$X755="Recebido",$X755="Cancelado"),0,ROUND(N($Q755)+N($S755)+N($T755)-N($U755)-N($R755),2)))</f>
        <v/>
      </c>
      <c r="X755" s="14" t="n"/>
      <c r="Y755" s="17">
        <f>IF(COUNTA($B755:$R755)=0,"",IF($X755="Cancelado","Cancelado",IF(OR($X755="Pago",$X755="Recebido"),$X755,IF(OR($X755="Parcial",N($R755)&gt;0),"Parcial",IF($C755="","Sem vencimento",IF($C755&lt;TODAY(),"Vencido",IF($C755=TODAY(),"Vence hoje",IF($C755&lt;=TODAY()+7,"Vence em 7 dias",IF($C755&lt;=TODAY()+30,"Vence em 30 dias","Futuro")))))))))</f>
        <v/>
      </c>
      <c r="Z755" s="24">
        <f>IF($B755="","",MONTH($B755))</f>
        <v/>
      </c>
      <c r="AA755" s="24">
        <f>IF($B755="","",YEAR($B755))</f>
        <v/>
      </c>
      <c r="AB755" s="24">
        <f>IF($B755="","",ISOWEEKNUM($B755))</f>
        <v/>
      </c>
      <c r="AC755" s="17">
        <f>IF($B755="","",CHOOSE(WEEKDAY($B755,2),"Segunda","Terça","Quarta","Quinta","Sexta","Sábado","Domingo"))</f>
        <v/>
      </c>
      <c r="AD755" s="17">
        <f>IF($B755="","",TEXT($B755,"MM/AAAA"))</f>
        <v/>
      </c>
      <c r="AE755" s="18">
        <f>IF(COUNTA($B755:$R755)=0,"",IF($X755="Cancelado",0,ROUND(N($Q755)+N($S755)+N($T755)-N($U755),2)))</f>
        <v/>
      </c>
      <c r="AF755" s="9">
        <f>IF($G755="","",IFERROR(INDEX(LINHAS_DRE_PLANO,MATCH($G755,SUBCATEGORIAS_PLANO,0)),"Não classificado"))</f>
        <v/>
      </c>
      <c r="AG755" s="17">
        <f>IF($G755="","",IFERROR(INDEX(TIPOS_FLUXO_PLANO,MATCH($G755,SUBCATEGORIAS_PLANO,0)),"Não classificado"))</f>
        <v/>
      </c>
      <c r="AH755" s="9">
        <f>IF($G755="","",IFERROR(INDEX(GRUPOS_PLANO,MATCH($G755,SUBCATEGORIAS_PLANO,0)),"Não classificado"))</f>
        <v/>
      </c>
      <c r="AI755" s="24">
        <f>IF(OR($C755="",$X755="Pago",$X755="Recebido",$X755="Cancelado"),"",$C755-TODAY())</f>
        <v/>
      </c>
      <c r="AJ755" s="24">
        <f>IF(OR($C755="",$X755="Pago",$X755="Recebido",$X755="Cancelado"),0,MAX(0,TODAY()-$C755))</f>
        <v/>
      </c>
      <c r="AK755" s="24">
        <f>IF($D755="","",$D755-$B755)</f>
        <v/>
      </c>
      <c r="AL755" s="18">
        <f>IF(OR($D755="",$B755=""),"",ROUND(N($R755)*($D755-$B755),2))</f>
        <v/>
      </c>
      <c r="AM755" s="17">
        <f>IF(AND($E755="Saída",$W755&gt;0,$C755&lt;&gt;""),$C755+ROW()/1000000,"")</f>
        <v/>
      </c>
      <c r="AN755" s="17">
        <f>IF(AND($E755="Entrada",$W755&gt;0,$C755&lt;&gt;""),$C755+ROW()/1000000,"")</f>
        <v/>
      </c>
      <c r="AO755" s="9">
        <f>IF(COUNTA($B755:$R755)=0,"",IF(AND($I755&lt;&gt;"",COUNTIF(CLIENTES_NOMES,$I755)+COUNTIF(CLIENTES_FANTASIA,$I755)+COUNTIF(FORNECEDORES_NOMES,$I755)+COUNTIF(FORNECEDORES_FANTASIA,$I755)=0),"⚠ Cliente/Fornecedor não cadastrado",IF(AND($G755&lt;&gt;"",COUNTIF(SUBCATEGORIAS_PLANO,$G755)=0),"⚠ Subcategoria fora do plano de contas",IF(OR($Q755="",N($Q755)=0),"⚠ Valor previsto não informado",IF(AND(OR($X755="Pago",$X755="Recebido"),$D755=""),"⚠ Status pago/recebido sem data",IF(AND($D755&lt;&gt;"",N($R755)=0),"⚠ Data de pagamento sem valor realizado",IF(AND(N($P755)&gt;1,N($O755)&gt;N($P755)),"⚠ Nº da parcela maior que o total",IF(AND($C755&lt;&gt;"",$B755&lt;&gt;"",$C755&lt;$B755),"⚠ Vencimento anterior à competência","OK"))))))))</f>
        <v/>
      </c>
    </row>
    <row r="756">
      <c r="A756" s="14" t="n"/>
      <c r="B756" s="36" t="n"/>
      <c r="C756" s="36" t="n"/>
      <c r="D756" s="36" t="n"/>
      <c r="E756" s="14" t="n"/>
      <c r="F756" s="29" t="n"/>
      <c r="G756" s="29" t="n"/>
      <c r="H756" s="29" t="n"/>
      <c r="I756" s="29" t="n"/>
      <c r="J756" s="29" t="n"/>
      <c r="K756" s="14" t="n"/>
      <c r="L756" s="29" t="n"/>
      <c r="M756" s="14" t="n"/>
      <c r="N756" s="29" t="n"/>
      <c r="O756" s="13" t="n"/>
      <c r="P756" s="13" t="n"/>
      <c r="Q756" s="35" t="n"/>
      <c r="R756" s="35" t="n"/>
      <c r="S756" s="35" t="n"/>
      <c r="T756" s="35" t="n"/>
      <c r="U756" s="35" t="n"/>
      <c r="V756" s="18">
        <f>IF(COUNTA($B756:$R756)=0,"",ROUND(N($R756)+N($S756)+N($T756)-N($U756),2))</f>
        <v/>
      </c>
      <c r="W756" s="18">
        <f>IF(COUNTA($B756:$R756)=0,"",IF(OR($X756="Pago",$X756="Recebido",$X756="Cancelado"),0,ROUND(N($Q756)+N($S756)+N($T756)-N($U756)-N($R756),2)))</f>
        <v/>
      </c>
      <c r="X756" s="14" t="n"/>
      <c r="Y756" s="17">
        <f>IF(COUNTA($B756:$R756)=0,"",IF($X756="Cancelado","Cancelado",IF(OR($X756="Pago",$X756="Recebido"),$X756,IF(OR($X756="Parcial",N($R756)&gt;0),"Parcial",IF($C756="","Sem vencimento",IF($C756&lt;TODAY(),"Vencido",IF($C756=TODAY(),"Vence hoje",IF($C756&lt;=TODAY()+7,"Vence em 7 dias",IF($C756&lt;=TODAY()+30,"Vence em 30 dias","Futuro")))))))))</f>
        <v/>
      </c>
      <c r="Z756" s="24">
        <f>IF($B756="","",MONTH($B756))</f>
        <v/>
      </c>
      <c r="AA756" s="24">
        <f>IF($B756="","",YEAR($B756))</f>
        <v/>
      </c>
      <c r="AB756" s="24">
        <f>IF($B756="","",ISOWEEKNUM($B756))</f>
        <v/>
      </c>
      <c r="AC756" s="17">
        <f>IF($B756="","",CHOOSE(WEEKDAY($B756,2),"Segunda","Terça","Quarta","Quinta","Sexta","Sábado","Domingo"))</f>
        <v/>
      </c>
      <c r="AD756" s="17">
        <f>IF($B756="","",TEXT($B756,"MM/AAAA"))</f>
        <v/>
      </c>
      <c r="AE756" s="18">
        <f>IF(COUNTA($B756:$R756)=0,"",IF($X756="Cancelado",0,ROUND(N($Q756)+N($S756)+N($T756)-N($U756),2)))</f>
        <v/>
      </c>
      <c r="AF756" s="9">
        <f>IF($G756="","",IFERROR(INDEX(LINHAS_DRE_PLANO,MATCH($G756,SUBCATEGORIAS_PLANO,0)),"Não classificado"))</f>
        <v/>
      </c>
      <c r="AG756" s="17">
        <f>IF($G756="","",IFERROR(INDEX(TIPOS_FLUXO_PLANO,MATCH($G756,SUBCATEGORIAS_PLANO,0)),"Não classificado"))</f>
        <v/>
      </c>
      <c r="AH756" s="9">
        <f>IF($G756="","",IFERROR(INDEX(GRUPOS_PLANO,MATCH($G756,SUBCATEGORIAS_PLANO,0)),"Não classificado"))</f>
        <v/>
      </c>
      <c r="AI756" s="24">
        <f>IF(OR($C756="",$X756="Pago",$X756="Recebido",$X756="Cancelado"),"",$C756-TODAY())</f>
        <v/>
      </c>
      <c r="AJ756" s="24">
        <f>IF(OR($C756="",$X756="Pago",$X756="Recebido",$X756="Cancelado"),0,MAX(0,TODAY()-$C756))</f>
        <v/>
      </c>
      <c r="AK756" s="24">
        <f>IF($D756="","",$D756-$B756)</f>
        <v/>
      </c>
      <c r="AL756" s="18">
        <f>IF(OR($D756="",$B756=""),"",ROUND(N($R756)*($D756-$B756),2))</f>
        <v/>
      </c>
      <c r="AM756" s="17">
        <f>IF(AND($E756="Saída",$W756&gt;0,$C756&lt;&gt;""),$C756+ROW()/1000000,"")</f>
        <v/>
      </c>
      <c r="AN756" s="17">
        <f>IF(AND($E756="Entrada",$W756&gt;0,$C756&lt;&gt;""),$C756+ROW()/1000000,"")</f>
        <v/>
      </c>
      <c r="AO756" s="9">
        <f>IF(COUNTA($B756:$R756)=0,"",IF(AND($I756&lt;&gt;"",COUNTIF(CLIENTES_NOMES,$I756)+COUNTIF(CLIENTES_FANTASIA,$I756)+COUNTIF(FORNECEDORES_NOMES,$I756)+COUNTIF(FORNECEDORES_FANTASIA,$I756)=0),"⚠ Cliente/Fornecedor não cadastrado",IF(AND($G756&lt;&gt;"",COUNTIF(SUBCATEGORIAS_PLANO,$G756)=0),"⚠ Subcategoria fora do plano de contas",IF(OR($Q756="",N($Q756)=0),"⚠ Valor previsto não informado",IF(AND(OR($X756="Pago",$X756="Recebido"),$D756=""),"⚠ Status pago/recebido sem data",IF(AND($D756&lt;&gt;"",N($R756)=0),"⚠ Data de pagamento sem valor realizado",IF(AND(N($P756)&gt;1,N($O756)&gt;N($P756)),"⚠ Nº da parcela maior que o total",IF(AND($C756&lt;&gt;"",$B756&lt;&gt;"",$C756&lt;$B756),"⚠ Vencimento anterior à competência","OK"))))))))</f>
        <v/>
      </c>
    </row>
    <row r="757">
      <c r="A757" s="14" t="n"/>
      <c r="B757" s="36" t="n"/>
      <c r="C757" s="36" t="n"/>
      <c r="D757" s="36" t="n"/>
      <c r="E757" s="14" t="n"/>
      <c r="F757" s="29" t="n"/>
      <c r="G757" s="29" t="n"/>
      <c r="H757" s="29" t="n"/>
      <c r="I757" s="29" t="n"/>
      <c r="J757" s="29" t="n"/>
      <c r="K757" s="14" t="n"/>
      <c r="L757" s="29" t="n"/>
      <c r="M757" s="14" t="n"/>
      <c r="N757" s="29" t="n"/>
      <c r="O757" s="13" t="n"/>
      <c r="P757" s="13" t="n"/>
      <c r="Q757" s="35" t="n"/>
      <c r="R757" s="35" t="n"/>
      <c r="S757" s="35" t="n"/>
      <c r="T757" s="35" t="n"/>
      <c r="U757" s="35" t="n"/>
      <c r="V757" s="18">
        <f>IF(COUNTA($B757:$R757)=0,"",ROUND(N($R757)+N($S757)+N($T757)-N($U757),2))</f>
        <v/>
      </c>
      <c r="W757" s="18">
        <f>IF(COUNTA($B757:$R757)=0,"",IF(OR($X757="Pago",$X757="Recebido",$X757="Cancelado"),0,ROUND(N($Q757)+N($S757)+N($T757)-N($U757)-N($R757),2)))</f>
        <v/>
      </c>
      <c r="X757" s="14" t="n"/>
      <c r="Y757" s="17">
        <f>IF(COUNTA($B757:$R757)=0,"",IF($X757="Cancelado","Cancelado",IF(OR($X757="Pago",$X757="Recebido"),$X757,IF(OR($X757="Parcial",N($R757)&gt;0),"Parcial",IF($C757="","Sem vencimento",IF($C757&lt;TODAY(),"Vencido",IF($C757=TODAY(),"Vence hoje",IF($C757&lt;=TODAY()+7,"Vence em 7 dias",IF($C757&lt;=TODAY()+30,"Vence em 30 dias","Futuro")))))))))</f>
        <v/>
      </c>
      <c r="Z757" s="24">
        <f>IF($B757="","",MONTH($B757))</f>
        <v/>
      </c>
      <c r="AA757" s="24">
        <f>IF($B757="","",YEAR($B757))</f>
        <v/>
      </c>
      <c r="AB757" s="24">
        <f>IF($B757="","",ISOWEEKNUM($B757))</f>
        <v/>
      </c>
      <c r="AC757" s="17">
        <f>IF($B757="","",CHOOSE(WEEKDAY($B757,2),"Segunda","Terça","Quarta","Quinta","Sexta","Sábado","Domingo"))</f>
        <v/>
      </c>
      <c r="AD757" s="17">
        <f>IF($B757="","",TEXT($B757,"MM/AAAA"))</f>
        <v/>
      </c>
      <c r="AE757" s="18">
        <f>IF(COUNTA($B757:$R757)=0,"",IF($X757="Cancelado",0,ROUND(N($Q757)+N($S757)+N($T757)-N($U757),2)))</f>
        <v/>
      </c>
      <c r="AF757" s="9">
        <f>IF($G757="","",IFERROR(INDEX(LINHAS_DRE_PLANO,MATCH($G757,SUBCATEGORIAS_PLANO,0)),"Não classificado"))</f>
        <v/>
      </c>
      <c r="AG757" s="17">
        <f>IF($G757="","",IFERROR(INDEX(TIPOS_FLUXO_PLANO,MATCH($G757,SUBCATEGORIAS_PLANO,0)),"Não classificado"))</f>
        <v/>
      </c>
      <c r="AH757" s="9">
        <f>IF($G757="","",IFERROR(INDEX(GRUPOS_PLANO,MATCH($G757,SUBCATEGORIAS_PLANO,0)),"Não classificado"))</f>
        <v/>
      </c>
      <c r="AI757" s="24">
        <f>IF(OR($C757="",$X757="Pago",$X757="Recebido",$X757="Cancelado"),"",$C757-TODAY())</f>
        <v/>
      </c>
      <c r="AJ757" s="24">
        <f>IF(OR($C757="",$X757="Pago",$X757="Recebido",$X757="Cancelado"),0,MAX(0,TODAY()-$C757))</f>
        <v/>
      </c>
      <c r="AK757" s="24">
        <f>IF($D757="","",$D757-$B757)</f>
        <v/>
      </c>
      <c r="AL757" s="18">
        <f>IF(OR($D757="",$B757=""),"",ROUND(N($R757)*($D757-$B757),2))</f>
        <v/>
      </c>
      <c r="AM757" s="17">
        <f>IF(AND($E757="Saída",$W757&gt;0,$C757&lt;&gt;""),$C757+ROW()/1000000,"")</f>
        <v/>
      </c>
      <c r="AN757" s="17">
        <f>IF(AND($E757="Entrada",$W757&gt;0,$C757&lt;&gt;""),$C757+ROW()/1000000,"")</f>
        <v/>
      </c>
      <c r="AO757" s="9">
        <f>IF(COUNTA($B757:$R757)=0,"",IF(AND($I757&lt;&gt;"",COUNTIF(CLIENTES_NOMES,$I757)+COUNTIF(CLIENTES_FANTASIA,$I757)+COUNTIF(FORNECEDORES_NOMES,$I757)+COUNTIF(FORNECEDORES_FANTASIA,$I757)=0),"⚠ Cliente/Fornecedor não cadastrado",IF(AND($G757&lt;&gt;"",COUNTIF(SUBCATEGORIAS_PLANO,$G757)=0),"⚠ Subcategoria fora do plano de contas",IF(OR($Q757="",N($Q757)=0),"⚠ Valor previsto não informado",IF(AND(OR($X757="Pago",$X757="Recebido"),$D757=""),"⚠ Status pago/recebido sem data",IF(AND($D757&lt;&gt;"",N($R757)=0),"⚠ Data de pagamento sem valor realizado",IF(AND(N($P757)&gt;1,N($O757)&gt;N($P757)),"⚠ Nº da parcela maior que o total",IF(AND($C757&lt;&gt;"",$B757&lt;&gt;"",$C757&lt;$B757),"⚠ Vencimento anterior à competência","OK"))))))))</f>
        <v/>
      </c>
    </row>
    <row r="758">
      <c r="A758" s="14" t="n"/>
      <c r="B758" s="36" t="n"/>
      <c r="C758" s="36" t="n"/>
      <c r="D758" s="36" t="n"/>
      <c r="E758" s="14" t="n"/>
      <c r="F758" s="29" t="n"/>
      <c r="G758" s="29" t="n"/>
      <c r="H758" s="29" t="n"/>
      <c r="I758" s="29" t="n"/>
      <c r="J758" s="29" t="n"/>
      <c r="K758" s="14" t="n"/>
      <c r="L758" s="29" t="n"/>
      <c r="M758" s="14" t="n"/>
      <c r="N758" s="29" t="n"/>
      <c r="O758" s="13" t="n"/>
      <c r="P758" s="13" t="n"/>
      <c r="Q758" s="35" t="n"/>
      <c r="R758" s="35" t="n"/>
      <c r="S758" s="35" t="n"/>
      <c r="T758" s="35" t="n"/>
      <c r="U758" s="35" t="n"/>
      <c r="V758" s="18">
        <f>IF(COUNTA($B758:$R758)=0,"",ROUND(N($R758)+N($S758)+N($T758)-N($U758),2))</f>
        <v/>
      </c>
      <c r="W758" s="18">
        <f>IF(COUNTA($B758:$R758)=0,"",IF(OR($X758="Pago",$X758="Recebido",$X758="Cancelado"),0,ROUND(N($Q758)+N($S758)+N($T758)-N($U758)-N($R758),2)))</f>
        <v/>
      </c>
      <c r="X758" s="14" t="n"/>
      <c r="Y758" s="17">
        <f>IF(COUNTA($B758:$R758)=0,"",IF($X758="Cancelado","Cancelado",IF(OR($X758="Pago",$X758="Recebido"),$X758,IF(OR($X758="Parcial",N($R758)&gt;0),"Parcial",IF($C758="","Sem vencimento",IF($C758&lt;TODAY(),"Vencido",IF($C758=TODAY(),"Vence hoje",IF($C758&lt;=TODAY()+7,"Vence em 7 dias",IF($C758&lt;=TODAY()+30,"Vence em 30 dias","Futuro")))))))))</f>
        <v/>
      </c>
      <c r="Z758" s="24">
        <f>IF($B758="","",MONTH($B758))</f>
        <v/>
      </c>
      <c r="AA758" s="24">
        <f>IF($B758="","",YEAR($B758))</f>
        <v/>
      </c>
      <c r="AB758" s="24">
        <f>IF($B758="","",ISOWEEKNUM($B758))</f>
        <v/>
      </c>
      <c r="AC758" s="17">
        <f>IF($B758="","",CHOOSE(WEEKDAY($B758,2),"Segunda","Terça","Quarta","Quinta","Sexta","Sábado","Domingo"))</f>
        <v/>
      </c>
      <c r="AD758" s="17">
        <f>IF($B758="","",TEXT($B758,"MM/AAAA"))</f>
        <v/>
      </c>
      <c r="AE758" s="18">
        <f>IF(COUNTA($B758:$R758)=0,"",IF($X758="Cancelado",0,ROUND(N($Q758)+N($S758)+N($T758)-N($U758),2)))</f>
        <v/>
      </c>
      <c r="AF758" s="9">
        <f>IF($G758="","",IFERROR(INDEX(LINHAS_DRE_PLANO,MATCH($G758,SUBCATEGORIAS_PLANO,0)),"Não classificado"))</f>
        <v/>
      </c>
      <c r="AG758" s="17">
        <f>IF($G758="","",IFERROR(INDEX(TIPOS_FLUXO_PLANO,MATCH($G758,SUBCATEGORIAS_PLANO,0)),"Não classificado"))</f>
        <v/>
      </c>
      <c r="AH758" s="9">
        <f>IF($G758="","",IFERROR(INDEX(GRUPOS_PLANO,MATCH($G758,SUBCATEGORIAS_PLANO,0)),"Não classificado"))</f>
        <v/>
      </c>
      <c r="AI758" s="24">
        <f>IF(OR($C758="",$X758="Pago",$X758="Recebido",$X758="Cancelado"),"",$C758-TODAY())</f>
        <v/>
      </c>
      <c r="AJ758" s="24">
        <f>IF(OR($C758="",$X758="Pago",$X758="Recebido",$X758="Cancelado"),0,MAX(0,TODAY()-$C758))</f>
        <v/>
      </c>
      <c r="AK758" s="24">
        <f>IF($D758="","",$D758-$B758)</f>
        <v/>
      </c>
      <c r="AL758" s="18">
        <f>IF(OR($D758="",$B758=""),"",ROUND(N($R758)*($D758-$B758),2))</f>
        <v/>
      </c>
      <c r="AM758" s="17">
        <f>IF(AND($E758="Saída",$W758&gt;0,$C758&lt;&gt;""),$C758+ROW()/1000000,"")</f>
        <v/>
      </c>
      <c r="AN758" s="17">
        <f>IF(AND($E758="Entrada",$W758&gt;0,$C758&lt;&gt;""),$C758+ROW()/1000000,"")</f>
        <v/>
      </c>
      <c r="AO758" s="9">
        <f>IF(COUNTA($B758:$R758)=0,"",IF(AND($I758&lt;&gt;"",COUNTIF(CLIENTES_NOMES,$I758)+COUNTIF(CLIENTES_FANTASIA,$I758)+COUNTIF(FORNECEDORES_NOMES,$I758)+COUNTIF(FORNECEDORES_FANTASIA,$I758)=0),"⚠ Cliente/Fornecedor não cadastrado",IF(AND($G758&lt;&gt;"",COUNTIF(SUBCATEGORIAS_PLANO,$G758)=0),"⚠ Subcategoria fora do plano de contas",IF(OR($Q758="",N($Q758)=0),"⚠ Valor previsto não informado",IF(AND(OR($X758="Pago",$X758="Recebido"),$D758=""),"⚠ Status pago/recebido sem data",IF(AND($D758&lt;&gt;"",N($R758)=0),"⚠ Data de pagamento sem valor realizado",IF(AND(N($P758)&gt;1,N($O758)&gt;N($P758)),"⚠ Nº da parcela maior que o total",IF(AND($C758&lt;&gt;"",$B758&lt;&gt;"",$C758&lt;$B758),"⚠ Vencimento anterior à competência","OK"))))))))</f>
        <v/>
      </c>
    </row>
    <row r="759">
      <c r="A759" s="14" t="n"/>
      <c r="B759" s="36" t="n"/>
      <c r="C759" s="36" t="n"/>
      <c r="D759" s="36" t="n"/>
      <c r="E759" s="14" t="n"/>
      <c r="F759" s="29" t="n"/>
      <c r="G759" s="29" t="n"/>
      <c r="H759" s="29" t="n"/>
      <c r="I759" s="29" t="n"/>
      <c r="J759" s="29" t="n"/>
      <c r="K759" s="14" t="n"/>
      <c r="L759" s="29" t="n"/>
      <c r="M759" s="14" t="n"/>
      <c r="N759" s="29" t="n"/>
      <c r="O759" s="13" t="n"/>
      <c r="P759" s="13" t="n"/>
      <c r="Q759" s="35" t="n"/>
      <c r="R759" s="35" t="n"/>
      <c r="S759" s="35" t="n"/>
      <c r="T759" s="35" t="n"/>
      <c r="U759" s="35" t="n"/>
      <c r="V759" s="18">
        <f>IF(COUNTA($B759:$R759)=0,"",ROUND(N($R759)+N($S759)+N($T759)-N($U759),2))</f>
        <v/>
      </c>
      <c r="W759" s="18">
        <f>IF(COUNTA($B759:$R759)=0,"",IF(OR($X759="Pago",$X759="Recebido",$X759="Cancelado"),0,ROUND(N($Q759)+N($S759)+N($T759)-N($U759)-N($R759),2)))</f>
        <v/>
      </c>
      <c r="X759" s="14" t="n"/>
      <c r="Y759" s="17">
        <f>IF(COUNTA($B759:$R759)=0,"",IF($X759="Cancelado","Cancelado",IF(OR($X759="Pago",$X759="Recebido"),$X759,IF(OR($X759="Parcial",N($R759)&gt;0),"Parcial",IF($C759="","Sem vencimento",IF($C759&lt;TODAY(),"Vencido",IF($C759=TODAY(),"Vence hoje",IF($C759&lt;=TODAY()+7,"Vence em 7 dias",IF($C759&lt;=TODAY()+30,"Vence em 30 dias","Futuro")))))))))</f>
        <v/>
      </c>
      <c r="Z759" s="24">
        <f>IF($B759="","",MONTH($B759))</f>
        <v/>
      </c>
      <c r="AA759" s="24">
        <f>IF($B759="","",YEAR($B759))</f>
        <v/>
      </c>
      <c r="AB759" s="24">
        <f>IF($B759="","",ISOWEEKNUM($B759))</f>
        <v/>
      </c>
      <c r="AC759" s="17">
        <f>IF($B759="","",CHOOSE(WEEKDAY($B759,2),"Segunda","Terça","Quarta","Quinta","Sexta","Sábado","Domingo"))</f>
        <v/>
      </c>
      <c r="AD759" s="17">
        <f>IF($B759="","",TEXT($B759,"MM/AAAA"))</f>
        <v/>
      </c>
      <c r="AE759" s="18">
        <f>IF(COUNTA($B759:$R759)=0,"",IF($X759="Cancelado",0,ROUND(N($Q759)+N($S759)+N($T759)-N($U759),2)))</f>
        <v/>
      </c>
      <c r="AF759" s="9">
        <f>IF($G759="","",IFERROR(INDEX(LINHAS_DRE_PLANO,MATCH($G759,SUBCATEGORIAS_PLANO,0)),"Não classificado"))</f>
        <v/>
      </c>
      <c r="AG759" s="17">
        <f>IF($G759="","",IFERROR(INDEX(TIPOS_FLUXO_PLANO,MATCH($G759,SUBCATEGORIAS_PLANO,0)),"Não classificado"))</f>
        <v/>
      </c>
      <c r="AH759" s="9">
        <f>IF($G759="","",IFERROR(INDEX(GRUPOS_PLANO,MATCH($G759,SUBCATEGORIAS_PLANO,0)),"Não classificado"))</f>
        <v/>
      </c>
      <c r="AI759" s="24">
        <f>IF(OR($C759="",$X759="Pago",$X759="Recebido",$X759="Cancelado"),"",$C759-TODAY())</f>
        <v/>
      </c>
      <c r="AJ759" s="24">
        <f>IF(OR($C759="",$X759="Pago",$X759="Recebido",$X759="Cancelado"),0,MAX(0,TODAY()-$C759))</f>
        <v/>
      </c>
      <c r="AK759" s="24">
        <f>IF($D759="","",$D759-$B759)</f>
        <v/>
      </c>
      <c r="AL759" s="18">
        <f>IF(OR($D759="",$B759=""),"",ROUND(N($R759)*($D759-$B759),2))</f>
        <v/>
      </c>
      <c r="AM759" s="17">
        <f>IF(AND($E759="Saída",$W759&gt;0,$C759&lt;&gt;""),$C759+ROW()/1000000,"")</f>
        <v/>
      </c>
      <c r="AN759" s="17">
        <f>IF(AND($E759="Entrada",$W759&gt;0,$C759&lt;&gt;""),$C759+ROW()/1000000,"")</f>
        <v/>
      </c>
      <c r="AO759" s="9">
        <f>IF(COUNTA($B759:$R759)=0,"",IF(AND($I759&lt;&gt;"",COUNTIF(CLIENTES_NOMES,$I759)+COUNTIF(CLIENTES_FANTASIA,$I759)+COUNTIF(FORNECEDORES_NOMES,$I759)+COUNTIF(FORNECEDORES_FANTASIA,$I759)=0),"⚠ Cliente/Fornecedor não cadastrado",IF(AND($G759&lt;&gt;"",COUNTIF(SUBCATEGORIAS_PLANO,$G759)=0),"⚠ Subcategoria fora do plano de contas",IF(OR($Q759="",N($Q759)=0),"⚠ Valor previsto não informado",IF(AND(OR($X759="Pago",$X759="Recebido"),$D759=""),"⚠ Status pago/recebido sem data",IF(AND($D759&lt;&gt;"",N($R759)=0),"⚠ Data de pagamento sem valor realizado",IF(AND(N($P759)&gt;1,N($O759)&gt;N($P759)),"⚠ Nº da parcela maior que o total",IF(AND($C759&lt;&gt;"",$B759&lt;&gt;"",$C759&lt;$B759),"⚠ Vencimento anterior à competência","OK"))))))))</f>
        <v/>
      </c>
    </row>
    <row r="760">
      <c r="A760" s="14" t="n"/>
      <c r="B760" s="36" t="n"/>
      <c r="C760" s="36" t="n"/>
      <c r="D760" s="36" t="n"/>
      <c r="E760" s="14" t="n"/>
      <c r="F760" s="29" t="n"/>
      <c r="G760" s="29" t="n"/>
      <c r="H760" s="29" t="n"/>
      <c r="I760" s="29" t="n"/>
      <c r="J760" s="29" t="n"/>
      <c r="K760" s="14" t="n"/>
      <c r="L760" s="29" t="n"/>
      <c r="M760" s="14" t="n"/>
      <c r="N760" s="29" t="n"/>
      <c r="O760" s="13" t="n"/>
      <c r="P760" s="13" t="n"/>
      <c r="Q760" s="35" t="n"/>
      <c r="R760" s="35" t="n"/>
      <c r="S760" s="35" t="n"/>
      <c r="T760" s="35" t="n"/>
      <c r="U760" s="35" t="n"/>
      <c r="V760" s="18">
        <f>IF(COUNTA($B760:$R760)=0,"",ROUND(N($R760)+N($S760)+N($T760)-N($U760),2))</f>
        <v/>
      </c>
      <c r="W760" s="18">
        <f>IF(COUNTA($B760:$R760)=0,"",IF(OR($X760="Pago",$X760="Recebido",$X760="Cancelado"),0,ROUND(N($Q760)+N($S760)+N($T760)-N($U760)-N($R760),2)))</f>
        <v/>
      </c>
      <c r="X760" s="14" t="n"/>
      <c r="Y760" s="17">
        <f>IF(COUNTA($B760:$R760)=0,"",IF($X760="Cancelado","Cancelado",IF(OR($X760="Pago",$X760="Recebido"),$X760,IF(OR($X760="Parcial",N($R760)&gt;0),"Parcial",IF($C760="","Sem vencimento",IF($C760&lt;TODAY(),"Vencido",IF($C760=TODAY(),"Vence hoje",IF($C760&lt;=TODAY()+7,"Vence em 7 dias",IF($C760&lt;=TODAY()+30,"Vence em 30 dias","Futuro")))))))))</f>
        <v/>
      </c>
      <c r="Z760" s="24">
        <f>IF($B760="","",MONTH($B760))</f>
        <v/>
      </c>
      <c r="AA760" s="24">
        <f>IF($B760="","",YEAR($B760))</f>
        <v/>
      </c>
      <c r="AB760" s="24">
        <f>IF($B760="","",ISOWEEKNUM($B760))</f>
        <v/>
      </c>
      <c r="AC760" s="17">
        <f>IF($B760="","",CHOOSE(WEEKDAY($B760,2),"Segunda","Terça","Quarta","Quinta","Sexta","Sábado","Domingo"))</f>
        <v/>
      </c>
      <c r="AD760" s="17">
        <f>IF($B760="","",TEXT($B760,"MM/AAAA"))</f>
        <v/>
      </c>
      <c r="AE760" s="18">
        <f>IF(COUNTA($B760:$R760)=0,"",IF($X760="Cancelado",0,ROUND(N($Q760)+N($S760)+N($T760)-N($U760),2)))</f>
        <v/>
      </c>
      <c r="AF760" s="9">
        <f>IF($G760="","",IFERROR(INDEX(LINHAS_DRE_PLANO,MATCH($G760,SUBCATEGORIAS_PLANO,0)),"Não classificado"))</f>
        <v/>
      </c>
      <c r="AG760" s="17">
        <f>IF($G760="","",IFERROR(INDEX(TIPOS_FLUXO_PLANO,MATCH($G760,SUBCATEGORIAS_PLANO,0)),"Não classificado"))</f>
        <v/>
      </c>
      <c r="AH760" s="9">
        <f>IF($G760="","",IFERROR(INDEX(GRUPOS_PLANO,MATCH($G760,SUBCATEGORIAS_PLANO,0)),"Não classificado"))</f>
        <v/>
      </c>
      <c r="AI760" s="24">
        <f>IF(OR($C760="",$X760="Pago",$X760="Recebido",$X760="Cancelado"),"",$C760-TODAY())</f>
        <v/>
      </c>
      <c r="AJ760" s="24">
        <f>IF(OR($C760="",$X760="Pago",$X760="Recebido",$X760="Cancelado"),0,MAX(0,TODAY()-$C760))</f>
        <v/>
      </c>
      <c r="AK760" s="24">
        <f>IF($D760="","",$D760-$B760)</f>
        <v/>
      </c>
      <c r="AL760" s="18">
        <f>IF(OR($D760="",$B760=""),"",ROUND(N($R760)*($D760-$B760),2))</f>
        <v/>
      </c>
      <c r="AM760" s="17">
        <f>IF(AND($E760="Saída",$W760&gt;0,$C760&lt;&gt;""),$C760+ROW()/1000000,"")</f>
        <v/>
      </c>
      <c r="AN760" s="17">
        <f>IF(AND($E760="Entrada",$W760&gt;0,$C760&lt;&gt;""),$C760+ROW()/1000000,"")</f>
        <v/>
      </c>
      <c r="AO760" s="9">
        <f>IF(COUNTA($B760:$R760)=0,"",IF(AND($I760&lt;&gt;"",COUNTIF(CLIENTES_NOMES,$I760)+COUNTIF(CLIENTES_FANTASIA,$I760)+COUNTIF(FORNECEDORES_NOMES,$I760)+COUNTIF(FORNECEDORES_FANTASIA,$I760)=0),"⚠ Cliente/Fornecedor não cadastrado",IF(AND($G760&lt;&gt;"",COUNTIF(SUBCATEGORIAS_PLANO,$G760)=0),"⚠ Subcategoria fora do plano de contas",IF(OR($Q760="",N($Q760)=0),"⚠ Valor previsto não informado",IF(AND(OR($X760="Pago",$X760="Recebido"),$D760=""),"⚠ Status pago/recebido sem data",IF(AND($D760&lt;&gt;"",N($R760)=0),"⚠ Data de pagamento sem valor realizado",IF(AND(N($P760)&gt;1,N($O760)&gt;N($P760)),"⚠ Nº da parcela maior que o total",IF(AND($C760&lt;&gt;"",$B760&lt;&gt;"",$C760&lt;$B760),"⚠ Vencimento anterior à competência","OK"))))))))</f>
        <v/>
      </c>
    </row>
    <row r="761">
      <c r="A761" s="14" t="n"/>
      <c r="B761" s="36" t="n"/>
      <c r="C761" s="36" t="n"/>
      <c r="D761" s="36" t="n"/>
      <c r="E761" s="14" t="n"/>
      <c r="F761" s="29" t="n"/>
      <c r="G761" s="29" t="n"/>
      <c r="H761" s="29" t="n"/>
      <c r="I761" s="29" t="n"/>
      <c r="J761" s="29" t="n"/>
      <c r="K761" s="14" t="n"/>
      <c r="L761" s="29" t="n"/>
      <c r="M761" s="14" t="n"/>
      <c r="N761" s="29" t="n"/>
      <c r="O761" s="13" t="n"/>
      <c r="P761" s="13" t="n"/>
      <c r="Q761" s="35" t="n"/>
      <c r="R761" s="35" t="n"/>
      <c r="S761" s="35" t="n"/>
      <c r="T761" s="35" t="n"/>
      <c r="U761" s="35" t="n"/>
      <c r="V761" s="18">
        <f>IF(COUNTA($B761:$R761)=0,"",ROUND(N($R761)+N($S761)+N($T761)-N($U761),2))</f>
        <v/>
      </c>
      <c r="W761" s="18">
        <f>IF(COUNTA($B761:$R761)=0,"",IF(OR($X761="Pago",$X761="Recebido",$X761="Cancelado"),0,ROUND(N($Q761)+N($S761)+N($T761)-N($U761)-N($R761),2)))</f>
        <v/>
      </c>
      <c r="X761" s="14" t="n"/>
      <c r="Y761" s="17">
        <f>IF(COUNTA($B761:$R761)=0,"",IF($X761="Cancelado","Cancelado",IF(OR($X761="Pago",$X761="Recebido"),$X761,IF(OR($X761="Parcial",N($R761)&gt;0),"Parcial",IF($C761="","Sem vencimento",IF($C761&lt;TODAY(),"Vencido",IF($C761=TODAY(),"Vence hoje",IF($C761&lt;=TODAY()+7,"Vence em 7 dias",IF($C761&lt;=TODAY()+30,"Vence em 30 dias","Futuro")))))))))</f>
        <v/>
      </c>
      <c r="Z761" s="24">
        <f>IF($B761="","",MONTH($B761))</f>
        <v/>
      </c>
      <c r="AA761" s="24">
        <f>IF($B761="","",YEAR($B761))</f>
        <v/>
      </c>
      <c r="AB761" s="24">
        <f>IF($B761="","",ISOWEEKNUM($B761))</f>
        <v/>
      </c>
      <c r="AC761" s="17">
        <f>IF($B761="","",CHOOSE(WEEKDAY($B761,2),"Segunda","Terça","Quarta","Quinta","Sexta","Sábado","Domingo"))</f>
        <v/>
      </c>
      <c r="AD761" s="17">
        <f>IF($B761="","",TEXT($B761,"MM/AAAA"))</f>
        <v/>
      </c>
      <c r="AE761" s="18">
        <f>IF(COUNTA($B761:$R761)=0,"",IF($X761="Cancelado",0,ROUND(N($Q761)+N($S761)+N($T761)-N($U761),2)))</f>
        <v/>
      </c>
      <c r="AF761" s="9">
        <f>IF($G761="","",IFERROR(INDEX(LINHAS_DRE_PLANO,MATCH($G761,SUBCATEGORIAS_PLANO,0)),"Não classificado"))</f>
        <v/>
      </c>
      <c r="AG761" s="17">
        <f>IF($G761="","",IFERROR(INDEX(TIPOS_FLUXO_PLANO,MATCH($G761,SUBCATEGORIAS_PLANO,0)),"Não classificado"))</f>
        <v/>
      </c>
      <c r="AH761" s="9">
        <f>IF($G761="","",IFERROR(INDEX(GRUPOS_PLANO,MATCH($G761,SUBCATEGORIAS_PLANO,0)),"Não classificado"))</f>
        <v/>
      </c>
      <c r="AI761" s="24">
        <f>IF(OR($C761="",$X761="Pago",$X761="Recebido",$X761="Cancelado"),"",$C761-TODAY())</f>
        <v/>
      </c>
      <c r="AJ761" s="24">
        <f>IF(OR($C761="",$X761="Pago",$X761="Recebido",$X761="Cancelado"),0,MAX(0,TODAY()-$C761))</f>
        <v/>
      </c>
      <c r="AK761" s="24">
        <f>IF($D761="","",$D761-$B761)</f>
        <v/>
      </c>
      <c r="AL761" s="18">
        <f>IF(OR($D761="",$B761=""),"",ROUND(N($R761)*($D761-$B761),2))</f>
        <v/>
      </c>
      <c r="AM761" s="17">
        <f>IF(AND($E761="Saída",$W761&gt;0,$C761&lt;&gt;""),$C761+ROW()/1000000,"")</f>
        <v/>
      </c>
      <c r="AN761" s="17">
        <f>IF(AND($E761="Entrada",$W761&gt;0,$C761&lt;&gt;""),$C761+ROW()/1000000,"")</f>
        <v/>
      </c>
      <c r="AO761" s="9">
        <f>IF(COUNTA($B761:$R761)=0,"",IF(AND($I761&lt;&gt;"",COUNTIF(CLIENTES_NOMES,$I761)+COUNTIF(CLIENTES_FANTASIA,$I761)+COUNTIF(FORNECEDORES_NOMES,$I761)+COUNTIF(FORNECEDORES_FANTASIA,$I761)=0),"⚠ Cliente/Fornecedor não cadastrado",IF(AND($G761&lt;&gt;"",COUNTIF(SUBCATEGORIAS_PLANO,$G761)=0),"⚠ Subcategoria fora do plano de contas",IF(OR($Q761="",N($Q761)=0),"⚠ Valor previsto não informado",IF(AND(OR($X761="Pago",$X761="Recebido"),$D761=""),"⚠ Status pago/recebido sem data",IF(AND($D761&lt;&gt;"",N($R761)=0),"⚠ Data de pagamento sem valor realizado",IF(AND(N($P761)&gt;1,N($O761)&gt;N($P761)),"⚠ Nº da parcela maior que o total",IF(AND($C761&lt;&gt;"",$B761&lt;&gt;"",$C761&lt;$B761),"⚠ Vencimento anterior à competência","OK"))))))))</f>
        <v/>
      </c>
    </row>
    <row r="762">
      <c r="A762" s="14" t="n"/>
      <c r="B762" s="36" t="n"/>
      <c r="C762" s="36" t="n"/>
      <c r="D762" s="36" t="n"/>
      <c r="E762" s="14" t="n"/>
      <c r="F762" s="29" t="n"/>
      <c r="G762" s="29" t="n"/>
      <c r="H762" s="29" t="n"/>
      <c r="I762" s="29" t="n"/>
      <c r="J762" s="29" t="n"/>
      <c r="K762" s="14" t="n"/>
      <c r="L762" s="29" t="n"/>
      <c r="M762" s="14" t="n"/>
      <c r="N762" s="29" t="n"/>
      <c r="O762" s="13" t="n"/>
      <c r="P762" s="13" t="n"/>
      <c r="Q762" s="35" t="n"/>
      <c r="R762" s="35" t="n"/>
      <c r="S762" s="35" t="n"/>
      <c r="T762" s="35" t="n"/>
      <c r="U762" s="35" t="n"/>
      <c r="V762" s="18">
        <f>IF(COUNTA($B762:$R762)=0,"",ROUND(N($R762)+N($S762)+N($T762)-N($U762),2))</f>
        <v/>
      </c>
      <c r="W762" s="18">
        <f>IF(COUNTA($B762:$R762)=0,"",IF(OR($X762="Pago",$X762="Recebido",$X762="Cancelado"),0,ROUND(N($Q762)+N($S762)+N($T762)-N($U762)-N($R762),2)))</f>
        <v/>
      </c>
      <c r="X762" s="14" t="n"/>
      <c r="Y762" s="17">
        <f>IF(COUNTA($B762:$R762)=0,"",IF($X762="Cancelado","Cancelado",IF(OR($X762="Pago",$X762="Recebido"),$X762,IF(OR($X762="Parcial",N($R762)&gt;0),"Parcial",IF($C762="","Sem vencimento",IF($C762&lt;TODAY(),"Vencido",IF($C762=TODAY(),"Vence hoje",IF($C762&lt;=TODAY()+7,"Vence em 7 dias",IF($C762&lt;=TODAY()+30,"Vence em 30 dias","Futuro")))))))))</f>
        <v/>
      </c>
      <c r="Z762" s="24">
        <f>IF($B762="","",MONTH($B762))</f>
        <v/>
      </c>
      <c r="AA762" s="24">
        <f>IF($B762="","",YEAR($B762))</f>
        <v/>
      </c>
      <c r="AB762" s="24">
        <f>IF($B762="","",ISOWEEKNUM($B762))</f>
        <v/>
      </c>
      <c r="AC762" s="17">
        <f>IF($B762="","",CHOOSE(WEEKDAY($B762,2),"Segunda","Terça","Quarta","Quinta","Sexta","Sábado","Domingo"))</f>
        <v/>
      </c>
      <c r="AD762" s="17">
        <f>IF($B762="","",TEXT($B762,"MM/AAAA"))</f>
        <v/>
      </c>
      <c r="AE762" s="18">
        <f>IF(COUNTA($B762:$R762)=0,"",IF($X762="Cancelado",0,ROUND(N($Q762)+N($S762)+N($T762)-N($U762),2)))</f>
        <v/>
      </c>
      <c r="AF762" s="9">
        <f>IF($G762="","",IFERROR(INDEX(LINHAS_DRE_PLANO,MATCH($G762,SUBCATEGORIAS_PLANO,0)),"Não classificado"))</f>
        <v/>
      </c>
      <c r="AG762" s="17">
        <f>IF($G762="","",IFERROR(INDEX(TIPOS_FLUXO_PLANO,MATCH($G762,SUBCATEGORIAS_PLANO,0)),"Não classificado"))</f>
        <v/>
      </c>
      <c r="AH762" s="9">
        <f>IF($G762="","",IFERROR(INDEX(GRUPOS_PLANO,MATCH($G762,SUBCATEGORIAS_PLANO,0)),"Não classificado"))</f>
        <v/>
      </c>
      <c r="AI762" s="24">
        <f>IF(OR($C762="",$X762="Pago",$X762="Recebido",$X762="Cancelado"),"",$C762-TODAY())</f>
        <v/>
      </c>
      <c r="AJ762" s="24">
        <f>IF(OR($C762="",$X762="Pago",$X762="Recebido",$X762="Cancelado"),0,MAX(0,TODAY()-$C762))</f>
        <v/>
      </c>
      <c r="AK762" s="24">
        <f>IF($D762="","",$D762-$B762)</f>
        <v/>
      </c>
      <c r="AL762" s="18">
        <f>IF(OR($D762="",$B762=""),"",ROUND(N($R762)*($D762-$B762),2))</f>
        <v/>
      </c>
      <c r="AM762" s="17">
        <f>IF(AND($E762="Saída",$W762&gt;0,$C762&lt;&gt;""),$C762+ROW()/1000000,"")</f>
        <v/>
      </c>
      <c r="AN762" s="17">
        <f>IF(AND($E762="Entrada",$W762&gt;0,$C762&lt;&gt;""),$C762+ROW()/1000000,"")</f>
        <v/>
      </c>
      <c r="AO762" s="9">
        <f>IF(COUNTA($B762:$R762)=0,"",IF(AND($I762&lt;&gt;"",COUNTIF(CLIENTES_NOMES,$I762)+COUNTIF(CLIENTES_FANTASIA,$I762)+COUNTIF(FORNECEDORES_NOMES,$I762)+COUNTIF(FORNECEDORES_FANTASIA,$I762)=0),"⚠ Cliente/Fornecedor não cadastrado",IF(AND($G762&lt;&gt;"",COUNTIF(SUBCATEGORIAS_PLANO,$G762)=0),"⚠ Subcategoria fora do plano de contas",IF(OR($Q762="",N($Q762)=0),"⚠ Valor previsto não informado",IF(AND(OR($X762="Pago",$X762="Recebido"),$D762=""),"⚠ Status pago/recebido sem data",IF(AND($D762&lt;&gt;"",N($R762)=0),"⚠ Data de pagamento sem valor realizado",IF(AND(N($P762)&gt;1,N($O762)&gt;N($P762)),"⚠ Nº da parcela maior que o total",IF(AND($C762&lt;&gt;"",$B762&lt;&gt;"",$C762&lt;$B762),"⚠ Vencimento anterior à competência","OK"))))))))</f>
        <v/>
      </c>
    </row>
    <row r="763">
      <c r="A763" s="14" t="n"/>
      <c r="B763" s="36" t="n"/>
      <c r="C763" s="36" t="n"/>
      <c r="D763" s="36" t="n"/>
      <c r="E763" s="14" t="n"/>
      <c r="F763" s="29" t="n"/>
      <c r="G763" s="29" t="n"/>
      <c r="H763" s="29" t="n"/>
      <c r="I763" s="29" t="n"/>
      <c r="J763" s="29" t="n"/>
      <c r="K763" s="14" t="n"/>
      <c r="L763" s="29" t="n"/>
      <c r="M763" s="14" t="n"/>
      <c r="N763" s="29" t="n"/>
      <c r="O763" s="13" t="n"/>
      <c r="P763" s="13" t="n"/>
      <c r="Q763" s="35" t="n"/>
      <c r="R763" s="35" t="n"/>
      <c r="S763" s="35" t="n"/>
      <c r="T763" s="35" t="n"/>
      <c r="U763" s="35" t="n"/>
      <c r="V763" s="18">
        <f>IF(COUNTA($B763:$R763)=0,"",ROUND(N($R763)+N($S763)+N($T763)-N($U763),2))</f>
        <v/>
      </c>
      <c r="W763" s="18">
        <f>IF(COUNTA($B763:$R763)=0,"",IF(OR($X763="Pago",$X763="Recebido",$X763="Cancelado"),0,ROUND(N($Q763)+N($S763)+N($T763)-N($U763)-N($R763),2)))</f>
        <v/>
      </c>
      <c r="X763" s="14" t="n"/>
      <c r="Y763" s="17">
        <f>IF(COUNTA($B763:$R763)=0,"",IF($X763="Cancelado","Cancelado",IF(OR($X763="Pago",$X763="Recebido"),$X763,IF(OR($X763="Parcial",N($R763)&gt;0),"Parcial",IF($C763="","Sem vencimento",IF($C763&lt;TODAY(),"Vencido",IF($C763=TODAY(),"Vence hoje",IF($C763&lt;=TODAY()+7,"Vence em 7 dias",IF($C763&lt;=TODAY()+30,"Vence em 30 dias","Futuro")))))))))</f>
        <v/>
      </c>
      <c r="Z763" s="24">
        <f>IF($B763="","",MONTH($B763))</f>
        <v/>
      </c>
      <c r="AA763" s="24">
        <f>IF($B763="","",YEAR($B763))</f>
        <v/>
      </c>
      <c r="AB763" s="24">
        <f>IF($B763="","",ISOWEEKNUM($B763))</f>
        <v/>
      </c>
      <c r="AC763" s="17">
        <f>IF($B763="","",CHOOSE(WEEKDAY($B763,2),"Segunda","Terça","Quarta","Quinta","Sexta","Sábado","Domingo"))</f>
        <v/>
      </c>
      <c r="AD763" s="17">
        <f>IF($B763="","",TEXT($B763,"MM/AAAA"))</f>
        <v/>
      </c>
      <c r="AE763" s="18">
        <f>IF(COUNTA($B763:$R763)=0,"",IF($X763="Cancelado",0,ROUND(N($Q763)+N($S763)+N($T763)-N($U763),2)))</f>
        <v/>
      </c>
      <c r="AF763" s="9">
        <f>IF($G763="","",IFERROR(INDEX(LINHAS_DRE_PLANO,MATCH($G763,SUBCATEGORIAS_PLANO,0)),"Não classificado"))</f>
        <v/>
      </c>
      <c r="AG763" s="17">
        <f>IF($G763="","",IFERROR(INDEX(TIPOS_FLUXO_PLANO,MATCH($G763,SUBCATEGORIAS_PLANO,0)),"Não classificado"))</f>
        <v/>
      </c>
      <c r="AH763" s="9">
        <f>IF($G763="","",IFERROR(INDEX(GRUPOS_PLANO,MATCH($G763,SUBCATEGORIAS_PLANO,0)),"Não classificado"))</f>
        <v/>
      </c>
      <c r="AI763" s="24">
        <f>IF(OR($C763="",$X763="Pago",$X763="Recebido",$X763="Cancelado"),"",$C763-TODAY())</f>
        <v/>
      </c>
      <c r="AJ763" s="24">
        <f>IF(OR($C763="",$X763="Pago",$X763="Recebido",$X763="Cancelado"),0,MAX(0,TODAY()-$C763))</f>
        <v/>
      </c>
      <c r="AK763" s="24">
        <f>IF($D763="","",$D763-$B763)</f>
        <v/>
      </c>
      <c r="AL763" s="18">
        <f>IF(OR($D763="",$B763=""),"",ROUND(N($R763)*($D763-$B763),2))</f>
        <v/>
      </c>
      <c r="AM763" s="17">
        <f>IF(AND($E763="Saída",$W763&gt;0,$C763&lt;&gt;""),$C763+ROW()/1000000,"")</f>
        <v/>
      </c>
      <c r="AN763" s="17">
        <f>IF(AND($E763="Entrada",$W763&gt;0,$C763&lt;&gt;""),$C763+ROW()/1000000,"")</f>
        <v/>
      </c>
      <c r="AO763" s="9">
        <f>IF(COUNTA($B763:$R763)=0,"",IF(AND($I763&lt;&gt;"",COUNTIF(CLIENTES_NOMES,$I763)+COUNTIF(CLIENTES_FANTASIA,$I763)+COUNTIF(FORNECEDORES_NOMES,$I763)+COUNTIF(FORNECEDORES_FANTASIA,$I763)=0),"⚠ Cliente/Fornecedor não cadastrado",IF(AND($G763&lt;&gt;"",COUNTIF(SUBCATEGORIAS_PLANO,$G763)=0),"⚠ Subcategoria fora do plano de contas",IF(OR($Q763="",N($Q763)=0),"⚠ Valor previsto não informado",IF(AND(OR($X763="Pago",$X763="Recebido"),$D763=""),"⚠ Status pago/recebido sem data",IF(AND($D763&lt;&gt;"",N($R763)=0),"⚠ Data de pagamento sem valor realizado",IF(AND(N($P763)&gt;1,N($O763)&gt;N($P763)),"⚠ Nº da parcela maior que o total",IF(AND($C763&lt;&gt;"",$B763&lt;&gt;"",$C763&lt;$B763),"⚠ Vencimento anterior à competência","OK"))))))))</f>
        <v/>
      </c>
    </row>
    <row r="764">
      <c r="A764" s="14" t="n"/>
      <c r="B764" s="36" t="n"/>
      <c r="C764" s="36" t="n"/>
      <c r="D764" s="36" t="n"/>
      <c r="E764" s="14" t="n"/>
      <c r="F764" s="29" t="n"/>
      <c r="G764" s="29" t="n"/>
      <c r="H764" s="29" t="n"/>
      <c r="I764" s="29" t="n"/>
      <c r="J764" s="29" t="n"/>
      <c r="K764" s="14" t="n"/>
      <c r="L764" s="29" t="n"/>
      <c r="M764" s="14" t="n"/>
      <c r="N764" s="29" t="n"/>
      <c r="O764" s="13" t="n"/>
      <c r="P764" s="13" t="n"/>
      <c r="Q764" s="35" t="n"/>
      <c r="R764" s="35" t="n"/>
      <c r="S764" s="35" t="n"/>
      <c r="T764" s="35" t="n"/>
      <c r="U764" s="35" t="n"/>
      <c r="V764" s="18">
        <f>IF(COUNTA($B764:$R764)=0,"",ROUND(N($R764)+N($S764)+N($T764)-N($U764),2))</f>
        <v/>
      </c>
      <c r="W764" s="18">
        <f>IF(COUNTA($B764:$R764)=0,"",IF(OR($X764="Pago",$X764="Recebido",$X764="Cancelado"),0,ROUND(N($Q764)+N($S764)+N($T764)-N($U764)-N($R764),2)))</f>
        <v/>
      </c>
      <c r="X764" s="14" t="n"/>
      <c r="Y764" s="17">
        <f>IF(COUNTA($B764:$R764)=0,"",IF($X764="Cancelado","Cancelado",IF(OR($X764="Pago",$X764="Recebido"),$X764,IF(OR($X764="Parcial",N($R764)&gt;0),"Parcial",IF($C764="","Sem vencimento",IF($C764&lt;TODAY(),"Vencido",IF($C764=TODAY(),"Vence hoje",IF($C764&lt;=TODAY()+7,"Vence em 7 dias",IF($C764&lt;=TODAY()+30,"Vence em 30 dias","Futuro")))))))))</f>
        <v/>
      </c>
      <c r="Z764" s="24">
        <f>IF($B764="","",MONTH($B764))</f>
        <v/>
      </c>
      <c r="AA764" s="24">
        <f>IF($B764="","",YEAR($B764))</f>
        <v/>
      </c>
      <c r="AB764" s="24">
        <f>IF($B764="","",ISOWEEKNUM($B764))</f>
        <v/>
      </c>
      <c r="AC764" s="17">
        <f>IF($B764="","",CHOOSE(WEEKDAY($B764,2),"Segunda","Terça","Quarta","Quinta","Sexta","Sábado","Domingo"))</f>
        <v/>
      </c>
      <c r="AD764" s="17">
        <f>IF($B764="","",TEXT($B764,"MM/AAAA"))</f>
        <v/>
      </c>
      <c r="AE764" s="18">
        <f>IF(COUNTA($B764:$R764)=0,"",IF($X764="Cancelado",0,ROUND(N($Q764)+N($S764)+N($T764)-N($U764),2)))</f>
        <v/>
      </c>
      <c r="AF764" s="9">
        <f>IF($G764="","",IFERROR(INDEX(LINHAS_DRE_PLANO,MATCH($G764,SUBCATEGORIAS_PLANO,0)),"Não classificado"))</f>
        <v/>
      </c>
      <c r="AG764" s="17">
        <f>IF($G764="","",IFERROR(INDEX(TIPOS_FLUXO_PLANO,MATCH($G764,SUBCATEGORIAS_PLANO,0)),"Não classificado"))</f>
        <v/>
      </c>
      <c r="AH764" s="9">
        <f>IF($G764="","",IFERROR(INDEX(GRUPOS_PLANO,MATCH($G764,SUBCATEGORIAS_PLANO,0)),"Não classificado"))</f>
        <v/>
      </c>
      <c r="AI764" s="24">
        <f>IF(OR($C764="",$X764="Pago",$X764="Recebido",$X764="Cancelado"),"",$C764-TODAY())</f>
        <v/>
      </c>
      <c r="AJ764" s="24">
        <f>IF(OR($C764="",$X764="Pago",$X764="Recebido",$X764="Cancelado"),0,MAX(0,TODAY()-$C764))</f>
        <v/>
      </c>
      <c r="AK764" s="24">
        <f>IF($D764="","",$D764-$B764)</f>
        <v/>
      </c>
      <c r="AL764" s="18">
        <f>IF(OR($D764="",$B764=""),"",ROUND(N($R764)*($D764-$B764),2))</f>
        <v/>
      </c>
      <c r="AM764" s="17">
        <f>IF(AND($E764="Saída",$W764&gt;0,$C764&lt;&gt;""),$C764+ROW()/1000000,"")</f>
        <v/>
      </c>
      <c r="AN764" s="17">
        <f>IF(AND($E764="Entrada",$W764&gt;0,$C764&lt;&gt;""),$C764+ROW()/1000000,"")</f>
        <v/>
      </c>
      <c r="AO764" s="9">
        <f>IF(COUNTA($B764:$R764)=0,"",IF(AND($I764&lt;&gt;"",COUNTIF(CLIENTES_NOMES,$I764)+COUNTIF(CLIENTES_FANTASIA,$I764)+COUNTIF(FORNECEDORES_NOMES,$I764)+COUNTIF(FORNECEDORES_FANTASIA,$I764)=0),"⚠ Cliente/Fornecedor não cadastrado",IF(AND($G764&lt;&gt;"",COUNTIF(SUBCATEGORIAS_PLANO,$G764)=0),"⚠ Subcategoria fora do plano de contas",IF(OR($Q764="",N($Q764)=0),"⚠ Valor previsto não informado",IF(AND(OR($X764="Pago",$X764="Recebido"),$D764=""),"⚠ Status pago/recebido sem data",IF(AND($D764&lt;&gt;"",N($R764)=0),"⚠ Data de pagamento sem valor realizado",IF(AND(N($P764)&gt;1,N($O764)&gt;N($P764)),"⚠ Nº da parcela maior que o total",IF(AND($C764&lt;&gt;"",$B764&lt;&gt;"",$C764&lt;$B764),"⚠ Vencimento anterior à competência","OK"))))))))</f>
        <v/>
      </c>
    </row>
    <row r="765">
      <c r="A765" s="14" t="n"/>
      <c r="B765" s="36" t="n"/>
      <c r="C765" s="36" t="n"/>
      <c r="D765" s="36" t="n"/>
      <c r="E765" s="14" t="n"/>
      <c r="F765" s="29" t="n"/>
      <c r="G765" s="29" t="n"/>
      <c r="H765" s="29" t="n"/>
      <c r="I765" s="29" t="n"/>
      <c r="J765" s="29" t="n"/>
      <c r="K765" s="14" t="n"/>
      <c r="L765" s="29" t="n"/>
      <c r="M765" s="14" t="n"/>
      <c r="N765" s="29" t="n"/>
      <c r="O765" s="13" t="n"/>
      <c r="P765" s="13" t="n"/>
      <c r="Q765" s="35" t="n"/>
      <c r="R765" s="35" t="n"/>
      <c r="S765" s="35" t="n"/>
      <c r="T765" s="35" t="n"/>
      <c r="U765" s="35" t="n"/>
      <c r="V765" s="18">
        <f>IF(COUNTA($B765:$R765)=0,"",ROUND(N($R765)+N($S765)+N($T765)-N($U765),2))</f>
        <v/>
      </c>
      <c r="W765" s="18">
        <f>IF(COUNTA($B765:$R765)=0,"",IF(OR($X765="Pago",$X765="Recebido",$X765="Cancelado"),0,ROUND(N($Q765)+N($S765)+N($T765)-N($U765)-N($R765),2)))</f>
        <v/>
      </c>
      <c r="X765" s="14" t="n"/>
      <c r="Y765" s="17">
        <f>IF(COUNTA($B765:$R765)=0,"",IF($X765="Cancelado","Cancelado",IF(OR($X765="Pago",$X765="Recebido"),$X765,IF(OR($X765="Parcial",N($R765)&gt;0),"Parcial",IF($C765="","Sem vencimento",IF($C765&lt;TODAY(),"Vencido",IF($C765=TODAY(),"Vence hoje",IF($C765&lt;=TODAY()+7,"Vence em 7 dias",IF($C765&lt;=TODAY()+30,"Vence em 30 dias","Futuro")))))))))</f>
        <v/>
      </c>
      <c r="Z765" s="24">
        <f>IF($B765="","",MONTH($B765))</f>
        <v/>
      </c>
      <c r="AA765" s="24">
        <f>IF($B765="","",YEAR($B765))</f>
        <v/>
      </c>
      <c r="AB765" s="24">
        <f>IF($B765="","",ISOWEEKNUM($B765))</f>
        <v/>
      </c>
      <c r="AC765" s="17">
        <f>IF($B765="","",CHOOSE(WEEKDAY($B765,2),"Segunda","Terça","Quarta","Quinta","Sexta","Sábado","Domingo"))</f>
        <v/>
      </c>
      <c r="AD765" s="17">
        <f>IF($B765="","",TEXT($B765,"MM/AAAA"))</f>
        <v/>
      </c>
      <c r="AE765" s="18">
        <f>IF(COUNTA($B765:$R765)=0,"",IF($X765="Cancelado",0,ROUND(N($Q765)+N($S765)+N($T765)-N($U765),2)))</f>
        <v/>
      </c>
      <c r="AF765" s="9">
        <f>IF($G765="","",IFERROR(INDEX(LINHAS_DRE_PLANO,MATCH($G765,SUBCATEGORIAS_PLANO,0)),"Não classificado"))</f>
        <v/>
      </c>
      <c r="AG765" s="17">
        <f>IF($G765="","",IFERROR(INDEX(TIPOS_FLUXO_PLANO,MATCH($G765,SUBCATEGORIAS_PLANO,0)),"Não classificado"))</f>
        <v/>
      </c>
      <c r="AH765" s="9">
        <f>IF($G765="","",IFERROR(INDEX(GRUPOS_PLANO,MATCH($G765,SUBCATEGORIAS_PLANO,0)),"Não classificado"))</f>
        <v/>
      </c>
      <c r="AI765" s="24">
        <f>IF(OR($C765="",$X765="Pago",$X765="Recebido",$X765="Cancelado"),"",$C765-TODAY())</f>
        <v/>
      </c>
      <c r="AJ765" s="24">
        <f>IF(OR($C765="",$X765="Pago",$X765="Recebido",$X765="Cancelado"),0,MAX(0,TODAY()-$C765))</f>
        <v/>
      </c>
      <c r="AK765" s="24">
        <f>IF($D765="","",$D765-$B765)</f>
        <v/>
      </c>
      <c r="AL765" s="18">
        <f>IF(OR($D765="",$B765=""),"",ROUND(N($R765)*($D765-$B765),2))</f>
        <v/>
      </c>
      <c r="AM765" s="17">
        <f>IF(AND($E765="Saída",$W765&gt;0,$C765&lt;&gt;""),$C765+ROW()/1000000,"")</f>
        <v/>
      </c>
      <c r="AN765" s="17">
        <f>IF(AND($E765="Entrada",$W765&gt;0,$C765&lt;&gt;""),$C765+ROW()/1000000,"")</f>
        <v/>
      </c>
      <c r="AO765" s="9">
        <f>IF(COUNTA($B765:$R765)=0,"",IF(AND($I765&lt;&gt;"",COUNTIF(CLIENTES_NOMES,$I765)+COUNTIF(CLIENTES_FANTASIA,$I765)+COUNTIF(FORNECEDORES_NOMES,$I765)+COUNTIF(FORNECEDORES_FANTASIA,$I765)=0),"⚠ Cliente/Fornecedor não cadastrado",IF(AND($G765&lt;&gt;"",COUNTIF(SUBCATEGORIAS_PLANO,$G765)=0),"⚠ Subcategoria fora do plano de contas",IF(OR($Q765="",N($Q765)=0),"⚠ Valor previsto não informado",IF(AND(OR($X765="Pago",$X765="Recebido"),$D765=""),"⚠ Status pago/recebido sem data",IF(AND($D765&lt;&gt;"",N($R765)=0),"⚠ Data de pagamento sem valor realizado",IF(AND(N($P765)&gt;1,N($O765)&gt;N($P765)),"⚠ Nº da parcela maior que o total",IF(AND($C765&lt;&gt;"",$B765&lt;&gt;"",$C765&lt;$B765),"⚠ Vencimento anterior à competência","OK"))))))))</f>
        <v/>
      </c>
    </row>
    <row r="766">
      <c r="A766" s="14" t="n"/>
      <c r="B766" s="36" t="n"/>
      <c r="C766" s="36" t="n"/>
      <c r="D766" s="36" t="n"/>
      <c r="E766" s="14" t="n"/>
      <c r="F766" s="29" t="n"/>
      <c r="G766" s="29" t="n"/>
      <c r="H766" s="29" t="n"/>
      <c r="I766" s="29" t="n"/>
      <c r="J766" s="29" t="n"/>
      <c r="K766" s="14" t="n"/>
      <c r="L766" s="29" t="n"/>
      <c r="M766" s="14" t="n"/>
      <c r="N766" s="29" t="n"/>
      <c r="O766" s="13" t="n"/>
      <c r="P766" s="13" t="n"/>
      <c r="Q766" s="35" t="n"/>
      <c r="R766" s="35" t="n"/>
      <c r="S766" s="35" t="n"/>
      <c r="T766" s="35" t="n"/>
      <c r="U766" s="35" t="n"/>
      <c r="V766" s="18">
        <f>IF(COUNTA($B766:$R766)=0,"",ROUND(N($R766)+N($S766)+N($T766)-N($U766),2))</f>
        <v/>
      </c>
      <c r="W766" s="18">
        <f>IF(COUNTA($B766:$R766)=0,"",IF(OR($X766="Pago",$X766="Recebido",$X766="Cancelado"),0,ROUND(N($Q766)+N($S766)+N($T766)-N($U766)-N($R766),2)))</f>
        <v/>
      </c>
      <c r="X766" s="14" t="n"/>
      <c r="Y766" s="17">
        <f>IF(COUNTA($B766:$R766)=0,"",IF($X766="Cancelado","Cancelado",IF(OR($X766="Pago",$X766="Recebido"),$X766,IF(OR($X766="Parcial",N($R766)&gt;0),"Parcial",IF($C766="","Sem vencimento",IF($C766&lt;TODAY(),"Vencido",IF($C766=TODAY(),"Vence hoje",IF($C766&lt;=TODAY()+7,"Vence em 7 dias",IF($C766&lt;=TODAY()+30,"Vence em 30 dias","Futuro")))))))))</f>
        <v/>
      </c>
      <c r="Z766" s="24">
        <f>IF($B766="","",MONTH($B766))</f>
        <v/>
      </c>
      <c r="AA766" s="24">
        <f>IF($B766="","",YEAR($B766))</f>
        <v/>
      </c>
      <c r="AB766" s="24">
        <f>IF($B766="","",ISOWEEKNUM($B766))</f>
        <v/>
      </c>
      <c r="AC766" s="17">
        <f>IF($B766="","",CHOOSE(WEEKDAY($B766,2),"Segunda","Terça","Quarta","Quinta","Sexta","Sábado","Domingo"))</f>
        <v/>
      </c>
      <c r="AD766" s="17">
        <f>IF($B766="","",TEXT($B766,"MM/AAAA"))</f>
        <v/>
      </c>
      <c r="AE766" s="18">
        <f>IF(COUNTA($B766:$R766)=0,"",IF($X766="Cancelado",0,ROUND(N($Q766)+N($S766)+N($T766)-N($U766),2)))</f>
        <v/>
      </c>
      <c r="AF766" s="9">
        <f>IF($G766="","",IFERROR(INDEX(LINHAS_DRE_PLANO,MATCH($G766,SUBCATEGORIAS_PLANO,0)),"Não classificado"))</f>
        <v/>
      </c>
      <c r="AG766" s="17">
        <f>IF($G766="","",IFERROR(INDEX(TIPOS_FLUXO_PLANO,MATCH($G766,SUBCATEGORIAS_PLANO,0)),"Não classificado"))</f>
        <v/>
      </c>
      <c r="AH766" s="9">
        <f>IF($G766="","",IFERROR(INDEX(GRUPOS_PLANO,MATCH($G766,SUBCATEGORIAS_PLANO,0)),"Não classificado"))</f>
        <v/>
      </c>
      <c r="AI766" s="24">
        <f>IF(OR($C766="",$X766="Pago",$X766="Recebido",$X766="Cancelado"),"",$C766-TODAY())</f>
        <v/>
      </c>
      <c r="AJ766" s="24">
        <f>IF(OR($C766="",$X766="Pago",$X766="Recebido",$X766="Cancelado"),0,MAX(0,TODAY()-$C766))</f>
        <v/>
      </c>
      <c r="AK766" s="24">
        <f>IF($D766="","",$D766-$B766)</f>
        <v/>
      </c>
      <c r="AL766" s="18">
        <f>IF(OR($D766="",$B766=""),"",ROUND(N($R766)*($D766-$B766),2))</f>
        <v/>
      </c>
      <c r="AM766" s="17">
        <f>IF(AND($E766="Saída",$W766&gt;0,$C766&lt;&gt;""),$C766+ROW()/1000000,"")</f>
        <v/>
      </c>
      <c r="AN766" s="17">
        <f>IF(AND($E766="Entrada",$W766&gt;0,$C766&lt;&gt;""),$C766+ROW()/1000000,"")</f>
        <v/>
      </c>
      <c r="AO766" s="9">
        <f>IF(COUNTA($B766:$R766)=0,"",IF(AND($I766&lt;&gt;"",COUNTIF(CLIENTES_NOMES,$I766)+COUNTIF(CLIENTES_FANTASIA,$I766)+COUNTIF(FORNECEDORES_NOMES,$I766)+COUNTIF(FORNECEDORES_FANTASIA,$I766)=0),"⚠ Cliente/Fornecedor não cadastrado",IF(AND($G766&lt;&gt;"",COUNTIF(SUBCATEGORIAS_PLANO,$G766)=0),"⚠ Subcategoria fora do plano de contas",IF(OR($Q766="",N($Q766)=0),"⚠ Valor previsto não informado",IF(AND(OR($X766="Pago",$X766="Recebido"),$D766=""),"⚠ Status pago/recebido sem data",IF(AND($D766&lt;&gt;"",N($R766)=0),"⚠ Data de pagamento sem valor realizado",IF(AND(N($P766)&gt;1,N($O766)&gt;N($P766)),"⚠ Nº da parcela maior que o total",IF(AND($C766&lt;&gt;"",$B766&lt;&gt;"",$C766&lt;$B766),"⚠ Vencimento anterior à competência","OK"))))))))</f>
        <v/>
      </c>
    </row>
    <row r="767">
      <c r="A767" s="14" t="n"/>
      <c r="B767" s="36" t="n"/>
      <c r="C767" s="36" t="n"/>
      <c r="D767" s="36" t="n"/>
      <c r="E767" s="14" t="n"/>
      <c r="F767" s="29" t="n"/>
      <c r="G767" s="29" t="n"/>
      <c r="H767" s="29" t="n"/>
      <c r="I767" s="29" t="n"/>
      <c r="J767" s="29" t="n"/>
      <c r="K767" s="14" t="n"/>
      <c r="L767" s="29" t="n"/>
      <c r="M767" s="14" t="n"/>
      <c r="N767" s="29" t="n"/>
      <c r="O767" s="13" t="n"/>
      <c r="P767" s="13" t="n"/>
      <c r="Q767" s="35" t="n"/>
      <c r="R767" s="35" t="n"/>
      <c r="S767" s="35" t="n"/>
      <c r="T767" s="35" t="n"/>
      <c r="U767" s="35" t="n"/>
      <c r="V767" s="18">
        <f>IF(COUNTA($B767:$R767)=0,"",ROUND(N($R767)+N($S767)+N($T767)-N($U767),2))</f>
        <v/>
      </c>
      <c r="W767" s="18">
        <f>IF(COUNTA($B767:$R767)=0,"",IF(OR($X767="Pago",$X767="Recebido",$X767="Cancelado"),0,ROUND(N($Q767)+N($S767)+N($T767)-N($U767)-N($R767),2)))</f>
        <v/>
      </c>
      <c r="X767" s="14" t="n"/>
      <c r="Y767" s="17">
        <f>IF(COUNTA($B767:$R767)=0,"",IF($X767="Cancelado","Cancelado",IF(OR($X767="Pago",$X767="Recebido"),$X767,IF(OR($X767="Parcial",N($R767)&gt;0),"Parcial",IF($C767="","Sem vencimento",IF($C767&lt;TODAY(),"Vencido",IF($C767=TODAY(),"Vence hoje",IF($C767&lt;=TODAY()+7,"Vence em 7 dias",IF($C767&lt;=TODAY()+30,"Vence em 30 dias","Futuro")))))))))</f>
        <v/>
      </c>
      <c r="Z767" s="24">
        <f>IF($B767="","",MONTH($B767))</f>
        <v/>
      </c>
      <c r="AA767" s="24">
        <f>IF($B767="","",YEAR($B767))</f>
        <v/>
      </c>
      <c r="AB767" s="24">
        <f>IF($B767="","",ISOWEEKNUM($B767))</f>
        <v/>
      </c>
      <c r="AC767" s="17">
        <f>IF($B767="","",CHOOSE(WEEKDAY($B767,2),"Segunda","Terça","Quarta","Quinta","Sexta","Sábado","Domingo"))</f>
        <v/>
      </c>
      <c r="AD767" s="17">
        <f>IF($B767="","",TEXT($B767,"MM/AAAA"))</f>
        <v/>
      </c>
      <c r="AE767" s="18">
        <f>IF(COUNTA($B767:$R767)=0,"",IF($X767="Cancelado",0,ROUND(N($Q767)+N($S767)+N($T767)-N($U767),2)))</f>
        <v/>
      </c>
      <c r="AF767" s="9">
        <f>IF($G767="","",IFERROR(INDEX(LINHAS_DRE_PLANO,MATCH($G767,SUBCATEGORIAS_PLANO,0)),"Não classificado"))</f>
        <v/>
      </c>
      <c r="AG767" s="17">
        <f>IF($G767="","",IFERROR(INDEX(TIPOS_FLUXO_PLANO,MATCH($G767,SUBCATEGORIAS_PLANO,0)),"Não classificado"))</f>
        <v/>
      </c>
      <c r="AH767" s="9">
        <f>IF($G767="","",IFERROR(INDEX(GRUPOS_PLANO,MATCH($G767,SUBCATEGORIAS_PLANO,0)),"Não classificado"))</f>
        <v/>
      </c>
      <c r="AI767" s="24">
        <f>IF(OR($C767="",$X767="Pago",$X767="Recebido",$X767="Cancelado"),"",$C767-TODAY())</f>
        <v/>
      </c>
      <c r="AJ767" s="24">
        <f>IF(OR($C767="",$X767="Pago",$X767="Recebido",$X767="Cancelado"),0,MAX(0,TODAY()-$C767))</f>
        <v/>
      </c>
      <c r="AK767" s="24">
        <f>IF($D767="","",$D767-$B767)</f>
        <v/>
      </c>
      <c r="AL767" s="18">
        <f>IF(OR($D767="",$B767=""),"",ROUND(N($R767)*($D767-$B767),2))</f>
        <v/>
      </c>
      <c r="AM767" s="17">
        <f>IF(AND($E767="Saída",$W767&gt;0,$C767&lt;&gt;""),$C767+ROW()/1000000,"")</f>
        <v/>
      </c>
      <c r="AN767" s="17">
        <f>IF(AND($E767="Entrada",$W767&gt;0,$C767&lt;&gt;""),$C767+ROW()/1000000,"")</f>
        <v/>
      </c>
      <c r="AO767" s="9">
        <f>IF(COUNTA($B767:$R767)=0,"",IF(AND($I767&lt;&gt;"",COUNTIF(CLIENTES_NOMES,$I767)+COUNTIF(CLIENTES_FANTASIA,$I767)+COUNTIF(FORNECEDORES_NOMES,$I767)+COUNTIF(FORNECEDORES_FANTASIA,$I767)=0),"⚠ Cliente/Fornecedor não cadastrado",IF(AND($G767&lt;&gt;"",COUNTIF(SUBCATEGORIAS_PLANO,$G767)=0),"⚠ Subcategoria fora do plano de contas",IF(OR($Q767="",N($Q767)=0),"⚠ Valor previsto não informado",IF(AND(OR($X767="Pago",$X767="Recebido"),$D767=""),"⚠ Status pago/recebido sem data",IF(AND($D767&lt;&gt;"",N($R767)=0),"⚠ Data de pagamento sem valor realizado",IF(AND(N($P767)&gt;1,N($O767)&gt;N($P767)),"⚠ Nº da parcela maior que o total",IF(AND($C767&lt;&gt;"",$B767&lt;&gt;"",$C767&lt;$B767),"⚠ Vencimento anterior à competência","OK"))))))))</f>
        <v/>
      </c>
    </row>
    <row r="768">
      <c r="A768" s="14" t="n"/>
      <c r="B768" s="36" t="n"/>
      <c r="C768" s="36" t="n"/>
      <c r="D768" s="36" t="n"/>
      <c r="E768" s="14" t="n"/>
      <c r="F768" s="29" t="n"/>
      <c r="G768" s="29" t="n"/>
      <c r="H768" s="29" t="n"/>
      <c r="I768" s="29" t="n"/>
      <c r="J768" s="29" t="n"/>
      <c r="K768" s="14" t="n"/>
      <c r="L768" s="29" t="n"/>
      <c r="M768" s="14" t="n"/>
      <c r="N768" s="29" t="n"/>
      <c r="O768" s="13" t="n"/>
      <c r="P768" s="13" t="n"/>
      <c r="Q768" s="35" t="n"/>
      <c r="R768" s="35" t="n"/>
      <c r="S768" s="35" t="n"/>
      <c r="T768" s="35" t="n"/>
      <c r="U768" s="35" t="n"/>
      <c r="V768" s="18">
        <f>IF(COUNTA($B768:$R768)=0,"",ROUND(N($R768)+N($S768)+N($T768)-N($U768),2))</f>
        <v/>
      </c>
      <c r="W768" s="18">
        <f>IF(COUNTA($B768:$R768)=0,"",IF(OR($X768="Pago",$X768="Recebido",$X768="Cancelado"),0,ROUND(N($Q768)+N($S768)+N($T768)-N($U768)-N($R768),2)))</f>
        <v/>
      </c>
      <c r="X768" s="14" t="n"/>
      <c r="Y768" s="17">
        <f>IF(COUNTA($B768:$R768)=0,"",IF($X768="Cancelado","Cancelado",IF(OR($X768="Pago",$X768="Recebido"),$X768,IF(OR($X768="Parcial",N($R768)&gt;0),"Parcial",IF($C768="","Sem vencimento",IF($C768&lt;TODAY(),"Vencido",IF($C768=TODAY(),"Vence hoje",IF($C768&lt;=TODAY()+7,"Vence em 7 dias",IF($C768&lt;=TODAY()+30,"Vence em 30 dias","Futuro")))))))))</f>
        <v/>
      </c>
      <c r="Z768" s="24">
        <f>IF($B768="","",MONTH($B768))</f>
        <v/>
      </c>
      <c r="AA768" s="24">
        <f>IF($B768="","",YEAR($B768))</f>
        <v/>
      </c>
      <c r="AB768" s="24">
        <f>IF($B768="","",ISOWEEKNUM($B768))</f>
        <v/>
      </c>
      <c r="AC768" s="17">
        <f>IF($B768="","",CHOOSE(WEEKDAY($B768,2),"Segunda","Terça","Quarta","Quinta","Sexta","Sábado","Domingo"))</f>
        <v/>
      </c>
      <c r="AD768" s="17">
        <f>IF($B768="","",TEXT($B768,"MM/AAAA"))</f>
        <v/>
      </c>
      <c r="AE768" s="18">
        <f>IF(COUNTA($B768:$R768)=0,"",IF($X768="Cancelado",0,ROUND(N($Q768)+N($S768)+N($T768)-N($U768),2)))</f>
        <v/>
      </c>
      <c r="AF768" s="9">
        <f>IF($G768="","",IFERROR(INDEX(LINHAS_DRE_PLANO,MATCH($G768,SUBCATEGORIAS_PLANO,0)),"Não classificado"))</f>
        <v/>
      </c>
      <c r="AG768" s="17">
        <f>IF($G768="","",IFERROR(INDEX(TIPOS_FLUXO_PLANO,MATCH($G768,SUBCATEGORIAS_PLANO,0)),"Não classificado"))</f>
        <v/>
      </c>
      <c r="AH768" s="9">
        <f>IF($G768="","",IFERROR(INDEX(GRUPOS_PLANO,MATCH($G768,SUBCATEGORIAS_PLANO,0)),"Não classificado"))</f>
        <v/>
      </c>
      <c r="AI768" s="24">
        <f>IF(OR($C768="",$X768="Pago",$X768="Recebido",$X768="Cancelado"),"",$C768-TODAY())</f>
        <v/>
      </c>
      <c r="AJ768" s="24">
        <f>IF(OR($C768="",$X768="Pago",$X768="Recebido",$X768="Cancelado"),0,MAX(0,TODAY()-$C768))</f>
        <v/>
      </c>
      <c r="AK768" s="24">
        <f>IF($D768="","",$D768-$B768)</f>
        <v/>
      </c>
      <c r="AL768" s="18">
        <f>IF(OR($D768="",$B768=""),"",ROUND(N($R768)*($D768-$B768),2))</f>
        <v/>
      </c>
      <c r="AM768" s="17">
        <f>IF(AND($E768="Saída",$W768&gt;0,$C768&lt;&gt;""),$C768+ROW()/1000000,"")</f>
        <v/>
      </c>
      <c r="AN768" s="17">
        <f>IF(AND($E768="Entrada",$W768&gt;0,$C768&lt;&gt;""),$C768+ROW()/1000000,"")</f>
        <v/>
      </c>
      <c r="AO768" s="9">
        <f>IF(COUNTA($B768:$R768)=0,"",IF(AND($I768&lt;&gt;"",COUNTIF(CLIENTES_NOMES,$I768)+COUNTIF(CLIENTES_FANTASIA,$I768)+COUNTIF(FORNECEDORES_NOMES,$I768)+COUNTIF(FORNECEDORES_FANTASIA,$I768)=0),"⚠ Cliente/Fornecedor não cadastrado",IF(AND($G768&lt;&gt;"",COUNTIF(SUBCATEGORIAS_PLANO,$G768)=0),"⚠ Subcategoria fora do plano de contas",IF(OR($Q768="",N($Q768)=0),"⚠ Valor previsto não informado",IF(AND(OR($X768="Pago",$X768="Recebido"),$D768=""),"⚠ Status pago/recebido sem data",IF(AND($D768&lt;&gt;"",N($R768)=0),"⚠ Data de pagamento sem valor realizado",IF(AND(N($P768)&gt;1,N($O768)&gt;N($P768)),"⚠ Nº da parcela maior que o total",IF(AND($C768&lt;&gt;"",$B768&lt;&gt;"",$C768&lt;$B768),"⚠ Vencimento anterior à competência","OK"))))))))</f>
        <v/>
      </c>
    </row>
    <row r="769">
      <c r="A769" s="14" t="n"/>
      <c r="B769" s="36" t="n"/>
      <c r="C769" s="36" t="n"/>
      <c r="D769" s="36" t="n"/>
      <c r="E769" s="14" t="n"/>
      <c r="F769" s="29" t="n"/>
      <c r="G769" s="29" t="n"/>
      <c r="H769" s="29" t="n"/>
      <c r="I769" s="29" t="n"/>
      <c r="J769" s="29" t="n"/>
      <c r="K769" s="14" t="n"/>
      <c r="L769" s="29" t="n"/>
      <c r="M769" s="14" t="n"/>
      <c r="N769" s="29" t="n"/>
      <c r="O769" s="13" t="n"/>
      <c r="P769" s="13" t="n"/>
      <c r="Q769" s="35" t="n"/>
      <c r="R769" s="35" t="n"/>
      <c r="S769" s="35" t="n"/>
      <c r="T769" s="35" t="n"/>
      <c r="U769" s="35" t="n"/>
      <c r="V769" s="18">
        <f>IF(COUNTA($B769:$R769)=0,"",ROUND(N($R769)+N($S769)+N($T769)-N($U769),2))</f>
        <v/>
      </c>
      <c r="W769" s="18">
        <f>IF(COUNTA($B769:$R769)=0,"",IF(OR($X769="Pago",$X769="Recebido",$X769="Cancelado"),0,ROUND(N($Q769)+N($S769)+N($T769)-N($U769)-N($R769),2)))</f>
        <v/>
      </c>
      <c r="X769" s="14" t="n"/>
      <c r="Y769" s="17">
        <f>IF(COUNTA($B769:$R769)=0,"",IF($X769="Cancelado","Cancelado",IF(OR($X769="Pago",$X769="Recebido"),$X769,IF(OR($X769="Parcial",N($R769)&gt;0),"Parcial",IF($C769="","Sem vencimento",IF($C769&lt;TODAY(),"Vencido",IF($C769=TODAY(),"Vence hoje",IF($C769&lt;=TODAY()+7,"Vence em 7 dias",IF($C769&lt;=TODAY()+30,"Vence em 30 dias","Futuro")))))))))</f>
        <v/>
      </c>
      <c r="Z769" s="24">
        <f>IF($B769="","",MONTH($B769))</f>
        <v/>
      </c>
      <c r="AA769" s="24">
        <f>IF($B769="","",YEAR($B769))</f>
        <v/>
      </c>
      <c r="AB769" s="24">
        <f>IF($B769="","",ISOWEEKNUM($B769))</f>
        <v/>
      </c>
      <c r="AC769" s="17">
        <f>IF($B769="","",CHOOSE(WEEKDAY($B769,2),"Segunda","Terça","Quarta","Quinta","Sexta","Sábado","Domingo"))</f>
        <v/>
      </c>
      <c r="AD769" s="17">
        <f>IF($B769="","",TEXT($B769,"MM/AAAA"))</f>
        <v/>
      </c>
      <c r="AE769" s="18">
        <f>IF(COUNTA($B769:$R769)=0,"",IF($X769="Cancelado",0,ROUND(N($Q769)+N($S769)+N($T769)-N($U769),2)))</f>
        <v/>
      </c>
      <c r="AF769" s="9">
        <f>IF($G769="","",IFERROR(INDEX(LINHAS_DRE_PLANO,MATCH($G769,SUBCATEGORIAS_PLANO,0)),"Não classificado"))</f>
        <v/>
      </c>
      <c r="AG769" s="17">
        <f>IF($G769="","",IFERROR(INDEX(TIPOS_FLUXO_PLANO,MATCH($G769,SUBCATEGORIAS_PLANO,0)),"Não classificado"))</f>
        <v/>
      </c>
      <c r="AH769" s="9">
        <f>IF($G769="","",IFERROR(INDEX(GRUPOS_PLANO,MATCH($G769,SUBCATEGORIAS_PLANO,0)),"Não classificado"))</f>
        <v/>
      </c>
      <c r="AI769" s="24">
        <f>IF(OR($C769="",$X769="Pago",$X769="Recebido",$X769="Cancelado"),"",$C769-TODAY())</f>
        <v/>
      </c>
      <c r="AJ769" s="24">
        <f>IF(OR($C769="",$X769="Pago",$X769="Recebido",$X769="Cancelado"),0,MAX(0,TODAY()-$C769))</f>
        <v/>
      </c>
      <c r="AK769" s="24">
        <f>IF($D769="","",$D769-$B769)</f>
        <v/>
      </c>
      <c r="AL769" s="18">
        <f>IF(OR($D769="",$B769=""),"",ROUND(N($R769)*($D769-$B769),2))</f>
        <v/>
      </c>
      <c r="AM769" s="17">
        <f>IF(AND($E769="Saída",$W769&gt;0,$C769&lt;&gt;""),$C769+ROW()/1000000,"")</f>
        <v/>
      </c>
      <c r="AN769" s="17">
        <f>IF(AND($E769="Entrada",$W769&gt;0,$C769&lt;&gt;""),$C769+ROW()/1000000,"")</f>
        <v/>
      </c>
      <c r="AO769" s="9">
        <f>IF(COUNTA($B769:$R769)=0,"",IF(AND($I769&lt;&gt;"",COUNTIF(CLIENTES_NOMES,$I769)+COUNTIF(CLIENTES_FANTASIA,$I769)+COUNTIF(FORNECEDORES_NOMES,$I769)+COUNTIF(FORNECEDORES_FANTASIA,$I769)=0),"⚠ Cliente/Fornecedor não cadastrado",IF(AND($G769&lt;&gt;"",COUNTIF(SUBCATEGORIAS_PLANO,$G769)=0),"⚠ Subcategoria fora do plano de contas",IF(OR($Q769="",N($Q769)=0),"⚠ Valor previsto não informado",IF(AND(OR($X769="Pago",$X769="Recebido"),$D769=""),"⚠ Status pago/recebido sem data",IF(AND($D769&lt;&gt;"",N($R769)=0),"⚠ Data de pagamento sem valor realizado",IF(AND(N($P769)&gt;1,N($O769)&gt;N($P769)),"⚠ Nº da parcela maior que o total",IF(AND($C769&lt;&gt;"",$B769&lt;&gt;"",$C769&lt;$B769),"⚠ Vencimento anterior à competência","OK"))))))))</f>
        <v/>
      </c>
    </row>
    <row r="770">
      <c r="A770" s="14" t="n"/>
      <c r="B770" s="36" t="n"/>
      <c r="C770" s="36" t="n"/>
      <c r="D770" s="36" t="n"/>
      <c r="E770" s="14" t="n"/>
      <c r="F770" s="29" t="n"/>
      <c r="G770" s="29" t="n"/>
      <c r="H770" s="29" t="n"/>
      <c r="I770" s="29" t="n"/>
      <c r="J770" s="29" t="n"/>
      <c r="K770" s="14" t="n"/>
      <c r="L770" s="29" t="n"/>
      <c r="M770" s="14" t="n"/>
      <c r="N770" s="29" t="n"/>
      <c r="O770" s="13" t="n"/>
      <c r="P770" s="13" t="n"/>
      <c r="Q770" s="35" t="n"/>
      <c r="R770" s="35" t="n"/>
      <c r="S770" s="35" t="n"/>
      <c r="T770" s="35" t="n"/>
      <c r="U770" s="35" t="n"/>
      <c r="V770" s="18">
        <f>IF(COUNTA($B770:$R770)=0,"",ROUND(N($R770)+N($S770)+N($T770)-N($U770),2))</f>
        <v/>
      </c>
      <c r="W770" s="18">
        <f>IF(COUNTA($B770:$R770)=0,"",IF(OR($X770="Pago",$X770="Recebido",$X770="Cancelado"),0,ROUND(N($Q770)+N($S770)+N($T770)-N($U770)-N($R770),2)))</f>
        <v/>
      </c>
      <c r="X770" s="14" t="n"/>
      <c r="Y770" s="17">
        <f>IF(COUNTA($B770:$R770)=0,"",IF($X770="Cancelado","Cancelado",IF(OR($X770="Pago",$X770="Recebido"),$X770,IF(OR($X770="Parcial",N($R770)&gt;0),"Parcial",IF($C770="","Sem vencimento",IF($C770&lt;TODAY(),"Vencido",IF($C770=TODAY(),"Vence hoje",IF($C770&lt;=TODAY()+7,"Vence em 7 dias",IF($C770&lt;=TODAY()+30,"Vence em 30 dias","Futuro")))))))))</f>
        <v/>
      </c>
      <c r="Z770" s="24">
        <f>IF($B770="","",MONTH($B770))</f>
        <v/>
      </c>
      <c r="AA770" s="24">
        <f>IF($B770="","",YEAR($B770))</f>
        <v/>
      </c>
      <c r="AB770" s="24">
        <f>IF($B770="","",ISOWEEKNUM($B770))</f>
        <v/>
      </c>
      <c r="AC770" s="17">
        <f>IF($B770="","",CHOOSE(WEEKDAY($B770,2),"Segunda","Terça","Quarta","Quinta","Sexta","Sábado","Domingo"))</f>
        <v/>
      </c>
      <c r="AD770" s="17">
        <f>IF($B770="","",TEXT($B770,"MM/AAAA"))</f>
        <v/>
      </c>
      <c r="AE770" s="18">
        <f>IF(COUNTA($B770:$R770)=0,"",IF($X770="Cancelado",0,ROUND(N($Q770)+N($S770)+N($T770)-N($U770),2)))</f>
        <v/>
      </c>
      <c r="AF770" s="9">
        <f>IF($G770="","",IFERROR(INDEX(LINHAS_DRE_PLANO,MATCH($G770,SUBCATEGORIAS_PLANO,0)),"Não classificado"))</f>
        <v/>
      </c>
      <c r="AG770" s="17">
        <f>IF($G770="","",IFERROR(INDEX(TIPOS_FLUXO_PLANO,MATCH($G770,SUBCATEGORIAS_PLANO,0)),"Não classificado"))</f>
        <v/>
      </c>
      <c r="AH770" s="9">
        <f>IF($G770="","",IFERROR(INDEX(GRUPOS_PLANO,MATCH($G770,SUBCATEGORIAS_PLANO,0)),"Não classificado"))</f>
        <v/>
      </c>
      <c r="AI770" s="24">
        <f>IF(OR($C770="",$X770="Pago",$X770="Recebido",$X770="Cancelado"),"",$C770-TODAY())</f>
        <v/>
      </c>
      <c r="AJ770" s="24">
        <f>IF(OR($C770="",$X770="Pago",$X770="Recebido",$X770="Cancelado"),0,MAX(0,TODAY()-$C770))</f>
        <v/>
      </c>
      <c r="AK770" s="24">
        <f>IF($D770="","",$D770-$B770)</f>
        <v/>
      </c>
      <c r="AL770" s="18">
        <f>IF(OR($D770="",$B770=""),"",ROUND(N($R770)*($D770-$B770),2))</f>
        <v/>
      </c>
      <c r="AM770" s="17">
        <f>IF(AND($E770="Saída",$W770&gt;0,$C770&lt;&gt;""),$C770+ROW()/1000000,"")</f>
        <v/>
      </c>
      <c r="AN770" s="17">
        <f>IF(AND($E770="Entrada",$W770&gt;0,$C770&lt;&gt;""),$C770+ROW()/1000000,"")</f>
        <v/>
      </c>
      <c r="AO770" s="9">
        <f>IF(COUNTA($B770:$R770)=0,"",IF(AND($I770&lt;&gt;"",COUNTIF(CLIENTES_NOMES,$I770)+COUNTIF(CLIENTES_FANTASIA,$I770)+COUNTIF(FORNECEDORES_NOMES,$I770)+COUNTIF(FORNECEDORES_FANTASIA,$I770)=0),"⚠ Cliente/Fornecedor não cadastrado",IF(AND($G770&lt;&gt;"",COUNTIF(SUBCATEGORIAS_PLANO,$G770)=0),"⚠ Subcategoria fora do plano de contas",IF(OR($Q770="",N($Q770)=0),"⚠ Valor previsto não informado",IF(AND(OR($X770="Pago",$X770="Recebido"),$D770=""),"⚠ Status pago/recebido sem data",IF(AND($D770&lt;&gt;"",N($R770)=0),"⚠ Data de pagamento sem valor realizado",IF(AND(N($P770)&gt;1,N($O770)&gt;N($P770)),"⚠ Nº da parcela maior que o total",IF(AND($C770&lt;&gt;"",$B770&lt;&gt;"",$C770&lt;$B770),"⚠ Vencimento anterior à competência","OK"))))))))</f>
        <v/>
      </c>
    </row>
    <row r="771">
      <c r="A771" s="14" t="n"/>
      <c r="B771" s="36" t="n"/>
      <c r="C771" s="36" t="n"/>
      <c r="D771" s="36" t="n"/>
      <c r="E771" s="14" t="n"/>
      <c r="F771" s="29" t="n"/>
      <c r="G771" s="29" t="n"/>
      <c r="H771" s="29" t="n"/>
      <c r="I771" s="29" t="n"/>
      <c r="J771" s="29" t="n"/>
      <c r="K771" s="14" t="n"/>
      <c r="L771" s="29" t="n"/>
      <c r="M771" s="14" t="n"/>
      <c r="N771" s="29" t="n"/>
      <c r="O771" s="13" t="n"/>
      <c r="P771" s="13" t="n"/>
      <c r="Q771" s="35" t="n"/>
      <c r="R771" s="35" t="n"/>
      <c r="S771" s="35" t="n"/>
      <c r="T771" s="35" t="n"/>
      <c r="U771" s="35" t="n"/>
      <c r="V771" s="18">
        <f>IF(COUNTA($B771:$R771)=0,"",ROUND(N($R771)+N($S771)+N($T771)-N($U771),2))</f>
        <v/>
      </c>
      <c r="W771" s="18">
        <f>IF(COUNTA($B771:$R771)=0,"",IF(OR($X771="Pago",$X771="Recebido",$X771="Cancelado"),0,ROUND(N($Q771)+N($S771)+N($T771)-N($U771)-N($R771),2)))</f>
        <v/>
      </c>
      <c r="X771" s="14" t="n"/>
      <c r="Y771" s="17">
        <f>IF(COUNTA($B771:$R771)=0,"",IF($X771="Cancelado","Cancelado",IF(OR($X771="Pago",$X771="Recebido"),$X771,IF(OR($X771="Parcial",N($R771)&gt;0),"Parcial",IF($C771="","Sem vencimento",IF($C771&lt;TODAY(),"Vencido",IF($C771=TODAY(),"Vence hoje",IF($C771&lt;=TODAY()+7,"Vence em 7 dias",IF($C771&lt;=TODAY()+30,"Vence em 30 dias","Futuro")))))))))</f>
        <v/>
      </c>
      <c r="Z771" s="24">
        <f>IF($B771="","",MONTH($B771))</f>
        <v/>
      </c>
      <c r="AA771" s="24">
        <f>IF($B771="","",YEAR($B771))</f>
        <v/>
      </c>
      <c r="AB771" s="24">
        <f>IF($B771="","",ISOWEEKNUM($B771))</f>
        <v/>
      </c>
      <c r="AC771" s="17">
        <f>IF($B771="","",CHOOSE(WEEKDAY($B771,2),"Segunda","Terça","Quarta","Quinta","Sexta","Sábado","Domingo"))</f>
        <v/>
      </c>
      <c r="AD771" s="17">
        <f>IF($B771="","",TEXT($B771,"MM/AAAA"))</f>
        <v/>
      </c>
      <c r="AE771" s="18">
        <f>IF(COUNTA($B771:$R771)=0,"",IF($X771="Cancelado",0,ROUND(N($Q771)+N($S771)+N($T771)-N($U771),2)))</f>
        <v/>
      </c>
      <c r="AF771" s="9">
        <f>IF($G771="","",IFERROR(INDEX(LINHAS_DRE_PLANO,MATCH($G771,SUBCATEGORIAS_PLANO,0)),"Não classificado"))</f>
        <v/>
      </c>
      <c r="AG771" s="17">
        <f>IF($G771="","",IFERROR(INDEX(TIPOS_FLUXO_PLANO,MATCH($G771,SUBCATEGORIAS_PLANO,0)),"Não classificado"))</f>
        <v/>
      </c>
      <c r="AH771" s="9">
        <f>IF($G771="","",IFERROR(INDEX(GRUPOS_PLANO,MATCH($G771,SUBCATEGORIAS_PLANO,0)),"Não classificado"))</f>
        <v/>
      </c>
      <c r="AI771" s="24">
        <f>IF(OR($C771="",$X771="Pago",$X771="Recebido",$X771="Cancelado"),"",$C771-TODAY())</f>
        <v/>
      </c>
      <c r="AJ771" s="24">
        <f>IF(OR($C771="",$X771="Pago",$X771="Recebido",$X771="Cancelado"),0,MAX(0,TODAY()-$C771))</f>
        <v/>
      </c>
      <c r="AK771" s="24">
        <f>IF($D771="","",$D771-$B771)</f>
        <v/>
      </c>
      <c r="AL771" s="18">
        <f>IF(OR($D771="",$B771=""),"",ROUND(N($R771)*($D771-$B771),2))</f>
        <v/>
      </c>
      <c r="AM771" s="17">
        <f>IF(AND($E771="Saída",$W771&gt;0,$C771&lt;&gt;""),$C771+ROW()/1000000,"")</f>
        <v/>
      </c>
      <c r="AN771" s="17">
        <f>IF(AND($E771="Entrada",$W771&gt;0,$C771&lt;&gt;""),$C771+ROW()/1000000,"")</f>
        <v/>
      </c>
      <c r="AO771" s="9">
        <f>IF(COUNTA($B771:$R771)=0,"",IF(AND($I771&lt;&gt;"",COUNTIF(CLIENTES_NOMES,$I771)+COUNTIF(CLIENTES_FANTASIA,$I771)+COUNTIF(FORNECEDORES_NOMES,$I771)+COUNTIF(FORNECEDORES_FANTASIA,$I771)=0),"⚠ Cliente/Fornecedor não cadastrado",IF(AND($G771&lt;&gt;"",COUNTIF(SUBCATEGORIAS_PLANO,$G771)=0),"⚠ Subcategoria fora do plano de contas",IF(OR($Q771="",N($Q771)=0),"⚠ Valor previsto não informado",IF(AND(OR($X771="Pago",$X771="Recebido"),$D771=""),"⚠ Status pago/recebido sem data",IF(AND($D771&lt;&gt;"",N($R771)=0),"⚠ Data de pagamento sem valor realizado",IF(AND(N($P771)&gt;1,N($O771)&gt;N($P771)),"⚠ Nº da parcela maior que o total",IF(AND($C771&lt;&gt;"",$B771&lt;&gt;"",$C771&lt;$B771),"⚠ Vencimento anterior à competência","OK"))))))))</f>
        <v/>
      </c>
    </row>
    <row r="772">
      <c r="A772" s="14" t="n"/>
      <c r="B772" s="36" t="n"/>
      <c r="C772" s="36" t="n"/>
      <c r="D772" s="36" t="n"/>
      <c r="E772" s="14" t="n"/>
      <c r="F772" s="29" t="n"/>
      <c r="G772" s="29" t="n"/>
      <c r="H772" s="29" t="n"/>
      <c r="I772" s="29" t="n"/>
      <c r="J772" s="29" t="n"/>
      <c r="K772" s="14" t="n"/>
      <c r="L772" s="29" t="n"/>
      <c r="M772" s="14" t="n"/>
      <c r="N772" s="29" t="n"/>
      <c r="O772" s="13" t="n"/>
      <c r="P772" s="13" t="n"/>
      <c r="Q772" s="35" t="n"/>
      <c r="R772" s="35" t="n"/>
      <c r="S772" s="35" t="n"/>
      <c r="T772" s="35" t="n"/>
      <c r="U772" s="35" t="n"/>
      <c r="V772" s="18">
        <f>IF(COUNTA($B772:$R772)=0,"",ROUND(N($R772)+N($S772)+N($T772)-N($U772),2))</f>
        <v/>
      </c>
      <c r="W772" s="18">
        <f>IF(COUNTA($B772:$R772)=0,"",IF(OR($X772="Pago",$X772="Recebido",$X772="Cancelado"),0,ROUND(N($Q772)+N($S772)+N($T772)-N($U772)-N($R772),2)))</f>
        <v/>
      </c>
      <c r="X772" s="14" t="n"/>
      <c r="Y772" s="17">
        <f>IF(COUNTA($B772:$R772)=0,"",IF($X772="Cancelado","Cancelado",IF(OR($X772="Pago",$X772="Recebido"),$X772,IF(OR($X772="Parcial",N($R772)&gt;0),"Parcial",IF($C772="","Sem vencimento",IF($C772&lt;TODAY(),"Vencido",IF($C772=TODAY(),"Vence hoje",IF($C772&lt;=TODAY()+7,"Vence em 7 dias",IF($C772&lt;=TODAY()+30,"Vence em 30 dias","Futuro")))))))))</f>
        <v/>
      </c>
      <c r="Z772" s="24">
        <f>IF($B772="","",MONTH($B772))</f>
        <v/>
      </c>
      <c r="AA772" s="24">
        <f>IF($B772="","",YEAR($B772))</f>
        <v/>
      </c>
      <c r="AB772" s="24">
        <f>IF($B772="","",ISOWEEKNUM($B772))</f>
        <v/>
      </c>
      <c r="AC772" s="17">
        <f>IF($B772="","",CHOOSE(WEEKDAY($B772,2),"Segunda","Terça","Quarta","Quinta","Sexta","Sábado","Domingo"))</f>
        <v/>
      </c>
      <c r="AD772" s="17">
        <f>IF($B772="","",TEXT($B772,"MM/AAAA"))</f>
        <v/>
      </c>
      <c r="AE772" s="18">
        <f>IF(COUNTA($B772:$R772)=0,"",IF($X772="Cancelado",0,ROUND(N($Q772)+N($S772)+N($T772)-N($U772),2)))</f>
        <v/>
      </c>
      <c r="AF772" s="9">
        <f>IF($G772="","",IFERROR(INDEX(LINHAS_DRE_PLANO,MATCH($G772,SUBCATEGORIAS_PLANO,0)),"Não classificado"))</f>
        <v/>
      </c>
      <c r="AG772" s="17">
        <f>IF($G772="","",IFERROR(INDEX(TIPOS_FLUXO_PLANO,MATCH($G772,SUBCATEGORIAS_PLANO,0)),"Não classificado"))</f>
        <v/>
      </c>
      <c r="AH772" s="9">
        <f>IF($G772="","",IFERROR(INDEX(GRUPOS_PLANO,MATCH($G772,SUBCATEGORIAS_PLANO,0)),"Não classificado"))</f>
        <v/>
      </c>
      <c r="AI772" s="24">
        <f>IF(OR($C772="",$X772="Pago",$X772="Recebido",$X772="Cancelado"),"",$C772-TODAY())</f>
        <v/>
      </c>
      <c r="AJ772" s="24">
        <f>IF(OR($C772="",$X772="Pago",$X772="Recebido",$X772="Cancelado"),0,MAX(0,TODAY()-$C772))</f>
        <v/>
      </c>
      <c r="AK772" s="24">
        <f>IF($D772="","",$D772-$B772)</f>
        <v/>
      </c>
      <c r="AL772" s="18">
        <f>IF(OR($D772="",$B772=""),"",ROUND(N($R772)*($D772-$B772),2))</f>
        <v/>
      </c>
      <c r="AM772" s="17">
        <f>IF(AND($E772="Saída",$W772&gt;0,$C772&lt;&gt;""),$C772+ROW()/1000000,"")</f>
        <v/>
      </c>
      <c r="AN772" s="17">
        <f>IF(AND($E772="Entrada",$W772&gt;0,$C772&lt;&gt;""),$C772+ROW()/1000000,"")</f>
        <v/>
      </c>
      <c r="AO772" s="9">
        <f>IF(COUNTA($B772:$R772)=0,"",IF(AND($I772&lt;&gt;"",COUNTIF(CLIENTES_NOMES,$I772)+COUNTIF(CLIENTES_FANTASIA,$I772)+COUNTIF(FORNECEDORES_NOMES,$I772)+COUNTIF(FORNECEDORES_FANTASIA,$I772)=0),"⚠ Cliente/Fornecedor não cadastrado",IF(AND($G772&lt;&gt;"",COUNTIF(SUBCATEGORIAS_PLANO,$G772)=0),"⚠ Subcategoria fora do plano de contas",IF(OR($Q772="",N($Q772)=0),"⚠ Valor previsto não informado",IF(AND(OR($X772="Pago",$X772="Recebido"),$D772=""),"⚠ Status pago/recebido sem data",IF(AND($D772&lt;&gt;"",N($R772)=0),"⚠ Data de pagamento sem valor realizado",IF(AND(N($P772)&gt;1,N($O772)&gt;N($P772)),"⚠ Nº da parcela maior que o total",IF(AND($C772&lt;&gt;"",$B772&lt;&gt;"",$C772&lt;$B772),"⚠ Vencimento anterior à competência","OK"))))))))</f>
        <v/>
      </c>
    </row>
    <row r="773">
      <c r="A773" s="14" t="n"/>
      <c r="B773" s="36" t="n"/>
      <c r="C773" s="36" t="n"/>
      <c r="D773" s="36" t="n"/>
      <c r="E773" s="14" t="n"/>
      <c r="F773" s="29" t="n"/>
      <c r="G773" s="29" t="n"/>
      <c r="H773" s="29" t="n"/>
      <c r="I773" s="29" t="n"/>
      <c r="J773" s="29" t="n"/>
      <c r="K773" s="14" t="n"/>
      <c r="L773" s="29" t="n"/>
      <c r="M773" s="14" t="n"/>
      <c r="N773" s="29" t="n"/>
      <c r="O773" s="13" t="n"/>
      <c r="P773" s="13" t="n"/>
      <c r="Q773" s="35" t="n"/>
      <c r="R773" s="35" t="n"/>
      <c r="S773" s="35" t="n"/>
      <c r="T773" s="35" t="n"/>
      <c r="U773" s="35" t="n"/>
      <c r="V773" s="18">
        <f>IF(COUNTA($B773:$R773)=0,"",ROUND(N($R773)+N($S773)+N($T773)-N($U773),2))</f>
        <v/>
      </c>
      <c r="W773" s="18">
        <f>IF(COUNTA($B773:$R773)=0,"",IF(OR($X773="Pago",$X773="Recebido",$X773="Cancelado"),0,ROUND(N($Q773)+N($S773)+N($T773)-N($U773)-N($R773),2)))</f>
        <v/>
      </c>
      <c r="X773" s="14" t="n"/>
      <c r="Y773" s="17">
        <f>IF(COUNTA($B773:$R773)=0,"",IF($X773="Cancelado","Cancelado",IF(OR($X773="Pago",$X773="Recebido"),$X773,IF(OR($X773="Parcial",N($R773)&gt;0),"Parcial",IF($C773="","Sem vencimento",IF($C773&lt;TODAY(),"Vencido",IF($C773=TODAY(),"Vence hoje",IF($C773&lt;=TODAY()+7,"Vence em 7 dias",IF($C773&lt;=TODAY()+30,"Vence em 30 dias","Futuro")))))))))</f>
        <v/>
      </c>
      <c r="Z773" s="24">
        <f>IF($B773="","",MONTH($B773))</f>
        <v/>
      </c>
      <c r="AA773" s="24">
        <f>IF($B773="","",YEAR($B773))</f>
        <v/>
      </c>
      <c r="AB773" s="24">
        <f>IF($B773="","",ISOWEEKNUM($B773))</f>
        <v/>
      </c>
      <c r="AC773" s="17">
        <f>IF($B773="","",CHOOSE(WEEKDAY($B773,2),"Segunda","Terça","Quarta","Quinta","Sexta","Sábado","Domingo"))</f>
        <v/>
      </c>
      <c r="AD773" s="17">
        <f>IF($B773="","",TEXT($B773,"MM/AAAA"))</f>
        <v/>
      </c>
      <c r="AE773" s="18">
        <f>IF(COUNTA($B773:$R773)=0,"",IF($X773="Cancelado",0,ROUND(N($Q773)+N($S773)+N($T773)-N($U773),2)))</f>
        <v/>
      </c>
      <c r="AF773" s="9">
        <f>IF($G773="","",IFERROR(INDEX(LINHAS_DRE_PLANO,MATCH($G773,SUBCATEGORIAS_PLANO,0)),"Não classificado"))</f>
        <v/>
      </c>
      <c r="AG773" s="17">
        <f>IF($G773="","",IFERROR(INDEX(TIPOS_FLUXO_PLANO,MATCH($G773,SUBCATEGORIAS_PLANO,0)),"Não classificado"))</f>
        <v/>
      </c>
      <c r="AH773" s="9">
        <f>IF($G773="","",IFERROR(INDEX(GRUPOS_PLANO,MATCH($G773,SUBCATEGORIAS_PLANO,0)),"Não classificado"))</f>
        <v/>
      </c>
      <c r="AI773" s="24">
        <f>IF(OR($C773="",$X773="Pago",$X773="Recebido",$X773="Cancelado"),"",$C773-TODAY())</f>
        <v/>
      </c>
      <c r="AJ773" s="24">
        <f>IF(OR($C773="",$X773="Pago",$X773="Recebido",$X773="Cancelado"),0,MAX(0,TODAY()-$C773))</f>
        <v/>
      </c>
      <c r="AK773" s="24">
        <f>IF($D773="","",$D773-$B773)</f>
        <v/>
      </c>
      <c r="AL773" s="18">
        <f>IF(OR($D773="",$B773=""),"",ROUND(N($R773)*($D773-$B773),2))</f>
        <v/>
      </c>
      <c r="AM773" s="17">
        <f>IF(AND($E773="Saída",$W773&gt;0,$C773&lt;&gt;""),$C773+ROW()/1000000,"")</f>
        <v/>
      </c>
      <c r="AN773" s="17">
        <f>IF(AND($E773="Entrada",$W773&gt;0,$C773&lt;&gt;""),$C773+ROW()/1000000,"")</f>
        <v/>
      </c>
      <c r="AO773" s="9">
        <f>IF(COUNTA($B773:$R773)=0,"",IF(AND($I773&lt;&gt;"",COUNTIF(CLIENTES_NOMES,$I773)+COUNTIF(CLIENTES_FANTASIA,$I773)+COUNTIF(FORNECEDORES_NOMES,$I773)+COUNTIF(FORNECEDORES_FANTASIA,$I773)=0),"⚠ Cliente/Fornecedor não cadastrado",IF(AND($G773&lt;&gt;"",COUNTIF(SUBCATEGORIAS_PLANO,$G773)=0),"⚠ Subcategoria fora do plano de contas",IF(OR($Q773="",N($Q773)=0),"⚠ Valor previsto não informado",IF(AND(OR($X773="Pago",$X773="Recebido"),$D773=""),"⚠ Status pago/recebido sem data",IF(AND($D773&lt;&gt;"",N($R773)=0),"⚠ Data de pagamento sem valor realizado",IF(AND(N($P773)&gt;1,N($O773)&gt;N($P773)),"⚠ Nº da parcela maior que o total",IF(AND($C773&lt;&gt;"",$B773&lt;&gt;"",$C773&lt;$B773),"⚠ Vencimento anterior à competência","OK"))))))))</f>
        <v/>
      </c>
    </row>
    <row r="774">
      <c r="A774" s="14" t="n"/>
      <c r="B774" s="36" t="n"/>
      <c r="C774" s="36" t="n"/>
      <c r="D774" s="36" t="n"/>
      <c r="E774" s="14" t="n"/>
      <c r="F774" s="29" t="n"/>
      <c r="G774" s="29" t="n"/>
      <c r="H774" s="29" t="n"/>
      <c r="I774" s="29" t="n"/>
      <c r="J774" s="29" t="n"/>
      <c r="K774" s="14" t="n"/>
      <c r="L774" s="29" t="n"/>
      <c r="M774" s="14" t="n"/>
      <c r="N774" s="29" t="n"/>
      <c r="O774" s="13" t="n"/>
      <c r="P774" s="13" t="n"/>
      <c r="Q774" s="35" t="n"/>
      <c r="R774" s="35" t="n"/>
      <c r="S774" s="35" t="n"/>
      <c r="T774" s="35" t="n"/>
      <c r="U774" s="35" t="n"/>
      <c r="V774" s="18">
        <f>IF(COUNTA($B774:$R774)=0,"",ROUND(N($R774)+N($S774)+N($T774)-N($U774),2))</f>
        <v/>
      </c>
      <c r="W774" s="18">
        <f>IF(COUNTA($B774:$R774)=0,"",IF(OR($X774="Pago",$X774="Recebido",$X774="Cancelado"),0,ROUND(N($Q774)+N($S774)+N($T774)-N($U774)-N($R774),2)))</f>
        <v/>
      </c>
      <c r="X774" s="14" t="n"/>
      <c r="Y774" s="17">
        <f>IF(COUNTA($B774:$R774)=0,"",IF($X774="Cancelado","Cancelado",IF(OR($X774="Pago",$X774="Recebido"),$X774,IF(OR($X774="Parcial",N($R774)&gt;0),"Parcial",IF($C774="","Sem vencimento",IF($C774&lt;TODAY(),"Vencido",IF($C774=TODAY(),"Vence hoje",IF($C774&lt;=TODAY()+7,"Vence em 7 dias",IF($C774&lt;=TODAY()+30,"Vence em 30 dias","Futuro")))))))))</f>
        <v/>
      </c>
      <c r="Z774" s="24">
        <f>IF($B774="","",MONTH($B774))</f>
        <v/>
      </c>
      <c r="AA774" s="24">
        <f>IF($B774="","",YEAR($B774))</f>
        <v/>
      </c>
      <c r="AB774" s="24">
        <f>IF($B774="","",ISOWEEKNUM($B774))</f>
        <v/>
      </c>
      <c r="AC774" s="17">
        <f>IF($B774="","",CHOOSE(WEEKDAY($B774,2),"Segunda","Terça","Quarta","Quinta","Sexta","Sábado","Domingo"))</f>
        <v/>
      </c>
      <c r="AD774" s="17">
        <f>IF($B774="","",TEXT($B774,"MM/AAAA"))</f>
        <v/>
      </c>
      <c r="AE774" s="18">
        <f>IF(COUNTA($B774:$R774)=0,"",IF($X774="Cancelado",0,ROUND(N($Q774)+N($S774)+N($T774)-N($U774),2)))</f>
        <v/>
      </c>
      <c r="AF774" s="9">
        <f>IF($G774="","",IFERROR(INDEX(LINHAS_DRE_PLANO,MATCH($G774,SUBCATEGORIAS_PLANO,0)),"Não classificado"))</f>
        <v/>
      </c>
      <c r="AG774" s="17">
        <f>IF($G774="","",IFERROR(INDEX(TIPOS_FLUXO_PLANO,MATCH($G774,SUBCATEGORIAS_PLANO,0)),"Não classificado"))</f>
        <v/>
      </c>
      <c r="AH774" s="9">
        <f>IF($G774="","",IFERROR(INDEX(GRUPOS_PLANO,MATCH($G774,SUBCATEGORIAS_PLANO,0)),"Não classificado"))</f>
        <v/>
      </c>
      <c r="AI774" s="24">
        <f>IF(OR($C774="",$X774="Pago",$X774="Recebido",$X774="Cancelado"),"",$C774-TODAY())</f>
        <v/>
      </c>
      <c r="AJ774" s="24">
        <f>IF(OR($C774="",$X774="Pago",$X774="Recebido",$X774="Cancelado"),0,MAX(0,TODAY()-$C774))</f>
        <v/>
      </c>
      <c r="AK774" s="24">
        <f>IF($D774="","",$D774-$B774)</f>
        <v/>
      </c>
      <c r="AL774" s="18">
        <f>IF(OR($D774="",$B774=""),"",ROUND(N($R774)*($D774-$B774),2))</f>
        <v/>
      </c>
      <c r="AM774" s="17">
        <f>IF(AND($E774="Saída",$W774&gt;0,$C774&lt;&gt;""),$C774+ROW()/1000000,"")</f>
        <v/>
      </c>
      <c r="AN774" s="17">
        <f>IF(AND($E774="Entrada",$W774&gt;0,$C774&lt;&gt;""),$C774+ROW()/1000000,"")</f>
        <v/>
      </c>
      <c r="AO774" s="9">
        <f>IF(COUNTA($B774:$R774)=0,"",IF(AND($I774&lt;&gt;"",COUNTIF(CLIENTES_NOMES,$I774)+COUNTIF(CLIENTES_FANTASIA,$I774)+COUNTIF(FORNECEDORES_NOMES,$I774)+COUNTIF(FORNECEDORES_FANTASIA,$I774)=0),"⚠ Cliente/Fornecedor não cadastrado",IF(AND($G774&lt;&gt;"",COUNTIF(SUBCATEGORIAS_PLANO,$G774)=0),"⚠ Subcategoria fora do plano de contas",IF(OR($Q774="",N($Q774)=0),"⚠ Valor previsto não informado",IF(AND(OR($X774="Pago",$X774="Recebido"),$D774=""),"⚠ Status pago/recebido sem data",IF(AND($D774&lt;&gt;"",N($R774)=0),"⚠ Data de pagamento sem valor realizado",IF(AND(N($P774)&gt;1,N($O774)&gt;N($P774)),"⚠ Nº da parcela maior que o total",IF(AND($C774&lt;&gt;"",$B774&lt;&gt;"",$C774&lt;$B774),"⚠ Vencimento anterior à competência","OK"))))))))</f>
        <v/>
      </c>
    </row>
    <row r="775">
      <c r="A775" s="14" t="n"/>
      <c r="B775" s="36" t="n"/>
      <c r="C775" s="36" t="n"/>
      <c r="D775" s="36" t="n"/>
      <c r="E775" s="14" t="n"/>
      <c r="F775" s="29" t="n"/>
      <c r="G775" s="29" t="n"/>
      <c r="H775" s="29" t="n"/>
      <c r="I775" s="29" t="n"/>
      <c r="J775" s="29" t="n"/>
      <c r="K775" s="14" t="n"/>
      <c r="L775" s="29" t="n"/>
      <c r="M775" s="14" t="n"/>
      <c r="N775" s="29" t="n"/>
      <c r="O775" s="13" t="n"/>
      <c r="P775" s="13" t="n"/>
      <c r="Q775" s="35" t="n"/>
      <c r="R775" s="35" t="n"/>
      <c r="S775" s="35" t="n"/>
      <c r="T775" s="35" t="n"/>
      <c r="U775" s="35" t="n"/>
      <c r="V775" s="18">
        <f>IF(COUNTA($B775:$R775)=0,"",ROUND(N($R775)+N($S775)+N($T775)-N($U775),2))</f>
        <v/>
      </c>
      <c r="W775" s="18">
        <f>IF(COUNTA($B775:$R775)=0,"",IF(OR($X775="Pago",$X775="Recebido",$X775="Cancelado"),0,ROUND(N($Q775)+N($S775)+N($T775)-N($U775)-N($R775),2)))</f>
        <v/>
      </c>
      <c r="X775" s="14" t="n"/>
      <c r="Y775" s="17">
        <f>IF(COUNTA($B775:$R775)=0,"",IF($X775="Cancelado","Cancelado",IF(OR($X775="Pago",$X775="Recebido"),$X775,IF(OR($X775="Parcial",N($R775)&gt;0),"Parcial",IF($C775="","Sem vencimento",IF($C775&lt;TODAY(),"Vencido",IF($C775=TODAY(),"Vence hoje",IF($C775&lt;=TODAY()+7,"Vence em 7 dias",IF($C775&lt;=TODAY()+30,"Vence em 30 dias","Futuro")))))))))</f>
        <v/>
      </c>
      <c r="Z775" s="24">
        <f>IF($B775="","",MONTH($B775))</f>
        <v/>
      </c>
      <c r="AA775" s="24">
        <f>IF($B775="","",YEAR($B775))</f>
        <v/>
      </c>
      <c r="AB775" s="24">
        <f>IF($B775="","",ISOWEEKNUM($B775))</f>
        <v/>
      </c>
      <c r="AC775" s="17">
        <f>IF($B775="","",CHOOSE(WEEKDAY($B775,2),"Segunda","Terça","Quarta","Quinta","Sexta","Sábado","Domingo"))</f>
        <v/>
      </c>
      <c r="AD775" s="17">
        <f>IF($B775="","",TEXT($B775,"MM/AAAA"))</f>
        <v/>
      </c>
      <c r="AE775" s="18">
        <f>IF(COUNTA($B775:$R775)=0,"",IF($X775="Cancelado",0,ROUND(N($Q775)+N($S775)+N($T775)-N($U775),2)))</f>
        <v/>
      </c>
      <c r="AF775" s="9">
        <f>IF($G775="","",IFERROR(INDEX(LINHAS_DRE_PLANO,MATCH($G775,SUBCATEGORIAS_PLANO,0)),"Não classificado"))</f>
        <v/>
      </c>
      <c r="AG775" s="17">
        <f>IF($G775="","",IFERROR(INDEX(TIPOS_FLUXO_PLANO,MATCH($G775,SUBCATEGORIAS_PLANO,0)),"Não classificado"))</f>
        <v/>
      </c>
      <c r="AH775" s="9">
        <f>IF($G775="","",IFERROR(INDEX(GRUPOS_PLANO,MATCH($G775,SUBCATEGORIAS_PLANO,0)),"Não classificado"))</f>
        <v/>
      </c>
      <c r="AI775" s="24">
        <f>IF(OR($C775="",$X775="Pago",$X775="Recebido",$X775="Cancelado"),"",$C775-TODAY())</f>
        <v/>
      </c>
      <c r="AJ775" s="24">
        <f>IF(OR($C775="",$X775="Pago",$X775="Recebido",$X775="Cancelado"),0,MAX(0,TODAY()-$C775))</f>
        <v/>
      </c>
      <c r="AK775" s="24">
        <f>IF($D775="","",$D775-$B775)</f>
        <v/>
      </c>
      <c r="AL775" s="18">
        <f>IF(OR($D775="",$B775=""),"",ROUND(N($R775)*($D775-$B775),2))</f>
        <v/>
      </c>
      <c r="AM775" s="17">
        <f>IF(AND($E775="Saída",$W775&gt;0,$C775&lt;&gt;""),$C775+ROW()/1000000,"")</f>
        <v/>
      </c>
      <c r="AN775" s="17">
        <f>IF(AND($E775="Entrada",$W775&gt;0,$C775&lt;&gt;""),$C775+ROW()/1000000,"")</f>
        <v/>
      </c>
      <c r="AO775" s="9">
        <f>IF(COUNTA($B775:$R775)=0,"",IF(AND($I775&lt;&gt;"",COUNTIF(CLIENTES_NOMES,$I775)+COUNTIF(CLIENTES_FANTASIA,$I775)+COUNTIF(FORNECEDORES_NOMES,$I775)+COUNTIF(FORNECEDORES_FANTASIA,$I775)=0),"⚠ Cliente/Fornecedor não cadastrado",IF(AND($G775&lt;&gt;"",COUNTIF(SUBCATEGORIAS_PLANO,$G775)=0),"⚠ Subcategoria fora do plano de contas",IF(OR($Q775="",N($Q775)=0),"⚠ Valor previsto não informado",IF(AND(OR($X775="Pago",$X775="Recebido"),$D775=""),"⚠ Status pago/recebido sem data",IF(AND($D775&lt;&gt;"",N($R775)=0),"⚠ Data de pagamento sem valor realizado",IF(AND(N($P775)&gt;1,N($O775)&gt;N($P775)),"⚠ Nº da parcela maior que o total",IF(AND($C775&lt;&gt;"",$B775&lt;&gt;"",$C775&lt;$B775),"⚠ Vencimento anterior à competência","OK"))))))))</f>
        <v/>
      </c>
    </row>
    <row r="776">
      <c r="A776" s="14" t="n"/>
      <c r="B776" s="36" t="n"/>
      <c r="C776" s="36" t="n"/>
      <c r="D776" s="36" t="n"/>
      <c r="E776" s="14" t="n"/>
      <c r="F776" s="29" t="n"/>
      <c r="G776" s="29" t="n"/>
      <c r="H776" s="29" t="n"/>
      <c r="I776" s="29" t="n"/>
      <c r="J776" s="29" t="n"/>
      <c r="K776" s="14" t="n"/>
      <c r="L776" s="29" t="n"/>
      <c r="M776" s="14" t="n"/>
      <c r="N776" s="29" t="n"/>
      <c r="O776" s="13" t="n"/>
      <c r="P776" s="13" t="n"/>
      <c r="Q776" s="35" t="n"/>
      <c r="R776" s="35" t="n"/>
      <c r="S776" s="35" t="n"/>
      <c r="T776" s="35" t="n"/>
      <c r="U776" s="35" t="n"/>
      <c r="V776" s="18">
        <f>IF(COUNTA($B776:$R776)=0,"",ROUND(N($R776)+N($S776)+N($T776)-N($U776),2))</f>
        <v/>
      </c>
      <c r="W776" s="18">
        <f>IF(COUNTA($B776:$R776)=0,"",IF(OR($X776="Pago",$X776="Recebido",$X776="Cancelado"),0,ROUND(N($Q776)+N($S776)+N($T776)-N($U776)-N($R776),2)))</f>
        <v/>
      </c>
      <c r="X776" s="14" t="n"/>
      <c r="Y776" s="17">
        <f>IF(COUNTA($B776:$R776)=0,"",IF($X776="Cancelado","Cancelado",IF(OR($X776="Pago",$X776="Recebido"),$X776,IF(OR($X776="Parcial",N($R776)&gt;0),"Parcial",IF($C776="","Sem vencimento",IF($C776&lt;TODAY(),"Vencido",IF($C776=TODAY(),"Vence hoje",IF($C776&lt;=TODAY()+7,"Vence em 7 dias",IF($C776&lt;=TODAY()+30,"Vence em 30 dias","Futuro")))))))))</f>
        <v/>
      </c>
      <c r="Z776" s="24">
        <f>IF($B776="","",MONTH($B776))</f>
        <v/>
      </c>
      <c r="AA776" s="24">
        <f>IF($B776="","",YEAR($B776))</f>
        <v/>
      </c>
      <c r="AB776" s="24">
        <f>IF($B776="","",ISOWEEKNUM($B776))</f>
        <v/>
      </c>
      <c r="AC776" s="17">
        <f>IF($B776="","",CHOOSE(WEEKDAY($B776,2),"Segunda","Terça","Quarta","Quinta","Sexta","Sábado","Domingo"))</f>
        <v/>
      </c>
      <c r="AD776" s="17">
        <f>IF($B776="","",TEXT($B776,"MM/AAAA"))</f>
        <v/>
      </c>
      <c r="AE776" s="18">
        <f>IF(COUNTA($B776:$R776)=0,"",IF($X776="Cancelado",0,ROUND(N($Q776)+N($S776)+N($T776)-N($U776),2)))</f>
        <v/>
      </c>
      <c r="AF776" s="9">
        <f>IF($G776="","",IFERROR(INDEX(LINHAS_DRE_PLANO,MATCH($G776,SUBCATEGORIAS_PLANO,0)),"Não classificado"))</f>
        <v/>
      </c>
      <c r="AG776" s="17">
        <f>IF($G776="","",IFERROR(INDEX(TIPOS_FLUXO_PLANO,MATCH($G776,SUBCATEGORIAS_PLANO,0)),"Não classificado"))</f>
        <v/>
      </c>
      <c r="AH776" s="9">
        <f>IF($G776="","",IFERROR(INDEX(GRUPOS_PLANO,MATCH($G776,SUBCATEGORIAS_PLANO,0)),"Não classificado"))</f>
        <v/>
      </c>
      <c r="AI776" s="24">
        <f>IF(OR($C776="",$X776="Pago",$X776="Recebido",$X776="Cancelado"),"",$C776-TODAY())</f>
        <v/>
      </c>
      <c r="AJ776" s="24">
        <f>IF(OR($C776="",$X776="Pago",$X776="Recebido",$X776="Cancelado"),0,MAX(0,TODAY()-$C776))</f>
        <v/>
      </c>
      <c r="AK776" s="24">
        <f>IF($D776="","",$D776-$B776)</f>
        <v/>
      </c>
      <c r="AL776" s="18">
        <f>IF(OR($D776="",$B776=""),"",ROUND(N($R776)*($D776-$B776),2))</f>
        <v/>
      </c>
      <c r="AM776" s="17">
        <f>IF(AND($E776="Saída",$W776&gt;0,$C776&lt;&gt;""),$C776+ROW()/1000000,"")</f>
        <v/>
      </c>
      <c r="AN776" s="17">
        <f>IF(AND($E776="Entrada",$W776&gt;0,$C776&lt;&gt;""),$C776+ROW()/1000000,"")</f>
        <v/>
      </c>
      <c r="AO776" s="9">
        <f>IF(COUNTA($B776:$R776)=0,"",IF(AND($I776&lt;&gt;"",COUNTIF(CLIENTES_NOMES,$I776)+COUNTIF(CLIENTES_FANTASIA,$I776)+COUNTIF(FORNECEDORES_NOMES,$I776)+COUNTIF(FORNECEDORES_FANTASIA,$I776)=0),"⚠ Cliente/Fornecedor não cadastrado",IF(AND($G776&lt;&gt;"",COUNTIF(SUBCATEGORIAS_PLANO,$G776)=0),"⚠ Subcategoria fora do plano de contas",IF(OR($Q776="",N($Q776)=0),"⚠ Valor previsto não informado",IF(AND(OR($X776="Pago",$X776="Recebido"),$D776=""),"⚠ Status pago/recebido sem data",IF(AND($D776&lt;&gt;"",N($R776)=0),"⚠ Data de pagamento sem valor realizado",IF(AND(N($P776)&gt;1,N($O776)&gt;N($P776)),"⚠ Nº da parcela maior que o total",IF(AND($C776&lt;&gt;"",$B776&lt;&gt;"",$C776&lt;$B776),"⚠ Vencimento anterior à competência","OK"))))))))</f>
        <v/>
      </c>
    </row>
    <row r="777">
      <c r="A777" s="14" t="n"/>
      <c r="B777" s="36" t="n"/>
      <c r="C777" s="36" t="n"/>
      <c r="D777" s="36" t="n"/>
      <c r="E777" s="14" t="n"/>
      <c r="F777" s="29" t="n"/>
      <c r="G777" s="29" t="n"/>
      <c r="H777" s="29" t="n"/>
      <c r="I777" s="29" t="n"/>
      <c r="J777" s="29" t="n"/>
      <c r="K777" s="14" t="n"/>
      <c r="L777" s="29" t="n"/>
      <c r="M777" s="14" t="n"/>
      <c r="N777" s="29" t="n"/>
      <c r="O777" s="13" t="n"/>
      <c r="P777" s="13" t="n"/>
      <c r="Q777" s="35" t="n"/>
      <c r="R777" s="35" t="n"/>
      <c r="S777" s="35" t="n"/>
      <c r="T777" s="35" t="n"/>
      <c r="U777" s="35" t="n"/>
      <c r="V777" s="18">
        <f>IF(COUNTA($B777:$R777)=0,"",ROUND(N($R777)+N($S777)+N($T777)-N($U777),2))</f>
        <v/>
      </c>
      <c r="W777" s="18">
        <f>IF(COUNTA($B777:$R777)=0,"",IF(OR($X777="Pago",$X777="Recebido",$X777="Cancelado"),0,ROUND(N($Q777)+N($S777)+N($T777)-N($U777)-N($R777),2)))</f>
        <v/>
      </c>
      <c r="X777" s="14" t="n"/>
      <c r="Y777" s="17">
        <f>IF(COUNTA($B777:$R777)=0,"",IF($X777="Cancelado","Cancelado",IF(OR($X777="Pago",$X777="Recebido"),$X777,IF(OR($X777="Parcial",N($R777)&gt;0),"Parcial",IF($C777="","Sem vencimento",IF($C777&lt;TODAY(),"Vencido",IF($C777=TODAY(),"Vence hoje",IF($C777&lt;=TODAY()+7,"Vence em 7 dias",IF($C777&lt;=TODAY()+30,"Vence em 30 dias","Futuro")))))))))</f>
        <v/>
      </c>
      <c r="Z777" s="24">
        <f>IF($B777="","",MONTH($B777))</f>
        <v/>
      </c>
      <c r="AA777" s="24">
        <f>IF($B777="","",YEAR($B777))</f>
        <v/>
      </c>
      <c r="AB777" s="24">
        <f>IF($B777="","",ISOWEEKNUM($B777))</f>
        <v/>
      </c>
      <c r="AC777" s="17">
        <f>IF($B777="","",CHOOSE(WEEKDAY($B777,2),"Segunda","Terça","Quarta","Quinta","Sexta","Sábado","Domingo"))</f>
        <v/>
      </c>
      <c r="AD777" s="17">
        <f>IF($B777="","",TEXT($B777,"MM/AAAA"))</f>
        <v/>
      </c>
      <c r="AE777" s="18">
        <f>IF(COUNTA($B777:$R777)=0,"",IF($X777="Cancelado",0,ROUND(N($Q777)+N($S777)+N($T777)-N($U777),2)))</f>
        <v/>
      </c>
      <c r="AF777" s="9">
        <f>IF($G777="","",IFERROR(INDEX(LINHAS_DRE_PLANO,MATCH($G777,SUBCATEGORIAS_PLANO,0)),"Não classificado"))</f>
        <v/>
      </c>
      <c r="AG777" s="17">
        <f>IF($G777="","",IFERROR(INDEX(TIPOS_FLUXO_PLANO,MATCH($G777,SUBCATEGORIAS_PLANO,0)),"Não classificado"))</f>
        <v/>
      </c>
      <c r="AH777" s="9">
        <f>IF($G777="","",IFERROR(INDEX(GRUPOS_PLANO,MATCH($G777,SUBCATEGORIAS_PLANO,0)),"Não classificado"))</f>
        <v/>
      </c>
      <c r="AI777" s="24">
        <f>IF(OR($C777="",$X777="Pago",$X777="Recebido",$X777="Cancelado"),"",$C777-TODAY())</f>
        <v/>
      </c>
      <c r="AJ777" s="24">
        <f>IF(OR($C777="",$X777="Pago",$X777="Recebido",$X777="Cancelado"),0,MAX(0,TODAY()-$C777))</f>
        <v/>
      </c>
      <c r="AK777" s="24">
        <f>IF($D777="","",$D777-$B777)</f>
        <v/>
      </c>
      <c r="AL777" s="18">
        <f>IF(OR($D777="",$B777=""),"",ROUND(N($R777)*($D777-$B777),2))</f>
        <v/>
      </c>
      <c r="AM777" s="17">
        <f>IF(AND($E777="Saída",$W777&gt;0,$C777&lt;&gt;""),$C777+ROW()/1000000,"")</f>
        <v/>
      </c>
      <c r="AN777" s="17">
        <f>IF(AND($E777="Entrada",$W777&gt;0,$C777&lt;&gt;""),$C777+ROW()/1000000,"")</f>
        <v/>
      </c>
      <c r="AO777" s="9">
        <f>IF(COUNTA($B777:$R777)=0,"",IF(AND($I777&lt;&gt;"",COUNTIF(CLIENTES_NOMES,$I777)+COUNTIF(CLIENTES_FANTASIA,$I777)+COUNTIF(FORNECEDORES_NOMES,$I777)+COUNTIF(FORNECEDORES_FANTASIA,$I777)=0),"⚠ Cliente/Fornecedor não cadastrado",IF(AND($G777&lt;&gt;"",COUNTIF(SUBCATEGORIAS_PLANO,$G777)=0),"⚠ Subcategoria fora do plano de contas",IF(OR($Q777="",N($Q777)=0),"⚠ Valor previsto não informado",IF(AND(OR($X777="Pago",$X777="Recebido"),$D777=""),"⚠ Status pago/recebido sem data",IF(AND($D777&lt;&gt;"",N($R777)=0),"⚠ Data de pagamento sem valor realizado",IF(AND(N($P777)&gt;1,N($O777)&gt;N($P777)),"⚠ Nº da parcela maior que o total",IF(AND($C777&lt;&gt;"",$B777&lt;&gt;"",$C777&lt;$B777),"⚠ Vencimento anterior à competência","OK"))))))))</f>
        <v/>
      </c>
    </row>
    <row r="778">
      <c r="A778" s="14" t="n"/>
      <c r="B778" s="36" t="n"/>
      <c r="C778" s="36" t="n"/>
      <c r="D778" s="36" t="n"/>
      <c r="E778" s="14" t="n"/>
      <c r="F778" s="29" t="n"/>
      <c r="G778" s="29" t="n"/>
      <c r="H778" s="29" t="n"/>
      <c r="I778" s="29" t="n"/>
      <c r="J778" s="29" t="n"/>
      <c r="K778" s="14" t="n"/>
      <c r="L778" s="29" t="n"/>
      <c r="M778" s="14" t="n"/>
      <c r="N778" s="29" t="n"/>
      <c r="O778" s="13" t="n"/>
      <c r="P778" s="13" t="n"/>
      <c r="Q778" s="35" t="n"/>
      <c r="R778" s="35" t="n"/>
      <c r="S778" s="35" t="n"/>
      <c r="T778" s="35" t="n"/>
      <c r="U778" s="35" t="n"/>
      <c r="V778" s="18">
        <f>IF(COUNTA($B778:$R778)=0,"",ROUND(N($R778)+N($S778)+N($T778)-N($U778),2))</f>
        <v/>
      </c>
      <c r="W778" s="18">
        <f>IF(COUNTA($B778:$R778)=0,"",IF(OR($X778="Pago",$X778="Recebido",$X778="Cancelado"),0,ROUND(N($Q778)+N($S778)+N($T778)-N($U778)-N($R778),2)))</f>
        <v/>
      </c>
      <c r="X778" s="14" t="n"/>
      <c r="Y778" s="17">
        <f>IF(COUNTA($B778:$R778)=0,"",IF($X778="Cancelado","Cancelado",IF(OR($X778="Pago",$X778="Recebido"),$X778,IF(OR($X778="Parcial",N($R778)&gt;0),"Parcial",IF($C778="","Sem vencimento",IF($C778&lt;TODAY(),"Vencido",IF($C778=TODAY(),"Vence hoje",IF($C778&lt;=TODAY()+7,"Vence em 7 dias",IF($C778&lt;=TODAY()+30,"Vence em 30 dias","Futuro")))))))))</f>
        <v/>
      </c>
      <c r="Z778" s="24">
        <f>IF($B778="","",MONTH($B778))</f>
        <v/>
      </c>
      <c r="AA778" s="24">
        <f>IF($B778="","",YEAR($B778))</f>
        <v/>
      </c>
      <c r="AB778" s="24">
        <f>IF($B778="","",ISOWEEKNUM($B778))</f>
        <v/>
      </c>
      <c r="AC778" s="17">
        <f>IF($B778="","",CHOOSE(WEEKDAY($B778,2),"Segunda","Terça","Quarta","Quinta","Sexta","Sábado","Domingo"))</f>
        <v/>
      </c>
      <c r="AD778" s="17">
        <f>IF($B778="","",TEXT($B778,"MM/AAAA"))</f>
        <v/>
      </c>
      <c r="AE778" s="18">
        <f>IF(COUNTA($B778:$R778)=0,"",IF($X778="Cancelado",0,ROUND(N($Q778)+N($S778)+N($T778)-N($U778),2)))</f>
        <v/>
      </c>
      <c r="AF778" s="9">
        <f>IF($G778="","",IFERROR(INDEX(LINHAS_DRE_PLANO,MATCH($G778,SUBCATEGORIAS_PLANO,0)),"Não classificado"))</f>
        <v/>
      </c>
      <c r="AG778" s="17">
        <f>IF($G778="","",IFERROR(INDEX(TIPOS_FLUXO_PLANO,MATCH($G778,SUBCATEGORIAS_PLANO,0)),"Não classificado"))</f>
        <v/>
      </c>
      <c r="AH778" s="9">
        <f>IF($G778="","",IFERROR(INDEX(GRUPOS_PLANO,MATCH($G778,SUBCATEGORIAS_PLANO,0)),"Não classificado"))</f>
        <v/>
      </c>
      <c r="AI778" s="24">
        <f>IF(OR($C778="",$X778="Pago",$X778="Recebido",$X778="Cancelado"),"",$C778-TODAY())</f>
        <v/>
      </c>
      <c r="AJ778" s="24">
        <f>IF(OR($C778="",$X778="Pago",$X778="Recebido",$X778="Cancelado"),0,MAX(0,TODAY()-$C778))</f>
        <v/>
      </c>
      <c r="AK778" s="24">
        <f>IF($D778="","",$D778-$B778)</f>
        <v/>
      </c>
      <c r="AL778" s="18">
        <f>IF(OR($D778="",$B778=""),"",ROUND(N($R778)*($D778-$B778),2))</f>
        <v/>
      </c>
      <c r="AM778" s="17">
        <f>IF(AND($E778="Saída",$W778&gt;0,$C778&lt;&gt;""),$C778+ROW()/1000000,"")</f>
        <v/>
      </c>
      <c r="AN778" s="17">
        <f>IF(AND($E778="Entrada",$W778&gt;0,$C778&lt;&gt;""),$C778+ROW()/1000000,"")</f>
        <v/>
      </c>
      <c r="AO778" s="9">
        <f>IF(COUNTA($B778:$R778)=0,"",IF(AND($I778&lt;&gt;"",COUNTIF(CLIENTES_NOMES,$I778)+COUNTIF(CLIENTES_FANTASIA,$I778)+COUNTIF(FORNECEDORES_NOMES,$I778)+COUNTIF(FORNECEDORES_FANTASIA,$I778)=0),"⚠ Cliente/Fornecedor não cadastrado",IF(AND($G778&lt;&gt;"",COUNTIF(SUBCATEGORIAS_PLANO,$G778)=0),"⚠ Subcategoria fora do plano de contas",IF(OR($Q778="",N($Q778)=0),"⚠ Valor previsto não informado",IF(AND(OR($X778="Pago",$X778="Recebido"),$D778=""),"⚠ Status pago/recebido sem data",IF(AND($D778&lt;&gt;"",N($R778)=0),"⚠ Data de pagamento sem valor realizado",IF(AND(N($P778)&gt;1,N($O778)&gt;N($P778)),"⚠ Nº da parcela maior que o total",IF(AND($C778&lt;&gt;"",$B778&lt;&gt;"",$C778&lt;$B778),"⚠ Vencimento anterior à competência","OK"))))))))</f>
        <v/>
      </c>
    </row>
    <row r="779">
      <c r="A779" s="14" t="n"/>
      <c r="B779" s="36" t="n"/>
      <c r="C779" s="36" t="n"/>
      <c r="D779" s="36" t="n"/>
      <c r="E779" s="14" t="n"/>
      <c r="F779" s="29" t="n"/>
      <c r="G779" s="29" t="n"/>
      <c r="H779" s="29" t="n"/>
      <c r="I779" s="29" t="n"/>
      <c r="J779" s="29" t="n"/>
      <c r="K779" s="14" t="n"/>
      <c r="L779" s="29" t="n"/>
      <c r="M779" s="14" t="n"/>
      <c r="N779" s="29" t="n"/>
      <c r="O779" s="13" t="n"/>
      <c r="P779" s="13" t="n"/>
      <c r="Q779" s="35" t="n"/>
      <c r="R779" s="35" t="n"/>
      <c r="S779" s="35" t="n"/>
      <c r="T779" s="35" t="n"/>
      <c r="U779" s="35" t="n"/>
      <c r="V779" s="18">
        <f>IF(COUNTA($B779:$R779)=0,"",ROUND(N($R779)+N($S779)+N($T779)-N($U779),2))</f>
        <v/>
      </c>
      <c r="W779" s="18">
        <f>IF(COUNTA($B779:$R779)=0,"",IF(OR($X779="Pago",$X779="Recebido",$X779="Cancelado"),0,ROUND(N($Q779)+N($S779)+N($T779)-N($U779)-N($R779),2)))</f>
        <v/>
      </c>
      <c r="X779" s="14" t="n"/>
      <c r="Y779" s="17">
        <f>IF(COUNTA($B779:$R779)=0,"",IF($X779="Cancelado","Cancelado",IF(OR($X779="Pago",$X779="Recebido"),$X779,IF(OR($X779="Parcial",N($R779)&gt;0),"Parcial",IF($C779="","Sem vencimento",IF($C779&lt;TODAY(),"Vencido",IF($C779=TODAY(),"Vence hoje",IF($C779&lt;=TODAY()+7,"Vence em 7 dias",IF($C779&lt;=TODAY()+30,"Vence em 30 dias","Futuro")))))))))</f>
        <v/>
      </c>
      <c r="Z779" s="24">
        <f>IF($B779="","",MONTH($B779))</f>
        <v/>
      </c>
      <c r="AA779" s="24">
        <f>IF($B779="","",YEAR($B779))</f>
        <v/>
      </c>
      <c r="AB779" s="24">
        <f>IF($B779="","",ISOWEEKNUM($B779))</f>
        <v/>
      </c>
      <c r="AC779" s="17">
        <f>IF($B779="","",CHOOSE(WEEKDAY($B779,2),"Segunda","Terça","Quarta","Quinta","Sexta","Sábado","Domingo"))</f>
        <v/>
      </c>
      <c r="AD779" s="17">
        <f>IF($B779="","",TEXT($B779,"MM/AAAA"))</f>
        <v/>
      </c>
      <c r="AE779" s="18">
        <f>IF(COUNTA($B779:$R779)=0,"",IF($X779="Cancelado",0,ROUND(N($Q779)+N($S779)+N($T779)-N($U779),2)))</f>
        <v/>
      </c>
      <c r="AF779" s="9">
        <f>IF($G779="","",IFERROR(INDEX(LINHAS_DRE_PLANO,MATCH($G779,SUBCATEGORIAS_PLANO,0)),"Não classificado"))</f>
        <v/>
      </c>
      <c r="AG779" s="17">
        <f>IF($G779="","",IFERROR(INDEX(TIPOS_FLUXO_PLANO,MATCH($G779,SUBCATEGORIAS_PLANO,0)),"Não classificado"))</f>
        <v/>
      </c>
      <c r="AH779" s="9">
        <f>IF($G779="","",IFERROR(INDEX(GRUPOS_PLANO,MATCH($G779,SUBCATEGORIAS_PLANO,0)),"Não classificado"))</f>
        <v/>
      </c>
      <c r="AI779" s="24">
        <f>IF(OR($C779="",$X779="Pago",$X779="Recebido",$X779="Cancelado"),"",$C779-TODAY())</f>
        <v/>
      </c>
      <c r="AJ779" s="24">
        <f>IF(OR($C779="",$X779="Pago",$X779="Recebido",$X779="Cancelado"),0,MAX(0,TODAY()-$C779))</f>
        <v/>
      </c>
      <c r="AK779" s="24">
        <f>IF($D779="","",$D779-$B779)</f>
        <v/>
      </c>
      <c r="AL779" s="18">
        <f>IF(OR($D779="",$B779=""),"",ROUND(N($R779)*($D779-$B779),2))</f>
        <v/>
      </c>
      <c r="AM779" s="17">
        <f>IF(AND($E779="Saída",$W779&gt;0,$C779&lt;&gt;""),$C779+ROW()/1000000,"")</f>
        <v/>
      </c>
      <c r="AN779" s="17">
        <f>IF(AND($E779="Entrada",$W779&gt;0,$C779&lt;&gt;""),$C779+ROW()/1000000,"")</f>
        <v/>
      </c>
      <c r="AO779" s="9">
        <f>IF(COUNTA($B779:$R779)=0,"",IF(AND($I779&lt;&gt;"",COUNTIF(CLIENTES_NOMES,$I779)+COUNTIF(CLIENTES_FANTASIA,$I779)+COUNTIF(FORNECEDORES_NOMES,$I779)+COUNTIF(FORNECEDORES_FANTASIA,$I779)=0),"⚠ Cliente/Fornecedor não cadastrado",IF(AND($G779&lt;&gt;"",COUNTIF(SUBCATEGORIAS_PLANO,$G779)=0),"⚠ Subcategoria fora do plano de contas",IF(OR($Q779="",N($Q779)=0),"⚠ Valor previsto não informado",IF(AND(OR($X779="Pago",$X779="Recebido"),$D779=""),"⚠ Status pago/recebido sem data",IF(AND($D779&lt;&gt;"",N($R779)=0),"⚠ Data de pagamento sem valor realizado",IF(AND(N($P779)&gt;1,N($O779)&gt;N($P779)),"⚠ Nº da parcela maior que o total",IF(AND($C779&lt;&gt;"",$B779&lt;&gt;"",$C779&lt;$B779),"⚠ Vencimento anterior à competência","OK"))))))))</f>
        <v/>
      </c>
    </row>
    <row r="780">
      <c r="A780" s="14" t="n"/>
      <c r="B780" s="36" t="n"/>
      <c r="C780" s="36" t="n"/>
      <c r="D780" s="36" t="n"/>
      <c r="E780" s="14" t="n"/>
      <c r="F780" s="29" t="n"/>
      <c r="G780" s="29" t="n"/>
      <c r="H780" s="29" t="n"/>
      <c r="I780" s="29" t="n"/>
      <c r="J780" s="29" t="n"/>
      <c r="K780" s="14" t="n"/>
      <c r="L780" s="29" t="n"/>
      <c r="M780" s="14" t="n"/>
      <c r="N780" s="29" t="n"/>
      <c r="O780" s="13" t="n"/>
      <c r="P780" s="13" t="n"/>
      <c r="Q780" s="35" t="n"/>
      <c r="R780" s="35" t="n"/>
      <c r="S780" s="35" t="n"/>
      <c r="T780" s="35" t="n"/>
      <c r="U780" s="35" t="n"/>
      <c r="V780" s="18">
        <f>IF(COUNTA($B780:$R780)=0,"",ROUND(N($R780)+N($S780)+N($T780)-N($U780),2))</f>
        <v/>
      </c>
      <c r="W780" s="18">
        <f>IF(COUNTA($B780:$R780)=0,"",IF(OR($X780="Pago",$X780="Recebido",$X780="Cancelado"),0,ROUND(N($Q780)+N($S780)+N($T780)-N($U780)-N($R780),2)))</f>
        <v/>
      </c>
      <c r="X780" s="14" t="n"/>
      <c r="Y780" s="17">
        <f>IF(COUNTA($B780:$R780)=0,"",IF($X780="Cancelado","Cancelado",IF(OR($X780="Pago",$X780="Recebido"),$X780,IF(OR($X780="Parcial",N($R780)&gt;0),"Parcial",IF($C780="","Sem vencimento",IF($C780&lt;TODAY(),"Vencido",IF($C780=TODAY(),"Vence hoje",IF($C780&lt;=TODAY()+7,"Vence em 7 dias",IF($C780&lt;=TODAY()+30,"Vence em 30 dias","Futuro")))))))))</f>
        <v/>
      </c>
      <c r="Z780" s="24">
        <f>IF($B780="","",MONTH($B780))</f>
        <v/>
      </c>
      <c r="AA780" s="24">
        <f>IF($B780="","",YEAR($B780))</f>
        <v/>
      </c>
      <c r="AB780" s="24">
        <f>IF($B780="","",ISOWEEKNUM($B780))</f>
        <v/>
      </c>
      <c r="AC780" s="17">
        <f>IF($B780="","",CHOOSE(WEEKDAY($B780,2),"Segunda","Terça","Quarta","Quinta","Sexta","Sábado","Domingo"))</f>
        <v/>
      </c>
      <c r="AD780" s="17">
        <f>IF($B780="","",TEXT($B780,"MM/AAAA"))</f>
        <v/>
      </c>
      <c r="AE780" s="18">
        <f>IF(COUNTA($B780:$R780)=0,"",IF($X780="Cancelado",0,ROUND(N($Q780)+N($S780)+N($T780)-N($U780),2)))</f>
        <v/>
      </c>
      <c r="AF780" s="9">
        <f>IF($G780="","",IFERROR(INDEX(LINHAS_DRE_PLANO,MATCH($G780,SUBCATEGORIAS_PLANO,0)),"Não classificado"))</f>
        <v/>
      </c>
      <c r="AG780" s="17">
        <f>IF($G780="","",IFERROR(INDEX(TIPOS_FLUXO_PLANO,MATCH($G780,SUBCATEGORIAS_PLANO,0)),"Não classificado"))</f>
        <v/>
      </c>
      <c r="AH780" s="9">
        <f>IF($G780="","",IFERROR(INDEX(GRUPOS_PLANO,MATCH($G780,SUBCATEGORIAS_PLANO,0)),"Não classificado"))</f>
        <v/>
      </c>
      <c r="AI780" s="24">
        <f>IF(OR($C780="",$X780="Pago",$X780="Recebido",$X780="Cancelado"),"",$C780-TODAY())</f>
        <v/>
      </c>
      <c r="AJ780" s="24">
        <f>IF(OR($C780="",$X780="Pago",$X780="Recebido",$X780="Cancelado"),0,MAX(0,TODAY()-$C780))</f>
        <v/>
      </c>
      <c r="AK780" s="24">
        <f>IF($D780="","",$D780-$B780)</f>
        <v/>
      </c>
      <c r="AL780" s="18">
        <f>IF(OR($D780="",$B780=""),"",ROUND(N($R780)*($D780-$B780),2))</f>
        <v/>
      </c>
      <c r="AM780" s="17">
        <f>IF(AND($E780="Saída",$W780&gt;0,$C780&lt;&gt;""),$C780+ROW()/1000000,"")</f>
        <v/>
      </c>
      <c r="AN780" s="17">
        <f>IF(AND($E780="Entrada",$W780&gt;0,$C780&lt;&gt;""),$C780+ROW()/1000000,"")</f>
        <v/>
      </c>
      <c r="AO780" s="9">
        <f>IF(COUNTA($B780:$R780)=0,"",IF(AND($I780&lt;&gt;"",COUNTIF(CLIENTES_NOMES,$I780)+COUNTIF(CLIENTES_FANTASIA,$I780)+COUNTIF(FORNECEDORES_NOMES,$I780)+COUNTIF(FORNECEDORES_FANTASIA,$I780)=0),"⚠ Cliente/Fornecedor não cadastrado",IF(AND($G780&lt;&gt;"",COUNTIF(SUBCATEGORIAS_PLANO,$G780)=0),"⚠ Subcategoria fora do plano de contas",IF(OR($Q780="",N($Q780)=0),"⚠ Valor previsto não informado",IF(AND(OR($X780="Pago",$X780="Recebido"),$D780=""),"⚠ Status pago/recebido sem data",IF(AND($D780&lt;&gt;"",N($R780)=0),"⚠ Data de pagamento sem valor realizado",IF(AND(N($P780)&gt;1,N($O780)&gt;N($P780)),"⚠ Nº da parcela maior que o total",IF(AND($C780&lt;&gt;"",$B780&lt;&gt;"",$C780&lt;$B780),"⚠ Vencimento anterior à competência","OK"))))))))</f>
        <v/>
      </c>
    </row>
    <row r="781">
      <c r="A781" s="14" t="n"/>
      <c r="B781" s="36" t="n"/>
      <c r="C781" s="36" t="n"/>
      <c r="D781" s="36" t="n"/>
      <c r="E781" s="14" t="n"/>
      <c r="F781" s="29" t="n"/>
      <c r="G781" s="29" t="n"/>
      <c r="H781" s="29" t="n"/>
      <c r="I781" s="29" t="n"/>
      <c r="J781" s="29" t="n"/>
      <c r="K781" s="14" t="n"/>
      <c r="L781" s="29" t="n"/>
      <c r="M781" s="14" t="n"/>
      <c r="N781" s="29" t="n"/>
      <c r="O781" s="13" t="n"/>
      <c r="P781" s="13" t="n"/>
      <c r="Q781" s="35" t="n"/>
      <c r="R781" s="35" t="n"/>
      <c r="S781" s="35" t="n"/>
      <c r="T781" s="35" t="n"/>
      <c r="U781" s="35" t="n"/>
      <c r="V781" s="18">
        <f>IF(COUNTA($B781:$R781)=0,"",ROUND(N($R781)+N($S781)+N($T781)-N($U781),2))</f>
        <v/>
      </c>
      <c r="W781" s="18">
        <f>IF(COUNTA($B781:$R781)=0,"",IF(OR($X781="Pago",$X781="Recebido",$X781="Cancelado"),0,ROUND(N($Q781)+N($S781)+N($T781)-N($U781)-N($R781),2)))</f>
        <v/>
      </c>
      <c r="X781" s="14" t="n"/>
      <c r="Y781" s="17">
        <f>IF(COUNTA($B781:$R781)=0,"",IF($X781="Cancelado","Cancelado",IF(OR($X781="Pago",$X781="Recebido"),$X781,IF(OR($X781="Parcial",N($R781)&gt;0),"Parcial",IF($C781="","Sem vencimento",IF($C781&lt;TODAY(),"Vencido",IF($C781=TODAY(),"Vence hoje",IF($C781&lt;=TODAY()+7,"Vence em 7 dias",IF($C781&lt;=TODAY()+30,"Vence em 30 dias","Futuro")))))))))</f>
        <v/>
      </c>
      <c r="Z781" s="24">
        <f>IF($B781="","",MONTH($B781))</f>
        <v/>
      </c>
      <c r="AA781" s="24">
        <f>IF($B781="","",YEAR($B781))</f>
        <v/>
      </c>
      <c r="AB781" s="24">
        <f>IF($B781="","",ISOWEEKNUM($B781))</f>
        <v/>
      </c>
      <c r="AC781" s="17">
        <f>IF($B781="","",CHOOSE(WEEKDAY($B781,2),"Segunda","Terça","Quarta","Quinta","Sexta","Sábado","Domingo"))</f>
        <v/>
      </c>
      <c r="AD781" s="17">
        <f>IF($B781="","",TEXT($B781,"MM/AAAA"))</f>
        <v/>
      </c>
      <c r="AE781" s="18">
        <f>IF(COUNTA($B781:$R781)=0,"",IF($X781="Cancelado",0,ROUND(N($Q781)+N($S781)+N($T781)-N($U781),2)))</f>
        <v/>
      </c>
      <c r="AF781" s="9">
        <f>IF($G781="","",IFERROR(INDEX(LINHAS_DRE_PLANO,MATCH($G781,SUBCATEGORIAS_PLANO,0)),"Não classificado"))</f>
        <v/>
      </c>
      <c r="AG781" s="17">
        <f>IF($G781="","",IFERROR(INDEX(TIPOS_FLUXO_PLANO,MATCH($G781,SUBCATEGORIAS_PLANO,0)),"Não classificado"))</f>
        <v/>
      </c>
      <c r="AH781" s="9">
        <f>IF($G781="","",IFERROR(INDEX(GRUPOS_PLANO,MATCH($G781,SUBCATEGORIAS_PLANO,0)),"Não classificado"))</f>
        <v/>
      </c>
      <c r="AI781" s="24">
        <f>IF(OR($C781="",$X781="Pago",$X781="Recebido",$X781="Cancelado"),"",$C781-TODAY())</f>
        <v/>
      </c>
      <c r="AJ781" s="24">
        <f>IF(OR($C781="",$X781="Pago",$X781="Recebido",$X781="Cancelado"),0,MAX(0,TODAY()-$C781))</f>
        <v/>
      </c>
      <c r="AK781" s="24">
        <f>IF($D781="","",$D781-$B781)</f>
        <v/>
      </c>
      <c r="AL781" s="18">
        <f>IF(OR($D781="",$B781=""),"",ROUND(N($R781)*($D781-$B781),2))</f>
        <v/>
      </c>
      <c r="AM781" s="17">
        <f>IF(AND($E781="Saída",$W781&gt;0,$C781&lt;&gt;""),$C781+ROW()/1000000,"")</f>
        <v/>
      </c>
      <c r="AN781" s="17">
        <f>IF(AND($E781="Entrada",$W781&gt;0,$C781&lt;&gt;""),$C781+ROW()/1000000,"")</f>
        <v/>
      </c>
      <c r="AO781" s="9">
        <f>IF(COUNTA($B781:$R781)=0,"",IF(AND($I781&lt;&gt;"",COUNTIF(CLIENTES_NOMES,$I781)+COUNTIF(CLIENTES_FANTASIA,$I781)+COUNTIF(FORNECEDORES_NOMES,$I781)+COUNTIF(FORNECEDORES_FANTASIA,$I781)=0),"⚠ Cliente/Fornecedor não cadastrado",IF(AND($G781&lt;&gt;"",COUNTIF(SUBCATEGORIAS_PLANO,$G781)=0),"⚠ Subcategoria fora do plano de contas",IF(OR($Q781="",N($Q781)=0),"⚠ Valor previsto não informado",IF(AND(OR($X781="Pago",$X781="Recebido"),$D781=""),"⚠ Status pago/recebido sem data",IF(AND($D781&lt;&gt;"",N($R781)=0),"⚠ Data de pagamento sem valor realizado",IF(AND(N($P781)&gt;1,N($O781)&gt;N($P781)),"⚠ Nº da parcela maior que o total",IF(AND($C781&lt;&gt;"",$B781&lt;&gt;"",$C781&lt;$B781),"⚠ Vencimento anterior à competência","OK"))))))))</f>
        <v/>
      </c>
    </row>
    <row r="782">
      <c r="A782" s="14" t="n"/>
      <c r="B782" s="36" t="n"/>
      <c r="C782" s="36" t="n"/>
      <c r="D782" s="36" t="n"/>
      <c r="E782" s="14" t="n"/>
      <c r="F782" s="29" t="n"/>
      <c r="G782" s="29" t="n"/>
      <c r="H782" s="29" t="n"/>
      <c r="I782" s="29" t="n"/>
      <c r="J782" s="29" t="n"/>
      <c r="K782" s="14" t="n"/>
      <c r="L782" s="29" t="n"/>
      <c r="M782" s="14" t="n"/>
      <c r="N782" s="29" t="n"/>
      <c r="O782" s="13" t="n"/>
      <c r="P782" s="13" t="n"/>
      <c r="Q782" s="35" t="n"/>
      <c r="R782" s="35" t="n"/>
      <c r="S782" s="35" t="n"/>
      <c r="T782" s="35" t="n"/>
      <c r="U782" s="35" t="n"/>
      <c r="V782" s="18">
        <f>IF(COUNTA($B782:$R782)=0,"",ROUND(N($R782)+N($S782)+N($T782)-N($U782),2))</f>
        <v/>
      </c>
      <c r="W782" s="18">
        <f>IF(COUNTA($B782:$R782)=0,"",IF(OR($X782="Pago",$X782="Recebido",$X782="Cancelado"),0,ROUND(N($Q782)+N($S782)+N($T782)-N($U782)-N($R782),2)))</f>
        <v/>
      </c>
      <c r="X782" s="14" t="n"/>
      <c r="Y782" s="17">
        <f>IF(COUNTA($B782:$R782)=0,"",IF($X782="Cancelado","Cancelado",IF(OR($X782="Pago",$X782="Recebido"),$X782,IF(OR($X782="Parcial",N($R782)&gt;0),"Parcial",IF($C782="","Sem vencimento",IF($C782&lt;TODAY(),"Vencido",IF($C782=TODAY(),"Vence hoje",IF($C782&lt;=TODAY()+7,"Vence em 7 dias",IF($C782&lt;=TODAY()+30,"Vence em 30 dias","Futuro")))))))))</f>
        <v/>
      </c>
      <c r="Z782" s="24">
        <f>IF($B782="","",MONTH($B782))</f>
        <v/>
      </c>
      <c r="AA782" s="24">
        <f>IF($B782="","",YEAR($B782))</f>
        <v/>
      </c>
      <c r="AB782" s="24">
        <f>IF($B782="","",ISOWEEKNUM($B782))</f>
        <v/>
      </c>
      <c r="AC782" s="17">
        <f>IF($B782="","",CHOOSE(WEEKDAY($B782,2),"Segunda","Terça","Quarta","Quinta","Sexta","Sábado","Domingo"))</f>
        <v/>
      </c>
      <c r="AD782" s="17">
        <f>IF($B782="","",TEXT($B782,"MM/AAAA"))</f>
        <v/>
      </c>
      <c r="AE782" s="18">
        <f>IF(COUNTA($B782:$R782)=0,"",IF($X782="Cancelado",0,ROUND(N($Q782)+N($S782)+N($T782)-N($U782),2)))</f>
        <v/>
      </c>
      <c r="AF782" s="9">
        <f>IF($G782="","",IFERROR(INDEX(LINHAS_DRE_PLANO,MATCH($G782,SUBCATEGORIAS_PLANO,0)),"Não classificado"))</f>
        <v/>
      </c>
      <c r="AG782" s="17">
        <f>IF($G782="","",IFERROR(INDEX(TIPOS_FLUXO_PLANO,MATCH($G782,SUBCATEGORIAS_PLANO,0)),"Não classificado"))</f>
        <v/>
      </c>
      <c r="AH782" s="9">
        <f>IF($G782="","",IFERROR(INDEX(GRUPOS_PLANO,MATCH($G782,SUBCATEGORIAS_PLANO,0)),"Não classificado"))</f>
        <v/>
      </c>
      <c r="AI782" s="24">
        <f>IF(OR($C782="",$X782="Pago",$X782="Recebido",$X782="Cancelado"),"",$C782-TODAY())</f>
        <v/>
      </c>
      <c r="AJ782" s="24">
        <f>IF(OR($C782="",$X782="Pago",$X782="Recebido",$X782="Cancelado"),0,MAX(0,TODAY()-$C782))</f>
        <v/>
      </c>
      <c r="AK782" s="24">
        <f>IF($D782="","",$D782-$B782)</f>
        <v/>
      </c>
      <c r="AL782" s="18">
        <f>IF(OR($D782="",$B782=""),"",ROUND(N($R782)*($D782-$B782),2))</f>
        <v/>
      </c>
      <c r="AM782" s="17">
        <f>IF(AND($E782="Saída",$W782&gt;0,$C782&lt;&gt;""),$C782+ROW()/1000000,"")</f>
        <v/>
      </c>
      <c r="AN782" s="17">
        <f>IF(AND($E782="Entrada",$W782&gt;0,$C782&lt;&gt;""),$C782+ROW()/1000000,"")</f>
        <v/>
      </c>
      <c r="AO782" s="9">
        <f>IF(COUNTA($B782:$R782)=0,"",IF(AND($I782&lt;&gt;"",COUNTIF(CLIENTES_NOMES,$I782)+COUNTIF(CLIENTES_FANTASIA,$I782)+COUNTIF(FORNECEDORES_NOMES,$I782)+COUNTIF(FORNECEDORES_FANTASIA,$I782)=0),"⚠ Cliente/Fornecedor não cadastrado",IF(AND($G782&lt;&gt;"",COUNTIF(SUBCATEGORIAS_PLANO,$G782)=0),"⚠ Subcategoria fora do plano de contas",IF(OR($Q782="",N($Q782)=0),"⚠ Valor previsto não informado",IF(AND(OR($X782="Pago",$X782="Recebido"),$D782=""),"⚠ Status pago/recebido sem data",IF(AND($D782&lt;&gt;"",N($R782)=0),"⚠ Data de pagamento sem valor realizado",IF(AND(N($P782)&gt;1,N($O782)&gt;N($P782)),"⚠ Nº da parcela maior que o total",IF(AND($C782&lt;&gt;"",$B782&lt;&gt;"",$C782&lt;$B782),"⚠ Vencimento anterior à competência","OK"))))))))</f>
        <v/>
      </c>
    </row>
    <row r="783">
      <c r="A783" s="14" t="n"/>
      <c r="B783" s="36" t="n"/>
      <c r="C783" s="36" t="n"/>
      <c r="D783" s="36" t="n"/>
      <c r="E783" s="14" t="n"/>
      <c r="F783" s="29" t="n"/>
      <c r="G783" s="29" t="n"/>
      <c r="H783" s="29" t="n"/>
      <c r="I783" s="29" t="n"/>
      <c r="J783" s="29" t="n"/>
      <c r="K783" s="14" t="n"/>
      <c r="L783" s="29" t="n"/>
      <c r="M783" s="14" t="n"/>
      <c r="N783" s="29" t="n"/>
      <c r="O783" s="13" t="n"/>
      <c r="P783" s="13" t="n"/>
      <c r="Q783" s="35" t="n"/>
      <c r="R783" s="35" t="n"/>
      <c r="S783" s="35" t="n"/>
      <c r="T783" s="35" t="n"/>
      <c r="U783" s="35" t="n"/>
      <c r="V783" s="18">
        <f>IF(COUNTA($B783:$R783)=0,"",ROUND(N($R783)+N($S783)+N($T783)-N($U783),2))</f>
        <v/>
      </c>
      <c r="W783" s="18">
        <f>IF(COUNTA($B783:$R783)=0,"",IF(OR($X783="Pago",$X783="Recebido",$X783="Cancelado"),0,ROUND(N($Q783)+N($S783)+N($T783)-N($U783)-N($R783),2)))</f>
        <v/>
      </c>
      <c r="X783" s="14" t="n"/>
      <c r="Y783" s="17">
        <f>IF(COUNTA($B783:$R783)=0,"",IF($X783="Cancelado","Cancelado",IF(OR($X783="Pago",$X783="Recebido"),$X783,IF(OR($X783="Parcial",N($R783)&gt;0),"Parcial",IF($C783="","Sem vencimento",IF($C783&lt;TODAY(),"Vencido",IF($C783=TODAY(),"Vence hoje",IF($C783&lt;=TODAY()+7,"Vence em 7 dias",IF($C783&lt;=TODAY()+30,"Vence em 30 dias","Futuro")))))))))</f>
        <v/>
      </c>
      <c r="Z783" s="24">
        <f>IF($B783="","",MONTH($B783))</f>
        <v/>
      </c>
      <c r="AA783" s="24">
        <f>IF($B783="","",YEAR($B783))</f>
        <v/>
      </c>
      <c r="AB783" s="24">
        <f>IF($B783="","",ISOWEEKNUM($B783))</f>
        <v/>
      </c>
      <c r="AC783" s="17">
        <f>IF($B783="","",CHOOSE(WEEKDAY($B783,2),"Segunda","Terça","Quarta","Quinta","Sexta","Sábado","Domingo"))</f>
        <v/>
      </c>
      <c r="AD783" s="17">
        <f>IF($B783="","",TEXT($B783,"MM/AAAA"))</f>
        <v/>
      </c>
      <c r="AE783" s="18">
        <f>IF(COUNTA($B783:$R783)=0,"",IF($X783="Cancelado",0,ROUND(N($Q783)+N($S783)+N($T783)-N($U783),2)))</f>
        <v/>
      </c>
      <c r="AF783" s="9">
        <f>IF($G783="","",IFERROR(INDEX(LINHAS_DRE_PLANO,MATCH($G783,SUBCATEGORIAS_PLANO,0)),"Não classificado"))</f>
        <v/>
      </c>
      <c r="AG783" s="17">
        <f>IF($G783="","",IFERROR(INDEX(TIPOS_FLUXO_PLANO,MATCH($G783,SUBCATEGORIAS_PLANO,0)),"Não classificado"))</f>
        <v/>
      </c>
      <c r="AH783" s="9">
        <f>IF($G783="","",IFERROR(INDEX(GRUPOS_PLANO,MATCH($G783,SUBCATEGORIAS_PLANO,0)),"Não classificado"))</f>
        <v/>
      </c>
      <c r="AI783" s="24">
        <f>IF(OR($C783="",$X783="Pago",$X783="Recebido",$X783="Cancelado"),"",$C783-TODAY())</f>
        <v/>
      </c>
      <c r="AJ783" s="24">
        <f>IF(OR($C783="",$X783="Pago",$X783="Recebido",$X783="Cancelado"),0,MAX(0,TODAY()-$C783))</f>
        <v/>
      </c>
      <c r="AK783" s="24">
        <f>IF($D783="","",$D783-$B783)</f>
        <v/>
      </c>
      <c r="AL783" s="18">
        <f>IF(OR($D783="",$B783=""),"",ROUND(N($R783)*($D783-$B783),2))</f>
        <v/>
      </c>
      <c r="AM783" s="17">
        <f>IF(AND($E783="Saída",$W783&gt;0,$C783&lt;&gt;""),$C783+ROW()/1000000,"")</f>
        <v/>
      </c>
      <c r="AN783" s="17">
        <f>IF(AND($E783="Entrada",$W783&gt;0,$C783&lt;&gt;""),$C783+ROW()/1000000,"")</f>
        <v/>
      </c>
      <c r="AO783" s="9">
        <f>IF(COUNTA($B783:$R783)=0,"",IF(AND($I783&lt;&gt;"",COUNTIF(CLIENTES_NOMES,$I783)+COUNTIF(CLIENTES_FANTASIA,$I783)+COUNTIF(FORNECEDORES_NOMES,$I783)+COUNTIF(FORNECEDORES_FANTASIA,$I783)=0),"⚠ Cliente/Fornecedor não cadastrado",IF(AND($G783&lt;&gt;"",COUNTIF(SUBCATEGORIAS_PLANO,$G783)=0),"⚠ Subcategoria fora do plano de contas",IF(OR($Q783="",N($Q783)=0),"⚠ Valor previsto não informado",IF(AND(OR($X783="Pago",$X783="Recebido"),$D783=""),"⚠ Status pago/recebido sem data",IF(AND($D783&lt;&gt;"",N($R783)=0),"⚠ Data de pagamento sem valor realizado",IF(AND(N($P783)&gt;1,N($O783)&gt;N($P783)),"⚠ Nº da parcela maior que o total",IF(AND($C783&lt;&gt;"",$B783&lt;&gt;"",$C783&lt;$B783),"⚠ Vencimento anterior à competência","OK"))))))))</f>
        <v/>
      </c>
    </row>
    <row r="784">
      <c r="A784" s="14" t="n"/>
      <c r="B784" s="36" t="n"/>
      <c r="C784" s="36" t="n"/>
      <c r="D784" s="36" t="n"/>
      <c r="E784" s="14" t="n"/>
      <c r="F784" s="29" t="n"/>
      <c r="G784" s="29" t="n"/>
      <c r="H784" s="29" t="n"/>
      <c r="I784" s="29" t="n"/>
      <c r="J784" s="29" t="n"/>
      <c r="K784" s="14" t="n"/>
      <c r="L784" s="29" t="n"/>
      <c r="M784" s="14" t="n"/>
      <c r="N784" s="29" t="n"/>
      <c r="O784" s="13" t="n"/>
      <c r="P784" s="13" t="n"/>
      <c r="Q784" s="35" t="n"/>
      <c r="R784" s="35" t="n"/>
      <c r="S784" s="35" t="n"/>
      <c r="T784" s="35" t="n"/>
      <c r="U784" s="35" t="n"/>
      <c r="V784" s="18">
        <f>IF(COUNTA($B784:$R784)=0,"",ROUND(N($R784)+N($S784)+N($T784)-N($U784),2))</f>
        <v/>
      </c>
      <c r="W784" s="18">
        <f>IF(COUNTA($B784:$R784)=0,"",IF(OR($X784="Pago",$X784="Recebido",$X784="Cancelado"),0,ROUND(N($Q784)+N($S784)+N($T784)-N($U784)-N($R784),2)))</f>
        <v/>
      </c>
      <c r="X784" s="14" t="n"/>
      <c r="Y784" s="17">
        <f>IF(COUNTA($B784:$R784)=0,"",IF($X784="Cancelado","Cancelado",IF(OR($X784="Pago",$X784="Recebido"),$X784,IF(OR($X784="Parcial",N($R784)&gt;0),"Parcial",IF($C784="","Sem vencimento",IF($C784&lt;TODAY(),"Vencido",IF($C784=TODAY(),"Vence hoje",IF($C784&lt;=TODAY()+7,"Vence em 7 dias",IF($C784&lt;=TODAY()+30,"Vence em 30 dias","Futuro")))))))))</f>
        <v/>
      </c>
      <c r="Z784" s="24">
        <f>IF($B784="","",MONTH($B784))</f>
        <v/>
      </c>
      <c r="AA784" s="24">
        <f>IF($B784="","",YEAR($B784))</f>
        <v/>
      </c>
      <c r="AB784" s="24">
        <f>IF($B784="","",ISOWEEKNUM($B784))</f>
        <v/>
      </c>
      <c r="AC784" s="17">
        <f>IF($B784="","",CHOOSE(WEEKDAY($B784,2),"Segunda","Terça","Quarta","Quinta","Sexta","Sábado","Domingo"))</f>
        <v/>
      </c>
      <c r="AD784" s="17">
        <f>IF($B784="","",TEXT($B784,"MM/AAAA"))</f>
        <v/>
      </c>
      <c r="AE784" s="18">
        <f>IF(COUNTA($B784:$R784)=0,"",IF($X784="Cancelado",0,ROUND(N($Q784)+N($S784)+N($T784)-N($U784),2)))</f>
        <v/>
      </c>
      <c r="AF784" s="9">
        <f>IF($G784="","",IFERROR(INDEX(LINHAS_DRE_PLANO,MATCH($G784,SUBCATEGORIAS_PLANO,0)),"Não classificado"))</f>
        <v/>
      </c>
      <c r="AG784" s="17">
        <f>IF($G784="","",IFERROR(INDEX(TIPOS_FLUXO_PLANO,MATCH($G784,SUBCATEGORIAS_PLANO,0)),"Não classificado"))</f>
        <v/>
      </c>
      <c r="AH784" s="9">
        <f>IF($G784="","",IFERROR(INDEX(GRUPOS_PLANO,MATCH($G784,SUBCATEGORIAS_PLANO,0)),"Não classificado"))</f>
        <v/>
      </c>
      <c r="AI784" s="24">
        <f>IF(OR($C784="",$X784="Pago",$X784="Recebido",$X784="Cancelado"),"",$C784-TODAY())</f>
        <v/>
      </c>
      <c r="AJ784" s="24">
        <f>IF(OR($C784="",$X784="Pago",$X784="Recebido",$X784="Cancelado"),0,MAX(0,TODAY()-$C784))</f>
        <v/>
      </c>
      <c r="AK784" s="24">
        <f>IF($D784="","",$D784-$B784)</f>
        <v/>
      </c>
      <c r="AL784" s="18">
        <f>IF(OR($D784="",$B784=""),"",ROUND(N($R784)*($D784-$B784),2))</f>
        <v/>
      </c>
      <c r="AM784" s="17">
        <f>IF(AND($E784="Saída",$W784&gt;0,$C784&lt;&gt;""),$C784+ROW()/1000000,"")</f>
        <v/>
      </c>
      <c r="AN784" s="17">
        <f>IF(AND($E784="Entrada",$W784&gt;0,$C784&lt;&gt;""),$C784+ROW()/1000000,"")</f>
        <v/>
      </c>
      <c r="AO784" s="9">
        <f>IF(COUNTA($B784:$R784)=0,"",IF(AND($I784&lt;&gt;"",COUNTIF(CLIENTES_NOMES,$I784)+COUNTIF(CLIENTES_FANTASIA,$I784)+COUNTIF(FORNECEDORES_NOMES,$I784)+COUNTIF(FORNECEDORES_FANTASIA,$I784)=0),"⚠ Cliente/Fornecedor não cadastrado",IF(AND($G784&lt;&gt;"",COUNTIF(SUBCATEGORIAS_PLANO,$G784)=0),"⚠ Subcategoria fora do plano de contas",IF(OR($Q784="",N($Q784)=0),"⚠ Valor previsto não informado",IF(AND(OR($X784="Pago",$X784="Recebido"),$D784=""),"⚠ Status pago/recebido sem data",IF(AND($D784&lt;&gt;"",N($R784)=0),"⚠ Data de pagamento sem valor realizado",IF(AND(N($P784)&gt;1,N($O784)&gt;N($P784)),"⚠ Nº da parcela maior que o total",IF(AND($C784&lt;&gt;"",$B784&lt;&gt;"",$C784&lt;$B784),"⚠ Vencimento anterior à competência","OK"))))))))</f>
        <v/>
      </c>
    </row>
    <row r="785">
      <c r="A785" s="14" t="n"/>
      <c r="B785" s="36" t="n"/>
      <c r="C785" s="36" t="n"/>
      <c r="D785" s="36" t="n"/>
      <c r="E785" s="14" t="n"/>
      <c r="F785" s="29" t="n"/>
      <c r="G785" s="29" t="n"/>
      <c r="H785" s="29" t="n"/>
      <c r="I785" s="29" t="n"/>
      <c r="J785" s="29" t="n"/>
      <c r="K785" s="14" t="n"/>
      <c r="L785" s="29" t="n"/>
      <c r="M785" s="14" t="n"/>
      <c r="N785" s="29" t="n"/>
      <c r="O785" s="13" t="n"/>
      <c r="P785" s="13" t="n"/>
      <c r="Q785" s="35" t="n"/>
      <c r="R785" s="35" t="n"/>
      <c r="S785" s="35" t="n"/>
      <c r="T785" s="35" t="n"/>
      <c r="U785" s="35" t="n"/>
      <c r="V785" s="18">
        <f>IF(COUNTA($B785:$R785)=0,"",ROUND(N($R785)+N($S785)+N($T785)-N($U785),2))</f>
        <v/>
      </c>
      <c r="W785" s="18">
        <f>IF(COUNTA($B785:$R785)=0,"",IF(OR($X785="Pago",$X785="Recebido",$X785="Cancelado"),0,ROUND(N($Q785)+N($S785)+N($T785)-N($U785)-N($R785),2)))</f>
        <v/>
      </c>
      <c r="X785" s="14" t="n"/>
      <c r="Y785" s="17">
        <f>IF(COUNTA($B785:$R785)=0,"",IF($X785="Cancelado","Cancelado",IF(OR($X785="Pago",$X785="Recebido"),$X785,IF(OR($X785="Parcial",N($R785)&gt;0),"Parcial",IF($C785="","Sem vencimento",IF($C785&lt;TODAY(),"Vencido",IF($C785=TODAY(),"Vence hoje",IF($C785&lt;=TODAY()+7,"Vence em 7 dias",IF($C785&lt;=TODAY()+30,"Vence em 30 dias","Futuro")))))))))</f>
        <v/>
      </c>
      <c r="Z785" s="24">
        <f>IF($B785="","",MONTH($B785))</f>
        <v/>
      </c>
      <c r="AA785" s="24">
        <f>IF($B785="","",YEAR($B785))</f>
        <v/>
      </c>
      <c r="AB785" s="24">
        <f>IF($B785="","",ISOWEEKNUM($B785))</f>
        <v/>
      </c>
      <c r="AC785" s="17">
        <f>IF($B785="","",CHOOSE(WEEKDAY($B785,2),"Segunda","Terça","Quarta","Quinta","Sexta","Sábado","Domingo"))</f>
        <v/>
      </c>
      <c r="AD785" s="17">
        <f>IF($B785="","",TEXT($B785,"MM/AAAA"))</f>
        <v/>
      </c>
      <c r="AE785" s="18">
        <f>IF(COUNTA($B785:$R785)=0,"",IF($X785="Cancelado",0,ROUND(N($Q785)+N($S785)+N($T785)-N($U785),2)))</f>
        <v/>
      </c>
      <c r="AF785" s="9">
        <f>IF($G785="","",IFERROR(INDEX(LINHAS_DRE_PLANO,MATCH($G785,SUBCATEGORIAS_PLANO,0)),"Não classificado"))</f>
        <v/>
      </c>
      <c r="AG785" s="17">
        <f>IF($G785="","",IFERROR(INDEX(TIPOS_FLUXO_PLANO,MATCH($G785,SUBCATEGORIAS_PLANO,0)),"Não classificado"))</f>
        <v/>
      </c>
      <c r="AH785" s="9">
        <f>IF($G785="","",IFERROR(INDEX(GRUPOS_PLANO,MATCH($G785,SUBCATEGORIAS_PLANO,0)),"Não classificado"))</f>
        <v/>
      </c>
      <c r="AI785" s="24">
        <f>IF(OR($C785="",$X785="Pago",$X785="Recebido",$X785="Cancelado"),"",$C785-TODAY())</f>
        <v/>
      </c>
      <c r="AJ785" s="24">
        <f>IF(OR($C785="",$X785="Pago",$X785="Recebido",$X785="Cancelado"),0,MAX(0,TODAY()-$C785))</f>
        <v/>
      </c>
      <c r="AK785" s="24">
        <f>IF($D785="","",$D785-$B785)</f>
        <v/>
      </c>
      <c r="AL785" s="18">
        <f>IF(OR($D785="",$B785=""),"",ROUND(N($R785)*($D785-$B785),2))</f>
        <v/>
      </c>
      <c r="AM785" s="17">
        <f>IF(AND($E785="Saída",$W785&gt;0,$C785&lt;&gt;""),$C785+ROW()/1000000,"")</f>
        <v/>
      </c>
      <c r="AN785" s="17">
        <f>IF(AND($E785="Entrada",$W785&gt;0,$C785&lt;&gt;""),$C785+ROW()/1000000,"")</f>
        <v/>
      </c>
      <c r="AO785" s="9">
        <f>IF(COUNTA($B785:$R785)=0,"",IF(AND($I785&lt;&gt;"",COUNTIF(CLIENTES_NOMES,$I785)+COUNTIF(CLIENTES_FANTASIA,$I785)+COUNTIF(FORNECEDORES_NOMES,$I785)+COUNTIF(FORNECEDORES_FANTASIA,$I785)=0),"⚠ Cliente/Fornecedor não cadastrado",IF(AND($G785&lt;&gt;"",COUNTIF(SUBCATEGORIAS_PLANO,$G785)=0),"⚠ Subcategoria fora do plano de contas",IF(OR($Q785="",N($Q785)=0),"⚠ Valor previsto não informado",IF(AND(OR($X785="Pago",$X785="Recebido"),$D785=""),"⚠ Status pago/recebido sem data",IF(AND($D785&lt;&gt;"",N($R785)=0),"⚠ Data de pagamento sem valor realizado",IF(AND(N($P785)&gt;1,N($O785)&gt;N($P785)),"⚠ Nº da parcela maior que o total",IF(AND($C785&lt;&gt;"",$B785&lt;&gt;"",$C785&lt;$B785),"⚠ Vencimento anterior à competência","OK"))))))))</f>
        <v/>
      </c>
    </row>
    <row r="786">
      <c r="A786" s="14" t="n"/>
      <c r="B786" s="36" t="n"/>
      <c r="C786" s="36" t="n"/>
      <c r="D786" s="36" t="n"/>
      <c r="E786" s="14" t="n"/>
      <c r="F786" s="29" t="n"/>
      <c r="G786" s="29" t="n"/>
      <c r="H786" s="29" t="n"/>
      <c r="I786" s="29" t="n"/>
      <c r="J786" s="29" t="n"/>
      <c r="K786" s="14" t="n"/>
      <c r="L786" s="29" t="n"/>
      <c r="M786" s="14" t="n"/>
      <c r="N786" s="29" t="n"/>
      <c r="O786" s="13" t="n"/>
      <c r="P786" s="13" t="n"/>
      <c r="Q786" s="35" t="n"/>
      <c r="R786" s="35" t="n"/>
      <c r="S786" s="35" t="n"/>
      <c r="T786" s="35" t="n"/>
      <c r="U786" s="35" t="n"/>
      <c r="V786" s="18">
        <f>IF(COUNTA($B786:$R786)=0,"",ROUND(N($R786)+N($S786)+N($T786)-N($U786),2))</f>
        <v/>
      </c>
      <c r="W786" s="18">
        <f>IF(COUNTA($B786:$R786)=0,"",IF(OR($X786="Pago",$X786="Recebido",$X786="Cancelado"),0,ROUND(N($Q786)+N($S786)+N($T786)-N($U786)-N($R786),2)))</f>
        <v/>
      </c>
      <c r="X786" s="14" t="n"/>
      <c r="Y786" s="17">
        <f>IF(COUNTA($B786:$R786)=0,"",IF($X786="Cancelado","Cancelado",IF(OR($X786="Pago",$X786="Recebido"),$X786,IF(OR($X786="Parcial",N($R786)&gt;0),"Parcial",IF($C786="","Sem vencimento",IF($C786&lt;TODAY(),"Vencido",IF($C786=TODAY(),"Vence hoje",IF($C786&lt;=TODAY()+7,"Vence em 7 dias",IF($C786&lt;=TODAY()+30,"Vence em 30 dias","Futuro")))))))))</f>
        <v/>
      </c>
      <c r="Z786" s="24">
        <f>IF($B786="","",MONTH($B786))</f>
        <v/>
      </c>
      <c r="AA786" s="24">
        <f>IF($B786="","",YEAR($B786))</f>
        <v/>
      </c>
      <c r="AB786" s="24">
        <f>IF($B786="","",ISOWEEKNUM($B786))</f>
        <v/>
      </c>
      <c r="AC786" s="17">
        <f>IF($B786="","",CHOOSE(WEEKDAY($B786,2),"Segunda","Terça","Quarta","Quinta","Sexta","Sábado","Domingo"))</f>
        <v/>
      </c>
      <c r="AD786" s="17">
        <f>IF($B786="","",TEXT($B786,"MM/AAAA"))</f>
        <v/>
      </c>
      <c r="AE786" s="18">
        <f>IF(COUNTA($B786:$R786)=0,"",IF($X786="Cancelado",0,ROUND(N($Q786)+N($S786)+N($T786)-N($U786),2)))</f>
        <v/>
      </c>
      <c r="AF786" s="9">
        <f>IF($G786="","",IFERROR(INDEX(LINHAS_DRE_PLANO,MATCH($G786,SUBCATEGORIAS_PLANO,0)),"Não classificado"))</f>
        <v/>
      </c>
      <c r="AG786" s="17">
        <f>IF($G786="","",IFERROR(INDEX(TIPOS_FLUXO_PLANO,MATCH($G786,SUBCATEGORIAS_PLANO,0)),"Não classificado"))</f>
        <v/>
      </c>
      <c r="AH786" s="9">
        <f>IF($G786="","",IFERROR(INDEX(GRUPOS_PLANO,MATCH($G786,SUBCATEGORIAS_PLANO,0)),"Não classificado"))</f>
        <v/>
      </c>
      <c r="AI786" s="24">
        <f>IF(OR($C786="",$X786="Pago",$X786="Recebido",$X786="Cancelado"),"",$C786-TODAY())</f>
        <v/>
      </c>
      <c r="AJ786" s="24">
        <f>IF(OR($C786="",$X786="Pago",$X786="Recebido",$X786="Cancelado"),0,MAX(0,TODAY()-$C786))</f>
        <v/>
      </c>
      <c r="AK786" s="24">
        <f>IF($D786="","",$D786-$B786)</f>
        <v/>
      </c>
      <c r="AL786" s="18">
        <f>IF(OR($D786="",$B786=""),"",ROUND(N($R786)*($D786-$B786),2))</f>
        <v/>
      </c>
      <c r="AM786" s="17">
        <f>IF(AND($E786="Saída",$W786&gt;0,$C786&lt;&gt;""),$C786+ROW()/1000000,"")</f>
        <v/>
      </c>
      <c r="AN786" s="17">
        <f>IF(AND($E786="Entrada",$W786&gt;0,$C786&lt;&gt;""),$C786+ROW()/1000000,"")</f>
        <v/>
      </c>
      <c r="AO786" s="9">
        <f>IF(COUNTA($B786:$R786)=0,"",IF(AND($I786&lt;&gt;"",COUNTIF(CLIENTES_NOMES,$I786)+COUNTIF(CLIENTES_FANTASIA,$I786)+COUNTIF(FORNECEDORES_NOMES,$I786)+COUNTIF(FORNECEDORES_FANTASIA,$I786)=0),"⚠ Cliente/Fornecedor não cadastrado",IF(AND($G786&lt;&gt;"",COUNTIF(SUBCATEGORIAS_PLANO,$G786)=0),"⚠ Subcategoria fora do plano de contas",IF(OR($Q786="",N($Q786)=0),"⚠ Valor previsto não informado",IF(AND(OR($X786="Pago",$X786="Recebido"),$D786=""),"⚠ Status pago/recebido sem data",IF(AND($D786&lt;&gt;"",N($R786)=0),"⚠ Data de pagamento sem valor realizado",IF(AND(N($P786)&gt;1,N($O786)&gt;N($P786)),"⚠ Nº da parcela maior que o total",IF(AND($C786&lt;&gt;"",$B786&lt;&gt;"",$C786&lt;$B786),"⚠ Vencimento anterior à competência","OK"))))))))</f>
        <v/>
      </c>
    </row>
    <row r="787">
      <c r="A787" s="14" t="n"/>
      <c r="B787" s="36" t="n"/>
      <c r="C787" s="36" t="n"/>
      <c r="D787" s="36" t="n"/>
      <c r="E787" s="14" t="n"/>
      <c r="F787" s="29" t="n"/>
      <c r="G787" s="29" t="n"/>
      <c r="H787" s="29" t="n"/>
      <c r="I787" s="29" t="n"/>
      <c r="J787" s="29" t="n"/>
      <c r="K787" s="14" t="n"/>
      <c r="L787" s="29" t="n"/>
      <c r="M787" s="14" t="n"/>
      <c r="N787" s="29" t="n"/>
      <c r="O787" s="13" t="n"/>
      <c r="P787" s="13" t="n"/>
      <c r="Q787" s="35" t="n"/>
      <c r="R787" s="35" t="n"/>
      <c r="S787" s="35" t="n"/>
      <c r="T787" s="35" t="n"/>
      <c r="U787" s="35" t="n"/>
      <c r="V787" s="18">
        <f>IF(COUNTA($B787:$R787)=0,"",ROUND(N($R787)+N($S787)+N($T787)-N($U787),2))</f>
        <v/>
      </c>
      <c r="W787" s="18">
        <f>IF(COUNTA($B787:$R787)=0,"",IF(OR($X787="Pago",$X787="Recebido",$X787="Cancelado"),0,ROUND(N($Q787)+N($S787)+N($T787)-N($U787)-N($R787),2)))</f>
        <v/>
      </c>
      <c r="X787" s="14" t="n"/>
      <c r="Y787" s="17">
        <f>IF(COUNTA($B787:$R787)=0,"",IF($X787="Cancelado","Cancelado",IF(OR($X787="Pago",$X787="Recebido"),$X787,IF(OR($X787="Parcial",N($R787)&gt;0),"Parcial",IF($C787="","Sem vencimento",IF($C787&lt;TODAY(),"Vencido",IF($C787=TODAY(),"Vence hoje",IF($C787&lt;=TODAY()+7,"Vence em 7 dias",IF($C787&lt;=TODAY()+30,"Vence em 30 dias","Futuro")))))))))</f>
        <v/>
      </c>
      <c r="Z787" s="24">
        <f>IF($B787="","",MONTH($B787))</f>
        <v/>
      </c>
      <c r="AA787" s="24">
        <f>IF($B787="","",YEAR($B787))</f>
        <v/>
      </c>
      <c r="AB787" s="24">
        <f>IF($B787="","",ISOWEEKNUM($B787))</f>
        <v/>
      </c>
      <c r="AC787" s="17">
        <f>IF($B787="","",CHOOSE(WEEKDAY($B787,2),"Segunda","Terça","Quarta","Quinta","Sexta","Sábado","Domingo"))</f>
        <v/>
      </c>
      <c r="AD787" s="17">
        <f>IF($B787="","",TEXT($B787,"MM/AAAA"))</f>
        <v/>
      </c>
      <c r="AE787" s="18">
        <f>IF(COUNTA($B787:$R787)=0,"",IF($X787="Cancelado",0,ROUND(N($Q787)+N($S787)+N($T787)-N($U787),2)))</f>
        <v/>
      </c>
      <c r="AF787" s="9">
        <f>IF($G787="","",IFERROR(INDEX(LINHAS_DRE_PLANO,MATCH($G787,SUBCATEGORIAS_PLANO,0)),"Não classificado"))</f>
        <v/>
      </c>
      <c r="AG787" s="17">
        <f>IF($G787="","",IFERROR(INDEX(TIPOS_FLUXO_PLANO,MATCH($G787,SUBCATEGORIAS_PLANO,0)),"Não classificado"))</f>
        <v/>
      </c>
      <c r="AH787" s="9">
        <f>IF($G787="","",IFERROR(INDEX(GRUPOS_PLANO,MATCH($G787,SUBCATEGORIAS_PLANO,0)),"Não classificado"))</f>
        <v/>
      </c>
      <c r="AI787" s="24">
        <f>IF(OR($C787="",$X787="Pago",$X787="Recebido",$X787="Cancelado"),"",$C787-TODAY())</f>
        <v/>
      </c>
      <c r="AJ787" s="24">
        <f>IF(OR($C787="",$X787="Pago",$X787="Recebido",$X787="Cancelado"),0,MAX(0,TODAY()-$C787))</f>
        <v/>
      </c>
      <c r="AK787" s="24">
        <f>IF($D787="","",$D787-$B787)</f>
        <v/>
      </c>
      <c r="AL787" s="18">
        <f>IF(OR($D787="",$B787=""),"",ROUND(N($R787)*($D787-$B787),2))</f>
        <v/>
      </c>
      <c r="AM787" s="17">
        <f>IF(AND($E787="Saída",$W787&gt;0,$C787&lt;&gt;""),$C787+ROW()/1000000,"")</f>
        <v/>
      </c>
      <c r="AN787" s="17">
        <f>IF(AND($E787="Entrada",$W787&gt;0,$C787&lt;&gt;""),$C787+ROW()/1000000,"")</f>
        <v/>
      </c>
      <c r="AO787" s="9">
        <f>IF(COUNTA($B787:$R787)=0,"",IF(AND($I787&lt;&gt;"",COUNTIF(CLIENTES_NOMES,$I787)+COUNTIF(CLIENTES_FANTASIA,$I787)+COUNTIF(FORNECEDORES_NOMES,$I787)+COUNTIF(FORNECEDORES_FANTASIA,$I787)=0),"⚠ Cliente/Fornecedor não cadastrado",IF(AND($G787&lt;&gt;"",COUNTIF(SUBCATEGORIAS_PLANO,$G787)=0),"⚠ Subcategoria fora do plano de contas",IF(OR($Q787="",N($Q787)=0),"⚠ Valor previsto não informado",IF(AND(OR($X787="Pago",$X787="Recebido"),$D787=""),"⚠ Status pago/recebido sem data",IF(AND($D787&lt;&gt;"",N($R787)=0),"⚠ Data de pagamento sem valor realizado",IF(AND(N($P787)&gt;1,N($O787)&gt;N($P787)),"⚠ Nº da parcela maior que o total",IF(AND($C787&lt;&gt;"",$B787&lt;&gt;"",$C787&lt;$B787),"⚠ Vencimento anterior à competência","OK"))))))))</f>
        <v/>
      </c>
    </row>
    <row r="788">
      <c r="A788" s="14" t="n"/>
      <c r="B788" s="36" t="n"/>
      <c r="C788" s="36" t="n"/>
      <c r="D788" s="36" t="n"/>
      <c r="E788" s="14" t="n"/>
      <c r="F788" s="29" t="n"/>
      <c r="G788" s="29" t="n"/>
      <c r="H788" s="29" t="n"/>
      <c r="I788" s="29" t="n"/>
      <c r="J788" s="29" t="n"/>
      <c r="K788" s="14" t="n"/>
      <c r="L788" s="29" t="n"/>
      <c r="M788" s="14" t="n"/>
      <c r="N788" s="29" t="n"/>
      <c r="O788" s="13" t="n"/>
      <c r="P788" s="13" t="n"/>
      <c r="Q788" s="35" t="n"/>
      <c r="R788" s="35" t="n"/>
      <c r="S788" s="35" t="n"/>
      <c r="T788" s="35" t="n"/>
      <c r="U788" s="35" t="n"/>
      <c r="V788" s="18">
        <f>IF(COUNTA($B788:$R788)=0,"",ROUND(N($R788)+N($S788)+N($T788)-N($U788),2))</f>
        <v/>
      </c>
      <c r="W788" s="18">
        <f>IF(COUNTA($B788:$R788)=0,"",IF(OR($X788="Pago",$X788="Recebido",$X788="Cancelado"),0,ROUND(N($Q788)+N($S788)+N($T788)-N($U788)-N($R788),2)))</f>
        <v/>
      </c>
      <c r="X788" s="14" t="n"/>
      <c r="Y788" s="17">
        <f>IF(COUNTA($B788:$R788)=0,"",IF($X788="Cancelado","Cancelado",IF(OR($X788="Pago",$X788="Recebido"),$X788,IF(OR($X788="Parcial",N($R788)&gt;0),"Parcial",IF($C788="","Sem vencimento",IF($C788&lt;TODAY(),"Vencido",IF($C788=TODAY(),"Vence hoje",IF($C788&lt;=TODAY()+7,"Vence em 7 dias",IF($C788&lt;=TODAY()+30,"Vence em 30 dias","Futuro")))))))))</f>
        <v/>
      </c>
      <c r="Z788" s="24">
        <f>IF($B788="","",MONTH($B788))</f>
        <v/>
      </c>
      <c r="AA788" s="24">
        <f>IF($B788="","",YEAR($B788))</f>
        <v/>
      </c>
      <c r="AB788" s="24">
        <f>IF($B788="","",ISOWEEKNUM($B788))</f>
        <v/>
      </c>
      <c r="AC788" s="17">
        <f>IF($B788="","",CHOOSE(WEEKDAY($B788,2),"Segunda","Terça","Quarta","Quinta","Sexta","Sábado","Domingo"))</f>
        <v/>
      </c>
      <c r="AD788" s="17">
        <f>IF($B788="","",TEXT($B788,"MM/AAAA"))</f>
        <v/>
      </c>
      <c r="AE788" s="18">
        <f>IF(COUNTA($B788:$R788)=0,"",IF($X788="Cancelado",0,ROUND(N($Q788)+N($S788)+N($T788)-N($U788),2)))</f>
        <v/>
      </c>
      <c r="AF788" s="9">
        <f>IF($G788="","",IFERROR(INDEX(LINHAS_DRE_PLANO,MATCH($G788,SUBCATEGORIAS_PLANO,0)),"Não classificado"))</f>
        <v/>
      </c>
      <c r="AG788" s="17">
        <f>IF($G788="","",IFERROR(INDEX(TIPOS_FLUXO_PLANO,MATCH($G788,SUBCATEGORIAS_PLANO,0)),"Não classificado"))</f>
        <v/>
      </c>
      <c r="AH788" s="9">
        <f>IF($G788="","",IFERROR(INDEX(GRUPOS_PLANO,MATCH($G788,SUBCATEGORIAS_PLANO,0)),"Não classificado"))</f>
        <v/>
      </c>
      <c r="AI788" s="24">
        <f>IF(OR($C788="",$X788="Pago",$X788="Recebido",$X788="Cancelado"),"",$C788-TODAY())</f>
        <v/>
      </c>
      <c r="AJ788" s="24">
        <f>IF(OR($C788="",$X788="Pago",$X788="Recebido",$X788="Cancelado"),0,MAX(0,TODAY()-$C788))</f>
        <v/>
      </c>
      <c r="AK788" s="24">
        <f>IF($D788="","",$D788-$B788)</f>
        <v/>
      </c>
      <c r="AL788" s="18">
        <f>IF(OR($D788="",$B788=""),"",ROUND(N($R788)*($D788-$B788),2))</f>
        <v/>
      </c>
      <c r="AM788" s="17">
        <f>IF(AND($E788="Saída",$W788&gt;0,$C788&lt;&gt;""),$C788+ROW()/1000000,"")</f>
        <v/>
      </c>
      <c r="AN788" s="17">
        <f>IF(AND($E788="Entrada",$W788&gt;0,$C788&lt;&gt;""),$C788+ROW()/1000000,"")</f>
        <v/>
      </c>
      <c r="AO788" s="9">
        <f>IF(COUNTA($B788:$R788)=0,"",IF(AND($I788&lt;&gt;"",COUNTIF(CLIENTES_NOMES,$I788)+COUNTIF(CLIENTES_FANTASIA,$I788)+COUNTIF(FORNECEDORES_NOMES,$I788)+COUNTIF(FORNECEDORES_FANTASIA,$I788)=0),"⚠ Cliente/Fornecedor não cadastrado",IF(AND($G788&lt;&gt;"",COUNTIF(SUBCATEGORIAS_PLANO,$G788)=0),"⚠ Subcategoria fora do plano de contas",IF(OR($Q788="",N($Q788)=0),"⚠ Valor previsto não informado",IF(AND(OR($X788="Pago",$X788="Recebido"),$D788=""),"⚠ Status pago/recebido sem data",IF(AND($D788&lt;&gt;"",N($R788)=0),"⚠ Data de pagamento sem valor realizado",IF(AND(N($P788)&gt;1,N($O788)&gt;N($P788)),"⚠ Nº da parcela maior que o total",IF(AND($C788&lt;&gt;"",$B788&lt;&gt;"",$C788&lt;$B788),"⚠ Vencimento anterior à competência","OK"))))))))</f>
        <v/>
      </c>
    </row>
    <row r="789">
      <c r="A789" s="14" t="n"/>
      <c r="B789" s="36" t="n"/>
      <c r="C789" s="36" t="n"/>
      <c r="D789" s="36" t="n"/>
      <c r="E789" s="14" t="n"/>
      <c r="F789" s="29" t="n"/>
      <c r="G789" s="29" t="n"/>
      <c r="H789" s="29" t="n"/>
      <c r="I789" s="29" t="n"/>
      <c r="J789" s="29" t="n"/>
      <c r="K789" s="14" t="n"/>
      <c r="L789" s="29" t="n"/>
      <c r="M789" s="14" t="n"/>
      <c r="N789" s="29" t="n"/>
      <c r="O789" s="13" t="n"/>
      <c r="P789" s="13" t="n"/>
      <c r="Q789" s="35" t="n"/>
      <c r="R789" s="35" t="n"/>
      <c r="S789" s="35" t="n"/>
      <c r="T789" s="35" t="n"/>
      <c r="U789" s="35" t="n"/>
      <c r="V789" s="18">
        <f>IF(COUNTA($B789:$R789)=0,"",ROUND(N($R789)+N($S789)+N($T789)-N($U789),2))</f>
        <v/>
      </c>
      <c r="W789" s="18">
        <f>IF(COUNTA($B789:$R789)=0,"",IF(OR($X789="Pago",$X789="Recebido",$X789="Cancelado"),0,ROUND(N($Q789)+N($S789)+N($T789)-N($U789)-N($R789),2)))</f>
        <v/>
      </c>
      <c r="X789" s="14" t="n"/>
      <c r="Y789" s="17">
        <f>IF(COUNTA($B789:$R789)=0,"",IF($X789="Cancelado","Cancelado",IF(OR($X789="Pago",$X789="Recebido"),$X789,IF(OR($X789="Parcial",N($R789)&gt;0),"Parcial",IF($C789="","Sem vencimento",IF($C789&lt;TODAY(),"Vencido",IF($C789=TODAY(),"Vence hoje",IF($C789&lt;=TODAY()+7,"Vence em 7 dias",IF($C789&lt;=TODAY()+30,"Vence em 30 dias","Futuro")))))))))</f>
        <v/>
      </c>
      <c r="Z789" s="24">
        <f>IF($B789="","",MONTH($B789))</f>
        <v/>
      </c>
      <c r="AA789" s="24">
        <f>IF($B789="","",YEAR($B789))</f>
        <v/>
      </c>
      <c r="AB789" s="24">
        <f>IF($B789="","",ISOWEEKNUM($B789))</f>
        <v/>
      </c>
      <c r="AC789" s="17">
        <f>IF($B789="","",CHOOSE(WEEKDAY($B789,2),"Segunda","Terça","Quarta","Quinta","Sexta","Sábado","Domingo"))</f>
        <v/>
      </c>
      <c r="AD789" s="17">
        <f>IF($B789="","",TEXT($B789,"MM/AAAA"))</f>
        <v/>
      </c>
      <c r="AE789" s="18">
        <f>IF(COUNTA($B789:$R789)=0,"",IF($X789="Cancelado",0,ROUND(N($Q789)+N($S789)+N($T789)-N($U789),2)))</f>
        <v/>
      </c>
      <c r="AF789" s="9">
        <f>IF($G789="","",IFERROR(INDEX(LINHAS_DRE_PLANO,MATCH($G789,SUBCATEGORIAS_PLANO,0)),"Não classificado"))</f>
        <v/>
      </c>
      <c r="AG789" s="17">
        <f>IF($G789="","",IFERROR(INDEX(TIPOS_FLUXO_PLANO,MATCH($G789,SUBCATEGORIAS_PLANO,0)),"Não classificado"))</f>
        <v/>
      </c>
      <c r="AH789" s="9">
        <f>IF($G789="","",IFERROR(INDEX(GRUPOS_PLANO,MATCH($G789,SUBCATEGORIAS_PLANO,0)),"Não classificado"))</f>
        <v/>
      </c>
      <c r="AI789" s="24">
        <f>IF(OR($C789="",$X789="Pago",$X789="Recebido",$X789="Cancelado"),"",$C789-TODAY())</f>
        <v/>
      </c>
      <c r="AJ789" s="24">
        <f>IF(OR($C789="",$X789="Pago",$X789="Recebido",$X789="Cancelado"),0,MAX(0,TODAY()-$C789))</f>
        <v/>
      </c>
      <c r="AK789" s="24">
        <f>IF($D789="","",$D789-$B789)</f>
        <v/>
      </c>
      <c r="AL789" s="18">
        <f>IF(OR($D789="",$B789=""),"",ROUND(N($R789)*($D789-$B789),2))</f>
        <v/>
      </c>
      <c r="AM789" s="17">
        <f>IF(AND($E789="Saída",$W789&gt;0,$C789&lt;&gt;""),$C789+ROW()/1000000,"")</f>
        <v/>
      </c>
      <c r="AN789" s="17">
        <f>IF(AND($E789="Entrada",$W789&gt;0,$C789&lt;&gt;""),$C789+ROW()/1000000,"")</f>
        <v/>
      </c>
      <c r="AO789" s="9">
        <f>IF(COUNTA($B789:$R789)=0,"",IF(AND($I789&lt;&gt;"",COUNTIF(CLIENTES_NOMES,$I789)+COUNTIF(CLIENTES_FANTASIA,$I789)+COUNTIF(FORNECEDORES_NOMES,$I789)+COUNTIF(FORNECEDORES_FANTASIA,$I789)=0),"⚠ Cliente/Fornecedor não cadastrado",IF(AND($G789&lt;&gt;"",COUNTIF(SUBCATEGORIAS_PLANO,$G789)=0),"⚠ Subcategoria fora do plano de contas",IF(OR($Q789="",N($Q789)=0),"⚠ Valor previsto não informado",IF(AND(OR($X789="Pago",$X789="Recebido"),$D789=""),"⚠ Status pago/recebido sem data",IF(AND($D789&lt;&gt;"",N($R789)=0),"⚠ Data de pagamento sem valor realizado",IF(AND(N($P789)&gt;1,N($O789)&gt;N($P789)),"⚠ Nº da parcela maior que o total",IF(AND($C789&lt;&gt;"",$B789&lt;&gt;"",$C789&lt;$B789),"⚠ Vencimento anterior à competência","OK"))))))))</f>
        <v/>
      </c>
    </row>
    <row r="790">
      <c r="A790" s="14" t="n"/>
      <c r="B790" s="36" t="n"/>
      <c r="C790" s="36" t="n"/>
      <c r="D790" s="36" t="n"/>
      <c r="E790" s="14" t="n"/>
      <c r="F790" s="29" t="n"/>
      <c r="G790" s="29" t="n"/>
      <c r="H790" s="29" t="n"/>
      <c r="I790" s="29" t="n"/>
      <c r="J790" s="29" t="n"/>
      <c r="K790" s="14" t="n"/>
      <c r="L790" s="29" t="n"/>
      <c r="M790" s="14" t="n"/>
      <c r="N790" s="29" t="n"/>
      <c r="O790" s="13" t="n"/>
      <c r="P790" s="13" t="n"/>
      <c r="Q790" s="35" t="n"/>
      <c r="R790" s="35" t="n"/>
      <c r="S790" s="35" t="n"/>
      <c r="T790" s="35" t="n"/>
      <c r="U790" s="35" t="n"/>
      <c r="V790" s="18">
        <f>IF(COUNTA($B790:$R790)=0,"",ROUND(N($R790)+N($S790)+N($T790)-N($U790),2))</f>
        <v/>
      </c>
      <c r="W790" s="18">
        <f>IF(COUNTA($B790:$R790)=0,"",IF(OR($X790="Pago",$X790="Recebido",$X790="Cancelado"),0,ROUND(N($Q790)+N($S790)+N($T790)-N($U790)-N($R790),2)))</f>
        <v/>
      </c>
      <c r="X790" s="14" t="n"/>
      <c r="Y790" s="17">
        <f>IF(COUNTA($B790:$R790)=0,"",IF($X790="Cancelado","Cancelado",IF(OR($X790="Pago",$X790="Recebido"),$X790,IF(OR($X790="Parcial",N($R790)&gt;0),"Parcial",IF($C790="","Sem vencimento",IF($C790&lt;TODAY(),"Vencido",IF($C790=TODAY(),"Vence hoje",IF($C790&lt;=TODAY()+7,"Vence em 7 dias",IF($C790&lt;=TODAY()+30,"Vence em 30 dias","Futuro")))))))))</f>
        <v/>
      </c>
      <c r="Z790" s="24">
        <f>IF($B790="","",MONTH($B790))</f>
        <v/>
      </c>
      <c r="AA790" s="24">
        <f>IF($B790="","",YEAR($B790))</f>
        <v/>
      </c>
      <c r="AB790" s="24">
        <f>IF($B790="","",ISOWEEKNUM($B790))</f>
        <v/>
      </c>
      <c r="AC790" s="17">
        <f>IF($B790="","",CHOOSE(WEEKDAY($B790,2),"Segunda","Terça","Quarta","Quinta","Sexta","Sábado","Domingo"))</f>
        <v/>
      </c>
      <c r="AD790" s="17">
        <f>IF($B790="","",TEXT($B790,"MM/AAAA"))</f>
        <v/>
      </c>
      <c r="AE790" s="18">
        <f>IF(COUNTA($B790:$R790)=0,"",IF($X790="Cancelado",0,ROUND(N($Q790)+N($S790)+N($T790)-N($U790),2)))</f>
        <v/>
      </c>
      <c r="AF790" s="9">
        <f>IF($G790="","",IFERROR(INDEX(LINHAS_DRE_PLANO,MATCH($G790,SUBCATEGORIAS_PLANO,0)),"Não classificado"))</f>
        <v/>
      </c>
      <c r="AG790" s="17">
        <f>IF($G790="","",IFERROR(INDEX(TIPOS_FLUXO_PLANO,MATCH($G790,SUBCATEGORIAS_PLANO,0)),"Não classificado"))</f>
        <v/>
      </c>
      <c r="AH790" s="9">
        <f>IF($G790="","",IFERROR(INDEX(GRUPOS_PLANO,MATCH($G790,SUBCATEGORIAS_PLANO,0)),"Não classificado"))</f>
        <v/>
      </c>
      <c r="AI790" s="24">
        <f>IF(OR($C790="",$X790="Pago",$X790="Recebido",$X790="Cancelado"),"",$C790-TODAY())</f>
        <v/>
      </c>
      <c r="AJ790" s="24">
        <f>IF(OR($C790="",$X790="Pago",$X790="Recebido",$X790="Cancelado"),0,MAX(0,TODAY()-$C790))</f>
        <v/>
      </c>
      <c r="AK790" s="24">
        <f>IF($D790="","",$D790-$B790)</f>
        <v/>
      </c>
      <c r="AL790" s="18">
        <f>IF(OR($D790="",$B790=""),"",ROUND(N($R790)*($D790-$B790),2))</f>
        <v/>
      </c>
      <c r="AM790" s="17">
        <f>IF(AND($E790="Saída",$W790&gt;0,$C790&lt;&gt;""),$C790+ROW()/1000000,"")</f>
        <v/>
      </c>
      <c r="AN790" s="17">
        <f>IF(AND($E790="Entrada",$W790&gt;0,$C790&lt;&gt;""),$C790+ROW()/1000000,"")</f>
        <v/>
      </c>
      <c r="AO790" s="9">
        <f>IF(COUNTA($B790:$R790)=0,"",IF(AND($I790&lt;&gt;"",COUNTIF(CLIENTES_NOMES,$I790)+COUNTIF(CLIENTES_FANTASIA,$I790)+COUNTIF(FORNECEDORES_NOMES,$I790)+COUNTIF(FORNECEDORES_FANTASIA,$I790)=0),"⚠ Cliente/Fornecedor não cadastrado",IF(AND($G790&lt;&gt;"",COUNTIF(SUBCATEGORIAS_PLANO,$G790)=0),"⚠ Subcategoria fora do plano de contas",IF(OR($Q790="",N($Q790)=0),"⚠ Valor previsto não informado",IF(AND(OR($X790="Pago",$X790="Recebido"),$D790=""),"⚠ Status pago/recebido sem data",IF(AND($D790&lt;&gt;"",N($R790)=0),"⚠ Data de pagamento sem valor realizado",IF(AND(N($P790)&gt;1,N($O790)&gt;N($P790)),"⚠ Nº da parcela maior que o total",IF(AND($C790&lt;&gt;"",$B790&lt;&gt;"",$C790&lt;$B790),"⚠ Vencimento anterior à competência","OK"))))))))</f>
        <v/>
      </c>
    </row>
    <row r="791">
      <c r="A791" s="14" t="n"/>
      <c r="B791" s="36" t="n"/>
      <c r="C791" s="36" t="n"/>
      <c r="D791" s="36" t="n"/>
      <c r="E791" s="14" t="n"/>
      <c r="F791" s="29" t="n"/>
      <c r="G791" s="29" t="n"/>
      <c r="H791" s="29" t="n"/>
      <c r="I791" s="29" t="n"/>
      <c r="J791" s="29" t="n"/>
      <c r="K791" s="14" t="n"/>
      <c r="L791" s="29" t="n"/>
      <c r="M791" s="14" t="n"/>
      <c r="N791" s="29" t="n"/>
      <c r="O791" s="13" t="n"/>
      <c r="P791" s="13" t="n"/>
      <c r="Q791" s="35" t="n"/>
      <c r="R791" s="35" t="n"/>
      <c r="S791" s="35" t="n"/>
      <c r="T791" s="35" t="n"/>
      <c r="U791" s="35" t="n"/>
      <c r="V791" s="18">
        <f>IF(COUNTA($B791:$R791)=0,"",ROUND(N($R791)+N($S791)+N($T791)-N($U791),2))</f>
        <v/>
      </c>
      <c r="W791" s="18">
        <f>IF(COUNTA($B791:$R791)=0,"",IF(OR($X791="Pago",$X791="Recebido",$X791="Cancelado"),0,ROUND(N($Q791)+N($S791)+N($T791)-N($U791)-N($R791),2)))</f>
        <v/>
      </c>
      <c r="X791" s="14" t="n"/>
      <c r="Y791" s="17">
        <f>IF(COUNTA($B791:$R791)=0,"",IF($X791="Cancelado","Cancelado",IF(OR($X791="Pago",$X791="Recebido"),$X791,IF(OR($X791="Parcial",N($R791)&gt;0),"Parcial",IF($C791="","Sem vencimento",IF($C791&lt;TODAY(),"Vencido",IF($C791=TODAY(),"Vence hoje",IF($C791&lt;=TODAY()+7,"Vence em 7 dias",IF($C791&lt;=TODAY()+30,"Vence em 30 dias","Futuro")))))))))</f>
        <v/>
      </c>
      <c r="Z791" s="24">
        <f>IF($B791="","",MONTH($B791))</f>
        <v/>
      </c>
      <c r="AA791" s="24">
        <f>IF($B791="","",YEAR($B791))</f>
        <v/>
      </c>
      <c r="AB791" s="24">
        <f>IF($B791="","",ISOWEEKNUM($B791))</f>
        <v/>
      </c>
      <c r="AC791" s="17">
        <f>IF($B791="","",CHOOSE(WEEKDAY($B791,2),"Segunda","Terça","Quarta","Quinta","Sexta","Sábado","Domingo"))</f>
        <v/>
      </c>
      <c r="AD791" s="17">
        <f>IF($B791="","",TEXT($B791,"MM/AAAA"))</f>
        <v/>
      </c>
      <c r="AE791" s="18">
        <f>IF(COUNTA($B791:$R791)=0,"",IF($X791="Cancelado",0,ROUND(N($Q791)+N($S791)+N($T791)-N($U791),2)))</f>
        <v/>
      </c>
      <c r="AF791" s="9">
        <f>IF($G791="","",IFERROR(INDEX(LINHAS_DRE_PLANO,MATCH($G791,SUBCATEGORIAS_PLANO,0)),"Não classificado"))</f>
        <v/>
      </c>
      <c r="AG791" s="17">
        <f>IF($G791="","",IFERROR(INDEX(TIPOS_FLUXO_PLANO,MATCH($G791,SUBCATEGORIAS_PLANO,0)),"Não classificado"))</f>
        <v/>
      </c>
      <c r="AH791" s="9">
        <f>IF($G791="","",IFERROR(INDEX(GRUPOS_PLANO,MATCH($G791,SUBCATEGORIAS_PLANO,0)),"Não classificado"))</f>
        <v/>
      </c>
      <c r="AI791" s="24">
        <f>IF(OR($C791="",$X791="Pago",$X791="Recebido",$X791="Cancelado"),"",$C791-TODAY())</f>
        <v/>
      </c>
      <c r="AJ791" s="24">
        <f>IF(OR($C791="",$X791="Pago",$X791="Recebido",$X791="Cancelado"),0,MAX(0,TODAY()-$C791))</f>
        <v/>
      </c>
      <c r="AK791" s="24">
        <f>IF($D791="","",$D791-$B791)</f>
        <v/>
      </c>
      <c r="AL791" s="18">
        <f>IF(OR($D791="",$B791=""),"",ROUND(N($R791)*($D791-$B791),2))</f>
        <v/>
      </c>
      <c r="AM791" s="17">
        <f>IF(AND($E791="Saída",$W791&gt;0,$C791&lt;&gt;""),$C791+ROW()/1000000,"")</f>
        <v/>
      </c>
      <c r="AN791" s="17">
        <f>IF(AND($E791="Entrada",$W791&gt;0,$C791&lt;&gt;""),$C791+ROW()/1000000,"")</f>
        <v/>
      </c>
      <c r="AO791" s="9">
        <f>IF(COUNTA($B791:$R791)=0,"",IF(AND($I791&lt;&gt;"",COUNTIF(CLIENTES_NOMES,$I791)+COUNTIF(CLIENTES_FANTASIA,$I791)+COUNTIF(FORNECEDORES_NOMES,$I791)+COUNTIF(FORNECEDORES_FANTASIA,$I791)=0),"⚠ Cliente/Fornecedor não cadastrado",IF(AND($G791&lt;&gt;"",COUNTIF(SUBCATEGORIAS_PLANO,$G791)=0),"⚠ Subcategoria fora do plano de contas",IF(OR($Q791="",N($Q791)=0),"⚠ Valor previsto não informado",IF(AND(OR($X791="Pago",$X791="Recebido"),$D791=""),"⚠ Status pago/recebido sem data",IF(AND($D791&lt;&gt;"",N($R791)=0),"⚠ Data de pagamento sem valor realizado",IF(AND(N($P791)&gt;1,N($O791)&gt;N($P791)),"⚠ Nº da parcela maior que o total",IF(AND($C791&lt;&gt;"",$B791&lt;&gt;"",$C791&lt;$B791),"⚠ Vencimento anterior à competência","OK"))))))))</f>
        <v/>
      </c>
    </row>
    <row r="792">
      <c r="A792" s="14" t="n"/>
      <c r="B792" s="36" t="n"/>
      <c r="C792" s="36" t="n"/>
      <c r="D792" s="36" t="n"/>
      <c r="E792" s="14" t="n"/>
      <c r="F792" s="29" t="n"/>
      <c r="G792" s="29" t="n"/>
      <c r="H792" s="29" t="n"/>
      <c r="I792" s="29" t="n"/>
      <c r="J792" s="29" t="n"/>
      <c r="K792" s="14" t="n"/>
      <c r="L792" s="29" t="n"/>
      <c r="M792" s="14" t="n"/>
      <c r="N792" s="29" t="n"/>
      <c r="O792" s="13" t="n"/>
      <c r="P792" s="13" t="n"/>
      <c r="Q792" s="35" t="n"/>
      <c r="R792" s="35" t="n"/>
      <c r="S792" s="35" t="n"/>
      <c r="T792" s="35" t="n"/>
      <c r="U792" s="35" t="n"/>
      <c r="V792" s="18">
        <f>IF(COUNTA($B792:$R792)=0,"",ROUND(N($R792)+N($S792)+N($T792)-N($U792),2))</f>
        <v/>
      </c>
      <c r="W792" s="18">
        <f>IF(COUNTA($B792:$R792)=0,"",IF(OR($X792="Pago",$X792="Recebido",$X792="Cancelado"),0,ROUND(N($Q792)+N($S792)+N($T792)-N($U792)-N($R792),2)))</f>
        <v/>
      </c>
      <c r="X792" s="14" t="n"/>
      <c r="Y792" s="17">
        <f>IF(COUNTA($B792:$R792)=0,"",IF($X792="Cancelado","Cancelado",IF(OR($X792="Pago",$X792="Recebido"),$X792,IF(OR($X792="Parcial",N($R792)&gt;0),"Parcial",IF($C792="","Sem vencimento",IF($C792&lt;TODAY(),"Vencido",IF($C792=TODAY(),"Vence hoje",IF($C792&lt;=TODAY()+7,"Vence em 7 dias",IF($C792&lt;=TODAY()+30,"Vence em 30 dias","Futuro")))))))))</f>
        <v/>
      </c>
      <c r="Z792" s="24">
        <f>IF($B792="","",MONTH($B792))</f>
        <v/>
      </c>
      <c r="AA792" s="24">
        <f>IF($B792="","",YEAR($B792))</f>
        <v/>
      </c>
      <c r="AB792" s="24">
        <f>IF($B792="","",ISOWEEKNUM($B792))</f>
        <v/>
      </c>
      <c r="AC792" s="17">
        <f>IF($B792="","",CHOOSE(WEEKDAY($B792,2),"Segunda","Terça","Quarta","Quinta","Sexta","Sábado","Domingo"))</f>
        <v/>
      </c>
      <c r="AD792" s="17">
        <f>IF($B792="","",TEXT($B792,"MM/AAAA"))</f>
        <v/>
      </c>
      <c r="AE792" s="18">
        <f>IF(COUNTA($B792:$R792)=0,"",IF($X792="Cancelado",0,ROUND(N($Q792)+N($S792)+N($T792)-N($U792),2)))</f>
        <v/>
      </c>
      <c r="AF792" s="9">
        <f>IF($G792="","",IFERROR(INDEX(LINHAS_DRE_PLANO,MATCH($G792,SUBCATEGORIAS_PLANO,0)),"Não classificado"))</f>
        <v/>
      </c>
      <c r="AG792" s="17">
        <f>IF($G792="","",IFERROR(INDEX(TIPOS_FLUXO_PLANO,MATCH($G792,SUBCATEGORIAS_PLANO,0)),"Não classificado"))</f>
        <v/>
      </c>
      <c r="AH792" s="9">
        <f>IF($G792="","",IFERROR(INDEX(GRUPOS_PLANO,MATCH($G792,SUBCATEGORIAS_PLANO,0)),"Não classificado"))</f>
        <v/>
      </c>
      <c r="AI792" s="24">
        <f>IF(OR($C792="",$X792="Pago",$X792="Recebido",$X792="Cancelado"),"",$C792-TODAY())</f>
        <v/>
      </c>
      <c r="AJ792" s="24">
        <f>IF(OR($C792="",$X792="Pago",$X792="Recebido",$X792="Cancelado"),0,MAX(0,TODAY()-$C792))</f>
        <v/>
      </c>
      <c r="AK792" s="24">
        <f>IF($D792="","",$D792-$B792)</f>
        <v/>
      </c>
      <c r="AL792" s="18">
        <f>IF(OR($D792="",$B792=""),"",ROUND(N($R792)*($D792-$B792),2))</f>
        <v/>
      </c>
      <c r="AM792" s="17">
        <f>IF(AND($E792="Saída",$W792&gt;0,$C792&lt;&gt;""),$C792+ROW()/1000000,"")</f>
        <v/>
      </c>
      <c r="AN792" s="17">
        <f>IF(AND($E792="Entrada",$W792&gt;0,$C792&lt;&gt;""),$C792+ROW()/1000000,"")</f>
        <v/>
      </c>
      <c r="AO792" s="9">
        <f>IF(COUNTA($B792:$R792)=0,"",IF(AND($I792&lt;&gt;"",COUNTIF(CLIENTES_NOMES,$I792)+COUNTIF(CLIENTES_FANTASIA,$I792)+COUNTIF(FORNECEDORES_NOMES,$I792)+COUNTIF(FORNECEDORES_FANTASIA,$I792)=0),"⚠ Cliente/Fornecedor não cadastrado",IF(AND($G792&lt;&gt;"",COUNTIF(SUBCATEGORIAS_PLANO,$G792)=0),"⚠ Subcategoria fora do plano de contas",IF(OR($Q792="",N($Q792)=0),"⚠ Valor previsto não informado",IF(AND(OR($X792="Pago",$X792="Recebido"),$D792=""),"⚠ Status pago/recebido sem data",IF(AND($D792&lt;&gt;"",N($R792)=0),"⚠ Data de pagamento sem valor realizado",IF(AND(N($P792)&gt;1,N($O792)&gt;N($P792)),"⚠ Nº da parcela maior que o total",IF(AND($C792&lt;&gt;"",$B792&lt;&gt;"",$C792&lt;$B792),"⚠ Vencimento anterior à competência","OK"))))))))</f>
        <v/>
      </c>
    </row>
    <row r="793">
      <c r="A793" s="14" t="n"/>
      <c r="B793" s="36" t="n"/>
      <c r="C793" s="36" t="n"/>
      <c r="D793" s="36" t="n"/>
      <c r="E793" s="14" t="n"/>
      <c r="F793" s="29" t="n"/>
      <c r="G793" s="29" t="n"/>
      <c r="H793" s="29" t="n"/>
      <c r="I793" s="29" t="n"/>
      <c r="J793" s="29" t="n"/>
      <c r="K793" s="14" t="n"/>
      <c r="L793" s="29" t="n"/>
      <c r="M793" s="14" t="n"/>
      <c r="N793" s="29" t="n"/>
      <c r="O793" s="13" t="n"/>
      <c r="P793" s="13" t="n"/>
      <c r="Q793" s="35" t="n"/>
      <c r="R793" s="35" t="n"/>
      <c r="S793" s="35" t="n"/>
      <c r="T793" s="35" t="n"/>
      <c r="U793" s="35" t="n"/>
      <c r="V793" s="18">
        <f>IF(COUNTA($B793:$R793)=0,"",ROUND(N($R793)+N($S793)+N($T793)-N($U793),2))</f>
        <v/>
      </c>
      <c r="W793" s="18">
        <f>IF(COUNTA($B793:$R793)=0,"",IF(OR($X793="Pago",$X793="Recebido",$X793="Cancelado"),0,ROUND(N($Q793)+N($S793)+N($T793)-N($U793)-N($R793),2)))</f>
        <v/>
      </c>
      <c r="X793" s="14" t="n"/>
      <c r="Y793" s="17">
        <f>IF(COUNTA($B793:$R793)=0,"",IF($X793="Cancelado","Cancelado",IF(OR($X793="Pago",$X793="Recebido"),$X793,IF(OR($X793="Parcial",N($R793)&gt;0),"Parcial",IF($C793="","Sem vencimento",IF($C793&lt;TODAY(),"Vencido",IF($C793=TODAY(),"Vence hoje",IF($C793&lt;=TODAY()+7,"Vence em 7 dias",IF($C793&lt;=TODAY()+30,"Vence em 30 dias","Futuro")))))))))</f>
        <v/>
      </c>
      <c r="Z793" s="24">
        <f>IF($B793="","",MONTH($B793))</f>
        <v/>
      </c>
      <c r="AA793" s="24">
        <f>IF($B793="","",YEAR($B793))</f>
        <v/>
      </c>
      <c r="AB793" s="24">
        <f>IF($B793="","",ISOWEEKNUM($B793))</f>
        <v/>
      </c>
      <c r="AC793" s="17">
        <f>IF($B793="","",CHOOSE(WEEKDAY($B793,2),"Segunda","Terça","Quarta","Quinta","Sexta","Sábado","Domingo"))</f>
        <v/>
      </c>
      <c r="AD793" s="17">
        <f>IF($B793="","",TEXT($B793,"MM/AAAA"))</f>
        <v/>
      </c>
      <c r="AE793" s="18">
        <f>IF(COUNTA($B793:$R793)=0,"",IF($X793="Cancelado",0,ROUND(N($Q793)+N($S793)+N($T793)-N($U793),2)))</f>
        <v/>
      </c>
      <c r="AF793" s="9">
        <f>IF($G793="","",IFERROR(INDEX(LINHAS_DRE_PLANO,MATCH($G793,SUBCATEGORIAS_PLANO,0)),"Não classificado"))</f>
        <v/>
      </c>
      <c r="AG793" s="17">
        <f>IF($G793="","",IFERROR(INDEX(TIPOS_FLUXO_PLANO,MATCH($G793,SUBCATEGORIAS_PLANO,0)),"Não classificado"))</f>
        <v/>
      </c>
      <c r="AH793" s="9">
        <f>IF($G793="","",IFERROR(INDEX(GRUPOS_PLANO,MATCH($G793,SUBCATEGORIAS_PLANO,0)),"Não classificado"))</f>
        <v/>
      </c>
      <c r="AI793" s="24">
        <f>IF(OR($C793="",$X793="Pago",$X793="Recebido",$X793="Cancelado"),"",$C793-TODAY())</f>
        <v/>
      </c>
      <c r="AJ793" s="24">
        <f>IF(OR($C793="",$X793="Pago",$X793="Recebido",$X793="Cancelado"),0,MAX(0,TODAY()-$C793))</f>
        <v/>
      </c>
      <c r="AK793" s="24">
        <f>IF($D793="","",$D793-$B793)</f>
        <v/>
      </c>
      <c r="AL793" s="18">
        <f>IF(OR($D793="",$B793=""),"",ROUND(N($R793)*($D793-$B793),2))</f>
        <v/>
      </c>
      <c r="AM793" s="17">
        <f>IF(AND($E793="Saída",$W793&gt;0,$C793&lt;&gt;""),$C793+ROW()/1000000,"")</f>
        <v/>
      </c>
      <c r="AN793" s="17">
        <f>IF(AND($E793="Entrada",$W793&gt;0,$C793&lt;&gt;""),$C793+ROW()/1000000,"")</f>
        <v/>
      </c>
      <c r="AO793" s="9">
        <f>IF(COUNTA($B793:$R793)=0,"",IF(AND($I793&lt;&gt;"",COUNTIF(CLIENTES_NOMES,$I793)+COUNTIF(CLIENTES_FANTASIA,$I793)+COUNTIF(FORNECEDORES_NOMES,$I793)+COUNTIF(FORNECEDORES_FANTASIA,$I793)=0),"⚠ Cliente/Fornecedor não cadastrado",IF(AND($G793&lt;&gt;"",COUNTIF(SUBCATEGORIAS_PLANO,$G793)=0),"⚠ Subcategoria fora do plano de contas",IF(OR($Q793="",N($Q793)=0),"⚠ Valor previsto não informado",IF(AND(OR($X793="Pago",$X793="Recebido"),$D793=""),"⚠ Status pago/recebido sem data",IF(AND($D793&lt;&gt;"",N($R793)=0),"⚠ Data de pagamento sem valor realizado",IF(AND(N($P793)&gt;1,N($O793)&gt;N($P793)),"⚠ Nº da parcela maior que o total",IF(AND($C793&lt;&gt;"",$B793&lt;&gt;"",$C793&lt;$B793),"⚠ Vencimento anterior à competência","OK"))))))))</f>
        <v/>
      </c>
    </row>
    <row r="794">
      <c r="A794" s="14" t="n"/>
      <c r="B794" s="36" t="n"/>
      <c r="C794" s="36" t="n"/>
      <c r="D794" s="36" t="n"/>
      <c r="E794" s="14" t="n"/>
      <c r="F794" s="29" t="n"/>
      <c r="G794" s="29" t="n"/>
      <c r="H794" s="29" t="n"/>
      <c r="I794" s="29" t="n"/>
      <c r="J794" s="29" t="n"/>
      <c r="K794" s="14" t="n"/>
      <c r="L794" s="29" t="n"/>
      <c r="M794" s="14" t="n"/>
      <c r="N794" s="29" t="n"/>
      <c r="O794" s="13" t="n"/>
      <c r="P794" s="13" t="n"/>
      <c r="Q794" s="35" t="n"/>
      <c r="R794" s="35" t="n"/>
      <c r="S794" s="35" t="n"/>
      <c r="T794" s="35" t="n"/>
      <c r="U794" s="35" t="n"/>
      <c r="V794" s="18">
        <f>IF(COUNTA($B794:$R794)=0,"",ROUND(N($R794)+N($S794)+N($T794)-N($U794),2))</f>
        <v/>
      </c>
      <c r="W794" s="18">
        <f>IF(COUNTA($B794:$R794)=0,"",IF(OR($X794="Pago",$X794="Recebido",$X794="Cancelado"),0,ROUND(N($Q794)+N($S794)+N($T794)-N($U794)-N($R794),2)))</f>
        <v/>
      </c>
      <c r="X794" s="14" t="n"/>
      <c r="Y794" s="17">
        <f>IF(COUNTA($B794:$R794)=0,"",IF($X794="Cancelado","Cancelado",IF(OR($X794="Pago",$X794="Recebido"),$X794,IF(OR($X794="Parcial",N($R794)&gt;0),"Parcial",IF($C794="","Sem vencimento",IF($C794&lt;TODAY(),"Vencido",IF($C794=TODAY(),"Vence hoje",IF($C794&lt;=TODAY()+7,"Vence em 7 dias",IF($C794&lt;=TODAY()+30,"Vence em 30 dias","Futuro")))))))))</f>
        <v/>
      </c>
      <c r="Z794" s="24">
        <f>IF($B794="","",MONTH($B794))</f>
        <v/>
      </c>
      <c r="AA794" s="24">
        <f>IF($B794="","",YEAR($B794))</f>
        <v/>
      </c>
      <c r="AB794" s="24">
        <f>IF($B794="","",ISOWEEKNUM($B794))</f>
        <v/>
      </c>
      <c r="AC794" s="17">
        <f>IF($B794="","",CHOOSE(WEEKDAY($B794,2),"Segunda","Terça","Quarta","Quinta","Sexta","Sábado","Domingo"))</f>
        <v/>
      </c>
      <c r="AD794" s="17">
        <f>IF($B794="","",TEXT($B794,"MM/AAAA"))</f>
        <v/>
      </c>
      <c r="AE794" s="18">
        <f>IF(COUNTA($B794:$R794)=0,"",IF($X794="Cancelado",0,ROUND(N($Q794)+N($S794)+N($T794)-N($U794),2)))</f>
        <v/>
      </c>
      <c r="AF794" s="9">
        <f>IF($G794="","",IFERROR(INDEX(LINHAS_DRE_PLANO,MATCH($G794,SUBCATEGORIAS_PLANO,0)),"Não classificado"))</f>
        <v/>
      </c>
      <c r="AG794" s="17">
        <f>IF($G794="","",IFERROR(INDEX(TIPOS_FLUXO_PLANO,MATCH($G794,SUBCATEGORIAS_PLANO,0)),"Não classificado"))</f>
        <v/>
      </c>
      <c r="AH794" s="9">
        <f>IF($G794="","",IFERROR(INDEX(GRUPOS_PLANO,MATCH($G794,SUBCATEGORIAS_PLANO,0)),"Não classificado"))</f>
        <v/>
      </c>
      <c r="AI794" s="24">
        <f>IF(OR($C794="",$X794="Pago",$X794="Recebido",$X794="Cancelado"),"",$C794-TODAY())</f>
        <v/>
      </c>
      <c r="AJ794" s="24">
        <f>IF(OR($C794="",$X794="Pago",$X794="Recebido",$X794="Cancelado"),0,MAX(0,TODAY()-$C794))</f>
        <v/>
      </c>
      <c r="AK794" s="24">
        <f>IF($D794="","",$D794-$B794)</f>
        <v/>
      </c>
      <c r="AL794" s="18">
        <f>IF(OR($D794="",$B794=""),"",ROUND(N($R794)*($D794-$B794),2))</f>
        <v/>
      </c>
      <c r="AM794" s="17">
        <f>IF(AND($E794="Saída",$W794&gt;0,$C794&lt;&gt;""),$C794+ROW()/1000000,"")</f>
        <v/>
      </c>
      <c r="AN794" s="17">
        <f>IF(AND($E794="Entrada",$W794&gt;0,$C794&lt;&gt;""),$C794+ROW()/1000000,"")</f>
        <v/>
      </c>
      <c r="AO794" s="9">
        <f>IF(COUNTA($B794:$R794)=0,"",IF(AND($I794&lt;&gt;"",COUNTIF(CLIENTES_NOMES,$I794)+COUNTIF(CLIENTES_FANTASIA,$I794)+COUNTIF(FORNECEDORES_NOMES,$I794)+COUNTIF(FORNECEDORES_FANTASIA,$I794)=0),"⚠ Cliente/Fornecedor não cadastrado",IF(AND($G794&lt;&gt;"",COUNTIF(SUBCATEGORIAS_PLANO,$G794)=0),"⚠ Subcategoria fora do plano de contas",IF(OR($Q794="",N($Q794)=0),"⚠ Valor previsto não informado",IF(AND(OR($X794="Pago",$X794="Recebido"),$D794=""),"⚠ Status pago/recebido sem data",IF(AND($D794&lt;&gt;"",N($R794)=0),"⚠ Data de pagamento sem valor realizado",IF(AND(N($P794)&gt;1,N($O794)&gt;N($P794)),"⚠ Nº da parcela maior que o total",IF(AND($C794&lt;&gt;"",$B794&lt;&gt;"",$C794&lt;$B794),"⚠ Vencimento anterior à competência","OK"))))))))</f>
        <v/>
      </c>
    </row>
    <row r="795">
      <c r="A795" s="14" t="n"/>
      <c r="B795" s="36" t="n"/>
      <c r="C795" s="36" t="n"/>
      <c r="D795" s="36" t="n"/>
      <c r="E795" s="14" t="n"/>
      <c r="F795" s="29" t="n"/>
      <c r="G795" s="29" t="n"/>
      <c r="H795" s="29" t="n"/>
      <c r="I795" s="29" t="n"/>
      <c r="J795" s="29" t="n"/>
      <c r="K795" s="14" t="n"/>
      <c r="L795" s="29" t="n"/>
      <c r="M795" s="14" t="n"/>
      <c r="N795" s="29" t="n"/>
      <c r="O795" s="13" t="n"/>
      <c r="P795" s="13" t="n"/>
      <c r="Q795" s="35" t="n"/>
      <c r="R795" s="35" t="n"/>
      <c r="S795" s="35" t="n"/>
      <c r="T795" s="35" t="n"/>
      <c r="U795" s="35" t="n"/>
      <c r="V795" s="18">
        <f>IF(COUNTA($B795:$R795)=0,"",ROUND(N($R795)+N($S795)+N($T795)-N($U795),2))</f>
        <v/>
      </c>
      <c r="W795" s="18">
        <f>IF(COUNTA($B795:$R795)=0,"",IF(OR($X795="Pago",$X795="Recebido",$X795="Cancelado"),0,ROUND(N($Q795)+N($S795)+N($T795)-N($U795)-N($R795),2)))</f>
        <v/>
      </c>
      <c r="X795" s="14" t="n"/>
      <c r="Y795" s="17">
        <f>IF(COUNTA($B795:$R795)=0,"",IF($X795="Cancelado","Cancelado",IF(OR($X795="Pago",$X795="Recebido"),$X795,IF(OR($X795="Parcial",N($R795)&gt;0),"Parcial",IF($C795="","Sem vencimento",IF($C795&lt;TODAY(),"Vencido",IF($C795=TODAY(),"Vence hoje",IF($C795&lt;=TODAY()+7,"Vence em 7 dias",IF($C795&lt;=TODAY()+30,"Vence em 30 dias","Futuro")))))))))</f>
        <v/>
      </c>
      <c r="Z795" s="24">
        <f>IF($B795="","",MONTH($B795))</f>
        <v/>
      </c>
      <c r="AA795" s="24">
        <f>IF($B795="","",YEAR($B795))</f>
        <v/>
      </c>
      <c r="AB795" s="24">
        <f>IF($B795="","",ISOWEEKNUM($B795))</f>
        <v/>
      </c>
      <c r="AC795" s="17">
        <f>IF($B795="","",CHOOSE(WEEKDAY($B795,2),"Segunda","Terça","Quarta","Quinta","Sexta","Sábado","Domingo"))</f>
        <v/>
      </c>
      <c r="AD795" s="17">
        <f>IF($B795="","",TEXT($B795,"MM/AAAA"))</f>
        <v/>
      </c>
      <c r="AE795" s="18">
        <f>IF(COUNTA($B795:$R795)=0,"",IF($X795="Cancelado",0,ROUND(N($Q795)+N($S795)+N($T795)-N($U795),2)))</f>
        <v/>
      </c>
      <c r="AF795" s="9">
        <f>IF($G795="","",IFERROR(INDEX(LINHAS_DRE_PLANO,MATCH($G795,SUBCATEGORIAS_PLANO,0)),"Não classificado"))</f>
        <v/>
      </c>
      <c r="AG795" s="17">
        <f>IF($G795="","",IFERROR(INDEX(TIPOS_FLUXO_PLANO,MATCH($G795,SUBCATEGORIAS_PLANO,0)),"Não classificado"))</f>
        <v/>
      </c>
      <c r="AH795" s="9">
        <f>IF($G795="","",IFERROR(INDEX(GRUPOS_PLANO,MATCH($G795,SUBCATEGORIAS_PLANO,0)),"Não classificado"))</f>
        <v/>
      </c>
      <c r="AI795" s="24">
        <f>IF(OR($C795="",$X795="Pago",$X795="Recebido",$X795="Cancelado"),"",$C795-TODAY())</f>
        <v/>
      </c>
      <c r="AJ795" s="24">
        <f>IF(OR($C795="",$X795="Pago",$X795="Recebido",$X795="Cancelado"),0,MAX(0,TODAY()-$C795))</f>
        <v/>
      </c>
      <c r="AK795" s="24">
        <f>IF($D795="","",$D795-$B795)</f>
        <v/>
      </c>
      <c r="AL795" s="18">
        <f>IF(OR($D795="",$B795=""),"",ROUND(N($R795)*($D795-$B795),2))</f>
        <v/>
      </c>
      <c r="AM795" s="17">
        <f>IF(AND($E795="Saída",$W795&gt;0,$C795&lt;&gt;""),$C795+ROW()/1000000,"")</f>
        <v/>
      </c>
      <c r="AN795" s="17">
        <f>IF(AND($E795="Entrada",$W795&gt;0,$C795&lt;&gt;""),$C795+ROW()/1000000,"")</f>
        <v/>
      </c>
      <c r="AO795" s="9">
        <f>IF(COUNTA($B795:$R795)=0,"",IF(AND($I795&lt;&gt;"",COUNTIF(CLIENTES_NOMES,$I795)+COUNTIF(CLIENTES_FANTASIA,$I795)+COUNTIF(FORNECEDORES_NOMES,$I795)+COUNTIF(FORNECEDORES_FANTASIA,$I795)=0),"⚠ Cliente/Fornecedor não cadastrado",IF(AND($G795&lt;&gt;"",COUNTIF(SUBCATEGORIAS_PLANO,$G795)=0),"⚠ Subcategoria fora do plano de contas",IF(OR($Q795="",N($Q795)=0),"⚠ Valor previsto não informado",IF(AND(OR($X795="Pago",$X795="Recebido"),$D795=""),"⚠ Status pago/recebido sem data",IF(AND($D795&lt;&gt;"",N($R795)=0),"⚠ Data de pagamento sem valor realizado",IF(AND(N($P795)&gt;1,N($O795)&gt;N($P795)),"⚠ Nº da parcela maior que o total",IF(AND($C795&lt;&gt;"",$B795&lt;&gt;"",$C795&lt;$B795),"⚠ Vencimento anterior à competência","OK"))))))))</f>
        <v/>
      </c>
    </row>
    <row r="796">
      <c r="A796" s="14" t="n"/>
      <c r="B796" s="36" t="n"/>
      <c r="C796" s="36" t="n"/>
      <c r="D796" s="36" t="n"/>
      <c r="E796" s="14" t="n"/>
      <c r="F796" s="29" t="n"/>
      <c r="G796" s="29" t="n"/>
      <c r="H796" s="29" t="n"/>
      <c r="I796" s="29" t="n"/>
      <c r="J796" s="29" t="n"/>
      <c r="K796" s="14" t="n"/>
      <c r="L796" s="29" t="n"/>
      <c r="M796" s="14" t="n"/>
      <c r="N796" s="29" t="n"/>
      <c r="O796" s="13" t="n"/>
      <c r="P796" s="13" t="n"/>
      <c r="Q796" s="35" t="n"/>
      <c r="R796" s="35" t="n"/>
      <c r="S796" s="35" t="n"/>
      <c r="T796" s="35" t="n"/>
      <c r="U796" s="35" t="n"/>
      <c r="V796" s="18">
        <f>IF(COUNTA($B796:$R796)=0,"",ROUND(N($R796)+N($S796)+N($T796)-N($U796),2))</f>
        <v/>
      </c>
      <c r="W796" s="18">
        <f>IF(COUNTA($B796:$R796)=0,"",IF(OR($X796="Pago",$X796="Recebido",$X796="Cancelado"),0,ROUND(N($Q796)+N($S796)+N($T796)-N($U796)-N($R796),2)))</f>
        <v/>
      </c>
      <c r="X796" s="14" t="n"/>
      <c r="Y796" s="17">
        <f>IF(COUNTA($B796:$R796)=0,"",IF($X796="Cancelado","Cancelado",IF(OR($X796="Pago",$X796="Recebido"),$X796,IF(OR($X796="Parcial",N($R796)&gt;0),"Parcial",IF($C796="","Sem vencimento",IF($C796&lt;TODAY(),"Vencido",IF($C796=TODAY(),"Vence hoje",IF($C796&lt;=TODAY()+7,"Vence em 7 dias",IF($C796&lt;=TODAY()+30,"Vence em 30 dias","Futuro")))))))))</f>
        <v/>
      </c>
      <c r="Z796" s="24">
        <f>IF($B796="","",MONTH($B796))</f>
        <v/>
      </c>
      <c r="AA796" s="24">
        <f>IF($B796="","",YEAR($B796))</f>
        <v/>
      </c>
      <c r="AB796" s="24">
        <f>IF($B796="","",ISOWEEKNUM($B796))</f>
        <v/>
      </c>
      <c r="AC796" s="17">
        <f>IF($B796="","",CHOOSE(WEEKDAY($B796,2),"Segunda","Terça","Quarta","Quinta","Sexta","Sábado","Domingo"))</f>
        <v/>
      </c>
      <c r="AD796" s="17">
        <f>IF($B796="","",TEXT($B796,"MM/AAAA"))</f>
        <v/>
      </c>
      <c r="AE796" s="18">
        <f>IF(COUNTA($B796:$R796)=0,"",IF($X796="Cancelado",0,ROUND(N($Q796)+N($S796)+N($T796)-N($U796),2)))</f>
        <v/>
      </c>
      <c r="AF796" s="9">
        <f>IF($G796="","",IFERROR(INDEX(LINHAS_DRE_PLANO,MATCH($G796,SUBCATEGORIAS_PLANO,0)),"Não classificado"))</f>
        <v/>
      </c>
      <c r="AG796" s="17">
        <f>IF($G796="","",IFERROR(INDEX(TIPOS_FLUXO_PLANO,MATCH($G796,SUBCATEGORIAS_PLANO,0)),"Não classificado"))</f>
        <v/>
      </c>
      <c r="AH796" s="9">
        <f>IF($G796="","",IFERROR(INDEX(GRUPOS_PLANO,MATCH($G796,SUBCATEGORIAS_PLANO,0)),"Não classificado"))</f>
        <v/>
      </c>
      <c r="AI796" s="24">
        <f>IF(OR($C796="",$X796="Pago",$X796="Recebido",$X796="Cancelado"),"",$C796-TODAY())</f>
        <v/>
      </c>
      <c r="AJ796" s="24">
        <f>IF(OR($C796="",$X796="Pago",$X796="Recebido",$X796="Cancelado"),0,MAX(0,TODAY()-$C796))</f>
        <v/>
      </c>
      <c r="AK796" s="24">
        <f>IF($D796="","",$D796-$B796)</f>
        <v/>
      </c>
      <c r="AL796" s="18">
        <f>IF(OR($D796="",$B796=""),"",ROUND(N($R796)*($D796-$B796),2))</f>
        <v/>
      </c>
      <c r="AM796" s="17">
        <f>IF(AND($E796="Saída",$W796&gt;0,$C796&lt;&gt;""),$C796+ROW()/1000000,"")</f>
        <v/>
      </c>
      <c r="AN796" s="17">
        <f>IF(AND($E796="Entrada",$W796&gt;0,$C796&lt;&gt;""),$C796+ROW()/1000000,"")</f>
        <v/>
      </c>
      <c r="AO796" s="9">
        <f>IF(COUNTA($B796:$R796)=0,"",IF(AND($I796&lt;&gt;"",COUNTIF(CLIENTES_NOMES,$I796)+COUNTIF(CLIENTES_FANTASIA,$I796)+COUNTIF(FORNECEDORES_NOMES,$I796)+COUNTIF(FORNECEDORES_FANTASIA,$I796)=0),"⚠ Cliente/Fornecedor não cadastrado",IF(AND($G796&lt;&gt;"",COUNTIF(SUBCATEGORIAS_PLANO,$G796)=0),"⚠ Subcategoria fora do plano de contas",IF(OR($Q796="",N($Q796)=0),"⚠ Valor previsto não informado",IF(AND(OR($X796="Pago",$X796="Recebido"),$D796=""),"⚠ Status pago/recebido sem data",IF(AND($D796&lt;&gt;"",N($R796)=0),"⚠ Data de pagamento sem valor realizado",IF(AND(N($P796)&gt;1,N($O796)&gt;N($P796)),"⚠ Nº da parcela maior que o total",IF(AND($C796&lt;&gt;"",$B796&lt;&gt;"",$C796&lt;$B796),"⚠ Vencimento anterior à competência","OK"))))))))</f>
        <v/>
      </c>
    </row>
    <row r="797">
      <c r="A797" s="14" t="n"/>
      <c r="B797" s="36" t="n"/>
      <c r="C797" s="36" t="n"/>
      <c r="D797" s="36" t="n"/>
      <c r="E797" s="14" t="n"/>
      <c r="F797" s="29" t="n"/>
      <c r="G797" s="29" t="n"/>
      <c r="H797" s="29" t="n"/>
      <c r="I797" s="29" t="n"/>
      <c r="J797" s="29" t="n"/>
      <c r="K797" s="14" t="n"/>
      <c r="L797" s="29" t="n"/>
      <c r="M797" s="14" t="n"/>
      <c r="N797" s="29" t="n"/>
      <c r="O797" s="13" t="n"/>
      <c r="P797" s="13" t="n"/>
      <c r="Q797" s="35" t="n"/>
      <c r="R797" s="35" t="n"/>
      <c r="S797" s="35" t="n"/>
      <c r="T797" s="35" t="n"/>
      <c r="U797" s="35" t="n"/>
      <c r="V797" s="18">
        <f>IF(COUNTA($B797:$R797)=0,"",ROUND(N($R797)+N($S797)+N($T797)-N($U797),2))</f>
        <v/>
      </c>
      <c r="W797" s="18">
        <f>IF(COUNTA($B797:$R797)=0,"",IF(OR($X797="Pago",$X797="Recebido",$X797="Cancelado"),0,ROUND(N($Q797)+N($S797)+N($T797)-N($U797)-N($R797),2)))</f>
        <v/>
      </c>
      <c r="X797" s="14" t="n"/>
      <c r="Y797" s="17">
        <f>IF(COUNTA($B797:$R797)=0,"",IF($X797="Cancelado","Cancelado",IF(OR($X797="Pago",$X797="Recebido"),$X797,IF(OR($X797="Parcial",N($R797)&gt;0),"Parcial",IF($C797="","Sem vencimento",IF($C797&lt;TODAY(),"Vencido",IF($C797=TODAY(),"Vence hoje",IF($C797&lt;=TODAY()+7,"Vence em 7 dias",IF($C797&lt;=TODAY()+30,"Vence em 30 dias","Futuro")))))))))</f>
        <v/>
      </c>
      <c r="Z797" s="24">
        <f>IF($B797="","",MONTH($B797))</f>
        <v/>
      </c>
      <c r="AA797" s="24">
        <f>IF($B797="","",YEAR($B797))</f>
        <v/>
      </c>
      <c r="AB797" s="24">
        <f>IF($B797="","",ISOWEEKNUM($B797))</f>
        <v/>
      </c>
      <c r="AC797" s="17">
        <f>IF($B797="","",CHOOSE(WEEKDAY($B797,2),"Segunda","Terça","Quarta","Quinta","Sexta","Sábado","Domingo"))</f>
        <v/>
      </c>
      <c r="AD797" s="17">
        <f>IF($B797="","",TEXT($B797,"MM/AAAA"))</f>
        <v/>
      </c>
      <c r="AE797" s="18">
        <f>IF(COUNTA($B797:$R797)=0,"",IF($X797="Cancelado",0,ROUND(N($Q797)+N($S797)+N($T797)-N($U797),2)))</f>
        <v/>
      </c>
      <c r="AF797" s="9">
        <f>IF($G797="","",IFERROR(INDEX(LINHAS_DRE_PLANO,MATCH($G797,SUBCATEGORIAS_PLANO,0)),"Não classificado"))</f>
        <v/>
      </c>
      <c r="AG797" s="17">
        <f>IF($G797="","",IFERROR(INDEX(TIPOS_FLUXO_PLANO,MATCH($G797,SUBCATEGORIAS_PLANO,0)),"Não classificado"))</f>
        <v/>
      </c>
      <c r="AH797" s="9">
        <f>IF($G797="","",IFERROR(INDEX(GRUPOS_PLANO,MATCH($G797,SUBCATEGORIAS_PLANO,0)),"Não classificado"))</f>
        <v/>
      </c>
      <c r="AI797" s="24">
        <f>IF(OR($C797="",$X797="Pago",$X797="Recebido",$X797="Cancelado"),"",$C797-TODAY())</f>
        <v/>
      </c>
      <c r="AJ797" s="24">
        <f>IF(OR($C797="",$X797="Pago",$X797="Recebido",$X797="Cancelado"),0,MAX(0,TODAY()-$C797))</f>
        <v/>
      </c>
      <c r="AK797" s="24">
        <f>IF($D797="","",$D797-$B797)</f>
        <v/>
      </c>
      <c r="AL797" s="18">
        <f>IF(OR($D797="",$B797=""),"",ROUND(N($R797)*($D797-$B797),2))</f>
        <v/>
      </c>
      <c r="AM797" s="17">
        <f>IF(AND($E797="Saída",$W797&gt;0,$C797&lt;&gt;""),$C797+ROW()/1000000,"")</f>
        <v/>
      </c>
      <c r="AN797" s="17">
        <f>IF(AND($E797="Entrada",$W797&gt;0,$C797&lt;&gt;""),$C797+ROW()/1000000,"")</f>
        <v/>
      </c>
      <c r="AO797" s="9">
        <f>IF(COUNTA($B797:$R797)=0,"",IF(AND($I797&lt;&gt;"",COUNTIF(CLIENTES_NOMES,$I797)+COUNTIF(CLIENTES_FANTASIA,$I797)+COUNTIF(FORNECEDORES_NOMES,$I797)+COUNTIF(FORNECEDORES_FANTASIA,$I797)=0),"⚠ Cliente/Fornecedor não cadastrado",IF(AND($G797&lt;&gt;"",COUNTIF(SUBCATEGORIAS_PLANO,$G797)=0),"⚠ Subcategoria fora do plano de contas",IF(OR($Q797="",N($Q797)=0),"⚠ Valor previsto não informado",IF(AND(OR($X797="Pago",$X797="Recebido"),$D797=""),"⚠ Status pago/recebido sem data",IF(AND($D797&lt;&gt;"",N($R797)=0),"⚠ Data de pagamento sem valor realizado",IF(AND(N($P797)&gt;1,N($O797)&gt;N($P797)),"⚠ Nº da parcela maior que o total",IF(AND($C797&lt;&gt;"",$B797&lt;&gt;"",$C797&lt;$B797),"⚠ Vencimento anterior à competência","OK"))))))))</f>
        <v/>
      </c>
    </row>
    <row r="798">
      <c r="A798" s="14" t="n"/>
      <c r="B798" s="36" t="n"/>
      <c r="C798" s="36" t="n"/>
      <c r="D798" s="36" t="n"/>
      <c r="E798" s="14" t="n"/>
      <c r="F798" s="29" t="n"/>
      <c r="G798" s="29" t="n"/>
      <c r="H798" s="29" t="n"/>
      <c r="I798" s="29" t="n"/>
      <c r="J798" s="29" t="n"/>
      <c r="K798" s="14" t="n"/>
      <c r="L798" s="29" t="n"/>
      <c r="M798" s="14" t="n"/>
      <c r="N798" s="29" t="n"/>
      <c r="O798" s="13" t="n"/>
      <c r="P798" s="13" t="n"/>
      <c r="Q798" s="35" t="n"/>
      <c r="R798" s="35" t="n"/>
      <c r="S798" s="35" t="n"/>
      <c r="T798" s="35" t="n"/>
      <c r="U798" s="35" t="n"/>
      <c r="V798" s="18">
        <f>IF(COUNTA($B798:$R798)=0,"",ROUND(N($R798)+N($S798)+N($T798)-N($U798),2))</f>
        <v/>
      </c>
      <c r="W798" s="18">
        <f>IF(COUNTA($B798:$R798)=0,"",IF(OR($X798="Pago",$X798="Recebido",$X798="Cancelado"),0,ROUND(N($Q798)+N($S798)+N($T798)-N($U798)-N($R798),2)))</f>
        <v/>
      </c>
      <c r="X798" s="14" t="n"/>
      <c r="Y798" s="17">
        <f>IF(COUNTA($B798:$R798)=0,"",IF($X798="Cancelado","Cancelado",IF(OR($X798="Pago",$X798="Recebido"),$X798,IF(OR($X798="Parcial",N($R798)&gt;0),"Parcial",IF($C798="","Sem vencimento",IF($C798&lt;TODAY(),"Vencido",IF($C798=TODAY(),"Vence hoje",IF($C798&lt;=TODAY()+7,"Vence em 7 dias",IF($C798&lt;=TODAY()+30,"Vence em 30 dias","Futuro")))))))))</f>
        <v/>
      </c>
      <c r="Z798" s="24">
        <f>IF($B798="","",MONTH($B798))</f>
        <v/>
      </c>
      <c r="AA798" s="24">
        <f>IF($B798="","",YEAR($B798))</f>
        <v/>
      </c>
      <c r="AB798" s="24">
        <f>IF($B798="","",ISOWEEKNUM($B798))</f>
        <v/>
      </c>
      <c r="AC798" s="17">
        <f>IF($B798="","",CHOOSE(WEEKDAY($B798,2),"Segunda","Terça","Quarta","Quinta","Sexta","Sábado","Domingo"))</f>
        <v/>
      </c>
      <c r="AD798" s="17">
        <f>IF($B798="","",TEXT($B798,"MM/AAAA"))</f>
        <v/>
      </c>
      <c r="AE798" s="18">
        <f>IF(COUNTA($B798:$R798)=0,"",IF($X798="Cancelado",0,ROUND(N($Q798)+N($S798)+N($T798)-N($U798),2)))</f>
        <v/>
      </c>
      <c r="AF798" s="9">
        <f>IF($G798="","",IFERROR(INDEX(LINHAS_DRE_PLANO,MATCH($G798,SUBCATEGORIAS_PLANO,0)),"Não classificado"))</f>
        <v/>
      </c>
      <c r="AG798" s="17">
        <f>IF($G798="","",IFERROR(INDEX(TIPOS_FLUXO_PLANO,MATCH($G798,SUBCATEGORIAS_PLANO,0)),"Não classificado"))</f>
        <v/>
      </c>
      <c r="AH798" s="9">
        <f>IF($G798="","",IFERROR(INDEX(GRUPOS_PLANO,MATCH($G798,SUBCATEGORIAS_PLANO,0)),"Não classificado"))</f>
        <v/>
      </c>
      <c r="AI798" s="24">
        <f>IF(OR($C798="",$X798="Pago",$X798="Recebido",$X798="Cancelado"),"",$C798-TODAY())</f>
        <v/>
      </c>
      <c r="AJ798" s="24">
        <f>IF(OR($C798="",$X798="Pago",$X798="Recebido",$X798="Cancelado"),0,MAX(0,TODAY()-$C798))</f>
        <v/>
      </c>
      <c r="AK798" s="24">
        <f>IF($D798="","",$D798-$B798)</f>
        <v/>
      </c>
      <c r="AL798" s="18">
        <f>IF(OR($D798="",$B798=""),"",ROUND(N($R798)*($D798-$B798),2))</f>
        <v/>
      </c>
      <c r="AM798" s="17">
        <f>IF(AND($E798="Saída",$W798&gt;0,$C798&lt;&gt;""),$C798+ROW()/1000000,"")</f>
        <v/>
      </c>
      <c r="AN798" s="17">
        <f>IF(AND($E798="Entrada",$W798&gt;0,$C798&lt;&gt;""),$C798+ROW()/1000000,"")</f>
        <v/>
      </c>
      <c r="AO798" s="9">
        <f>IF(COUNTA($B798:$R798)=0,"",IF(AND($I798&lt;&gt;"",COUNTIF(CLIENTES_NOMES,$I798)+COUNTIF(CLIENTES_FANTASIA,$I798)+COUNTIF(FORNECEDORES_NOMES,$I798)+COUNTIF(FORNECEDORES_FANTASIA,$I798)=0),"⚠ Cliente/Fornecedor não cadastrado",IF(AND($G798&lt;&gt;"",COUNTIF(SUBCATEGORIAS_PLANO,$G798)=0),"⚠ Subcategoria fora do plano de contas",IF(OR($Q798="",N($Q798)=0),"⚠ Valor previsto não informado",IF(AND(OR($X798="Pago",$X798="Recebido"),$D798=""),"⚠ Status pago/recebido sem data",IF(AND($D798&lt;&gt;"",N($R798)=0),"⚠ Data de pagamento sem valor realizado",IF(AND(N($P798)&gt;1,N($O798)&gt;N($P798)),"⚠ Nº da parcela maior que o total",IF(AND($C798&lt;&gt;"",$B798&lt;&gt;"",$C798&lt;$B798),"⚠ Vencimento anterior à competência","OK"))))))))</f>
        <v/>
      </c>
    </row>
    <row r="799">
      <c r="A799" s="14" t="n"/>
      <c r="B799" s="36" t="n"/>
      <c r="C799" s="36" t="n"/>
      <c r="D799" s="36" t="n"/>
      <c r="E799" s="14" t="n"/>
      <c r="F799" s="29" t="n"/>
      <c r="G799" s="29" t="n"/>
      <c r="H799" s="29" t="n"/>
      <c r="I799" s="29" t="n"/>
      <c r="J799" s="29" t="n"/>
      <c r="K799" s="14" t="n"/>
      <c r="L799" s="29" t="n"/>
      <c r="M799" s="14" t="n"/>
      <c r="N799" s="29" t="n"/>
      <c r="O799" s="13" t="n"/>
      <c r="P799" s="13" t="n"/>
      <c r="Q799" s="35" t="n"/>
      <c r="R799" s="35" t="n"/>
      <c r="S799" s="35" t="n"/>
      <c r="T799" s="35" t="n"/>
      <c r="U799" s="35" t="n"/>
      <c r="V799" s="18">
        <f>IF(COUNTA($B799:$R799)=0,"",ROUND(N($R799)+N($S799)+N($T799)-N($U799),2))</f>
        <v/>
      </c>
      <c r="W799" s="18">
        <f>IF(COUNTA($B799:$R799)=0,"",IF(OR($X799="Pago",$X799="Recebido",$X799="Cancelado"),0,ROUND(N($Q799)+N($S799)+N($T799)-N($U799)-N($R799),2)))</f>
        <v/>
      </c>
      <c r="X799" s="14" t="n"/>
      <c r="Y799" s="17">
        <f>IF(COUNTA($B799:$R799)=0,"",IF($X799="Cancelado","Cancelado",IF(OR($X799="Pago",$X799="Recebido"),$X799,IF(OR($X799="Parcial",N($R799)&gt;0),"Parcial",IF($C799="","Sem vencimento",IF($C799&lt;TODAY(),"Vencido",IF($C799=TODAY(),"Vence hoje",IF($C799&lt;=TODAY()+7,"Vence em 7 dias",IF($C799&lt;=TODAY()+30,"Vence em 30 dias","Futuro")))))))))</f>
        <v/>
      </c>
      <c r="Z799" s="24">
        <f>IF($B799="","",MONTH($B799))</f>
        <v/>
      </c>
      <c r="AA799" s="24">
        <f>IF($B799="","",YEAR($B799))</f>
        <v/>
      </c>
      <c r="AB799" s="24">
        <f>IF($B799="","",ISOWEEKNUM($B799))</f>
        <v/>
      </c>
      <c r="AC799" s="17">
        <f>IF($B799="","",CHOOSE(WEEKDAY($B799,2),"Segunda","Terça","Quarta","Quinta","Sexta","Sábado","Domingo"))</f>
        <v/>
      </c>
      <c r="AD799" s="17">
        <f>IF($B799="","",TEXT($B799,"MM/AAAA"))</f>
        <v/>
      </c>
      <c r="AE799" s="18">
        <f>IF(COUNTA($B799:$R799)=0,"",IF($X799="Cancelado",0,ROUND(N($Q799)+N($S799)+N($T799)-N($U799),2)))</f>
        <v/>
      </c>
      <c r="AF799" s="9">
        <f>IF($G799="","",IFERROR(INDEX(LINHAS_DRE_PLANO,MATCH($G799,SUBCATEGORIAS_PLANO,0)),"Não classificado"))</f>
        <v/>
      </c>
      <c r="AG799" s="17">
        <f>IF($G799="","",IFERROR(INDEX(TIPOS_FLUXO_PLANO,MATCH($G799,SUBCATEGORIAS_PLANO,0)),"Não classificado"))</f>
        <v/>
      </c>
      <c r="AH799" s="9">
        <f>IF($G799="","",IFERROR(INDEX(GRUPOS_PLANO,MATCH($G799,SUBCATEGORIAS_PLANO,0)),"Não classificado"))</f>
        <v/>
      </c>
      <c r="AI799" s="24">
        <f>IF(OR($C799="",$X799="Pago",$X799="Recebido",$X799="Cancelado"),"",$C799-TODAY())</f>
        <v/>
      </c>
      <c r="AJ799" s="24">
        <f>IF(OR($C799="",$X799="Pago",$X799="Recebido",$X799="Cancelado"),0,MAX(0,TODAY()-$C799))</f>
        <v/>
      </c>
      <c r="AK799" s="24">
        <f>IF($D799="","",$D799-$B799)</f>
        <v/>
      </c>
      <c r="AL799" s="18">
        <f>IF(OR($D799="",$B799=""),"",ROUND(N($R799)*($D799-$B799),2))</f>
        <v/>
      </c>
      <c r="AM799" s="17">
        <f>IF(AND($E799="Saída",$W799&gt;0,$C799&lt;&gt;""),$C799+ROW()/1000000,"")</f>
        <v/>
      </c>
      <c r="AN799" s="17">
        <f>IF(AND($E799="Entrada",$W799&gt;0,$C799&lt;&gt;""),$C799+ROW()/1000000,"")</f>
        <v/>
      </c>
      <c r="AO799" s="9">
        <f>IF(COUNTA($B799:$R799)=0,"",IF(AND($I799&lt;&gt;"",COUNTIF(CLIENTES_NOMES,$I799)+COUNTIF(CLIENTES_FANTASIA,$I799)+COUNTIF(FORNECEDORES_NOMES,$I799)+COUNTIF(FORNECEDORES_FANTASIA,$I799)=0),"⚠ Cliente/Fornecedor não cadastrado",IF(AND($G799&lt;&gt;"",COUNTIF(SUBCATEGORIAS_PLANO,$G799)=0),"⚠ Subcategoria fora do plano de contas",IF(OR($Q799="",N($Q799)=0),"⚠ Valor previsto não informado",IF(AND(OR($X799="Pago",$X799="Recebido"),$D799=""),"⚠ Status pago/recebido sem data",IF(AND($D799&lt;&gt;"",N($R799)=0),"⚠ Data de pagamento sem valor realizado",IF(AND(N($P799)&gt;1,N($O799)&gt;N($P799)),"⚠ Nº da parcela maior que o total",IF(AND($C799&lt;&gt;"",$B799&lt;&gt;"",$C799&lt;$B799),"⚠ Vencimento anterior à competência","OK"))))))))</f>
        <v/>
      </c>
    </row>
    <row r="800">
      <c r="A800" s="14" t="n"/>
      <c r="B800" s="36" t="n"/>
      <c r="C800" s="36" t="n"/>
      <c r="D800" s="36" t="n"/>
      <c r="E800" s="14" t="n"/>
      <c r="F800" s="29" t="n"/>
      <c r="G800" s="29" t="n"/>
      <c r="H800" s="29" t="n"/>
      <c r="I800" s="29" t="n"/>
      <c r="J800" s="29" t="n"/>
      <c r="K800" s="14" t="n"/>
      <c r="L800" s="29" t="n"/>
      <c r="M800" s="14" t="n"/>
      <c r="N800" s="29" t="n"/>
      <c r="O800" s="13" t="n"/>
      <c r="P800" s="13" t="n"/>
      <c r="Q800" s="35" t="n"/>
      <c r="R800" s="35" t="n"/>
      <c r="S800" s="35" t="n"/>
      <c r="T800" s="35" t="n"/>
      <c r="U800" s="35" t="n"/>
      <c r="V800" s="18">
        <f>IF(COUNTA($B800:$R800)=0,"",ROUND(N($R800)+N($S800)+N($T800)-N($U800),2))</f>
        <v/>
      </c>
      <c r="W800" s="18">
        <f>IF(COUNTA($B800:$R800)=0,"",IF(OR($X800="Pago",$X800="Recebido",$X800="Cancelado"),0,ROUND(N($Q800)+N($S800)+N($T800)-N($U800)-N($R800),2)))</f>
        <v/>
      </c>
      <c r="X800" s="14" t="n"/>
      <c r="Y800" s="17">
        <f>IF(COUNTA($B800:$R800)=0,"",IF($X800="Cancelado","Cancelado",IF(OR($X800="Pago",$X800="Recebido"),$X800,IF(OR($X800="Parcial",N($R800)&gt;0),"Parcial",IF($C800="","Sem vencimento",IF($C800&lt;TODAY(),"Vencido",IF($C800=TODAY(),"Vence hoje",IF($C800&lt;=TODAY()+7,"Vence em 7 dias",IF($C800&lt;=TODAY()+30,"Vence em 30 dias","Futuro")))))))))</f>
        <v/>
      </c>
      <c r="Z800" s="24">
        <f>IF($B800="","",MONTH($B800))</f>
        <v/>
      </c>
      <c r="AA800" s="24">
        <f>IF($B800="","",YEAR($B800))</f>
        <v/>
      </c>
      <c r="AB800" s="24">
        <f>IF($B800="","",ISOWEEKNUM($B800))</f>
        <v/>
      </c>
      <c r="AC800" s="17">
        <f>IF($B800="","",CHOOSE(WEEKDAY($B800,2),"Segunda","Terça","Quarta","Quinta","Sexta","Sábado","Domingo"))</f>
        <v/>
      </c>
      <c r="AD800" s="17">
        <f>IF($B800="","",TEXT($B800,"MM/AAAA"))</f>
        <v/>
      </c>
      <c r="AE800" s="18">
        <f>IF(COUNTA($B800:$R800)=0,"",IF($X800="Cancelado",0,ROUND(N($Q800)+N($S800)+N($T800)-N($U800),2)))</f>
        <v/>
      </c>
      <c r="AF800" s="9">
        <f>IF($G800="","",IFERROR(INDEX(LINHAS_DRE_PLANO,MATCH($G800,SUBCATEGORIAS_PLANO,0)),"Não classificado"))</f>
        <v/>
      </c>
      <c r="AG800" s="17">
        <f>IF($G800="","",IFERROR(INDEX(TIPOS_FLUXO_PLANO,MATCH($G800,SUBCATEGORIAS_PLANO,0)),"Não classificado"))</f>
        <v/>
      </c>
      <c r="AH800" s="9">
        <f>IF($G800="","",IFERROR(INDEX(GRUPOS_PLANO,MATCH($G800,SUBCATEGORIAS_PLANO,0)),"Não classificado"))</f>
        <v/>
      </c>
      <c r="AI800" s="24">
        <f>IF(OR($C800="",$X800="Pago",$X800="Recebido",$X800="Cancelado"),"",$C800-TODAY())</f>
        <v/>
      </c>
      <c r="AJ800" s="24">
        <f>IF(OR($C800="",$X800="Pago",$X800="Recebido",$X800="Cancelado"),0,MAX(0,TODAY()-$C800))</f>
        <v/>
      </c>
      <c r="AK800" s="24">
        <f>IF($D800="","",$D800-$B800)</f>
        <v/>
      </c>
      <c r="AL800" s="18">
        <f>IF(OR($D800="",$B800=""),"",ROUND(N($R800)*($D800-$B800),2))</f>
        <v/>
      </c>
      <c r="AM800" s="17">
        <f>IF(AND($E800="Saída",$W800&gt;0,$C800&lt;&gt;""),$C800+ROW()/1000000,"")</f>
        <v/>
      </c>
      <c r="AN800" s="17">
        <f>IF(AND($E800="Entrada",$W800&gt;0,$C800&lt;&gt;""),$C800+ROW()/1000000,"")</f>
        <v/>
      </c>
      <c r="AO800" s="9">
        <f>IF(COUNTA($B800:$R800)=0,"",IF(AND($I800&lt;&gt;"",COUNTIF(CLIENTES_NOMES,$I800)+COUNTIF(CLIENTES_FANTASIA,$I800)+COUNTIF(FORNECEDORES_NOMES,$I800)+COUNTIF(FORNECEDORES_FANTASIA,$I800)=0),"⚠ Cliente/Fornecedor não cadastrado",IF(AND($G800&lt;&gt;"",COUNTIF(SUBCATEGORIAS_PLANO,$G800)=0),"⚠ Subcategoria fora do plano de contas",IF(OR($Q800="",N($Q800)=0),"⚠ Valor previsto não informado",IF(AND(OR($X800="Pago",$X800="Recebido"),$D800=""),"⚠ Status pago/recebido sem data",IF(AND($D800&lt;&gt;"",N($R800)=0),"⚠ Data de pagamento sem valor realizado",IF(AND(N($P800)&gt;1,N($O800)&gt;N($P800)),"⚠ Nº da parcela maior que o total",IF(AND($C800&lt;&gt;"",$B800&lt;&gt;"",$C800&lt;$B800),"⚠ Vencimento anterior à competência","OK"))))))))</f>
        <v/>
      </c>
    </row>
    <row r="801">
      <c r="A801" s="14" t="n"/>
      <c r="B801" s="36" t="n"/>
      <c r="C801" s="36" t="n"/>
      <c r="D801" s="36" t="n"/>
      <c r="E801" s="14" t="n"/>
      <c r="F801" s="29" t="n"/>
      <c r="G801" s="29" t="n"/>
      <c r="H801" s="29" t="n"/>
      <c r="I801" s="29" t="n"/>
      <c r="J801" s="29" t="n"/>
      <c r="K801" s="14" t="n"/>
      <c r="L801" s="29" t="n"/>
      <c r="M801" s="14" t="n"/>
      <c r="N801" s="29" t="n"/>
      <c r="O801" s="13" t="n"/>
      <c r="P801" s="13" t="n"/>
      <c r="Q801" s="35" t="n"/>
      <c r="R801" s="35" t="n"/>
      <c r="S801" s="35" t="n"/>
      <c r="T801" s="35" t="n"/>
      <c r="U801" s="35" t="n"/>
      <c r="V801" s="18">
        <f>IF(COUNTA($B801:$R801)=0,"",ROUND(N($R801)+N($S801)+N($T801)-N($U801),2))</f>
        <v/>
      </c>
      <c r="W801" s="18">
        <f>IF(COUNTA($B801:$R801)=0,"",IF(OR($X801="Pago",$X801="Recebido",$X801="Cancelado"),0,ROUND(N($Q801)+N($S801)+N($T801)-N($U801)-N($R801),2)))</f>
        <v/>
      </c>
      <c r="X801" s="14" t="n"/>
      <c r="Y801" s="17">
        <f>IF(COUNTA($B801:$R801)=0,"",IF($X801="Cancelado","Cancelado",IF(OR($X801="Pago",$X801="Recebido"),$X801,IF(OR($X801="Parcial",N($R801)&gt;0),"Parcial",IF($C801="","Sem vencimento",IF($C801&lt;TODAY(),"Vencido",IF($C801=TODAY(),"Vence hoje",IF($C801&lt;=TODAY()+7,"Vence em 7 dias",IF($C801&lt;=TODAY()+30,"Vence em 30 dias","Futuro")))))))))</f>
        <v/>
      </c>
      <c r="Z801" s="24">
        <f>IF($B801="","",MONTH($B801))</f>
        <v/>
      </c>
      <c r="AA801" s="24">
        <f>IF($B801="","",YEAR($B801))</f>
        <v/>
      </c>
      <c r="AB801" s="24">
        <f>IF($B801="","",ISOWEEKNUM($B801))</f>
        <v/>
      </c>
      <c r="AC801" s="17">
        <f>IF($B801="","",CHOOSE(WEEKDAY($B801,2),"Segunda","Terça","Quarta","Quinta","Sexta","Sábado","Domingo"))</f>
        <v/>
      </c>
      <c r="AD801" s="17">
        <f>IF($B801="","",TEXT($B801,"MM/AAAA"))</f>
        <v/>
      </c>
      <c r="AE801" s="18">
        <f>IF(COUNTA($B801:$R801)=0,"",IF($X801="Cancelado",0,ROUND(N($Q801)+N($S801)+N($T801)-N($U801),2)))</f>
        <v/>
      </c>
      <c r="AF801" s="9">
        <f>IF($G801="","",IFERROR(INDEX(LINHAS_DRE_PLANO,MATCH($G801,SUBCATEGORIAS_PLANO,0)),"Não classificado"))</f>
        <v/>
      </c>
      <c r="AG801" s="17">
        <f>IF($G801="","",IFERROR(INDEX(TIPOS_FLUXO_PLANO,MATCH($G801,SUBCATEGORIAS_PLANO,0)),"Não classificado"))</f>
        <v/>
      </c>
      <c r="AH801" s="9">
        <f>IF($G801="","",IFERROR(INDEX(GRUPOS_PLANO,MATCH($G801,SUBCATEGORIAS_PLANO,0)),"Não classificado"))</f>
        <v/>
      </c>
      <c r="AI801" s="24">
        <f>IF(OR($C801="",$X801="Pago",$X801="Recebido",$X801="Cancelado"),"",$C801-TODAY())</f>
        <v/>
      </c>
      <c r="AJ801" s="24">
        <f>IF(OR($C801="",$X801="Pago",$X801="Recebido",$X801="Cancelado"),0,MAX(0,TODAY()-$C801))</f>
        <v/>
      </c>
      <c r="AK801" s="24">
        <f>IF($D801="","",$D801-$B801)</f>
        <v/>
      </c>
      <c r="AL801" s="18">
        <f>IF(OR($D801="",$B801=""),"",ROUND(N($R801)*($D801-$B801),2))</f>
        <v/>
      </c>
      <c r="AM801" s="17">
        <f>IF(AND($E801="Saída",$W801&gt;0,$C801&lt;&gt;""),$C801+ROW()/1000000,"")</f>
        <v/>
      </c>
      <c r="AN801" s="17">
        <f>IF(AND($E801="Entrada",$W801&gt;0,$C801&lt;&gt;""),$C801+ROW()/1000000,"")</f>
        <v/>
      </c>
      <c r="AO801" s="9">
        <f>IF(COUNTA($B801:$R801)=0,"",IF(AND($I801&lt;&gt;"",COUNTIF(CLIENTES_NOMES,$I801)+COUNTIF(CLIENTES_FANTASIA,$I801)+COUNTIF(FORNECEDORES_NOMES,$I801)+COUNTIF(FORNECEDORES_FANTASIA,$I801)=0),"⚠ Cliente/Fornecedor não cadastrado",IF(AND($G801&lt;&gt;"",COUNTIF(SUBCATEGORIAS_PLANO,$G801)=0),"⚠ Subcategoria fora do plano de contas",IF(OR($Q801="",N($Q801)=0),"⚠ Valor previsto não informado",IF(AND(OR($X801="Pago",$X801="Recebido"),$D801=""),"⚠ Status pago/recebido sem data",IF(AND($D801&lt;&gt;"",N($R801)=0),"⚠ Data de pagamento sem valor realizado",IF(AND(N($P801)&gt;1,N($O801)&gt;N($P801)),"⚠ Nº da parcela maior que o total",IF(AND($C801&lt;&gt;"",$B801&lt;&gt;"",$C801&lt;$B801),"⚠ Vencimento anterior à competência","OK"))))))))</f>
        <v/>
      </c>
    </row>
    <row r="802">
      <c r="A802" s="14" t="n"/>
      <c r="B802" s="36" t="n"/>
      <c r="C802" s="36" t="n"/>
      <c r="D802" s="36" t="n"/>
      <c r="E802" s="14" t="n"/>
      <c r="F802" s="29" t="n"/>
      <c r="G802" s="29" t="n"/>
      <c r="H802" s="29" t="n"/>
      <c r="I802" s="29" t="n"/>
      <c r="J802" s="29" t="n"/>
      <c r="K802" s="14" t="n"/>
      <c r="L802" s="29" t="n"/>
      <c r="M802" s="14" t="n"/>
      <c r="N802" s="29" t="n"/>
      <c r="O802" s="13" t="n"/>
      <c r="P802" s="13" t="n"/>
      <c r="Q802" s="35" t="n"/>
      <c r="R802" s="35" t="n"/>
      <c r="S802" s="35" t="n"/>
      <c r="T802" s="35" t="n"/>
      <c r="U802" s="35" t="n"/>
      <c r="V802" s="18">
        <f>IF(COUNTA($B802:$R802)=0,"",ROUND(N($R802)+N($S802)+N($T802)-N($U802),2))</f>
        <v/>
      </c>
      <c r="W802" s="18">
        <f>IF(COUNTA($B802:$R802)=0,"",IF(OR($X802="Pago",$X802="Recebido",$X802="Cancelado"),0,ROUND(N($Q802)+N($S802)+N($T802)-N($U802)-N($R802),2)))</f>
        <v/>
      </c>
      <c r="X802" s="14" t="n"/>
      <c r="Y802" s="17">
        <f>IF(COUNTA($B802:$R802)=0,"",IF($X802="Cancelado","Cancelado",IF(OR($X802="Pago",$X802="Recebido"),$X802,IF(OR($X802="Parcial",N($R802)&gt;0),"Parcial",IF($C802="","Sem vencimento",IF($C802&lt;TODAY(),"Vencido",IF($C802=TODAY(),"Vence hoje",IF($C802&lt;=TODAY()+7,"Vence em 7 dias",IF($C802&lt;=TODAY()+30,"Vence em 30 dias","Futuro")))))))))</f>
        <v/>
      </c>
      <c r="Z802" s="24">
        <f>IF($B802="","",MONTH($B802))</f>
        <v/>
      </c>
      <c r="AA802" s="24">
        <f>IF($B802="","",YEAR($B802))</f>
        <v/>
      </c>
      <c r="AB802" s="24">
        <f>IF($B802="","",ISOWEEKNUM($B802))</f>
        <v/>
      </c>
      <c r="AC802" s="17">
        <f>IF($B802="","",CHOOSE(WEEKDAY($B802,2),"Segunda","Terça","Quarta","Quinta","Sexta","Sábado","Domingo"))</f>
        <v/>
      </c>
      <c r="AD802" s="17">
        <f>IF($B802="","",TEXT($B802,"MM/AAAA"))</f>
        <v/>
      </c>
      <c r="AE802" s="18">
        <f>IF(COUNTA($B802:$R802)=0,"",IF($X802="Cancelado",0,ROUND(N($Q802)+N($S802)+N($T802)-N($U802),2)))</f>
        <v/>
      </c>
      <c r="AF802" s="9">
        <f>IF($G802="","",IFERROR(INDEX(LINHAS_DRE_PLANO,MATCH($G802,SUBCATEGORIAS_PLANO,0)),"Não classificado"))</f>
        <v/>
      </c>
      <c r="AG802" s="17">
        <f>IF($G802="","",IFERROR(INDEX(TIPOS_FLUXO_PLANO,MATCH($G802,SUBCATEGORIAS_PLANO,0)),"Não classificado"))</f>
        <v/>
      </c>
      <c r="AH802" s="9">
        <f>IF($G802="","",IFERROR(INDEX(GRUPOS_PLANO,MATCH($G802,SUBCATEGORIAS_PLANO,0)),"Não classificado"))</f>
        <v/>
      </c>
      <c r="AI802" s="24">
        <f>IF(OR($C802="",$X802="Pago",$X802="Recebido",$X802="Cancelado"),"",$C802-TODAY())</f>
        <v/>
      </c>
      <c r="AJ802" s="24">
        <f>IF(OR($C802="",$X802="Pago",$X802="Recebido",$X802="Cancelado"),0,MAX(0,TODAY()-$C802))</f>
        <v/>
      </c>
      <c r="AK802" s="24">
        <f>IF($D802="","",$D802-$B802)</f>
        <v/>
      </c>
      <c r="AL802" s="18">
        <f>IF(OR($D802="",$B802=""),"",ROUND(N($R802)*($D802-$B802),2))</f>
        <v/>
      </c>
      <c r="AM802" s="17">
        <f>IF(AND($E802="Saída",$W802&gt;0,$C802&lt;&gt;""),$C802+ROW()/1000000,"")</f>
        <v/>
      </c>
      <c r="AN802" s="17">
        <f>IF(AND($E802="Entrada",$W802&gt;0,$C802&lt;&gt;""),$C802+ROW()/1000000,"")</f>
        <v/>
      </c>
      <c r="AO802" s="9">
        <f>IF(COUNTA($B802:$R802)=0,"",IF(AND($I802&lt;&gt;"",COUNTIF(CLIENTES_NOMES,$I802)+COUNTIF(CLIENTES_FANTASIA,$I802)+COUNTIF(FORNECEDORES_NOMES,$I802)+COUNTIF(FORNECEDORES_FANTASIA,$I802)=0),"⚠ Cliente/Fornecedor não cadastrado",IF(AND($G802&lt;&gt;"",COUNTIF(SUBCATEGORIAS_PLANO,$G802)=0),"⚠ Subcategoria fora do plano de contas",IF(OR($Q802="",N($Q802)=0),"⚠ Valor previsto não informado",IF(AND(OR($X802="Pago",$X802="Recebido"),$D802=""),"⚠ Status pago/recebido sem data",IF(AND($D802&lt;&gt;"",N($R802)=0),"⚠ Data de pagamento sem valor realizado",IF(AND(N($P802)&gt;1,N($O802)&gt;N($P802)),"⚠ Nº da parcela maior que o total",IF(AND($C802&lt;&gt;"",$B802&lt;&gt;"",$C802&lt;$B802),"⚠ Vencimento anterior à competência","OK"))))))))</f>
        <v/>
      </c>
    </row>
    <row r="803">
      <c r="A803" s="14" t="n"/>
      <c r="B803" s="36" t="n"/>
      <c r="C803" s="36" t="n"/>
      <c r="D803" s="36" t="n"/>
      <c r="E803" s="14" t="n"/>
      <c r="F803" s="29" t="n"/>
      <c r="G803" s="29" t="n"/>
      <c r="H803" s="29" t="n"/>
      <c r="I803" s="29" t="n"/>
      <c r="J803" s="29" t="n"/>
      <c r="K803" s="14" t="n"/>
      <c r="L803" s="29" t="n"/>
      <c r="M803" s="14" t="n"/>
      <c r="N803" s="29" t="n"/>
      <c r="O803" s="13" t="n"/>
      <c r="P803" s="13" t="n"/>
      <c r="Q803" s="35" t="n"/>
      <c r="R803" s="35" t="n"/>
      <c r="S803" s="35" t="n"/>
      <c r="T803" s="35" t="n"/>
      <c r="U803" s="35" t="n"/>
      <c r="V803" s="18">
        <f>IF(COUNTA($B803:$R803)=0,"",ROUND(N($R803)+N($S803)+N($T803)-N($U803),2))</f>
        <v/>
      </c>
      <c r="W803" s="18">
        <f>IF(COUNTA($B803:$R803)=0,"",IF(OR($X803="Pago",$X803="Recebido",$X803="Cancelado"),0,ROUND(N($Q803)+N($S803)+N($T803)-N($U803)-N($R803),2)))</f>
        <v/>
      </c>
      <c r="X803" s="14" t="n"/>
      <c r="Y803" s="17">
        <f>IF(COUNTA($B803:$R803)=0,"",IF($X803="Cancelado","Cancelado",IF(OR($X803="Pago",$X803="Recebido"),$X803,IF(OR($X803="Parcial",N($R803)&gt;0),"Parcial",IF($C803="","Sem vencimento",IF($C803&lt;TODAY(),"Vencido",IF($C803=TODAY(),"Vence hoje",IF($C803&lt;=TODAY()+7,"Vence em 7 dias",IF($C803&lt;=TODAY()+30,"Vence em 30 dias","Futuro")))))))))</f>
        <v/>
      </c>
      <c r="Z803" s="24">
        <f>IF($B803="","",MONTH($B803))</f>
        <v/>
      </c>
      <c r="AA803" s="24">
        <f>IF($B803="","",YEAR($B803))</f>
        <v/>
      </c>
      <c r="AB803" s="24">
        <f>IF($B803="","",ISOWEEKNUM($B803))</f>
        <v/>
      </c>
      <c r="AC803" s="17">
        <f>IF($B803="","",CHOOSE(WEEKDAY($B803,2),"Segunda","Terça","Quarta","Quinta","Sexta","Sábado","Domingo"))</f>
        <v/>
      </c>
      <c r="AD803" s="17">
        <f>IF($B803="","",TEXT($B803,"MM/AAAA"))</f>
        <v/>
      </c>
      <c r="AE803" s="18">
        <f>IF(COUNTA($B803:$R803)=0,"",IF($X803="Cancelado",0,ROUND(N($Q803)+N($S803)+N($T803)-N($U803),2)))</f>
        <v/>
      </c>
      <c r="AF803" s="9">
        <f>IF($G803="","",IFERROR(INDEX(LINHAS_DRE_PLANO,MATCH($G803,SUBCATEGORIAS_PLANO,0)),"Não classificado"))</f>
        <v/>
      </c>
      <c r="AG803" s="17">
        <f>IF($G803="","",IFERROR(INDEX(TIPOS_FLUXO_PLANO,MATCH($G803,SUBCATEGORIAS_PLANO,0)),"Não classificado"))</f>
        <v/>
      </c>
      <c r="AH803" s="9">
        <f>IF($G803="","",IFERROR(INDEX(GRUPOS_PLANO,MATCH($G803,SUBCATEGORIAS_PLANO,0)),"Não classificado"))</f>
        <v/>
      </c>
      <c r="AI803" s="24">
        <f>IF(OR($C803="",$X803="Pago",$X803="Recebido",$X803="Cancelado"),"",$C803-TODAY())</f>
        <v/>
      </c>
      <c r="AJ803" s="24">
        <f>IF(OR($C803="",$X803="Pago",$X803="Recebido",$X803="Cancelado"),0,MAX(0,TODAY()-$C803))</f>
        <v/>
      </c>
      <c r="AK803" s="24">
        <f>IF($D803="","",$D803-$B803)</f>
        <v/>
      </c>
      <c r="AL803" s="18">
        <f>IF(OR($D803="",$B803=""),"",ROUND(N($R803)*($D803-$B803),2))</f>
        <v/>
      </c>
      <c r="AM803" s="17">
        <f>IF(AND($E803="Saída",$W803&gt;0,$C803&lt;&gt;""),$C803+ROW()/1000000,"")</f>
        <v/>
      </c>
      <c r="AN803" s="17">
        <f>IF(AND($E803="Entrada",$W803&gt;0,$C803&lt;&gt;""),$C803+ROW()/1000000,"")</f>
        <v/>
      </c>
      <c r="AO803" s="9">
        <f>IF(COUNTA($B803:$R803)=0,"",IF(AND($I803&lt;&gt;"",COUNTIF(CLIENTES_NOMES,$I803)+COUNTIF(CLIENTES_FANTASIA,$I803)+COUNTIF(FORNECEDORES_NOMES,$I803)+COUNTIF(FORNECEDORES_FANTASIA,$I803)=0),"⚠ Cliente/Fornecedor não cadastrado",IF(AND($G803&lt;&gt;"",COUNTIF(SUBCATEGORIAS_PLANO,$G803)=0),"⚠ Subcategoria fora do plano de contas",IF(OR($Q803="",N($Q803)=0),"⚠ Valor previsto não informado",IF(AND(OR($X803="Pago",$X803="Recebido"),$D803=""),"⚠ Status pago/recebido sem data",IF(AND($D803&lt;&gt;"",N($R803)=0),"⚠ Data de pagamento sem valor realizado",IF(AND(N($P803)&gt;1,N($O803)&gt;N($P803)),"⚠ Nº da parcela maior que o total",IF(AND($C803&lt;&gt;"",$B803&lt;&gt;"",$C803&lt;$B803),"⚠ Vencimento anterior à competência","OK"))))))))</f>
        <v/>
      </c>
    </row>
    <row r="804">
      <c r="A804" s="14" t="n"/>
      <c r="B804" s="36" t="n"/>
      <c r="C804" s="36" t="n"/>
      <c r="D804" s="36" t="n"/>
      <c r="E804" s="14" t="n"/>
      <c r="F804" s="29" t="n"/>
      <c r="G804" s="29" t="n"/>
      <c r="H804" s="29" t="n"/>
      <c r="I804" s="29" t="n"/>
      <c r="J804" s="29" t="n"/>
      <c r="K804" s="14" t="n"/>
      <c r="L804" s="29" t="n"/>
      <c r="M804" s="14" t="n"/>
      <c r="N804" s="29" t="n"/>
      <c r="O804" s="13" t="n"/>
      <c r="P804" s="13" t="n"/>
      <c r="Q804" s="35" t="n"/>
      <c r="R804" s="35" t="n"/>
      <c r="S804" s="35" t="n"/>
      <c r="T804" s="35" t="n"/>
      <c r="U804" s="35" t="n"/>
      <c r="V804" s="18">
        <f>IF(COUNTA($B804:$R804)=0,"",ROUND(N($R804)+N($S804)+N($T804)-N($U804),2))</f>
        <v/>
      </c>
      <c r="W804" s="18">
        <f>IF(COUNTA($B804:$R804)=0,"",IF(OR($X804="Pago",$X804="Recebido",$X804="Cancelado"),0,ROUND(N($Q804)+N($S804)+N($T804)-N($U804)-N($R804),2)))</f>
        <v/>
      </c>
      <c r="X804" s="14" t="n"/>
      <c r="Y804" s="17">
        <f>IF(COUNTA($B804:$R804)=0,"",IF($X804="Cancelado","Cancelado",IF(OR($X804="Pago",$X804="Recebido"),$X804,IF(OR($X804="Parcial",N($R804)&gt;0),"Parcial",IF($C804="","Sem vencimento",IF($C804&lt;TODAY(),"Vencido",IF($C804=TODAY(),"Vence hoje",IF($C804&lt;=TODAY()+7,"Vence em 7 dias",IF($C804&lt;=TODAY()+30,"Vence em 30 dias","Futuro")))))))))</f>
        <v/>
      </c>
      <c r="Z804" s="24">
        <f>IF($B804="","",MONTH($B804))</f>
        <v/>
      </c>
      <c r="AA804" s="24">
        <f>IF($B804="","",YEAR($B804))</f>
        <v/>
      </c>
      <c r="AB804" s="24">
        <f>IF($B804="","",ISOWEEKNUM($B804))</f>
        <v/>
      </c>
      <c r="AC804" s="17">
        <f>IF($B804="","",CHOOSE(WEEKDAY($B804,2),"Segunda","Terça","Quarta","Quinta","Sexta","Sábado","Domingo"))</f>
        <v/>
      </c>
      <c r="AD804" s="17">
        <f>IF($B804="","",TEXT($B804,"MM/AAAA"))</f>
        <v/>
      </c>
      <c r="AE804" s="18">
        <f>IF(COUNTA($B804:$R804)=0,"",IF($X804="Cancelado",0,ROUND(N($Q804)+N($S804)+N($T804)-N($U804),2)))</f>
        <v/>
      </c>
      <c r="AF804" s="9">
        <f>IF($G804="","",IFERROR(INDEX(LINHAS_DRE_PLANO,MATCH($G804,SUBCATEGORIAS_PLANO,0)),"Não classificado"))</f>
        <v/>
      </c>
      <c r="AG804" s="17">
        <f>IF($G804="","",IFERROR(INDEX(TIPOS_FLUXO_PLANO,MATCH($G804,SUBCATEGORIAS_PLANO,0)),"Não classificado"))</f>
        <v/>
      </c>
      <c r="AH804" s="9">
        <f>IF($G804="","",IFERROR(INDEX(GRUPOS_PLANO,MATCH($G804,SUBCATEGORIAS_PLANO,0)),"Não classificado"))</f>
        <v/>
      </c>
      <c r="AI804" s="24">
        <f>IF(OR($C804="",$X804="Pago",$X804="Recebido",$X804="Cancelado"),"",$C804-TODAY())</f>
        <v/>
      </c>
      <c r="AJ804" s="24">
        <f>IF(OR($C804="",$X804="Pago",$X804="Recebido",$X804="Cancelado"),0,MAX(0,TODAY()-$C804))</f>
        <v/>
      </c>
      <c r="AK804" s="24">
        <f>IF($D804="","",$D804-$B804)</f>
        <v/>
      </c>
      <c r="AL804" s="18">
        <f>IF(OR($D804="",$B804=""),"",ROUND(N($R804)*($D804-$B804),2))</f>
        <v/>
      </c>
      <c r="AM804" s="17">
        <f>IF(AND($E804="Saída",$W804&gt;0,$C804&lt;&gt;""),$C804+ROW()/1000000,"")</f>
        <v/>
      </c>
      <c r="AN804" s="17">
        <f>IF(AND($E804="Entrada",$W804&gt;0,$C804&lt;&gt;""),$C804+ROW()/1000000,"")</f>
        <v/>
      </c>
      <c r="AO804" s="9">
        <f>IF(COUNTA($B804:$R804)=0,"",IF(AND($I804&lt;&gt;"",COUNTIF(CLIENTES_NOMES,$I804)+COUNTIF(CLIENTES_FANTASIA,$I804)+COUNTIF(FORNECEDORES_NOMES,$I804)+COUNTIF(FORNECEDORES_FANTASIA,$I804)=0),"⚠ Cliente/Fornecedor não cadastrado",IF(AND($G804&lt;&gt;"",COUNTIF(SUBCATEGORIAS_PLANO,$G804)=0),"⚠ Subcategoria fora do plano de contas",IF(OR($Q804="",N($Q804)=0),"⚠ Valor previsto não informado",IF(AND(OR($X804="Pago",$X804="Recebido"),$D804=""),"⚠ Status pago/recebido sem data",IF(AND($D804&lt;&gt;"",N($R804)=0),"⚠ Data de pagamento sem valor realizado",IF(AND(N($P804)&gt;1,N($O804)&gt;N($P804)),"⚠ Nº da parcela maior que o total",IF(AND($C804&lt;&gt;"",$B804&lt;&gt;"",$C804&lt;$B804),"⚠ Vencimento anterior à competência","OK"))))))))</f>
        <v/>
      </c>
    </row>
    <row r="805">
      <c r="A805" s="14" t="n"/>
      <c r="B805" s="36" t="n"/>
      <c r="C805" s="36" t="n"/>
      <c r="D805" s="36" t="n"/>
      <c r="E805" s="14" t="n"/>
      <c r="F805" s="29" t="n"/>
      <c r="G805" s="29" t="n"/>
      <c r="H805" s="29" t="n"/>
      <c r="I805" s="29" t="n"/>
      <c r="J805" s="29" t="n"/>
      <c r="K805" s="14" t="n"/>
      <c r="L805" s="29" t="n"/>
      <c r="M805" s="14" t="n"/>
      <c r="N805" s="29" t="n"/>
      <c r="O805" s="13" t="n"/>
      <c r="P805" s="13" t="n"/>
      <c r="Q805" s="35" t="n"/>
      <c r="R805" s="35" t="n"/>
      <c r="S805" s="35" t="n"/>
      <c r="T805" s="35" t="n"/>
      <c r="U805" s="35" t="n"/>
      <c r="V805" s="18">
        <f>IF(COUNTA($B805:$R805)=0,"",ROUND(N($R805)+N($S805)+N($T805)-N($U805),2))</f>
        <v/>
      </c>
      <c r="W805" s="18">
        <f>IF(COUNTA($B805:$R805)=0,"",IF(OR($X805="Pago",$X805="Recebido",$X805="Cancelado"),0,ROUND(N($Q805)+N($S805)+N($T805)-N($U805)-N($R805),2)))</f>
        <v/>
      </c>
      <c r="X805" s="14" t="n"/>
      <c r="Y805" s="17">
        <f>IF(COUNTA($B805:$R805)=0,"",IF($X805="Cancelado","Cancelado",IF(OR($X805="Pago",$X805="Recebido"),$X805,IF(OR($X805="Parcial",N($R805)&gt;0),"Parcial",IF($C805="","Sem vencimento",IF($C805&lt;TODAY(),"Vencido",IF($C805=TODAY(),"Vence hoje",IF($C805&lt;=TODAY()+7,"Vence em 7 dias",IF($C805&lt;=TODAY()+30,"Vence em 30 dias","Futuro")))))))))</f>
        <v/>
      </c>
      <c r="Z805" s="24">
        <f>IF($B805="","",MONTH($B805))</f>
        <v/>
      </c>
      <c r="AA805" s="24">
        <f>IF($B805="","",YEAR($B805))</f>
        <v/>
      </c>
      <c r="AB805" s="24">
        <f>IF($B805="","",ISOWEEKNUM($B805))</f>
        <v/>
      </c>
      <c r="AC805" s="17">
        <f>IF($B805="","",CHOOSE(WEEKDAY($B805,2),"Segunda","Terça","Quarta","Quinta","Sexta","Sábado","Domingo"))</f>
        <v/>
      </c>
      <c r="AD805" s="17">
        <f>IF($B805="","",TEXT($B805,"MM/AAAA"))</f>
        <v/>
      </c>
      <c r="AE805" s="18">
        <f>IF(COUNTA($B805:$R805)=0,"",IF($X805="Cancelado",0,ROUND(N($Q805)+N($S805)+N($T805)-N($U805),2)))</f>
        <v/>
      </c>
      <c r="AF805" s="9">
        <f>IF($G805="","",IFERROR(INDEX(LINHAS_DRE_PLANO,MATCH($G805,SUBCATEGORIAS_PLANO,0)),"Não classificado"))</f>
        <v/>
      </c>
      <c r="AG805" s="17">
        <f>IF($G805="","",IFERROR(INDEX(TIPOS_FLUXO_PLANO,MATCH($G805,SUBCATEGORIAS_PLANO,0)),"Não classificado"))</f>
        <v/>
      </c>
      <c r="AH805" s="9">
        <f>IF($G805="","",IFERROR(INDEX(GRUPOS_PLANO,MATCH($G805,SUBCATEGORIAS_PLANO,0)),"Não classificado"))</f>
        <v/>
      </c>
      <c r="AI805" s="24">
        <f>IF(OR($C805="",$X805="Pago",$X805="Recebido",$X805="Cancelado"),"",$C805-TODAY())</f>
        <v/>
      </c>
      <c r="AJ805" s="24">
        <f>IF(OR($C805="",$X805="Pago",$X805="Recebido",$X805="Cancelado"),0,MAX(0,TODAY()-$C805))</f>
        <v/>
      </c>
      <c r="AK805" s="24">
        <f>IF($D805="","",$D805-$B805)</f>
        <v/>
      </c>
      <c r="AL805" s="18">
        <f>IF(OR($D805="",$B805=""),"",ROUND(N($R805)*($D805-$B805),2))</f>
        <v/>
      </c>
      <c r="AM805" s="17">
        <f>IF(AND($E805="Saída",$W805&gt;0,$C805&lt;&gt;""),$C805+ROW()/1000000,"")</f>
        <v/>
      </c>
      <c r="AN805" s="17">
        <f>IF(AND($E805="Entrada",$W805&gt;0,$C805&lt;&gt;""),$C805+ROW()/1000000,"")</f>
        <v/>
      </c>
      <c r="AO805" s="9">
        <f>IF(COUNTA($B805:$R805)=0,"",IF(AND($I805&lt;&gt;"",COUNTIF(CLIENTES_NOMES,$I805)+COUNTIF(CLIENTES_FANTASIA,$I805)+COUNTIF(FORNECEDORES_NOMES,$I805)+COUNTIF(FORNECEDORES_FANTASIA,$I805)=0),"⚠ Cliente/Fornecedor não cadastrado",IF(AND($G805&lt;&gt;"",COUNTIF(SUBCATEGORIAS_PLANO,$G805)=0),"⚠ Subcategoria fora do plano de contas",IF(OR($Q805="",N($Q805)=0),"⚠ Valor previsto não informado",IF(AND(OR($X805="Pago",$X805="Recebido"),$D805=""),"⚠ Status pago/recebido sem data",IF(AND($D805&lt;&gt;"",N($R805)=0),"⚠ Data de pagamento sem valor realizado",IF(AND(N($P805)&gt;1,N($O805)&gt;N($P805)),"⚠ Nº da parcela maior que o total",IF(AND($C805&lt;&gt;"",$B805&lt;&gt;"",$C805&lt;$B805),"⚠ Vencimento anterior à competência","OK"))))))))</f>
        <v/>
      </c>
    </row>
    <row r="806">
      <c r="A806" s="14" t="n"/>
      <c r="B806" s="36" t="n"/>
      <c r="C806" s="36" t="n"/>
      <c r="D806" s="36" t="n"/>
      <c r="E806" s="14" t="n"/>
      <c r="F806" s="29" t="n"/>
      <c r="G806" s="29" t="n"/>
      <c r="H806" s="29" t="n"/>
      <c r="I806" s="29" t="n"/>
      <c r="J806" s="29" t="n"/>
      <c r="K806" s="14" t="n"/>
      <c r="L806" s="29" t="n"/>
      <c r="M806" s="14" t="n"/>
      <c r="N806" s="29" t="n"/>
      <c r="O806" s="13" t="n"/>
      <c r="P806" s="13" t="n"/>
      <c r="Q806" s="35" t="n"/>
      <c r="R806" s="35" t="n"/>
      <c r="S806" s="35" t="n"/>
      <c r="T806" s="35" t="n"/>
      <c r="U806" s="35" t="n"/>
      <c r="V806" s="18">
        <f>IF(COUNTA($B806:$R806)=0,"",ROUND(N($R806)+N($S806)+N($T806)-N($U806),2))</f>
        <v/>
      </c>
      <c r="W806" s="18">
        <f>IF(COUNTA($B806:$R806)=0,"",IF(OR($X806="Pago",$X806="Recebido",$X806="Cancelado"),0,ROUND(N($Q806)+N($S806)+N($T806)-N($U806)-N($R806),2)))</f>
        <v/>
      </c>
      <c r="X806" s="14" t="n"/>
      <c r="Y806" s="17">
        <f>IF(COUNTA($B806:$R806)=0,"",IF($X806="Cancelado","Cancelado",IF(OR($X806="Pago",$X806="Recebido"),$X806,IF(OR($X806="Parcial",N($R806)&gt;0),"Parcial",IF($C806="","Sem vencimento",IF($C806&lt;TODAY(),"Vencido",IF($C806=TODAY(),"Vence hoje",IF($C806&lt;=TODAY()+7,"Vence em 7 dias",IF($C806&lt;=TODAY()+30,"Vence em 30 dias","Futuro")))))))))</f>
        <v/>
      </c>
      <c r="Z806" s="24">
        <f>IF($B806="","",MONTH($B806))</f>
        <v/>
      </c>
      <c r="AA806" s="24">
        <f>IF($B806="","",YEAR($B806))</f>
        <v/>
      </c>
      <c r="AB806" s="24">
        <f>IF($B806="","",ISOWEEKNUM($B806))</f>
        <v/>
      </c>
      <c r="AC806" s="17">
        <f>IF($B806="","",CHOOSE(WEEKDAY($B806,2),"Segunda","Terça","Quarta","Quinta","Sexta","Sábado","Domingo"))</f>
        <v/>
      </c>
      <c r="AD806" s="17">
        <f>IF($B806="","",TEXT($B806,"MM/AAAA"))</f>
        <v/>
      </c>
      <c r="AE806" s="18">
        <f>IF(COUNTA($B806:$R806)=0,"",IF($X806="Cancelado",0,ROUND(N($Q806)+N($S806)+N($T806)-N($U806),2)))</f>
        <v/>
      </c>
      <c r="AF806" s="9">
        <f>IF($G806="","",IFERROR(INDEX(LINHAS_DRE_PLANO,MATCH($G806,SUBCATEGORIAS_PLANO,0)),"Não classificado"))</f>
        <v/>
      </c>
      <c r="AG806" s="17">
        <f>IF($G806="","",IFERROR(INDEX(TIPOS_FLUXO_PLANO,MATCH($G806,SUBCATEGORIAS_PLANO,0)),"Não classificado"))</f>
        <v/>
      </c>
      <c r="AH806" s="9">
        <f>IF($G806="","",IFERROR(INDEX(GRUPOS_PLANO,MATCH($G806,SUBCATEGORIAS_PLANO,0)),"Não classificado"))</f>
        <v/>
      </c>
      <c r="AI806" s="24">
        <f>IF(OR($C806="",$X806="Pago",$X806="Recebido",$X806="Cancelado"),"",$C806-TODAY())</f>
        <v/>
      </c>
      <c r="AJ806" s="24">
        <f>IF(OR($C806="",$X806="Pago",$X806="Recebido",$X806="Cancelado"),0,MAX(0,TODAY()-$C806))</f>
        <v/>
      </c>
      <c r="AK806" s="24">
        <f>IF($D806="","",$D806-$B806)</f>
        <v/>
      </c>
      <c r="AL806" s="18">
        <f>IF(OR($D806="",$B806=""),"",ROUND(N($R806)*($D806-$B806),2))</f>
        <v/>
      </c>
      <c r="AM806" s="17">
        <f>IF(AND($E806="Saída",$W806&gt;0,$C806&lt;&gt;""),$C806+ROW()/1000000,"")</f>
        <v/>
      </c>
      <c r="AN806" s="17">
        <f>IF(AND($E806="Entrada",$W806&gt;0,$C806&lt;&gt;""),$C806+ROW()/1000000,"")</f>
        <v/>
      </c>
      <c r="AO806" s="9">
        <f>IF(COUNTA($B806:$R806)=0,"",IF(AND($I806&lt;&gt;"",COUNTIF(CLIENTES_NOMES,$I806)+COUNTIF(CLIENTES_FANTASIA,$I806)+COUNTIF(FORNECEDORES_NOMES,$I806)+COUNTIF(FORNECEDORES_FANTASIA,$I806)=0),"⚠ Cliente/Fornecedor não cadastrado",IF(AND($G806&lt;&gt;"",COUNTIF(SUBCATEGORIAS_PLANO,$G806)=0),"⚠ Subcategoria fora do plano de contas",IF(OR($Q806="",N($Q806)=0),"⚠ Valor previsto não informado",IF(AND(OR($X806="Pago",$X806="Recebido"),$D806=""),"⚠ Status pago/recebido sem data",IF(AND($D806&lt;&gt;"",N($R806)=0),"⚠ Data de pagamento sem valor realizado",IF(AND(N($P806)&gt;1,N($O806)&gt;N($P806)),"⚠ Nº da parcela maior que o total",IF(AND($C806&lt;&gt;"",$B806&lt;&gt;"",$C806&lt;$B806),"⚠ Vencimento anterior à competência","OK"))))))))</f>
        <v/>
      </c>
    </row>
    <row r="807">
      <c r="A807" s="14" t="n"/>
      <c r="B807" s="36" t="n"/>
      <c r="C807" s="36" t="n"/>
      <c r="D807" s="36" t="n"/>
      <c r="E807" s="14" t="n"/>
      <c r="F807" s="29" t="n"/>
      <c r="G807" s="29" t="n"/>
      <c r="H807" s="29" t="n"/>
      <c r="I807" s="29" t="n"/>
      <c r="J807" s="29" t="n"/>
      <c r="K807" s="14" t="n"/>
      <c r="L807" s="29" t="n"/>
      <c r="M807" s="14" t="n"/>
      <c r="N807" s="29" t="n"/>
      <c r="O807" s="13" t="n"/>
      <c r="P807" s="13" t="n"/>
      <c r="Q807" s="35" t="n"/>
      <c r="R807" s="35" t="n"/>
      <c r="S807" s="35" t="n"/>
      <c r="T807" s="35" t="n"/>
      <c r="U807" s="35" t="n"/>
      <c r="V807" s="18">
        <f>IF(COUNTA($B807:$R807)=0,"",ROUND(N($R807)+N($S807)+N($T807)-N($U807),2))</f>
        <v/>
      </c>
      <c r="W807" s="18">
        <f>IF(COUNTA($B807:$R807)=0,"",IF(OR($X807="Pago",$X807="Recebido",$X807="Cancelado"),0,ROUND(N($Q807)+N($S807)+N($T807)-N($U807)-N($R807),2)))</f>
        <v/>
      </c>
      <c r="X807" s="14" t="n"/>
      <c r="Y807" s="17">
        <f>IF(COUNTA($B807:$R807)=0,"",IF($X807="Cancelado","Cancelado",IF(OR($X807="Pago",$X807="Recebido"),$X807,IF(OR($X807="Parcial",N($R807)&gt;0),"Parcial",IF($C807="","Sem vencimento",IF($C807&lt;TODAY(),"Vencido",IF($C807=TODAY(),"Vence hoje",IF($C807&lt;=TODAY()+7,"Vence em 7 dias",IF($C807&lt;=TODAY()+30,"Vence em 30 dias","Futuro")))))))))</f>
        <v/>
      </c>
      <c r="Z807" s="24">
        <f>IF($B807="","",MONTH($B807))</f>
        <v/>
      </c>
      <c r="AA807" s="24">
        <f>IF($B807="","",YEAR($B807))</f>
        <v/>
      </c>
      <c r="AB807" s="24">
        <f>IF($B807="","",ISOWEEKNUM($B807))</f>
        <v/>
      </c>
      <c r="AC807" s="17">
        <f>IF($B807="","",CHOOSE(WEEKDAY($B807,2),"Segunda","Terça","Quarta","Quinta","Sexta","Sábado","Domingo"))</f>
        <v/>
      </c>
      <c r="AD807" s="17">
        <f>IF($B807="","",TEXT($B807,"MM/AAAA"))</f>
        <v/>
      </c>
      <c r="AE807" s="18">
        <f>IF(COUNTA($B807:$R807)=0,"",IF($X807="Cancelado",0,ROUND(N($Q807)+N($S807)+N($T807)-N($U807),2)))</f>
        <v/>
      </c>
      <c r="AF807" s="9">
        <f>IF($G807="","",IFERROR(INDEX(LINHAS_DRE_PLANO,MATCH($G807,SUBCATEGORIAS_PLANO,0)),"Não classificado"))</f>
        <v/>
      </c>
      <c r="AG807" s="17">
        <f>IF($G807="","",IFERROR(INDEX(TIPOS_FLUXO_PLANO,MATCH($G807,SUBCATEGORIAS_PLANO,0)),"Não classificado"))</f>
        <v/>
      </c>
      <c r="AH807" s="9">
        <f>IF($G807="","",IFERROR(INDEX(GRUPOS_PLANO,MATCH($G807,SUBCATEGORIAS_PLANO,0)),"Não classificado"))</f>
        <v/>
      </c>
      <c r="AI807" s="24">
        <f>IF(OR($C807="",$X807="Pago",$X807="Recebido",$X807="Cancelado"),"",$C807-TODAY())</f>
        <v/>
      </c>
      <c r="AJ807" s="24">
        <f>IF(OR($C807="",$X807="Pago",$X807="Recebido",$X807="Cancelado"),0,MAX(0,TODAY()-$C807))</f>
        <v/>
      </c>
      <c r="AK807" s="24">
        <f>IF($D807="","",$D807-$B807)</f>
        <v/>
      </c>
      <c r="AL807" s="18">
        <f>IF(OR($D807="",$B807=""),"",ROUND(N($R807)*($D807-$B807),2))</f>
        <v/>
      </c>
      <c r="AM807" s="17">
        <f>IF(AND($E807="Saída",$W807&gt;0,$C807&lt;&gt;""),$C807+ROW()/1000000,"")</f>
        <v/>
      </c>
      <c r="AN807" s="17">
        <f>IF(AND($E807="Entrada",$W807&gt;0,$C807&lt;&gt;""),$C807+ROW()/1000000,"")</f>
        <v/>
      </c>
      <c r="AO807" s="9">
        <f>IF(COUNTA($B807:$R807)=0,"",IF(AND($I807&lt;&gt;"",COUNTIF(CLIENTES_NOMES,$I807)+COUNTIF(CLIENTES_FANTASIA,$I807)+COUNTIF(FORNECEDORES_NOMES,$I807)+COUNTIF(FORNECEDORES_FANTASIA,$I807)=0),"⚠ Cliente/Fornecedor não cadastrado",IF(AND($G807&lt;&gt;"",COUNTIF(SUBCATEGORIAS_PLANO,$G807)=0),"⚠ Subcategoria fora do plano de contas",IF(OR($Q807="",N($Q807)=0),"⚠ Valor previsto não informado",IF(AND(OR($X807="Pago",$X807="Recebido"),$D807=""),"⚠ Status pago/recebido sem data",IF(AND($D807&lt;&gt;"",N($R807)=0),"⚠ Data de pagamento sem valor realizado",IF(AND(N($P807)&gt;1,N($O807)&gt;N($P807)),"⚠ Nº da parcela maior que o total",IF(AND($C807&lt;&gt;"",$B807&lt;&gt;"",$C807&lt;$B807),"⚠ Vencimento anterior à competência","OK"))))))))</f>
        <v/>
      </c>
    </row>
    <row r="808">
      <c r="A808" s="14" t="n"/>
      <c r="B808" s="36" t="n"/>
      <c r="C808" s="36" t="n"/>
      <c r="D808" s="36" t="n"/>
      <c r="E808" s="14" t="n"/>
      <c r="F808" s="29" t="n"/>
      <c r="G808" s="29" t="n"/>
      <c r="H808" s="29" t="n"/>
      <c r="I808" s="29" t="n"/>
      <c r="J808" s="29" t="n"/>
      <c r="K808" s="14" t="n"/>
      <c r="L808" s="29" t="n"/>
      <c r="M808" s="14" t="n"/>
      <c r="N808" s="29" t="n"/>
      <c r="O808" s="13" t="n"/>
      <c r="P808" s="13" t="n"/>
      <c r="Q808" s="35" t="n"/>
      <c r="R808" s="35" t="n"/>
      <c r="S808" s="35" t="n"/>
      <c r="T808" s="35" t="n"/>
      <c r="U808" s="35" t="n"/>
      <c r="V808" s="18">
        <f>IF(COUNTA($B808:$R808)=0,"",ROUND(N($R808)+N($S808)+N($T808)-N($U808),2))</f>
        <v/>
      </c>
      <c r="W808" s="18">
        <f>IF(COUNTA($B808:$R808)=0,"",IF(OR($X808="Pago",$X808="Recebido",$X808="Cancelado"),0,ROUND(N($Q808)+N($S808)+N($T808)-N($U808)-N($R808),2)))</f>
        <v/>
      </c>
      <c r="X808" s="14" t="n"/>
      <c r="Y808" s="17">
        <f>IF(COUNTA($B808:$R808)=0,"",IF($X808="Cancelado","Cancelado",IF(OR($X808="Pago",$X808="Recebido"),$X808,IF(OR($X808="Parcial",N($R808)&gt;0),"Parcial",IF($C808="","Sem vencimento",IF($C808&lt;TODAY(),"Vencido",IF($C808=TODAY(),"Vence hoje",IF($C808&lt;=TODAY()+7,"Vence em 7 dias",IF($C808&lt;=TODAY()+30,"Vence em 30 dias","Futuro")))))))))</f>
        <v/>
      </c>
      <c r="Z808" s="24">
        <f>IF($B808="","",MONTH($B808))</f>
        <v/>
      </c>
      <c r="AA808" s="24">
        <f>IF($B808="","",YEAR($B808))</f>
        <v/>
      </c>
      <c r="AB808" s="24">
        <f>IF($B808="","",ISOWEEKNUM($B808))</f>
        <v/>
      </c>
      <c r="AC808" s="17">
        <f>IF($B808="","",CHOOSE(WEEKDAY($B808,2),"Segunda","Terça","Quarta","Quinta","Sexta","Sábado","Domingo"))</f>
        <v/>
      </c>
      <c r="AD808" s="17">
        <f>IF($B808="","",TEXT($B808,"MM/AAAA"))</f>
        <v/>
      </c>
      <c r="AE808" s="18">
        <f>IF(COUNTA($B808:$R808)=0,"",IF($X808="Cancelado",0,ROUND(N($Q808)+N($S808)+N($T808)-N($U808),2)))</f>
        <v/>
      </c>
      <c r="AF808" s="9">
        <f>IF($G808="","",IFERROR(INDEX(LINHAS_DRE_PLANO,MATCH($G808,SUBCATEGORIAS_PLANO,0)),"Não classificado"))</f>
        <v/>
      </c>
      <c r="AG808" s="17">
        <f>IF($G808="","",IFERROR(INDEX(TIPOS_FLUXO_PLANO,MATCH($G808,SUBCATEGORIAS_PLANO,0)),"Não classificado"))</f>
        <v/>
      </c>
      <c r="AH808" s="9">
        <f>IF($G808="","",IFERROR(INDEX(GRUPOS_PLANO,MATCH($G808,SUBCATEGORIAS_PLANO,0)),"Não classificado"))</f>
        <v/>
      </c>
      <c r="AI808" s="24">
        <f>IF(OR($C808="",$X808="Pago",$X808="Recebido",$X808="Cancelado"),"",$C808-TODAY())</f>
        <v/>
      </c>
      <c r="AJ808" s="24">
        <f>IF(OR($C808="",$X808="Pago",$X808="Recebido",$X808="Cancelado"),0,MAX(0,TODAY()-$C808))</f>
        <v/>
      </c>
      <c r="AK808" s="24">
        <f>IF($D808="","",$D808-$B808)</f>
        <v/>
      </c>
      <c r="AL808" s="18">
        <f>IF(OR($D808="",$B808=""),"",ROUND(N($R808)*($D808-$B808),2))</f>
        <v/>
      </c>
      <c r="AM808" s="17">
        <f>IF(AND($E808="Saída",$W808&gt;0,$C808&lt;&gt;""),$C808+ROW()/1000000,"")</f>
        <v/>
      </c>
      <c r="AN808" s="17">
        <f>IF(AND($E808="Entrada",$W808&gt;0,$C808&lt;&gt;""),$C808+ROW()/1000000,"")</f>
        <v/>
      </c>
      <c r="AO808" s="9">
        <f>IF(COUNTA($B808:$R808)=0,"",IF(AND($I808&lt;&gt;"",COUNTIF(CLIENTES_NOMES,$I808)+COUNTIF(CLIENTES_FANTASIA,$I808)+COUNTIF(FORNECEDORES_NOMES,$I808)+COUNTIF(FORNECEDORES_FANTASIA,$I808)=0),"⚠ Cliente/Fornecedor não cadastrado",IF(AND($G808&lt;&gt;"",COUNTIF(SUBCATEGORIAS_PLANO,$G808)=0),"⚠ Subcategoria fora do plano de contas",IF(OR($Q808="",N($Q808)=0),"⚠ Valor previsto não informado",IF(AND(OR($X808="Pago",$X808="Recebido"),$D808=""),"⚠ Status pago/recebido sem data",IF(AND($D808&lt;&gt;"",N($R808)=0),"⚠ Data de pagamento sem valor realizado",IF(AND(N($P808)&gt;1,N($O808)&gt;N($P808)),"⚠ Nº da parcela maior que o total",IF(AND($C808&lt;&gt;"",$B808&lt;&gt;"",$C808&lt;$B808),"⚠ Vencimento anterior à competência","OK"))))))))</f>
        <v/>
      </c>
    </row>
    <row r="809">
      <c r="A809" s="14" t="n"/>
      <c r="B809" s="36" t="n"/>
      <c r="C809" s="36" t="n"/>
      <c r="D809" s="36" t="n"/>
      <c r="E809" s="14" t="n"/>
      <c r="F809" s="29" t="n"/>
      <c r="G809" s="29" t="n"/>
      <c r="H809" s="29" t="n"/>
      <c r="I809" s="29" t="n"/>
      <c r="J809" s="29" t="n"/>
      <c r="K809" s="14" t="n"/>
      <c r="L809" s="29" t="n"/>
      <c r="M809" s="14" t="n"/>
      <c r="N809" s="29" t="n"/>
      <c r="O809" s="13" t="n"/>
      <c r="P809" s="13" t="n"/>
      <c r="Q809" s="35" t="n"/>
      <c r="R809" s="35" t="n"/>
      <c r="S809" s="35" t="n"/>
      <c r="T809" s="35" t="n"/>
      <c r="U809" s="35" t="n"/>
      <c r="V809" s="18">
        <f>IF(COUNTA($B809:$R809)=0,"",ROUND(N($R809)+N($S809)+N($T809)-N($U809),2))</f>
        <v/>
      </c>
      <c r="W809" s="18">
        <f>IF(COUNTA($B809:$R809)=0,"",IF(OR($X809="Pago",$X809="Recebido",$X809="Cancelado"),0,ROUND(N($Q809)+N($S809)+N($T809)-N($U809)-N($R809),2)))</f>
        <v/>
      </c>
      <c r="X809" s="14" t="n"/>
      <c r="Y809" s="17">
        <f>IF(COUNTA($B809:$R809)=0,"",IF($X809="Cancelado","Cancelado",IF(OR($X809="Pago",$X809="Recebido"),$X809,IF(OR($X809="Parcial",N($R809)&gt;0),"Parcial",IF($C809="","Sem vencimento",IF($C809&lt;TODAY(),"Vencido",IF($C809=TODAY(),"Vence hoje",IF($C809&lt;=TODAY()+7,"Vence em 7 dias",IF($C809&lt;=TODAY()+30,"Vence em 30 dias","Futuro")))))))))</f>
        <v/>
      </c>
      <c r="Z809" s="24">
        <f>IF($B809="","",MONTH($B809))</f>
        <v/>
      </c>
      <c r="AA809" s="24">
        <f>IF($B809="","",YEAR($B809))</f>
        <v/>
      </c>
      <c r="AB809" s="24">
        <f>IF($B809="","",ISOWEEKNUM($B809))</f>
        <v/>
      </c>
      <c r="AC809" s="17">
        <f>IF($B809="","",CHOOSE(WEEKDAY($B809,2),"Segunda","Terça","Quarta","Quinta","Sexta","Sábado","Domingo"))</f>
        <v/>
      </c>
      <c r="AD809" s="17">
        <f>IF($B809="","",TEXT($B809,"MM/AAAA"))</f>
        <v/>
      </c>
      <c r="AE809" s="18">
        <f>IF(COUNTA($B809:$R809)=0,"",IF($X809="Cancelado",0,ROUND(N($Q809)+N($S809)+N($T809)-N($U809),2)))</f>
        <v/>
      </c>
      <c r="AF809" s="9">
        <f>IF($G809="","",IFERROR(INDEX(LINHAS_DRE_PLANO,MATCH($G809,SUBCATEGORIAS_PLANO,0)),"Não classificado"))</f>
        <v/>
      </c>
      <c r="AG809" s="17">
        <f>IF($G809="","",IFERROR(INDEX(TIPOS_FLUXO_PLANO,MATCH($G809,SUBCATEGORIAS_PLANO,0)),"Não classificado"))</f>
        <v/>
      </c>
      <c r="AH809" s="9">
        <f>IF($G809="","",IFERROR(INDEX(GRUPOS_PLANO,MATCH($G809,SUBCATEGORIAS_PLANO,0)),"Não classificado"))</f>
        <v/>
      </c>
      <c r="AI809" s="24">
        <f>IF(OR($C809="",$X809="Pago",$X809="Recebido",$X809="Cancelado"),"",$C809-TODAY())</f>
        <v/>
      </c>
      <c r="AJ809" s="24">
        <f>IF(OR($C809="",$X809="Pago",$X809="Recebido",$X809="Cancelado"),0,MAX(0,TODAY()-$C809))</f>
        <v/>
      </c>
      <c r="AK809" s="24">
        <f>IF($D809="","",$D809-$B809)</f>
        <v/>
      </c>
      <c r="AL809" s="18">
        <f>IF(OR($D809="",$B809=""),"",ROUND(N($R809)*($D809-$B809),2))</f>
        <v/>
      </c>
      <c r="AM809" s="17">
        <f>IF(AND($E809="Saída",$W809&gt;0,$C809&lt;&gt;""),$C809+ROW()/1000000,"")</f>
        <v/>
      </c>
      <c r="AN809" s="17">
        <f>IF(AND($E809="Entrada",$W809&gt;0,$C809&lt;&gt;""),$C809+ROW()/1000000,"")</f>
        <v/>
      </c>
      <c r="AO809" s="9">
        <f>IF(COUNTA($B809:$R809)=0,"",IF(AND($I809&lt;&gt;"",COUNTIF(CLIENTES_NOMES,$I809)+COUNTIF(CLIENTES_FANTASIA,$I809)+COUNTIF(FORNECEDORES_NOMES,$I809)+COUNTIF(FORNECEDORES_FANTASIA,$I809)=0),"⚠ Cliente/Fornecedor não cadastrado",IF(AND($G809&lt;&gt;"",COUNTIF(SUBCATEGORIAS_PLANO,$G809)=0),"⚠ Subcategoria fora do plano de contas",IF(OR($Q809="",N($Q809)=0),"⚠ Valor previsto não informado",IF(AND(OR($X809="Pago",$X809="Recebido"),$D809=""),"⚠ Status pago/recebido sem data",IF(AND($D809&lt;&gt;"",N($R809)=0),"⚠ Data de pagamento sem valor realizado",IF(AND(N($P809)&gt;1,N($O809)&gt;N($P809)),"⚠ Nº da parcela maior que o total",IF(AND($C809&lt;&gt;"",$B809&lt;&gt;"",$C809&lt;$B809),"⚠ Vencimento anterior à competência","OK"))))))))</f>
        <v/>
      </c>
    </row>
    <row r="810">
      <c r="A810" s="14" t="n"/>
      <c r="B810" s="36" t="n"/>
      <c r="C810" s="36" t="n"/>
      <c r="D810" s="36" t="n"/>
      <c r="E810" s="14" t="n"/>
      <c r="F810" s="29" t="n"/>
      <c r="G810" s="29" t="n"/>
      <c r="H810" s="29" t="n"/>
      <c r="I810" s="29" t="n"/>
      <c r="J810" s="29" t="n"/>
      <c r="K810" s="14" t="n"/>
      <c r="L810" s="29" t="n"/>
      <c r="M810" s="14" t="n"/>
      <c r="N810" s="29" t="n"/>
      <c r="O810" s="13" t="n"/>
      <c r="P810" s="13" t="n"/>
      <c r="Q810" s="35" t="n"/>
      <c r="R810" s="35" t="n"/>
      <c r="S810" s="35" t="n"/>
      <c r="T810" s="35" t="n"/>
      <c r="U810" s="35" t="n"/>
      <c r="V810" s="18">
        <f>IF(COUNTA($B810:$R810)=0,"",ROUND(N($R810)+N($S810)+N($T810)-N($U810),2))</f>
        <v/>
      </c>
      <c r="W810" s="18">
        <f>IF(COUNTA($B810:$R810)=0,"",IF(OR($X810="Pago",$X810="Recebido",$X810="Cancelado"),0,ROUND(N($Q810)+N($S810)+N($T810)-N($U810)-N($R810),2)))</f>
        <v/>
      </c>
      <c r="X810" s="14" t="n"/>
      <c r="Y810" s="17">
        <f>IF(COUNTA($B810:$R810)=0,"",IF($X810="Cancelado","Cancelado",IF(OR($X810="Pago",$X810="Recebido"),$X810,IF(OR($X810="Parcial",N($R810)&gt;0),"Parcial",IF($C810="","Sem vencimento",IF($C810&lt;TODAY(),"Vencido",IF($C810=TODAY(),"Vence hoje",IF($C810&lt;=TODAY()+7,"Vence em 7 dias",IF($C810&lt;=TODAY()+30,"Vence em 30 dias","Futuro")))))))))</f>
        <v/>
      </c>
      <c r="Z810" s="24">
        <f>IF($B810="","",MONTH($B810))</f>
        <v/>
      </c>
      <c r="AA810" s="24">
        <f>IF($B810="","",YEAR($B810))</f>
        <v/>
      </c>
      <c r="AB810" s="24">
        <f>IF($B810="","",ISOWEEKNUM($B810))</f>
        <v/>
      </c>
      <c r="AC810" s="17">
        <f>IF($B810="","",CHOOSE(WEEKDAY($B810,2),"Segunda","Terça","Quarta","Quinta","Sexta","Sábado","Domingo"))</f>
        <v/>
      </c>
      <c r="AD810" s="17">
        <f>IF($B810="","",TEXT($B810,"MM/AAAA"))</f>
        <v/>
      </c>
      <c r="AE810" s="18">
        <f>IF(COUNTA($B810:$R810)=0,"",IF($X810="Cancelado",0,ROUND(N($Q810)+N($S810)+N($T810)-N($U810),2)))</f>
        <v/>
      </c>
      <c r="AF810" s="9">
        <f>IF($G810="","",IFERROR(INDEX(LINHAS_DRE_PLANO,MATCH($G810,SUBCATEGORIAS_PLANO,0)),"Não classificado"))</f>
        <v/>
      </c>
      <c r="AG810" s="17">
        <f>IF($G810="","",IFERROR(INDEX(TIPOS_FLUXO_PLANO,MATCH($G810,SUBCATEGORIAS_PLANO,0)),"Não classificado"))</f>
        <v/>
      </c>
      <c r="AH810" s="9">
        <f>IF($G810="","",IFERROR(INDEX(GRUPOS_PLANO,MATCH($G810,SUBCATEGORIAS_PLANO,0)),"Não classificado"))</f>
        <v/>
      </c>
      <c r="AI810" s="24">
        <f>IF(OR($C810="",$X810="Pago",$X810="Recebido",$X810="Cancelado"),"",$C810-TODAY())</f>
        <v/>
      </c>
      <c r="AJ810" s="24">
        <f>IF(OR($C810="",$X810="Pago",$X810="Recebido",$X810="Cancelado"),0,MAX(0,TODAY()-$C810))</f>
        <v/>
      </c>
      <c r="AK810" s="24">
        <f>IF($D810="","",$D810-$B810)</f>
        <v/>
      </c>
      <c r="AL810" s="18">
        <f>IF(OR($D810="",$B810=""),"",ROUND(N($R810)*($D810-$B810),2))</f>
        <v/>
      </c>
      <c r="AM810" s="17">
        <f>IF(AND($E810="Saída",$W810&gt;0,$C810&lt;&gt;""),$C810+ROW()/1000000,"")</f>
        <v/>
      </c>
      <c r="AN810" s="17">
        <f>IF(AND($E810="Entrada",$W810&gt;0,$C810&lt;&gt;""),$C810+ROW()/1000000,"")</f>
        <v/>
      </c>
      <c r="AO810" s="9">
        <f>IF(COUNTA($B810:$R810)=0,"",IF(AND($I810&lt;&gt;"",COUNTIF(CLIENTES_NOMES,$I810)+COUNTIF(CLIENTES_FANTASIA,$I810)+COUNTIF(FORNECEDORES_NOMES,$I810)+COUNTIF(FORNECEDORES_FANTASIA,$I810)=0),"⚠ Cliente/Fornecedor não cadastrado",IF(AND($G810&lt;&gt;"",COUNTIF(SUBCATEGORIAS_PLANO,$G810)=0),"⚠ Subcategoria fora do plano de contas",IF(OR($Q810="",N($Q810)=0),"⚠ Valor previsto não informado",IF(AND(OR($X810="Pago",$X810="Recebido"),$D810=""),"⚠ Status pago/recebido sem data",IF(AND($D810&lt;&gt;"",N($R810)=0),"⚠ Data de pagamento sem valor realizado",IF(AND(N($P810)&gt;1,N($O810)&gt;N($P810)),"⚠ Nº da parcela maior que o total",IF(AND($C810&lt;&gt;"",$B810&lt;&gt;"",$C810&lt;$B810),"⚠ Vencimento anterior à competência","OK"))))))))</f>
        <v/>
      </c>
    </row>
    <row r="811">
      <c r="A811" s="14" t="n"/>
      <c r="B811" s="36" t="n"/>
      <c r="C811" s="36" t="n"/>
      <c r="D811" s="36" t="n"/>
      <c r="E811" s="14" t="n"/>
      <c r="F811" s="29" t="n"/>
      <c r="G811" s="29" t="n"/>
      <c r="H811" s="29" t="n"/>
      <c r="I811" s="29" t="n"/>
      <c r="J811" s="29" t="n"/>
      <c r="K811" s="14" t="n"/>
      <c r="L811" s="29" t="n"/>
      <c r="M811" s="14" t="n"/>
      <c r="N811" s="29" t="n"/>
      <c r="O811" s="13" t="n"/>
      <c r="P811" s="13" t="n"/>
      <c r="Q811" s="35" t="n"/>
      <c r="R811" s="35" t="n"/>
      <c r="S811" s="35" t="n"/>
      <c r="T811" s="35" t="n"/>
      <c r="U811" s="35" t="n"/>
      <c r="V811" s="18">
        <f>IF(COUNTA($B811:$R811)=0,"",ROUND(N($R811)+N($S811)+N($T811)-N($U811),2))</f>
        <v/>
      </c>
      <c r="W811" s="18">
        <f>IF(COUNTA($B811:$R811)=0,"",IF(OR($X811="Pago",$X811="Recebido",$X811="Cancelado"),0,ROUND(N($Q811)+N($S811)+N($T811)-N($U811)-N($R811),2)))</f>
        <v/>
      </c>
      <c r="X811" s="14" t="n"/>
      <c r="Y811" s="17">
        <f>IF(COUNTA($B811:$R811)=0,"",IF($X811="Cancelado","Cancelado",IF(OR($X811="Pago",$X811="Recebido"),$X811,IF(OR($X811="Parcial",N($R811)&gt;0),"Parcial",IF($C811="","Sem vencimento",IF($C811&lt;TODAY(),"Vencido",IF($C811=TODAY(),"Vence hoje",IF($C811&lt;=TODAY()+7,"Vence em 7 dias",IF($C811&lt;=TODAY()+30,"Vence em 30 dias","Futuro")))))))))</f>
        <v/>
      </c>
      <c r="Z811" s="24">
        <f>IF($B811="","",MONTH($B811))</f>
        <v/>
      </c>
      <c r="AA811" s="24">
        <f>IF($B811="","",YEAR($B811))</f>
        <v/>
      </c>
      <c r="AB811" s="24">
        <f>IF($B811="","",ISOWEEKNUM($B811))</f>
        <v/>
      </c>
      <c r="AC811" s="17">
        <f>IF($B811="","",CHOOSE(WEEKDAY($B811,2),"Segunda","Terça","Quarta","Quinta","Sexta","Sábado","Domingo"))</f>
        <v/>
      </c>
      <c r="AD811" s="17">
        <f>IF($B811="","",TEXT($B811,"MM/AAAA"))</f>
        <v/>
      </c>
      <c r="AE811" s="18">
        <f>IF(COUNTA($B811:$R811)=0,"",IF($X811="Cancelado",0,ROUND(N($Q811)+N($S811)+N($T811)-N($U811),2)))</f>
        <v/>
      </c>
      <c r="AF811" s="9">
        <f>IF($G811="","",IFERROR(INDEX(LINHAS_DRE_PLANO,MATCH($G811,SUBCATEGORIAS_PLANO,0)),"Não classificado"))</f>
        <v/>
      </c>
      <c r="AG811" s="17">
        <f>IF($G811="","",IFERROR(INDEX(TIPOS_FLUXO_PLANO,MATCH($G811,SUBCATEGORIAS_PLANO,0)),"Não classificado"))</f>
        <v/>
      </c>
      <c r="AH811" s="9">
        <f>IF($G811="","",IFERROR(INDEX(GRUPOS_PLANO,MATCH($G811,SUBCATEGORIAS_PLANO,0)),"Não classificado"))</f>
        <v/>
      </c>
      <c r="AI811" s="24">
        <f>IF(OR($C811="",$X811="Pago",$X811="Recebido",$X811="Cancelado"),"",$C811-TODAY())</f>
        <v/>
      </c>
      <c r="AJ811" s="24">
        <f>IF(OR($C811="",$X811="Pago",$X811="Recebido",$X811="Cancelado"),0,MAX(0,TODAY()-$C811))</f>
        <v/>
      </c>
      <c r="AK811" s="24">
        <f>IF($D811="","",$D811-$B811)</f>
        <v/>
      </c>
      <c r="AL811" s="18">
        <f>IF(OR($D811="",$B811=""),"",ROUND(N($R811)*($D811-$B811),2))</f>
        <v/>
      </c>
      <c r="AM811" s="17">
        <f>IF(AND($E811="Saída",$W811&gt;0,$C811&lt;&gt;""),$C811+ROW()/1000000,"")</f>
        <v/>
      </c>
      <c r="AN811" s="17">
        <f>IF(AND($E811="Entrada",$W811&gt;0,$C811&lt;&gt;""),$C811+ROW()/1000000,"")</f>
        <v/>
      </c>
      <c r="AO811" s="9">
        <f>IF(COUNTA($B811:$R811)=0,"",IF(AND($I811&lt;&gt;"",COUNTIF(CLIENTES_NOMES,$I811)+COUNTIF(CLIENTES_FANTASIA,$I811)+COUNTIF(FORNECEDORES_NOMES,$I811)+COUNTIF(FORNECEDORES_FANTASIA,$I811)=0),"⚠ Cliente/Fornecedor não cadastrado",IF(AND($G811&lt;&gt;"",COUNTIF(SUBCATEGORIAS_PLANO,$G811)=0),"⚠ Subcategoria fora do plano de contas",IF(OR($Q811="",N($Q811)=0),"⚠ Valor previsto não informado",IF(AND(OR($X811="Pago",$X811="Recebido"),$D811=""),"⚠ Status pago/recebido sem data",IF(AND($D811&lt;&gt;"",N($R811)=0),"⚠ Data de pagamento sem valor realizado",IF(AND(N($P811)&gt;1,N($O811)&gt;N($P811)),"⚠ Nº da parcela maior que o total",IF(AND($C811&lt;&gt;"",$B811&lt;&gt;"",$C811&lt;$B811),"⚠ Vencimento anterior à competência","OK"))))))))</f>
        <v/>
      </c>
    </row>
    <row r="812">
      <c r="A812" s="14" t="n"/>
      <c r="B812" s="36" t="n"/>
      <c r="C812" s="36" t="n"/>
      <c r="D812" s="36" t="n"/>
      <c r="E812" s="14" t="n"/>
      <c r="F812" s="29" t="n"/>
      <c r="G812" s="29" t="n"/>
      <c r="H812" s="29" t="n"/>
      <c r="I812" s="29" t="n"/>
      <c r="J812" s="29" t="n"/>
      <c r="K812" s="14" t="n"/>
      <c r="L812" s="29" t="n"/>
      <c r="M812" s="14" t="n"/>
      <c r="N812" s="29" t="n"/>
      <c r="O812" s="13" t="n"/>
      <c r="P812" s="13" t="n"/>
      <c r="Q812" s="35" t="n"/>
      <c r="R812" s="35" t="n"/>
      <c r="S812" s="35" t="n"/>
      <c r="T812" s="35" t="n"/>
      <c r="U812" s="35" t="n"/>
      <c r="V812" s="18">
        <f>IF(COUNTA($B812:$R812)=0,"",ROUND(N($R812)+N($S812)+N($T812)-N($U812),2))</f>
        <v/>
      </c>
      <c r="W812" s="18">
        <f>IF(COUNTA($B812:$R812)=0,"",IF(OR($X812="Pago",$X812="Recebido",$X812="Cancelado"),0,ROUND(N($Q812)+N($S812)+N($T812)-N($U812)-N($R812),2)))</f>
        <v/>
      </c>
      <c r="X812" s="14" t="n"/>
      <c r="Y812" s="17">
        <f>IF(COUNTA($B812:$R812)=0,"",IF($X812="Cancelado","Cancelado",IF(OR($X812="Pago",$X812="Recebido"),$X812,IF(OR($X812="Parcial",N($R812)&gt;0),"Parcial",IF($C812="","Sem vencimento",IF($C812&lt;TODAY(),"Vencido",IF($C812=TODAY(),"Vence hoje",IF($C812&lt;=TODAY()+7,"Vence em 7 dias",IF($C812&lt;=TODAY()+30,"Vence em 30 dias","Futuro")))))))))</f>
        <v/>
      </c>
      <c r="Z812" s="24">
        <f>IF($B812="","",MONTH($B812))</f>
        <v/>
      </c>
      <c r="AA812" s="24">
        <f>IF($B812="","",YEAR($B812))</f>
        <v/>
      </c>
      <c r="AB812" s="24">
        <f>IF($B812="","",ISOWEEKNUM($B812))</f>
        <v/>
      </c>
      <c r="AC812" s="17">
        <f>IF($B812="","",CHOOSE(WEEKDAY($B812,2),"Segunda","Terça","Quarta","Quinta","Sexta","Sábado","Domingo"))</f>
        <v/>
      </c>
      <c r="AD812" s="17">
        <f>IF($B812="","",TEXT($B812,"MM/AAAA"))</f>
        <v/>
      </c>
      <c r="AE812" s="18">
        <f>IF(COUNTA($B812:$R812)=0,"",IF($X812="Cancelado",0,ROUND(N($Q812)+N($S812)+N($T812)-N($U812),2)))</f>
        <v/>
      </c>
      <c r="AF812" s="9">
        <f>IF($G812="","",IFERROR(INDEX(LINHAS_DRE_PLANO,MATCH($G812,SUBCATEGORIAS_PLANO,0)),"Não classificado"))</f>
        <v/>
      </c>
      <c r="AG812" s="17">
        <f>IF($G812="","",IFERROR(INDEX(TIPOS_FLUXO_PLANO,MATCH($G812,SUBCATEGORIAS_PLANO,0)),"Não classificado"))</f>
        <v/>
      </c>
      <c r="AH812" s="9">
        <f>IF($G812="","",IFERROR(INDEX(GRUPOS_PLANO,MATCH($G812,SUBCATEGORIAS_PLANO,0)),"Não classificado"))</f>
        <v/>
      </c>
      <c r="AI812" s="24">
        <f>IF(OR($C812="",$X812="Pago",$X812="Recebido",$X812="Cancelado"),"",$C812-TODAY())</f>
        <v/>
      </c>
      <c r="AJ812" s="24">
        <f>IF(OR($C812="",$X812="Pago",$X812="Recebido",$X812="Cancelado"),0,MAX(0,TODAY()-$C812))</f>
        <v/>
      </c>
      <c r="AK812" s="24">
        <f>IF($D812="","",$D812-$B812)</f>
        <v/>
      </c>
      <c r="AL812" s="18">
        <f>IF(OR($D812="",$B812=""),"",ROUND(N($R812)*($D812-$B812),2))</f>
        <v/>
      </c>
      <c r="AM812" s="17">
        <f>IF(AND($E812="Saída",$W812&gt;0,$C812&lt;&gt;""),$C812+ROW()/1000000,"")</f>
        <v/>
      </c>
      <c r="AN812" s="17">
        <f>IF(AND($E812="Entrada",$W812&gt;0,$C812&lt;&gt;""),$C812+ROW()/1000000,"")</f>
        <v/>
      </c>
      <c r="AO812" s="9">
        <f>IF(COUNTA($B812:$R812)=0,"",IF(AND($I812&lt;&gt;"",COUNTIF(CLIENTES_NOMES,$I812)+COUNTIF(CLIENTES_FANTASIA,$I812)+COUNTIF(FORNECEDORES_NOMES,$I812)+COUNTIF(FORNECEDORES_FANTASIA,$I812)=0),"⚠ Cliente/Fornecedor não cadastrado",IF(AND($G812&lt;&gt;"",COUNTIF(SUBCATEGORIAS_PLANO,$G812)=0),"⚠ Subcategoria fora do plano de contas",IF(OR($Q812="",N($Q812)=0),"⚠ Valor previsto não informado",IF(AND(OR($X812="Pago",$X812="Recebido"),$D812=""),"⚠ Status pago/recebido sem data",IF(AND($D812&lt;&gt;"",N($R812)=0),"⚠ Data de pagamento sem valor realizado",IF(AND(N($P812)&gt;1,N($O812)&gt;N($P812)),"⚠ Nº da parcela maior que o total",IF(AND($C812&lt;&gt;"",$B812&lt;&gt;"",$C812&lt;$B812),"⚠ Vencimento anterior à competência","OK"))))))))</f>
        <v/>
      </c>
    </row>
    <row r="813">
      <c r="A813" s="14" t="n"/>
      <c r="B813" s="36" t="n"/>
      <c r="C813" s="36" t="n"/>
      <c r="D813" s="36" t="n"/>
      <c r="E813" s="14" t="n"/>
      <c r="F813" s="29" t="n"/>
      <c r="G813" s="29" t="n"/>
      <c r="H813" s="29" t="n"/>
      <c r="I813" s="29" t="n"/>
      <c r="J813" s="29" t="n"/>
      <c r="K813" s="14" t="n"/>
      <c r="L813" s="29" t="n"/>
      <c r="M813" s="14" t="n"/>
      <c r="N813" s="29" t="n"/>
      <c r="O813" s="13" t="n"/>
      <c r="P813" s="13" t="n"/>
      <c r="Q813" s="35" t="n"/>
      <c r="R813" s="35" t="n"/>
      <c r="S813" s="35" t="n"/>
      <c r="T813" s="35" t="n"/>
      <c r="U813" s="35" t="n"/>
      <c r="V813" s="18">
        <f>IF(COUNTA($B813:$R813)=0,"",ROUND(N($R813)+N($S813)+N($T813)-N($U813),2))</f>
        <v/>
      </c>
      <c r="W813" s="18">
        <f>IF(COUNTA($B813:$R813)=0,"",IF(OR($X813="Pago",$X813="Recebido",$X813="Cancelado"),0,ROUND(N($Q813)+N($S813)+N($T813)-N($U813)-N($R813),2)))</f>
        <v/>
      </c>
      <c r="X813" s="14" t="n"/>
      <c r="Y813" s="17">
        <f>IF(COUNTA($B813:$R813)=0,"",IF($X813="Cancelado","Cancelado",IF(OR($X813="Pago",$X813="Recebido"),$X813,IF(OR($X813="Parcial",N($R813)&gt;0),"Parcial",IF($C813="","Sem vencimento",IF($C813&lt;TODAY(),"Vencido",IF($C813=TODAY(),"Vence hoje",IF($C813&lt;=TODAY()+7,"Vence em 7 dias",IF($C813&lt;=TODAY()+30,"Vence em 30 dias","Futuro")))))))))</f>
        <v/>
      </c>
      <c r="Z813" s="24">
        <f>IF($B813="","",MONTH($B813))</f>
        <v/>
      </c>
      <c r="AA813" s="24">
        <f>IF($B813="","",YEAR($B813))</f>
        <v/>
      </c>
      <c r="AB813" s="24">
        <f>IF($B813="","",ISOWEEKNUM($B813))</f>
        <v/>
      </c>
      <c r="AC813" s="17">
        <f>IF($B813="","",CHOOSE(WEEKDAY($B813,2),"Segunda","Terça","Quarta","Quinta","Sexta","Sábado","Domingo"))</f>
        <v/>
      </c>
      <c r="AD813" s="17">
        <f>IF($B813="","",TEXT($B813,"MM/AAAA"))</f>
        <v/>
      </c>
      <c r="AE813" s="18">
        <f>IF(COUNTA($B813:$R813)=0,"",IF($X813="Cancelado",0,ROUND(N($Q813)+N($S813)+N($T813)-N($U813),2)))</f>
        <v/>
      </c>
      <c r="AF813" s="9">
        <f>IF($G813="","",IFERROR(INDEX(LINHAS_DRE_PLANO,MATCH($G813,SUBCATEGORIAS_PLANO,0)),"Não classificado"))</f>
        <v/>
      </c>
      <c r="AG813" s="17">
        <f>IF($G813="","",IFERROR(INDEX(TIPOS_FLUXO_PLANO,MATCH($G813,SUBCATEGORIAS_PLANO,0)),"Não classificado"))</f>
        <v/>
      </c>
      <c r="AH813" s="9">
        <f>IF($G813="","",IFERROR(INDEX(GRUPOS_PLANO,MATCH($G813,SUBCATEGORIAS_PLANO,0)),"Não classificado"))</f>
        <v/>
      </c>
      <c r="AI813" s="24">
        <f>IF(OR($C813="",$X813="Pago",$X813="Recebido",$X813="Cancelado"),"",$C813-TODAY())</f>
        <v/>
      </c>
      <c r="AJ813" s="24">
        <f>IF(OR($C813="",$X813="Pago",$X813="Recebido",$X813="Cancelado"),0,MAX(0,TODAY()-$C813))</f>
        <v/>
      </c>
      <c r="AK813" s="24">
        <f>IF($D813="","",$D813-$B813)</f>
        <v/>
      </c>
      <c r="AL813" s="18">
        <f>IF(OR($D813="",$B813=""),"",ROUND(N($R813)*($D813-$B813),2))</f>
        <v/>
      </c>
      <c r="AM813" s="17">
        <f>IF(AND($E813="Saída",$W813&gt;0,$C813&lt;&gt;""),$C813+ROW()/1000000,"")</f>
        <v/>
      </c>
      <c r="AN813" s="17">
        <f>IF(AND($E813="Entrada",$W813&gt;0,$C813&lt;&gt;""),$C813+ROW()/1000000,"")</f>
        <v/>
      </c>
      <c r="AO813" s="9">
        <f>IF(COUNTA($B813:$R813)=0,"",IF(AND($I813&lt;&gt;"",COUNTIF(CLIENTES_NOMES,$I813)+COUNTIF(CLIENTES_FANTASIA,$I813)+COUNTIF(FORNECEDORES_NOMES,$I813)+COUNTIF(FORNECEDORES_FANTASIA,$I813)=0),"⚠ Cliente/Fornecedor não cadastrado",IF(AND($G813&lt;&gt;"",COUNTIF(SUBCATEGORIAS_PLANO,$G813)=0),"⚠ Subcategoria fora do plano de contas",IF(OR($Q813="",N($Q813)=0),"⚠ Valor previsto não informado",IF(AND(OR($X813="Pago",$X813="Recebido"),$D813=""),"⚠ Status pago/recebido sem data",IF(AND($D813&lt;&gt;"",N($R813)=0),"⚠ Data de pagamento sem valor realizado",IF(AND(N($P813)&gt;1,N($O813)&gt;N($P813)),"⚠ Nº da parcela maior que o total",IF(AND($C813&lt;&gt;"",$B813&lt;&gt;"",$C813&lt;$B813),"⚠ Vencimento anterior à competência","OK"))))))))</f>
        <v/>
      </c>
    </row>
    <row r="814">
      <c r="A814" s="14" t="n"/>
      <c r="B814" s="36" t="n"/>
      <c r="C814" s="36" t="n"/>
      <c r="D814" s="36" t="n"/>
      <c r="E814" s="14" t="n"/>
      <c r="F814" s="29" t="n"/>
      <c r="G814" s="29" t="n"/>
      <c r="H814" s="29" t="n"/>
      <c r="I814" s="29" t="n"/>
      <c r="J814" s="29" t="n"/>
      <c r="K814" s="14" t="n"/>
      <c r="L814" s="29" t="n"/>
      <c r="M814" s="14" t="n"/>
      <c r="N814" s="29" t="n"/>
      <c r="O814" s="13" t="n"/>
      <c r="P814" s="13" t="n"/>
      <c r="Q814" s="35" t="n"/>
      <c r="R814" s="35" t="n"/>
      <c r="S814" s="35" t="n"/>
      <c r="T814" s="35" t="n"/>
      <c r="U814" s="35" t="n"/>
      <c r="V814" s="18">
        <f>IF(COUNTA($B814:$R814)=0,"",ROUND(N($R814)+N($S814)+N($T814)-N($U814),2))</f>
        <v/>
      </c>
      <c r="W814" s="18">
        <f>IF(COUNTA($B814:$R814)=0,"",IF(OR($X814="Pago",$X814="Recebido",$X814="Cancelado"),0,ROUND(N($Q814)+N($S814)+N($T814)-N($U814)-N($R814),2)))</f>
        <v/>
      </c>
      <c r="X814" s="14" t="n"/>
      <c r="Y814" s="17">
        <f>IF(COUNTA($B814:$R814)=0,"",IF($X814="Cancelado","Cancelado",IF(OR($X814="Pago",$X814="Recebido"),$X814,IF(OR($X814="Parcial",N($R814)&gt;0),"Parcial",IF($C814="","Sem vencimento",IF($C814&lt;TODAY(),"Vencido",IF($C814=TODAY(),"Vence hoje",IF($C814&lt;=TODAY()+7,"Vence em 7 dias",IF($C814&lt;=TODAY()+30,"Vence em 30 dias","Futuro")))))))))</f>
        <v/>
      </c>
      <c r="Z814" s="24">
        <f>IF($B814="","",MONTH($B814))</f>
        <v/>
      </c>
      <c r="AA814" s="24">
        <f>IF($B814="","",YEAR($B814))</f>
        <v/>
      </c>
      <c r="AB814" s="24">
        <f>IF($B814="","",ISOWEEKNUM($B814))</f>
        <v/>
      </c>
      <c r="AC814" s="17">
        <f>IF($B814="","",CHOOSE(WEEKDAY($B814,2),"Segunda","Terça","Quarta","Quinta","Sexta","Sábado","Domingo"))</f>
        <v/>
      </c>
      <c r="AD814" s="17">
        <f>IF($B814="","",TEXT($B814,"MM/AAAA"))</f>
        <v/>
      </c>
      <c r="AE814" s="18">
        <f>IF(COUNTA($B814:$R814)=0,"",IF($X814="Cancelado",0,ROUND(N($Q814)+N($S814)+N($T814)-N($U814),2)))</f>
        <v/>
      </c>
      <c r="AF814" s="9">
        <f>IF($G814="","",IFERROR(INDEX(LINHAS_DRE_PLANO,MATCH($G814,SUBCATEGORIAS_PLANO,0)),"Não classificado"))</f>
        <v/>
      </c>
      <c r="AG814" s="17">
        <f>IF($G814="","",IFERROR(INDEX(TIPOS_FLUXO_PLANO,MATCH($G814,SUBCATEGORIAS_PLANO,0)),"Não classificado"))</f>
        <v/>
      </c>
      <c r="AH814" s="9">
        <f>IF($G814="","",IFERROR(INDEX(GRUPOS_PLANO,MATCH($G814,SUBCATEGORIAS_PLANO,0)),"Não classificado"))</f>
        <v/>
      </c>
      <c r="AI814" s="24">
        <f>IF(OR($C814="",$X814="Pago",$X814="Recebido",$X814="Cancelado"),"",$C814-TODAY())</f>
        <v/>
      </c>
      <c r="AJ814" s="24">
        <f>IF(OR($C814="",$X814="Pago",$X814="Recebido",$X814="Cancelado"),0,MAX(0,TODAY()-$C814))</f>
        <v/>
      </c>
      <c r="AK814" s="24">
        <f>IF($D814="","",$D814-$B814)</f>
        <v/>
      </c>
      <c r="AL814" s="18">
        <f>IF(OR($D814="",$B814=""),"",ROUND(N($R814)*($D814-$B814),2))</f>
        <v/>
      </c>
      <c r="AM814" s="17">
        <f>IF(AND($E814="Saída",$W814&gt;0,$C814&lt;&gt;""),$C814+ROW()/1000000,"")</f>
        <v/>
      </c>
      <c r="AN814" s="17">
        <f>IF(AND($E814="Entrada",$W814&gt;0,$C814&lt;&gt;""),$C814+ROW()/1000000,"")</f>
        <v/>
      </c>
      <c r="AO814" s="9">
        <f>IF(COUNTA($B814:$R814)=0,"",IF(AND($I814&lt;&gt;"",COUNTIF(CLIENTES_NOMES,$I814)+COUNTIF(CLIENTES_FANTASIA,$I814)+COUNTIF(FORNECEDORES_NOMES,$I814)+COUNTIF(FORNECEDORES_FANTASIA,$I814)=0),"⚠ Cliente/Fornecedor não cadastrado",IF(AND($G814&lt;&gt;"",COUNTIF(SUBCATEGORIAS_PLANO,$G814)=0),"⚠ Subcategoria fora do plano de contas",IF(OR($Q814="",N($Q814)=0),"⚠ Valor previsto não informado",IF(AND(OR($X814="Pago",$X814="Recebido"),$D814=""),"⚠ Status pago/recebido sem data",IF(AND($D814&lt;&gt;"",N($R814)=0),"⚠ Data de pagamento sem valor realizado",IF(AND(N($P814)&gt;1,N($O814)&gt;N($P814)),"⚠ Nº da parcela maior que o total",IF(AND($C814&lt;&gt;"",$B814&lt;&gt;"",$C814&lt;$B814),"⚠ Vencimento anterior à competência","OK"))))))))</f>
        <v/>
      </c>
    </row>
    <row r="815">
      <c r="A815" s="14" t="n"/>
      <c r="B815" s="36" t="n"/>
      <c r="C815" s="36" t="n"/>
      <c r="D815" s="36" t="n"/>
      <c r="E815" s="14" t="n"/>
      <c r="F815" s="29" t="n"/>
      <c r="G815" s="29" t="n"/>
      <c r="H815" s="29" t="n"/>
      <c r="I815" s="29" t="n"/>
      <c r="J815" s="29" t="n"/>
      <c r="K815" s="14" t="n"/>
      <c r="L815" s="29" t="n"/>
      <c r="M815" s="14" t="n"/>
      <c r="N815" s="29" t="n"/>
      <c r="O815" s="13" t="n"/>
      <c r="P815" s="13" t="n"/>
      <c r="Q815" s="35" t="n"/>
      <c r="R815" s="35" t="n"/>
      <c r="S815" s="35" t="n"/>
      <c r="T815" s="35" t="n"/>
      <c r="U815" s="35" t="n"/>
      <c r="V815" s="18">
        <f>IF(COUNTA($B815:$R815)=0,"",ROUND(N($R815)+N($S815)+N($T815)-N($U815),2))</f>
        <v/>
      </c>
      <c r="W815" s="18">
        <f>IF(COUNTA($B815:$R815)=0,"",IF(OR($X815="Pago",$X815="Recebido",$X815="Cancelado"),0,ROUND(N($Q815)+N($S815)+N($T815)-N($U815)-N($R815),2)))</f>
        <v/>
      </c>
      <c r="X815" s="14" t="n"/>
      <c r="Y815" s="17">
        <f>IF(COUNTA($B815:$R815)=0,"",IF($X815="Cancelado","Cancelado",IF(OR($X815="Pago",$X815="Recebido"),$X815,IF(OR($X815="Parcial",N($R815)&gt;0),"Parcial",IF($C815="","Sem vencimento",IF($C815&lt;TODAY(),"Vencido",IF($C815=TODAY(),"Vence hoje",IF($C815&lt;=TODAY()+7,"Vence em 7 dias",IF($C815&lt;=TODAY()+30,"Vence em 30 dias","Futuro")))))))))</f>
        <v/>
      </c>
      <c r="Z815" s="24">
        <f>IF($B815="","",MONTH($B815))</f>
        <v/>
      </c>
      <c r="AA815" s="24">
        <f>IF($B815="","",YEAR($B815))</f>
        <v/>
      </c>
      <c r="AB815" s="24">
        <f>IF($B815="","",ISOWEEKNUM($B815))</f>
        <v/>
      </c>
      <c r="AC815" s="17">
        <f>IF($B815="","",CHOOSE(WEEKDAY($B815,2),"Segunda","Terça","Quarta","Quinta","Sexta","Sábado","Domingo"))</f>
        <v/>
      </c>
      <c r="AD815" s="17">
        <f>IF($B815="","",TEXT($B815,"MM/AAAA"))</f>
        <v/>
      </c>
      <c r="AE815" s="18">
        <f>IF(COUNTA($B815:$R815)=0,"",IF($X815="Cancelado",0,ROUND(N($Q815)+N($S815)+N($T815)-N($U815),2)))</f>
        <v/>
      </c>
      <c r="AF815" s="9">
        <f>IF($G815="","",IFERROR(INDEX(LINHAS_DRE_PLANO,MATCH($G815,SUBCATEGORIAS_PLANO,0)),"Não classificado"))</f>
        <v/>
      </c>
      <c r="AG815" s="17">
        <f>IF($G815="","",IFERROR(INDEX(TIPOS_FLUXO_PLANO,MATCH($G815,SUBCATEGORIAS_PLANO,0)),"Não classificado"))</f>
        <v/>
      </c>
      <c r="AH815" s="9">
        <f>IF($G815="","",IFERROR(INDEX(GRUPOS_PLANO,MATCH($G815,SUBCATEGORIAS_PLANO,0)),"Não classificado"))</f>
        <v/>
      </c>
      <c r="AI815" s="24">
        <f>IF(OR($C815="",$X815="Pago",$X815="Recebido",$X815="Cancelado"),"",$C815-TODAY())</f>
        <v/>
      </c>
      <c r="AJ815" s="24">
        <f>IF(OR($C815="",$X815="Pago",$X815="Recebido",$X815="Cancelado"),0,MAX(0,TODAY()-$C815))</f>
        <v/>
      </c>
      <c r="AK815" s="24">
        <f>IF($D815="","",$D815-$B815)</f>
        <v/>
      </c>
      <c r="AL815" s="18">
        <f>IF(OR($D815="",$B815=""),"",ROUND(N($R815)*($D815-$B815),2))</f>
        <v/>
      </c>
      <c r="AM815" s="17">
        <f>IF(AND($E815="Saída",$W815&gt;0,$C815&lt;&gt;""),$C815+ROW()/1000000,"")</f>
        <v/>
      </c>
      <c r="AN815" s="17">
        <f>IF(AND($E815="Entrada",$W815&gt;0,$C815&lt;&gt;""),$C815+ROW()/1000000,"")</f>
        <v/>
      </c>
      <c r="AO815" s="9">
        <f>IF(COUNTA($B815:$R815)=0,"",IF(AND($I815&lt;&gt;"",COUNTIF(CLIENTES_NOMES,$I815)+COUNTIF(CLIENTES_FANTASIA,$I815)+COUNTIF(FORNECEDORES_NOMES,$I815)+COUNTIF(FORNECEDORES_FANTASIA,$I815)=0),"⚠ Cliente/Fornecedor não cadastrado",IF(AND($G815&lt;&gt;"",COUNTIF(SUBCATEGORIAS_PLANO,$G815)=0),"⚠ Subcategoria fora do plano de contas",IF(OR($Q815="",N($Q815)=0),"⚠ Valor previsto não informado",IF(AND(OR($X815="Pago",$X815="Recebido"),$D815=""),"⚠ Status pago/recebido sem data",IF(AND($D815&lt;&gt;"",N($R815)=0),"⚠ Data de pagamento sem valor realizado",IF(AND(N($P815)&gt;1,N($O815)&gt;N($P815)),"⚠ Nº da parcela maior que o total",IF(AND($C815&lt;&gt;"",$B815&lt;&gt;"",$C815&lt;$B815),"⚠ Vencimento anterior à competência","OK"))))))))</f>
        <v/>
      </c>
    </row>
    <row r="816">
      <c r="A816" s="14" t="n"/>
      <c r="B816" s="36" t="n"/>
      <c r="C816" s="36" t="n"/>
      <c r="D816" s="36" t="n"/>
      <c r="E816" s="14" t="n"/>
      <c r="F816" s="29" t="n"/>
      <c r="G816" s="29" t="n"/>
      <c r="H816" s="29" t="n"/>
      <c r="I816" s="29" t="n"/>
      <c r="J816" s="29" t="n"/>
      <c r="K816" s="14" t="n"/>
      <c r="L816" s="29" t="n"/>
      <c r="M816" s="14" t="n"/>
      <c r="N816" s="29" t="n"/>
      <c r="O816" s="13" t="n"/>
      <c r="P816" s="13" t="n"/>
      <c r="Q816" s="35" t="n"/>
      <c r="R816" s="35" t="n"/>
      <c r="S816" s="35" t="n"/>
      <c r="T816" s="35" t="n"/>
      <c r="U816" s="35" t="n"/>
      <c r="V816" s="18">
        <f>IF(COUNTA($B816:$R816)=0,"",ROUND(N($R816)+N($S816)+N($T816)-N($U816),2))</f>
        <v/>
      </c>
      <c r="W816" s="18">
        <f>IF(COUNTA($B816:$R816)=0,"",IF(OR($X816="Pago",$X816="Recebido",$X816="Cancelado"),0,ROUND(N($Q816)+N($S816)+N($T816)-N($U816)-N($R816),2)))</f>
        <v/>
      </c>
      <c r="X816" s="14" t="n"/>
      <c r="Y816" s="17">
        <f>IF(COUNTA($B816:$R816)=0,"",IF($X816="Cancelado","Cancelado",IF(OR($X816="Pago",$X816="Recebido"),$X816,IF(OR($X816="Parcial",N($R816)&gt;0),"Parcial",IF($C816="","Sem vencimento",IF($C816&lt;TODAY(),"Vencido",IF($C816=TODAY(),"Vence hoje",IF($C816&lt;=TODAY()+7,"Vence em 7 dias",IF($C816&lt;=TODAY()+30,"Vence em 30 dias","Futuro")))))))))</f>
        <v/>
      </c>
      <c r="Z816" s="24">
        <f>IF($B816="","",MONTH($B816))</f>
        <v/>
      </c>
      <c r="AA816" s="24">
        <f>IF($B816="","",YEAR($B816))</f>
        <v/>
      </c>
      <c r="AB816" s="24">
        <f>IF($B816="","",ISOWEEKNUM($B816))</f>
        <v/>
      </c>
      <c r="AC816" s="17">
        <f>IF($B816="","",CHOOSE(WEEKDAY($B816,2),"Segunda","Terça","Quarta","Quinta","Sexta","Sábado","Domingo"))</f>
        <v/>
      </c>
      <c r="AD816" s="17">
        <f>IF($B816="","",TEXT($B816,"MM/AAAA"))</f>
        <v/>
      </c>
      <c r="AE816" s="18">
        <f>IF(COUNTA($B816:$R816)=0,"",IF($X816="Cancelado",0,ROUND(N($Q816)+N($S816)+N($T816)-N($U816),2)))</f>
        <v/>
      </c>
      <c r="AF816" s="9">
        <f>IF($G816="","",IFERROR(INDEX(LINHAS_DRE_PLANO,MATCH($G816,SUBCATEGORIAS_PLANO,0)),"Não classificado"))</f>
        <v/>
      </c>
      <c r="AG816" s="17">
        <f>IF($G816="","",IFERROR(INDEX(TIPOS_FLUXO_PLANO,MATCH($G816,SUBCATEGORIAS_PLANO,0)),"Não classificado"))</f>
        <v/>
      </c>
      <c r="AH816" s="9">
        <f>IF($G816="","",IFERROR(INDEX(GRUPOS_PLANO,MATCH($G816,SUBCATEGORIAS_PLANO,0)),"Não classificado"))</f>
        <v/>
      </c>
      <c r="AI816" s="24">
        <f>IF(OR($C816="",$X816="Pago",$X816="Recebido",$X816="Cancelado"),"",$C816-TODAY())</f>
        <v/>
      </c>
      <c r="AJ816" s="24">
        <f>IF(OR($C816="",$X816="Pago",$X816="Recebido",$X816="Cancelado"),0,MAX(0,TODAY()-$C816))</f>
        <v/>
      </c>
      <c r="AK816" s="24">
        <f>IF($D816="","",$D816-$B816)</f>
        <v/>
      </c>
      <c r="AL816" s="18">
        <f>IF(OR($D816="",$B816=""),"",ROUND(N($R816)*($D816-$B816),2))</f>
        <v/>
      </c>
      <c r="AM816" s="17">
        <f>IF(AND($E816="Saída",$W816&gt;0,$C816&lt;&gt;""),$C816+ROW()/1000000,"")</f>
        <v/>
      </c>
      <c r="AN816" s="17">
        <f>IF(AND($E816="Entrada",$W816&gt;0,$C816&lt;&gt;""),$C816+ROW()/1000000,"")</f>
        <v/>
      </c>
      <c r="AO816" s="9">
        <f>IF(COUNTA($B816:$R816)=0,"",IF(AND($I816&lt;&gt;"",COUNTIF(CLIENTES_NOMES,$I816)+COUNTIF(CLIENTES_FANTASIA,$I816)+COUNTIF(FORNECEDORES_NOMES,$I816)+COUNTIF(FORNECEDORES_FANTASIA,$I816)=0),"⚠ Cliente/Fornecedor não cadastrado",IF(AND($G816&lt;&gt;"",COUNTIF(SUBCATEGORIAS_PLANO,$G816)=0),"⚠ Subcategoria fora do plano de contas",IF(OR($Q816="",N($Q816)=0),"⚠ Valor previsto não informado",IF(AND(OR($X816="Pago",$X816="Recebido"),$D816=""),"⚠ Status pago/recebido sem data",IF(AND($D816&lt;&gt;"",N($R816)=0),"⚠ Data de pagamento sem valor realizado",IF(AND(N($P816)&gt;1,N($O816)&gt;N($P816)),"⚠ Nº da parcela maior que o total",IF(AND($C816&lt;&gt;"",$B816&lt;&gt;"",$C816&lt;$B816),"⚠ Vencimento anterior à competência","OK"))))))))</f>
        <v/>
      </c>
    </row>
    <row r="817">
      <c r="A817" s="14" t="n"/>
      <c r="B817" s="36" t="n"/>
      <c r="C817" s="36" t="n"/>
      <c r="D817" s="36" t="n"/>
      <c r="E817" s="14" t="n"/>
      <c r="F817" s="29" t="n"/>
      <c r="G817" s="29" t="n"/>
      <c r="H817" s="29" t="n"/>
      <c r="I817" s="29" t="n"/>
      <c r="J817" s="29" t="n"/>
      <c r="K817" s="14" t="n"/>
      <c r="L817" s="29" t="n"/>
      <c r="M817" s="14" t="n"/>
      <c r="N817" s="29" t="n"/>
      <c r="O817" s="13" t="n"/>
      <c r="P817" s="13" t="n"/>
      <c r="Q817" s="35" t="n"/>
      <c r="R817" s="35" t="n"/>
      <c r="S817" s="35" t="n"/>
      <c r="T817" s="35" t="n"/>
      <c r="U817" s="35" t="n"/>
      <c r="V817" s="18">
        <f>IF(COUNTA($B817:$R817)=0,"",ROUND(N($R817)+N($S817)+N($T817)-N($U817),2))</f>
        <v/>
      </c>
      <c r="W817" s="18">
        <f>IF(COUNTA($B817:$R817)=0,"",IF(OR($X817="Pago",$X817="Recebido",$X817="Cancelado"),0,ROUND(N($Q817)+N($S817)+N($T817)-N($U817)-N($R817),2)))</f>
        <v/>
      </c>
      <c r="X817" s="14" t="n"/>
      <c r="Y817" s="17">
        <f>IF(COUNTA($B817:$R817)=0,"",IF($X817="Cancelado","Cancelado",IF(OR($X817="Pago",$X817="Recebido"),$X817,IF(OR($X817="Parcial",N($R817)&gt;0),"Parcial",IF($C817="","Sem vencimento",IF($C817&lt;TODAY(),"Vencido",IF($C817=TODAY(),"Vence hoje",IF($C817&lt;=TODAY()+7,"Vence em 7 dias",IF($C817&lt;=TODAY()+30,"Vence em 30 dias","Futuro")))))))))</f>
        <v/>
      </c>
      <c r="Z817" s="24">
        <f>IF($B817="","",MONTH($B817))</f>
        <v/>
      </c>
      <c r="AA817" s="24">
        <f>IF($B817="","",YEAR($B817))</f>
        <v/>
      </c>
      <c r="AB817" s="24">
        <f>IF($B817="","",ISOWEEKNUM($B817))</f>
        <v/>
      </c>
      <c r="AC817" s="17">
        <f>IF($B817="","",CHOOSE(WEEKDAY($B817,2),"Segunda","Terça","Quarta","Quinta","Sexta","Sábado","Domingo"))</f>
        <v/>
      </c>
      <c r="AD817" s="17">
        <f>IF($B817="","",TEXT($B817,"MM/AAAA"))</f>
        <v/>
      </c>
      <c r="AE817" s="18">
        <f>IF(COUNTA($B817:$R817)=0,"",IF($X817="Cancelado",0,ROUND(N($Q817)+N($S817)+N($T817)-N($U817),2)))</f>
        <v/>
      </c>
      <c r="AF817" s="9">
        <f>IF($G817="","",IFERROR(INDEX(LINHAS_DRE_PLANO,MATCH($G817,SUBCATEGORIAS_PLANO,0)),"Não classificado"))</f>
        <v/>
      </c>
      <c r="AG817" s="17">
        <f>IF($G817="","",IFERROR(INDEX(TIPOS_FLUXO_PLANO,MATCH($G817,SUBCATEGORIAS_PLANO,0)),"Não classificado"))</f>
        <v/>
      </c>
      <c r="AH817" s="9">
        <f>IF($G817="","",IFERROR(INDEX(GRUPOS_PLANO,MATCH($G817,SUBCATEGORIAS_PLANO,0)),"Não classificado"))</f>
        <v/>
      </c>
      <c r="AI817" s="24">
        <f>IF(OR($C817="",$X817="Pago",$X817="Recebido",$X817="Cancelado"),"",$C817-TODAY())</f>
        <v/>
      </c>
      <c r="AJ817" s="24">
        <f>IF(OR($C817="",$X817="Pago",$X817="Recebido",$X817="Cancelado"),0,MAX(0,TODAY()-$C817))</f>
        <v/>
      </c>
      <c r="AK817" s="24">
        <f>IF($D817="","",$D817-$B817)</f>
        <v/>
      </c>
      <c r="AL817" s="18">
        <f>IF(OR($D817="",$B817=""),"",ROUND(N($R817)*($D817-$B817),2))</f>
        <v/>
      </c>
      <c r="AM817" s="17">
        <f>IF(AND($E817="Saída",$W817&gt;0,$C817&lt;&gt;""),$C817+ROW()/1000000,"")</f>
        <v/>
      </c>
      <c r="AN817" s="17">
        <f>IF(AND($E817="Entrada",$W817&gt;0,$C817&lt;&gt;""),$C817+ROW()/1000000,"")</f>
        <v/>
      </c>
      <c r="AO817" s="9">
        <f>IF(COUNTA($B817:$R817)=0,"",IF(AND($I817&lt;&gt;"",COUNTIF(CLIENTES_NOMES,$I817)+COUNTIF(CLIENTES_FANTASIA,$I817)+COUNTIF(FORNECEDORES_NOMES,$I817)+COUNTIF(FORNECEDORES_FANTASIA,$I817)=0),"⚠ Cliente/Fornecedor não cadastrado",IF(AND($G817&lt;&gt;"",COUNTIF(SUBCATEGORIAS_PLANO,$G817)=0),"⚠ Subcategoria fora do plano de contas",IF(OR($Q817="",N($Q817)=0),"⚠ Valor previsto não informado",IF(AND(OR($X817="Pago",$X817="Recebido"),$D817=""),"⚠ Status pago/recebido sem data",IF(AND($D817&lt;&gt;"",N($R817)=0),"⚠ Data de pagamento sem valor realizado",IF(AND(N($P817)&gt;1,N($O817)&gt;N($P817)),"⚠ Nº da parcela maior que o total",IF(AND($C817&lt;&gt;"",$B817&lt;&gt;"",$C817&lt;$B817),"⚠ Vencimento anterior à competência","OK"))))))))</f>
        <v/>
      </c>
    </row>
    <row r="818">
      <c r="A818" s="14" t="n"/>
      <c r="B818" s="36" t="n"/>
      <c r="C818" s="36" t="n"/>
      <c r="D818" s="36" t="n"/>
      <c r="E818" s="14" t="n"/>
      <c r="F818" s="29" t="n"/>
      <c r="G818" s="29" t="n"/>
      <c r="H818" s="29" t="n"/>
      <c r="I818" s="29" t="n"/>
      <c r="J818" s="29" t="n"/>
      <c r="K818" s="14" t="n"/>
      <c r="L818" s="29" t="n"/>
      <c r="M818" s="14" t="n"/>
      <c r="N818" s="29" t="n"/>
      <c r="O818" s="13" t="n"/>
      <c r="P818" s="13" t="n"/>
      <c r="Q818" s="35" t="n"/>
      <c r="R818" s="35" t="n"/>
      <c r="S818" s="35" t="n"/>
      <c r="T818" s="35" t="n"/>
      <c r="U818" s="35" t="n"/>
      <c r="V818" s="18">
        <f>IF(COUNTA($B818:$R818)=0,"",ROUND(N($R818)+N($S818)+N($T818)-N($U818),2))</f>
        <v/>
      </c>
      <c r="W818" s="18">
        <f>IF(COUNTA($B818:$R818)=0,"",IF(OR($X818="Pago",$X818="Recebido",$X818="Cancelado"),0,ROUND(N($Q818)+N($S818)+N($T818)-N($U818)-N($R818),2)))</f>
        <v/>
      </c>
      <c r="X818" s="14" t="n"/>
      <c r="Y818" s="17">
        <f>IF(COUNTA($B818:$R818)=0,"",IF($X818="Cancelado","Cancelado",IF(OR($X818="Pago",$X818="Recebido"),$X818,IF(OR($X818="Parcial",N($R818)&gt;0),"Parcial",IF($C818="","Sem vencimento",IF($C818&lt;TODAY(),"Vencido",IF($C818=TODAY(),"Vence hoje",IF($C818&lt;=TODAY()+7,"Vence em 7 dias",IF($C818&lt;=TODAY()+30,"Vence em 30 dias","Futuro")))))))))</f>
        <v/>
      </c>
      <c r="Z818" s="24">
        <f>IF($B818="","",MONTH($B818))</f>
        <v/>
      </c>
      <c r="AA818" s="24">
        <f>IF($B818="","",YEAR($B818))</f>
        <v/>
      </c>
      <c r="AB818" s="24">
        <f>IF($B818="","",ISOWEEKNUM($B818))</f>
        <v/>
      </c>
      <c r="AC818" s="17">
        <f>IF($B818="","",CHOOSE(WEEKDAY($B818,2),"Segunda","Terça","Quarta","Quinta","Sexta","Sábado","Domingo"))</f>
        <v/>
      </c>
      <c r="AD818" s="17">
        <f>IF($B818="","",TEXT($B818,"MM/AAAA"))</f>
        <v/>
      </c>
      <c r="AE818" s="18">
        <f>IF(COUNTA($B818:$R818)=0,"",IF($X818="Cancelado",0,ROUND(N($Q818)+N($S818)+N($T818)-N($U818),2)))</f>
        <v/>
      </c>
      <c r="AF818" s="9">
        <f>IF($G818="","",IFERROR(INDEX(LINHAS_DRE_PLANO,MATCH($G818,SUBCATEGORIAS_PLANO,0)),"Não classificado"))</f>
        <v/>
      </c>
      <c r="AG818" s="17">
        <f>IF($G818="","",IFERROR(INDEX(TIPOS_FLUXO_PLANO,MATCH($G818,SUBCATEGORIAS_PLANO,0)),"Não classificado"))</f>
        <v/>
      </c>
      <c r="AH818" s="9">
        <f>IF($G818="","",IFERROR(INDEX(GRUPOS_PLANO,MATCH($G818,SUBCATEGORIAS_PLANO,0)),"Não classificado"))</f>
        <v/>
      </c>
      <c r="AI818" s="24">
        <f>IF(OR($C818="",$X818="Pago",$X818="Recebido",$X818="Cancelado"),"",$C818-TODAY())</f>
        <v/>
      </c>
      <c r="AJ818" s="24">
        <f>IF(OR($C818="",$X818="Pago",$X818="Recebido",$X818="Cancelado"),0,MAX(0,TODAY()-$C818))</f>
        <v/>
      </c>
      <c r="AK818" s="24">
        <f>IF($D818="","",$D818-$B818)</f>
        <v/>
      </c>
      <c r="AL818" s="18">
        <f>IF(OR($D818="",$B818=""),"",ROUND(N($R818)*($D818-$B818),2))</f>
        <v/>
      </c>
      <c r="AM818" s="17">
        <f>IF(AND($E818="Saída",$W818&gt;0,$C818&lt;&gt;""),$C818+ROW()/1000000,"")</f>
        <v/>
      </c>
      <c r="AN818" s="17">
        <f>IF(AND($E818="Entrada",$W818&gt;0,$C818&lt;&gt;""),$C818+ROW()/1000000,"")</f>
        <v/>
      </c>
      <c r="AO818" s="9">
        <f>IF(COUNTA($B818:$R818)=0,"",IF(AND($I818&lt;&gt;"",COUNTIF(CLIENTES_NOMES,$I818)+COUNTIF(CLIENTES_FANTASIA,$I818)+COUNTIF(FORNECEDORES_NOMES,$I818)+COUNTIF(FORNECEDORES_FANTASIA,$I818)=0),"⚠ Cliente/Fornecedor não cadastrado",IF(AND($G818&lt;&gt;"",COUNTIF(SUBCATEGORIAS_PLANO,$G818)=0),"⚠ Subcategoria fora do plano de contas",IF(OR($Q818="",N($Q818)=0),"⚠ Valor previsto não informado",IF(AND(OR($X818="Pago",$X818="Recebido"),$D818=""),"⚠ Status pago/recebido sem data",IF(AND($D818&lt;&gt;"",N($R818)=0),"⚠ Data de pagamento sem valor realizado",IF(AND(N($P818)&gt;1,N($O818)&gt;N($P818)),"⚠ Nº da parcela maior que o total",IF(AND($C818&lt;&gt;"",$B818&lt;&gt;"",$C818&lt;$B818),"⚠ Vencimento anterior à competência","OK"))))))))</f>
        <v/>
      </c>
    </row>
    <row r="819">
      <c r="A819" s="14" t="n"/>
      <c r="B819" s="36" t="n"/>
      <c r="C819" s="36" t="n"/>
      <c r="D819" s="36" t="n"/>
      <c r="E819" s="14" t="n"/>
      <c r="F819" s="29" t="n"/>
      <c r="G819" s="29" t="n"/>
      <c r="H819" s="29" t="n"/>
      <c r="I819" s="29" t="n"/>
      <c r="J819" s="29" t="n"/>
      <c r="K819" s="14" t="n"/>
      <c r="L819" s="29" t="n"/>
      <c r="M819" s="14" t="n"/>
      <c r="N819" s="29" t="n"/>
      <c r="O819" s="13" t="n"/>
      <c r="P819" s="13" t="n"/>
      <c r="Q819" s="35" t="n"/>
      <c r="R819" s="35" t="n"/>
      <c r="S819" s="35" t="n"/>
      <c r="T819" s="35" t="n"/>
      <c r="U819" s="35" t="n"/>
      <c r="V819" s="18">
        <f>IF(COUNTA($B819:$R819)=0,"",ROUND(N($R819)+N($S819)+N($T819)-N($U819),2))</f>
        <v/>
      </c>
      <c r="W819" s="18">
        <f>IF(COUNTA($B819:$R819)=0,"",IF(OR($X819="Pago",$X819="Recebido",$X819="Cancelado"),0,ROUND(N($Q819)+N($S819)+N($T819)-N($U819)-N($R819),2)))</f>
        <v/>
      </c>
      <c r="X819" s="14" t="n"/>
      <c r="Y819" s="17">
        <f>IF(COUNTA($B819:$R819)=0,"",IF($X819="Cancelado","Cancelado",IF(OR($X819="Pago",$X819="Recebido"),$X819,IF(OR($X819="Parcial",N($R819)&gt;0),"Parcial",IF($C819="","Sem vencimento",IF($C819&lt;TODAY(),"Vencido",IF($C819=TODAY(),"Vence hoje",IF($C819&lt;=TODAY()+7,"Vence em 7 dias",IF($C819&lt;=TODAY()+30,"Vence em 30 dias","Futuro")))))))))</f>
        <v/>
      </c>
      <c r="Z819" s="24">
        <f>IF($B819="","",MONTH($B819))</f>
        <v/>
      </c>
      <c r="AA819" s="24">
        <f>IF($B819="","",YEAR($B819))</f>
        <v/>
      </c>
      <c r="AB819" s="24">
        <f>IF($B819="","",ISOWEEKNUM($B819))</f>
        <v/>
      </c>
      <c r="AC819" s="17">
        <f>IF($B819="","",CHOOSE(WEEKDAY($B819,2),"Segunda","Terça","Quarta","Quinta","Sexta","Sábado","Domingo"))</f>
        <v/>
      </c>
      <c r="AD819" s="17">
        <f>IF($B819="","",TEXT($B819,"MM/AAAA"))</f>
        <v/>
      </c>
      <c r="AE819" s="18">
        <f>IF(COUNTA($B819:$R819)=0,"",IF($X819="Cancelado",0,ROUND(N($Q819)+N($S819)+N($T819)-N($U819),2)))</f>
        <v/>
      </c>
      <c r="AF819" s="9">
        <f>IF($G819="","",IFERROR(INDEX(LINHAS_DRE_PLANO,MATCH($G819,SUBCATEGORIAS_PLANO,0)),"Não classificado"))</f>
        <v/>
      </c>
      <c r="AG819" s="17">
        <f>IF($G819="","",IFERROR(INDEX(TIPOS_FLUXO_PLANO,MATCH($G819,SUBCATEGORIAS_PLANO,0)),"Não classificado"))</f>
        <v/>
      </c>
      <c r="AH819" s="9">
        <f>IF($G819="","",IFERROR(INDEX(GRUPOS_PLANO,MATCH($G819,SUBCATEGORIAS_PLANO,0)),"Não classificado"))</f>
        <v/>
      </c>
      <c r="AI819" s="24">
        <f>IF(OR($C819="",$X819="Pago",$X819="Recebido",$X819="Cancelado"),"",$C819-TODAY())</f>
        <v/>
      </c>
      <c r="AJ819" s="24">
        <f>IF(OR($C819="",$X819="Pago",$X819="Recebido",$X819="Cancelado"),0,MAX(0,TODAY()-$C819))</f>
        <v/>
      </c>
      <c r="AK819" s="24">
        <f>IF($D819="","",$D819-$B819)</f>
        <v/>
      </c>
      <c r="AL819" s="18">
        <f>IF(OR($D819="",$B819=""),"",ROUND(N($R819)*($D819-$B819),2))</f>
        <v/>
      </c>
      <c r="AM819" s="17">
        <f>IF(AND($E819="Saída",$W819&gt;0,$C819&lt;&gt;""),$C819+ROW()/1000000,"")</f>
        <v/>
      </c>
      <c r="AN819" s="17">
        <f>IF(AND($E819="Entrada",$W819&gt;0,$C819&lt;&gt;""),$C819+ROW()/1000000,"")</f>
        <v/>
      </c>
      <c r="AO819" s="9">
        <f>IF(COUNTA($B819:$R819)=0,"",IF(AND($I819&lt;&gt;"",COUNTIF(CLIENTES_NOMES,$I819)+COUNTIF(CLIENTES_FANTASIA,$I819)+COUNTIF(FORNECEDORES_NOMES,$I819)+COUNTIF(FORNECEDORES_FANTASIA,$I819)=0),"⚠ Cliente/Fornecedor não cadastrado",IF(AND($G819&lt;&gt;"",COUNTIF(SUBCATEGORIAS_PLANO,$G819)=0),"⚠ Subcategoria fora do plano de contas",IF(OR($Q819="",N($Q819)=0),"⚠ Valor previsto não informado",IF(AND(OR($X819="Pago",$X819="Recebido"),$D819=""),"⚠ Status pago/recebido sem data",IF(AND($D819&lt;&gt;"",N($R819)=0),"⚠ Data de pagamento sem valor realizado",IF(AND(N($P819)&gt;1,N($O819)&gt;N($P819)),"⚠ Nº da parcela maior que o total",IF(AND($C819&lt;&gt;"",$B819&lt;&gt;"",$C819&lt;$B819),"⚠ Vencimento anterior à competência","OK"))))))))</f>
        <v/>
      </c>
    </row>
    <row r="820">
      <c r="A820" s="14" t="n"/>
      <c r="B820" s="36" t="n"/>
      <c r="C820" s="36" t="n"/>
      <c r="D820" s="36" t="n"/>
      <c r="E820" s="14" t="n"/>
      <c r="F820" s="29" t="n"/>
      <c r="G820" s="29" t="n"/>
      <c r="H820" s="29" t="n"/>
      <c r="I820" s="29" t="n"/>
      <c r="J820" s="29" t="n"/>
      <c r="K820" s="14" t="n"/>
      <c r="L820" s="29" t="n"/>
      <c r="M820" s="14" t="n"/>
      <c r="N820" s="29" t="n"/>
      <c r="O820" s="13" t="n"/>
      <c r="P820" s="13" t="n"/>
      <c r="Q820" s="35" t="n"/>
      <c r="R820" s="35" t="n"/>
      <c r="S820" s="35" t="n"/>
      <c r="T820" s="35" t="n"/>
      <c r="U820" s="35" t="n"/>
      <c r="V820" s="18">
        <f>IF(COUNTA($B820:$R820)=0,"",ROUND(N($R820)+N($S820)+N($T820)-N($U820),2))</f>
        <v/>
      </c>
      <c r="W820" s="18">
        <f>IF(COUNTA($B820:$R820)=0,"",IF(OR($X820="Pago",$X820="Recebido",$X820="Cancelado"),0,ROUND(N($Q820)+N($S820)+N($T820)-N($U820)-N($R820),2)))</f>
        <v/>
      </c>
      <c r="X820" s="14" t="n"/>
      <c r="Y820" s="17">
        <f>IF(COUNTA($B820:$R820)=0,"",IF($X820="Cancelado","Cancelado",IF(OR($X820="Pago",$X820="Recebido"),$X820,IF(OR($X820="Parcial",N($R820)&gt;0),"Parcial",IF($C820="","Sem vencimento",IF($C820&lt;TODAY(),"Vencido",IF($C820=TODAY(),"Vence hoje",IF($C820&lt;=TODAY()+7,"Vence em 7 dias",IF($C820&lt;=TODAY()+30,"Vence em 30 dias","Futuro")))))))))</f>
        <v/>
      </c>
      <c r="Z820" s="24">
        <f>IF($B820="","",MONTH($B820))</f>
        <v/>
      </c>
      <c r="AA820" s="24">
        <f>IF($B820="","",YEAR($B820))</f>
        <v/>
      </c>
      <c r="AB820" s="24">
        <f>IF($B820="","",ISOWEEKNUM($B820))</f>
        <v/>
      </c>
      <c r="AC820" s="17">
        <f>IF($B820="","",CHOOSE(WEEKDAY($B820,2),"Segunda","Terça","Quarta","Quinta","Sexta","Sábado","Domingo"))</f>
        <v/>
      </c>
      <c r="AD820" s="17">
        <f>IF($B820="","",TEXT($B820,"MM/AAAA"))</f>
        <v/>
      </c>
      <c r="AE820" s="18">
        <f>IF(COUNTA($B820:$R820)=0,"",IF($X820="Cancelado",0,ROUND(N($Q820)+N($S820)+N($T820)-N($U820),2)))</f>
        <v/>
      </c>
      <c r="AF820" s="9">
        <f>IF($G820="","",IFERROR(INDEX(LINHAS_DRE_PLANO,MATCH($G820,SUBCATEGORIAS_PLANO,0)),"Não classificado"))</f>
        <v/>
      </c>
      <c r="AG820" s="17">
        <f>IF($G820="","",IFERROR(INDEX(TIPOS_FLUXO_PLANO,MATCH($G820,SUBCATEGORIAS_PLANO,0)),"Não classificado"))</f>
        <v/>
      </c>
      <c r="AH820" s="9">
        <f>IF($G820="","",IFERROR(INDEX(GRUPOS_PLANO,MATCH($G820,SUBCATEGORIAS_PLANO,0)),"Não classificado"))</f>
        <v/>
      </c>
      <c r="AI820" s="24">
        <f>IF(OR($C820="",$X820="Pago",$X820="Recebido",$X820="Cancelado"),"",$C820-TODAY())</f>
        <v/>
      </c>
      <c r="AJ820" s="24">
        <f>IF(OR($C820="",$X820="Pago",$X820="Recebido",$X820="Cancelado"),0,MAX(0,TODAY()-$C820))</f>
        <v/>
      </c>
      <c r="AK820" s="24">
        <f>IF($D820="","",$D820-$B820)</f>
        <v/>
      </c>
      <c r="AL820" s="18">
        <f>IF(OR($D820="",$B820=""),"",ROUND(N($R820)*($D820-$B820),2))</f>
        <v/>
      </c>
      <c r="AM820" s="17">
        <f>IF(AND($E820="Saída",$W820&gt;0,$C820&lt;&gt;""),$C820+ROW()/1000000,"")</f>
        <v/>
      </c>
      <c r="AN820" s="17">
        <f>IF(AND($E820="Entrada",$W820&gt;0,$C820&lt;&gt;""),$C820+ROW()/1000000,"")</f>
        <v/>
      </c>
      <c r="AO820" s="9">
        <f>IF(COUNTA($B820:$R820)=0,"",IF(AND($I820&lt;&gt;"",COUNTIF(CLIENTES_NOMES,$I820)+COUNTIF(CLIENTES_FANTASIA,$I820)+COUNTIF(FORNECEDORES_NOMES,$I820)+COUNTIF(FORNECEDORES_FANTASIA,$I820)=0),"⚠ Cliente/Fornecedor não cadastrado",IF(AND($G820&lt;&gt;"",COUNTIF(SUBCATEGORIAS_PLANO,$G820)=0),"⚠ Subcategoria fora do plano de contas",IF(OR($Q820="",N($Q820)=0),"⚠ Valor previsto não informado",IF(AND(OR($X820="Pago",$X820="Recebido"),$D820=""),"⚠ Status pago/recebido sem data",IF(AND($D820&lt;&gt;"",N($R820)=0),"⚠ Data de pagamento sem valor realizado",IF(AND(N($P820)&gt;1,N($O820)&gt;N($P820)),"⚠ Nº da parcela maior que o total",IF(AND($C820&lt;&gt;"",$B820&lt;&gt;"",$C820&lt;$B820),"⚠ Vencimento anterior à competência","OK"))))))))</f>
        <v/>
      </c>
    </row>
    <row r="821">
      <c r="A821" s="14" t="n"/>
      <c r="B821" s="36" t="n"/>
      <c r="C821" s="36" t="n"/>
      <c r="D821" s="36" t="n"/>
      <c r="E821" s="14" t="n"/>
      <c r="F821" s="29" t="n"/>
      <c r="G821" s="29" t="n"/>
      <c r="H821" s="29" t="n"/>
      <c r="I821" s="29" t="n"/>
      <c r="J821" s="29" t="n"/>
      <c r="K821" s="14" t="n"/>
      <c r="L821" s="29" t="n"/>
      <c r="M821" s="14" t="n"/>
      <c r="N821" s="29" t="n"/>
      <c r="O821" s="13" t="n"/>
      <c r="P821" s="13" t="n"/>
      <c r="Q821" s="35" t="n"/>
      <c r="R821" s="35" t="n"/>
      <c r="S821" s="35" t="n"/>
      <c r="T821" s="35" t="n"/>
      <c r="U821" s="35" t="n"/>
      <c r="V821" s="18">
        <f>IF(COUNTA($B821:$R821)=0,"",ROUND(N($R821)+N($S821)+N($T821)-N($U821),2))</f>
        <v/>
      </c>
      <c r="W821" s="18">
        <f>IF(COUNTA($B821:$R821)=0,"",IF(OR($X821="Pago",$X821="Recebido",$X821="Cancelado"),0,ROUND(N($Q821)+N($S821)+N($T821)-N($U821)-N($R821),2)))</f>
        <v/>
      </c>
      <c r="X821" s="14" t="n"/>
      <c r="Y821" s="17">
        <f>IF(COUNTA($B821:$R821)=0,"",IF($X821="Cancelado","Cancelado",IF(OR($X821="Pago",$X821="Recebido"),$X821,IF(OR($X821="Parcial",N($R821)&gt;0),"Parcial",IF($C821="","Sem vencimento",IF($C821&lt;TODAY(),"Vencido",IF($C821=TODAY(),"Vence hoje",IF($C821&lt;=TODAY()+7,"Vence em 7 dias",IF($C821&lt;=TODAY()+30,"Vence em 30 dias","Futuro")))))))))</f>
        <v/>
      </c>
      <c r="Z821" s="24">
        <f>IF($B821="","",MONTH($B821))</f>
        <v/>
      </c>
      <c r="AA821" s="24">
        <f>IF($B821="","",YEAR($B821))</f>
        <v/>
      </c>
      <c r="AB821" s="24">
        <f>IF($B821="","",ISOWEEKNUM($B821))</f>
        <v/>
      </c>
      <c r="AC821" s="17">
        <f>IF($B821="","",CHOOSE(WEEKDAY($B821,2),"Segunda","Terça","Quarta","Quinta","Sexta","Sábado","Domingo"))</f>
        <v/>
      </c>
      <c r="AD821" s="17">
        <f>IF($B821="","",TEXT($B821,"MM/AAAA"))</f>
        <v/>
      </c>
      <c r="AE821" s="18">
        <f>IF(COUNTA($B821:$R821)=0,"",IF($X821="Cancelado",0,ROUND(N($Q821)+N($S821)+N($T821)-N($U821),2)))</f>
        <v/>
      </c>
      <c r="AF821" s="9">
        <f>IF($G821="","",IFERROR(INDEX(LINHAS_DRE_PLANO,MATCH($G821,SUBCATEGORIAS_PLANO,0)),"Não classificado"))</f>
        <v/>
      </c>
      <c r="AG821" s="17">
        <f>IF($G821="","",IFERROR(INDEX(TIPOS_FLUXO_PLANO,MATCH($G821,SUBCATEGORIAS_PLANO,0)),"Não classificado"))</f>
        <v/>
      </c>
      <c r="AH821" s="9">
        <f>IF($G821="","",IFERROR(INDEX(GRUPOS_PLANO,MATCH($G821,SUBCATEGORIAS_PLANO,0)),"Não classificado"))</f>
        <v/>
      </c>
      <c r="AI821" s="24">
        <f>IF(OR($C821="",$X821="Pago",$X821="Recebido",$X821="Cancelado"),"",$C821-TODAY())</f>
        <v/>
      </c>
      <c r="AJ821" s="24">
        <f>IF(OR($C821="",$X821="Pago",$X821="Recebido",$X821="Cancelado"),0,MAX(0,TODAY()-$C821))</f>
        <v/>
      </c>
      <c r="AK821" s="24">
        <f>IF($D821="","",$D821-$B821)</f>
        <v/>
      </c>
      <c r="AL821" s="18">
        <f>IF(OR($D821="",$B821=""),"",ROUND(N($R821)*($D821-$B821),2))</f>
        <v/>
      </c>
      <c r="AM821" s="17">
        <f>IF(AND($E821="Saída",$W821&gt;0,$C821&lt;&gt;""),$C821+ROW()/1000000,"")</f>
        <v/>
      </c>
      <c r="AN821" s="17">
        <f>IF(AND($E821="Entrada",$W821&gt;0,$C821&lt;&gt;""),$C821+ROW()/1000000,"")</f>
        <v/>
      </c>
      <c r="AO821" s="9">
        <f>IF(COUNTA($B821:$R821)=0,"",IF(AND($I821&lt;&gt;"",COUNTIF(CLIENTES_NOMES,$I821)+COUNTIF(CLIENTES_FANTASIA,$I821)+COUNTIF(FORNECEDORES_NOMES,$I821)+COUNTIF(FORNECEDORES_FANTASIA,$I821)=0),"⚠ Cliente/Fornecedor não cadastrado",IF(AND($G821&lt;&gt;"",COUNTIF(SUBCATEGORIAS_PLANO,$G821)=0),"⚠ Subcategoria fora do plano de contas",IF(OR($Q821="",N($Q821)=0),"⚠ Valor previsto não informado",IF(AND(OR($X821="Pago",$X821="Recebido"),$D821=""),"⚠ Status pago/recebido sem data",IF(AND($D821&lt;&gt;"",N($R821)=0),"⚠ Data de pagamento sem valor realizado",IF(AND(N($P821)&gt;1,N($O821)&gt;N($P821)),"⚠ Nº da parcela maior que o total",IF(AND($C821&lt;&gt;"",$B821&lt;&gt;"",$C821&lt;$B821),"⚠ Vencimento anterior à competência","OK"))))))))</f>
        <v/>
      </c>
    </row>
    <row r="822">
      <c r="A822" s="14" t="n"/>
      <c r="B822" s="36" t="n"/>
      <c r="C822" s="36" t="n"/>
      <c r="D822" s="36" t="n"/>
      <c r="E822" s="14" t="n"/>
      <c r="F822" s="29" t="n"/>
      <c r="G822" s="29" t="n"/>
      <c r="H822" s="29" t="n"/>
      <c r="I822" s="29" t="n"/>
      <c r="J822" s="29" t="n"/>
      <c r="K822" s="14" t="n"/>
      <c r="L822" s="29" t="n"/>
      <c r="M822" s="14" t="n"/>
      <c r="N822" s="29" t="n"/>
      <c r="O822" s="13" t="n"/>
      <c r="P822" s="13" t="n"/>
      <c r="Q822" s="35" t="n"/>
      <c r="R822" s="35" t="n"/>
      <c r="S822" s="35" t="n"/>
      <c r="T822" s="35" t="n"/>
      <c r="U822" s="35" t="n"/>
      <c r="V822" s="18">
        <f>IF(COUNTA($B822:$R822)=0,"",ROUND(N($R822)+N($S822)+N($T822)-N($U822),2))</f>
        <v/>
      </c>
      <c r="W822" s="18">
        <f>IF(COUNTA($B822:$R822)=0,"",IF(OR($X822="Pago",$X822="Recebido",$X822="Cancelado"),0,ROUND(N($Q822)+N($S822)+N($T822)-N($U822)-N($R822),2)))</f>
        <v/>
      </c>
      <c r="X822" s="14" t="n"/>
      <c r="Y822" s="17">
        <f>IF(COUNTA($B822:$R822)=0,"",IF($X822="Cancelado","Cancelado",IF(OR($X822="Pago",$X822="Recebido"),$X822,IF(OR($X822="Parcial",N($R822)&gt;0),"Parcial",IF($C822="","Sem vencimento",IF($C822&lt;TODAY(),"Vencido",IF($C822=TODAY(),"Vence hoje",IF($C822&lt;=TODAY()+7,"Vence em 7 dias",IF($C822&lt;=TODAY()+30,"Vence em 30 dias","Futuro")))))))))</f>
        <v/>
      </c>
      <c r="Z822" s="24">
        <f>IF($B822="","",MONTH($B822))</f>
        <v/>
      </c>
      <c r="AA822" s="24">
        <f>IF($B822="","",YEAR($B822))</f>
        <v/>
      </c>
      <c r="AB822" s="24">
        <f>IF($B822="","",ISOWEEKNUM($B822))</f>
        <v/>
      </c>
      <c r="AC822" s="17">
        <f>IF($B822="","",CHOOSE(WEEKDAY($B822,2),"Segunda","Terça","Quarta","Quinta","Sexta","Sábado","Domingo"))</f>
        <v/>
      </c>
      <c r="AD822" s="17">
        <f>IF($B822="","",TEXT($B822,"MM/AAAA"))</f>
        <v/>
      </c>
      <c r="AE822" s="18">
        <f>IF(COUNTA($B822:$R822)=0,"",IF($X822="Cancelado",0,ROUND(N($Q822)+N($S822)+N($T822)-N($U822),2)))</f>
        <v/>
      </c>
      <c r="AF822" s="9">
        <f>IF($G822="","",IFERROR(INDEX(LINHAS_DRE_PLANO,MATCH($G822,SUBCATEGORIAS_PLANO,0)),"Não classificado"))</f>
        <v/>
      </c>
      <c r="AG822" s="17">
        <f>IF($G822="","",IFERROR(INDEX(TIPOS_FLUXO_PLANO,MATCH($G822,SUBCATEGORIAS_PLANO,0)),"Não classificado"))</f>
        <v/>
      </c>
      <c r="AH822" s="9">
        <f>IF($G822="","",IFERROR(INDEX(GRUPOS_PLANO,MATCH($G822,SUBCATEGORIAS_PLANO,0)),"Não classificado"))</f>
        <v/>
      </c>
      <c r="AI822" s="24">
        <f>IF(OR($C822="",$X822="Pago",$X822="Recebido",$X822="Cancelado"),"",$C822-TODAY())</f>
        <v/>
      </c>
      <c r="AJ822" s="24">
        <f>IF(OR($C822="",$X822="Pago",$X822="Recebido",$X822="Cancelado"),0,MAX(0,TODAY()-$C822))</f>
        <v/>
      </c>
      <c r="AK822" s="24">
        <f>IF($D822="","",$D822-$B822)</f>
        <v/>
      </c>
      <c r="AL822" s="18">
        <f>IF(OR($D822="",$B822=""),"",ROUND(N($R822)*($D822-$B822),2))</f>
        <v/>
      </c>
      <c r="AM822" s="17">
        <f>IF(AND($E822="Saída",$W822&gt;0,$C822&lt;&gt;""),$C822+ROW()/1000000,"")</f>
        <v/>
      </c>
      <c r="AN822" s="17">
        <f>IF(AND($E822="Entrada",$W822&gt;0,$C822&lt;&gt;""),$C822+ROW()/1000000,"")</f>
        <v/>
      </c>
      <c r="AO822" s="9">
        <f>IF(COUNTA($B822:$R822)=0,"",IF(AND($I822&lt;&gt;"",COUNTIF(CLIENTES_NOMES,$I822)+COUNTIF(CLIENTES_FANTASIA,$I822)+COUNTIF(FORNECEDORES_NOMES,$I822)+COUNTIF(FORNECEDORES_FANTASIA,$I822)=0),"⚠ Cliente/Fornecedor não cadastrado",IF(AND($G822&lt;&gt;"",COUNTIF(SUBCATEGORIAS_PLANO,$G822)=0),"⚠ Subcategoria fora do plano de contas",IF(OR($Q822="",N($Q822)=0),"⚠ Valor previsto não informado",IF(AND(OR($X822="Pago",$X822="Recebido"),$D822=""),"⚠ Status pago/recebido sem data",IF(AND($D822&lt;&gt;"",N($R822)=0),"⚠ Data de pagamento sem valor realizado",IF(AND(N($P822)&gt;1,N($O822)&gt;N($P822)),"⚠ Nº da parcela maior que o total",IF(AND($C822&lt;&gt;"",$B822&lt;&gt;"",$C822&lt;$B822),"⚠ Vencimento anterior à competência","OK"))))))))</f>
        <v/>
      </c>
    </row>
    <row r="823">
      <c r="A823" s="14" t="n"/>
      <c r="B823" s="36" t="n"/>
      <c r="C823" s="36" t="n"/>
      <c r="D823" s="36" t="n"/>
      <c r="E823" s="14" t="n"/>
      <c r="F823" s="29" t="n"/>
      <c r="G823" s="29" t="n"/>
      <c r="H823" s="29" t="n"/>
      <c r="I823" s="29" t="n"/>
      <c r="J823" s="29" t="n"/>
      <c r="K823" s="14" t="n"/>
      <c r="L823" s="29" t="n"/>
      <c r="M823" s="14" t="n"/>
      <c r="N823" s="29" t="n"/>
      <c r="O823" s="13" t="n"/>
      <c r="P823" s="13" t="n"/>
      <c r="Q823" s="35" t="n"/>
      <c r="R823" s="35" t="n"/>
      <c r="S823" s="35" t="n"/>
      <c r="T823" s="35" t="n"/>
      <c r="U823" s="35" t="n"/>
      <c r="V823" s="18">
        <f>IF(COUNTA($B823:$R823)=0,"",ROUND(N($R823)+N($S823)+N($T823)-N($U823),2))</f>
        <v/>
      </c>
      <c r="W823" s="18">
        <f>IF(COUNTA($B823:$R823)=0,"",IF(OR($X823="Pago",$X823="Recebido",$X823="Cancelado"),0,ROUND(N($Q823)+N($S823)+N($T823)-N($U823)-N($R823),2)))</f>
        <v/>
      </c>
      <c r="X823" s="14" t="n"/>
      <c r="Y823" s="17">
        <f>IF(COUNTA($B823:$R823)=0,"",IF($X823="Cancelado","Cancelado",IF(OR($X823="Pago",$X823="Recebido"),$X823,IF(OR($X823="Parcial",N($R823)&gt;0),"Parcial",IF($C823="","Sem vencimento",IF($C823&lt;TODAY(),"Vencido",IF($C823=TODAY(),"Vence hoje",IF($C823&lt;=TODAY()+7,"Vence em 7 dias",IF($C823&lt;=TODAY()+30,"Vence em 30 dias","Futuro")))))))))</f>
        <v/>
      </c>
      <c r="Z823" s="24">
        <f>IF($B823="","",MONTH($B823))</f>
        <v/>
      </c>
      <c r="AA823" s="24">
        <f>IF($B823="","",YEAR($B823))</f>
        <v/>
      </c>
      <c r="AB823" s="24">
        <f>IF($B823="","",ISOWEEKNUM($B823))</f>
        <v/>
      </c>
      <c r="AC823" s="17">
        <f>IF($B823="","",CHOOSE(WEEKDAY($B823,2),"Segunda","Terça","Quarta","Quinta","Sexta","Sábado","Domingo"))</f>
        <v/>
      </c>
      <c r="AD823" s="17">
        <f>IF($B823="","",TEXT($B823,"MM/AAAA"))</f>
        <v/>
      </c>
      <c r="AE823" s="18">
        <f>IF(COUNTA($B823:$R823)=0,"",IF($X823="Cancelado",0,ROUND(N($Q823)+N($S823)+N($T823)-N($U823),2)))</f>
        <v/>
      </c>
      <c r="AF823" s="9">
        <f>IF($G823="","",IFERROR(INDEX(LINHAS_DRE_PLANO,MATCH($G823,SUBCATEGORIAS_PLANO,0)),"Não classificado"))</f>
        <v/>
      </c>
      <c r="AG823" s="17">
        <f>IF($G823="","",IFERROR(INDEX(TIPOS_FLUXO_PLANO,MATCH($G823,SUBCATEGORIAS_PLANO,0)),"Não classificado"))</f>
        <v/>
      </c>
      <c r="AH823" s="9">
        <f>IF($G823="","",IFERROR(INDEX(GRUPOS_PLANO,MATCH($G823,SUBCATEGORIAS_PLANO,0)),"Não classificado"))</f>
        <v/>
      </c>
      <c r="AI823" s="24">
        <f>IF(OR($C823="",$X823="Pago",$X823="Recebido",$X823="Cancelado"),"",$C823-TODAY())</f>
        <v/>
      </c>
      <c r="AJ823" s="24">
        <f>IF(OR($C823="",$X823="Pago",$X823="Recebido",$X823="Cancelado"),0,MAX(0,TODAY()-$C823))</f>
        <v/>
      </c>
      <c r="AK823" s="24">
        <f>IF($D823="","",$D823-$B823)</f>
        <v/>
      </c>
      <c r="AL823" s="18">
        <f>IF(OR($D823="",$B823=""),"",ROUND(N($R823)*($D823-$B823),2))</f>
        <v/>
      </c>
      <c r="AM823" s="17">
        <f>IF(AND($E823="Saída",$W823&gt;0,$C823&lt;&gt;""),$C823+ROW()/1000000,"")</f>
        <v/>
      </c>
      <c r="AN823" s="17">
        <f>IF(AND($E823="Entrada",$W823&gt;0,$C823&lt;&gt;""),$C823+ROW()/1000000,"")</f>
        <v/>
      </c>
      <c r="AO823" s="9">
        <f>IF(COUNTA($B823:$R823)=0,"",IF(AND($I823&lt;&gt;"",COUNTIF(CLIENTES_NOMES,$I823)+COUNTIF(CLIENTES_FANTASIA,$I823)+COUNTIF(FORNECEDORES_NOMES,$I823)+COUNTIF(FORNECEDORES_FANTASIA,$I823)=0),"⚠ Cliente/Fornecedor não cadastrado",IF(AND($G823&lt;&gt;"",COUNTIF(SUBCATEGORIAS_PLANO,$G823)=0),"⚠ Subcategoria fora do plano de contas",IF(OR($Q823="",N($Q823)=0),"⚠ Valor previsto não informado",IF(AND(OR($X823="Pago",$X823="Recebido"),$D823=""),"⚠ Status pago/recebido sem data",IF(AND($D823&lt;&gt;"",N($R823)=0),"⚠ Data de pagamento sem valor realizado",IF(AND(N($P823)&gt;1,N($O823)&gt;N($P823)),"⚠ Nº da parcela maior que o total",IF(AND($C823&lt;&gt;"",$B823&lt;&gt;"",$C823&lt;$B823),"⚠ Vencimento anterior à competência","OK"))))))))</f>
        <v/>
      </c>
    </row>
    <row r="824">
      <c r="A824" s="14" t="n"/>
      <c r="B824" s="36" t="n"/>
      <c r="C824" s="36" t="n"/>
      <c r="D824" s="36" t="n"/>
      <c r="E824" s="14" t="n"/>
      <c r="F824" s="29" t="n"/>
      <c r="G824" s="29" t="n"/>
      <c r="H824" s="29" t="n"/>
      <c r="I824" s="29" t="n"/>
      <c r="J824" s="29" t="n"/>
      <c r="K824" s="14" t="n"/>
      <c r="L824" s="29" t="n"/>
      <c r="M824" s="14" t="n"/>
      <c r="N824" s="29" t="n"/>
      <c r="O824" s="13" t="n"/>
      <c r="P824" s="13" t="n"/>
      <c r="Q824" s="35" t="n"/>
      <c r="R824" s="35" t="n"/>
      <c r="S824" s="35" t="n"/>
      <c r="T824" s="35" t="n"/>
      <c r="U824" s="35" t="n"/>
      <c r="V824" s="18">
        <f>IF(COUNTA($B824:$R824)=0,"",ROUND(N($R824)+N($S824)+N($T824)-N($U824),2))</f>
        <v/>
      </c>
      <c r="W824" s="18">
        <f>IF(COUNTA($B824:$R824)=0,"",IF(OR($X824="Pago",$X824="Recebido",$X824="Cancelado"),0,ROUND(N($Q824)+N($S824)+N($T824)-N($U824)-N($R824),2)))</f>
        <v/>
      </c>
      <c r="X824" s="14" t="n"/>
      <c r="Y824" s="17">
        <f>IF(COUNTA($B824:$R824)=0,"",IF($X824="Cancelado","Cancelado",IF(OR($X824="Pago",$X824="Recebido"),$X824,IF(OR($X824="Parcial",N($R824)&gt;0),"Parcial",IF($C824="","Sem vencimento",IF($C824&lt;TODAY(),"Vencido",IF($C824=TODAY(),"Vence hoje",IF($C824&lt;=TODAY()+7,"Vence em 7 dias",IF($C824&lt;=TODAY()+30,"Vence em 30 dias","Futuro")))))))))</f>
        <v/>
      </c>
      <c r="Z824" s="24">
        <f>IF($B824="","",MONTH($B824))</f>
        <v/>
      </c>
      <c r="AA824" s="24">
        <f>IF($B824="","",YEAR($B824))</f>
        <v/>
      </c>
      <c r="AB824" s="24">
        <f>IF($B824="","",ISOWEEKNUM($B824))</f>
        <v/>
      </c>
      <c r="AC824" s="17">
        <f>IF($B824="","",CHOOSE(WEEKDAY($B824,2),"Segunda","Terça","Quarta","Quinta","Sexta","Sábado","Domingo"))</f>
        <v/>
      </c>
      <c r="AD824" s="17">
        <f>IF($B824="","",TEXT($B824,"MM/AAAA"))</f>
        <v/>
      </c>
      <c r="AE824" s="18">
        <f>IF(COUNTA($B824:$R824)=0,"",IF($X824="Cancelado",0,ROUND(N($Q824)+N($S824)+N($T824)-N($U824),2)))</f>
        <v/>
      </c>
      <c r="AF824" s="9">
        <f>IF($G824="","",IFERROR(INDEX(LINHAS_DRE_PLANO,MATCH($G824,SUBCATEGORIAS_PLANO,0)),"Não classificado"))</f>
        <v/>
      </c>
      <c r="AG824" s="17">
        <f>IF($G824="","",IFERROR(INDEX(TIPOS_FLUXO_PLANO,MATCH($G824,SUBCATEGORIAS_PLANO,0)),"Não classificado"))</f>
        <v/>
      </c>
      <c r="AH824" s="9">
        <f>IF($G824="","",IFERROR(INDEX(GRUPOS_PLANO,MATCH($G824,SUBCATEGORIAS_PLANO,0)),"Não classificado"))</f>
        <v/>
      </c>
      <c r="AI824" s="24">
        <f>IF(OR($C824="",$X824="Pago",$X824="Recebido",$X824="Cancelado"),"",$C824-TODAY())</f>
        <v/>
      </c>
      <c r="AJ824" s="24">
        <f>IF(OR($C824="",$X824="Pago",$X824="Recebido",$X824="Cancelado"),0,MAX(0,TODAY()-$C824))</f>
        <v/>
      </c>
      <c r="AK824" s="24">
        <f>IF($D824="","",$D824-$B824)</f>
        <v/>
      </c>
      <c r="AL824" s="18">
        <f>IF(OR($D824="",$B824=""),"",ROUND(N($R824)*($D824-$B824),2))</f>
        <v/>
      </c>
      <c r="AM824" s="17">
        <f>IF(AND($E824="Saída",$W824&gt;0,$C824&lt;&gt;""),$C824+ROW()/1000000,"")</f>
        <v/>
      </c>
      <c r="AN824" s="17">
        <f>IF(AND($E824="Entrada",$W824&gt;0,$C824&lt;&gt;""),$C824+ROW()/1000000,"")</f>
        <v/>
      </c>
      <c r="AO824" s="9">
        <f>IF(COUNTA($B824:$R824)=0,"",IF(AND($I824&lt;&gt;"",COUNTIF(CLIENTES_NOMES,$I824)+COUNTIF(CLIENTES_FANTASIA,$I824)+COUNTIF(FORNECEDORES_NOMES,$I824)+COUNTIF(FORNECEDORES_FANTASIA,$I824)=0),"⚠ Cliente/Fornecedor não cadastrado",IF(AND($G824&lt;&gt;"",COUNTIF(SUBCATEGORIAS_PLANO,$G824)=0),"⚠ Subcategoria fora do plano de contas",IF(OR($Q824="",N($Q824)=0),"⚠ Valor previsto não informado",IF(AND(OR($X824="Pago",$X824="Recebido"),$D824=""),"⚠ Status pago/recebido sem data",IF(AND($D824&lt;&gt;"",N($R824)=0),"⚠ Data de pagamento sem valor realizado",IF(AND(N($P824)&gt;1,N($O824)&gt;N($P824)),"⚠ Nº da parcela maior que o total",IF(AND($C824&lt;&gt;"",$B824&lt;&gt;"",$C824&lt;$B824),"⚠ Vencimento anterior à competência","OK"))))))))</f>
        <v/>
      </c>
    </row>
    <row r="825">
      <c r="A825" s="14" t="n"/>
      <c r="B825" s="36" t="n"/>
      <c r="C825" s="36" t="n"/>
      <c r="D825" s="36" t="n"/>
      <c r="E825" s="14" t="n"/>
      <c r="F825" s="29" t="n"/>
      <c r="G825" s="29" t="n"/>
      <c r="H825" s="29" t="n"/>
      <c r="I825" s="29" t="n"/>
      <c r="J825" s="29" t="n"/>
      <c r="K825" s="14" t="n"/>
      <c r="L825" s="29" t="n"/>
      <c r="M825" s="14" t="n"/>
      <c r="N825" s="29" t="n"/>
      <c r="O825" s="13" t="n"/>
      <c r="P825" s="13" t="n"/>
      <c r="Q825" s="35" t="n"/>
      <c r="R825" s="35" t="n"/>
      <c r="S825" s="35" t="n"/>
      <c r="T825" s="35" t="n"/>
      <c r="U825" s="35" t="n"/>
      <c r="V825" s="18">
        <f>IF(COUNTA($B825:$R825)=0,"",ROUND(N($R825)+N($S825)+N($T825)-N($U825),2))</f>
        <v/>
      </c>
      <c r="W825" s="18">
        <f>IF(COUNTA($B825:$R825)=0,"",IF(OR($X825="Pago",$X825="Recebido",$X825="Cancelado"),0,ROUND(N($Q825)+N($S825)+N($T825)-N($U825)-N($R825),2)))</f>
        <v/>
      </c>
      <c r="X825" s="14" t="n"/>
      <c r="Y825" s="17">
        <f>IF(COUNTA($B825:$R825)=0,"",IF($X825="Cancelado","Cancelado",IF(OR($X825="Pago",$X825="Recebido"),$X825,IF(OR($X825="Parcial",N($R825)&gt;0),"Parcial",IF($C825="","Sem vencimento",IF($C825&lt;TODAY(),"Vencido",IF($C825=TODAY(),"Vence hoje",IF($C825&lt;=TODAY()+7,"Vence em 7 dias",IF($C825&lt;=TODAY()+30,"Vence em 30 dias","Futuro")))))))))</f>
        <v/>
      </c>
      <c r="Z825" s="24">
        <f>IF($B825="","",MONTH($B825))</f>
        <v/>
      </c>
      <c r="AA825" s="24">
        <f>IF($B825="","",YEAR($B825))</f>
        <v/>
      </c>
      <c r="AB825" s="24">
        <f>IF($B825="","",ISOWEEKNUM($B825))</f>
        <v/>
      </c>
      <c r="AC825" s="17">
        <f>IF($B825="","",CHOOSE(WEEKDAY($B825,2),"Segunda","Terça","Quarta","Quinta","Sexta","Sábado","Domingo"))</f>
        <v/>
      </c>
      <c r="AD825" s="17">
        <f>IF($B825="","",TEXT($B825,"MM/AAAA"))</f>
        <v/>
      </c>
      <c r="AE825" s="18">
        <f>IF(COUNTA($B825:$R825)=0,"",IF($X825="Cancelado",0,ROUND(N($Q825)+N($S825)+N($T825)-N($U825),2)))</f>
        <v/>
      </c>
      <c r="AF825" s="9">
        <f>IF($G825="","",IFERROR(INDEX(LINHAS_DRE_PLANO,MATCH($G825,SUBCATEGORIAS_PLANO,0)),"Não classificado"))</f>
        <v/>
      </c>
      <c r="AG825" s="17">
        <f>IF($G825="","",IFERROR(INDEX(TIPOS_FLUXO_PLANO,MATCH($G825,SUBCATEGORIAS_PLANO,0)),"Não classificado"))</f>
        <v/>
      </c>
      <c r="AH825" s="9">
        <f>IF($G825="","",IFERROR(INDEX(GRUPOS_PLANO,MATCH($G825,SUBCATEGORIAS_PLANO,0)),"Não classificado"))</f>
        <v/>
      </c>
      <c r="AI825" s="24">
        <f>IF(OR($C825="",$X825="Pago",$X825="Recebido",$X825="Cancelado"),"",$C825-TODAY())</f>
        <v/>
      </c>
      <c r="AJ825" s="24">
        <f>IF(OR($C825="",$X825="Pago",$X825="Recebido",$X825="Cancelado"),0,MAX(0,TODAY()-$C825))</f>
        <v/>
      </c>
      <c r="AK825" s="24">
        <f>IF($D825="","",$D825-$B825)</f>
        <v/>
      </c>
      <c r="AL825" s="18">
        <f>IF(OR($D825="",$B825=""),"",ROUND(N($R825)*($D825-$B825),2))</f>
        <v/>
      </c>
      <c r="AM825" s="17">
        <f>IF(AND($E825="Saída",$W825&gt;0,$C825&lt;&gt;""),$C825+ROW()/1000000,"")</f>
        <v/>
      </c>
      <c r="AN825" s="17">
        <f>IF(AND($E825="Entrada",$W825&gt;0,$C825&lt;&gt;""),$C825+ROW()/1000000,"")</f>
        <v/>
      </c>
      <c r="AO825" s="9">
        <f>IF(COUNTA($B825:$R825)=0,"",IF(AND($I825&lt;&gt;"",COUNTIF(CLIENTES_NOMES,$I825)+COUNTIF(CLIENTES_FANTASIA,$I825)+COUNTIF(FORNECEDORES_NOMES,$I825)+COUNTIF(FORNECEDORES_FANTASIA,$I825)=0),"⚠ Cliente/Fornecedor não cadastrado",IF(AND($G825&lt;&gt;"",COUNTIF(SUBCATEGORIAS_PLANO,$G825)=0),"⚠ Subcategoria fora do plano de contas",IF(OR($Q825="",N($Q825)=0),"⚠ Valor previsto não informado",IF(AND(OR($X825="Pago",$X825="Recebido"),$D825=""),"⚠ Status pago/recebido sem data",IF(AND($D825&lt;&gt;"",N($R825)=0),"⚠ Data de pagamento sem valor realizado",IF(AND(N($P825)&gt;1,N($O825)&gt;N($P825)),"⚠ Nº da parcela maior que o total",IF(AND($C825&lt;&gt;"",$B825&lt;&gt;"",$C825&lt;$B825),"⚠ Vencimento anterior à competência","OK"))))))))</f>
        <v/>
      </c>
    </row>
    <row r="826">
      <c r="A826" s="14" t="n"/>
      <c r="B826" s="36" t="n"/>
      <c r="C826" s="36" t="n"/>
      <c r="D826" s="36" t="n"/>
      <c r="E826" s="14" t="n"/>
      <c r="F826" s="29" t="n"/>
      <c r="G826" s="29" t="n"/>
      <c r="H826" s="29" t="n"/>
      <c r="I826" s="29" t="n"/>
      <c r="J826" s="29" t="n"/>
      <c r="K826" s="14" t="n"/>
      <c r="L826" s="29" t="n"/>
      <c r="M826" s="14" t="n"/>
      <c r="N826" s="29" t="n"/>
      <c r="O826" s="13" t="n"/>
      <c r="P826" s="13" t="n"/>
      <c r="Q826" s="35" t="n"/>
      <c r="R826" s="35" t="n"/>
      <c r="S826" s="35" t="n"/>
      <c r="T826" s="35" t="n"/>
      <c r="U826" s="35" t="n"/>
      <c r="V826" s="18">
        <f>IF(COUNTA($B826:$R826)=0,"",ROUND(N($R826)+N($S826)+N($T826)-N($U826),2))</f>
        <v/>
      </c>
      <c r="W826" s="18">
        <f>IF(COUNTA($B826:$R826)=0,"",IF(OR($X826="Pago",$X826="Recebido",$X826="Cancelado"),0,ROUND(N($Q826)+N($S826)+N($T826)-N($U826)-N($R826),2)))</f>
        <v/>
      </c>
      <c r="X826" s="14" t="n"/>
      <c r="Y826" s="17">
        <f>IF(COUNTA($B826:$R826)=0,"",IF($X826="Cancelado","Cancelado",IF(OR($X826="Pago",$X826="Recebido"),$X826,IF(OR($X826="Parcial",N($R826)&gt;0),"Parcial",IF($C826="","Sem vencimento",IF($C826&lt;TODAY(),"Vencido",IF($C826=TODAY(),"Vence hoje",IF($C826&lt;=TODAY()+7,"Vence em 7 dias",IF($C826&lt;=TODAY()+30,"Vence em 30 dias","Futuro")))))))))</f>
        <v/>
      </c>
      <c r="Z826" s="24">
        <f>IF($B826="","",MONTH($B826))</f>
        <v/>
      </c>
      <c r="AA826" s="24">
        <f>IF($B826="","",YEAR($B826))</f>
        <v/>
      </c>
      <c r="AB826" s="24">
        <f>IF($B826="","",ISOWEEKNUM($B826))</f>
        <v/>
      </c>
      <c r="AC826" s="17">
        <f>IF($B826="","",CHOOSE(WEEKDAY($B826,2),"Segunda","Terça","Quarta","Quinta","Sexta","Sábado","Domingo"))</f>
        <v/>
      </c>
      <c r="AD826" s="17">
        <f>IF($B826="","",TEXT($B826,"MM/AAAA"))</f>
        <v/>
      </c>
      <c r="AE826" s="18">
        <f>IF(COUNTA($B826:$R826)=0,"",IF($X826="Cancelado",0,ROUND(N($Q826)+N($S826)+N($T826)-N($U826),2)))</f>
        <v/>
      </c>
      <c r="AF826" s="9">
        <f>IF($G826="","",IFERROR(INDEX(LINHAS_DRE_PLANO,MATCH($G826,SUBCATEGORIAS_PLANO,0)),"Não classificado"))</f>
        <v/>
      </c>
      <c r="AG826" s="17">
        <f>IF($G826="","",IFERROR(INDEX(TIPOS_FLUXO_PLANO,MATCH($G826,SUBCATEGORIAS_PLANO,0)),"Não classificado"))</f>
        <v/>
      </c>
      <c r="AH826" s="9">
        <f>IF($G826="","",IFERROR(INDEX(GRUPOS_PLANO,MATCH($G826,SUBCATEGORIAS_PLANO,0)),"Não classificado"))</f>
        <v/>
      </c>
      <c r="AI826" s="24">
        <f>IF(OR($C826="",$X826="Pago",$X826="Recebido",$X826="Cancelado"),"",$C826-TODAY())</f>
        <v/>
      </c>
      <c r="AJ826" s="24">
        <f>IF(OR($C826="",$X826="Pago",$X826="Recebido",$X826="Cancelado"),0,MAX(0,TODAY()-$C826))</f>
        <v/>
      </c>
      <c r="AK826" s="24">
        <f>IF($D826="","",$D826-$B826)</f>
        <v/>
      </c>
      <c r="AL826" s="18">
        <f>IF(OR($D826="",$B826=""),"",ROUND(N($R826)*($D826-$B826),2))</f>
        <v/>
      </c>
      <c r="AM826" s="17">
        <f>IF(AND($E826="Saída",$W826&gt;0,$C826&lt;&gt;""),$C826+ROW()/1000000,"")</f>
        <v/>
      </c>
      <c r="AN826" s="17">
        <f>IF(AND($E826="Entrada",$W826&gt;0,$C826&lt;&gt;""),$C826+ROW()/1000000,"")</f>
        <v/>
      </c>
      <c r="AO826" s="9">
        <f>IF(COUNTA($B826:$R826)=0,"",IF(AND($I826&lt;&gt;"",COUNTIF(CLIENTES_NOMES,$I826)+COUNTIF(CLIENTES_FANTASIA,$I826)+COUNTIF(FORNECEDORES_NOMES,$I826)+COUNTIF(FORNECEDORES_FANTASIA,$I826)=0),"⚠ Cliente/Fornecedor não cadastrado",IF(AND($G826&lt;&gt;"",COUNTIF(SUBCATEGORIAS_PLANO,$G826)=0),"⚠ Subcategoria fora do plano de contas",IF(OR($Q826="",N($Q826)=0),"⚠ Valor previsto não informado",IF(AND(OR($X826="Pago",$X826="Recebido"),$D826=""),"⚠ Status pago/recebido sem data",IF(AND($D826&lt;&gt;"",N($R826)=0),"⚠ Data de pagamento sem valor realizado",IF(AND(N($P826)&gt;1,N($O826)&gt;N($P826)),"⚠ Nº da parcela maior que o total",IF(AND($C826&lt;&gt;"",$B826&lt;&gt;"",$C826&lt;$B826),"⚠ Vencimento anterior à competência","OK"))))))))</f>
        <v/>
      </c>
    </row>
    <row r="827">
      <c r="A827" s="14" t="n"/>
      <c r="B827" s="36" t="n"/>
      <c r="C827" s="36" t="n"/>
      <c r="D827" s="36" t="n"/>
      <c r="E827" s="14" t="n"/>
      <c r="F827" s="29" t="n"/>
      <c r="G827" s="29" t="n"/>
      <c r="H827" s="29" t="n"/>
      <c r="I827" s="29" t="n"/>
      <c r="J827" s="29" t="n"/>
      <c r="K827" s="14" t="n"/>
      <c r="L827" s="29" t="n"/>
      <c r="M827" s="14" t="n"/>
      <c r="N827" s="29" t="n"/>
      <c r="O827" s="13" t="n"/>
      <c r="P827" s="13" t="n"/>
      <c r="Q827" s="35" t="n"/>
      <c r="R827" s="35" t="n"/>
      <c r="S827" s="35" t="n"/>
      <c r="T827" s="35" t="n"/>
      <c r="U827" s="35" t="n"/>
      <c r="V827" s="18">
        <f>IF(COUNTA($B827:$R827)=0,"",ROUND(N($R827)+N($S827)+N($T827)-N($U827),2))</f>
        <v/>
      </c>
      <c r="W827" s="18">
        <f>IF(COUNTA($B827:$R827)=0,"",IF(OR($X827="Pago",$X827="Recebido",$X827="Cancelado"),0,ROUND(N($Q827)+N($S827)+N($T827)-N($U827)-N($R827),2)))</f>
        <v/>
      </c>
      <c r="X827" s="14" t="n"/>
      <c r="Y827" s="17">
        <f>IF(COUNTA($B827:$R827)=0,"",IF($X827="Cancelado","Cancelado",IF(OR($X827="Pago",$X827="Recebido"),$X827,IF(OR($X827="Parcial",N($R827)&gt;0),"Parcial",IF($C827="","Sem vencimento",IF($C827&lt;TODAY(),"Vencido",IF($C827=TODAY(),"Vence hoje",IF($C827&lt;=TODAY()+7,"Vence em 7 dias",IF($C827&lt;=TODAY()+30,"Vence em 30 dias","Futuro")))))))))</f>
        <v/>
      </c>
      <c r="Z827" s="24">
        <f>IF($B827="","",MONTH($B827))</f>
        <v/>
      </c>
      <c r="AA827" s="24">
        <f>IF($B827="","",YEAR($B827))</f>
        <v/>
      </c>
      <c r="AB827" s="24">
        <f>IF($B827="","",ISOWEEKNUM($B827))</f>
        <v/>
      </c>
      <c r="AC827" s="17">
        <f>IF($B827="","",CHOOSE(WEEKDAY($B827,2),"Segunda","Terça","Quarta","Quinta","Sexta","Sábado","Domingo"))</f>
        <v/>
      </c>
      <c r="AD827" s="17">
        <f>IF($B827="","",TEXT($B827,"MM/AAAA"))</f>
        <v/>
      </c>
      <c r="AE827" s="18">
        <f>IF(COUNTA($B827:$R827)=0,"",IF($X827="Cancelado",0,ROUND(N($Q827)+N($S827)+N($T827)-N($U827),2)))</f>
        <v/>
      </c>
      <c r="AF827" s="9">
        <f>IF($G827="","",IFERROR(INDEX(LINHAS_DRE_PLANO,MATCH($G827,SUBCATEGORIAS_PLANO,0)),"Não classificado"))</f>
        <v/>
      </c>
      <c r="AG827" s="17">
        <f>IF($G827="","",IFERROR(INDEX(TIPOS_FLUXO_PLANO,MATCH($G827,SUBCATEGORIAS_PLANO,0)),"Não classificado"))</f>
        <v/>
      </c>
      <c r="AH827" s="9">
        <f>IF($G827="","",IFERROR(INDEX(GRUPOS_PLANO,MATCH($G827,SUBCATEGORIAS_PLANO,0)),"Não classificado"))</f>
        <v/>
      </c>
      <c r="AI827" s="24">
        <f>IF(OR($C827="",$X827="Pago",$X827="Recebido",$X827="Cancelado"),"",$C827-TODAY())</f>
        <v/>
      </c>
      <c r="AJ827" s="24">
        <f>IF(OR($C827="",$X827="Pago",$X827="Recebido",$X827="Cancelado"),0,MAX(0,TODAY()-$C827))</f>
        <v/>
      </c>
      <c r="AK827" s="24">
        <f>IF($D827="","",$D827-$B827)</f>
        <v/>
      </c>
      <c r="AL827" s="18">
        <f>IF(OR($D827="",$B827=""),"",ROUND(N($R827)*($D827-$B827),2))</f>
        <v/>
      </c>
      <c r="AM827" s="17">
        <f>IF(AND($E827="Saída",$W827&gt;0,$C827&lt;&gt;""),$C827+ROW()/1000000,"")</f>
        <v/>
      </c>
      <c r="AN827" s="17">
        <f>IF(AND($E827="Entrada",$W827&gt;0,$C827&lt;&gt;""),$C827+ROW()/1000000,"")</f>
        <v/>
      </c>
      <c r="AO827" s="9">
        <f>IF(COUNTA($B827:$R827)=0,"",IF(AND($I827&lt;&gt;"",COUNTIF(CLIENTES_NOMES,$I827)+COUNTIF(CLIENTES_FANTASIA,$I827)+COUNTIF(FORNECEDORES_NOMES,$I827)+COUNTIF(FORNECEDORES_FANTASIA,$I827)=0),"⚠ Cliente/Fornecedor não cadastrado",IF(AND($G827&lt;&gt;"",COUNTIF(SUBCATEGORIAS_PLANO,$G827)=0),"⚠ Subcategoria fora do plano de contas",IF(OR($Q827="",N($Q827)=0),"⚠ Valor previsto não informado",IF(AND(OR($X827="Pago",$X827="Recebido"),$D827=""),"⚠ Status pago/recebido sem data",IF(AND($D827&lt;&gt;"",N($R827)=0),"⚠ Data de pagamento sem valor realizado",IF(AND(N($P827)&gt;1,N($O827)&gt;N($P827)),"⚠ Nº da parcela maior que o total",IF(AND($C827&lt;&gt;"",$B827&lt;&gt;"",$C827&lt;$B827),"⚠ Vencimento anterior à competência","OK"))))))))</f>
        <v/>
      </c>
    </row>
    <row r="828">
      <c r="A828" s="14" t="n"/>
      <c r="B828" s="36" t="n"/>
      <c r="C828" s="36" t="n"/>
      <c r="D828" s="36" t="n"/>
      <c r="E828" s="14" t="n"/>
      <c r="F828" s="29" t="n"/>
      <c r="G828" s="29" t="n"/>
      <c r="H828" s="29" t="n"/>
      <c r="I828" s="29" t="n"/>
      <c r="J828" s="29" t="n"/>
      <c r="K828" s="14" t="n"/>
      <c r="L828" s="29" t="n"/>
      <c r="M828" s="14" t="n"/>
      <c r="N828" s="29" t="n"/>
      <c r="O828" s="13" t="n"/>
      <c r="P828" s="13" t="n"/>
      <c r="Q828" s="35" t="n"/>
      <c r="R828" s="35" t="n"/>
      <c r="S828" s="35" t="n"/>
      <c r="T828" s="35" t="n"/>
      <c r="U828" s="35" t="n"/>
      <c r="V828" s="18">
        <f>IF(COUNTA($B828:$R828)=0,"",ROUND(N($R828)+N($S828)+N($T828)-N($U828),2))</f>
        <v/>
      </c>
      <c r="W828" s="18">
        <f>IF(COUNTA($B828:$R828)=0,"",IF(OR($X828="Pago",$X828="Recebido",$X828="Cancelado"),0,ROUND(N($Q828)+N($S828)+N($T828)-N($U828)-N($R828),2)))</f>
        <v/>
      </c>
      <c r="X828" s="14" t="n"/>
      <c r="Y828" s="17">
        <f>IF(COUNTA($B828:$R828)=0,"",IF($X828="Cancelado","Cancelado",IF(OR($X828="Pago",$X828="Recebido"),$X828,IF(OR($X828="Parcial",N($R828)&gt;0),"Parcial",IF($C828="","Sem vencimento",IF($C828&lt;TODAY(),"Vencido",IF($C828=TODAY(),"Vence hoje",IF($C828&lt;=TODAY()+7,"Vence em 7 dias",IF($C828&lt;=TODAY()+30,"Vence em 30 dias","Futuro")))))))))</f>
        <v/>
      </c>
      <c r="Z828" s="24">
        <f>IF($B828="","",MONTH($B828))</f>
        <v/>
      </c>
      <c r="AA828" s="24">
        <f>IF($B828="","",YEAR($B828))</f>
        <v/>
      </c>
      <c r="AB828" s="24">
        <f>IF($B828="","",ISOWEEKNUM($B828))</f>
        <v/>
      </c>
      <c r="AC828" s="17">
        <f>IF($B828="","",CHOOSE(WEEKDAY($B828,2),"Segunda","Terça","Quarta","Quinta","Sexta","Sábado","Domingo"))</f>
        <v/>
      </c>
      <c r="AD828" s="17">
        <f>IF($B828="","",TEXT($B828,"MM/AAAA"))</f>
        <v/>
      </c>
      <c r="AE828" s="18">
        <f>IF(COUNTA($B828:$R828)=0,"",IF($X828="Cancelado",0,ROUND(N($Q828)+N($S828)+N($T828)-N($U828),2)))</f>
        <v/>
      </c>
      <c r="AF828" s="9">
        <f>IF($G828="","",IFERROR(INDEX(LINHAS_DRE_PLANO,MATCH($G828,SUBCATEGORIAS_PLANO,0)),"Não classificado"))</f>
        <v/>
      </c>
      <c r="AG828" s="17">
        <f>IF($G828="","",IFERROR(INDEX(TIPOS_FLUXO_PLANO,MATCH($G828,SUBCATEGORIAS_PLANO,0)),"Não classificado"))</f>
        <v/>
      </c>
      <c r="AH828" s="9">
        <f>IF($G828="","",IFERROR(INDEX(GRUPOS_PLANO,MATCH($G828,SUBCATEGORIAS_PLANO,0)),"Não classificado"))</f>
        <v/>
      </c>
      <c r="AI828" s="24">
        <f>IF(OR($C828="",$X828="Pago",$X828="Recebido",$X828="Cancelado"),"",$C828-TODAY())</f>
        <v/>
      </c>
      <c r="AJ828" s="24">
        <f>IF(OR($C828="",$X828="Pago",$X828="Recebido",$X828="Cancelado"),0,MAX(0,TODAY()-$C828))</f>
        <v/>
      </c>
      <c r="AK828" s="24">
        <f>IF($D828="","",$D828-$B828)</f>
        <v/>
      </c>
      <c r="AL828" s="18">
        <f>IF(OR($D828="",$B828=""),"",ROUND(N($R828)*($D828-$B828),2))</f>
        <v/>
      </c>
      <c r="AM828" s="17">
        <f>IF(AND($E828="Saída",$W828&gt;0,$C828&lt;&gt;""),$C828+ROW()/1000000,"")</f>
        <v/>
      </c>
      <c r="AN828" s="17">
        <f>IF(AND($E828="Entrada",$W828&gt;0,$C828&lt;&gt;""),$C828+ROW()/1000000,"")</f>
        <v/>
      </c>
      <c r="AO828" s="9">
        <f>IF(COUNTA($B828:$R828)=0,"",IF(AND($I828&lt;&gt;"",COUNTIF(CLIENTES_NOMES,$I828)+COUNTIF(CLIENTES_FANTASIA,$I828)+COUNTIF(FORNECEDORES_NOMES,$I828)+COUNTIF(FORNECEDORES_FANTASIA,$I828)=0),"⚠ Cliente/Fornecedor não cadastrado",IF(AND($G828&lt;&gt;"",COUNTIF(SUBCATEGORIAS_PLANO,$G828)=0),"⚠ Subcategoria fora do plano de contas",IF(OR($Q828="",N($Q828)=0),"⚠ Valor previsto não informado",IF(AND(OR($X828="Pago",$X828="Recebido"),$D828=""),"⚠ Status pago/recebido sem data",IF(AND($D828&lt;&gt;"",N($R828)=0),"⚠ Data de pagamento sem valor realizado",IF(AND(N($P828)&gt;1,N($O828)&gt;N($P828)),"⚠ Nº da parcela maior que o total",IF(AND($C828&lt;&gt;"",$B828&lt;&gt;"",$C828&lt;$B828),"⚠ Vencimento anterior à competência","OK"))))))))</f>
        <v/>
      </c>
    </row>
    <row r="829">
      <c r="A829" s="14" t="n"/>
      <c r="B829" s="36" t="n"/>
      <c r="C829" s="36" t="n"/>
      <c r="D829" s="36" t="n"/>
      <c r="E829" s="14" t="n"/>
      <c r="F829" s="29" t="n"/>
      <c r="G829" s="29" t="n"/>
      <c r="H829" s="29" t="n"/>
      <c r="I829" s="29" t="n"/>
      <c r="J829" s="29" t="n"/>
      <c r="K829" s="14" t="n"/>
      <c r="L829" s="29" t="n"/>
      <c r="M829" s="14" t="n"/>
      <c r="N829" s="29" t="n"/>
      <c r="O829" s="13" t="n"/>
      <c r="P829" s="13" t="n"/>
      <c r="Q829" s="35" t="n"/>
      <c r="R829" s="35" t="n"/>
      <c r="S829" s="35" t="n"/>
      <c r="T829" s="35" t="n"/>
      <c r="U829" s="35" t="n"/>
      <c r="V829" s="18">
        <f>IF(COUNTA($B829:$R829)=0,"",ROUND(N($R829)+N($S829)+N($T829)-N($U829),2))</f>
        <v/>
      </c>
      <c r="W829" s="18">
        <f>IF(COUNTA($B829:$R829)=0,"",IF(OR($X829="Pago",$X829="Recebido",$X829="Cancelado"),0,ROUND(N($Q829)+N($S829)+N($T829)-N($U829)-N($R829),2)))</f>
        <v/>
      </c>
      <c r="X829" s="14" t="n"/>
      <c r="Y829" s="17">
        <f>IF(COUNTA($B829:$R829)=0,"",IF($X829="Cancelado","Cancelado",IF(OR($X829="Pago",$X829="Recebido"),$X829,IF(OR($X829="Parcial",N($R829)&gt;0),"Parcial",IF($C829="","Sem vencimento",IF($C829&lt;TODAY(),"Vencido",IF($C829=TODAY(),"Vence hoje",IF($C829&lt;=TODAY()+7,"Vence em 7 dias",IF($C829&lt;=TODAY()+30,"Vence em 30 dias","Futuro")))))))))</f>
        <v/>
      </c>
      <c r="Z829" s="24">
        <f>IF($B829="","",MONTH($B829))</f>
        <v/>
      </c>
      <c r="AA829" s="24">
        <f>IF($B829="","",YEAR($B829))</f>
        <v/>
      </c>
      <c r="AB829" s="24">
        <f>IF($B829="","",ISOWEEKNUM($B829))</f>
        <v/>
      </c>
      <c r="AC829" s="17">
        <f>IF($B829="","",CHOOSE(WEEKDAY($B829,2),"Segunda","Terça","Quarta","Quinta","Sexta","Sábado","Domingo"))</f>
        <v/>
      </c>
      <c r="AD829" s="17">
        <f>IF($B829="","",TEXT($B829,"MM/AAAA"))</f>
        <v/>
      </c>
      <c r="AE829" s="18">
        <f>IF(COUNTA($B829:$R829)=0,"",IF($X829="Cancelado",0,ROUND(N($Q829)+N($S829)+N($T829)-N($U829),2)))</f>
        <v/>
      </c>
      <c r="AF829" s="9">
        <f>IF($G829="","",IFERROR(INDEX(LINHAS_DRE_PLANO,MATCH($G829,SUBCATEGORIAS_PLANO,0)),"Não classificado"))</f>
        <v/>
      </c>
      <c r="AG829" s="17">
        <f>IF($G829="","",IFERROR(INDEX(TIPOS_FLUXO_PLANO,MATCH($G829,SUBCATEGORIAS_PLANO,0)),"Não classificado"))</f>
        <v/>
      </c>
      <c r="AH829" s="9">
        <f>IF($G829="","",IFERROR(INDEX(GRUPOS_PLANO,MATCH($G829,SUBCATEGORIAS_PLANO,0)),"Não classificado"))</f>
        <v/>
      </c>
      <c r="AI829" s="24">
        <f>IF(OR($C829="",$X829="Pago",$X829="Recebido",$X829="Cancelado"),"",$C829-TODAY())</f>
        <v/>
      </c>
      <c r="AJ829" s="24">
        <f>IF(OR($C829="",$X829="Pago",$X829="Recebido",$X829="Cancelado"),0,MAX(0,TODAY()-$C829))</f>
        <v/>
      </c>
      <c r="AK829" s="24">
        <f>IF($D829="","",$D829-$B829)</f>
        <v/>
      </c>
      <c r="AL829" s="18">
        <f>IF(OR($D829="",$B829=""),"",ROUND(N($R829)*($D829-$B829),2))</f>
        <v/>
      </c>
      <c r="AM829" s="17">
        <f>IF(AND($E829="Saída",$W829&gt;0,$C829&lt;&gt;""),$C829+ROW()/1000000,"")</f>
        <v/>
      </c>
      <c r="AN829" s="17">
        <f>IF(AND($E829="Entrada",$W829&gt;0,$C829&lt;&gt;""),$C829+ROW()/1000000,"")</f>
        <v/>
      </c>
      <c r="AO829" s="9">
        <f>IF(COUNTA($B829:$R829)=0,"",IF(AND($I829&lt;&gt;"",COUNTIF(CLIENTES_NOMES,$I829)+COUNTIF(CLIENTES_FANTASIA,$I829)+COUNTIF(FORNECEDORES_NOMES,$I829)+COUNTIF(FORNECEDORES_FANTASIA,$I829)=0),"⚠ Cliente/Fornecedor não cadastrado",IF(AND($G829&lt;&gt;"",COUNTIF(SUBCATEGORIAS_PLANO,$G829)=0),"⚠ Subcategoria fora do plano de contas",IF(OR($Q829="",N($Q829)=0),"⚠ Valor previsto não informado",IF(AND(OR($X829="Pago",$X829="Recebido"),$D829=""),"⚠ Status pago/recebido sem data",IF(AND($D829&lt;&gt;"",N($R829)=0),"⚠ Data de pagamento sem valor realizado",IF(AND(N($P829)&gt;1,N($O829)&gt;N($P829)),"⚠ Nº da parcela maior que o total",IF(AND($C829&lt;&gt;"",$B829&lt;&gt;"",$C829&lt;$B829),"⚠ Vencimento anterior à competência","OK"))))))))</f>
        <v/>
      </c>
    </row>
    <row r="830">
      <c r="A830" s="14" t="n"/>
      <c r="B830" s="36" t="n"/>
      <c r="C830" s="36" t="n"/>
      <c r="D830" s="36" t="n"/>
      <c r="E830" s="14" t="n"/>
      <c r="F830" s="29" t="n"/>
      <c r="G830" s="29" t="n"/>
      <c r="H830" s="29" t="n"/>
      <c r="I830" s="29" t="n"/>
      <c r="J830" s="29" t="n"/>
      <c r="K830" s="14" t="n"/>
      <c r="L830" s="29" t="n"/>
      <c r="M830" s="14" t="n"/>
      <c r="N830" s="29" t="n"/>
      <c r="O830" s="13" t="n"/>
      <c r="P830" s="13" t="n"/>
      <c r="Q830" s="35" t="n"/>
      <c r="R830" s="35" t="n"/>
      <c r="S830" s="35" t="n"/>
      <c r="T830" s="35" t="n"/>
      <c r="U830" s="35" t="n"/>
      <c r="V830" s="18">
        <f>IF(COUNTA($B830:$R830)=0,"",ROUND(N($R830)+N($S830)+N($T830)-N($U830),2))</f>
        <v/>
      </c>
      <c r="W830" s="18">
        <f>IF(COUNTA($B830:$R830)=0,"",IF(OR($X830="Pago",$X830="Recebido",$X830="Cancelado"),0,ROUND(N($Q830)+N($S830)+N($T830)-N($U830)-N($R830),2)))</f>
        <v/>
      </c>
      <c r="X830" s="14" t="n"/>
      <c r="Y830" s="17">
        <f>IF(COUNTA($B830:$R830)=0,"",IF($X830="Cancelado","Cancelado",IF(OR($X830="Pago",$X830="Recebido"),$X830,IF(OR($X830="Parcial",N($R830)&gt;0),"Parcial",IF($C830="","Sem vencimento",IF($C830&lt;TODAY(),"Vencido",IF($C830=TODAY(),"Vence hoje",IF($C830&lt;=TODAY()+7,"Vence em 7 dias",IF($C830&lt;=TODAY()+30,"Vence em 30 dias","Futuro")))))))))</f>
        <v/>
      </c>
      <c r="Z830" s="24">
        <f>IF($B830="","",MONTH($B830))</f>
        <v/>
      </c>
      <c r="AA830" s="24">
        <f>IF($B830="","",YEAR($B830))</f>
        <v/>
      </c>
      <c r="AB830" s="24">
        <f>IF($B830="","",ISOWEEKNUM($B830))</f>
        <v/>
      </c>
      <c r="AC830" s="17">
        <f>IF($B830="","",CHOOSE(WEEKDAY($B830,2),"Segunda","Terça","Quarta","Quinta","Sexta","Sábado","Domingo"))</f>
        <v/>
      </c>
      <c r="AD830" s="17">
        <f>IF($B830="","",TEXT($B830,"MM/AAAA"))</f>
        <v/>
      </c>
      <c r="AE830" s="18">
        <f>IF(COUNTA($B830:$R830)=0,"",IF($X830="Cancelado",0,ROUND(N($Q830)+N($S830)+N($T830)-N($U830),2)))</f>
        <v/>
      </c>
      <c r="AF830" s="9">
        <f>IF($G830="","",IFERROR(INDEX(LINHAS_DRE_PLANO,MATCH($G830,SUBCATEGORIAS_PLANO,0)),"Não classificado"))</f>
        <v/>
      </c>
      <c r="AG830" s="17">
        <f>IF($G830="","",IFERROR(INDEX(TIPOS_FLUXO_PLANO,MATCH($G830,SUBCATEGORIAS_PLANO,0)),"Não classificado"))</f>
        <v/>
      </c>
      <c r="AH830" s="9">
        <f>IF($G830="","",IFERROR(INDEX(GRUPOS_PLANO,MATCH($G830,SUBCATEGORIAS_PLANO,0)),"Não classificado"))</f>
        <v/>
      </c>
      <c r="AI830" s="24">
        <f>IF(OR($C830="",$X830="Pago",$X830="Recebido",$X830="Cancelado"),"",$C830-TODAY())</f>
        <v/>
      </c>
      <c r="AJ830" s="24">
        <f>IF(OR($C830="",$X830="Pago",$X830="Recebido",$X830="Cancelado"),0,MAX(0,TODAY()-$C830))</f>
        <v/>
      </c>
      <c r="AK830" s="24">
        <f>IF($D830="","",$D830-$B830)</f>
        <v/>
      </c>
      <c r="AL830" s="18">
        <f>IF(OR($D830="",$B830=""),"",ROUND(N($R830)*($D830-$B830),2))</f>
        <v/>
      </c>
      <c r="AM830" s="17">
        <f>IF(AND($E830="Saída",$W830&gt;0,$C830&lt;&gt;""),$C830+ROW()/1000000,"")</f>
        <v/>
      </c>
      <c r="AN830" s="17">
        <f>IF(AND($E830="Entrada",$W830&gt;0,$C830&lt;&gt;""),$C830+ROW()/1000000,"")</f>
        <v/>
      </c>
      <c r="AO830" s="9">
        <f>IF(COUNTA($B830:$R830)=0,"",IF(AND($I830&lt;&gt;"",COUNTIF(CLIENTES_NOMES,$I830)+COUNTIF(CLIENTES_FANTASIA,$I830)+COUNTIF(FORNECEDORES_NOMES,$I830)+COUNTIF(FORNECEDORES_FANTASIA,$I830)=0),"⚠ Cliente/Fornecedor não cadastrado",IF(AND($G830&lt;&gt;"",COUNTIF(SUBCATEGORIAS_PLANO,$G830)=0),"⚠ Subcategoria fora do plano de contas",IF(OR($Q830="",N($Q830)=0),"⚠ Valor previsto não informado",IF(AND(OR($X830="Pago",$X830="Recebido"),$D830=""),"⚠ Status pago/recebido sem data",IF(AND($D830&lt;&gt;"",N($R830)=0),"⚠ Data de pagamento sem valor realizado",IF(AND(N($P830)&gt;1,N($O830)&gt;N($P830)),"⚠ Nº da parcela maior que o total",IF(AND($C830&lt;&gt;"",$B830&lt;&gt;"",$C830&lt;$B830),"⚠ Vencimento anterior à competência","OK"))))))))</f>
        <v/>
      </c>
    </row>
    <row r="831">
      <c r="A831" s="14" t="n"/>
      <c r="B831" s="36" t="n"/>
      <c r="C831" s="36" t="n"/>
      <c r="D831" s="36" t="n"/>
      <c r="E831" s="14" t="n"/>
      <c r="F831" s="29" t="n"/>
      <c r="G831" s="29" t="n"/>
      <c r="H831" s="29" t="n"/>
      <c r="I831" s="29" t="n"/>
      <c r="J831" s="29" t="n"/>
      <c r="K831" s="14" t="n"/>
      <c r="L831" s="29" t="n"/>
      <c r="M831" s="14" t="n"/>
      <c r="N831" s="29" t="n"/>
      <c r="O831" s="13" t="n"/>
      <c r="P831" s="13" t="n"/>
      <c r="Q831" s="35" t="n"/>
      <c r="R831" s="35" t="n"/>
      <c r="S831" s="35" t="n"/>
      <c r="T831" s="35" t="n"/>
      <c r="U831" s="35" t="n"/>
      <c r="V831" s="18">
        <f>IF(COUNTA($B831:$R831)=0,"",ROUND(N($R831)+N($S831)+N($T831)-N($U831),2))</f>
        <v/>
      </c>
      <c r="W831" s="18">
        <f>IF(COUNTA($B831:$R831)=0,"",IF(OR($X831="Pago",$X831="Recebido",$X831="Cancelado"),0,ROUND(N($Q831)+N($S831)+N($T831)-N($U831)-N($R831),2)))</f>
        <v/>
      </c>
      <c r="X831" s="14" t="n"/>
      <c r="Y831" s="17">
        <f>IF(COUNTA($B831:$R831)=0,"",IF($X831="Cancelado","Cancelado",IF(OR($X831="Pago",$X831="Recebido"),$X831,IF(OR($X831="Parcial",N($R831)&gt;0),"Parcial",IF($C831="","Sem vencimento",IF($C831&lt;TODAY(),"Vencido",IF($C831=TODAY(),"Vence hoje",IF($C831&lt;=TODAY()+7,"Vence em 7 dias",IF($C831&lt;=TODAY()+30,"Vence em 30 dias","Futuro")))))))))</f>
        <v/>
      </c>
      <c r="Z831" s="24">
        <f>IF($B831="","",MONTH($B831))</f>
        <v/>
      </c>
      <c r="AA831" s="24">
        <f>IF($B831="","",YEAR($B831))</f>
        <v/>
      </c>
      <c r="AB831" s="24">
        <f>IF($B831="","",ISOWEEKNUM($B831))</f>
        <v/>
      </c>
      <c r="AC831" s="17">
        <f>IF($B831="","",CHOOSE(WEEKDAY($B831,2),"Segunda","Terça","Quarta","Quinta","Sexta","Sábado","Domingo"))</f>
        <v/>
      </c>
      <c r="AD831" s="17">
        <f>IF($B831="","",TEXT($B831,"MM/AAAA"))</f>
        <v/>
      </c>
      <c r="AE831" s="18">
        <f>IF(COUNTA($B831:$R831)=0,"",IF($X831="Cancelado",0,ROUND(N($Q831)+N($S831)+N($T831)-N($U831),2)))</f>
        <v/>
      </c>
      <c r="AF831" s="9">
        <f>IF($G831="","",IFERROR(INDEX(LINHAS_DRE_PLANO,MATCH($G831,SUBCATEGORIAS_PLANO,0)),"Não classificado"))</f>
        <v/>
      </c>
      <c r="AG831" s="17">
        <f>IF($G831="","",IFERROR(INDEX(TIPOS_FLUXO_PLANO,MATCH($G831,SUBCATEGORIAS_PLANO,0)),"Não classificado"))</f>
        <v/>
      </c>
      <c r="AH831" s="9">
        <f>IF($G831="","",IFERROR(INDEX(GRUPOS_PLANO,MATCH($G831,SUBCATEGORIAS_PLANO,0)),"Não classificado"))</f>
        <v/>
      </c>
      <c r="AI831" s="24">
        <f>IF(OR($C831="",$X831="Pago",$X831="Recebido",$X831="Cancelado"),"",$C831-TODAY())</f>
        <v/>
      </c>
      <c r="AJ831" s="24">
        <f>IF(OR($C831="",$X831="Pago",$X831="Recebido",$X831="Cancelado"),0,MAX(0,TODAY()-$C831))</f>
        <v/>
      </c>
      <c r="AK831" s="24">
        <f>IF($D831="","",$D831-$B831)</f>
        <v/>
      </c>
      <c r="AL831" s="18">
        <f>IF(OR($D831="",$B831=""),"",ROUND(N($R831)*($D831-$B831),2))</f>
        <v/>
      </c>
      <c r="AM831" s="17">
        <f>IF(AND($E831="Saída",$W831&gt;0,$C831&lt;&gt;""),$C831+ROW()/1000000,"")</f>
        <v/>
      </c>
      <c r="AN831" s="17">
        <f>IF(AND($E831="Entrada",$W831&gt;0,$C831&lt;&gt;""),$C831+ROW()/1000000,"")</f>
        <v/>
      </c>
      <c r="AO831" s="9">
        <f>IF(COUNTA($B831:$R831)=0,"",IF(AND($I831&lt;&gt;"",COUNTIF(CLIENTES_NOMES,$I831)+COUNTIF(CLIENTES_FANTASIA,$I831)+COUNTIF(FORNECEDORES_NOMES,$I831)+COUNTIF(FORNECEDORES_FANTASIA,$I831)=0),"⚠ Cliente/Fornecedor não cadastrado",IF(AND($G831&lt;&gt;"",COUNTIF(SUBCATEGORIAS_PLANO,$G831)=0),"⚠ Subcategoria fora do plano de contas",IF(OR($Q831="",N($Q831)=0),"⚠ Valor previsto não informado",IF(AND(OR($X831="Pago",$X831="Recebido"),$D831=""),"⚠ Status pago/recebido sem data",IF(AND($D831&lt;&gt;"",N($R831)=0),"⚠ Data de pagamento sem valor realizado",IF(AND(N($P831)&gt;1,N($O831)&gt;N($P831)),"⚠ Nº da parcela maior que o total",IF(AND($C831&lt;&gt;"",$B831&lt;&gt;"",$C831&lt;$B831),"⚠ Vencimento anterior à competência","OK"))))))))</f>
        <v/>
      </c>
    </row>
    <row r="832">
      <c r="A832" s="14" t="n"/>
      <c r="B832" s="36" t="n"/>
      <c r="C832" s="36" t="n"/>
      <c r="D832" s="36" t="n"/>
      <c r="E832" s="14" t="n"/>
      <c r="F832" s="29" t="n"/>
      <c r="G832" s="29" t="n"/>
      <c r="H832" s="29" t="n"/>
      <c r="I832" s="29" t="n"/>
      <c r="J832" s="29" t="n"/>
      <c r="K832" s="14" t="n"/>
      <c r="L832" s="29" t="n"/>
      <c r="M832" s="14" t="n"/>
      <c r="N832" s="29" t="n"/>
      <c r="O832" s="13" t="n"/>
      <c r="P832" s="13" t="n"/>
      <c r="Q832" s="35" t="n"/>
      <c r="R832" s="35" t="n"/>
      <c r="S832" s="35" t="n"/>
      <c r="T832" s="35" t="n"/>
      <c r="U832" s="35" t="n"/>
      <c r="V832" s="18">
        <f>IF(COUNTA($B832:$R832)=0,"",ROUND(N($R832)+N($S832)+N($T832)-N($U832),2))</f>
        <v/>
      </c>
      <c r="W832" s="18">
        <f>IF(COUNTA($B832:$R832)=0,"",IF(OR($X832="Pago",$X832="Recebido",$X832="Cancelado"),0,ROUND(N($Q832)+N($S832)+N($T832)-N($U832)-N($R832),2)))</f>
        <v/>
      </c>
      <c r="X832" s="14" t="n"/>
      <c r="Y832" s="17">
        <f>IF(COUNTA($B832:$R832)=0,"",IF($X832="Cancelado","Cancelado",IF(OR($X832="Pago",$X832="Recebido"),$X832,IF(OR($X832="Parcial",N($R832)&gt;0),"Parcial",IF($C832="","Sem vencimento",IF($C832&lt;TODAY(),"Vencido",IF($C832=TODAY(),"Vence hoje",IF($C832&lt;=TODAY()+7,"Vence em 7 dias",IF($C832&lt;=TODAY()+30,"Vence em 30 dias","Futuro")))))))))</f>
        <v/>
      </c>
      <c r="Z832" s="24">
        <f>IF($B832="","",MONTH($B832))</f>
        <v/>
      </c>
      <c r="AA832" s="24">
        <f>IF($B832="","",YEAR($B832))</f>
        <v/>
      </c>
      <c r="AB832" s="24">
        <f>IF($B832="","",ISOWEEKNUM($B832))</f>
        <v/>
      </c>
      <c r="AC832" s="17">
        <f>IF($B832="","",CHOOSE(WEEKDAY($B832,2),"Segunda","Terça","Quarta","Quinta","Sexta","Sábado","Domingo"))</f>
        <v/>
      </c>
      <c r="AD832" s="17">
        <f>IF($B832="","",TEXT($B832,"MM/AAAA"))</f>
        <v/>
      </c>
      <c r="AE832" s="18">
        <f>IF(COUNTA($B832:$R832)=0,"",IF($X832="Cancelado",0,ROUND(N($Q832)+N($S832)+N($T832)-N($U832),2)))</f>
        <v/>
      </c>
      <c r="AF832" s="9">
        <f>IF($G832="","",IFERROR(INDEX(LINHAS_DRE_PLANO,MATCH($G832,SUBCATEGORIAS_PLANO,0)),"Não classificado"))</f>
        <v/>
      </c>
      <c r="AG832" s="17">
        <f>IF($G832="","",IFERROR(INDEX(TIPOS_FLUXO_PLANO,MATCH($G832,SUBCATEGORIAS_PLANO,0)),"Não classificado"))</f>
        <v/>
      </c>
      <c r="AH832" s="9">
        <f>IF($G832="","",IFERROR(INDEX(GRUPOS_PLANO,MATCH($G832,SUBCATEGORIAS_PLANO,0)),"Não classificado"))</f>
        <v/>
      </c>
      <c r="AI832" s="24">
        <f>IF(OR($C832="",$X832="Pago",$X832="Recebido",$X832="Cancelado"),"",$C832-TODAY())</f>
        <v/>
      </c>
      <c r="AJ832" s="24">
        <f>IF(OR($C832="",$X832="Pago",$X832="Recebido",$X832="Cancelado"),0,MAX(0,TODAY()-$C832))</f>
        <v/>
      </c>
      <c r="AK832" s="24">
        <f>IF($D832="","",$D832-$B832)</f>
        <v/>
      </c>
      <c r="AL832" s="18">
        <f>IF(OR($D832="",$B832=""),"",ROUND(N($R832)*($D832-$B832),2))</f>
        <v/>
      </c>
      <c r="AM832" s="17">
        <f>IF(AND($E832="Saída",$W832&gt;0,$C832&lt;&gt;""),$C832+ROW()/1000000,"")</f>
        <v/>
      </c>
      <c r="AN832" s="17">
        <f>IF(AND($E832="Entrada",$W832&gt;0,$C832&lt;&gt;""),$C832+ROW()/1000000,"")</f>
        <v/>
      </c>
      <c r="AO832" s="9">
        <f>IF(COUNTA($B832:$R832)=0,"",IF(AND($I832&lt;&gt;"",COUNTIF(CLIENTES_NOMES,$I832)+COUNTIF(CLIENTES_FANTASIA,$I832)+COUNTIF(FORNECEDORES_NOMES,$I832)+COUNTIF(FORNECEDORES_FANTASIA,$I832)=0),"⚠ Cliente/Fornecedor não cadastrado",IF(AND($G832&lt;&gt;"",COUNTIF(SUBCATEGORIAS_PLANO,$G832)=0),"⚠ Subcategoria fora do plano de contas",IF(OR($Q832="",N($Q832)=0),"⚠ Valor previsto não informado",IF(AND(OR($X832="Pago",$X832="Recebido"),$D832=""),"⚠ Status pago/recebido sem data",IF(AND($D832&lt;&gt;"",N($R832)=0),"⚠ Data de pagamento sem valor realizado",IF(AND(N($P832)&gt;1,N($O832)&gt;N($P832)),"⚠ Nº da parcela maior que o total",IF(AND($C832&lt;&gt;"",$B832&lt;&gt;"",$C832&lt;$B832),"⚠ Vencimento anterior à competência","OK"))))))))</f>
        <v/>
      </c>
    </row>
    <row r="833">
      <c r="A833" s="14" t="n"/>
      <c r="B833" s="36" t="n"/>
      <c r="C833" s="36" t="n"/>
      <c r="D833" s="36" t="n"/>
      <c r="E833" s="14" t="n"/>
      <c r="F833" s="29" t="n"/>
      <c r="G833" s="29" t="n"/>
      <c r="H833" s="29" t="n"/>
      <c r="I833" s="29" t="n"/>
      <c r="J833" s="29" t="n"/>
      <c r="K833" s="14" t="n"/>
      <c r="L833" s="29" t="n"/>
      <c r="M833" s="14" t="n"/>
      <c r="N833" s="29" t="n"/>
      <c r="O833" s="13" t="n"/>
      <c r="P833" s="13" t="n"/>
      <c r="Q833" s="35" t="n"/>
      <c r="R833" s="35" t="n"/>
      <c r="S833" s="35" t="n"/>
      <c r="T833" s="35" t="n"/>
      <c r="U833" s="35" t="n"/>
      <c r="V833" s="18">
        <f>IF(COUNTA($B833:$R833)=0,"",ROUND(N($R833)+N($S833)+N($T833)-N($U833),2))</f>
        <v/>
      </c>
      <c r="W833" s="18">
        <f>IF(COUNTA($B833:$R833)=0,"",IF(OR($X833="Pago",$X833="Recebido",$X833="Cancelado"),0,ROUND(N($Q833)+N($S833)+N($T833)-N($U833)-N($R833),2)))</f>
        <v/>
      </c>
      <c r="X833" s="14" t="n"/>
      <c r="Y833" s="17">
        <f>IF(COUNTA($B833:$R833)=0,"",IF($X833="Cancelado","Cancelado",IF(OR($X833="Pago",$X833="Recebido"),$X833,IF(OR($X833="Parcial",N($R833)&gt;0),"Parcial",IF($C833="","Sem vencimento",IF($C833&lt;TODAY(),"Vencido",IF($C833=TODAY(),"Vence hoje",IF($C833&lt;=TODAY()+7,"Vence em 7 dias",IF($C833&lt;=TODAY()+30,"Vence em 30 dias","Futuro")))))))))</f>
        <v/>
      </c>
      <c r="Z833" s="24">
        <f>IF($B833="","",MONTH($B833))</f>
        <v/>
      </c>
      <c r="AA833" s="24">
        <f>IF($B833="","",YEAR($B833))</f>
        <v/>
      </c>
      <c r="AB833" s="24">
        <f>IF($B833="","",ISOWEEKNUM($B833))</f>
        <v/>
      </c>
      <c r="AC833" s="17">
        <f>IF($B833="","",CHOOSE(WEEKDAY($B833,2),"Segunda","Terça","Quarta","Quinta","Sexta","Sábado","Domingo"))</f>
        <v/>
      </c>
      <c r="AD833" s="17">
        <f>IF($B833="","",TEXT($B833,"MM/AAAA"))</f>
        <v/>
      </c>
      <c r="AE833" s="18">
        <f>IF(COUNTA($B833:$R833)=0,"",IF($X833="Cancelado",0,ROUND(N($Q833)+N($S833)+N($T833)-N($U833),2)))</f>
        <v/>
      </c>
      <c r="AF833" s="9">
        <f>IF($G833="","",IFERROR(INDEX(LINHAS_DRE_PLANO,MATCH($G833,SUBCATEGORIAS_PLANO,0)),"Não classificado"))</f>
        <v/>
      </c>
      <c r="AG833" s="17">
        <f>IF($G833="","",IFERROR(INDEX(TIPOS_FLUXO_PLANO,MATCH($G833,SUBCATEGORIAS_PLANO,0)),"Não classificado"))</f>
        <v/>
      </c>
      <c r="AH833" s="9">
        <f>IF($G833="","",IFERROR(INDEX(GRUPOS_PLANO,MATCH($G833,SUBCATEGORIAS_PLANO,0)),"Não classificado"))</f>
        <v/>
      </c>
      <c r="AI833" s="24">
        <f>IF(OR($C833="",$X833="Pago",$X833="Recebido",$X833="Cancelado"),"",$C833-TODAY())</f>
        <v/>
      </c>
      <c r="AJ833" s="24">
        <f>IF(OR($C833="",$X833="Pago",$X833="Recebido",$X833="Cancelado"),0,MAX(0,TODAY()-$C833))</f>
        <v/>
      </c>
      <c r="AK833" s="24">
        <f>IF($D833="","",$D833-$B833)</f>
        <v/>
      </c>
      <c r="AL833" s="18">
        <f>IF(OR($D833="",$B833=""),"",ROUND(N($R833)*($D833-$B833),2))</f>
        <v/>
      </c>
      <c r="AM833" s="17">
        <f>IF(AND($E833="Saída",$W833&gt;0,$C833&lt;&gt;""),$C833+ROW()/1000000,"")</f>
        <v/>
      </c>
      <c r="AN833" s="17">
        <f>IF(AND($E833="Entrada",$W833&gt;0,$C833&lt;&gt;""),$C833+ROW()/1000000,"")</f>
        <v/>
      </c>
      <c r="AO833" s="9">
        <f>IF(COUNTA($B833:$R833)=0,"",IF(AND($I833&lt;&gt;"",COUNTIF(CLIENTES_NOMES,$I833)+COUNTIF(CLIENTES_FANTASIA,$I833)+COUNTIF(FORNECEDORES_NOMES,$I833)+COUNTIF(FORNECEDORES_FANTASIA,$I833)=0),"⚠ Cliente/Fornecedor não cadastrado",IF(AND($G833&lt;&gt;"",COUNTIF(SUBCATEGORIAS_PLANO,$G833)=0),"⚠ Subcategoria fora do plano de contas",IF(OR($Q833="",N($Q833)=0),"⚠ Valor previsto não informado",IF(AND(OR($X833="Pago",$X833="Recebido"),$D833=""),"⚠ Status pago/recebido sem data",IF(AND($D833&lt;&gt;"",N($R833)=0),"⚠ Data de pagamento sem valor realizado",IF(AND(N($P833)&gt;1,N($O833)&gt;N($P833)),"⚠ Nº da parcela maior que o total",IF(AND($C833&lt;&gt;"",$B833&lt;&gt;"",$C833&lt;$B833),"⚠ Vencimento anterior à competência","OK"))))))))</f>
        <v/>
      </c>
    </row>
    <row r="834">
      <c r="A834" s="14" t="n"/>
      <c r="B834" s="36" t="n"/>
      <c r="C834" s="36" t="n"/>
      <c r="D834" s="36" t="n"/>
      <c r="E834" s="14" t="n"/>
      <c r="F834" s="29" t="n"/>
      <c r="G834" s="29" t="n"/>
      <c r="H834" s="29" t="n"/>
      <c r="I834" s="29" t="n"/>
      <c r="J834" s="29" t="n"/>
      <c r="K834" s="14" t="n"/>
      <c r="L834" s="29" t="n"/>
      <c r="M834" s="14" t="n"/>
      <c r="N834" s="29" t="n"/>
      <c r="O834" s="13" t="n"/>
      <c r="P834" s="13" t="n"/>
      <c r="Q834" s="35" t="n"/>
      <c r="R834" s="35" t="n"/>
      <c r="S834" s="35" t="n"/>
      <c r="T834" s="35" t="n"/>
      <c r="U834" s="35" t="n"/>
      <c r="V834" s="18">
        <f>IF(COUNTA($B834:$R834)=0,"",ROUND(N($R834)+N($S834)+N($T834)-N($U834),2))</f>
        <v/>
      </c>
      <c r="W834" s="18">
        <f>IF(COUNTA($B834:$R834)=0,"",IF(OR($X834="Pago",$X834="Recebido",$X834="Cancelado"),0,ROUND(N($Q834)+N($S834)+N($T834)-N($U834)-N($R834),2)))</f>
        <v/>
      </c>
      <c r="X834" s="14" t="n"/>
      <c r="Y834" s="17">
        <f>IF(COUNTA($B834:$R834)=0,"",IF($X834="Cancelado","Cancelado",IF(OR($X834="Pago",$X834="Recebido"),$X834,IF(OR($X834="Parcial",N($R834)&gt;0),"Parcial",IF($C834="","Sem vencimento",IF($C834&lt;TODAY(),"Vencido",IF($C834=TODAY(),"Vence hoje",IF($C834&lt;=TODAY()+7,"Vence em 7 dias",IF($C834&lt;=TODAY()+30,"Vence em 30 dias","Futuro")))))))))</f>
        <v/>
      </c>
      <c r="Z834" s="24">
        <f>IF($B834="","",MONTH($B834))</f>
        <v/>
      </c>
      <c r="AA834" s="24">
        <f>IF($B834="","",YEAR($B834))</f>
        <v/>
      </c>
      <c r="AB834" s="24">
        <f>IF($B834="","",ISOWEEKNUM($B834))</f>
        <v/>
      </c>
      <c r="AC834" s="17">
        <f>IF($B834="","",CHOOSE(WEEKDAY($B834,2),"Segunda","Terça","Quarta","Quinta","Sexta","Sábado","Domingo"))</f>
        <v/>
      </c>
      <c r="AD834" s="17">
        <f>IF($B834="","",TEXT($B834,"MM/AAAA"))</f>
        <v/>
      </c>
      <c r="AE834" s="18">
        <f>IF(COUNTA($B834:$R834)=0,"",IF($X834="Cancelado",0,ROUND(N($Q834)+N($S834)+N($T834)-N($U834),2)))</f>
        <v/>
      </c>
      <c r="AF834" s="9">
        <f>IF($G834="","",IFERROR(INDEX(LINHAS_DRE_PLANO,MATCH($G834,SUBCATEGORIAS_PLANO,0)),"Não classificado"))</f>
        <v/>
      </c>
      <c r="AG834" s="17">
        <f>IF($G834="","",IFERROR(INDEX(TIPOS_FLUXO_PLANO,MATCH($G834,SUBCATEGORIAS_PLANO,0)),"Não classificado"))</f>
        <v/>
      </c>
      <c r="AH834" s="9">
        <f>IF($G834="","",IFERROR(INDEX(GRUPOS_PLANO,MATCH($G834,SUBCATEGORIAS_PLANO,0)),"Não classificado"))</f>
        <v/>
      </c>
      <c r="AI834" s="24">
        <f>IF(OR($C834="",$X834="Pago",$X834="Recebido",$X834="Cancelado"),"",$C834-TODAY())</f>
        <v/>
      </c>
      <c r="AJ834" s="24">
        <f>IF(OR($C834="",$X834="Pago",$X834="Recebido",$X834="Cancelado"),0,MAX(0,TODAY()-$C834))</f>
        <v/>
      </c>
      <c r="AK834" s="24">
        <f>IF($D834="","",$D834-$B834)</f>
        <v/>
      </c>
      <c r="AL834" s="18">
        <f>IF(OR($D834="",$B834=""),"",ROUND(N($R834)*($D834-$B834),2))</f>
        <v/>
      </c>
      <c r="AM834" s="17">
        <f>IF(AND($E834="Saída",$W834&gt;0,$C834&lt;&gt;""),$C834+ROW()/1000000,"")</f>
        <v/>
      </c>
      <c r="AN834" s="17">
        <f>IF(AND($E834="Entrada",$W834&gt;0,$C834&lt;&gt;""),$C834+ROW()/1000000,"")</f>
        <v/>
      </c>
      <c r="AO834" s="9">
        <f>IF(COUNTA($B834:$R834)=0,"",IF(AND($I834&lt;&gt;"",COUNTIF(CLIENTES_NOMES,$I834)+COUNTIF(CLIENTES_FANTASIA,$I834)+COUNTIF(FORNECEDORES_NOMES,$I834)+COUNTIF(FORNECEDORES_FANTASIA,$I834)=0),"⚠ Cliente/Fornecedor não cadastrado",IF(AND($G834&lt;&gt;"",COUNTIF(SUBCATEGORIAS_PLANO,$G834)=0),"⚠ Subcategoria fora do plano de contas",IF(OR($Q834="",N($Q834)=0),"⚠ Valor previsto não informado",IF(AND(OR($X834="Pago",$X834="Recebido"),$D834=""),"⚠ Status pago/recebido sem data",IF(AND($D834&lt;&gt;"",N($R834)=0),"⚠ Data de pagamento sem valor realizado",IF(AND(N($P834)&gt;1,N($O834)&gt;N($P834)),"⚠ Nº da parcela maior que o total",IF(AND($C834&lt;&gt;"",$B834&lt;&gt;"",$C834&lt;$B834),"⚠ Vencimento anterior à competência","OK"))))))))</f>
        <v/>
      </c>
    </row>
    <row r="835">
      <c r="A835" s="14" t="n"/>
      <c r="B835" s="36" t="n"/>
      <c r="C835" s="36" t="n"/>
      <c r="D835" s="36" t="n"/>
      <c r="E835" s="14" t="n"/>
      <c r="F835" s="29" t="n"/>
      <c r="G835" s="29" t="n"/>
      <c r="H835" s="29" t="n"/>
      <c r="I835" s="29" t="n"/>
      <c r="J835" s="29" t="n"/>
      <c r="K835" s="14" t="n"/>
      <c r="L835" s="29" t="n"/>
      <c r="M835" s="14" t="n"/>
      <c r="N835" s="29" t="n"/>
      <c r="O835" s="13" t="n"/>
      <c r="P835" s="13" t="n"/>
      <c r="Q835" s="35" t="n"/>
      <c r="R835" s="35" t="n"/>
      <c r="S835" s="35" t="n"/>
      <c r="T835" s="35" t="n"/>
      <c r="U835" s="35" t="n"/>
      <c r="V835" s="18">
        <f>IF(COUNTA($B835:$R835)=0,"",ROUND(N($R835)+N($S835)+N($T835)-N($U835),2))</f>
        <v/>
      </c>
      <c r="W835" s="18">
        <f>IF(COUNTA($B835:$R835)=0,"",IF(OR($X835="Pago",$X835="Recebido",$X835="Cancelado"),0,ROUND(N($Q835)+N($S835)+N($T835)-N($U835)-N($R835),2)))</f>
        <v/>
      </c>
      <c r="X835" s="14" t="n"/>
      <c r="Y835" s="17">
        <f>IF(COUNTA($B835:$R835)=0,"",IF($X835="Cancelado","Cancelado",IF(OR($X835="Pago",$X835="Recebido"),$X835,IF(OR($X835="Parcial",N($R835)&gt;0),"Parcial",IF($C835="","Sem vencimento",IF($C835&lt;TODAY(),"Vencido",IF($C835=TODAY(),"Vence hoje",IF($C835&lt;=TODAY()+7,"Vence em 7 dias",IF($C835&lt;=TODAY()+30,"Vence em 30 dias","Futuro")))))))))</f>
        <v/>
      </c>
      <c r="Z835" s="24">
        <f>IF($B835="","",MONTH($B835))</f>
        <v/>
      </c>
      <c r="AA835" s="24">
        <f>IF($B835="","",YEAR($B835))</f>
        <v/>
      </c>
      <c r="AB835" s="24">
        <f>IF($B835="","",ISOWEEKNUM($B835))</f>
        <v/>
      </c>
      <c r="AC835" s="17">
        <f>IF($B835="","",CHOOSE(WEEKDAY($B835,2),"Segunda","Terça","Quarta","Quinta","Sexta","Sábado","Domingo"))</f>
        <v/>
      </c>
      <c r="AD835" s="17">
        <f>IF($B835="","",TEXT($B835,"MM/AAAA"))</f>
        <v/>
      </c>
      <c r="AE835" s="18">
        <f>IF(COUNTA($B835:$R835)=0,"",IF($X835="Cancelado",0,ROUND(N($Q835)+N($S835)+N($T835)-N($U835),2)))</f>
        <v/>
      </c>
      <c r="AF835" s="9">
        <f>IF($G835="","",IFERROR(INDEX(LINHAS_DRE_PLANO,MATCH($G835,SUBCATEGORIAS_PLANO,0)),"Não classificado"))</f>
        <v/>
      </c>
      <c r="AG835" s="17">
        <f>IF($G835="","",IFERROR(INDEX(TIPOS_FLUXO_PLANO,MATCH($G835,SUBCATEGORIAS_PLANO,0)),"Não classificado"))</f>
        <v/>
      </c>
      <c r="AH835" s="9">
        <f>IF($G835="","",IFERROR(INDEX(GRUPOS_PLANO,MATCH($G835,SUBCATEGORIAS_PLANO,0)),"Não classificado"))</f>
        <v/>
      </c>
      <c r="AI835" s="24">
        <f>IF(OR($C835="",$X835="Pago",$X835="Recebido",$X835="Cancelado"),"",$C835-TODAY())</f>
        <v/>
      </c>
      <c r="AJ835" s="24">
        <f>IF(OR($C835="",$X835="Pago",$X835="Recebido",$X835="Cancelado"),0,MAX(0,TODAY()-$C835))</f>
        <v/>
      </c>
      <c r="AK835" s="24">
        <f>IF($D835="","",$D835-$B835)</f>
        <v/>
      </c>
      <c r="AL835" s="18">
        <f>IF(OR($D835="",$B835=""),"",ROUND(N($R835)*($D835-$B835),2))</f>
        <v/>
      </c>
      <c r="AM835" s="17">
        <f>IF(AND($E835="Saída",$W835&gt;0,$C835&lt;&gt;""),$C835+ROW()/1000000,"")</f>
        <v/>
      </c>
      <c r="AN835" s="17">
        <f>IF(AND($E835="Entrada",$W835&gt;0,$C835&lt;&gt;""),$C835+ROW()/1000000,"")</f>
        <v/>
      </c>
      <c r="AO835" s="9">
        <f>IF(COUNTA($B835:$R835)=0,"",IF(AND($I835&lt;&gt;"",COUNTIF(CLIENTES_NOMES,$I835)+COUNTIF(CLIENTES_FANTASIA,$I835)+COUNTIF(FORNECEDORES_NOMES,$I835)+COUNTIF(FORNECEDORES_FANTASIA,$I835)=0),"⚠ Cliente/Fornecedor não cadastrado",IF(AND($G835&lt;&gt;"",COUNTIF(SUBCATEGORIAS_PLANO,$G835)=0),"⚠ Subcategoria fora do plano de contas",IF(OR($Q835="",N($Q835)=0),"⚠ Valor previsto não informado",IF(AND(OR($X835="Pago",$X835="Recebido"),$D835=""),"⚠ Status pago/recebido sem data",IF(AND($D835&lt;&gt;"",N($R835)=0),"⚠ Data de pagamento sem valor realizado",IF(AND(N($P835)&gt;1,N($O835)&gt;N($P835)),"⚠ Nº da parcela maior que o total",IF(AND($C835&lt;&gt;"",$B835&lt;&gt;"",$C835&lt;$B835),"⚠ Vencimento anterior à competência","OK"))))))))</f>
        <v/>
      </c>
    </row>
    <row r="836">
      <c r="A836" s="14" t="n"/>
      <c r="B836" s="36" t="n"/>
      <c r="C836" s="36" t="n"/>
      <c r="D836" s="36" t="n"/>
      <c r="E836" s="14" t="n"/>
      <c r="F836" s="29" t="n"/>
      <c r="G836" s="29" t="n"/>
      <c r="H836" s="29" t="n"/>
      <c r="I836" s="29" t="n"/>
      <c r="J836" s="29" t="n"/>
      <c r="K836" s="14" t="n"/>
      <c r="L836" s="29" t="n"/>
      <c r="M836" s="14" t="n"/>
      <c r="N836" s="29" t="n"/>
      <c r="O836" s="13" t="n"/>
      <c r="P836" s="13" t="n"/>
      <c r="Q836" s="35" t="n"/>
      <c r="R836" s="35" t="n"/>
      <c r="S836" s="35" t="n"/>
      <c r="T836" s="35" t="n"/>
      <c r="U836" s="35" t="n"/>
      <c r="V836" s="18">
        <f>IF(COUNTA($B836:$R836)=0,"",ROUND(N($R836)+N($S836)+N($T836)-N($U836),2))</f>
        <v/>
      </c>
      <c r="W836" s="18">
        <f>IF(COUNTA($B836:$R836)=0,"",IF(OR($X836="Pago",$X836="Recebido",$X836="Cancelado"),0,ROUND(N($Q836)+N($S836)+N($T836)-N($U836)-N($R836),2)))</f>
        <v/>
      </c>
      <c r="X836" s="14" t="n"/>
      <c r="Y836" s="17">
        <f>IF(COUNTA($B836:$R836)=0,"",IF($X836="Cancelado","Cancelado",IF(OR($X836="Pago",$X836="Recebido"),$X836,IF(OR($X836="Parcial",N($R836)&gt;0),"Parcial",IF($C836="","Sem vencimento",IF($C836&lt;TODAY(),"Vencido",IF($C836=TODAY(),"Vence hoje",IF($C836&lt;=TODAY()+7,"Vence em 7 dias",IF($C836&lt;=TODAY()+30,"Vence em 30 dias","Futuro")))))))))</f>
        <v/>
      </c>
      <c r="Z836" s="24">
        <f>IF($B836="","",MONTH($B836))</f>
        <v/>
      </c>
      <c r="AA836" s="24">
        <f>IF($B836="","",YEAR($B836))</f>
        <v/>
      </c>
      <c r="AB836" s="24">
        <f>IF($B836="","",ISOWEEKNUM($B836))</f>
        <v/>
      </c>
      <c r="AC836" s="17">
        <f>IF($B836="","",CHOOSE(WEEKDAY($B836,2),"Segunda","Terça","Quarta","Quinta","Sexta","Sábado","Domingo"))</f>
        <v/>
      </c>
      <c r="AD836" s="17">
        <f>IF($B836="","",TEXT($B836,"MM/AAAA"))</f>
        <v/>
      </c>
      <c r="AE836" s="18">
        <f>IF(COUNTA($B836:$R836)=0,"",IF($X836="Cancelado",0,ROUND(N($Q836)+N($S836)+N($T836)-N($U836),2)))</f>
        <v/>
      </c>
      <c r="AF836" s="9">
        <f>IF($G836="","",IFERROR(INDEX(LINHAS_DRE_PLANO,MATCH($G836,SUBCATEGORIAS_PLANO,0)),"Não classificado"))</f>
        <v/>
      </c>
      <c r="AG836" s="17">
        <f>IF($G836="","",IFERROR(INDEX(TIPOS_FLUXO_PLANO,MATCH($G836,SUBCATEGORIAS_PLANO,0)),"Não classificado"))</f>
        <v/>
      </c>
      <c r="AH836" s="9">
        <f>IF($G836="","",IFERROR(INDEX(GRUPOS_PLANO,MATCH($G836,SUBCATEGORIAS_PLANO,0)),"Não classificado"))</f>
        <v/>
      </c>
      <c r="AI836" s="24">
        <f>IF(OR($C836="",$X836="Pago",$X836="Recebido",$X836="Cancelado"),"",$C836-TODAY())</f>
        <v/>
      </c>
      <c r="AJ836" s="24">
        <f>IF(OR($C836="",$X836="Pago",$X836="Recebido",$X836="Cancelado"),0,MAX(0,TODAY()-$C836))</f>
        <v/>
      </c>
      <c r="AK836" s="24">
        <f>IF($D836="","",$D836-$B836)</f>
        <v/>
      </c>
      <c r="AL836" s="18">
        <f>IF(OR($D836="",$B836=""),"",ROUND(N($R836)*($D836-$B836),2))</f>
        <v/>
      </c>
      <c r="AM836" s="17">
        <f>IF(AND($E836="Saída",$W836&gt;0,$C836&lt;&gt;""),$C836+ROW()/1000000,"")</f>
        <v/>
      </c>
      <c r="AN836" s="17">
        <f>IF(AND($E836="Entrada",$W836&gt;0,$C836&lt;&gt;""),$C836+ROW()/1000000,"")</f>
        <v/>
      </c>
      <c r="AO836" s="9">
        <f>IF(COUNTA($B836:$R836)=0,"",IF(AND($I836&lt;&gt;"",COUNTIF(CLIENTES_NOMES,$I836)+COUNTIF(CLIENTES_FANTASIA,$I836)+COUNTIF(FORNECEDORES_NOMES,$I836)+COUNTIF(FORNECEDORES_FANTASIA,$I836)=0),"⚠ Cliente/Fornecedor não cadastrado",IF(AND($G836&lt;&gt;"",COUNTIF(SUBCATEGORIAS_PLANO,$G836)=0),"⚠ Subcategoria fora do plano de contas",IF(OR($Q836="",N($Q836)=0),"⚠ Valor previsto não informado",IF(AND(OR($X836="Pago",$X836="Recebido"),$D836=""),"⚠ Status pago/recebido sem data",IF(AND($D836&lt;&gt;"",N($R836)=0),"⚠ Data de pagamento sem valor realizado",IF(AND(N($P836)&gt;1,N($O836)&gt;N($P836)),"⚠ Nº da parcela maior que o total",IF(AND($C836&lt;&gt;"",$B836&lt;&gt;"",$C836&lt;$B836),"⚠ Vencimento anterior à competência","OK"))))))))</f>
        <v/>
      </c>
    </row>
    <row r="837">
      <c r="A837" s="14" t="n"/>
      <c r="B837" s="36" t="n"/>
      <c r="C837" s="36" t="n"/>
      <c r="D837" s="36" t="n"/>
      <c r="E837" s="14" t="n"/>
      <c r="F837" s="29" t="n"/>
      <c r="G837" s="29" t="n"/>
      <c r="H837" s="29" t="n"/>
      <c r="I837" s="29" t="n"/>
      <c r="J837" s="29" t="n"/>
      <c r="K837" s="14" t="n"/>
      <c r="L837" s="29" t="n"/>
      <c r="M837" s="14" t="n"/>
      <c r="N837" s="29" t="n"/>
      <c r="O837" s="13" t="n"/>
      <c r="P837" s="13" t="n"/>
      <c r="Q837" s="35" t="n"/>
      <c r="R837" s="35" t="n"/>
      <c r="S837" s="35" t="n"/>
      <c r="T837" s="35" t="n"/>
      <c r="U837" s="35" t="n"/>
      <c r="V837" s="18">
        <f>IF(COUNTA($B837:$R837)=0,"",ROUND(N($R837)+N($S837)+N($T837)-N($U837),2))</f>
        <v/>
      </c>
      <c r="W837" s="18">
        <f>IF(COUNTA($B837:$R837)=0,"",IF(OR($X837="Pago",$X837="Recebido",$X837="Cancelado"),0,ROUND(N($Q837)+N($S837)+N($T837)-N($U837)-N($R837),2)))</f>
        <v/>
      </c>
      <c r="X837" s="14" t="n"/>
      <c r="Y837" s="17">
        <f>IF(COUNTA($B837:$R837)=0,"",IF($X837="Cancelado","Cancelado",IF(OR($X837="Pago",$X837="Recebido"),$X837,IF(OR($X837="Parcial",N($R837)&gt;0),"Parcial",IF($C837="","Sem vencimento",IF($C837&lt;TODAY(),"Vencido",IF($C837=TODAY(),"Vence hoje",IF($C837&lt;=TODAY()+7,"Vence em 7 dias",IF($C837&lt;=TODAY()+30,"Vence em 30 dias","Futuro")))))))))</f>
        <v/>
      </c>
      <c r="Z837" s="24">
        <f>IF($B837="","",MONTH($B837))</f>
        <v/>
      </c>
      <c r="AA837" s="24">
        <f>IF($B837="","",YEAR($B837))</f>
        <v/>
      </c>
      <c r="AB837" s="24">
        <f>IF($B837="","",ISOWEEKNUM($B837))</f>
        <v/>
      </c>
      <c r="AC837" s="17">
        <f>IF($B837="","",CHOOSE(WEEKDAY($B837,2),"Segunda","Terça","Quarta","Quinta","Sexta","Sábado","Domingo"))</f>
        <v/>
      </c>
      <c r="AD837" s="17">
        <f>IF($B837="","",TEXT($B837,"MM/AAAA"))</f>
        <v/>
      </c>
      <c r="AE837" s="18">
        <f>IF(COUNTA($B837:$R837)=0,"",IF($X837="Cancelado",0,ROUND(N($Q837)+N($S837)+N($T837)-N($U837),2)))</f>
        <v/>
      </c>
      <c r="AF837" s="9">
        <f>IF($G837="","",IFERROR(INDEX(LINHAS_DRE_PLANO,MATCH($G837,SUBCATEGORIAS_PLANO,0)),"Não classificado"))</f>
        <v/>
      </c>
      <c r="AG837" s="17">
        <f>IF($G837="","",IFERROR(INDEX(TIPOS_FLUXO_PLANO,MATCH($G837,SUBCATEGORIAS_PLANO,0)),"Não classificado"))</f>
        <v/>
      </c>
      <c r="AH837" s="9">
        <f>IF($G837="","",IFERROR(INDEX(GRUPOS_PLANO,MATCH($G837,SUBCATEGORIAS_PLANO,0)),"Não classificado"))</f>
        <v/>
      </c>
      <c r="AI837" s="24">
        <f>IF(OR($C837="",$X837="Pago",$X837="Recebido",$X837="Cancelado"),"",$C837-TODAY())</f>
        <v/>
      </c>
      <c r="AJ837" s="24">
        <f>IF(OR($C837="",$X837="Pago",$X837="Recebido",$X837="Cancelado"),0,MAX(0,TODAY()-$C837))</f>
        <v/>
      </c>
      <c r="AK837" s="24">
        <f>IF($D837="","",$D837-$B837)</f>
        <v/>
      </c>
      <c r="AL837" s="18">
        <f>IF(OR($D837="",$B837=""),"",ROUND(N($R837)*($D837-$B837),2))</f>
        <v/>
      </c>
      <c r="AM837" s="17">
        <f>IF(AND($E837="Saída",$W837&gt;0,$C837&lt;&gt;""),$C837+ROW()/1000000,"")</f>
        <v/>
      </c>
      <c r="AN837" s="17">
        <f>IF(AND($E837="Entrada",$W837&gt;0,$C837&lt;&gt;""),$C837+ROW()/1000000,"")</f>
        <v/>
      </c>
      <c r="AO837" s="9">
        <f>IF(COUNTA($B837:$R837)=0,"",IF(AND($I837&lt;&gt;"",COUNTIF(CLIENTES_NOMES,$I837)+COUNTIF(CLIENTES_FANTASIA,$I837)+COUNTIF(FORNECEDORES_NOMES,$I837)+COUNTIF(FORNECEDORES_FANTASIA,$I837)=0),"⚠ Cliente/Fornecedor não cadastrado",IF(AND($G837&lt;&gt;"",COUNTIF(SUBCATEGORIAS_PLANO,$G837)=0),"⚠ Subcategoria fora do plano de contas",IF(OR($Q837="",N($Q837)=0),"⚠ Valor previsto não informado",IF(AND(OR($X837="Pago",$X837="Recebido"),$D837=""),"⚠ Status pago/recebido sem data",IF(AND($D837&lt;&gt;"",N($R837)=0),"⚠ Data de pagamento sem valor realizado",IF(AND(N($P837)&gt;1,N($O837)&gt;N($P837)),"⚠ Nº da parcela maior que o total",IF(AND($C837&lt;&gt;"",$B837&lt;&gt;"",$C837&lt;$B837),"⚠ Vencimento anterior à competência","OK"))))))))</f>
        <v/>
      </c>
    </row>
    <row r="838">
      <c r="A838" s="14" t="n"/>
      <c r="B838" s="36" t="n"/>
      <c r="C838" s="36" t="n"/>
      <c r="D838" s="36" t="n"/>
      <c r="E838" s="14" t="n"/>
      <c r="F838" s="29" t="n"/>
      <c r="G838" s="29" t="n"/>
      <c r="H838" s="29" t="n"/>
      <c r="I838" s="29" t="n"/>
      <c r="J838" s="29" t="n"/>
      <c r="K838" s="14" t="n"/>
      <c r="L838" s="29" t="n"/>
      <c r="M838" s="14" t="n"/>
      <c r="N838" s="29" t="n"/>
      <c r="O838" s="13" t="n"/>
      <c r="P838" s="13" t="n"/>
      <c r="Q838" s="35" t="n"/>
      <c r="R838" s="35" t="n"/>
      <c r="S838" s="35" t="n"/>
      <c r="T838" s="35" t="n"/>
      <c r="U838" s="35" t="n"/>
      <c r="V838" s="18">
        <f>IF(COUNTA($B838:$R838)=0,"",ROUND(N($R838)+N($S838)+N($T838)-N($U838),2))</f>
        <v/>
      </c>
      <c r="W838" s="18">
        <f>IF(COUNTA($B838:$R838)=0,"",IF(OR($X838="Pago",$X838="Recebido",$X838="Cancelado"),0,ROUND(N($Q838)+N($S838)+N($T838)-N($U838)-N($R838),2)))</f>
        <v/>
      </c>
      <c r="X838" s="14" t="n"/>
      <c r="Y838" s="17">
        <f>IF(COUNTA($B838:$R838)=0,"",IF($X838="Cancelado","Cancelado",IF(OR($X838="Pago",$X838="Recebido"),$X838,IF(OR($X838="Parcial",N($R838)&gt;0),"Parcial",IF($C838="","Sem vencimento",IF($C838&lt;TODAY(),"Vencido",IF($C838=TODAY(),"Vence hoje",IF($C838&lt;=TODAY()+7,"Vence em 7 dias",IF($C838&lt;=TODAY()+30,"Vence em 30 dias","Futuro")))))))))</f>
        <v/>
      </c>
      <c r="Z838" s="24">
        <f>IF($B838="","",MONTH($B838))</f>
        <v/>
      </c>
      <c r="AA838" s="24">
        <f>IF($B838="","",YEAR($B838))</f>
        <v/>
      </c>
      <c r="AB838" s="24">
        <f>IF($B838="","",ISOWEEKNUM($B838))</f>
        <v/>
      </c>
      <c r="AC838" s="17">
        <f>IF($B838="","",CHOOSE(WEEKDAY($B838,2),"Segunda","Terça","Quarta","Quinta","Sexta","Sábado","Domingo"))</f>
        <v/>
      </c>
      <c r="AD838" s="17">
        <f>IF($B838="","",TEXT($B838,"MM/AAAA"))</f>
        <v/>
      </c>
      <c r="AE838" s="18">
        <f>IF(COUNTA($B838:$R838)=0,"",IF($X838="Cancelado",0,ROUND(N($Q838)+N($S838)+N($T838)-N($U838),2)))</f>
        <v/>
      </c>
      <c r="AF838" s="9">
        <f>IF($G838="","",IFERROR(INDEX(LINHAS_DRE_PLANO,MATCH($G838,SUBCATEGORIAS_PLANO,0)),"Não classificado"))</f>
        <v/>
      </c>
      <c r="AG838" s="17">
        <f>IF($G838="","",IFERROR(INDEX(TIPOS_FLUXO_PLANO,MATCH($G838,SUBCATEGORIAS_PLANO,0)),"Não classificado"))</f>
        <v/>
      </c>
      <c r="AH838" s="9">
        <f>IF($G838="","",IFERROR(INDEX(GRUPOS_PLANO,MATCH($G838,SUBCATEGORIAS_PLANO,0)),"Não classificado"))</f>
        <v/>
      </c>
      <c r="AI838" s="24">
        <f>IF(OR($C838="",$X838="Pago",$X838="Recebido",$X838="Cancelado"),"",$C838-TODAY())</f>
        <v/>
      </c>
      <c r="AJ838" s="24">
        <f>IF(OR($C838="",$X838="Pago",$X838="Recebido",$X838="Cancelado"),0,MAX(0,TODAY()-$C838))</f>
        <v/>
      </c>
      <c r="AK838" s="24">
        <f>IF($D838="","",$D838-$B838)</f>
        <v/>
      </c>
      <c r="AL838" s="18">
        <f>IF(OR($D838="",$B838=""),"",ROUND(N($R838)*($D838-$B838),2))</f>
        <v/>
      </c>
      <c r="AM838" s="17">
        <f>IF(AND($E838="Saída",$W838&gt;0,$C838&lt;&gt;""),$C838+ROW()/1000000,"")</f>
        <v/>
      </c>
      <c r="AN838" s="17">
        <f>IF(AND($E838="Entrada",$W838&gt;0,$C838&lt;&gt;""),$C838+ROW()/1000000,"")</f>
        <v/>
      </c>
      <c r="AO838" s="9">
        <f>IF(COUNTA($B838:$R838)=0,"",IF(AND($I838&lt;&gt;"",COUNTIF(CLIENTES_NOMES,$I838)+COUNTIF(CLIENTES_FANTASIA,$I838)+COUNTIF(FORNECEDORES_NOMES,$I838)+COUNTIF(FORNECEDORES_FANTASIA,$I838)=0),"⚠ Cliente/Fornecedor não cadastrado",IF(AND($G838&lt;&gt;"",COUNTIF(SUBCATEGORIAS_PLANO,$G838)=0),"⚠ Subcategoria fora do plano de contas",IF(OR($Q838="",N($Q838)=0),"⚠ Valor previsto não informado",IF(AND(OR($X838="Pago",$X838="Recebido"),$D838=""),"⚠ Status pago/recebido sem data",IF(AND($D838&lt;&gt;"",N($R838)=0),"⚠ Data de pagamento sem valor realizado",IF(AND(N($P838)&gt;1,N($O838)&gt;N($P838)),"⚠ Nº da parcela maior que o total",IF(AND($C838&lt;&gt;"",$B838&lt;&gt;"",$C838&lt;$B838),"⚠ Vencimento anterior à competência","OK"))))))))</f>
        <v/>
      </c>
    </row>
    <row r="839">
      <c r="A839" s="14" t="n"/>
      <c r="B839" s="36" t="n"/>
      <c r="C839" s="36" t="n"/>
      <c r="D839" s="36" t="n"/>
      <c r="E839" s="14" t="n"/>
      <c r="F839" s="29" t="n"/>
      <c r="G839" s="29" t="n"/>
      <c r="H839" s="29" t="n"/>
      <c r="I839" s="29" t="n"/>
      <c r="J839" s="29" t="n"/>
      <c r="K839" s="14" t="n"/>
      <c r="L839" s="29" t="n"/>
      <c r="M839" s="14" t="n"/>
      <c r="N839" s="29" t="n"/>
      <c r="O839" s="13" t="n"/>
      <c r="P839" s="13" t="n"/>
      <c r="Q839" s="35" t="n"/>
      <c r="R839" s="35" t="n"/>
      <c r="S839" s="35" t="n"/>
      <c r="T839" s="35" t="n"/>
      <c r="U839" s="35" t="n"/>
      <c r="V839" s="18">
        <f>IF(COUNTA($B839:$R839)=0,"",ROUND(N($R839)+N($S839)+N($T839)-N($U839),2))</f>
        <v/>
      </c>
      <c r="W839" s="18">
        <f>IF(COUNTA($B839:$R839)=0,"",IF(OR($X839="Pago",$X839="Recebido",$X839="Cancelado"),0,ROUND(N($Q839)+N($S839)+N($T839)-N($U839)-N($R839),2)))</f>
        <v/>
      </c>
      <c r="X839" s="14" t="n"/>
      <c r="Y839" s="17">
        <f>IF(COUNTA($B839:$R839)=0,"",IF($X839="Cancelado","Cancelado",IF(OR($X839="Pago",$X839="Recebido"),$X839,IF(OR($X839="Parcial",N($R839)&gt;0),"Parcial",IF($C839="","Sem vencimento",IF($C839&lt;TODAY(),"Vencido",IF($C839=TODAY(),"Vence hoje",IF($C839&lt;=TODAY()+7,"Vence em 7 dias",IF($C839&lt;=TODAY()+30,"Vence em 30 dias","Futuro")))))))))</f>
        <v/>
      </c>
      <c r="Z839" s="24">
        <f>IF($B839="","",MONTH($B839))</f>
        <v/>
      </c>
      <c r="AA839" s="24">
        <f>IF($B839="","",YEAR($B839))</f>
        <v/>
      </c>
      <c r="AB839" s="24">
        <f>IF($B839="","",ISOWEEKNUM($B839))</f>
        <v/>
      </c>
      <c r="AC839" s="17">
        <f>IF($B839="","",CHOOSE(WEEKDAY($B839,2),"Segunda","Terça","Quarta","Quinta","Sexta","Sábado","Domingo"))</f>
        <v/>
      </c>
      <c r="AD839" s="17">
        <f>IF($B839="","",TEXT($B839,"MM/AAAA"))</f>
        <v/>
      </c>
      <c r="AE839" s="18">
        <f>IF(COUNTA($B839:$R839)=0,"",IF($X839="Cancelado",0,ROUND(N($Q839)+N($S839)+N($T839)-N($U839),2)))</f>
        <v/>
      </c>
      <c r="AF839" s="9">
        <f>IF($G839="","",IFERROR(INDEX(LINHAS_DRE_PLANO,MATCH($G839,SUBCATEGORIAS_PLANO,0)),"Não classificado"))</f>
        <v/>
      </c>
      <c r="AG839" s="17">
        <f>IF($G839="","",IFERROR(INDEX(TIPOS_FLUXO_PLANO,MATCH($G839,SUBCATEGORIAS_PLANO,0)),"Não classificado"))</f>
        <v/>
      </c>
      <c r="AH839" s="9">
        <f>IF($G839="","",IFERROR(INDEX(GRUPOS_PLANO,MATCH($G839,SUBCATEGORIAS_PLANO,0)),"Não classificado"))</f>
        <v/>
      </c>
      <c r="AI839" s="24">
        <f>IF(OR($C839="",$X839="Pago",$X839="Recebido",$X839="Cancelado"),"",$C839-TODAY())</f>
        <v/>
      </c>
      <c r="AJ839" s="24">
        <f>IF(OR($C839="",$X839="Pago",$X839="Recebido",$X839="Cancelado"),0,MAX(0,TODAY()-$C839))</f>
        <v/>
      </c>
      <c r="AK839" s="24">
        <f>IF($D839="","",$D839-$B839)</f>
        <v/>
      </c>
      <c r="AL839" s="18">
        <f>IF(OR($D839="",$B839=""),"",ROUND(N($R839)*($D839-$B839),2))</f>
        <v/>
      </c>
      <c r="AM839" s="17">
        <f>IF(AND($E839="Saída",$W839&gt;0,$C839&lt;&gt;""),$C839+ROW()/1000000,"")</f>
        <v/>
      </c>
      <c r="AN839" s="17">
        <f>IF(AND($E839="Entrada",$W839&gt;0,$C839&lt;&gt;""),$C839+ROW()/1000000,"")</f>
        <v/>
      </c>
      <c r="AO839" s="9">
        <f>IF(COUNTA($B839:$R839)=0,"",IF(AND($I839&lt;&gt;"",COUNTIF(CLIENTES_NOMES,$I839)+COUNTIF(CLIENTES_FANTASIA,$I839)+COUNTIF(FORNECEDORES_NOMES,$I839)+COUNTIF(FORNECEDORES_FANTASIA,$I839)=0),"⚠ Cliente/Fornecedor não cadastrado",IF(AND($G839&lt;&gt;"",COUNTIF(SUBCATEGORIAS_PLANO,$G839)=0),"⚠ Subcategoria fora do plano de contas",IF(OR($Q839="",N($Q839)=0),"⚠ Valor previsto não informado",IF(AND(OR($X839="Pago",$X839="Recebido"),$D839=""),"⚠ Status pago/recebido sem data",IF(AND($D839&lt;&gt;"",N($R839)=0),"⚠ Data de pagamento sem valor realizado",IF(AND(N($P839)&gt;1,N($O839)&gt;N($P839)),"⚠ Nº da parcela maior que o total",IF(AND($C839&lt;&gt;"",$B839&lt;&gt;"",$C839&lt;$B839),"⚠ Vencimento anterior à competência","OK"))))))))</f>
        <v/>
      </c>
    </row>
    <row r="840">
      <c r="A840" s="14" t="n"/>
      <c r="B840" s="36" t="n"/>
      <c r="C840" s="36" t="n"/>
      <c r="D840" s="36" t="n"/>
      <c r="E840" s="14" t="n"/>
      <c r="F840" s="29" t="n"/>
      <c r="G840" s="29" t="n"/>
      <c r="H840" s="29" t="n"/>
      <c r="I840" s="29" t="n"/>
      <c r="J840" s="29" t="n"/>
      <c r="K840" s="14" t="n"/>
      <c r="L840" s="29" t="n"/>
      <c r="M840" s="14" t="n"/>
      <c r="N840" s="29" t="n"/>
      <c r="O840" s="13" t="n"/>
      <c r="P840" s="13" t="n"/>
      <c r="Q840" s="35" t="n"/>
      <c r="R840" s="35" t="n"/>
      <c r="S840" s="35" t="n"/>
      <c r="T840" s="35" t="n"/>
      <c r="U840" s="35" t="n"/>
      <c r="V840" s="18">
        <f>IF(COUNTA($B840:$R840)=0,"",ROUND(N($R840)+N($S840)+N($T840)-N($U840),2))</f>
        <v/>
      </c>
      <c r="W840" s="18">
        <f>IF(COUNTA($B840:$R840)=0,"",IF(OR($X840="Pago",$X840="Recebido",$X840="Cancelado"),0,ROUND(N($Q840)+N($S840)+N($T840)-N($U840)-N($R840),2)))</f>
        <v/>
      </c>
      <c r="X840" s="14" t="n"/>
      <c r="Y840" s="17">
        <f>IF(COUNTA($B840:$R840)=0,"",IF($X840="Cancelado","Cancelado",IF(OR($X840="Pago",$X840="Recebido"),$X840,IF(OR($X840="Parcial",N($R840)&gt;0),"Parcial",IF($C840="","Sem vencimento",IF($C840&lt;TODAY(),"Vencido",IF($C840=TODAY(),"Vence hoje",IF($C840&lt;=TODAY()+7,"Vence em 7 dias",IF($C840&lt;=TODAY()+30,"Vence em 30 dias","Futuro")))))))))</f>
        <v/>
      </c>
      <c r="Z840" s="24">
        <f>IF($B840="","",MONTH($B840))</f>
        <v/>
      </c>
      <c r="AA840" s="24">
        <f>IF($B840="","",YEAR($B840))</f>
        <v/>
      </c>
      <c r="AB840" s="24">
        <f>IF($B840="","",ISOWEEKNUM($B840))</f>
        <v/>
      </c>
      <c r="AC840" s="17">
        <f>IF($B840="","",CHOOSE(WEEKDAY($B840,2),"Segunda","Terça","Quarta","Quinta","Sexta","Sábado","Domingo"))</f>
        <v/>
      </c>
      <c r="AD840" s="17">
        <f>IF($B840="","",TEXT($B840,"MM/AAAA"))</f>
        <v/>
      </c>
      <c r="AE840" s="18">
        <f>IF(COUNTA($B840:$R840)=0,"",IF($X840="Cancelado",0,ROUND(N($Q840)+N($S840)+N($T840)-N($U840),2)))</f>
        <v/>
      </c>
      <c r="AF840" s="9">
        <f>IF($G840="","",IFERROR(INDEX(LINHAS_DRE_PLANO,MATCH($G840,SUBCATEGORIAS_PLANO,0)),"Não classificado"))</f>
        <v/>
      </c>
      <c r="AG840" s="17">
        <f>IF($G840="","",IFERROR(INDEX(TIPOS_FLUXO_PLANO,MATCH($G840,SUBCATEGORIAS_PLANO,0)),"Não classificado"))</f>
        <v/>
      </c>
      <c r="AH840" s="9">
        <f>IF($G840="","",IFERROR(INDEX(GRUPOS_PLANO,MATCH($G840,SUBCATEGORIAS_PLANO,0)),"Não classificado"))</f>
        <v/>
      </c>
      <c r="AI840" s="24">
        <f>IF(OR($C840="",$X840="Pago",$X840="Recebido",$X840="Cancelado"),"",$C840-TODAY())</f>
        <v/>
      </c>
      <c r="AJ840" s="24">
        <f>IF(OR($C840="",$X840="Pago",$X840="Recebido",$X840="Cancelado"),0,MAX(0,TODAY()-$C840))</f>
        <v/>
      </c>
      <c r="AK840" s="24">
        <f>IF($D840="","",$D840-$B840)</f>
        <v/>
      </c>
      <c r="AL840" s="18">
        <f>IF(OR($D840="",$B840=""),"",ROUND(N($R840)*($D840-$B840),2))</f>
        <v/>
      </c>
      <c r="AM840" s="17">
        <f>IF(AND($E840="Saída",$W840&gt;0,$C840&lt;&gt;""),$C840+ROW()/1000000,"")</f>
        <v/>
      </c>
      <c r="AN840" s="17">
        <f>IF(AND($E840="Entrada",$W840&gt;0,$C840&lt;&gt;""),$C840+ROW()/1000000,"")</f>
        <v/>
      </c>
      <c r="AO840" s="9">
        <f>IF(COUNTA($B840:$R840)=0,"",IF(AND($I840&lt;&gt;"",COUNTIF(CLIENTES_NOMES,$I840)+COUNTIF(CLIENTES_FANTASIA,$I840)+COUNTIF(FORNECEDORES_NOMES,$I840)+COUNTIF(FORNECEDORES_FANTASIA,$I840)=0),"⚠ Cliente/Fornecedor não cadastrado",IF(AND($G840&lt;&gt;"",COUNTIF(SUBCATEGORIAS_PLANO,$G840)=0),"⚠ Subcategoria fora do plano de contas",IF(OR($Q840="",N($Q840)=0),"⚠ Valor previsto não informado",IF(AND(OR($X840="Pago",$X840="Recebido"),$D840=""),"⚠ Status pago/recebido sem data",IF(AND($D840&lt;&gt;"",N($R840)=0),"⚠ Data de pagamento sem valor realizado",IF(AND(N($P840)&gt;1,N($O840)&gt;N($P840)),"⚠ Nº da parcela maior que o total",IF(AND($C840&lt;&gt;"",$B840&lt;&gt;"",$C840&lt;$B840),"⚠ Vencimento anterior à competência","OK"))))))))</f>
        <v/>
      </c>
    </row>
    <row r="841">
      <c r="A841" s="14" t="n"/>
      <c r="B841" s="36" t="n"/>
      <c r="C841" s="36" t="n"/>
      <c r="D841" s="36" t="n"/>
      <c r="E841" s="14" t="n"/>
      <c r="F841" s="29" t="n"/>
      <c r="G841" s="29" t="n"/>
      <c r="H841" s="29" t="n"/>
      <c r="I841" s="29" t="n"/>
      <c r="J841" s="29" t="n"/>
      <c r="K841" s="14" t="n"/>
      <c r="L841" s="29" t="n"/>
      <c r="M841" s="14" t="n"/>
      <c r="N841" s="29" t="n"/>
      <c r="O841" s="13" t="n"/>
      <c r="P841" s="13" t="n"/>
      <c r="Q841" s="35" t="n"/>
      <c r="R841" s="35" t="n"/>
      <c r="S841" s="35" t="n"/>
      <c r="T841" s="35" t="n"/>
      <c r="U841" s="35" t="n"/>
      <c r="V841" s="18">
        <f>IF(COUNTA($B841:$R841)=0,"",ROUND(N($R841)+N($S841)+N($T841)-N($U841),2))</f>
        <v/>
      </c>
      <c r="W841" s="18">
        <f>IF(COUNTA($B841:$R841)=0,"",IF(OR($X841="Pago",$X841="Recebido",$X841="Cancelado"),0,ROUND(N($Q841)+N($S841)+N($T841)-N($U841)-N($R841),2)))</f>
        <v/>
      </c>
      <c r="X841" s="14" t="n"/>
      <c r="Y841" s="17">
        <f>IF(COUNTA($B841:$R841)=0,"",IF($X841="Cancelado","Cancelado",IF(OR($X841="Pago",$X841="Recebido"),$X841,IF(OR($X841="Parcial",N($R841)&gt;0),"Parcial",IF($C841="","Sem vencimento",IF($C841&lt;TODAY(),"Vencido",IF($C841=TODAY(),"Vence hoje",IF($C841&lt;=TODAY()+7,"Vence em 7 dias",IF($C841&lt;=TODAY()+30,"Vence em 30 dias","Futuro")))))))))</f>
        <v/>
      </c>
      <c r="Z841" s="24">
        <f>IF($B841="","",MONTH($B841))</f>
        <v/>
      </c>
      <c r="AA841" s="24">
        <f>IF($B841="","",YEAR($B841))</f>
        <v/>
      </c>
      <c r="AB841" s="24">
        <f>IF($B841="","",ISOWEEKNUM($B841))</f>
        <v/>
      </c>
      <c r="AC841" s="17">
        <f>IF($B841="","",CHOOSE(WEEKDAY($B841,2),"Segunda","Terça","Quarta","Quinta","Sexta","Sábado","Domingo"))</f>
        <v/>
      </c>
      <c r="AD841" s="17">
        <f>IF($B841="","",TEXT($B841,"MM/AAAA"))</f>
        <v/>
      </c>
      <c r="AE841" s="18">
        <f>IF(COUNTA($B841:$R841)=0,"",IF($X841="Cancelado",0,ROUND(N($Q841)+N($S841)+N($T841)-N($U841),2)))</f>
        <v/>
      </c>
      <c r="AF841" s="9">
        <f>IF($G841="","",IFERROR(INDEX(LINHAS_DRE_PLANO,MATCH($G841,SUBCATEGORIAS_PLANO,0)),"Não classificado"))</f>
        <v/>
      </c>
      <c r="AG841" s="17">
        <f>IF($G841="","",IFERROR(INDEX(TIPOS_FLUXO_PLANO,MATCH($G841,SUBCATEGORIAS_PLANO,0)),"Não classificado"))</f>
        <v/>
      </c>
      <c r="AH841" s="9">
        <f>IF($G841="","",IFERROR(INDEX(GRUPOS_PLANO,MATCH($G841,SUBCATEGORIAS_PLANO,0)),"Não classificado"))</f>
        <v/>
      </c>
      <c r="AI841" s="24">
        <f>IF(OR($C841="",$X841="Pago",$X841="Recebido",$X841="Cancelado"),"",$C841-TODAY())</f>
        <v/>
      </c>
      <c r="AJ841" s="24">
        <f>IF(OR($C841="",$X841="Pago",$X841="Recebido",$X841="Cancelado"),0,MAX(0,TODAY()-$C841))</f>
        <v/>
      </c>
      <c r="AK841" s="24">
        <f>IF($D841="","",$D841-$B841)</f>
        <v/>
      </c>
      <c r="AL841" s="18">
        <f>IF(OR($D841="",$B841=""),"",ROUND(N($R841)*($D841-$B841),2))</f>
        <v/>
      </c>
      <c r="AM841" s="17">
        <f>IF(AND($E841="Saída",$W841&gt;0,$C841&lt;&gt;""),$C841+ROW()/1000000,"")</f>
        <v/>
      </c>
      <c r="AN841" s="17">
        <f>IF(AND($E841="Entrada",$W841&gt;0,$C841&lt;&gt;""),$C841+ROW()/1000000,"")</f>
        <v/>
      </c>
      <c r="AO841" s="9">
        <f>IF(COUNTA($B841:$R841)=0,"",IF(AND($I841&lt;&gt;"",COUNTIF(CLIENTES_NOMES,$I841)+COUNTIF(CLIENTES_FANTASIA,$I841)+COUNTIF(FORNECEDORES_NOMES,$I841)+COUNTIF(FORNECEDORES_FANTASIA,$I841)=0),"⚠ Cliente/Fornecedor não cadastrado",IF(AND($G841&lt;&gt;"",COUNTIF(SUBCATEGORIAS_PLANO,$G841)=0),"⚠ Subcategoria fora do plano de contas",IF(OR($Q841="",N($Q841)=0),"⚠ Valor previsto não informado",IF(AND(OR($X841="Pago",$X841="Recebido"),$D841=""),"⚠ Status pago/recebido sem data",IF(AND($D841&lt;&gt;"",N($R841)=0),"⚠ Data de pagamento sem valor realizado",IF(AND(N($P841)&gt;1,N($O841)&gt;N($P841)),"⚠ Nº da parcela maior que o total",IF(AND($C841&lt;&gt;"",$B841&lt;&gt;"",$C841&lt;$B841),"⚠ Vencimento anterior à competência","OK"))))))))</f>
        <v/>
      </c>
    </row>
    <row r="842">
      <c r="A842" s="14" t="n"/>
      <c r="B842" s="36" t="n"/>
      <c r="C842" s="36" t="n"/>
      <c r="D842" s="36" t="n"/>
      <c r="E842" s="14" t="n"/>
      <c r="F842" s="29" t="n"/>
      <c r="G842" s="29" t="n"/>
      <c r="H842" s="29" t="n"/>
      <c r="I842" s="29" t="n"/>
      <c r="J842" s="29" t="n"/>
      <c r="K842" s="14" t="n"/>
      <c r="L842" s="29" t="n"/>
      <c r="M842" s="14" t="n"/>
      <c r="N842" s="29" t="n"/>
      <c r="O842" s="13" t="n"/>
      <c r="P842" s="13" t="n"/>
      <c r="Q842" s="35" t="n"/>
      <c r="R842" s="35" t="n"/>
      <c r="S842" s="35" t="n"/>
      <c r="T842" s="35" t="n"/>
      <c r="U842" s="35" t="n"/>
      <c r="V842" s="18">
        <f>IF(COUNTA($B842:$R842)=0,"",ROUND(N($R842)+N($S842)+N($T842)-N($U842),2))</f>
        <v/>
      </c>
      <c r="W842" s="18">
        <f>IF(COUNTA($B842:$R842)=0,"",IF(OR($X842="Pago",$X842="Recebido",$X842="Cancelado"),0,ROUND(N($Q842)+N($S842)+N($T842)-N($U842)-N($R842),2)))</f>
        <v/>
      </c>
      <c r="X842" s="14" t="n"/>
      <c r="Y842" s="17">
        <f>IF(COUNTA($B842:$R842)=0,"",IF($X842="Cancelado","Cancelado",IF(OR($X842="Pago",$X842="Recebido"),$X842,IF(OR($X842="Parcial",N($R842)&gt;0),"Parcial",IF($C842="","Sem vencimento",IF($C842&lt;TODAY(),"Vencido",IF($C842=TODAY(),"Vence hoje",IF($C842&lt;=TODAY()+7,"Vence em 7 dias",IF($C842&lt;=TODAY()+30,"Vence em 30 dias","Futuro")))))))))</f>
        <v/>
      </c>
      <c r="Z842" s="24">
        <f>IF($B842="","",MONTH($B842))</f>
        <v/>
      </c>
      <c r="AA842" s="24">
        <f>IF($B842="","",YEAR($B842))</f>
        <v/>
      </c>
      <c r="AB842" s="24">
        <f>IF($B842="","",ISOWEEKNUM($B842))</f>
        <v/>
      </c>
      <c r="AC842" s="17">
        <f>IF($B842="","",CHOOSE(WEEKDAY($B842,2),"Segunda","Terça","Quarta","Quinta","Sexta","Sábado","Domingo"))</f>
        <v/>
      </c>
      <c r="AD842" s="17">
        <f>IF($B842="","",TEXT($B842,"MM/AAAA"))</f>
        <v/>
      </c>
      <c r="AE842" s="18">
        <f>IF(COUNTA($B842:$R842)=0,"",IF($X842="Cancelado",0,ROUND(N($Q842)+N($S842)+N($T842)-N($U842),2)))</f>
        <v/>
      </c>
      <c r="AF842" s="9">
        <f>IF($G842="","",IFERROR(INDEX(LINHAS_DRE_PLANO,MATCH($G842,SUBCATEGORIAS_PLANO,0)),"Não classificado"))</f>
        <v/>
      </c>
      <c r="AG842" s="17">
        <f>IF($G842="","",IFERROR(INDEX(TIPOS_FLUXO_PLANO,MATCH($G842,SUBCATEGORIAS_PLANO,0)),"Não classificado"))</f>
        <v/>
      </c>
      <c r="AH842" s="9">
        <f>IF($G842="","",IFERROR(INDEX(GRUPOS_PLANO,MATCH($G842,SUBCATEGORIAS_PLANO,0)),"Não classificado"))</f>
        <v/>
      </c>
      <c r="AI842" s="24">
        <f>IF(OR($C842="",$X842="Pago",$X842="Recebido",$X842="Cancelado"),"",$C842-TODAY())</f>
        <v/>
      </c>
      <c r="AJ842" s="24">
        <f>IF(OR($C842="",$X842="Pago",$X842="Recebido",$X842="Cancelado"),0,MAX(0,TODAY()-$C842))</f>
        <v/>
      </c>
      <c r="AK842" s="24">
        <f>IF($D842="","",$D842-$B842)</f>
        <v/>
      </c>
      <c r="AL842" s="18">
        <f>IF(OR($D842="",$B842=""),"",ROUND(N($R842)*($D842-$B842),2))</f>
        <v/>
      </c>
      <c r="AM842" s="17">
        <f>IF(AND($E842="Saída",$W842&gt;0,$C842&lt;&gt;""),$C842+ROW()/1000000,"")</f>
        <v/>
      </c>
      <c r="AN842" s="17">
        <f>IF(AND($E842="Entrada",$W842&gt;0,$C842&lt;&gt;""),$C842+ROW()/1000000,"")</f>
        <v/>
      </c>
      <c r="AO842" s="9">
        <f>IF(COUNTA($B842:$R842)=0,"",IF(AND($I842&lt;&gt;"",COUNTIF(CLIENTES_NOMES,$I842)+COUNTIF(CLIENTES_FANTASIA,$I842)+COUNTIF(FORNECEDORES_NOMES,$I842)+COUNTIF(FORNECEDORES_FANTASIA,$I842)=0),"⚠ Cliente/Fornecedor não cadastrado",IF(AND($G842&lt;&gt;"",COUNTIF(SUBCATEGORIAS_PLANO,$G842)=0),"⚠ Subcategoria fora do plano de contas",IF(OR($Q842="",N($Q842)=0),"⚠ Valor previsto não informado",IF(AND(OR($X842="Pago",$X842="Recebido"),$D842=""),"⚠ Status pago/recebido sem data",IF(AND($D842&lt;&gt;"",N($R842)=0),"⚠ Data de pagamento sem valor realizado",IF(AND(N($P842)&gt;1,N($O842)&gt;N($P842)),"⚠ Nº da parcela maior que o total",IF(AND($C842&lt;&gt;"",$B842&lt;&gt;"",$C842&lt;$B842),"⚠ Vencimento anterior à competência","OK"))))))))</f>
        <v/>
      </c>
    </row>
    <row r="843">
      <c r="A843" s="14" t="n"/>
      <c r="B843" s="36" t="n"/>
      <c r="C843" s="36" t="n"/>
      <c r="D843" s="36" t="n"/>
      <c r="E843" s="14" t="n"/>
      <c r="F843" s="29" t="n"/>
      <c r="G843" s="29" t="n"/>
      <c r="H843" s="29" t="n"/>
      <c r="I843" s="29" t="n"/>
      <c r="J843" s="29" t="n"/>
      <c r="K843" s="14" t="n"/>
      <c r="L843" s="29" t="n"/>
      <c r="M843" s="14" t="n"/>
      <c r="N843" s="29" t="n"/>
      <c r="O843" s="13" t="n"/>
      <c r="P843" s="13" t="n"/>
      <c r="Q843" s="35" t="n"/>
      <c r="R843" s="35" t="n"/>
      <c r="S843" s="35" t="n"/>
      <c r="T843" s="35" t="n"/>
      <c r="U843" s="35" t="n"/>
      <c r="V843" s="18">
        <f>IF(COUNTA($B843:$R843)=0,"",ROUND(N($R843)+N($S843)+N($T843)-N($U843),2))</f>
        <v/>
      </c>
      <c r="W843" s="18">
        <f>IF(COUNTA($B843:$R843)=0,"",IF(OR($X843="Pago",$X843="Recebido",$X843="Cancelado"),0,ROUND(N($Q843)+N($S843)+N($T843)-N($U843)-N($R843),2)))</f>
        <v/>
      </c>
      <c r="X843" s="14" t="n"/>
      <c r="Y843" s="17">
        <f>IF(COUNTA($B843:$R843)=0,"",IF($X843="Cancelado","Cancelado",IF(OR($X843="Pago",$X843="Recebido"),$X843,IF(OR($X843="Parcial",N($R843)&gt;0),"Parcial",IF($C843="","Sem vencimento",IF($C843&lt;TODAY(),"Vencido",IF($C843=TODAY(),"Vence hoje",IF($C843&lt;=TODAY()+7,"Vence em 7 dias",IF($C843&lt;=TODAY()+30,"Vence em 30 dias","Futuro")))))))))</f>
        <v/>
      </c>
      <c r="Z843" s="24">
        <f>IF($B843="","",MONTH($B843))</f>
        <v/>
      </c>
      <c r="AA843" s="24">
        <f>IF($B843="","",YEAR($B843))</f>
        <v/>
      </c>
      <c r="AB843" s="24">
        <f>IF($B843="","",ISOWEEKNUM($B843))</f>
        <v/>
      </c>
      <c r="AC843" s="17">
        <f>IF($B843="","",CHOOSE(WEEKDAY($B843,2),"Segunda","Terça","Quarta","Quinta","Sexta","Sábado","Domingo"))</f>
        <v/>
      </c>
      <c r="AD843" s="17">
        <f>IF($B843="","",TEXT($B843,"MM/AAAA"))</f>
        <v/>
      </c>
      <c r="AE843" s="18">
        <f>IF(COUNTA($B843:$R843)=0,"",IF($X843="Cancelado",0,ROUND(N($Q843)+N($S843)+N($T843)-N($U843),2)))</f>
        <v/>
      </c>
      <c r="AF843" s="9">
        <f>IF($G843="","",IFERROR(INDEX(LINHAS_DRE_PLANO,MATCH($G843,SUBCATEGORIAS_PLANO,0)),"Não classificado"))</f>
        <v/>
      </c>
      <c r="AG843" s="17">
        <f>IF($G843="","",IFERROR(INDEX(TIPOS_FLUXO_PLANO,MATCH($G843,SUBCATEGORIAS_PLANO,0)),"Não classificado"))</f>
        <v/>
      </c>
      <c r="AH843" s="9">
        <f>IF($G843="","",IFERROR(INDEX(GRUPOS_PLANO,MATCH($G843,SUBCATEGORIAS_PLANO,0)),"Não classificado"))</f>
        <v/>
      </c>
      <c r="AI843" s="24">
        <f>IF(OR($C843="",$X843="Pago",$X843="Recebido",$X843="Cancelado"),"",$C843-TODAY())</f>
        <v/>
      </c>
      <c r="AJ843" s="24">
        <f>IF(OR($C843="",$X843="Pago",$X843="Recebido",$X843="Cancelado"),0,MAX(0,TODAY()-$C843))</f>
        <v/>
      </c>
      <c r="AK843" s="24">
        <f>IF($D843="","",$D843-$B843)</f>
        <v/>
      </c>
      <c r="AL843" s="18">
        <f>IF(OR($D843="",$B843=""),"",ROUND(N($R843)*($D843-$B843),2))</f>
        <v/>
      </c>
      <c r="AM843" s="17">
        <f>IF(AND($E843="Saída",$W843&gt;0,$C843&lt;&gt;""),$C843+ROW()/1000000,"")</f>
        <v/>
      </c>
      <c r="AN843" s="17">
        <f>IF(AND($E843="Entrada",$W843&gt;0,$C843&lt;&gt;""),$C843+ROW()/1000000,"")</f>
        <v/>
      </c>
      <c r="AO843" s="9">
        <f>IF(COUNTA($B843:$R843)=0,"",IF(AND($I843&lt;&gt;"",COUNTIF(CLIENTES_NOMES,$I843)+COUNTIF(CLIENTES_FANTASIA,$I843)+COUNTIF(FORNECEDORES_NOMES,$I843)+COUNTIF(FORNECEDORES_FANTASIA,$I843)=0),"⚠ Cliente/Fornecedor não cadastrado",IF(AND($G843&lt;&gt;"",COUNTIF(SUBCATEGORIAS_PLANO,$G843)=0),"⚠ Subcategoria fora do plano de contas",IF(OR($Q843="",N($Q843)=0),"⚠ Valor previsto não informado",IF(AND(OR($X843="Pago",$X843="Recebido"),$D843=""),"⚠ Status pago/recebido sem data",IF(AND($D843&lt;&gt;"",N($R843)=0),"⚠ Data de pagamento sem valor realizado",IF(AND(N($P843)&gt;1,N($O843)&gt;N($P843)),"⚠ Nº da parcela maior que o total",IF(AND($C843&lt;&gt;"",$B843&lt;&gt;"",$C843&lt;$B843),"⚠ Vencimento anterior à competência","OK"))))))))</f>
        <v/>
      </c>
    </row>
    <row r="844">
      <c r="A844" s="14" t="n"/>
      <c r="B844" s="36" t="n"/>
      <c r="C844" s="36" t="n"/>
      <c r="D844" s="36" t="n"/>
      <c r="E844" s="14" t="n"/>
      <c r="F844" s="29" t="n"/>
      <c r="G844" s="29" t="n"/>
      <c r="H844" s="29" t="n"/>
      <c r="I844" s="29" t="n"/>
      <c r="J844" s="29" t="n"/>
      <c r="K844" s="14" t="n"/>
      <c r="L844" s="29" t="n"/>
      <c r="M844" s="14" t="n"/>
      <c r="N844" s="29" t="n"/>
      <c r="O844" s="13" t="n"/>
      <c r="P844" s="13" t="n"/>
      <c r="Q844" s="35" t="n"/>
      <c r="R844" s="35" t="n"/>
      <c r="S844" s="35" t="n"/>
      <c r="T844" s="35" t="n"/>
      <c r="U844" s="35" t="n"/>
      <c r="V844" s="18">
        <f>IF(COUNTA($B844:$R844)=0,"",ROUND(N($R844)+N($S844)+N($T844)-N($U844),2))</f>
        <v/>
      </c>
      <c r="W844" s="18">
        <f>IF(COUNTA($B844:$R844)=0,"",IF(OR($X844="Pago",$X844="Recebido",$X844="Cancelado"),0,ROUND(N($Q844)+N($S844)+N($T844)-N($U844)-N($R844),2)))</f>
        <v/>
      </c>
      <c r="X844" s="14" t="n"/>
      <c r="Y844" s="17">
        <f>IF(COUNTA($B844:$R844)=0,"",IF($X844="Cancelado","Cancelado",IF(OR($X844="Pago",$X844="Recebido"),$X844,IF(OR($X844="Parcial",N($R844)&gt;0),"Parcial",IF($C844="","Sem vencimento",IF($C844&lt;TODAY(),"Vencido",IF($C844=TODAY(),"Vence hoje",IF($C844&lt;=TODAY()+7,"Vence em 7 dias",IF($C844&lt;=TODAY()+30,"Vence em 30 dias","Futuro")))))))))</f>
        <v/>
      </c>
      <c r="Z844" s="24">
        <f>IF($B844="","",MONTH($B844))</f>
        <v/>
      </c>
      <c r="AA844" s="24">
        <f>IF($B844="","",YEAR($B844))</f>
        <v/>
      </c>
      <c r="AB844" s="24">
        <f>IF($B844="","",ISOWEEKNUM($B844))</f>
        <v/>
      </c>
      <c r="AC844" s="17">
        <f>IF($B844="","",CHOOSE(WEEKDAY($B844,2),"Segunda","Terça","Quarta","Quinta","Sexta","Sábado","Domingo"))</f>
        <v/>
      </c>
      <c r="AD844" s="17">
        <f>IF($B844="","",TEXT($B844,"MM/AAAA"))</f>
        <v/>
      </c>
      <c r="AE844" s="18">
        <f>IF(COUNTA($B844:$R844)=0,"",IF($X844="Cancelado",0,ROUND(N($Q844)+N($S844)+N($T844)-N($U844),2)))</f>
        <v/>
      </c>
      <c r="AF844" s="9">
        <f>IF($G844="","",IFERROR(INDEX(LINHAS_DRE_PLANO,MATCH($G844,SUBCATEGORIAS_PLANO,0)),"Não classificado"))</f>
        <v/>
      </c>
      <c r="AG844" s="17">
        <f>IF($G844="","",IFERROR(INDEX(TIPOS_FLUXO_PLANO,MATCH($G844,SUBCATEGORIAS_PLANO,0)),"Não classificado"))</f>
        <v/>
      </c>
      <c r="AH844" s="9">
        <f>IF($G844="","",IFERROR(INDEX(GRUPOS_PLANO,MATCH($G844,SUBCATEGORIAS_PLANO,0)),"Não classificado"))</f>
        <v/>
      </c>
      <c r="AI844" s="24">
        <f>IF(OR($C844="",$X844="Pago",$X844="Recebido",$X844="Cancelado"),"",$C844-TODAY())</f>
        <v/>
      </c>
      <c r="AJ844" s="24">
        <f>IF(OR($C844="",$X844="Pago",$X844="Recebido",$X844="Cancelado"),0,MAX(0,TODAY()-$C844))</f>
        <v/>
      </c>
      <c r="AK844" s="24">
        <f>IF($D844="","",$D844-$B844)</f>
        <v/>
      </c>
      <c r="AL844" s="18">
        <f>IF(OR($D844="",$B844=""),"",ROUND(N($R844)*($D844-$B844),2))</f>
        <v/>
      </c>
      <c r="AM844" s="17">
        <f>IF(AND($E844="Saída",$W844&gt;0,$C844&lt;&gt;""),$C844+ROW()/1000000,"")</f>
        <v/>
      </c>
      <c r="AN844" s="17">
        <f>IF(AND($E844="Entrada",$W844&gt;0,$C844&lt;&gt;""),$C844+ROW()/1000000,"")</f>
        <v/>
      </c>
      <c r="AO844" s="9">
        <f>IF(COUNTA($B844:$R844)=0,"",IF(AND($I844&lt;&gt;"",COUNTIF(CLIENTES_NOMES,$I844)+COUNTIF(CLIENTES_FANTASIA,$I844)+COUNTIF(FORNECEDORES_NOMES,$I844)+COUNTIF(FORNECEDORES_FANTASIA,$I844)=0),"⚠ Cliente/Fornecedor não cadastrado",IF(AND($G844&lt;&gt;"",COUNTIF(SUBCATEGORIAS_PLANO,$G844)=0),"⚠ Subcategoria fora do plano de contas",IF(OR($Q844="",N($Q844)=0),"⚠ Valor previsto não informado",IF(AND(OR($X844="Pago",$X844="Recebido"),$D844=""),"⚠ Status pago/recebido sem data",IF(AND($D844&lt;&gt;"",N($R844)=0),"⚠ Data de pagamento sem valor realizado",IF(AND(N($P844)&gt;1,N($O844)&gt;N($P844)),"⚠ Nº da parcela maior que o total",IF(AND($C844&lt;&gt;"",$B844&lt;&gt;"",$C844&lt;$B844),"⚠ Vencimento anterior à competência","OK"))))))))</f>
        <v/>
      </c>
    </row>
    <row r="845">
      <c r="A845" s="14" t="n"/>
      <c r="B845" s="36" t="n"/>
      <c r="C845" s="36" t="n"/>
      <c r="D845" s="36" t="n"/>
      <c r="E845" s="14" t="n"/>
      <c r="F845" s="29" t="n"/>
      <c r="G845" s="29" t="n"/>
      <c r="H845" s="29" t="n"/>
      <c r="I845" s="29" t="n"/>
      <c r="J845" s="29" t="n"/>
      <c r="K845" s="14" t="n"/>
      <c r="L845" s="29" t="n"/>
      <c r="M845" s="14" t="n"/>
      <c r="N845" s="29" t="n"/>
      <c r="O845" s="13" t="n"/>
      <c r="P845" s="13" t="n"/>
      <c r="Q845" s="35" t="n"/>
      <c r="R845" s="35" t="n"/>
      <c r="S845" s="35" t="n"/>
      <c r="T845" s="35" t="n"/>
      <c r="U845" s="35" t="n"/>
      <c r="V845" s="18">
        <f>IF(COUNTA($B845:$R845)=0,"",ROUND(N($R845)+N($S845)+N($T845)-N($U845),2))</f>
        <v/>
      </c>
      <c r="W845" s="18">
        <f>IF(COUNTA($B845:$R845)=0,"",IF(OR($X845="Pago",$X845="Recebido",$X845="Cancelado"),0,ROUND(N($Q845)+N($S845)+N($T845)-N($U845)-N($R845),2)))</f>
        <v/>
      </c>
      <c r="X845" s="14" t="n"/>
      <c r="Y845" s="17">
        <f>IF(COUNTA($B845:$R845)=0,"",IF($X845="Cancelado","Cancelado",IF(OR($X845="Pago",$X845="Recebido"),$X845,IF(OR($X845="Parcial",N($R845)&gt;0),"Parcial",IF($C845="","Sem vencimento",IF($C845&lt;TODAY(),"Vencido",IF($C845=TODAY(),"Vence hoje",IF($C845&lt;=TODAY()+7,"Vence em 7 dias",IF($C845&lt;=TODAY()+30,"Vence em 30 dias","Futuro")))))))))</f>
        <v/>
      </c>
      <c r="Z845" s="24">
        <f>IF($B845="","",MONTH($B845))</f>
        <v/>
      </c>
      <c r="AA845" s="24">
        <f>IF($B845="","",YEAR($B845))</f>
        <v/>
      </c>
      <c r="AB845" s="24">
        <f>IF($B845="","",ISOWEEKNUM($B845))</f>
        <v/>
      </c>
      <c r="AC845" s="17">
        <f>IF($B845="","",CHOOSE(WEEKDAY($B845,2),"Segunda","Terça","Quarta","Quinta","Sexta","Sábado","Domingo"))</f>
        <v/>
      </c>
      <c r="AD845" s="17">
        <f>IF($B845="","",TEXT($B845,"MM/AAAA"))</f>
        <v/>
      </c>
      <c r="AE845" s="18">
        <f>IF(COUNTA($B845:$R845)=0,"",IF($X845="Cancelado",0,ROUND(N($Q845)+N($S845)+N($T845)-N($U845),2)))</f>
        <v/>
      </c>
      <c r="AF845" s="9">
        <f>IF($G845="","",IFERROR(INDEX(LINHAS_DRE_PLANO,MATCH($G845,SUBCATEGORIAS_PLANO,0)),"Não classificado"))</f>
        <v/>
      </c>
      <c r="AG845" s="17">
        <f>IF($G845="","",IFERROR(INDEX(TIPOS_FLUXO_PLANO,MATCH($G845,SUBCATEGORIAS_PLANO,0)),"Não classificado"))</f>
        <v/>
      </c>
      <c r="AH845" s="9">
        <f>IF($G845="","",IFERROR(INDEX(GRUPOS_PLANO,MATCH($G845,SUBCATEGORIAS_PLANO,0)),"Não classificado"))</f>
        <v/>
      </c>
      <c r="AI845" s="24">
        <f>IF(OR($C845="",$X845="Pago",$X845="Recebido",$X845="Cancelado"),"",$C845-TODAY())</f>
        <v/>
      </c>
      <c r="AJ845" s="24">
        <f>IF(OR($C845="",$X845="Pago",$X845="Recebido",$X845="Cancelado"),0,MAX(0,TODAY()-$C845))</f>
        <v/>
      </c>
      <c r="AK845" s="24">
        <f>IF($D845="","",$D845-$B845)</f>
        <v/>
      </c>
      <c r="AL845" s="18">
        <f>IF(OR($D845="",$B845=""),"",ROUND(N($R845)*($D845-$B845),2))</f>
        <v/>
      </c>
      <c r="AM845" s="17">
        <f>IF(AND($E845="Saída",$W845&gt;0,$C845&lt;&gt;""),$C845+ROW()/1000000,"")</f>
        <v/>
      </c>
      <c r="AN845" s="17">
        <f>IF(AND($E845="Entrada",$W845&gt;0,$C845&lt;&gt;""),$C845+ROW()/1000000,"")</f>
        <v/>
      </c>
      <c r="AO845" s="9">
        <f>IF(COUNTA($B845:$R845)=0,"",IF(AND($I845&lt;&gt;"",COUNTIF(CLIENTES_NOMES,$I845)+COUNTIF(CLIENTES_FANTASIA,$I845)+COUNTIF(FORNECEDORES_NOMES,$I845)+COUNTIF(FORNECEDORES_FANTASIA,$I845)=0),"⚠ Cliente/Fornecedor não cadastrado",IF(AND($G845&lt;&gt;"",COUNTIF(SUBCATEGORIAS_PLANO,$G845)=0),"⚠ Subcategoria fora do plano de contas",IF(OR($Q845="",N($Q845)=0),"⚠ Valor previsto não informado",IF(AND(OR($X845="Pago",$X845="Recebido"),$D845=""),"⚠ Status pago/recebido sem data",IF(AND($D845&lt;&gt;"",N($R845)=0),"⚠ Data de pagamento sem valor realizado",IF(AND(N($P845)&gt;1,N($O845)&gt;N($P845)),"⚠ Nº da parcela maior que o total",IF(AND($C845&lt;&gt;"",$B845&lt;&gt;"",$C845&lt;$B845),"⚠ Vencimento anterior à competência","OK"))))))))</f>
        <v/>
      </c>
    </row>
    <row r="846">
      <c r="A846" s="14" t="n"/>
      <c r="B846" s="36" t="n"/>
      <c r="C846" s="36" t="n"/>
      <c r="D846" s="36" t="n"/>
      <c r="E846" s="14" t="n"/>
      <c r="F846" s="29" t="n"/>
      <c r="G846" s="29" t="n"/>
      <c r="H846" s="29" t="n"/>
      <c r="I846" s="29" t="n"/>
      <c r="J846" s="29" t="n"/>
      <c r="K846" s="14" t="n"/>
      <c r="L846" s="29" t="n"/>
      <c r="M846" s="14" t="n"/>
      <c r="N846" s="29" t="n"/>
      <c r="O846" s="13" t="n"/>
      <c r="P846" s="13" t="n"/>
      <c r="Q846" s="35" t="n"/>
      <c r="R846" s="35" t="n"/>
      <c r="S846" s="35" t="n"/>
      <c r="T846" s="35" t="n"/>
      <c r="U846" s="35" t="n"/>
      <c r="V846" s="18">
        <f>IF(COUNTA($B846:$R846)=0,"",ROUND(N($R846)+N($S846)+N($T846)-N($U846),2))</f>
        <v/>
      </c>
      <c r="W846" s="18">
        <f>IF(COUNTA($B846:$R846)=0,"",IF(OR($X846="Pago",$X846="Recebido",$X846="Cancelado"),0,ROUND(N($Q846)+N($S846)+N($T846)-N($U846)-N($R846),2)))</f>
        <v/>
      </c>
      <c r="X846" s="14" t="n"/>
      <c r="Y846" s="17">
        <f>IF(COUNTA($B846:$R846)=0,"",IF($X846="Cancelado","Cancelado",IF(OR($X846="Pago",$X846="Recebido"),$X846,IF(OR($X846="Parcial",N($R846)&gt;0),"Parcial",IF($C846="","Sem vencimento",IF($C846&lt;TODAY(),"Vencido",IF($C846=TODAY(),"Vence hoje",IF($C846&lt;=TODAY()+7,"Vence em 7 dias",IF($C846&lt;=TODAY()+30,"Vence em 30 dias","Futuro")))))))))</f>
        <v/>
      </c>
      <c r="Z846" s="24">
        <f>IF($B846="","",MONTH($B846))</f>
        <v/>
      </c>
      <c r="AA846" s="24">
        <f>IF($B846="","",YEAR($B846))</f>
        <v/>
      </c>
      <c r="AB846" s="24">
        <f>IF($B846="","",ISOWEEKNUM($B846))</f>
        <v/>
      </c>
      <c r="AC846" s="17">
        <f>IF($B846="","",CHOOSE(WEEKDAY($B846,2),"Segunda","Terça","Quarta","Quinta","Sexta","Sábado","Domingo"))</f>
        <v/>
      </c>
      <c r="AD846" s="17">
        <f>IF($B846="","",TEXT($B846,"MM/AAAA"))</f>
        <v/>
      </c>
      <c r="AE846" s="18">
        <f>IF(COUNTA($B846:$R846)=0,"",IF($X846="Cancelado",0,ROUND(N($Q846)+N($S846)+N($T846)-N($U846),2)))</f>
        <v/>
      </c>
      <c r="AF846" s="9">
        <f>IF($G846="","",IFERROR(INDEX(LINHAS_DRE_PLANO,MATCH($G846,SUBCATEGORIAS_PLANO,0)),"Não classificado"))</f>
        <v/>
      </c>
      <c r="AG846" s="17">
        <f>IF($G846="","",IFERROR(INDEX(TIPOS_FLUXO_PLANO,MATCH($G846,SUBCATEGORIAS_PLANO,0)),"Não classificado"))</f>
        <v/>
      </c>
      <c r="AH846" s="9">
        <f>IF($G846="","",IFERROR(INDEX(GRUPOS_PLANO,MATCH($G846,SUBCATEGORIAS_PLANO,0)),"Não classificado"))</f>
        <v/>
      </c>
      <c r="AI846" s="24">
        <f>IF(OR($C846="",$X846="Pago",$X846="Recebido",$X846="Cancelado"),"",$C846-TODAY())</f>
        <v/>
      </c>
      <c r="AJ846" s="24">
        <f>IF(OR($C846="",$X846="Pago",$X846="Recebido",$X846="Cancelado"),0,MAX(0,TODAY()-$C846))</f>
        <v/>
      </c>
      <c r="AK846" s="24">
        <f>IF($D846="","",$D846-$B846)</f>
        <v/>
      </c>
      <c r="AL846" s="18">
        <f>IF(OR($D846="",$B846=""),"",ROUND(N($R846)*($D846-$B846),2))</f>
        <v/>
      </c>
      <c r="AM846" s="17">
        <f>IF(AND($E846="Saída",$W846&gt;0,$C846&lt;&gt;""),$C846+ROW()/1000000,"")</f>
        <v/>
      </c>
      <c r="AN846" s="17">
        <f>IF(AND($E846="Entrada",$W846&gt;0,$C846&lt;&gt;""),$C846+ROW()/1000000,"")</f>
        <v/>
      </c>
      <c r="AO846" s="9">
        <f>IF(COUNTA($B846:$R846)=0,"",IF(AND($I846&lt;&gt;"",COUNTIF(CLIENTES_NOMES,$I846)+COUNTIF(CLIENTES_FANTASIA,$I846)+COUNTIF(FORNECEDORES_NOMES,$I846)+COUNTIF(FORNECEDORES_FANTASIA,$I846)=0),"⚠ Cliente/Fornecedor não cadastrado",IF(AND($G846&lt;&gt;"",COUNTIF(SUBCATEGORIAS_PLANO,$G846)=0),"⚠ Subcategoria fora do plano de contas",IF(OR($Q846="",N($Q846)=0),"⚠ Valor previsto não informado",IF(AND(OR($X846="Pago",$X846="Recebido"),$D846=""),"⚠ Status pago/recebido sem data",IF(AND($D846&lt;&gt;"",N($R846)=0),"⚠ Data de pagamento sem valor realizado",IF(AND(N($P846)&gt;1,N($O846)&gt;N($P846)),"⚠ Nº da parcela maior que o total",IF(AND($C846&lt;&gt;"",$B846&lt;&gt;"",$C846&lt;$B846),"⚠ Vencimento anterior à competência","OK"))))))))</f>
        <v/>
      </c>
    </row>
    <row r="847">
      <c r="A847" s="14" t="n"/>
      <c r="B847" s="36" t="n"/>
      <c r="C847" s="36" t="n"/>
      <c r="D847" s="36" t="n"/>
      <c r="E847" s="14" t="n"/>
      <c r="F847" s="29" t="n"/>
      <c r="G847" s="29" t="n"/>
      <c r="H847" s="29" t="n"/>
      <c r="I847" s="29" t="n"/>
      <c r="J847" s="29" t="n"/>
      <c r="K847" s="14" t="n"/>
      <c r="L847" s="29" t="n"/>
      <c r="M847" s="14" t="n"/>
      <c r="N847" s="29" t="n"/>
      <c r="O847" s="13" t="n"/>
      <c r="P847" s="13" t="n"/>
      <c r="Q847" s="35" t="n"/>
      <c r="R847" s="35" t="n"/>
      <c r="S847" s="35" t="n"/>
      <c r="T847" s="35" t="n"/>
      <c r="U847" s="35" t="n"/>
      <c r="V847" s="18">
        <f>IF(COUNTA($B847:$R847)=0,"",ROUND(N($R847)+N($S847)+N($T847)-N($U847),2))</f>
        <v/>
      </c>
      <c r="W847" s="18">
        <f>IF(COUNTA($B847:$R847)=0,"",IF(OR($X847="Pago",$X847="Recebido",$X847="Cancelado"),0,ROUND(N($Q847)+N($S847)+N($T847)-N($U847)-N($R847),2)))</f>
        <v/>
      </c>
      <c r="X847" s="14" t="n"/>
      <c r="Y847" s="17">
        <f>IF(COUNTA($B847:$R847)=0,"",IF($X847="Cancelado","Cancelado",IF(OR($X847="Pago",$X847="Recebido"),$X847,IF(OR($X847="Parcial",N($R847)&gt;0),"Parcial",IF($C847="","Sem vencimento",IF($C847&lt;TODAY(),"Vencido",IF($C847=TODAY(),"Vence hoje",IF($C847&lt;=TODAY()+7,"Vence em 7 dias",IF($C847&lt;=TODAY()+30,"Vence em 30 dias","Futuro")))))))))</f>
        <v/>
      </c>
      <c r="Z847" s="24">
        <f>IF($B847="","",MONTH($B847))</f>
        <v/>
      </c>
      <c r="AA847" s="24">
        <f>IF($B847="","",YEAR($B847))</f>
        <v/>
      </c>
      <c r="AB847" s="24">
        <f>IF($B847="","",ISOWEEKNUM($B847))</f>
        <v/>
      </c>
      <c r="AC847" s="17">
        <f>IF($B847="","",CHOOSE(WEEKDAY($B847,2),"Segunda","Terça","Quarta","Quinta","Sexta","Sábado","Domingo"))</f>
        <v/>
      </c>
      <c r="AD847" s="17">
        <f>IF($B847="","",TEXT($B847,"MM/AAAA"))</f>
        <v/>
      </c>
      <c r="AE847" s="18">
        <f>IF(COUNTA($B847:$R847)=0,"",IF($X847="Cancelado",0,ROUND(N($Q847)+N($S847)+N($T847)-N($U847),2)))</f>
        <v/>
      </c>
      <c r="AF847" s="9">
        <f>IF($G847="","",IFERROR(INDEX(LINHAS_DRE_PLANO,MATCH($G847,SUBCATEGORIAS_PLANO,0)),"Não classificado"))</f>
        <v/>
      </c>
      <c r="AG847" s="17">
        <f>IF($G847="","",IFERROR(INDEX(TIPOS_FLUXO_PLANO,MATCH($G847,SUBCATEGORIAS_PLANO,0)),"Não classificado"))</f>
        <v/>
      </c>
      <c r="AH847" s="9">
        <f>IF($G847="","",IFERROR(INDEX(GRUPOS_PLANO,MATCH($G847,SUBCATEGORIAS_PLANO,0)),"Não classificado"))</f>
        <v/>
      </c>
      <c r="AI847" s="24">
        <f>IF(OR($C847="",$X847="Pago",$X847="Recebido",$X847="Cancelado"),"",$C847-TODAY())</f>
        <v/>
      </c>
      <c r="AJ847" s="24">
        <f>IF(OR($C847="",$X847="Pago",$X847="Recebido",$X847="Cancelado"),0,MAX(0,TODAY()-$C847))</f>
        <v/>
      </c>
      <c r="AK847" s="24">
        <f>IF($D847="","",$D847-$B847)</f>
        <v/>
      </c>
      <c r="AL847" s="18">
        <f>IF(OR($D847="",$B847=""),"",ROUND(N($R847)*($D847-$B847),2))</f>
        <v/>
      </c>
      <c r="AM847" s="17">
        <f>IF(AND($E847="Saída",$W847&gt;0,$C847&lt;&gt;""),$C847+ROW()/1000000,"")</f>
        <v/>
      </c>
      <c r="AN847" s="17">
        <f>IF(AND($E847="Entrada",$W847&gt;0,$C847&lt;&gt;""),$C847+ROW()/1000000,"")</f>
        <v/>
      </c>
      <c r="AO847" s="9">
        <f>IF(COUNTA($B847:$R847)=0,"",IF(AND($I847&lt;&gt;"",COUNTIF(CLIENTES_NOMES,$I847)+COUNTIF(CLIENTES_FANTASIA,$I847)+COUNTIF(FORNECEDORES_NOMES,$I847)+COUNTIF(FORNECEDORES_FANTASIA,$I847)=0),"⚠ Cliente/Fornecedor não cadastrado",IF(AND($G847&lt;&gt;"",COUNTIF(SUBCATEGORIAS_PLANO,$G847)=0),"⚠ Subcategoria fora do plano de contas",IF(OR($Q847="",N($Q847)=0),"⚠ Valor previsto não informado",IF(AND(OR($X847="Pago",$X847="Recebido"),$D847=""),"⚠ Status pago/recebido sem data",IF(AND($D847&lt;&gt;"",N($R847)=0),"⚠ Data de pagamento sem valor realizado",IF(AND(N($P847)&gt;1,N($O847)&gt;N($P847)),"⚠ Nº da parcela maior que o total",IF(AND($C847&lt;&gt;"",$B847&lt;&gt;"",$C847&lt;$B847),"⚠ Vencimento anterior à competência","OK"))))))))</f>
        <v/>
      </c>
    </row>
    <row r="848">
      <c r="A848" s="14" t="n"/>
      <c r="B848" s="36" t="n"/>
      <c r="C848" s="36" t="n"/>
      <c r="D848" s="36" t="n"/>
      <c r="E848" s="14" t="n"/>
      <c r="F848" s="29" t="n"/>
      <c r="G848" s="29" t="n"/>
      <c r="H848" s="29" t="n"/>
      <c r="I848" s="29" t="n"/>
      <c r="J848" s="29" t="n"/>
      <c r="K848" s="14" t="n"/>
      <c r="L848" s="29" t="n"/>
      <c r="M848" s="14" t="n"/>
      <c r="N848" s="29" t="n"/>
      <c r="O848" s="13" t="n"/>
      <c r="P848" s="13" t="n"/>
      <c r="Q848" s="35" t="n"/>
      <c r="R848" s="35" t="n"/>
      <c r="S848" s="35" t="n"/>
      <c r="T848" s="35" t="n"/>
      <c r="U848" s="35" t="n"/>
      <c r="V848" s="18">
        <f>IF(COUNTA($B848:$R848)=0,"",ROUND(N($R848)+N($S848)+N($T848)-N($U848),2))</f>
        <v/>
      </c>
      <c r="W848" s="18">
        <f>IF(COUNTA($B848:$R848)=0,"",IF(OR($X848="Pago",$X848="Recebido",$X848="Cancelado"),0,ROUND(N($Q848)+N($S848)+N($T848)-N($U848)-N($R848),2)))</f>
        <v/>
      </c>
      <c r="X848" s="14" t="n"/>
      <c r="Y848" s="17">
        <f>IF(COUNTA($B848:$R848)=0,"",IF($X848="Cancelado","Cancelado",IF(OR($X848="Pago",$X848="Recebido"),$X848,IF(OR($X848="Parcial",N($R848)&gt;0),"Parcial",IF($C848="","Sem vencimento",IF($C848&lt;TODAY(),"Vencido",IF($C848=TODAY(),"Vence hoje",IF($C848&lt;=TODAY()+7,"Vence em 7 dias",IF($C848&lt;=TODAY()+30,"Vence em 30 dias","Futuro")))))))))</f>
        <v/>
      </c>
      <c r="Z848" s="24">
        <f>IF($B848="","",MONTH($B848))</f>
        <v/>
      </c>
      <c r="AA848" s="24">
        <f>IF($B848="","",YEAR($B848))</f>
        <v/>
      </c>
      <c r="AB848" s="24">
        <f>IF($B848="","",ISOWEEKNUM($B848))</f>
        <v/>
      </c>
      <c r="AC848" s="17">
        <f>IF($B848="","",CHOOSE(WEEKDAY($B848,2),"Segunda","Terça","Quarta","Quinta","Sexta","Sábado","Domingo"))</f>
        <v/>
      </c>
      <c r="AD848" s="17">
        <f>IF($B848="","",TEXT($B848,"MM/AAAA"))</f>
        <v/>
      </c>
      <c r="AE848" s="18">
        <f>IF(COUNTA($B848:$R848)=0,"",IF($X848="Cancelado",0,ROUND(N($Q848)+N($S848)+N($T848)-N($U848),2)))</f>
        <v/>
      </c>
      <c r="AF848" s="9">
        <f>IF($G848="","",IFERROR(INDEX(LINHAS_DRE_PLANO,MATCH($G848,SUBCATEGORIAS_PLANO,0)),"Não classificado"))</f>
        <v/>
      </c>
      <c r="AG848" s="17">
        <f>IF($G848="","",IFERROR(INDEX(TIPOS_FLUXO_PLANO,MATCH($G848,SUBCATEGORIAS_PLANO,0)),"Não classificado"))</f>
        <v/>
      </c>
      <c r="AH848" s="9">
        <f>IF($G848="","",IFERROR(INDEX(GRUPOS_PLANO,MATCH($G848,SUBCATEGORIAS_PLANO,0)),"Não classificado"))</f>
        <v/>
      </c>
      <c r="AI848" s="24">
        <f>IF(OR($C848="",$X848="Pago",$X848="Recebido",$X848="Cancelado"),"",$C848-TODAY())</f>
        <v/>
      </c>
      <c r="AJ848" s="24">
        <f>IF(OR($C848="",$X848="Pago",$X848="Recebido",$X848="Cancelado"),0,MAX(0,TODAY()-$C848))</f>
        <v/>
      </c>
      <c r="AK848" s="24">
        <f>IF($D848="","",$D848-$B848)</f>
        <v/>
      </c>
      <c r="AL848" s="18">
        <f>IF(OR($D848="",$B848=""),"",ROUND(N($R848)*($D848-$B848),2))</f>
        <v/>
      </c>
      <c r="AM848" s="17">
        <f>IF(AND($E848="Saída",$W848&gt;0,$C848&lt;&gt;""),$C848+ROW()/1000000,"")</f>
        <v/>
      </c>
      <c r="AN848" s="17">
        <f>IF(AND($E848="Entrada",$W848&gt;0,$C848&lt;&gt;""),$C848+ROW()/1000000,"")</f>
        <v/>
      </c>
      <c r="AO848" s="9">
        <f>IF(COUNTA($B848:$R848)=0,"",IF(AND($I848&lt;&gt;"",COUNTIF(CLIENTES_NOMES,$I848)+COUNTIF(CLIENTES_FANTASIA,$I848)+COUNTIF(FORNECEDORES_NOMES,$I848)+COUNTIF(FORNECEDORES_FANTASIA,$I848)=0),"⚠ Cliente/Fornecedor não cadastrado",IF(AND($G848&lt;&gt;"",COUNTIF(SUBCATEGORIAS_PLANO,$G848)=0),"⚠ Subcategoria fora do plano de contas",IF(OR($Q848="",N($Q848)=0),"⚠ Valor previsto não informado",IF(AND(OR($X848="Pago",$X848="Recebido"),$D848=""),"⚠ Status pago/recebido sem data",IF(AND($D848&lt;&gt;"",N($R848)=0),"⚠ Data de pagamento sem valor realizado",IF(AND(N($P848)&gt;1,N($O848)&gt;N($P848)),"⚠ Nº da parcela maior que o total",IF(AND($C848&lt;&gt;"",$B848&lt;&gt;"",$C848&lt;$B848),"⚠ Vencimento anterior à competência","OK"))))))))</f>
        <v/>
      </c>
    </row>
    <row r="849">
      <c r="A849" s="14" t="n"/>
      <c r="B849" s="36" t="n"/>
      <c r="C849" s="36" t="n"/>
      <c r="D849" s="36" t="n"/>
      <c r="E849" s="14" t="n"/>
      <c r="F849" s="29" t="n"/>
      <c r="G849" s="29" t="n"/>
      <c r="H849" s="29" t="n"/>
      <c r="I849" s="29" t="n"/>
      <c r="J849" s="29" t="n"/>
      <c r="K849" s="14" t="n"/>
      <c r="L849" s="29" t="n"/>
      <c r="M849" s="14" t="n"/>
      <c r="N849" s="29" t="n"/>
      <c r="O849" s="13" t="n"/>
      <c r="P849" s="13" t="n"/>
      <c r="Q849" s="35" t="n"/>
      <c r="R849" s="35" t="n"/>
      <c r="S849" s="35" t="n"/>
      <c r="T849" s="35" t="n"/>
      <c r="U849" s="35" t="n"/>
      <c r="V849" s="18">
        <f>IF(COUNTA($B849:$R849)=0,"",ROUND(N($R849)+N($S849)+N($T849)-N($U849),2))</f>
        <v/>
      </c>
      <c r="W849" s="18">
        <f>IF(COUNTA($B849:$R849)=0,"",IF(OR($X849="Pago",$X849="Recebido",$X849="Cancelado"),0,ROUND(N($Q849)+N($S849)+N($T849)-N($U849)-N($R849),2)))</f>
        <v/>
      </c>
      <c r="X849" s="14" t="n"/>
      <c r="Y849" s="17">
        <f>IF(COUNTA($B849:$R849)=0,"",IF($X849="Cancelado","Cancelado",IF(OR($X849="Pago",$X849="Recebido"),$X849,IF(OR($X849="Parcial",N($R849)&gt;0),"Parcial",IF($C849="","Sem vencimento",IF($C849&lt;TODAY(),"Vencido",IF($C849=TODAY(),"Vence hoje",IF($C849&lt;=TODAY()+7,"Vence em 7 dias",IF($C849&lt;=TODAY()+30,"Vence em 30 dias","Futuro")))))))))</f>
        <v/>
      </c>
      <c r="Z849" s="24">
        <f>IF($B849="","",MONTH($B849))</f>
        <v/>
      </c>
      <c r="AA849" s="24">
        <f>IF($B849="","",YEAR($B849))</f>
        <v/>
      </c>
      <c r="AB849" s="24">
        <f>IF($B849="","",ISOWEEKNUM($B849))</f>
        <v/>
      </c>
      <c r="AC849" s="17">
        <f>IF($B849="","",CHOOSE(WEEKDAY($B849,2),"Segunda","Terça","Quarta","Quinta","Sexta","Sábado","Domingo"))</f>
        <v/>
      </c>
      <c r="AD849" s="17">
        <f>IF($B849="","",TEXT($B849,"MM/AAAA"))</f>
        <v/>
      </c>
      <c r="AE849" s="18">
        <f>IF(COUNTA($B849:$R849)=0,"",IF($X849="Cancelado",0,ROUND(N($Q849)+N($S849)+N($T849)-N($U849),2)))</f>
        <v/>
      </c>
      <c r="AF849" s="9">
        <f>IF($G849="","",IFERROR(INDEX(LINHAS_DRE_PLANO,MATCH($G849,SUBCATEGORIAS_PLANO,0)),"Não classificado"))</f>
        <v/>
      </c>
      <c r="AG849" s="17">
        <f>IF($G849="","",IFERROR(INDEX(TIPOS_FLUXO_PLANO,MATCH($G849,SUBCATEGORIAS_PLANO,0)),"Não classificado"))</f>
        <v/>
      </c>
      <c r="AH849" s="9">
        <f>IF($G849="","",IFERROR(INDEX(GRUPOS_PLANO,MATCH($G849,SUBCATEGORIAS_PLANO,0)),"Não classificado"))</f>
        <v/>
      </c>
      <c r="AI849" s="24">
        <f>IF(OR($C849="",$X849="Pago",$X849="Recebido",$X849="Cancelado"),"",$C849-TODAY())</f>
        <v/>
      </c>
      <c r="AJ849" s="24">
        <f>IF(OR($C849="",$X849="Pago",$X849="Recebido",$X849="Cancelado"),0,MAX(0,TODAY()-$C849))</f>
        <v/>
      </c>
      <c r="AK849" s="24">
        <f>IF($D849="","",$D849-$B849)</f>
        <v/>
      </c>
      <c r="AL849" s="18">
        <f>IF(OR($D849="",$B849=""),"",ROUND(N($R849)*($D849-$B849),2))</f>
        <v/>
      </c>
      <c r="AM849" s="17">
        <f>IF(AND($E849="Saída",$W849&gt;0,$C849&lt;&gt;""),$C849+ROW()/1000000,"")</f>
        <v/>
      </c>
      <c r="AN849" s="17">
        <f>IF(AND($E849="Entrada",$W849&gt;0,$C849&lt;&gt;""),$C849+ROW()/1000000,"")</f>
        <v/>
      </c>
      <c r="AO849" s="9">
        <f>IF(COUNTA($B849:$R849)=0,"",IF(AND($I849&lt;&gt;"",COUNTIF(CLIENTES_NOMES,$I849)+COUNTIF(CLIENTES_FANTASIA,$I849)+COUNTIF(FORNECEDORES_NOMES,$I849)+COUNTIF(FORNECEDORES_FANTASIA,$I849)=0),"⚠ Cliente/Fornecedor não cadastrado",IF(AND($G849&lt;&gt;"",COUNTIF(SUBCATEGORIAS_PLANO,$G849)=0),"⚠ Subcategoria fora do plano de contas",IF(OR($Q849="",N($Q849)=0),"⚠ Valor previsto não informado",IF(AND(OR($X849="Pago",$X849="Recebido"),$D849=""),"⚠ Status pago/recebido sem data",IF(AND($D849&lt;&gt;"",N($R849)=0),"⚠ Data de pagamento sem valor realizado",IF(AND(N($P849)&gt;1,N($O849)&gt;N($P849)),"⚠ Nº da parcela maior que o total",IF(AND($C849&lt;&gt;"",$B849&lt;&gt;"",$C849&lt;$B849),"⚠ Vencimento anterior à competência","OK"))))))))</f>
        <v/>
      </c>
    </row>
    <row r="850">
      <c r="A850" s="14" t="n"/>
      <c r="B850" s="36" t="n"/>
      <c r="C850" s="36" t="n"/>
      <c r="D850" s="36" t="n"/>
      <c r="E850" s="14" t="n"/>
      <c r="F850" s="29" t="n"/>
      <c r="G850" s="29" t="n"/>
      <c r="H850" s="29" t="n"/>
      <c r="I850" s="29" t="n"/>
      <c r="J850" s="29" t="n"/>
      <c r="K850" s="14" t="n"/>
      <c r="L850" s="29" t="n"/>
      <c r="M850" s="14" t="n"/>
      <c r="N850" s="29" t="n"/>
      <c r="O850" s="13" t="n"/>
      <c r="P850" s="13" t="n"/>
      <c r="Q850" s="35" t="n"/>
      <c r="R850" s="35" t="n"/>
      <c r="S850" s="35" t="n"/>
      <c r="T850" s="35" t="n"/>
      <c r="U850" s="35" t="n"/>
      <c r="V850" s="18">
        <f>IF(COUNTA($B850:$R850)=0,"",ROUND(N($R850)+N($S850)+N($T850)-N($U850),2))</f>
        <v/>
      </c>
      <c r="W850" s="18">
        <f>IF(COUNTA($B850:$R850)=0,"",IF(OR($X850="Pago",$X850="Recebido",$X850="Cancelado"),0,ROUND(N($Q850)+N($S850)+N($T850)-N($U850)-N($R850),2)))</f>
        <v/>
      </c>
      <c r="X850" s="14" t="n"/>
      <c r="Y850" s="17">
        <f>IF(COUNTA($B850:$R850)=0,"",IF($X850="Cancelado","Cancelado",IF(OR($X850="Pago",$X850="Recebido"),$X850,IF(OR($X850="Parcial",N($R850)&gt;0),"Parcial",IF($C850="","Sem vencimento",IF($C850&lt;TODAY(),"Vencido",IF($C850=TODAY(),"Vence hoje",IF($C850&lt;=TODAY()+7,"Vence em 7 dias",IF($C850&lt;=TODAY()+30,"Vence em 30 dias","Futuro")))))))))</f>
        <v/>
      </c>
      <c r="Z850" s="24">
        <f>IF($B850="","",MONTH($B850))</f>
        <v/>
      </c>
      <c r="AA850" s="24">
        <f>IF($B850="","",YEAR($B850))</f>
        <v/>
      </c>
      <c r="AB850" s="24">
        <f>IF($B850="","",ISOWEEKNUM($B850))</f>
        <v/>
      </c>
      <c r="AC850" s="17">
        <f>IF($B850="","",CHOOSE(WEEKDAY($B850,2),"Segunda","Terça","Quarta","Quinta","Sexta","Sábado","Domingo"))</f>
        <v/>
      </c>
      <c r="AD850" s="17">
        <f>IF($B850="","",TEXT($B850,"MM/AAAA"))</f>
        <v/>
      </c>
      <c r="AE850" s="18">
        <f>IF(COUNTA($B850:$R850)=0,"",IF($X850="Cancelado",0,ROUND(N($Q850)+N($S850)+N($T850)-N($U850),2)))</f>
        <v/>
      </c>
      <c r="AF850" s="9">
        <f>IF($G850="","",IFERROR(INDEX(LINHAS_DRE_PLANO,MATCH($G850,SUBCATEGORIAS_PLANO,0)),"Não classificado"))</f>
        <v/>
      </c>
      <c r="AG850" s="17">
        <f>IF($G850="","",IFERROR(INDEX(TIPOS_FLUXO_PLANO,MATCH($G850,SUBCATEGORIAS_PLANO,0)),"Não classificado"))</f>
        <v/>
      </c>
      <c r="AH850" s="9">
        <f>IF($G850="","",IFERROR(INDEX(GRUPOS_PLANO,MATCH($G850,SUBCATEGORIAS_PLANO,0)),"Não classificado"))</f>
        <v/>
      </c>
      <c r="AI850" s="24">
        <f>IF(OR($C850="",$X850="Pago",$X850="Recebido",$X850="Cancelado"),"",$C850-TODAY())</f>
        <v/>
      </c>
      <c r="AJ850" s="24">
        <f>IF(OR($C850="",$X850="Pago",$X850="Recebido",$X850="Cancelado"),0,MAX(0,TODAY()-$C850))</f>
        <v/>
      </c>
      <c r="AK850" s="24">
        <f>IF($D850="","",$D850-$B850)</f>
        <v/>
      </c>
      <c r="AL850" s="18">
        <f>IF(OR($D850="",$B850=""),"",ROUND(N($R850)*($D850-$B850),2))</f>
        <v/>
      </c>
      <c r="AM850" s="17">
        <f>IF(AND($E850="Saída",$W850&gt;0,$C850&lt;&gt;""),$C850+ROW()/1000000,"")</f>
        <v/>
      </c>
      <c r="AN850" s="17">
        <f>IF(AND($E850="Entrada",$W850&gt;0,$C850&lt;&gt;""),$C850+ROW()/1000000,"")</f>
        <v/>
      </c>
      <c r="AO850" s="9">
        <f>IF(COUNTA($B850:$R850)=0,"",IF(AND($I850&lt;&gt;"",COUNTIF(CLIENTES_NOMES,$I850)+COUNTIF(CLIENTES_FANTASIA,$I850)+COUNTIF(FORNECEDORES_NOMES,$I850)+COUNTIF(FORNECEDORES_FANTASIA,$I850)=0),"⚠ Cliente/Fornecedor não cadastrado",IF(AND($G850&lt;&gt;"",COUNTIF(SUBCATEGORIAS_PLANO,$G850)=0),"⚠ Subcategoria fora do plano de contas",IF(OR($Q850="",N($Q850)=0),"⚠ Valor previsto não informado",IF(AND(OR($X850="Pago",$X850="Recebido"),$D850=""),"⚠ Status pago/recebido sem data",IF(AND($D850&lt;&gt;"",N($R850)=0),"⚠ Data de pagamento sem valor realizado",IF(AND(N($P850)&gt;1,N($O850)&gt;N($P850)),"⚠ Nº da parcela maior que o total",IF(AND($C850&lt;&gt;"",$B850&lt;&gt;"",$C850&lt;$B850),"⚠ Vencimento anterior à competência","OK"))))))))</f>
        <v/>
      </c>
    </row>
    <row r="851">
      <c r="A851" s="14" t="n"/>
      <c r="B851" s="36" t="n"/>
      <c r="C851" s="36" t="n"/>
      <c r="D851" s="36" t="n"/>
      <c r="E851" s="14" t="n"/>
      <c r="F851" s="29" t="n"/>
      <c r="G851" s="29" t="n"/>
      <c r="H851" s="29" t="n"/>
      <c r="I851" s="29" t="n"/>
      <c r="J851" s="29" t="n"/>
      <c r="K851" s="14" t="n"/>
      <c r="L851" s="29" t="n"/>
      <c r="M851" s="14" t="n"/>
      <c r="N851" s="29" t="n"/>
      <c r="O851" s="13" t="n"/>
      <c r="P851" s="13" t="n"/>
      <c r="Q851" s="35" t="n"/>
      <c r="R851" s="35" t="n"/>
      <c r="S851" s="35" t="n"/>
      <c r="T851" s="35" t="n"/>
      <c r="U851" s="35" t="n"/>
      <c r="V851" s="18">
        <f>IF(COUNTA($B851:$R851)=0,"",ROUND(N($R851)+N($S851)+N($T851)-N($U851),2))</f>
        <v/>
      </c>
      <c r="W851" s="18">
        <f>IF(COUNTA($B851:$R851)=0,"",IF(OR($X851="Pago",$X851="Recebido",$X851="Cancelado"),0,ROUND(N($Q851)+N($S851)+N($T851)-N($U851)-N($R851),2)))</f>
        <v/>
      </c>
      <c r="X851" s="14" t="n"/>
      <c r="Y851" s="17">
        <f>IF(COUNTA($B851:$R851)=0,"",IF($X851="Cancelado","Cancelado",IF(OR($X851="Pago",$X851="Recebido"),$X851,IF(OR($X851="Parcial",N($R851)&gt;0),"Parcial",IF($C851="","Sem vencimento",IF($C851&lt;TODAY(),"Vencido",IF($C851=TODAY(),"Vence hoje",IF($C851&lt;=TODAY()+7,"Vence em 7 dias",IF($C851&lt;=TODAY()+30,"Vence em 30 dias","Futuro")))))))))</f>
        <v/>
      </c>
      <c r="Z851" s="24">
        <f>IF($B851="","",MONTH($B851))</f>
        <v/>
      </c>
      <c r="AA851" s="24">
        <f>IF($B851="","",YEAR($B851))</f>
        <v/>
      </c>
      <c r="AB851" s="24">
        <f>IF($B851="","",ISOWEEKNUM($B851))</f>
        <v/>
      </c>
      <c r="AC851" s="17">
        <f>IF($B851="","",CHOOSE(WEEKDAY($B851,2),"Segunda","Terça","Quarta","Quinta","Sexta","Sábado","Domingo"))</f>
        <v/>
      </c>
      <c r="AD851" s="17">
        <f>IF($B851="","",TEXT($B851,"MM/AAAA"))</f>
        <v/>
      </c>
      <c r="AE851" s="18">
        <f>IF(COUNTA($B851:$R851)=0,"",IF($X851="Cancelado",0,ROUND(N($Q851)+N($S851)+N($T851)-N($U851),2)))</f>
        <v/>
      </c>
      <c r="AF851" s="9">
        <f>IF($G851="","",IFERROR(INDEX(LINHAS_DRE_PLANO,MATCH($G851,SUBCATEGORIAS_PLANO,0)),"Não classificado"))</f>
        <v/>
      </c>
      <c r="AG851" s="17">
        <f>IF($G851="","",IFERROR(INDEX(TIPOS_FLUXO_PLANO,MATCH($G851,SUBCATEGORIAS_PLANO,0)),"Não classificado"))</f>
        <v/>
      </c>
      <c r="AH851" s="9">
        <f>IF($G851="","",IFERROR(INDEX(GRUPOS_PLANO,MATCH($G851,SUBCATEGORIAS_PLANO,0)),"Não classificado"))</f>
        <v/>
      </c>
      <c r="AI851" s="24">
        <f>IF(OR($C851="",$X851="Pago",$X851="Recebido",$X851="Cancelado"),"",$C851-TODAY())</f>
        <v/>
      </c>
      <c r="AJ851" s="24">
        <f>IF(OR($C851="",$X851="Pago",$X851="Recebido",$X851="Cancelado"),0,MAX(0,TODAY()-$C851))</f>
        <v/>
      </c>
      <c r="AK851" s="24">
        <f>IF($D851="","",$D851-$B851)</f>
        <v/>
      </c>
      <c r="AL851" s="18">
        <f>IF(OR($D851="",$B851=""),"",ROUND(N($R851)*($D851-$B851),2))</f>
        <v/>
      </c>
      <c r="AM851" s="17">
        <f>IF(AND($E851="Saída",$W851&gt;0,$C851&lt;&gt;""),$C851+ROW()/1000000,"")</f>
        <v/>
      </c>
      <c r="AN851" s="17">
        <f>IF(AND($E851="Entrada",$W851&gt;0,$C851&lt;&gt;""),$C851+ROW()/1000000,"")</f>
        <v/>
      </c>
      <c r="AO851" s="9">
        <f>IF(COUNTA($B851:$R851)=0,"",IF(AND($I851&lt;&gt;"",COUNTIF(CLIENTES_NOMES,$I851)+COUNTIF(CLIENTES_FANTASIA,$I851)+COUNTIF(FORNECEDORES_NOMES,$I851)+COUNTIF(FORNECEDORES_FANTASIA,$I851)=0),"⚠ Cliente/Fornecedor não cadastrado",IF(AND($G851&lt;&gt;"",COUNTIF(SUBCATEGORIAS_PLANO,$G851)=0),"⚠ Subcategoria fora do plano de contas",IF(OR($Q851="",N($Q851)=0),"⚠ Valor previsto não informado",IF(AND(OR($X851="Pago",$X851="Recebido"),$D851=""),"⚠ Status pago/recebido sem data",IF(AND($D851&lt;&gt;"",N($R851)=0),"⚠ Data de pagamento sem valor realizado",IF(AND(N($P851)&gt;1,N($O851)&gt;N($P851)),"⚠ Nº da parcela maior que o total",IF(AND($C851&lt;&gt;"",$B851&lt;&gt;"",$C851&lt;$B851),"⚠ Vencimento anterior à competência","OK"))))))))</f>
        <v/>
      </c>
    </row>
    <row r="852">
      <c r="A852" s="14" t="n"/>
      <c r="B852" s="36" t="n"/>
      <c r="C852" s="36" t="n"/>
      <c r="D852" s="36" t="n"/>
      <c r="E852" s="14" t="n"/>
      <c r="F852" s="29" t="n"/>
      <c r="G852" s="29" t="n"/>
      <c r="H852" s="29" t="n"/>
      <c r="I852" s="29" t="n"/>
      <c r="J852" s="29" t="n"/>
      <c r="K852" s="14" t="n"/>
      <c r="L852" s="29" t="n"/>
      <c r="M852" s="14" t="n"/>
      <c r="N852" s="29" t="n"/>
      <c r="O852" s="13" t="n"/>
      <c r="P852" s="13" t="n"/>
      <c r="Q852" s="35" t="n"/>
      <c r="R852" s="35" t="n"/>
      <c r="S852" s="35" t="n"/>
      <c r="T852" s="35" t="n"/>
      <c r="U852" s="35" t="n"/>
      <c r="V852" s="18">
        <f>IF(COUNTA($B852:$R852)=0,"",ROUND(N($R852)+N($S852)+N($T852)-N($U852),2))</f>
        <v/>
      </c>
      <c r="W852" s="18">
        <f>IF(COUNTA($B852:$R852)=0,"",IF(OR($X852="Pago",$X852="Recebido",$X852="Cancelado"),0,ROUND(N($Q852)+N($S852)+N($T852)-N($U852)-N($R852),2)))</f>
        <v/>
      </c>
      <c r="X852" s="14" t="n"/>
      <c r="Y852" s="17">
        <f>IF(COUNTA($B852:$R852)=0,"",IF($X852="Cancelado","Cancelado",IF(OR($X852="Pago",$X852="Recebido"),$X852,IF(OR($X852="Parcial",N($R852)&gt;0),"Parcial",IF($C852="","Sem vencimento",IF($C852&lt;TODAY(),"Vencido",IF($C852=TODAY(),"Vence hoje",IF($C852&lt;=TODAY()+7,"Vence em 7 dias",IF($C852&lt;=TODAY()+30,"Vence em 30 dias","Futuro")))))))))</f>
        <v/>
      </c>
      <c r="Z852" s="24">
        <f>IF($B852="","",MONTH($B852))</f>
        <v/>
      </c>
      <c r="AA852" s="24">
        <f>IF($B852="","",YEAR($B852))</f>
        <v/>
      </c>
      <c r="AB852" s="24">
        <f>IF($B852="","",ISOWEEKNUM($B852))</f>
        <v/>
      </c>
      <c r="AC852" s="17">
        <f>IF($B852="","",CHOOSE(WEEKDAY($B852,2),"Segunda","Terça","Quarta","Quinta","Sexta","Sábado","Domingo"))</f>
        <v/>
      </c>
      <c r="AD852" s="17">
        <f>IF($B852="","",TEXT($B852,"MM/AAAA"))</f>
        <v/>
      </c>
      <c r="AE852" s="18">
        <f>IF(COUNTA($B852:$R852)=0,"",IF($X852="Cancelado",0,ROUND(N($Q852)+N($S852)+N($T852)-N($U852),2)))</f>
        <v/>
      </c>
      <c r="AF852" s="9">
        <f>IF($G852="","",IFERROR(INDEX(LINHAS_DRE_PLANO,MATCH($G852,SUBCATEGORIAS_PLANO,0)),"Não classificado"))</f>
        <v/>
      </c>
      <c r="AG852" s="17">
        <f>IF($G852="","",IFERROR(INDEX(TIPOS_FLUXO_PLANO,MATCH($G852,SUBCATEGORIAS_PLANO,0)),"Não classificado"))</f>
        <v/>
      </c>
      <c r="AH852" s="9">
        <f>IF($G852="","",IFERROR(INDEX(GRUPOS_PLANO,MATCH($G852,SUBCATEGORIAS_PLANO,0)),"Não classificado"))</f>
        <v/>
      </c>
      <c r="AI852" s="24">
        <f>IF(OR($C852="",$X852="Pago",$X852="Recebido",$X852="Cancelado"),"",$C852-TODAY())</f>
        <v/>
      </c>
      <c r="AJ852" s="24">
        <f>IF(OR($C852="",$X852="Pago",$X852="Recebido",$X852="Cancelado"),0,MAX(0,TODAY()-$C852))</f>
        <v/>
      </c>
      <c r="AK852" s="24">
        <f>IF($D852="","",$D852-$B852)</f>
        <v/>
      </c>
      <c r="AL852" s="18">
        <f>IF(OR($D852="",$B852=""),"",ROUND(N($R852)*($D852-$B852),2))</f>
        <v/>
      </c>
      <c r="AM852" s="17">
        <f>IF(AND($E852="Saída",$W852&gt;0,$C852&lt;&gt;""),$C852+ROW()/1000000,"")</f>
        <v/>
      </c>
      <c r="AN852" s="17">
        <f>IF(AND($E852="Entrada",$W852&gt;0,$C852&lt;&gt;""),$C852+ROW()/1000000,"")</f>
        <v/>
      </c>
      <c r="AO852" s="9">
        <f>IF(COUNTA($B852:$R852)=0,"",IF(AND($I852&lt;&gt;"",COUNTIF(CLIENTES_NOMES,$I852)+COUNTIF(CLIENTES_FANTASIA,$I852)+COUNTIF(FORNECEDORES_NOMES,$I852)+COUNTIF(FORNECEDORES_FANTASIA,$I852)=0),"⚠ Cliente/Fornecedor não cadastrado",IF(AND($G852&lt;&gt;"",COUNTIF(SUBCATEGORIAS_PLANO,$G852)=0),"⚠ Subcategoria fora do plano de contas",IF(OR($Q852="",N($Q852)=0),"⚠ Valor previsto não informado",IF(AND(OR($X852="Pago",$X852="Recebido"),$D852=""),"⚠ Status pago/recebido sem data",IF(AND($D852&lt;&gt;"",N($R852)=0),"⚠ Data de pagamento sem valor realizado",IF(AND(N($P852)&gt;1,N($O852)&gt;N($P852)),"⚠ Nº da parcela maior que o total",IF(AND($C852&lt;&gt;"",$B852&lt;&gt;"",$C852&lt;$B852),"⚠ Vencimento anterior à competência","OK"))))))))</f>
        <v/>
      </c>
    </row>
    <row r="853">
      <c r="A853" s="14" t="n"/>
      <c r="B853" s="36" t="n"/>
      <c r="C853" s="36" t="n"/>
      <c r="D853" s="36" t="n"/>
      <c r="E853" s="14" t="n"/>
      <c r="F853" s="29" t="n"/>
      <c r="G853" s="29" t="n"/>
      <c r="H853" s="29" t="n"/>
      <c r="I853" s="29" t="n"/>
      <c r="J853" s="29" t="n"/>
      <c r="K853" s="14" t="n"/>
      <c r="L853" s="29" t="n"/>
      <c r="M853" s="14" t="n"/>
      <c r="N853" s="29" t="n"/>
      <c r="O853" s="13" t="n"/>
      <c r="P853" s="13" t="n"/>
      <c r="Q853" s="35" t="n"/>
      <c r="R853" s="35" t="n"/>
      <c r="S853" s="35" t="n"/>
      <c r="T853" s="35" t="n"/>
      <c r="U853" s="35" t="n"/>
      <c r="V853" s="18">
        <f>IF(COUNTA($B853:$R853)=0,"",ROUND(N($R853)+N($S853)+N($T853)-N($U853),2))</f>
        <v/>
      </c>
      <c r="W853" s="18">
        <f>IF(COUNTA($B853:$R853)=0,"",IF(OR($X853="Pago",$X853="Recebido",$X853="Cancelado"),0,ROUND(N($Q853)+N($S853)+N($T853)-N($U853)-N($R853),2)))</f>
        <v/>
      </c>
      <c r="X853" s="14" t="n"/>
      <c r="Y853" s="17">
        <f>IF(COUNTA($B853:$R853)=0,"",IF($X853="Cancelado","Cancelado",IF(OR($X853="Pago",$X853="Recebido"),$X853,IF(OR($X853="Parcial",N($R853)&gt;0),"Parcial",IF($C853="","Sem vencimento",IF($C853&lt;TODAY(),"Vencido",IF($C853=TODAY(),"Vence hoje",IF($C853&lt;=TODAY()+7,"Vence em 7 dias",IF($C853&lt;=TODAY()+30,"Vence em 30 dias","Futuro")))))))))</f>
        <v/>
      </c>
      <c r="Z853" s="24">
        <f>IF($B853="","",MONTH($B853))</f>
        <v/>
      </c>
      <c r="AA853" s="24">
        <f>IF($B853="","",YEAR($B853))</f>
        <v/>
      </c>
      <c r="AB853" s="24">
        <f>IF($B853="","",ISOWEEKNUM($B853))</f>
        <v/>
      </c>
      <c r="AC853" s="17">
        <f>IF($B853="","",CHOOSE(WEEKDAY($B853,2),"Segunda","Terça","Quarta","Quinta","Sexta","Sábado","Domingo"))</f>
        <v/>
      </c>
      <c r="AD853" s="17">
        <f>IF($B853="","",TEXT($B853,"MM/AAAA"))</f>
        <v/>
      </c>
      <c r="AE853" s="18">
        <f>IF(COUNTA($B853:$R853)=0,"",IF($X853="Cancelado",0,ROUND(N($Q853)+N($S853)+N($T853)-N($U853),2)))</f>
        <v/>
      </c>
      <c r="AF853" s="9">
        <f>IF($G853="","",IFERROR(INDEX(LINHAS_DRE_PLANO,MATCH($G853,SUBCATEGORIAS_PLANO,0)),"Não classificado"))</f>
        <v/>
      </c>
      <c r="AG853" s="17">
        <f>IF($G853="","",IFERROR(INDEX(TIPOS_FLUXO_PLANO,MATCH($G853,SUBCATEGORIAS_PLANO,0)),"Não classificado"))</f>
        <v/>
      </c>
      <c r="AH853" s="9">
        <f>IF($G853="","",IFERROR(INDEX(GRUPOS_PLANO,MATCH($G853,SUBCATEGORIAS_PLANO,0)),"Não classificado"))</f>
        <v/>
      </c>
      <c r="AI853" s="24">
        <f>IF(OR($C853="",$X853="Pago",$X853="Recebido",$X853="Cancelado"),"",$C853-TODAY())</f>
        <v/>
      </c>
      <c r="AJ853" s="24">
        <f>IF(OR($C853="",$X853="Pago",$X853="Recebido",$X853="Cancelado"),0,MAX(0,TODAY()-$C853))</f>
        <v/>
      </c>
      <c r="AK853" s="24">
        <f>IF($D853="","",$D853-$B853)</f>
        <v/>
      </c>
      <c r="AL853" s="18">
        <f>IF(OR($D853="",$B853=""),"",ROUND(N($R853)*($D853-$B853),2))</f>
        <v/>
      </c>
      <c r="AM853" s="17">
        <f>IF(AND($E853="Saída",$W853&gt;0,$C853&lt;&gt;""),$C853+ROW()/1000000,"")</f>
        <v/>
      </c>
      <c r="AN853" s="17">
        <f>IF(AND($E853="Entrada",$W853&gt;0,$C853&lt;&gt;""),$C853+ROW()/1000000,"")</f>
        <v/>
      </c>
      <c r="AO853" s="9">
        <f>IF(COUNTA($B853:$R853)=0,"",IF(AND($I853&lt;&gt;"",COUNTIF(CLIENTES_NOMES,$I853)+COUNTIF(CLIENTES_FANTASIA,$I853)+COUNTIF(FORNECEDORES_NOMES,$I853)+COUNTIF(FORNECEDORES_FANTASIA,$I853)=0),"⚠ Cliente/Fornecedor não cadastrado",IF(AND($G853&lt;&gt;"",COUNTIF(SUBCATEGORIAS_PLANO,$G853)=0),"⚠ Subcategoria fora do plano de contas",IF(OR($Q853="",N($Q853)=0),"⚠ Valor previsto não informado",IF(AND(OR($X853="Pago",$X853="Recebido"),$D853=""),"⚠ Status pago/recebido sem data",IF(AND($D853&lt;&gt;"",N($R853)=0),"⚠ Data de pagamento sem valor realizado",IF(AND(N($P853)&gt;1,N($O853)&gt;N($P853)),"⚠ Nº da parcela maior que o total",IF(AND($C853&lt;&gt;"",$B853&lt;&gt;"",$C853&lt;$B853),"⚠ Vencimento anterior à competência","OK"))))))))</f>
        <v/>
      </c>
    </row>
    <row r="854">
      <c r="A854" s="14" t="n"/>
      <c r="B854" s="36" t="n"/>
      <c r="C854" s="36" t="n"/>
      <c r="D854" s="36" t="n"/>
      <c r="E854" s="14" t="n"/>
      <c r="F854" s="29" t="n"/>
      <c r="G854" s="29" t="n"/>
      <c r="H854" s="29" t="n"/>
      <c r="I854" s="29" t="n"/>
      <c r="J854" s="29" t="n"/>
      <c r="K854" s="14" t="n"/>
      <c r="L854" s="29" t="n"/>
      <c r="M854" s="14" t="n"/>
      <c r="N854" s="29" t="n"/>
      <c r="O854" s="13" t="n"/>
      <c r="P854" s="13" t="n"/>
      <c r="Q854" s="35" t="n"/>
      <c r="R854" s="35" t="n"/>
      <c r="S854" s="35" t="n"/>
      <c r="T854" s="35" t="n"/>
      <c r="U854" s="35" t="n"/>
      <c r="V854" s="18">
        <f>IF(COUNTA($B854:$R854)=0,"",ROUND(N($R854)+N($S854)+N($T854)-N($U854),2))</f>
        <v/>
      </c>
      <c r="W854" s="18">
        <f>IF(COUNTA($B854:$R854)=0,"",IF(OR($X854="Pago",$X854="Recebido",$X854="Cancelado"),0,ROUND(N($Q854)+N($S854)+N($T854)-N($U854)-N($R854),2)))</f>
        <v/>
      </c>
      <c r="X854" s="14" t="n"/>
      <c r="Y854" s="17">
        <f>IF(COUNTA($B854:$R854)=0,"",IF($X854="Cancelado","Cancelado",IF(OR($X854="Pago",$X854="Recebido"),$X854,IF(OR($X854="Parcial",N($R854)&gt;0),"Parcial",IF($C854="","Sem vencimento",IF($C854&lt;TODAY(),"Vencido",IF($C854=TODAY(),"Vence hoje",IF($C854&lt;=TODAY()+7,"Vence em 7 dias",IF($C854&lt;=TODAY()+30,"Vence em 30 dias","Futuro")))))))))</f>
        <v/>
      </c>
      <c r="Z854" s="24">
        <f>IF($B854="","",MONTH($B854))</f>
        <v/>
      </c>
      <c r="AA854" s="24">
        <f>IF($B854="","",YEAR($B854))</f>
        <v/>
      </c>
      <c r="AB854" s="24">
        <f>IF($B854="","",ISOWEEKNUM($B854))</f>
        <v/>
      </c>
      <c r="AC854" s="17">
        <f>IF($B854="","",CHOOSE(WEEKDAY($B854,2),"Segunda","Terça","Quarta","Quinta","Sexta","Sábado","Domingo"))</f>
        <v/>
      </c>
      <c r="AD854" s="17">
        <f>IF($B854="","",TEXT($B854,"MM/AAAA"))</f>
        <v/>
      </c>
      <c r="AE854" s="18">
        <f>IF(COUNTA($B854:$R854)=0,"",IF($X854="Cancelado",0,ROUND(N($Q854)+N($S854)+N($T854)-N($U854),2)))</f>
        <v/>
      </c>
      <c r="AF854" s="9">
        <f>IF($G854="","",IFERROR(INDEX(LINHAS_DRE_PLANO,MATCH($G854,SUBCATEGORIAS_PLANO,0)),"Não classificado"))</f>
        <v/>
      </c>
      <c r="AG854" s="17">
        <f>IF($G854="","",IFERROR(INDEX(TIPOS_FLUXO_PLANO,MATCH($G854,SUBCATEGORIAS_PLANO,0)),"Não classificado"))</f>
        <v/>
      </c>
      <c r="AH854" s="9">
        <f>IF($G854="","",IFERROR(INDEX(GRUPOS_PLANO,MATCH($G854,SUBCATEGORIAS_PLANO,0)),"Não classificado"))</f>
        <v/>
      </c>
      <c r="AI854" s="24">
        <f>IF(OR($C854="",$X854="Pago",$X854="Recebido",$X854="Cancelado"),"",$C854-TODAY())</f>
        <v/>
      </c>
      <c r="AJ854" s="24">
        <f>IF(OR($C854="",$X854="Pago",$X854="Recebido",$X854="Cancelado"),0,MAX(0,TODAY()-$C854))</f>
        <v/>
      </c>
      <c r="AK854" s="24">
        <f>IF($D854="","",$D854-$B854)</f>
        <v/>
      </c>
      <c r="AL854" s="18">
        <f>IF(OR($D854="",$B854=""),"",ROUND(N($R854)*($D854-$B854),2))</f>
        <v/>
      </c>
      <c r="AM854" s="17">
        <f>IF(AND($E854="Saída",$W854&gt;0,$C854&lt;&gt;""),$C854+ROW()/1000000,"")</f>
        <v/>
      </c>
      <c r="AN854" s="17">
        <f>IF(AND($E854="Entrada",$W854&gt;0,$C854&lt;&gt;""),$C854+ROW()/1000000,"")</f>
        <v/>
      </c>
      <c r="AO854" s="9">
        <f>IF(COUNTA($B854:$R854)=0,"",IF(AND($I854&lt;&gt;"",COUNTIF(CLIENTES_NOMES,$I854)+COUNTIF(CLIENTES_FANTASIA,$I854)+COUNTIF(FORNECEDORES_NOMES,$I854)+COUNTIF(FORNECEDORES_FANTASIA,$I854)=0),"⚠ Cliente/Fornecedor não cadastrado",IF(AND($G854&lt;&gt;"",COUNTIF(SUBCATEGORIAS_PLANO,$G854)=0),"⚠ Subcategoria fora do plano de contas",IF(OR($Q854="",N($Q854)=0),"⚠ Valor previsto não informado",IF(AND(OR($X854="Pago",$X854="Recebido"),$D854=""),"⚠ Status pago/recebido sem data",IF(AND($D854&lt;&gt;"",N($R854)=0),"⚠ Data de pagamento sem valor realizado",IF(AND(N($P854)&gt;1,N($O854)&gt;N($P854)),"⚠ Nº da parcela maior que o total",IF(AND($C854&lt;&gt;"",$B854&lt;&gt;"",$C854&lt;$B854),"⚠ Vencimento anterior à competência","OK"))))))))</f>
        <v/>
      </c>
    </row>
    <row r="855">
      <c r="A855" s="14" t="n"/>
      <c r="B855" s="36" t="n"/>
      <c r="C855" s="36" t="n"/>
      <c r="D855" s="36" t="n"/>
      <c r="E855" s="14" t="n"/>
      <c r="F855" s="29" t="n"/>
      <c r="G855" s="29" t="n"/>
      <c r="H855" s="29" t="n"/>
      <c r="I855" s="29" t="n"/>
      <c r="J855" s="29" t="n"/>
      <c r="K855" s="14" t="n"/>
      <c r="L855" s="29" t="n"/>
      <c r="M855" s="14" t="n"/>
      <c r="N855" s="29" t="n"/>
      <c r="O855" s="13" t="n"/>
      <c r="P855" s="13" t="n"/>
      <c r="Q855" s="35" t="n"/>
      <c r="R855" s="35" t="n"/>
      <c r="S855" s="35" t="n"/>
      <c r="T855" s="35" t="n"/>
      <c r="U855" s="35" t="n"/>
      <c r="V855" s="18">
        <f>IF(COUNTA($B855:$R855)=0,"",ROUND(N($R855)+N($S855)+N($T855)-N($U855),2))</f>
        <v/>
      </c>
      <c r="W855" s="18">
        <f>IF(COUNTA($B855:$R855)=0,"",IF(OR($X855="Pago",$X855="Recebido",$X855="Cancelado"),0,ROUND(N($Q855)+N($S855)+N($T855)-N($U855)-N($R855),2)))</f>
        <v/>
      </c>
      <c r="X855" s="14" t="n"/>
      <c r="Y855" s="17">
        <f>IF(COUNTA($B855:$R855)=0,"",IF($X855="Cancelado","Cancelado",IF(OR($X855="Pago",$X855="Recebido"),$X855,IF(OR($X855="Parcial",N($R855)&gt;0),"Parcial",IF($C855="","Sem vencimento",IF($C855&lt;TODAY(),"Vencido",IF($C855=TODAY(),"Vence hoje",IF($C855&lt;=TODAY()+7,"Vence em 7 dias",IF($C855&lt;=TODAY()+30,"Vence em 30 dias","Futuro")))))))))</f>
        <v/>
      </c>
      <c r="Z855" s="24">
        <f>IF($B855="","",MONTH($B855))</f>
        <v/>
      </c>
      <c r="AA855" s="24">
        <f>IF($B855="","",YEAR($B855))</f>
        <v/>
      </c>
      <c r="AB855" s="24">
        <f>IF($B855="","",ISOWEEKNUM($B855))</f>
        <v/>
      </c>
      <c r="AC855" s="17">
        <f>IF($B855="","",CHOOSE(WEEKDAY($B855,2),"Segunda","Terça","Quarta","Quinta","Sexta","Sábado","Domingo"))</f>
        <v/>
      </c>
      <c r="AD855" s="17">
        <f>IF($B855="","",TEXT($B855,"MM/AAAA"))</f>
        <v/>
      </c>
      <c r="AE855" s="18">
        <f>IF(COUNTA($B855:$R855)=0,"",IF($X855="Cancelado",0,ROUND(N($Q855)+N($S855)+N($T855)-N($U855),2)))</f>
        <v/>
      </c>
      <c r="AF855" s="9">
        <f>IF($G855="","",IFERROR(INDEX(LINHAS_DRE_PLANO,MATCH($G855,SUBCATEGORIAS_PLANO,0)),"Não classificado"))</f>
        <v/>
      </c>
      <c r="AG855" s="17">
        <f>IF($G855="","",IFERROR(INDEX(TIPOS_FLUXO_PLANO,MATCH($G855,SUBCATEGORIAS_PLANO,0)),"Não classificado"))</f>
        <v/>
      </c>
      <c r="AH855" s="9">
        <f>IF($G855="","",IFERROR(INDEX(GRUPOS_PLANO,MATCH($G855,SUBCATEGORIAS_PLANO,0)),"Não classificado"))</f>
        <v/>
      </c>
      <c r="AI855" s="24">
        <f>IF(OR($C855="",$X855="Pago",$X855="Recebido",$X855="Cancelado"),"",$C855-TODAY())</f>
        <v/>
      </c>
      <c r="AJ855" s="24">
        <f>IF(OR($C855="",$X855="Pago",$X855="Recebido",$X855="Cancelado"),0,MAX(0,TODAY()-$C855))</f>
        <v/>
      </c>
      <c r="AK855" s="24">
        <f>IF($D855="","",$D855-$B855)</f>
        <v/>
      </c>
      <c r="AL855" s="18">
        <f>IF(OR($D855="",$B855=""),"",ROUND(N($R855)*($D855-$B855),2))</f>
        <v/>
      </c>
      <c r="AM855" s="17">
        <f>IF(AND($E855="Saída",$W855&gt;0,$C855&lt;&gt;""),$C855+ROW()/1000000,"")</f>
        <v/>
      </c>
      <c r="AN855" s="17">
        <f>IF(AND($E855="Entrada",$W855&gt;0,$C855&lt;&gt;""),$C855+ROW()/1000000,"")</f>
        <v/>
      </c>
      <c r="AO855" s="9">
        <f>IF(COUNTA($B855:$R855)=0,"",IF(AND($I855&lt;&gt;"",COUNTIF(CLIENTES_NOMES,$I855)+COUNTIF(CLIENTES_FANTASIA,$I855)+COUNTIF(FORNECEDORES_NOMES,$I855)+COUNTIF(FORNECEDORES_FANTASIA,$I855)=0),"⚠ Cliente/Fornecedor não cadastrado",IF(AND($G855&lt;&gt;"",COUNTIF(SUBCATEGORIAS_PLANO,$G855)=0),"⚠ Subcategoria fora do plano de contas",IF(OR($Q855="",N($Q855)=0),"⚠ Valor previsto não informado",IF(AND(OR($X855="Pago",$X855="Recebido"),$D855=""),"⚠ Status pago/recebido sem data",IF(AND($D855&lt;&gt;"",N($R855)=0),"⚠ Data de pagamento sem valor realizado",IF(AND(N($P855)&gt;1,N($O855)&gt;N($P855)),"⚠ Nº da parcela maior que o total",IF(AND($C855&lt;&gt;"",$B855&lt;&gt;"",$C855&lt;$B855),"⚠ Vencimento anterior à competência","OK"))))))))</f>
        <v/>
      </c>
    </row>
    <row r="856">
      <c r="A856" s="14" t="n"/>
      <c r="B856" s="36" t="n"/>
      <c r="C856" s="36" t="n"/>
      <c r="D856" s="36" t="n"/>
      <c r="E856" s="14" t="n"/>
      <c r="F856" s="29" t="n"/>
      <c r="G856" s="29" t="n"/>
      <c r="H856" s="29" t="n"/>
      <c r="I856" s="29" t="n"/>
      <c r="J856" s="29" t="n"/>
      <c r="K856" s="14" t="n"/>
      <c r="L856" s="29" t="n"/>
      <c r="M856" s="14" t="n"/>
      <c r="N856" s="29" t="n"/>
      <c r="O856" s="13" t="n"/>
      <c r="P856" s="13" t="n"/>
      <c r="Q856" s="35" t="n"/>
      <c r="R856" s="35" t="n"/>
      <c r="S856" s="35" t="n"/>
      <c r="T856" s="35" t="n"/>
      <c r="U856" s="35" t="n"/>
      <c r="V856" s="18">
        <f>IF(COUNTA($B856:$R856)=0,"",ROUND(N($R856)+N($S856)+N($T856)-N($U856),2))</f>
        <v/>
      </c>
      <c r="W856" s="18">
        <f>IF(COUNTA($B856:$R856)=0,"",IF(OR($X856="Pago",$X856="Recebido",$X856="Cancelado"),0,ROUND(N($Q856)+N($S856)+N($T856)-N($U856)-N($R856),2)))</f>
        <v/>
      </c>
      <c r="X856" s="14" t="n"/>
      <c r="Y856" s="17">
        <f>IF(COUNTA($B856:$R856)=0,"",IF($X856="Cancelado","Cancelado",IF(OR($X856="Pago",$X856="Recebido"),$X856,IF(OR($X856="Parcial",N($R856)&gt;0),"Parcial",IF($C856="","Sem vencimento",IF($C856&lt;TODAY(),"Vencido",IF($C856=TODAY(),"Vence hoje",IF($C856&lt;=TODAY()+7,"Vence em 7 dias",IF($C856&lt;=TODAY()+30,"Vence em 30 dias","Futuro")))))))))</f>
        <v/>
      </c>
      <c r="Z856" s="24">
        <f>IF($B856="","",MONTH($B856))</f>
        <v/>
      </c>
      <c r="AA856" s="24">
        <f>IF($B856="","",YEAR($B856))</f>
        <v/>
      </c>
      <c r="AB856" s="24">
        <f>IF($B856="","",ISOWEEKNUM($B856))</f>
        <v/>
      </c>
      <c r="AC856" s="17">
        <f>IF($B856="","",CHOOSE(WEEKDAY($B856,2),"Segunda","Terça","Quarta","Quinta","Sexta","Sábado","Domingo"))</f>
        <v/>
      </c>
      <c r="AD856" s="17">
        <f>IF($B856="","",TEXT($B856,"MM/AAAA"))</f>
        <v/>
      </c>
      <c r="AE856" s="18">
        <f>IF(COUNTA($B856:$R856)=0,"",IF($X856="Cancelado",0,ROUND(N($Q856)+N($S856)+N($T856)-N($U856),2)))</f>
        <v/>
      </c>
      <c r="AF856" s="9">
        <f>IF($G856="","",IFERROR(INDEX(LINHAS_DRE_PLANO,MATCH($G856,SUBCATEGORIAS_PLANO,0)),"Não classificado"))</f>
        <v/>
      </c>
      <c r="AG856" s="17">
        <f>IF($G856="","",IFERROR(INDEX(TIPOS_FLUXO_PLANO,MATCH($G856,SUBCATEGORIAS_PLANO,0)),"Não classificado"))</f>
        <v/>
      </c>
      <c r="AH856" s="9">
        <f>IF($G856="","",IFERROR(INDEX(GRUPOS_PLANO,MATCH($G856,SUBCATEGORIAS_PLANO,0)),"Não classificado"))</f>
        <v/>
      </c>
      <c r="AI856" s="24">
        <f>IF(OR($C856="",$X856="Pago",$X856="Recebido",$X856="Cancelado"),"",$C856-TODAY())</f>
        <v/>
      </c>
      <c r="AJ856" s="24">
        <f>IF(OR($C856="",$X856="Pago",$X856="Recebido",$X856="Cancelado"),0,MAX(0,TODAY()-$C856))</f>
        <v/>
      </c>
      <c r="AK856" s="24">
        <f>IF($D856="","",$D856-$B856)</f>
        <v/>
      </c>
      <c r="AL856" s="18">
        <f>IF(OR($D856="",$B856=""),"",ROUND(N($R856)*($D856-$B856),2))</f>
        <v/>
      </c>
      <c r="AM856" s="17">
        <f>IF(AND($E856="Saída",$W856&gt;0,$C856&lt;&gt;""),$C856+ROW()/1000000,"")</f>
        <v/>
      </c>
      <c r="AN856" s="17">
        <f>IF(AND($E856="Entrada",$W856&gt;0,$C856&lt;&gt;""),$C856+ROW()/1000000,"")</f>
        <v/>
      </c>
      <c r="AO856" s="9">
        <f>IF(COUNTA($B856:$R856)=0,"",IF(AND($I856&lt;&gt;"",COUNTIF(CLIENTES_NOMES,$I856)+COUNTIF(CLIENTES_FANTASIA,$I856)+COUNTIF(FORNECEDORES_NOMES,$I856)+COUNTIF(FORNECEDORES_FANTASIA,$I856)=0),"⚠ Cliente/Fornecedor não cadastrado",IF(AND($G856&lt;&gt;"",COUNTIF(SUBCATEGORIAS_PLANO,$G856)=0),"⚠ Subcategoria fora do plano de contas",IF(OR($Q856="",N($Q856)=0),"⚠ Valor previsto não informado",IF(AND(OR($X856="Pago",$X856="Recebido"),$D856=""),"⚠ Status pago/recebido sem data",IF(AND($D856&lt;&gt;"",N($R856)=0),"⚠ Data de pagamento sem valor realizado",IF(AND(N($P856)&gt;1,N($O856)&gt;N($P856)),"⚠ Nº da parcela maior que o total",IF(AND($C856&lt;&gt;"",$B856&lt;&gt;"",$C856&lt;$B856),"⚠ Vencimento anterior à competência","OK"))))))))</f>
        <v/>
      </c>
    </row>
    <row r="857">
      <c r="A857" s="14" t="n"/>
      <c r="B857" s="36" t="n"/>
      <c r="C857" s="36" t="n"/>
      <c r="D857" s="36" t="n"/>
      <c r="E857" s="14" t="n"/>
      <c r="F857" s="29" t="n"/>
      <c r="G857" s="29" t="n"/>
      <c r="H857" s="29" t="n"/>
      <c r="I857" s="29" t="n"/>
      <c r="J857" s="29" t="n"/>
      <c r="K857" s="14" t="n"/>
      <c r="L857" s="29" t="n"/>
      <c r="M857" s="14" t="n"/>
      <c r="N857" s="29" t="n"/>
      <c r="O857" s="13" t="n"/>
      <c r="P857" s="13" t="n"/>
      <c r="Q857" s="35" t="n"/>
      <c r="R857" s="35" t="n"/>
      <c r="S857" s="35" t="n"/>
      <c r="T857" s="35" t="n"/>
      <c r="U857" s="35" t="n"/>
      <c r="V857" s="18">
        <f>IF(COUNTA($B857:$R857)=0,"",ROUND(N($R857)+N($S857)+N($T857)-N($U857),2))</f>
        <v/>
      </c>
      <c r="W857" s="18">
        <f>IF(COUNTA($B857:$R857)=0,"",IF(OR($X857="Pago",$X857="Recebido",$X857="Cancelado"),0,ROUND(N($Q857)+N($S857)+N($T857)-N($U857)-N($R857),2)))</f>
        <v/>
      </c>
      <c r="X857" s="14" t="n"/>
      <c r="Y857" s="17">
        <f>IF(COUNTA($B857:$R857)=0,"",IF($X857="Cancelado","Cancelado",IF(OR($X857="Pago",$X857="Recebido"),$X857,IF(OR($X857="Parcial",N($R857)&gt;0),"Parcial",IF($C857="","Sem vencimento",IF($C857&lt;TODAY(),"Vencido",IF($C857=TODAY(),"Vence hoje",IF($C857&lt;=TODAY()+7,"Vence em 7 dias",IF($C857&lt;=TODAY()+30,"Vence em 30 dias","Futuro")))))))))</f>
        <v/>
      </c>
      <c r="Z857" s="24">
        <f>IF($B857="","",MONTH($B857))</f>
        <v/>
      </c>
      <c r="AA857" s="24">
        <f>IF($B857="","",YEAR($B857))</f>
        <v/>
      </c>
      <c r="AB857" s="24">
        <f>IF($B857="","",ISOWEEKNUM($B857))</f>
        <v/>
      </c>
      <c r="AC857" s="17">
        <f>IF($B857="","",CHOOSE(WEEKDAY($B857,2),"Segunda","Terça","Quarta","Quinta","Sexta","Sábado","Domingo"))</f>
        <v/>
      </c>
      <c r="AD857" s="17">
        <f>IF($B857="","",TEXT($B857,"MM/AAAA"))</f>
        <v/>
      </c>
      <c r="AE857" s="18">
        <f>IF(COUNTA($B857:$R857)=0,"",IF($X857="Cancelado",0,ROUND(N($Q857)+N($S857)+N($T857)-N($U857),2)))</f>
        <v/>
      </c>
      <c r="AF857" s="9">
        <f>IF($G857="","",IFERROR(INDEX(LINHAS_DRE_PLANO,MATCH($G857,SUBCATEGORIAS_PLANO,0)),"Não classificado"))</f>
        <v/>
      </c>
      <c r="AG857" s="17">
        <f>IF($G857="","",IFERROR(INDEX(TIPOS_FLUXO_PLANO,MATCH($G857,SUBCATEGORIAS_PLANO,0)),"Não classificado"))</f>
        <v/>
      </c>
      <c r="AH857" s="9">
        <f>IF($G857="","",IFERROR(INDEX(GRUPOS_PLANO,MATCH($G857,SUBCATEGORIAS_PLANO,0)),"Não classificado"))</f>
        <v/>
      </c>
      <c r="AI857" s="24">
        <f>IF(OR($C857="",$X857="Pago",$X857="Recebido",$X857="Cancelado"),"",$C857-TODAY())</f>
        <v/>
      </c>
      <c r="AJ857" s="24">
        <f>IF(OR($C857="",$X857="Pago",$X857="Recebido",$X857="Cancelado"),0,MAX(0,TODAY()-$C857))</f>
        <v/>
      </c>
      <c r="AK857" s="24">
        <f>IF($D857="","",$D857-$B857)</f>
        <v/>
      </c>
      <c r="AL857" s="18">
        <f>IF(OR($D857="",$B857=""),"",ROUND(N($R857)*($D857-$B857),2))</f>
        <v/>
      </c>
      <c r="AM857" s="17">
        <f>IF(AND($E857="Saída",$W857&gt;0,$C857&lt;&gt;""),$C857+ROW()/1000000,"")</f>
        <v/>
      </c>
      <c r="AN857" s="17">
        <f>IF(AND($E857="Entrada",$W857&gt;0,$C857&lt;&gt;""),$C857+ROW()/1000000,"")</f>
        <v/>
      </c>
      <c r="AO857" s="9">
        <f>IF(COUNTA($B857:$R857)=0,"",IF(AND($I857&lt;&gt;"",COUNTIF(CLIENTES_NOMES,$I857)+COUNTIF(CLIENTES_FANTASIA,$I857)+COUNTIF(FORNECEDORES_NOMES,$I857)+COUNTIF(FORNECEDORES_FANTASIA,$I857)=0),"⚠ Cliente/Fornecedor não cadastrado",IF(AND($G857&lt;&gt;"",COUNTIF(SUBCATEGORIAS_PLANO,$G857)=0),"⚠ Subcategoria fora do plano de contas",IF(OR($Q857="",N($Q857)=0),"⚠ Valor previsto não informado",IF(AND(OR($X857="Pago",$X857="Recebido"),$D857=""),"⚠ Status pago/recebido sem data",IF(AND($D857&lt;&gt;"",N($R857)=0),"⚠ Data de pagamento sem valor realizado",IF(AND(N($P857)&gt;1,N($O857)&gt;N($P857)),"⚠ Nº da parcela maior que o total",IF(AND($C857&lt;&gt;"",$B857&lt;&gt;"",$C857&lt;$B857),"⚠ Vencimento anterior à competência","OK"))))))))</f>
        <v/>
      </c>
    </row>
    <row r="858">
      <c r="A858" s="14" t="n"/>
      <c r="B858" s="36" t="n"/>
      <c r="C858" s="36" t="n"/>
      <c r="D858" s="36" t="n"/>
      <c r="E858" s="14" t="n"/>
      <c r="F858" s="29" t="n"/>
      <c r="G858" s="29" t="n"/>
      <c r="H858" s="29" t="n"/>
      <c r="I858" s="29" t="n"/>
      <c r="J858" s="29" t="n"/>
      <c r="K858" s="14" t="n"/>
      <c r="L858" s="29" t="n"/>
      <c r="M858" s="14" t="n"/>
      <c r="N858" s="29" t="n"/>
      <c r="O858" s="13" t="n"/>
      <c r="P858" s="13" t="n"/>
      <c r="Q858" s="35" t="n"/>
      <c r="R858" s="35" t="n"/>
      <c r="S858" s="35" t="n"/>
      <c r="T858" s="35" t="n"/>
      <c r="U858" s="35" t="n"/>
      <c r="V858" s="18">
        <f>IF(COUNTA($B858:$R858)=0,"",ROUND(N($R858)+N($S858)+N($T858)-N($U858),2))</f>
        <v/>
      </c>
      <c r="W858" s="18">
        <f>IF(COUNTA($B858:$R858)=0,"",IF(OR($X858="Pago",$X858="Recebido",$X858="Cancelado"),0,ROUND(N($Q858)+N($S858)+N($T858)-N($U858)-N($R858),2)))</f>
        <v/>
      </c>
      <c r="X858" s="14" t="n"/>
      <c r="Y858" s="17">
        <f>IF(COUNTA($B858:$R858)=0,"",IF($X858="Cancelado","Cancelado",IF(OR($X858="Pago",$X858="Recebido"),$X858,IF(OR($X858="Parcial",N($R858)&gt;0),"Parcial",IF($C858="","Sem vencimento",IF($C858&lt;TODAY(),"Vencido",IF($C858=TODAY(),"Vence hoje",IF($C858&lt;=TODAY()+7,"Vence em 7 dias",IF($C858&lt;=TODAY()+30,"Vence em 30 dias","Futuro")))))))))</f>
        <v/>
      </c>
      <c r="Z858" s="24">
        <f>IF($B858="","",MONTH($B858))</f>
        <v/>
      </c>
      <c r="AA858" s="24">
        <f>IF($B858="","",YEAR($B858))</f>
        <v/>
      </c>
      <c r="AB858" s="24">
        <f>IF($B858="","",ISOWEEKNUM($B858))</f>
        <v/>
      </c>
      <c r="AC858" s="17">
        <f>IF($B858="","",CHOOSE(WEEKDAY($B858,2),"Segunda","Terça","Quarta","Quinta","Sexta","Sábado","Domingo"))</f>
        <v/>
      </c>
      <c r="AD858" s="17">
        <f>IF($B858="","",TEXT($B858,"MM/AAAA"))</f>
        <v/>
      </c>
      <c r="AE858" s="18">
        <f>IF(COUNTA($B858:$R858)=0,"",IF($X858="Cancelado",0,ROUND(N($Q858)+N($S858)+N($T858)-N($U858),2)))</f>
        <v/>
      </c>
      <c r="AF858" s="9">
        <f>IF($G858="","",IFERROR(INDEX(LINHAS_DRE_PLANO,MATCH($G858,SUBCATEGORIAS_PLANO,0)),"Não classificado"))</f>
        <v/>
      </c>
      <c r="AG858" s="17">
        <f>IF($G858="","",IFERROR(INDEX(TIPOS_FLUXO_PLANO,MATCH($G858,SUBCATEGORIAS_PLANO,0)),"Não classificado"))</f>
        <v/>
      </c>
      <c r="AH858" s="9">
        <f>IF($G858="","",IFERROR(INDEX(GRUPOS_PLANO,MATCH($G858,SUBCATEGORIAS_PLANO,0)),"Não classificado"))</f>
        <v/>
      </c>
      <c r="AI858" s="24">
        <f>IF(OR($C858="",$X858="Pago",$X858="Recebido",$X858="Cancelado"),"",$C858-TODAY())</f>
        <v/>
      </c>
      <c r="AJ858" s="24">
        <f>IF(OR($C858="",$X858="Pago",$X858="Recebido",$X858="Cancelado"),0,MAX(0,TODAY()-$C858))</f>
        <v/>
      </c>
      <c r="AK858" s="24">
        <f>IF($D858="","",$D858-$B858)</f>
        <v/>
      </c>
      <c r="AL858" s="18">
        <f>IF(OR($D858="",$B858=""),"",ROUND(N($R858)*($D858-$B858),2))</f>
        <v/>
      </c>
      <c r="AM858" s="17">
        <f>IF(AND($E858="Saída",$W858&gt;0,$C858&lt;&gt;""),$C858+ROW()/1000000,"")</f>
        <v/>
      </c>
      <c r="AN858" s="17">
        <f>IF(AND($E858="Entrada",$W858&gt;0,$C858&lt;&gt;""),$C858+ROW()/1000000,"")</f>
        <v/>
      </c>
      <c r="AO858" s="9">
        <f>IF(COUNTA($B858:$R858)=0,"",IF(AND($I858&lt;&gt;"",COUNTIF(CLIENTES_NOMES,$I858)+COUNTIF(CLIENTES_FANTASIA,$I858)+COUNTIF(FORNECEDORES_NOMES,$I858)+COUNTIF(FORNECEDORES_FANTASIA,$I858)=0),"⚠ Cliente/Fornecedor não cadastrado",IF(AND($G858&lt;&gt;"",COUNTIF(SUBCATEGORIAS_PLANO,$G858)=0),"⚠ Subcategoria fora do plano de contas",IF(OR($Q858="",N($Q858)=0),"⚠ Valor previsto não informado",IF(AND(OR($X858="Pago",$X858="Recebido"),$D858=""),"⚠ Status pago/recebido sem data",IF(AND($D858&lt;&gt;"",N($R858)=0),"⚠ Data de pagamento sem valor realizado",IF(AND(N($P858)&gt;1,N($O858)&gt;N($P858)),"⚠ Nº da parcela maior que o total",IF(AND($C858&lt;&gt;"",$B858&lt;&gt;"",$C858&lt;$B858),"⚠ Vencimento anterior à competência","OK"))))))))</f>
        <v/>
      </c>
    </row>
    <row r="859">
      <c r="A859" s="14" t="n"/>
      <c r="B859" s="36" t="n"/>
      <c r="C859" s="36" t="n"/>
      <c r="D859" s="36" t="n"/>
      <c r="E859" s="14" t="n"/>
      <c r="F859" s="29" t="n"/>
      <c r="G859" s="29" t="n"/>
      <c r="H859" s="29" t="n"/>
      <c r="I859" s="29" t="n"/>
      <c r="J859" s="29" t="n"/>
      <c r="K859" s="14" t="n"/>
      <c r="L859" s="29" t="n"/>
      <c r="M859" s="14" t="n"/>
      <c r="N859" s="29" t="n"/>
      <c r="O859" s="13" t="n"/>
      <c r="P859" s="13" t="n"/>
      <c r="Q859" s="35" t="n"/>
      <c r="R859" s="35" t="n"/>
      <c r="S859" s="35" t="n"/>
      <c r="T859" s="35" t="n"/>
      <c r="U859" s="35" t="n"/>
      <c r="V859" s="18">
        <f>IF(COUNTA($B859:$R859)=0,"",ROUND(N($R859)+N($S859)+N($T859)-N($U859),2))</f>
        <v/>
      </c>
      <c r="W859" s="18">
        <f>IF(COUNTA($B859:$R859)=0,"",IF(OR($X859="Pago",$X859="Recebido",$X859="Cancelado"),0,ROUND(N($Q859)+N($S859)+N($T859)-N($U859)-N($R859),2)))</f>
        <v/>
      </c>
      <c r="X859" s="14" t="n"/>
      <c r="Y859" s="17">
        <f>IF(COUNTA($B859:$R859)=0,"",IF($X859="Cancelado","Cancelado",IF(OR($X859="Pago",$X859="Recebido"),$X859,IF(OR($X859="Parcial",N($R859)&gt;0),"Parcial",IF($C859="","Sem vencimento",IF($C859&lt;TODAY(),"Vencido",IF($C859=TODAY(),"Vence hoje",IF($C859&lt;=TODAY()+7,"Vence em 7 dias",IF($C859&lt;=TODAY()+30,"Vence em 30 dias","Futuro")))))))))</f>
        <v/>
      </c>
      <c r="Z859" s="24">
        <f>IF($B859="","",MONTH($B859))</f>
        <v/>
      </c>
      <c r="AA859" s="24">
        <f>IF($B859="","",YEAR($B859))</f>
        <v/>
      </c>
      <c r="AB859" s="24">
        <f>IF($B859="","",ISOWEEKNUM($B859))</f>
        <v/>
      </c>
      <c r="AC859" s="17">
        <f>IF($B859="","",CHOOSE(WEEKDAY($B859,2),"Segunda","Terça","Quarta","Quinta","Sexta","Sábado","Domingo"))</f>
        <v/>
      </c>
      <c r="AD859" s="17">
        <f>IF($B859="","",TEXT($B859,"MM/AAAA"))</f>
        <v/>
      </c>
      <c r="AE859" s="18">
        <f>IF(COUNTA($B859:$R859)=0,"",IF($X859="Cancelado",0,ROUND(N($Q859)+N($S859)+N($T859)-N($U859),2)))</f>
        <v/>
      </c>
      <c r="AF859" s="9">
        <f>IF($G859="","",IFERROR(INDEX(LINHAS_DRE_PLANO,MATCH($G859,SUBCATEGORIAS_PLANO,0)),"Não classificado"))</f>
        <v/>
      </c>
      <c r="AG859" s="17">
        <f>IF($G859="","",IFERROR(INDEX(TIPOS_FLUXO_PLANO,MATCH($G859,SUBCATEGORIAS_PLANO,0)),"Não classificado"))</f>
        <v/>
      </c>
      <c r="AH859" s="9">
        <f>IF($G859="","",IFERROR(INDEX(GRUPOS_PLANO,MATCH($G859,SUBCATEGORIAS_PLANO,0)),"Não classificado"))</f>
        <v/>
      </c>
      <c r="AI859" s="24">
        <f>IF(OR($C859="",$X859="Pago",$X859="Recebido",$X859="Cancelado"),"",$C859-TODAY())</f>
        <v/>
      </c>
      <c r="AJ859" s="24">
        <f>IF(OR($C859="",$X859="Pago",$X859="Recebido",$X859="Cancelado"),0,MAX(0,TODAY()-$C859))</f>
        <v/>
      </c>
      <c r="AK859" s="24">
        <f>IF($D859="","",$D859-$B859)</f>
        <v/>
      </c>
      <c r="AL859" s="18">
        <f>IF(OR($D859="",$B859=""),"",ROUND(N($R859)*($D859-$B859),2))</f>
        <v/>
      </c>
      <c r="AM859" s="17">
        <f>IF(AND($E859="Saída",$W859&gt;0,$C859&lt;&gt;""),$C859+ROW()/1000000,"")</f>
        <v/>
      </c>
      <c r="AN859" s="17">
        <f>IF(AND($E859="Entrada",$W859&gt;0,$C859&lt;&gt;""),$C859+ROW()/1000000,"")</f>
        <v/>
      </c>
      <c r="AO859" s="9">
        <f>IF(COUNTA($B859:$R859)=0,"",IF(AND($I859&lt;&gt;"",COUNTIF(CLIENTES_NOMES,$I859)+COUNTIF(CLIENTES_FANTASIA,$I859)+COUNTIF(FORNECEDORES_NOMES,$I859)+COUNTIF(FORNECEDORES_FANTASIA,$I859)=0),"⚠ Cliente/Fornecedor não cadastrado",IF(AND($G859&lt;&gt;"",COUNTIF(SUBCATEGORIAS_PLANO,$G859)=0),"⚠ Subcategoria fora do plano de contas",IF(OR($Q859="",N($Q859)=0),"⚠ Valor previsto não informado",IF(AND(OR($X859="Pago",$X859="Recebido"),$D859=""),"⚠ Status pago/recebido sem data",IF(AND($D859&lt;&gt;"",N($R859)=0),"⚠ Data de pagamento sem valor realizado",IF(AND(N($P859)&gt;1,N($O859)&gt;N($P859)),"⚠ Nº da parcela maior que o total",IF(AND($C859&lt;&gt;"",$B859&lt;&gt;"",$C859&lt;$B859),"⚠ Vencimento anterior à competência","OK"))))))))</f>
        <v/>
      </c>
    </row>
    <row r="860">
      <c r="A860" s="14" t="n"/>
      <c r="B860" s="36" t="n"/>
      <c r="C860" s="36" t="n"/>
      <c r="D860" s="36" t="n"/>
      <c r="E860" s="14" t="n"/>
      <c r="F860" s="29" t="n"/>
      <c r="G860" s="29" t="n"/>
      <c r="H860" s="29" t="n"/>
      <c r="I860" s="29" t="n"/>
      <c r="J860" s="29" t="n"/>
      <c r="K860" s="14" t="n"/>
      <c r="L860" s="29" t="n"/>
      <c r="M860" s="14" t="n"/>
      <c r="N860" s="29" t="n"/>
      <c r="O860" s="13" t="n"/>
      <c r="P860" s="13" t="n"/>
      <c r="Q860" s="35" t="n"/>
      <c r="R860" s="35" t="n"/>
      <c r="S860" s="35" t="n"/>
      <c r="T860" s="35" t="n"/>
      <c r="U860" s="35" t="n"/>
      <c r="V860" s="18">
        <f>IF(COUNTA($B860:$R860)=0,"",ROUND(N($R860)+N($S860)+N($T860)-N($U860),2))</f>
        <v/>
      </c>
      <c r="W860" s="18">
        <f>IF(COUNTA($B860:$R860)=0,"",IF(OR($X860="Pago",$X860="Recebido",$X860="Cancelado"),0,ROUND(N($Q860)+N($S860)+N($T860)-N($U860)-N($R860),2)))</f>
        <v/>
      </c>
      <c r="X860" s="14" t="n"/>
      <c r="Y860" s="17">
        <f>IF(COUNTA($B860:$R860)=0,"",IF($X860="Cancelado","Cancelado",IF(OR($X860="Pago",$X860="Recebido"),$X860,IF(OR($X860="Parcial",N($R860)&gt;0),"Parcial",IF($C860="","Sem vencimento",IF($C860&lt;TODAY(),"Vencido",IF($C860=TODAY(),"Vence hoje",IF($C860&lt;=TODAY()+7,"Vence em 7 dias",IF($C860&lt;=TODAY()+30,"Vence em 30 dias","Futuro")))))))))</f>
        <v/>
      </c>
      <c r="Z860" s="24">
        <f>IF($B860="","",MONTH($B860))</f>
        <v/>
      </c>
      <c r="AA860" s="24">
        <f>IF($B860="","",YEAR($B860))</f>
        <v/>
      </c>
      <c r="AB860" s="24">
        <f>IF($B860="","",ISOWEEKNUM($B860))</f>
        <v/>
      </c>
      <c r="AC860" s="17">
        <f>IF($B860="","",CHOOSE(WEEKDAY($B860,2),"Segunda","Terça","Quarta","Quinta","Sexta","Sábado","Domingo"))</f>
        <v/>
      </c>
      <c r="AD860" s="17">
        <f>IF($B860="","",TEXT($B860,"MM/AAAA"))</f>
        <v/>
      </c>
      <c r="AE860" s="18">
        <f>IF(COUNTA($B860:$R860)=0,"",IF($X860="Cancelado",0,ROUND(N($Q860)+N($S860)+N($T860)-N($U860),2)))</f>
        <v/>
      </c>
      <c r="AF860" s="9">
        <f>IF($G860="","",IFERROR(INDEX(LINHAS_DRE_PLANO,MATCH($G860,SUBCATEGORIAS_PLANO,0)),"Não classificado"))</f>
        <v/>
      </c>
      <c r="AG860" s="17">
        <f>IF($G860="","",IFERROR(INDEX(TIPOS_FLUXO_PLANO,MATCH($G860,SUBCATEGORIAS_PLANO,0)),"Não classificado"))</f>
        <v/>
      </c>
      <c r="AH860" s="9">
        <f>IF($G860="","",IFERROR(INDEX(GRUPOS_PLANO,MATCH($G860,SUBCATEGORIAS_PLANO,0)),"Não classificado"))</f>
        <v/>
      </c>
      <c r="AI860" s="24">
        <f>IF(OR($C860="",$X860="Pago",$X860="Recebido",$X860="Cancelado"),"",$C860-TODAY())</f>
        <v/>
      </c>
      <c r="AJ860" s="24">
        <f>IF(OR($C860="",$X860="Pago",$X860="Recebido",$X860="Cancelado"),0,MAX(0,TODAY()-$C860))</f>
        <v/>
      </c>
      <c r="AK860" s="24">
        <f>IF($D860="","",$D860-$B860)</f>
        <v/>
      </c>
      <c r="AL860" s="18">
        <f>IF(OR($D860="",$B860=""),"",ROUND(N($R860)*($D860-$B860),2))</f>
        <v/>
      </c>
      <c r="AM860" s="17">
        <f>IF(AND($E860="Saída",$W860&gt;0,$C860&lt;&gt;""),$C860+ROW()/1000000,"")</f>
        <v/>
      </c>
      <c r="AN860" s="17">
        <f>IF(AND($E860="Entrada",$W860&gt;0,$C860&lt;&gt;""),$C860+ROW()/1000000,"")</f>
        <v/>
      </c>
      <c r="AO860" s="9">
        <f>IF(COUNTA($B860:$R860)=0,"",IF(AND($I860&lt;&gt;"",COUNTIF(CLIENTES_NOMES,$I860)+COUNTIF(CLIENTES_FANTASIA,$I860)+COUNTIF(FORNECEDORES_NOMES,$I860)+COUNTIF(FORNECEDORES_FANTASIA,$I860)=0),"⚠ Cliente/Fornecedor não cadastrado",IF(AND($G860&lt;&gt;"",COUNTIF(SUBCATEGORIAS_PLANO,$G860)=0),"⚠ Subcategoria fora do plano de contas",IF(OR($Q860="",N($Q860)=0),"⚠ Valor previsto não informado",IF(AND(OR($X860="Pago",$X860="Recebido"),$D860=""),"⚠ Status pago/recebido sem data",IF(AND($D860&lt;&gt;"",N($R860)=0),"⚠ Data de pagamento sem valor realizado",IF(AND(N($P860)&gt;1,N($O860)&gt;N($P860)),"⚠ Nº da parcela maior que o total",IF(AND($C860&lt;&gt;"",$B860&lt;&gt;"",$C860&lt;$B860),"⚠ Vencimento anterior à competência","OK"))))))))</f>
        <v/>
      </c>
    </row>
    <row r="861">
      <c r="A861" s="14" t="n"/>
      <c r="B861" s="36" t="n"/>
      <c r="C861" s="36" t="n"/>
      <c r="D861" s="36" t="n"/>
      <c r="E861" s="14" t="n"/>
      <c r="F861" s="29" t="n"/>
      <c r="G861" s="29" t="n"/>
      <c r="H861" s="29" t="n"/>
      <c r="I861" s="29" t="n"/>
      <c r="J861" s="29" t="n"/>
      <c r="K861" s="14" t="n"/>
      <c r="L861" s="29" t="n"/>
      <c r="M861" s="14" t="n"/>
      <c r="N861" s="29" t="n"/>
      <c r="O861" s="13" t="n"/>
      <c r="P861" s="13" t="n"/>
      <c r="Q861" s="35" t="n"/>
      <c r="R861" s="35" t="n"/>
      <c r="S861" s="35" t="n"/>
      <c r="T861" s="35" t="n"/>
      <c r="U861" s="35" t="n"/>
      <c r="V861" s="18">
        <f>IF(COUNTA($B861:$R861)=0,"",ROUND(N($R861)+N($S861)+N($T861)-N($U861),2))</f>
        <v/>
      </c>
      <c r="W861" s="18">
        <f>IF(COUNTA($B861:$R861)=0,"",IF(OR($X861="Pago",$X861="Recebido",$X861="Cancelado"),0,ROUND(N($Q861)+N($S861)+N($T861)-N($U861)-N($R861),2)))</f>
        <v/>
      </c>
      <c r="X861" s="14" t="n"/>
      <c r="Y861" s="17">
        <f>IF(COUNTA($B861:$R861)=0,"",IF($X861="Cancelado","Cancelado",IF(OR($X861="Pago",$X861="Recebido"),$X861,IF(OR($X861="Parcial",N($R861)&gt;0),"Parcial",IF($C861="","Sem vencimento",IF($C861&lt;TODAY(),"Vencido",IF($C861=TODAY(),"Vence hoje",IF($C861&lt;=TODAY()+7,"Vence em 7 dias",IF($C861&lt;=TODAY()+30,"Vence em 30 dias","Futuro")))))))))</f>
        <v/>
      </c>
      <c r="Z861" s="24">
        <f>IF($B861="","",MONTH($B861))</f>
        <v/>
      </c>
      <c r="AA861" s="24">
        <f>IF($B861="","",YEAR($B861))</f>
        <v/>
      </c>
      <c r="AB861" s="24">
        <f>IF($B861="","",ISOWEEKNUM($B861))</f>
        <v/>
      </c>
      <c r="AC861" s="17">
        <f>IF($B861="","",CHOOSE(WEEKDAY($B861,2),"Segunda","Terça","Quarta","Quinta","Sexta","Sábado","Domingo"))</f>
        <v/>
      </c>
      <c r="AD861" s="17">
        <f>IF($B861="","",TEXT($B861,"MM/AAAA"))</f>
        <v/>
      </c>
      <c r="AE861" s="18">
        <f>IF(COUNTA($B861:$R861)=0,"",IF($X861="Cancelado",0,ROUND(N($Q861)+N($S861)+N($T861)-N($U861),2)))</f>
        <v/>
      </c>
      <c r="AF861" s="9">
        <f>IF($G861="","",IFERROR(INDEX(LINHAS_DRE_PLANO,MATCH($G861,SUBCATEGORIAS_PLANO,0)),"Não classificado"))</f>
        <v/>
      </c>
      <c r="AG861" s="17">
        <f>IF($G861="","",IFERROR(INDEX(TIPOS_FLUXO_PLANO,MATCH($G861,SUBCATEGORIAS_PLANO,0)),"Não classificado"))</f>
        <v/>
      </c>
      <c r="AH861" s="9">
        <f>IF($G861="","",IFERROR(INDEX(GRUPOS_PLANO,MATCH($G861,SUBCATEGORIAS_PLANO,0)),"Não classificado"))</f>
        <v/>
      </c>
      <c r="AI861" s="24">
        <f>IF(OR($C861="",$X861="Pago",$X861="Recebido",$X861="Cancelado"),"",$C861-TODAY())</f>
        <v/>
      </c>
      <c r="AJ861" s="24">
        <f>IF(OR($C861="",$X861="Pago",$X861="Recebido",$X861="Cancelado"),0,MAX(0,TODAY()-$C861))</f>
        <v/>
      </c>
      <c r="AK861" s="24">
        <f>IF($D861="","",$D861-$B861)</f>
        <v/>
      </c>
      <c r="AL861" s="18">
        <f>IF(OR($D861="",$B861=""),"",ROUND(N($R861)*($D861-$B861),2))</f>
        <v/>
      </c>
      <c r="AM861" s="17">
        <f>IF(AND($E861="Saída",$W861&gt;0,$C861&lt;&gt;""),$C861+ROW()/1000000,"")</f>
        <v/>
      </c>
      <c r="AN861" s="17">
        <f>IF(AND($E861="Entrada",$W861&gt;0,$C861&lt;&gt;""),$C861+ROW()/1000000,"")</f>
        <v/>
      </c>
      <c r="AO861" s="9">
        <f>IF(COUNTA($B861:$R861)=0,"",IF(AND($I861&lt;&gt;"",COUNTIF(CLIENTES_NOMES,$I861)+COUNTIF(CLIENTES_FANTASIA,$I861)+COUNTIF(FORNECEDORES_NOMES,$I861)+COUNTIF(FORNECEDORES_FANTASIA,$I861)=0),"⚠ Cliente/Fornecedor não cadastrado",IF(AND($G861&lt;&gt;"",COUNTIF(SUBCATEGORIAS_PLANO,$G861)=0),"⚠ Subcategoria fora do plano de contas",IF(OR($Q861="",N($Q861)=0),"⚠ Valor previsto não informado",IF(AND(OR($X861="Pago",$X861="Recebido"),$D861=""),"⚠ Status pago/recebido sem data",IF(AND($D861&lt;&gt;"",N($R861)=0),"⚠ Data de pagamento sem valor realizado",IF(AND(N($P861)&gt;1,N($O861)&gt;N($P861)),"⚠ Nº da parcela maior que o total",IF(AND($C861&lt;&gt;"",$B861&lt;&gt;"",$C861&lt;$B861),"⚠ Vencimento anterior à competência","OK"))))))))</f>
        <v/>
      </c>
    </row>
    <row r="862">
      <c r="A862" s="14" t="n"/>
      <c r="B862" s="36" t="n"/>
      <c r="C862" s="36" t="n"/>
      <c r="D862" s="36" t="n"/>
      <c r="E862" s="14" t="n"/>
      <c r="F862" s="29" t="n"/>
      <c r="G862" s="29" t="n"/>
      <c r="H862" s="29" t="n"/>
      <c r="I862" s="29" t="n"/>
      <c r="J862" s="29" t="n"/>
      <c r="K862" s="14" t="n"/>
      <c r="L862" s="29" t="n"/>
      <c r="M862" s="14" t="n"/>
      <c r="N862" s="29" t="n"/>
      <c r="O862" s="13" t="n"/>
      <c r="P862" s="13" t="n"/>
      <c r="Q862" s="35" t="n"/>
      <c r="R862" s="35" t="n"/>
      <c r="S862" s="35" t="n"/>
      <c r="T862" s="35" t="n"/>
      <c r="U862" s="35" t="n"/>
      <c r="V862" s="18">
        <f>IF(COUNTA($B862:$R862)=0,"",ROUND(N($R862)+N($S862)+N($T862)-N($U862),2))</f>
        <v/>
      </c>
      <c r="W862" s="18">
        <f>IF(COUNTA($B862:$R862)=0,"",IF(OR($X862="Pago",$X862="Recebido",$X862="Cancelado"),0,ROUND(N($Q862)+N($S862)+N($T862)-N($U862)-N($R862),2)))</f>
        <v/>
      </c>
      <c r="X862" s="14" t="n"/>
      <c r="Y862" s="17">
        <f>IF(COUNTA($B862:$R862)=0,"",IF($X862="Cancelado","Cancelado",IF(OR($X862="Pago",$X862="Recebido"),$X862,IF(OR($X862="Parcial",N($R862)&gt;0),"Parcial",IF($C862="","Sem vencimento",IF($C862&lt;TODAY(),"Vencido",IF($C862=TODAY(),"Vence hoje",IF($C862&lt;=TODAY()+7,"Vence em 7 dias",IF($C862&lt;=TODAY()+30,"Vence em 30 dias","Futuro")))))))))</f>
        <v/>
      </c>
      <c r="Z862" s="24">
        <f>IF($B862="","",MONTH($B862))</f>
        <v/>
      </c>
      <c r="AA862" s="24">
        <f>IF($B862="","",YEAR($B862))</f>
        <v/>
      </c>
      <c r="AB862" s="24">
        <f>IF($B862="","",ISOWEEKNUM($B862))</f>
        <v/>
      </c>
      <c r="AC862" s="17">
        <f>IF($B862="","",CHOOSE(WEEKDAY($B862,2),"Segunda","Terça","Quarta","Quinta","Sexta","Sábado","Domingo"))</f>
        <v/>
      </c>
      <c r="AD862" s="17">
        <f>IF($B862="","",TEXT($B862,"MM/AAAA"))</f>
        <v/>
      </c>
      <c r="AE862" s="18">
        <f>IF(COUNTA($B862:$R862)=0,"",IF($X862="Cancelado",0,ROUND(N($Q862)+N($S862)+N($T862)-N($U862),2)))</f>
        <v/>
      </c>
      <c r="AF862" s="9">
        <f>IF($G862="","",IFERROR(INDEX(LINHAS_DRE_PLANO,MATCH($G862,SUBCATEGORIAS_PLANO,0)),"Não classificado"))</f>
        <v/>
      </c>
      <c r="AG862" s="17">
        <f>IF($G862="","",IFERROR(INDEX(TIPOS_FLUXO_PLANO,MATCH($G862,SUBCATEGORIAS_PLANO,0)),"Não classificado"))</f>
        <v/>
      </c>
      <c r="AH862" s="9">
        <f>IF($G862="","",IFERROR(INDEX(GRUPOS_PLANO,MATCH($G862,SUBCATEGORIAS_PLANO,0)),"Não classificado"))</f>
        <v/>
      </c>
      <c r="AI862" s="24">
        <f>IF(OR($C862="",$X862="Pago",$X862="Recebido",$X862="Cancelado"),"",$C862-TODAY())</f>
        <v/>
      </c>
      <c r="AJ862" s="24">
        <f>IF(OR($C862="",$X862="Pago",$X862="Recebido",$X862="Cancelado"),0,MAX(0,TODAY()-$C862))</f>
        <v/>
      </c>
      <c r="AK862" s="24">
        <f>IF($D862="","",$D862-$B862)</f>
        <v/>
      </c>
      <c r="AL862" s="18">
        <f>IF(OR($D862="",$B862=""),"",ROUND(N($R862)*($D862-$B862),2))</f>
        <v/>
      </c>
      <c r="AM862" s="17">
        <f>IF(AND($E862="Saída",$W862&gt;0,$C862&lt;&gt;""),$C862+ROW()/1000000,"")</f>
        <v/>
      </c>
      <c r="AN862" s="17">
        <f>IF(AND($E862="Entrada",$W862&gt;0,$C862&lt;&gt;""),$C862+ROW()/1000000,"")</f>
        <v/>
      </c>
      <c r="AO862" s="9">
        <f>IF(COUNTA($B862:$R862)=0,"",IF(AND($I862&lt;&gt;"",COUNTIF(CLIENTES_NOMES,$I862)+COUNTIF(CLIENTES_FANTASIA,$I862)+COUNTIF(FORNECEDORES_NOMES,$I862)+COUNTIF(FORNECEDORES_FANTASIA,$I862)=0),"⚠ Cliente/Fornecedor não cadastrado",IF(AND($G862&lt;&gt;"",COUNTIF(SUBCATEGORIAS_PLANO,$G862)=0),"⚠ Subcategoria fora do plano de contas",IF(OR($Q862="",N($Q862)=0),"⚠ Valor previsto não informado",IF(AND(OR($X862="Pago",$X862="Recebido"),$D862=""),"⚠ Status pago/recebido sem data",IF(AND($D862&lt;&gt;"",N($R862)=0),"⚠ Data de pagamento sem valor realizado",IF(AND(N($P862)&gt;1,N($O862)&gt;N($P862)),"⚠ Nº da parcela maior que o total",IF(AND($C862&lt;&gt;"",$B862&lt;&gt;"",$C862&lt;$B862),"⚠ Vencimento anterior à competência","OK"))))))))</f>
        <v/>
      </c>
    </row>
    <row r="863">
      <c r="A863" s="14" t="n"/>
      <c r="B863" s="36" t="n"/>
      <c r="C863" s="36" t="n"/>
      <c r="D863" s="36" t="n"/>
      <c r="E863" s="14" t="n"/>
      <c r="F863" s="29" t="n"/>
      <c r="G863" s="29" t="n"/>
      <c r="H863" s="29" t="n"/>
      <c r="I863" s="29" t="n"/>
      <c r="J863" s="29" t="n"/>
      <c r="K863" s="14" t="n"/>
      <c r="L863" s="29" t="n"/>
      <c r="M863" s="14" t="n"/>
      <c r="N863" s="29" t="n"/>
      <c r="O863" s="13" t="n"/>
      <c r="P863" s="13" t="n"/>
      <c r="Q863" s="35" t="n"/>
      <c r="R863" s="35" t="n"/>
      <c r="S863" s="35" t="n"/>
      <c r="T863" s="35" t="n"/>
      <c r="U863" s="35" t="n"/>
      <c r="V863" s="18">
        <f>IF(COUNTA($B863:$R863)=0,"",ROUND(N($R863)+N($S863)+N($T863)-N($U863),2))</f>
        <v/>
      </c>
      <c r="W863" s="18">
        <f>IF(COUNTA($B863:$R863)=0,"",IF(OR($X863="Pago",$X863="Recebido",$X863="Cancelado"),0,ROUND(N($Q863)+N($S863)+N($T863)-N($U863)-N($R863),2)))</f>
        <v/>
      </c>
      <c r="X863" s="14" t="n"/>
      <c r="Y863" s="17">
        <f>IF(COUNTA($B863:$R863)=0,"",IF($X863="Cancelado","Cancelado",IF(OR($X863="Pago",$X863="Recebido"),$X863,IF(OR($X863="Parcial",N($R863)&gt;0),"Parcial",IF($C863="","Sem vencimento",IF($C863&lt;TODAY(),"Vencido",IF($C863=TODAY(),"Vence hoje",IF($C863&lt;=TODAY()+7,"Vence em 7 dias",IF($C863&lt;=TODAY()+30,"Vence em 30 dias","Futuro")))))))))</f>
        <v/>
      </c>
      <c r="Z863" s="24">
        <f>IF($B863="","",MONTH($B863))</f>
        <v/>
      </c>
      <c r="AA863" s="24">
        <f>IF($B863="","",YEAR($B863))</f>
        <v/>
      </c>
      <c r="AB863" s="24">
        <f>IF($B863="","",ISOWEEKNUM($B863))</f>
        <v/>
      </c>
      <c r="AC863" s="17">
        <f>IF($B863="","",CHOOSE(WEEKDAY($B863,2),"Segunda","Terça","Quarta","Quinta","Sexta","Sábado","Domingo"))</f>
        <v/>
      </c>
      <c r="AD863" s="17">
        <f>IF($B863="","",TEXT($B863,"MM/AAAA"))</f>
        <v/>
      </c>
      <c r="AE863" s="18">
        <f>IF(COUNTA($B863:$R863)=0,"",IF($X863="Cancelado",0,ROUND(N($Q863)+N($S863)+N($T863)-N($U863),2)))</f>
        <v/>
      </c>
      <c r="AF863" s="9">
        <f>IF($G863="","",IFERROR(INDEX(LINHAS_DRE_PLANO,MATCH($G863,SUBCATEGORIAS_PLANO,0)),"Não classificado"))</f>
        <v/>
      </c>
      <c r="AG863" s="17">
        <f>IF($G863="","",IFERROR(INDEX(TIPOS_FLUXO_PLANO,MATCH($G863,SUBCATEGORIAS_PLANO,0)),"Não classificado"))</f>
        <v/>
      </c>
      <c r="AH863" s="9">
        <f>IF($G863="","",IFERROR(INDEX(GRUPOS_PLANO,MATCH($G863,SUBCATEGORIAS_PLANO,0)),"Não classificado"))</f>
        <v/>
      </c>
      <c r="AI863" s="24">
        <f>IF(OR($C863="",$X863="Pago",$X863="Recebido",$X863="Cancelado"),"",$C863-TODAY())</f>
        <v/>
      </c>
      <c r="AJ863" s="24">
        <f>IF(OR($C863="",$X863="Pago",$X863="Recebido",$X863="Cancelado"),0,MAX(0,TODAY()-$C863))</f>
        <v/>
      </c>
      <c r="AK863" s="24">
        <f>IF($D863="","",$D863-$B863)</f>
        <v/>
      </c>
      <c r="AL863" s="18">
        <f>IF(OR($D863="",$B863=""),"",ROUND(N($R863)*($D863-$B863),2))</f>
        <v/>
      </c>
      <c r="AM863" s="17">
        <f>IF(AND($E863="Saída",$W863&gt;0,$C863&lt;&gt;""),$C863+ROW()/1000000,"")</f>
        <v/>
      </c>
      <c r="AN863" s="17">
        <f>IF(AND($E863="Entrada",$W863&gt;0,$C863&lt;&gt;""),$C863+ROW()/1000000,"")</f>
        <v/>
      </c>
      <c r="AO863" s="9">
        <f>IF(COUNTA($B863:$R863)=0,"",IF(AND($I863&lt;&gt;"",COUNTIF(CLIENTES_NOMES,$I863)+COUNTIF(CLIENTES_FANTASIA,$I863)+COUNTIF(FORNECEDORES_NOMES,$I863)+COUNTIF(FORNECEDORES_FANTASIA,$I863)=0),"⚠ Cliente/Fornecedor não cadastrado",IF(AND($G863&lt;&gt;"",COUNTIF(SUBCATEGORIAS_PLANO,$G863)=0),"⚠ Subcategoria fora do plano de contas",IF(OR($Q863="",N($Q863)=0),"⚠ Valor previsto não informado",IF(AND(OR($X863="Pago",$X863="Recebido"),$D863=""),"⚠ Status pago/recebido sem data",IF(AND($D863&lt;&gt;"",N($R863)=0),"⚠ Data de pagamento sem valor realizado",IF(AND(N($P863)&gt;1,N($O863)&gt;N($P863)),"⚠ Nº da parcela maior que o total",IF(AND($C863&lt;&gt;"",$B863&lt;&gt;"",$C863&lt;$B863),"⚠ Vencimento anterior à competência","OK"))))))))</f>
        <v/>
      </c>
    </row>
    <row r="864">
      <c r="A864" s="14" t="n"/>
      <c r="B864" s="36" t="n"/>
      <c r="C864" s="36" t="n"/>
      <c r="D864" s="36" t="n"/>
      <c r="E864" s="14" t="n"/>
      <c r="F864" s="29" t="n"/>
      <c r="G864" s="29" t="n"/>
      <c r="H864" s="29" t="n"/>
      <c r="I864" s="29" t="n"/>
      <c r="J864" s="29" t="n"/>
      <c r="K864" s="14" t="n"/>
      <c r="L864" s="29" t="n"/>
      <c r="M864" s="14" t="n"/>
      <c r="N864" s="29" t="n"/>
      <c r="O864" s="13" t="n"/>
      <c r="P864" s="13" t="n"/>
      <c r="Q864" s="35" t="n"/>
      <c r="R864" s="35" t="n"/>
      <c r="S864" s="35" t="n"/>
      <c r="T864" s="35" t="n"/>
      <c r="U864" s="35" t="n"/>
      <c r="V864" s="18">
        <f>IF(COUNTA($B864:$R864)=0,"",ROUND(N($R864)+N($S864)+N($T864)-N($U864),2))</f>
        <v/>
      </c>
      <c r="W864" s="18">
        <f>IF(COUNTA($B864:$R864)=0,"",IF(OR($X864="Pago",$X864="Recebido",$X864="Cancelado"),0,ROUND(N($Q864)+N($S864)+N($T864)-N($U864)-N($R864),2)))</f>
        <v/>
      </c>
      <c r="X864" s="14" t="n"/>
      <c r="Y864" s="17">
        <f>IF(COUNTA($B864:$R864)=0,"",IF($X864="Cancelado","Cancelado",IF(OR($X864="Pago",$X864="Recebido"),$X864,IF(OR($X864="Parcial",N($R864)&gt;0),"Parcial",IF($C864="","Sem vencimento",IF($C864&lt;TODAY(),"Vencido",IF($C864=TODAY(),"Vence hoje",IF($C864&lt;=TODAY()+7,"Vence em 7 dias",IF($C864&lt;=TODAY()+30,"Vence em 30 dias","Futuro")))))))))</f>
        <v/>
      </c>
      <c r="Z864" s="24">
        <f>IF($B864="","",MONTH($B864))</f>
        <v/>
      </c>
      <c r="AA864" s="24">
        <f>IF($B864="","",YEAR($B864))</f>
        <v/>
      </c>
      <c r="AB864" s="24">
        <f>IF($B864="","",ISOWEEKNUM($B864))</f>
        <v/>
      </c>
      <c r="AC864" s="17">
        <f>IF($B864="","",CHOOSE(WEEKDAY($B864,2),"Segunda","Terça","Quarta","Quinta","Sexta","Sábado","Domingo"))</f>
        <v/>
      </c>
      <c r="AD864" s="17">
        <f>IF($B864="","",TEXT($B864,"MM/AAAA"))</f>
        <v/>
      </c>
      <c r="AE864" s="18">
        <f>IF(COUNTA($B864:$R864)=0,"",IF($X864="Cancelado",0,ROUND(N($Q864)+N($S864)+N($T864)-N($U864),2)))</f>
        <v/>
      </c>
      <c r="AF864" s="9">
        <f>IF($G864="","",IFERROR(INDEX(LINHAS_DRE_PLANO,MATCH($G864,SUBCATEGORIAS_PLANO,0)),"Não classificado"))</f>
        <v/>
      </c>
      <c r="AG864" s="17">
        <f>IF($G864="","",IFERROR(INDEX(TIPOS_FLUXO_PLANO,MATCH($G864,SUBCATEGORIAS_PLANO,0)),"Não classificado"))</f>
        <v/>
      </c>
      <c r="AH864" s="9">
        <f>IF($G864="","",IFERROR(INDEX(GRUPOS_PLANO,MATCH($G864,SUBCATEGORIAS_PLANO,0)),"Não classificado"))</f>
        <v/>
      </c>
      <c r="AI864" s="24">
        <f>IF(OR($C864="",$X864="Pago",$X864="Recebido",$X864="Cancelado"),"",$C864-TODAY())</f>
        <v/>
      </c>
      <c r="AJ864" s="24">
        <f>IF(OR($C864="",$X864="Pago",$X864="Recebido",$X864="Cancelado"),0,MAX(0,TODAY()-$C864))</f>
        <v/>
      </c>
      <c r="AK864" s="24">
        <f>IF($D864="","",$D864-$B864)</f>
        <v/>
      </c>
      <c r="AL864" s="18">
        <f>IF(OR($D864="",$B864=""),"",ROUND(N($R864)*($D864-$B864),2))</f>
        <v/>
      </c>
      <c r="AM864" s="17">
        <f>IF(AND($E864="Saída",$W864&gt;0,$C864&lt;&gt;""),$C864+ROW()/1000000,"")</f>
        <v/>
      </c>
      <c r="AN864" s="17">
        <f>IF(AND($E864="Entrada",$W864&gt;0,$C864&lt;&gt;""),$C864+ROW()/1000000,"")</f>
        <v/>
      </c>
      <c r="AO864" s="9">
        <f>IF(COUNTA($B864:$R864)=0,"",IF(AND($I864&lt;&gt;"",COUNTIF(CLIENTES_NOMES,$I864)+COUNTIF(CLIENTES_FANTASIA,$I864)+COUNTIF(FORNECEDORES_NOMES,$I864)+COUNTIF(FORNECEDORES_FANTASIA,$I864)=0),"⚠ Cliente/Fornecedor não cadastrado",IF(AND($G864&lt;&gt;"",COUNTIF(SUBCATEGORIAS_PLANO,$G864)=0),"⚠ Subcategoria fora do plano de contas",IF(OR($Q864="",N($Q864)=0),"⚠ Valor previsto não informado",IF(AND(OR($X864="Pago",$X864="Recebido"),$D864=""),"⚠ Status pago/recebido sem data",IF(AND($D864&lt;&gt;"",N($R864)=0),"⚠ Data de pagamento sem valor realizado",IF(AND(N($P864)&gt;1,N($O864)&gt;N($P864)),"⚠ Nº da parcela maior que o total",IF(AND($C864&lt;&gt;"",$B864&lt;&gt;"",$C864&lt;$B864),"⚠ Vencimento anterior à competência","OK"))))))))</f>
        <v/>
      </c>
    </row>
    <row r="865">
      <c r="A865" s="14" t="n"/>
      <c r="B865" s="36" t="n"/>
      <c r="C865" s="36" t="n"/>
      <c r="D865" s="36" t="n"/>
      <c r="E865" s="14" t="n"/>
      <c r="F865" s="29" t="n"/>
      <c r="G865" s="29" t="n"/>
      <c r="H865" s="29" t="n"/>
      <c r="I865" s="29" t="n"/>
      <c r="J865" s="29" t="n"/>
      <c r="K865" s="14" t="n"/>
      <c r="L865" s="29" t="n"/>
      <c r="M865" s="14" t="n"/>
      <c r="N865" s="29" t="n"/>
      <c r="O865" s="13" t="n"/>
      <c r="P865" s="13" t="n"/>
      <c r="Q865" s="35" t="n"/>
      <c r="R865" s="35" t="n"/>
      <c r="S865" s="35" t="n"/>
      <c r="T865" s="35" t="n"/>
      <c r="U865" s="35" t="n"/>
      <c r="V865" s="18">
        <f>IF(COUNTA($B865:$R865)=0,"",ROUND(N($R865)+N($S865)+N($T865)-N($U865),2))</f>
        <v/>
      </c>
      <c r="W865" s="18">
        <f>IF(COUNTA($B865:$R865)=0,"",IF(OR($X865="Pago",$X865="Recebido",$X865="Cancelado"),0,ROUND(N($Q865)+N($S865)+N($T865)-N($U865)-N($R865),2)))</f>
        <v/>
      </c>
      <c r="X865" s="14" t="n"/>
      <c r="Y865" s="17">
        <f>IF(COUNTA($B865:$R865)=0,"",IF($X865="Cancelado","Cancelado",IF(OR($X865="Pago",$X865="Recebido"),$X865,IF(OR($X865="Parcial",N($R865)&gt;0),"Parcial",IF($C865="","Sem vencimento",IF($C865&lt;TODAY(),"Vencido",IF($C865=TODAY(),"Vence hoje",IF($C865&lt;=TODAY()+7,"Vence em 7 dias",IF($C865&lt;=TODAY()+30,"Vence em 30 dias","Futuro")))))))))</f>
        <v/>
      </c>
      <c r="Z865" s="24">
        <f>IF($B865="","",MONTH($B865))</f>
        <v/>
      </c>
      <c r="AA865" s="24">
        <f>IF($B865="","",YEAR($B865))</f>
        <v/>
      </c>
      <c r="AB865" s="24">
        <f>IF($B865="","",ISOWEEKNUM($B865))</f>
        <v/>
      </c>
      <c r="AC865" s="17">
        <f>IF($B865="","",CHOOSE(WEEKDAY($B865,2),"Segunda","Terça","Quarta","Quinta","Sexta","Sábado","Domingo"))</f>
        <v/>
      </c>
      <c r="AD865" s="17">
        <f>IF($B865="","",TEXT($B865,"MM/AAAA"))</f>
        <v/>
      </c>
      <c r="AE865" s="18">
        <f>IF(COUNTA($B865:$R865)=0,"",IF($X865="Cancelado",0,ROUND(N($Q865)+N($S865)+N($T865)-N($U865),2)))</f>
        <v/>
      </c>
      <c r="AF865" s="9">
        <f>IF($G865="","",IFERROR(INDEX(LINHAS_DRE_PLANO,MATCH($G865,SUBCATEGORIAS_PLANO,0)),"Não classificado"))</f>
        <v/>
      </c>
      <c r="AG865" s="17">
        <f>IF($G865="","",IFERROR(INDEX(TIPOS_FLUXO_PLANO,MATCH($G865,SUBCATEGORIAS_PLANO,0)),"Não classificado"))</f>
        <v/>
      </c>
      <c r="AH865" s="9">
        <f>IF($G865="","",IFERROR(INDEX(GRUPOS_PLANO,MATCH($G865,SUBCATEGORIAS_PLANO,0)),"Não classificado"))</f>
        <v/>
      </c>
      <c r="AI865" s="24">
        <f>IF(OR($C865="",$X865="Pago",$X865="Recebido",$X865="Cancelado"),"",$C865-TODAY())</f>
        <v/>
      </c>
      <c r="AJ865" s="24">
        <f>IF(OR($C865="",$X865="Pago",$X865="Recebido",$X865="Cancelado"),0,MAX(0,TODAY()-$C865))</f>
        <v/>
      </c>
      <c r="AK865" s="24">
        <f>IF($D865="","",$D865-$B865)</f>
        <v/>
      </c>
      <c r="AL865" s="18">
        <f>IF(OR($D865="",$B865=""),"",ROUND(N($R865)*($D865-$B865),2))</f>
        <v/>
      </c>
      <c r="AM865" s="17">
        <f>IF(AND($E865="Saída",$W865&gt;0,$C865&lt;&gt;""),$C865+ROW()/1000000,"")</f>
        <v/>
      </c>
      <c r="AN865" s="17">
        <f>IF(AND($E865="Entrada",$W865&gt;0,$C865&lt;&gt;""),$C865+ROW()/1000000,"")</f>
        <v/>
      </c>
      <c r="AO865" s="9">
        <f>IF(COUNTA($B865:$R865)=0,"",IF(AND($I865&lt;&gt;"",COUNTIF(CLIENTES_NOMES,$I865)+COUNTIF(CLIENTES_FANTASIA,$I865)+COUNTIF(FORNECEDORES_NOMES,$I865)+COUNTIF(FORNECEDORES_FANTASIA,$I865)=0),"⚠ Cliente/Fornecedor não cadastrado",IF(AND($G865&lt;&gt;"",COUNTIF(SUBCATEGORIAS_PLANO,$G865)=0),"⚠ Subcategoria fora do plano de contas",IF(OR($Q865="",N($Q865)=0),"⚠ Valor previsto não informado",IF(AND(OR($X865="Pago",$X865="Recebido"),$D865=""),"⚠ Status pago/recebido sem data",IF(AND($D865&lt;&gt;"",N($R865)=0),"⚠ Data de pagamento sem valor realizado",IF(AND(N($P865)&gt;1,N($O865)&gt;N($P865)),"⚠ Nº da parcela maior que o total",IF(AND($C865&lt;&gt;"",$B865&lt;&gt;"",$C865&lt;$B865),"⚠ Vencimento anterior à competência","OK"))))))))</f>
        <v/>
      </c>
    </row>
    <row r="866">
      <c r="A866" s="14" t="n"/>
      <c r="B866" s="36" t="n"/>
      <c r="C866" s="36" t="n"/>
      <c r="D866" s="36" t="n"/>
      <c r="E866" s="14" t="n"/>
      <c r="F866" s="29" t="n"/>
      <c r="G866" s="29" t="n"/>
      <c r="H866" s="29" t="n"/>
      <c r="I866" s="29" t="n"/>
      <c r="J866" s="29" t="n"/>
      <c r="K866" s="14" t="n"/>
      <c r="L866" s="29" t="n"/>
      <c r="M866" s="14" t="n"/>
      <c r="N866" s="29" t="n"/>
      <c r="O866" s="13" t="n"/>
      <c r="P866" s="13" t="n"/>
      <c r="Q866" s="35" t="n"/>
      <c r="R866" s="35" t="n"/>
      <c r="S866" s="35" t="n"/>
      <c r="T866" s="35" t="n"/>
      <c r="U866" s="35" t="n"/>
      <c r="V866" s="18">
        <f>IF(COUNTA($B866:$R866)=0,"",ROUND(N($R866)+N($S866)+N($T866)-N($U866),2))</f>
        <v/>
      </c>
      <c r="W866" s="18">
        <f>IF(COUNTA($B866:$R866)=0,"",IF(OR($X866="Pago",$X866="Recebido",$X866="Cancelado"),0,ROUND(N($Q866)+N($S866)+N($T866)-N($U866)-N($R866),2)))</f>
        <v/>
      </c>
      <c r="X866" s="14" t="n"/>
      <c r="Y866" s="17">
        <f>IF(COUNTA($B866:$R866)=0,"",IF($X866="Cancelado","Cancelado",IF(OR($X866="Pago",$X866="Recebido"),$X866,IF(OR($X866="Parcial",N($R866)&gt;0),"Parcial",IF($C866="","Sem vencimento",IF($C866&lt;TODAY(),"Vencido",IF($C866=TODAY(),"Vence hoje",IF($C866&lt;=TODAY()+7,"Vence em 7 dias",IF($C866&lt;=TODAY()+30,"Vence em 30 dias","Futuro")))))))))</f>
        <v/>
      </c>
      <c r="Z866" s="24">
        <f>IF($B866="","",MONTH($B866))</f>
        <v/>
      </c>
      <c r="AA866" s="24">
        <f>IF($B866="","",YEAR($B866))</f>
        <v/>
      </c>
      <c r="AB866" s="24">
        <f>IF($B866="","",ISOWEEKNUM($B866))</f>
        <v/>
      </c>
      <c r="AC866" s="17">
        <f>IF($B866="","",CHOOSE(WEEKDAY($B866,2),"Segunda","Terça","Quarta","Quinta","Sexta","Sábado","Domingo"))</f>
        <v/>
      </c>
      <c r="AD866" s="17">
        <f>IF($B866="","",TEXT($B866,"MM/AAAA"))</f>
        <v/>
      </c>
      <c r="AE866" s="18">
        <f>IF(COUNTA($B866:$R866)=0,"",IF($X866="Cancelado",0,ROUND(N($Q866)+N($S866)+N($T866)-N($U866),2)))</f>
        <v/>
      </c>
      <c r="AF866" s="9">
        <f>IF($G866="","",IFERROR(INDEX(LINHAS_DRE_PLANO,MATCH($G866,SUBCATEGORIAS_PLANO,0)),"Não classificado"))</f>
        <v/>
      </c>
      <c r="AG866" s="17">
        <f>IF($G866="","",IFERROR(INDEX(TIPOS_FLUXO_PLANO,MATCH($G866,SUBCATEGORIAS_PLANO,0)),"Não classificado"))</f>
        <v/>
      </c>
      <c r="AH866" s="9">
        <f>IF($G866="","",IFERROR(INDEX(GRUPOS_PLANO,MATCH($G866,SUBCATEGORIAS_PLANO,0)),"Não classificado"))</f>
        <v/>
      </c>
      <c r="AI866" s="24">
        <f>IF(OR($C866="",$X866="Pago",$X866="Recebido",$X866="Cancelado"),"",$C866-TODAY())</f>
        <v/>
      </c>
      <c r="AJ866" s="24">
        <f>IF(OR($C866="",$X866="Pago",$X866="Recebido",$X866="Cancelado"),0,MAX(0,TODAY()-$C866))</f>
        <v/>
      </c>
      <c r="AK866" s="24">
        <f>IF($D866="","",$D866-$B866)</f>
        <v/>
      </c>
      <c r="AL866" s="18">
        <f>IF(OR($D866="",$B866=""),"",ROUND(N($R866)*($D866-$B866),2))</f>
        <v/>
      </c>
      <c r="AM866" s="17">
        <f>IF(AND($E866="Saída",$W866&gt;0,$C866&lt;&gt;""),$C866+ROW()/1000000,"")</f>
        <v/>
      </c>
      <c r="AN866" s="17">
        <f>IF(AND($E866="Entrada",$W866&gt;0,$C866&lt;&gt;""),$C866+ROW()/1000000,"")</f>
        <v/>
      </c>
      <c r="AO866" s="9">
        <f>IF(COUNTA($B866:$R866)=0,"",IF(AND($I866&lt;&gt;"",COUNTIF(CLIENTES_NOMES,$I866)+COUNTIF(CLIENTES_FANTASIA,$I866)+COUNTIF(FORNECEDORES_NOMES,$I866)+COUNTIF(FORNECEDORES_FANTASIA,$I866)=0),"⚠ Cliente/Fornecedor não cadastrado",IF(AND($G866&lt;&gt;"",COUNTIF(SUBCATEGORIAS_PLANO,$G866)=0),"⚠ Subcategoria fora do plano de contas",IF(OR($Q866="",N($Q866)=0),"⚠ Valor previsto não informado",IF(AND(OR($X866="Pago",$X866="Recebido"),$D866=""),"⚠ Status pago/recebido sem data",IF(AND($D866&lt;&gt;"",N($R866)=0),"⚠ Data de pagamento sem valor realizado",IF(AND(N($P866)&gt;1,N($O866)&gt;N($P866)),"⚠ Nº da parcela maior que o total",IF(AND($C866&lt;&gt;"",$B866&lt;&gt;"",$C866&lt;$B866),"⚠ Vencimento anterior à competência","OK"))))))))</f>
        <v/>
      </c>
    </row>
    <row r="867">
      <c r="A867" s="14" t="n"/>
      <c r="B867" s="36" t="n"/>
      <c r="C867" s="36" t="n"/>
      <c r="D867" s="36" t="n"/>
      <c r="E867" s="14" t="n"/>
      <c r="F867" s="29" t="n"/>
      <c r="G867" s="29" t="n"/>
      <c r="H867" s="29" t="n"/>
      <c r="I867" s="29" t="n"/>
      <c r="J867" s="29" t="n"/>
      <c r="K867" s="14" t="n"/>
      <c r="L867" s="29" t="n"/>
      <c r="M867" s="14" t="n"/>
      <c r="N867" s="29" t="n"/>
      <c r="O867" s="13" t="n"/>
      <c r="P867" s="13" t="n"/>
      <c r="Q867" s="35" t="n"/>
      <c r="R867" s="35" t="n"/>
      <c r="S867" s="35" t="n"/>
      <c r="T867" s="35" t="n"/>
      <c r="U867" s="35" t="n"/>
      <c r="V867" s="18">
        <f>IF(COUNTA($B867:$R867)=0,"",ROUND(N($R867)+N($S867)+N($T867)-N($U867),2))</f>
        <v/>
      </c>
      <c r="W867" s="18">
        <f>IF(COUNTA($B867:$R867)=0,"",IF(OR($X867="Pago",$X867="Recebido",$X867="Cancelado"),0,ROUND(N($Q867)+N($S867)+N($T867)-N($U867)-N($R867),2)))</f>
        <v/>
      </c>
      <c r="X867" s="14" t="n"/>
      <c r="Y867" s="17">
        <f>IF(COUNTA($B867:$R867)=0,"",IF($X867="Cancelado","Cancelado",IF(OR($X867="Pago",$X867="Recebido"),$X867,IF(OR($X867="Parcial",N($R867)&gt;0),"Parcial",IF($C867="","Sem vencimento",IF($C867&lt;TODAY(),"Vencido",IF($C867=TODAY(),"Vence hoje",IF($C867&lt;=TODAY()+7,"Vence em 7 dias",IF($C867&lt;=TODAY()+30,"Vence em 30 dias","Futuro")))))))))</f>
        <v/>
      </c>
      <c r="Z867" s="24">
        <f>IF($B867="","",MONTH($B867))</f>
        <v/>
      </c>
      <c r="AA867" s="24">
        <f>IF($B867="","",YEAR($B867))</f>
        <v/>
      </c>
      <c r="AB867" s="24">
        <f>IF($B867="","",ISOWEEKNUM($B867))</f>
        <v/>
      </c>
      <c r="AC867" s="17">
        <f>IF($B867="","",CHOOSE(WEEKDAY($B867,2),"Segunda","Terça","Quarta","Quinta","Sexta","Sábado","Domingo"))</f>
        <v/>
      </c>
      <c r="AD867" s="17">
        <f>IF($B867="","",TEXT($B867,"MM/AAAA"))</f>
        <v/>
      </c>
      <c r="AE867" s="18">
        <f>IF(COUNTA($B867:$R867)=0,"",IF($X867="Cancelado",0,ROUND(N($Q867)+N($S867)+N($T867)-N($U867),2)))</f>
        <v/>
      </c>
      <c r="AF867" s="9">
        <f>IF($G867="","",IFERROR(INDEX(LINHAS_DRE_PLANO,MATCH($G867,SUBCATEGORIAS_PLANO,0)),"Não classificado"))</f>
        <v/>
      </c>
      <c r="AG867" s="17">
        <f>IF($G867="","",IFERROR(INDEX(TIPOS_FLUXO_PLANO,MATCH($G867,SUBCATEGORIAS_PLANO,0)),"Não classificado"))</f>
        <v/>
      </c>
      <c r="AH867" s="9">
        <f>IF($G867="","",IFERROR(INDEX(GRUPOS_PLANO,MATCH($G867,SUBCATEGORIAS_PLANO,0)),"Não classificado"))</f>
        <v/>
      </c>
      <c r="AI867" s="24">
        <f>IF(OR($C867="",$X867="Pago",$X867="Recebido",$X867="Cancelado"),"",$C867-TODAY())</f>
        <v/>
      </c>
      <c r="AJ867" s="24">
        <f>IF(OR($C867="",$X867="Pago",$X867="Recebido",$X867="Cancelado"),0,MAX(0,TODAY()-$C867))</f>
        <v/>
      </c>
      <c r="AK867" s="24">
        <f>IF($D867="","",$D867-$B867)</f>
        <v/>
      </c>
      <c r="AL867" s="18">
        <f>IF(OR($D867="",$B867=""),"",ROUND(N($R867)*($D867-$B867),2))</f>
        <v/>
      </c>
      <c r="AM867" s="17">
        <f>IF(AND($E867="Saída",$W867&gt;0,$C867&lt;&gt;""),$C867+ROW()/1000000,"")</f>
        <v/>
      </c>
      <c r="AN867" s="17">
        <f>IF(AND($E867="Entrada",$W867&gt;0,$C867&lt;&gt;""),$C867+ROW()/1000000,"")</f>
        <v/>
      </c>
      <c r="AO867" s="9">
        <f>IF(COUNTA($B867:$R867)=0,"",IF(AND($I867&lt;&gt;"",COUNTIF(CLIENTES_NOMES,$I867)+COUNTIF(CLIENTES_FANTASIA,$I867)+COUNTIF(FORNECEDORES_NOMES,$I867)+COUNTIF(FORNECEDORES_FANTASIA,$I867)=0),"⚠ Cliente/Fornecedor não cadastrado",IF(AND($G867&lt;&gt;"",COUNTIF(SUBCATEGORIAS_PLANO,$G867)=0),"⚠ Subcategoria fora do plano de contas",IF(OR($Q867="",N($Q867)=0),"⚠ Valor previsto não informado",IF(AND(OR($X867="Pago",$X867="Recebido"),$D867=""),"⚠ Status pago/recebido sem data",IF(AND($D867&lt;&gt;"",N($R867)=0),"⚠ Data de pagamento sem valor realizado",IF(AND(N($P867)&gt;1,N($O867)&gt;N($P867)),"⚠ Nº da parcela maior que o total",IF(AND($C867&lt;&gt;"",$B867&lt;&gt;"",$C867&lt;$B867),"⚠ Vencimento anterior à competência","OK"))))))))</f>
        <v/>
      </c>
    </row>
    <row r="868">
      <c r="A868" s="14" t="n"/>
      <c r="B868" s="36" t="n"/>
      <c r="C868" s="36" t="n"/>
      <c r="D868" s="36" t="n"/>
      <c r="E868" s="14" t="n"/>
      <c r="F868" s="29" t="n"/>
      <c r="G868" s="29" t="n"/>
      <c r="H868" s="29" t="n"/>
      <c r="I868" s="29" t="n"/>
      <c r="J868" s="29" t="n"/>
      <c r="K868" s="14" t="n"/>
      <c r="L868" s="29" t="n"/>
      <c r="M868" s="14" t="n"/>
      <c r="N868" s="29" t="n"/>
      <c r="O868" s="13" t="n"/>
      <c r="P868" s="13" t="n"/>
      <c r="Q868" s="35" t="n"/>
      <c r="R868" s="35" t="n"/>
      <c r="S868" s="35" t="n"/>
      <c r="T868" s="35" t="n"/>
      <c r="U868" s="35" t="n"/>
      <c r="V868" s="18">
        <f>IF(COUNTA($B868:$R868)=0,"",ROUND(N($R868)+N($S868)+N($T868)-N($U868),2))</f>
        <v/>
      </c>
      <c r="W868" s="18">
        <f>IF(COUNTA($B868:$R868)=0,"",IF(OR($X868="Pago",$X868="Recebido",$X868="Cancelado"),0,ROUND(N($Q868)+N($S868)+N($T868)-N($U868)-N($R868),2)))</f>
        <v/>
      </c>
      <c r="X868" s="14" t="n"/>
      <c r="Y868" s="17">
        <f>IF(COUNTA($B868:$R868)=0,"",IF($X868="Cancelado","Cancelado",IF(OR($X868="Pago",$X868="Recebido"),$X868,IF(OR($X868="Parcial",N($R868)&gt;0),"Parcial",IF($C868="","Sem vencimento",IF($C868&lt;TODAY(),"Vencido",IF($C868=TODAY(),"Vence hoje",IF($C868&lt;=TODAY()+7,"Vence em 7 dias",IF($C868&lt;=TODAY()+30,"Vence em 30 dias","Futuro")))))))))</f>
        <v/>
      </c>
      <c r="Z868" s="24">
        <f>IF($B868="","",MONTH($B868))</f>
        <v/>
      </c>
      <c r="AA868" s="24">
        <f>IF($B868="","",YEAR($B868))</f>
        <v/>
      </c>
      <c r="AB868" s="24">
        <f>IF($B868="","",ISOWEEKNUM($B868))</f>
        <v/>
      </c>
      <c r="AC868" s="17">
        <f>IF($B868="","",CHOOSE(WEEKDAY($B868,2),"Segunda","Terça","Quarta","Quinta","Sexta","Sábado","Domingo"))</f>
        <v/>
      </c>
      <c r="AD868" s="17">
        <f>IF($B868="","",TEXT($B868,"MM/AAAA"))</f>
        <v/>
      </c>
      <c r="AE868" s="18">
        <f>IF(COUNTA($B868:$R868)=0,"",IF($X868="Cancelado",0,ROUND(N($Q868)+N($S868)+N($T868)-N($U868),2)))</f>
        <v/>
      </c>
      <c r="AF868" s="9">
        <f>IF($G868="","",IFERROR(INDEX(LINHAS_DRE_PLANO,MATCH($G868,SUBCATEGORIAS_PLANO,0)),"Não classificado"))</f>
        <v/>
      </c>
      <c r="AG868" s="17">
        <f>IF($G868="","",IFERROR(INDEX(TIPOS_FLUXO_PLANO,MATCH($G868,SUBCATEGORIAS_PLANO,0)),"Não classificado"))</f>
        <v/>
      </c>
      <c r="AH868" s="9">
        <f>IF($G868="","",IFERROR(INDEX(GRUPOS_PLANO,MATCH($G868,SUBCATEGORIAS_PLANO,0)),"Não classificado"))</f>
        <v/>
      </c>
      <c r="AI868" s="24">
        <f>IF(OR($C868="",$X868="Pago",$X868="Recebido",$X868="Cancelado"),"",$C868-TODAY())</f>
        <v/>
      </c>
      <c r="AJ868" s="24">
        <f>IF(OR($C868="",$X868="Pago",$X868="Recebido",$X868="Cancelado"),0,MAX(0,TODAY()-$C868))</f>
        <v/>
      </c>
      <c r="AK868" s="24">
        <f>IF($D868="","",$D868-$B868)</f>
        <v/>
      </c>
      <c r="AL868" s="18">
        <f>IF(OR($D868="",$B868=""),"",ROUND(N($R868)*($D868-$B868),2))</f>
        <v/>
      </c>
      <c r="AM868" s="17">
        <f>IF(AND($E868="Saída",$W868&gt;0,$C868&lt;&gt;""),$C868+ROW()/1000000,"")</f>
        <v/>
      </c>
      <c r="AN868" s="17">
        <f>IF(AND($E868="Entrada",$W868&gt;0,$C868&lt;&gt;""),$C868+ROW()/1000000,"")</f>
        <v/>
      </c>
      <c r="AO868" s="9">
        <f>IF(COUNTA($B868:$R868)=0,"",IF(AND($I868&lt;&gt;"",COUNTIF(CLIENTES_NOMES,$I868)+COUNTIF(CLIENTES_FANTASIA,$I868)+COUNTIF(FORNECEDORES_NOMES,$I868)+COUNTIF(FORNECEDORES_FANTASIA,$I868)=0),"⚠ Cliente/Fornecedor não cadastrado",IF(AND($G868&lt;&gt;"",COUNTIF(SUBCATEGORIAS_PLANO,$G868)=0),"⚠ Subcategoria fora do plano de contas",IF(OR($Q868="",N($Q868)=0),"⚠ Valor previsto não informado",IF(AND(OR($X868="Pago",$X868="Recebido"),$D868=""),"⚠ Status pago/recebido sem data",IF(AND($D868&lt;&gt;"",N($R868)=0),"⚠ Data de pagamento sem valor realizado",IF(AND(N($P868)&gt;1,N($O868)&gt;N($P868)),"⚠ Nº da parcela maior que o total",IF(AND($C868&lt;&gt;"",$B868&lt;&gt;"",$C868&lt;$B868),"⚠ Vencimento anterior à competência","OK"))))))))</f>
        <v/>
      </c>
    </row>
    <row r="869">
      <c r="A869" s="14" t="n"/>
      <c r="B869" s="36" t="n"/>
      <c r="C869" s="36" t="n"/>
      <c r="D869" s="36" t="n"/>
      <c r="E869" s="14" t="n"/>
      <c r="F869" s="29" t="n"/>
      <c r="G869" s="29" t="n"/>
      <c r="H869" s="29" t="n"/>
      <c r="I869" s="29" t="n"/>
      <c r="J869" s="29" t="n"/>
      <c r="K869" s="14" t="n"/>
      <c r="L869" s="29" t="n"/>
      <c r="M869" s="14" t="n"/>
      <c r="N869" s="29" t="n"/>
      <c r="O869" s="13" t="n"/>
      <c r="P869" s="13" t="n"/>
      <c r="Q869" s="35" t="n"/>
      <c r="R869" s="35" t="n"/>
      <c r="S869" s="35" t="n"/>
      <c r="T869" s="35" t="n"/>
      <c r="U869" s="35" t="n"/>
      <c r="V869" s="18">
        <f>IF(COUNTA($B869:$R869)=0,"",ROUND(N($R869)+N($S869)+N($T869)-N($U869),2))</f>
        <v/>
      </c>
      <c r="W869" s="18">
        <f>IF(COUNTA($B869:$R869)=0,"",IF(OR($X869="Pago",$X869="Recebido",$X869="Cancelado"),0,ROUND(N($Q869)+N($S869)+N($T869)-N($U869)-N($R869),2)))</f>
        <v/>
      </c>
      <c r="X869" s="14" t="n"/>
      <c r="Y869" s="17">
        <f>IF(COUNTA($B869:$R869)=0,"",IF($X869="Cancelado","Cancelado",IF(OR($X869="Pago",$X869="Recebido"),$X869,IF(OR($X869="Parcial",N($R869)&gt;0),"Parcial",IF($C869="","Sem vencimento",IF($C869&lt;TODAY(),"Vencido",IF($C869=TODAY(),"Vence hoje",IF($C869&lt;=TODAY()+7,"Vence em 7 dias",IF($C869&lt;=TODAY()+30,"Vence em 30 dias","Futuro")))))))))</f>
        <v/>
      </c>
      <c r="Z869" s="24">
        <f>IF($B869="","",MONTH($B869))</f>
        <v/>
      </c>
      <c r="AA869" s="24">
        <f>IF($B869="","",YEAR($B869))</f>
        <v/>
      </c>
      <c r="AB869" s="24">
        <f>IF($B869="","",ISOWEEKNUM($B869))</f>
        <v/>
      </c>
      <c r="AC869" s="17">
        <f>IF($B869="","",CHOOSE(WEEKDAY($B869,2),"Segunda","Terça","Quarta","Quinta","Sexta","Sábado","Domingo"))</f>
        <v/>
      </c>
      <c r="AD869" s="17">
        <f>IF($B869="","",TEXT($B869,"MM/AAAA"))</f>
        <v/>
      </c>
      <c r="AE869" s="18">
        <f>IF(COUNTA($B869:$R869)=0,"",IF($X869="Cancelado",0,ROUND(N($Q869)+N($S869)+N($T869)-N($U869),2)))</f>
        <v/>
      </c>
      <c r="AF869" s="9">
        <f>IF($G869="","",IFERROR(INDEX(LINHAS_DRE_PLANO,MATCH($G869,SUBCATEGORIAS_PLANO,0)),"Não classificado"))</f>
        <v/>
      </c>
      <c r="AG869" s="17">
        <f>IF($G869="","",IFERROR(INDEX(TIPOS_FLUXO_PLANO,MATCH($G869,SUBCATEGORIAS_PLANO,0)),"Não classificado"))</f>
        <v/>
      </c>
      <c r="AH869" s="9">
        <f>IF($G869="","",IFERROR(INDEX(GRUPOS_PLANO,MATCH($G869,SUBCATEGORIAS_PLANO,0)),"Não classificado"))</f>
        <v/>
      </c>
      <c r="AI869" s="24">
        <f>IF(OR($C869="",$X869="Pago",$X869="Recebido",$X869="Cancelado"),"",$C869-TODAY())</f>
        <v/>
      </c>
      <c r="AJ869" s="24">
        <f>IF(OR($C869="",$X869="Pago",$X869="Recebido",$X869="Cancelado"),0,MAX(0,TODAY()-$C869))</f>
        <v/>
      </c>
      <c r="AK869" s="24">
        <f>IF($D869="","",$D869-$B869)</f>
        <v/>
      </c>
      <c r="AL869" s="18">
        <f>IF(OR($D869="",$B869=""),"",ROUND(N($R869)*($D869-$B869),2))</f>
        <v/>
      </c>
      <c r="AM869" s="17">
        <f>IF(AND($E869="Saída",$W869&gt;0,$C869&lt;&gt;""),$C869+ROW()/1000000,"")</f>
        <v/>
      </c>
      <c r="AN869" s="17">
        <f>IF(AND($E869="Entrada",$W869&gt;0,$C869&lt;&gt;""),$C869+ROW()/1000000,"")</f>
        <v/>
      </c>
      <c r="AO869" s="9">
        <f>IF(COUNTA($B869:$R869)=0,"",IF(AND($I869&lt;&gt;"",COUNTIF(CLIENTES_NOMES,$I869)+COUNTIF(CLIENTES_FANTASIA,$I869)+COUNTIF(FORNECEDORES_NOMES,$I869)+COUNTIF(FORNECEDORES_FANTASIA,$I869)=0),"⚠ Cliente/Fornecedor não cadastrado",IF(AND($G869&lt;&gt;"",COUNTIF(SUBCATEGORIAS_PLANO,$G869)=0),"⚠ Subcategoria fora do plano de contas",IF(OR($Q869="",N($Q869)=0),"⚠ Valor previsto não informado",IF(AND(OR($X869="Pago",$X869="Recebido"),$D869=""),"⚠ Status pago/recebido sem data",IF(AND($D869&lt;&gt;"",N($R869)=0),"⚠ Data de pagamento sem valor realizado",IF(AND(N($P869)&gt;1,N($O869)&gt;N($P869)),"⚠ Nº da parcela maior que o total",IF(AND($C869&lt;&gt;"",$B869&lt;&gt;"",$C869&lt;$B869),"⚠ Vencimento anterior à competência","OK"))))))))</f>
        <v/>
      </c>
    </row>
    <row r="870">
      <c r="A870" s="14" t="n"/>
      <c r="B870" s="36" t="n"/>
      <c r="C870" s="36" t="n"/>
      <c r="D870" s="36" t="n"/>
      <c r="E870" s="14" t="n"/>
      <c r="F870" s="29" t="n"/>
      <c r="G870" s="29" t="n"/>
      <c r="H870" s="29" t="n"/>
      <c r="I870" s="29" t="n"/>
      <c r="J870" s="29" t="n"/>
      <c r="K870" s="14" t="n"/>
      <c r="L870" s="29" t="n"/>
      <c r="M870" s="14" t="n"/>
      <c r="N870" s="29" t="n"/>
      <c r="O870" s="13" t="n"/>
      <c r="P870" s="13" t="n"/>
      <c r="Q870" s="35" t="n"/>
      <c r="R870" s="35" t="n"/>
      <c r="S870" s="35" t="n"/>
      <c r="T870" s="35" t="n"/>
      <c r="U870" s="35" t="n"/>
      <c r="V870" s="18">
        <f>IF(COUNTA($B870:$R870)=0,"",ROUND(N($R870)+N($S870)+N($T870)-N($U870),2))</f>
        <v/>
      </c>
      <c r="W870" s="18">
        <f>IF(COUNTA($B870:$R870)=0,"",IF(OR($X870="Pago",$X870="Recebido",$X870="Cancelado"),0,ROUND(N($Q870)+N($S870)+N($T870)-N($U870)-N($R870),2)))</f>
        <v/>
      </c>
      <c r="X870" s="14" t="n"/>
      <c r="Y870" s="17">
        <f>IF(COUNTA($B870:$R870)=0,"",IF($X870="Cancelado","Cancelado",IF(OR($X870="Pago",$X870="Recebido"),$X870,IF(OR($X870="Parcial",N($R870)&gt;0),"Parcial",IF($C870="","Sem vencimento",IF($C870&lt;TODAY(),"Vencido",IF($C870=TODAY(),"Vence hoje",IF($C870&lt;=TODAY()+7,"Vence em 7 dias",IF($C870&lt;=TODAY()+30,"Vence em 30 dias","Futuro")))))))))</f>
        <v/>
      </c>
      <c r="Z870" s="24">
        <f>IF($B870="","",MONTH($B870))</f>
        <v/>
      </c>
      <c r="AA870" s="24">
        <f>IF($B870="","",YEAR($B870))</f>
        <v/>
      </c>
      <c r="AB870" s="24">
        <f>IF($B870="","",ISOWEEKNUM($B870))</f>
        <v/>
      </c>
      <c r="AC870" s="17">
        <f>IF($B870="","",CHOOSE(WEEKDAY($B870,2),"Segunda","Terça","Quarta","Quinta","Sexta","Sábado","Domingo"))</f>
        <v/>
      </c>
      <c r="AD870" s="17">
        <f>IF($B870="","",TEXT($B870,"MM/AAAA"))</f>
        <v/>
      </c>
      <c r="AE870" s="18">
        <f>IF(COUNTA($B870:$R870)=0,"",IF($X870="Cancelado",0,ROUND(N($Q870)+N($S870)+N($T870)-N($U870),2)))</f>
        <v/>
      </c>
      <c r="AF870" s="9">
        <f>IF($G870="","",IFERROR(INDEX(LINHAS_DRE_PLANO,MATCH($G870,SUBCATEGORIAS_PLANO,0)),"Não classificado"))</f>
        <v/>
      </c>
      <c r="AG870" s="17">
        <f>IF($G870="","",IFERROR(INDEX(TIPOS_FLUXO_PLANO,MATCH($G870,SUBCATEGORIAS_PLANO,0)),"Não classificado"))</f>
        <v/>
      </c>
      <c r="AH870" s="9">
        <f>IF($G870="","",IFERROR(INDEX(GRUPOS_PLANO,MATCH($G870,SUBCATEGORIAS_PLANO,0)),"Não classificado"))</f>
        <v/>
      </c>
      <c r="AI870" s="24">
        <f>IF(OR($C870="",$X870="Pago",$X870="Recebido",$X870="Cancelado"),"",$C870-TODAY())</f>
        <v/>
      </c>
      <c r="AJ870" s="24">
        <f>IF(OR($C870="",$X870="Pago",$X870="Recebido",$X870="Cancelado"),0,MAX(0,TODAY()-$C870))</f>
        <v/>
      </c>
      <c r="AK870" s="24">
        <f>IF($D870="","",$D870-$B870)</f>
        <v/>
      </c>
      <c r="AL870" s="18">
        <f>IF(OR($D870="",$B870=""),"",ROUND(N($R870)*($D870-$B870),2))</f>
        <v/>
      </c>
      <c r="AM870" s="17">
        <f>IF(AND($E870="Saída",$W870&gt;0,$C870&lt;&gt;""),$C870+ROW()/1000000,"")</f>
        <v/>
      </c>
      <c r="AN870" s="17">
        <f>IF(AND($E870="Entrada",$W870&gt;0,$C870&lt;&gt;""),$C870+ROW()/1000000,"")</f>
        <v/>
      </c>
      <c r="AO870" s="9">
        <f>IF(COUNTA($B870:$R870)=0,"",IF(AND($I870&lt;&gt;"",COUNTIF(CLIENTES_NOMES,$I870)+COUNTIF(CLIENTES_FANTASIA,$I870)+COUNTIF(FORNECEDORES_NOMES,$I870)+COUNTIF(FORNECEDORES_FANTASIA,$I870)=0),"⚠ Cliente/Fornecedor não cadastrado",IF(AND($G870&lt;&gt;"",COUNTIF(SUBCATEGORIAS_PLANO,$G870)=0),"⚠ Subcategoria fora do plano de contas",IF(OR($Q870="",N($Q870)=0),"⚠ Valor previsto não informado",IF(AND(OR($X870="Pago",$X870="Recebido"),$D870=""),"⚠ Status pago/recebido sem data",IF(AND($D870&lt;&gt;"",N($R870)=0),"⚠ Data de pagamento sem valor realizado",IF(AND(N($P870)&gt;1,N($O870)&gt;N($P870)),"⚠ Nº da parcela maior que o total",IF(AND($C870&lt;&gt;"",$B870&lt;&gt;"",$C870&lt;$B870),"⚠ Vencimento anterior à competência","OK"))))))))</f>
        <v/>
      </c>
    </row>
    <row r="871">
      <c r="A871" s="14" t="n"/>
      <c r="B871" s="36" t="n"/>
      <c r="C871" s="36" t="n"/>
      <c r="D871" s="36" t="n"/>
      <c r="E871" s="14" t="n"/>
      <c r="F871" s="29" t="n"/>
      <c r="G871" s="29" t="n"/>
      <c r="H871" s="29" t="n"/>
      <c r="I871" s="29" t="n"/>
      <c r="J871" s="29" t="n"/>
      <c r="K871" s="14" t="n"/>
      <c r="L871" s="29" t="n"/>
      <c r="M871" s="14" t="n"/>
      <c r="N871" s="29" t="n"/>
      <c r="O871" s="13" t="n"/>
      <c r="P871" s="13" t="n"/>
      <c r="Q871" s="35" t="n"/>
      <c r="R871" s="35" t="n"/>
      <c r="S871" s="35" t="n"/>
      <c r="T871" s="35" t="n"/>
      <c r="U871" s="35" t="n"/>
      <c r="V871" s="18">
        <f>IF(COUNTA($B871:$R871)=0,"",ROUND(N($R871)+N($S871)+N($T871)-N($U871),2))</f>
        <v/>
      </c>
      <c r="W871" s="18">
        <f>IF(COUNTA($B871:$R871)=0,"",IF(OR($X871="Pago",$X871="Recebido",$X871="Cancelado"),0,ROUND(N($Q871)+N($S871)+N($T871)-N($U871)-N($R871),2)))</f>
        <v/>
      </c>
      <c r="X871" s="14" t="n"/>
      <c r="Y871" s="17">
        <f>IF(COUNTA($B871:$R871)=0,"",IF($X871="Cancelado","Cancelado",IF(OR($X871="Pago",$X871="Recebido"),$X871,IF(OR($X871="Parcial",N($R871)&gt;0),"Parcial",IF($C871="","Sem vencimento",IF($C871&lt;TODAY(),"Vencido",IF($C871=TODAY(),"Vence hoje",IF($C871&lt;=TODAY()+7,"Vence em 7 dias",IF($C871&lt;=TODAY()+30,"Vence em 30 dias","Futuro")))))))))</f>
        <v/>
      </c>
      <c r="Z871" s="24">
        <f>IF($B871="","",MONTH($B871))</f>
        <v/>
      </c>
      <c r="AA871" s="24">
        <f>IF($B871="","",YEAR($B871))</f>
        <v/>
      </c>
      <c r="AB871" s="24">
        <f>IF($B871="","",ISOWEEKNUM($B871))</f>
        <v/>
      </c>
      <c r="AC871" s="17">
        <f>IF($B871="","",CHOOSE(WEEKDAY($B871,2),"Segunda","Terça","Quarta","Quinta","Sexta","Sábado","Domingo"))</f>
        <v/>
      </c>
      <c r="AD871" s="17">
        <f>IF($B871="","",TEXT($B871,"MM/AAAA"))</f>
        <v/>
      </c>
      <c r="AE871" s="18">
        <f>IF(COUNTA($B871:$R871)=0,"",IF($X871="Cancelado",0,ROUND(N($Q871)+N($S871)+N($T871)-N($U871),2)))</f>
        <v/>
      </c>
      <c r="AF871" s="9">
        <f>IF($G871="","",IFERROR(INDEX(LINHAS_DRE_PLANO,MATCH($G871,SUBCATEGORIAS_PLANO,0)),"Não classificado"))</f>
        <v/>
      </c>
      <c r="AG871" s="17">
        <f>IF($G871="","",IFERROR(INDEX(TIPOS_FLUXO_PLANO,MATCH($G871,SUBCATEGORIAS_PLANO,0)),"Não classificado"))</f>
        <v/>
      </c>
      <c r="AH871" s="9">
        <f>IF($G871="","",IFERROR(INDEX(GRUPOS_PLANO,MATCH($G871,SUBCATEGORIAS_PLANO,0)),"Não classificado"))</f>
        <v/>
      </c>
      <c r="AI871" s="24">
        <f>IF(OR($C871="",$X871="Pago",$X871="Recebido",$X871="Cancelado"),"",$C871-TODAY())</f>
        <v/>
      </c>
      <c r="AJ871" s="24">
        <f>IF(OR($C871="",$X871="Pago",$X871="Recebido",$X871="Cancelado"),0,MAX(0,TODAY()-$C871))</f>
        <v/>
      </c>
      <c r="AK871" s="24">
        <f>IF($D871="","",$D871-$B871)</f>
        <v/>
      </c>
      <c r="AL871" s="18">
        <f>IF(OR($D871="",$B871=""),"",ROUND(N($R871)*($D871-$B871),2))</f>
        <v/>
      </c>
      <c r="AM871" s="17">
        <f>IF(AND($E871="Saída",$W871&gt;0,$C871&lt;&gt;""),$C871+ROW()/1000000,"")</f>
        <v/>
      </c>
      <c r="AN871" s="17">
        <f>IF(AND($E871="Entrada",$W871&gt;0,$C871&lt;&gt;""),$C871+ROW()/1000000,"")</f>
        <v/>
      </c>
      <c r="AO871" s="9">
        <f>IF(COUNTA($B871:$R871)=0,"",IF(AND($I871&lt;&gt;"",COUNTIF(CLIENTES_NOMES,$I871)+COUNTIF(CLIENTES_FANTASIA,$I871)+COUNTIF(FORNECEDORES_NOMES,$I871)+COUNTIF(FORNECEDORES_FANTASIA,$I871)=0),"⚠ Cliente/Fornecedor não cadastrado",IF(AND($G871&lt;&gt;"",COUNTIF(SUBCATEGORIAS_PLANO,$G871)=0),"⚠ Subcategoria fora do plano de contas",IF(OR($Q871="",N($Q871)=0),"⚠ Valor previsto não informado",IF(AND(OR($X871="Pago",$X871="Recebido"),$D871=""),"⚠ Status pago/recebido sem data",IF(AND($D871&lt;&gt;"",N($R871)=0),"⚠ Data de pagamento sem valor realizado",IF(AND(N($P871)&gt;1,N($O871)&gt;N($P871)),"⚠ Nº da parcela maior que o total",IF(AND($C871&lt;&gt;"",$B871&lt;&gt;"",$C871&lt;$B871),"⚠ Vencimento anterior à competência","OK"))))))))</f>
        <v/>
      </c>
    </row>
    <row r="872">
      <c r="A872" s="14" t="n"/>
      <c r="B872" s="36" t="n"/>
      <c r="C872" s="36" t="n"/>
      <c r="D872" s="36" t="n"/>
      <c r="E872" s="14" t="n"/>
      <c r="F872" s="29" t="n"/>
      <c r="G872" s="29" t="n"/>
      <c r="H872" s="29" t="n"/>
      <c r="I872" s="29" t="n"/>
      <c r="J872" s="29" t="n"/>
      <c r="K872" s="14" t="n"/>
      <c r="L872" s="29" t="n"/>
      <c r="M872" s="14" t="n"/>
      <c r="N872" s="29" t="n"/>
      <c r="O872" s="13" t="n"/>
      <c r="P872" s="13" t="n"/>
      <c r="Q872" s="35" t="n"/>
      <c r="R872" s="35" t="n"/>
      <c r="S872" s="35" t="n"/>
      <c r="T872" s="35" t="n"/>
      <c r="U872" s="35" t="n"/>
      <c r="V872" s="18">
        <f>IF(COUNTA($B872:$R872)=0,"",ROUND(N($R872)+N($S872)+N($T872)-N($U872),2))</f>
        <v/>
      </c>
      <c r="W872" s="18">
        <f>IF(COUNTA($B872:$R872)=0,"",IF(OR($X872="Pago",$X872="Recebido",$X872="Cancelado"),0,ROUND(N($Q872)+N($S872)+N($T872)-N($U872)-N($R872),2)))</f>
        <v/>
      </c>
      <c r="X872" s="14" t="n"/>
      <c r="Y872" s="17">
        <f>IF(COUNTA($B872:$R872)=0,"",IF($X872="Cancelado","Cancelado",IF(OR($X872="Pago",$X872="Recebido"),$X872,IF(OR($X872="Parcial",N($R872)&gt;0),"Parcial",IF($C872="","Sem vencimento",IF($C872&lt;TODAY(),"Vencido",IF($C872=TODAY(),"Vence hoje",IF($C872&lt;=TODAY()+7,"Vence em 7 dias",IF($C872&lt;=TODAY()+30,"Vence em 30 dias","Futuro")))))))))</f>
        <v/>
      </c>
      <c r="Z872" s="24">
        <f>IF($B872="","",MONTH($B872))</f>
        <v/>
      </c>
      <c r="AA872" s="24">
        <f>IF($B872="","",YEAR($B872))</f>
        <v/>
      </c>
      <c r="AB872" s="24">
        <f>IF($B872="","",ISOWEEKNUM($B872))</f>
        <v/>
      </c>
      <c r="AC872" s="17">
        <f>IF($B872="","",CHOOSE(WEEKDAY($B872,2),"Segunda","Terça","Quarta","Quinta","Sexta","Sábado","Domingo"))</f>
        <v/>
      </c>
      <c r="AD872" s="17">
        <f>IF($B872="","",TEXT($B872,"MM/AAAA"))</f>
        <v/>
      </c>
      <c r="AE872" s="18">
        <f>IF(COUNTA($B872:$R872)=0,"",IF($X872="Cancelado",0,ROUND(N($Q872)+N($S872)+N($T872)-N($U872),2)))</f>
        <v/>
      </c>
      <c r="AF872" s="9">
        <f>IF($G872="","",IFERROR(INDEX(LINHAS_DRE_PLANO,MATCH($G872,SUBCATEGORIAS_PLANO,0)),"Não classificado"))</f>
        <v/>
      </c>
      <c r="AG872" s="17">
        <f>IF($G872="","",IFERROR(INDEX(TIPOS_FLUXO_PLANO,MATCH($G872,SUBCATEGORIAS_PLANO,0)),"Não classificado"))</f>
        <v/>
      </c>
      <c r="AH872" s="9">
        <f>IF($G872="","",IFERROR(INDEX(GRUPOS_PLANO,MATCH($G872,SUBCATEGORIAS_PLANO,0)),"Não classificado"))</f>
        <v/>
      </c>
      <c r="AI872" s="24">
        <f>IF(OR($C872="",$X872="Pago",$X872="Recebido",$X872="Cancelado"),"",$C872-TODAY())</f>
        <v/>
      </c>
      <c r="AJ872" s="24">
        <f>IF(OR($C872="",$X872="Pago",$X872="Recebido",$X872="Cancelado"),0,MAX(0,TODAY()-$C872))</f>
        <v/>
      </c>
      <c r="AK872" s="24">
        <f>IF($D872="","",$D872-$B872)</f>
        <v/>
      </c>
      <c r="AL872" s="18">
        <f>IF(OR($D872="",$B872=""),"",ROUND(N($R872)*($D872-$B872),2))</f>
        <v/>
      </c>
      <c r="AM872" s="17">
        <f>IF(AND($E872="Saída",$W872&gt;0,$C872&lt;&gt;""),$C872+ROW()/1000000,"")</f>
        <v/>
      </c>
      <c r="AN872" s="17">
        <f>IF(AND($E872="Entrada",$W872&gt;0,$C872&lt;&gt;""),$C872+ROW()/1000000,"")</f>
        <v/>
      </c>
      <c r="AO872" s="9">
        <f>IF(COUNTA($B872:$R872)=0,"",IF(AND($I872&lt;&gt;"",COUNTIF(CLIENTES_NOMES,$I872)+COUNTIF(CLIENTES_FANTASIA,$I872)+COUNTIF(FORNECEDORES_NOMES,$I872)+COUNTIF(FORNECEDORES_FANTASIA,$I872)=0),"⚠ Cliente/Fornecedor não cadastrado",IF(AND($G872&lt;&gt;"",COUNTIF(SUBCATEGORIAS_PLANO,$G872)=0),"⚠ Subcategoria fora do plano de contas",IF(OR($Q872="",N($Q872)=0),"⚠ Valor previsto não informado",IF(AND(OR($X872="Pago",$X872="Recebido"),$D872=""),"⚠ Status pago/recebido sem data",IF(AND($D872&lt;&gt;"",N($R872)=0),"⚠ Data de pagamento sem valor realizado",IF(AND(N($P872)&gt;1,N($O872)&gt;N($P872)),"⚠ Nº da parcela maior que o total",IF(AND($C872&lt;&gt;"",$B872&lt;&gt;"",$C872&lt;$B872),"⚠ Vencimento anterior à competência","OK"))))))))</f>
        <v/>
      </c>
    </row>
    <row r="873">
      <c r="A873" s="14" t="n"/>
      <c r="B873" s="36" t="n"/>
      <c r="C873" s="36" t="n"/>
      <c r="D873" s="36" t="n"/>
      <c r="E873" s="14" t="n"/>
      <c r="F873" s="29" t="n"/>
      <c r="G873" s="29" t="n"/>
      <c r="H873" s="29" t="n"/>
      <c r="I873" s="29" t="n"/>
      <c r="J873" s="29" t="n"/>
      <c r="K873" s="14" t="n"/>
      <c r="L873" s="29" t="n"/>
      <c r="M873" s="14" t="n"/>
      <c r="N873" s="29" t="n"/>
      <c r="O873" s="13" t="n"/>
      <c r="P873" s="13" t="n"/>
      <c r="Q873" s="35" t="n"/>
      <c r="R873" s="35" t="n"/>
      <c r="S873" s="35" t="n"/>
      <c r="T873" s="35" t="n"/>
      <c r="U873" s="35" t="n"/>
      <c r="V873" s="18">
        <f>IF(COUNTA($B873:$R873)=0,"",ROUND(N($R873)+N($S873)+N($T873)-N($U873),2))</f>
        <v/>
      </c>
      <c r="W873" s="18">
        <f>IF(COUNTA($B873:$R873)=0,"",IF(OR($X873="Pago",$X873="Recebido",$X873="Cancelado"),0,ROUND(N($Q873)+N($S873)+N($T873)-N($U873)-N($R873),2)))</f>
        <v/>
      </c>
      <c r="X873" s="14" t="n"/>
      <c r="Y873" s="17">
        <f>IF(COUNTA($B873:$R873)=0,"",IF($X873="Cancelado","Cancelado",IF(OR($X873="Pago",$X873="Recebido"),$X873,IF(OR($X873="Parcial",N($R873)&gt;0),"Parcial",IF($C873="","Sem vencimento",IF($C873&lt;TODAY(),"Vencido",IF($C873=TODAY(),"Vence hoje",IF($C873&lt;=TODAY()+7,"Vence em 7 dias",IF($C873&lt;=TODAY()+30,"Vence em 30 dias","Futuro")))))))))</f>
        <v/>
      </c>
      <c r="Z873" s="24">
        <f>IF($B873="","",MONTH($B873))</f>
        <v/>
      </c>
      <c r="AA873" s="24">
        <f>IF($B873="","",YEAR($B873))</f>
        <v/>
      </c>
      <c r="AB873" s="24">
        <f>IF($B873="","",ISOWEEKNUM($B873))</f>
        <v/>
      </c>
      <c r="AC873" s="17">
        <f>IF($B873="","",CHOOSE(WEEKDAY($B873,2),"Segunda","Terça","Quarta","Quinta","Sexta","Sábado","Domingo"))</f>
        <v/>
      </c>
      <c r="AD873" s="17">
        <f>IF($B873="","",TEXT($B873,"MM/AAAA"))</f>
        <v/>
      </c>
      <c r="AE873" s="18">
        <f>IF(COUNTA($B873:$R873)=0,"",IF($X873="Cancelado",0,ROUND(N($Q873)+N($S873)+N($T873)-N($U873),2)))</f>
        <v/>
      </c>
      <c r="AF873" s="9">
        <f>IF($G873="","",IFERROR(INDEX(LINHAS_DRE_PLANO,MATCH($G873,SUBCATEGORIAS_PLANO,0)),"Não classificado"))</f>
        <v/>
      </c>
      <c r="AG873" s="17">
        <f>IF($G873="","",IFERROR(INDEX(TIPOS_FLUXO_PLANO,MATCH($G873,SUBCATEGORIAS_PLANO,0)),"Não classificado"))</f>
        <v/>
      </c>
      <c r="AH873" s="9">
        <f>IF($G873="","",IFERROR(INDEX(GRUPOS_PLANO,MATCH($G873,SUBCATEGORIAS_PLANO,0)),"Não classificado"))</f>
        <v/>
      </c>
      <c r="AI873" s="24">
        <f>IF(OR($C873="",$X873="Pago",$X873="Recebido",$X873="Cancelado"),"",$C873-TODAY())</f>
        <v/>
      </c>
      <c r="AJ873" s="24">
        <f>IF(OR($C873="",$X873="Pago",$X873="Recebido",$X873="Cancelado"),0,MAX(0,TODAY()-$C873))</f>
        <v/>
      </c>
      <c r="AK873" s="24">
        <f>IF($D873="","",$D873-$B873)</f>
        <v/>
      </c>
      <c r="AL873" s="18">
        <f>IF(OR($D873="",$B873=""),"",ROUND(N($R873)*($D873-$B873),2))</f>
        <v/>
      </c>
      <c r="AM873" s="17">
        <f>IF(AND($E873="Saída",$W873&gt;0,$C873&lt;&gt;""),$C873+ROW()/1000000,"")</f>
        <v/>
      </c>
      <c r="AN873" s="17">
        <f>IF(AND($E873="Entrada",$W873&gt;0,$C873&lt;&gt;""),$C873+ROW()/1000000,"")</f>
        <v/>
      </c>
      <c r="AO873" s="9">
        <f>IF(COUNTA($B873:$R873)=0,"",IF(AND($I873&lt;&gt;"",COUNTIF(CLIENTES_NOMES,$I873)+COUNTIF(CLIENTES_FANTASIA,$I873)+COUNTIF(FORNECEDORES_NOMES,$I873)+COUNTIF(FORNECEDORES_FANTASIA,$I873)=0),"⚠ Cliente/Fornecedor não cadastrado",IF(AND($G873&lt;&gt;"",COUNTIF(SUBCATEGORIAS_PLANO,$G873)=0),"⚠ Subcategoria fora do plano de contas",IF(OR($Q873="",N($Q873)=0),"⚠ Valor previsto não informado",IF(AND(OR($X873="Pago",$X873="Recebido"),$D873=""),"⚠ Status pago/recebido sem data",IF(AND($D873&lt;&gt;"",N($R873)=0),"⚠ Data de pagamento sem valor realizado",IF(AND(N($P873)&gt;1,N($O873)&gt;N($P873)),"⚠ Nº da parcela maior que o total",IF(AND($C873&lt;&gt;"",$B873&lt;&gt;"",$C873&lt;$B873),"⚠ Vencimento anterior à competência","OK"))))))))</f>
        <v/>
      </c>
    </row>
    <row r="874">
      <c r="A874" s="14" t="n"/>
      <c r="B874" s="36" t="n"/>
      <c r="C874" s="36" t="n"/>
      <c r="D874" s="36" t="n"/>
      <c r="E874" s="14" t="n"/>
      <c r="F874" s="29" t="n"/>
      <c r="G874" s="29" t="n"/>
      <c r="H874" s="29" t="n"/>
      <c r="I874" s="29" t="n"/>
      <c r="J874" s="29" t="n"/>
      <c r="K874" s="14" t="n"/>
      <c r="L874" s="29" t="n"/>
      <c r="M874" s="14" t="n"/>
      <c r="N874" s="29" t="n"/>
      <c r="O874" s="13" t="n"/>
      <c r="P874" s="13" t="n"/>
      <c r="Q874" s="35" t="n"/>
      <c r="R874" s="35" t="n"/>
      <c r="S874" s="35" t="n"/>
      <c r="T874" s="35" t="n"/>
      <c r="U874" s="35" t="n"/>
      <c r="V874" s="18">
        <f>IF(COUNTA($B874:$R874)=0,"",ROUND(N($R874)+N($S874)+N($T874)-N($U874),2))</f>
        <v/>
      </c>
      <c r="W874" s="18">
        <f>IF(COUNTA($B874:$R874)=0,"",IF(OR($X874="Pago",$X874="Recebido",$X874="Cancelado"),0,ROUND(N($Q874)+N($S874)+N($T874)-N($U874)-N($R874),2)))</f>
        <v/>
      </c>
      <c r="X874" s="14" t="n"/>
      <c r="Y874" s="17">
        <f>IF(COUNTA($B874:$R874)=0,"",IF($X874="Cancelado","Cancelado",IF(OR($X874="Pago",$X874="Recebido"),$X874,IF(OR($X874="Parcial",N($R874)&gt;0),"Parcial",IF($C874="","Sem vencimento",IF($C874&lt;TODAY(),"Vencido",IF($C874=TODAY(),"Vence hoje",IF($C874&lt;=TODAY()+7,"Vence em 7 dias",IF($C874&lt;=TODAY()+30,"Vence em 30 dias","Futuro")))))))))</f>
        <v/>
      </c>
      <c r="Z874" s="24">
        <f>IF($B874="","",MONTH($B874))</f>
        <v/>
      </c>
      <c r="AA874" s="24">
        <f>IF($B874="","",YEAR($B874))</f>
        <v/>
      </c>
      <c r="AB874" s="24">
        <f>IF($B874="","",ISOWEEKNUM($B874))</f>
        <v/>
      </c>
      <c r="AC874" s="17">
        <f>IF($B874="","",CHOOSE(WEEKDAY($B874,2),"Segunda","Terça","Quarta","Quinta","Sexta","Sábado","Domingo"))</f>
        <v/>
      </c>
      <c r="AD874" s="17">
        <f>IF($B874="","",TEXT($B874,"MM/AAAA"))</f>
        <v/>
      </c>
      <c r="AE874" s="18">
        <f>IF(COUNTA($B874:$R874)=0,"",IF($X874="Cancelado",0,ROUND(N($Q874)+N($S874)+N($T874)-N($U874),2)))</f>
        <v/>
      </c>
      <c r="AF874" s="9">
        <f>IF($G874="","",IFERROR(INDEX(LINHAS_DRE_PLANO,MATCH($G874,SUBCATEGORIAS_PLANO,0)),"Não classificado"))</f>
        <v/>
      </c>
      <c r="AG874" s="17">
        <f>IF($G874="","",IFERROR(INDEX(TIPOS_FLUXO_PLANO,MATCH($G874,SUBCATEGORIAS_PLANO,0)),"Não classificado"))</f>
        <v/>
      </c>
      <c r="AH874" s="9">
        <f>IF($G874="","",IFERROR(INDEX(GRUPOS_PLANO,MATCH($G874,SUBCATEGORIAS_PLANO,0)),"Não classificado"))</f>
        <v/>
      </c>
      <c r="AI874" s="24">
        <f>IF(OR($C874="",$X874="Pago",$X874="Recebido",$X874="Cancelado"),"",$C874-TODAY())</f>
        <v/>
      </c>
      <c r="AJ874" s="24">
        <f>IF(OR($C874="",$X874="Pago",$X874="Recebido",$X874="Cancelado"),0,MAX(0,TODAY()-$C874))</f>
        <v/>
      </c>
      <c r="AK874" s="24">
        <f>IF($D874="","",$D874-$B874)</f>
        <v/>
      </c>
      <c r="AL874" s="18">
        <f>IF(OR($D874="",$B874=""),"",ROUND(N($R874)*($D874-$B874),2))</f>
        <v/>
      </c>
      <c r="AM874" s="17">
        <f>IF(AND($E874="Saída",$W874&gt;0,$C874&lt;&gt;""),$C874+ROW()/1000000,"")</f>
        <v/>
      </c>
      <c r="AN874" s="17">
        <f>IF(AND($E874="Entrada",$W874&gt;0,$C874&lt;&gt;""),$C874+ROW()/1000000,"")</f>
        <v/>
      </c>
      <c r="AO874" s="9">
        <f>IF(COUNTA($B874:$R874)=0,"",IF(AND($I874&lt;&gt;"",COUNTIF(CLIENTES_NOMES,$I874)+COUNTIF(CLIENTES_FANTASIA,$I874)+COUNTIF(FORNECEDORES_NOMES,$I874)+COUNTIF(FORNECEDORES_FANTASIA,$I874)=0),"⚠ Cliente/Fornecedor não cadastrado",IF(AND($G874&lt;&gt;"",COUNTIF(SUBCATEGORIAS_PLANO,$G874)=0),"⚠ Subcategoria fora do plano de contas",IF(OR($Q874="",N($Q874)=0),"⚠ Valor previsto não informado",IF(AND(OR($X874="Pago",$X874="Recebido"),$D874=""),"⚠ Status pago/recebido sem data",IF(AND($D874&lt;&gt;"",N($R874)=0),"⚠ Data de pagamento sem valor realizado",IF(AND(N($P874)&gt;1,N($O874)&gt;N($P874)),"⚠ Nº da parcela maior que o total",IF(AND($C874&lt;&gt;"",$B874&lt;&gt;"",$C874&lt;$B874),"⚠ Vencimento anterior à competência","OK"))))))))</f>
        <v/>
      </c>
    </row>
    <row r="875">
      <c r="A875" s="14" t="n"/>
      <c r="B875" s="36" t="n"/>
      <c r="C875" s="36" t="n"/>
      <c r="D875" s="36" t="n"/>
      <c r="E875" s="14" t="n"/>
      <c r="F875" s="29" t="n"/>
      <c r="G875" s="29" t="n"/>
      <c r="H875" s="29" t="n"/>
      <c r="I875" s="29" t="n"/>
      <c r="J875" s="29" t="n"/>
      <c r="K875" s="14" t="n"/>
      <c r="L875" s="29" t="n"/>
      <c r="M875" s="14" t="n"/>
      <c r="N875" s="29" t="n"/>
      <c r="O875" s="13" t="n"/>
      <c r="P875" s="13" t="n"/>
      <c r="Q875" s="35" t="n"/>
      <c r="R875" s="35" t="n"/>
      <c r="S875" s="35" t="n"/>
      <c r="T875" s="35" t="n"/>
      <c r="U875" s="35" t="n"/>
      <c r="V875" s="18">
        <f>IF(COUNTA($B875:$R875)=0,"",ROUND(N($R875)+N($S875)+N($T875)-N($U875),2))</f>
        <v/>
      </c>
      <c r="W875" s="18">
        <f>IF(COUNTA($B875:$R875)=0,"",IF(OR($X875="Pago",$X875="Recebido",$X875="Cancelado"),0,ROUND(N($Q875)+N($S875)+N($T875)-N($U875)-N($R875),2)))</f>
        <v/>
      </c>
      <c r="X875" s="14" t="n"/>
      <c r="Y875" s="17">
        <f>IF(COUNTA($B875:$R875)=0,"",IF($X875="Cancelado","Cancelado",IF(OR($X875="Pago",$X875="Recebido"),$X875,IF(OR($X875="Parcial",N($R875)&gt;0),"Parcial",IF($C875="","Sem vencimento",IF($C875&lt;TODAY(),"Vencido",IF($C875=TODAY(),"Vence hoje",IF($C875&lt;=TODAY()+7,"Vence em 7 dias",IF($C875&lt;=TODAY()+30,"Vence em 30 dias","Futuro")))))))))</f>
        <v/>
      </c>
      <c r="Z875" s="24">
        <f>IF($B875="","",MONTH($B875))</f>
        <v/>
      </c>
      <c r="AA875" s="24">
        <f>IF($B875="","",YEAR($B875))</f>
        <v/>
      </c>
      <c r="AB875" s="24">
        <f>IF($B875="","",ISOWEEKNUM($B875))</f>
        <v/>
      </c>
      <c r="AC875" s="17">
        <f>IF($B875="","",CHOOSE(WEEKDAY($B875,2),"Segunda","Terça","Quarta","Quinta","Sexta","Sábado","Domingo"))</f>
        <v/>
      </c>
      <c r="AD875" s="17">
        <f>IF($B875="","",TEXT($B875,"MM/AAAA"))</f>
        <v/>
      </c>
      <c r="AE875" s="18">
        <f>IF(COUNTA($B875:$R875)=0,"",IF($X875="Cancelado",0,ROUND(N($Q875)+N($S875)+N($T875)-N($U875),2)))</f>
        <v/>
      </c>
      <c r="AF875" s="9">
        <f>IF($G875="","",IFERROR(INDEX(LINHAS_DRE_PLANO,MATCH($G875,SUBCATEGORIAS_PLANO,0)),"Não classificado"))</f>
        <v/>
      </c>
      <c r="AG875" s="17">
        <f>IF($G875="","",IFERROR(INDEX(TIPOS_FLUXO_PLANO,MATCH($G875,SUBCATEGORIAS_PLANO,0)),"Não classificado"))</f>
        <v/>
      </c>
      <c r="AH875" s="9">
        <f>IF($G875="","",IFERROR(INDEX(GRUPOS_PLANO,MATCH($G875,SUBCATEGORIAS_PLANO,0)),"Não classificado"))</f>
        <v/>
      </c>
      <c r="AI875" s="24">
        <f>IF(OR($C875="",$X875="Pago",$X875="Recebido",$X875="Cancelado"),"",$C875-TODAY())</f>
        <v/>
      </c>
      <c r="AJ875" s="24">
        <f>IF(OR($C875="",$X875="Pago",$X875="Recebido",$X875="Cancelado"),0,MAX(0,TODAY()-$C875))</f>
        <v/>
      </c>
      <c r="AK875" s="24">
        <f>IF($D875="","",$D875-$B875)</f>
        <v/>
      </c>
      <c r="AL875" s="18">
        <f>IF(OR($D875="",$B875=""),"",ROUND(N($R875)*($D875-$B875),2))</f>
        <v/>
      </c>
      <c r="AM875" s="17">
        <f>IF(AND($E875="Saída",$W875&gt;0,$C875&lt;&gt;""),$C875+ROW()/1000000,"")</f>
        <v/>
      </c>
      <c r="AN875" s="17">
        <f>IF(AND($E875="Entrada",$W875&gt;0,$C875&lt;&gt;""),$C875+ROW()/1000000,"")</f>
        <v/>
      </c>
      <c r="AO875" s="9">
        <f>IF(COUNTA($B875:$R875)=0,"",IF(AND($I875&lt;&gt;"",COUNTIF(CLIENTES_NOMES,$I875)+COUNTIF(CLIENTES_FANTASIA,$I875)+COUNTIF(FORNECEDORES_NOMES,$I875)+COUNTIF(FORNECEDORES_FANTASIA,$I875)=0),"⚠ Cliente/Fornecedor não cadastrado",IF(AND($G875&lt;&gt;"",COUNTIF(SUBCATEGORIAS_PLANO,$G875)=0),"⚠ Subcategoria fora do plano de contas",IF(OR($Q875="",N($Q875)=0),"⚠ Valor previsto não informado",IF(AND(OR($X875="Pago",$X875="Recebido"),$D875=""),"⚠ Status pago/recebido sem data",IF(AND($D875&lt;&gt;"",N($R875)=0),"⚠ Data de pagamento sem valor realizado",IF(AND(N($P875)&gt;1,N($O875)&gt;N($P875)),"⚠ Nº da parcela maior que o total",IF(AND($C875&lt;&gt;"",$B875&lt;&gt;"",$C875&lt;$B875),"⚠ Vencimento anterior à competência","OK"))))))))</f>
        <v/>
      </c>
    </row>
    <row r="876">
      <c r="A876" s="14" t="n"/>
      <c r="B876" s="36" t="n"/>
      <c r="C876" s="36" t="n"/>
      <c r="D876" s="36" t="n"/>
      <c r="E876" s="14" t="n"/>
      <c r="F876" s="29" t="n"/>
      <c r="G876" s="29" t="n"/>
      <c r="H876" s="29" t="n"/>
      <c r="I876" s="29" t="n"/>
      <c r="J876" s="29" t="n"/>
      <c r="K876" s="14" t="n"/>
      <c r="L876" s="29" t="n"/>
      <c r="M876" s="14" t="n"/>
      <c r="N876" s="29" t="n"/>
      <c r="O876" s="13" t="n"/>
      <c r="P876" s="13" t="n"/>
      <c r="Q876" s="35" t="n"/>
      <c r="R876" s="35" t="n"/>
      <c r="S876" s="35" t="n"/>
      <c r="T876" s="35" t="n"/>
      <c r="U876" s="35" t="n"/>
      <c r="V876" s="18">
        <f>IF(COUNTA($B876:$R876)=0,"",ROUND(N($R876)+N($S876)+N($T876)-N($U876),2))</f>
        <v/>
      </c>
      <c r="W876" s="18">
        <f>IF(COUNTA($B876:$R876)=0,"",IF(OR($X876="Pago",$X876="Recebido",$X876="Cancelado"),0,ROUND(N($Q876)+N($S876)+N($T876)-N($U876)-N($R876),2)))</f>
        <v/>
      </c>
      <c r="X876" s="14" t="n"/>
      <c r="Y876" s="17">
        <f>IF(COUNTA($B876:$R876)=0,"",IF($X876="Cancelado","Cancelado",IF(OR($X876="Pago",$X876="Recebido"),$X876,IF(OR($X876="Parcial",N($R876)&gt;0),"Parcial",IF($C876="","Sem vencimento",IF($C876&lt;TODAY(),"Vencido",IF($C876=TODAY(),"Vence hoje",IF($C876&lt;=TODAY()+7,"Vence em 7 dias",IF($C876&lt;=TODAY()+30,"Vence em 30 dias","Futuro")))))))))</f>
        <v/>
      </c>
      <c r="Z876" s="24">
        <f>IF($B876="","",MONTH($B876))</f>
        <v/>
      </c>
      <c r="AA876" s="24">
        <f>IF($B876="","",YEAR($B876))</f>
        <v/>
      </c>
      <c r="AB876" s="24">
        <f>IF($B876="","",ISOWEEKNUM($B876))</f>
        <v/>
      </c>
      <c r="AC876" s="17">
        <f>IF($B876="","",CHOOSE(WEEKDAY($B876,2),"Segunda","Terça","Quarta","Quinta","Sexta","Sábado","Domingo"))</f>
        <v/>
      </c>
      <c r="AD876" s="17">
        <f>IF($B876="","",TEXT($B876,"MM/AAAA"))</f>
        <v/>
      </c>
      <c r="AE876" s="18">
        <f>IF(COUNTA($B876:$R876)=0,"",IF($X876="Cancelado",0,ROUND(N($Q876)+N($S876)+N($T876)-N($U876),2)))</f>
        <v/>
      </c>
      <c r="AF876" s="9">
        <f>IF($G876="","",IFERROR(INDEX(LINHAS_DRE_PLANO,MATCH($G876,SUBCATEGORIAS_PLANO,0)),"Não classificado"))</f>
        <v/>
      </c>
      <c r="AG876" s="17">
        <f>IF($G876="","",IFERROR(INDEX(TIPOS_FLUXO_PLANO,MATCH($G876,SUBCATEGORIAS_PLANO,0)),"Não classificado"))</f>
        <v/>
      </c>
      <c r="AH876" s="9">
        <f>IF($G876="","",IFERROR(INDEX(GRUPOS_PLANO,MATCH($G876,SUBCATEGORIAS_PLANO,0)),"Não classificado"))</f>
        <v/>
      </c>
      <c r="AI876" s="24">
        <f>IF(OR($C876="",$X876="Pago",$X876="Recebido",$X876="Cancelado"),"",$C876-TODAY())</f>
        <v/>
      </c>
      <c r="AJ876" s="24">
        <f>IF(OR($C876="",$X876="Pago",$X876="Recebido",$X876="Cancelado"),0,MAX(0,TODAY()-$C876))</f>
        <v/>
      </c>
      <c r="AK876" s="24">
        <f>IF($D876="","",$D876-$B876)</f>
        <v/>
      </c>
      <c r="AL876" s="18">
        <f>IF(OR($D876="",$B876=""),"",ROUND(N($R876)*($D876-$B876),2))</f>
        <v/>
      </c>
      <c r="AM876" s="17">
        <f>IF(AND($E876="Saída",$W876&gt;0,$C876&lt;&gt;""),$C876+ROW()/1000000,"")</f>
        <v/>
      </c>
      <c r="AN876" s="17">
        <f>IF(AND($E876="Entrada",$W876&gt;0,$C876&lt;&gt;""),$C876+ROW()/1000000,"")</f>
        <v/>
      </c>
      <c r="AO876" s="9">
        <f>IF(COUNTA($B876:$R876)=0,"",IF(AND($I876&lt;&gt;"",COUNTIF(CLIENTES_NOMES,$I876)+COUNTIF(CLIENTES_FANTASIA,$I876)+COUNTIF(FORNECEDORES_NOMES,$I876)+COUNTIF(FORNECEDORES_FANTASIA,$I876)=0),"⚠ Cliente/Fornecedor não cadastrado",IF(AND($G876&lt;&gt;"",COUNTIF(SUBCATEGORIAS_PLANO,$G876)=0),"⚠ Subcategoria fora do plano de contas",IF(OR($Q876="",N($Q876)=0),"⚠ Valor previsto não informado",IF(AND(OR($X876="Pago",$X876="Recebido"),$D876=""),"⚠ Status pago/recebido sem data",IF(AND($D876&lt;&gt;"",N($R876)=0),"⚠ Data de pagamento sem valor realizado",IF(AND(N($P876)&gt;1,N($O876)&gt;N($P876)),"⚠ Nº da parcela maior que o total",IF(AND($C876&lt;&gt;"",$B876&lt;&gt;"",$C876&lt;$B876),"⚠ Vencimento anterior à competência","OK"))))))))</f>
        <v/>
      </c>
    </row>
    <row r="877">
      <c r="A877" s="14" t="n"/>
      <c r="B877" s="36" t="n"/>
      <c r="C877" s="36" t="n"/>
      <c r="D877" s="36" t="n"/>
      <c r="E877" s="14" t="n"/>
      <c r="F877" s="29" t="n"/>
      <c r="G877" s="29" t="n"/>
      <c r="H877" s="29" t="n"/>
      <c r="I877" s="29" t="n"/>
      <c r="J877" s="29" t="n"/>
      <c r="K877" s="14" t="n"/>
      <c r="L877" s="29" t="n"/>
      <c r="M877" s="14" t="n"/>
      <c r="N877" s="29" t="n"/>
      <c r="O877" s="13" t="n"/>
      <c r="P877" s="13" t="n"/>
      <c r="Q877" s="35" t="n"/>
      <c r="R877" s="35" t="n"/>
      <c r="S877" s="35" t="n"/>
      <c r="T877" s="35" t="n"/>
      <c r="U877" s="35" t="n"/>
      <c r="V877" s="18">
        <f>IF(COUNTA($B877:$R877)=0,"",ROUND(N($R877)+N($S877)+N($T877)-N($U877),2))</f>
        <v/>
      </c>
      <c r="W877" s="18">
        <f>IF(COUNTA($B877:$R877)=0,"",IF(OR($X877="Pago",$X877="Recebido",$X877="Cancelado"),0,ROUND(N($Q877)+N($S877)+N($T877)-N($U877)-N($R877),2)))</f>
        <v/>
      </c>
      <c r="X877" s="14" t="n"/>
      <c r="Y877" s="17">
        <f>IF(COUNTA($B877:$R877)=0,"",IF($X877="Cancelado","Cancelado",IF(OR($X877="Pago",$X877="Recebido"),$X877,IF(OR($X877="Parcial",N($R877)&gt;0),"Parcial",IF($C877="","Sem vencimento",IF($C877&lt;TODAY(),"Vencido",IF($C877=TODAY(),"Vence hoje",IF($C877&lt;=TODAY()+7,"Vence em 7 dias",IF($C877&lt;=TODAY()+30,"Vence em 30 dias","Futuro")))))))))</f>
        <v/>
      </c>
      <c r="Z877" s="24">
        <f>IF($B877="","",MONTH($B877))</f>
        <v/>
      </c>
      <c r="AA877" s="24">
        <f>IF($B877="","",YEAR($B877))</f>
        <v/>
      </c>
      <c r="AB877" s="24">
        <f>IF($B877="","",ISOWEEKNUM($B877))</f>
        <v/>
      </c>
      <c r="AC877" s="17">
        <f>IF($B877="","",CHOOSE(WEEKDAY($B877,2),"Segunda","Terça","Quarta","Quinta","Sexta","Sábado","Domingo"))</f>
        <v/>
      </c>
      <c r="AD877" s="17">
        <f>IF($B877="","",TEXT($B877,"MM/AAAA"))</f>
        <v/>
      </c>
      <c r="AE877" s="18">
        <f>IF(COUNTA($B877:$R877)=0,"",IF($X877="Cancelado",0,ROUND(N($Q877)+N($S877)+N($T877)-N($U877),2)))</f>
        <v/>
      </c>
      <c r="AF877" s="9">
        <f>IF($G877="","",IFERROR(INDEX(LINHAS_DRE_PLANO,MATCH($G877,SUBCATEGORIAS_PLANO,0)),"Não classificado"))</f>
        <v/>
      </c>
      <c r="AG877" s="17">
        <f>IF($G877="","",IFERROR(INDEX(TIPOS_FLUXO_PLANO,MATCH($G877,SUBCATEGORIAS_PLANO,0)),"Não classificado"))</f>
        <v/>
      </c>
      <c r="AH877" s="9">
        <f>IF($G877="","",IFERROR(INDEX(GRUPOS_PLANO,MATCH($G877,SUBCATEGORIAS_PLANO,0)),"Não classificado"))</f>
        <v/>
      </c>
      <c r="AI877" s="24">
        <f>IF(OR($C877="",$X877="Pago",$X877="Recebido",$X877="Cancelado"),"",$C877-TODAY())</f>
        <v/>
      </c>
      <c r="AJ877" s="24">
        <f>IF(OR($C877="",$X877="Pago",$X877="Recebido",$X877="Cancelado"),0,MAX(0,TODAY()-$C877))</f>
        <v/>
      </c>
      <c r="AK877" s="24">
        <f>IF($D877="","",$D877-$B877)</f>
        <v/>
      </c>
      <c r="AL877" s="18">
        <f>IF(OR($D877="",$B877=""),"",ROUND(N($R877)*($D877-$B877),2))</f>
        <v/>
      </c>
      <c r="AM877" s="17">
        <f>IF(AND($E877="Saída",$W877&gt;0,$C877&lt;&gt;""),$C877+ROW()/1000000,"")</f>
        <v/>
      </c>
      <c r="AN877" s="17">
        <f>IF(AND($E877="Entrada",$W877&gt;0,$C877&lt;&gt;""),$C877+ROW()/1000000,"")</f>
        <v/>
      </c>
      <c r="AO877" s="9">
        <f>IF(COUNTA($B877:$R877)=0,"",IF(AND($I877&lt;&gt;"",COUNTIF(CLIENTES_NOMES,$I877)+COUNTIF(CLIENTES_FANTASIA,$I877)+COUNTIF(FORNECEDORES_NOMES,$I877)+COUNTIF(FORNECEDORES_FANTASIA,$I877)=0),"⚠ Cliente/Fornecedor não cadastrado",IF(AND($G877&lt;&gt;"",COUNTIF(SUBCATEGORIAS_PLANO,$G877)=0),"⚠ Subcategoria fora do plano de contas",IF(OR($Q877="",N($Q877)=0),"⚠ Valor previsto não informado",IF(AND(OR($X877="Pago",$X877="Recebido"),$D877=""),"⚠ Status pago/recebido sem data",IF(AND($D877&lt;&gt;"",N($R877)=0),"⚠ Data de pagamento sem valor realizado",IF(AND(N($P877)&gt;1,N($O877)&gt;N($P877)),"⚠ Nº da parcela maior que o total",IF(AND($C877&lt;&gt;"",$B877&lt;&gt;"",$C877&lt;$B877),"⚠ Vencimento anterior à competência","OK"))))))))</f>
        <v/>
      </c>
    </row>
    <row r="878">
      <c r="A878" s="14" t="n"/>
      <c r="B878" s="36" t="n"/>
      <c r="C878" s="36" t="n"/>
      <c r="D878" s="36" t="n"/>
      <c r="E878" s="14" t="n"/>
      <c r="F878" s="29" t="n"/>
      <c r="G878" s="29" t="n"/>
      <c r="H878" s="29" t="n"/>
      <c r="I878" s="29" t="n"/>
      <c r="J878" s="29" t="n"/>
      <c r="K878" s="14" t="n"/>
      <c r="L878" s="29" t="n"/>
      <c r="M878" s="14" t="n"/>
      <c r="N878" s="29" t="n"/>
      <c r="O878" s="13" t="n"/>
      <c r="P878" s="13" t="n"/>
      <c r="Q878" s="35" t="n"/>
      <c r="R878" s="35" t="n"/>
      <c r="S878" s="35" t="n"/>
      <c r="T878" s="35" t="n"/>
      <c r="U878" s="35" t="n"/>
      <c r="V878" s="18">
        <f>IF(COUNTA($B878:$R878)=0,"",ROUND(N($R878)+N($S878)+N($T878)-N($U878),2))</f>
        <v/>
      </c>
      <c r="W878" s="18">
        <f>IF(COUNTA($B878:$R878)=0,"",IF(OR($X878="Pago",$X878="Recebido",$X878="Cancelado"),0,ROUND(N($Q878)+N($S878)+N($T878)-N($U878)-N($R878),2)))</f>
        <v/>
      </c>
      <c r="X878" s="14" t="n"/>
      <c r="Y878" s="17">
        <f>IF(COUNTA($B878:$R878)=0,"",IF($X878="Cancelado","Cancelado",IF(OR($X878="Pago",$X878="Recebido"),$X878,IF(OR($X878="Parcial",N($R878)&gt;0),"Parcial",IF($C878="","Sem vencimento",IF($C878&lt;TODAY(),"Vencido",IF($C878=TODAY(),"Vence hoje",IF($C878&lt;=TODAY()+7,"Vence em 7 dias",IF($C878&lt;=TODAY()+30,"Vence em 30 dias","Futuro")))))))))</f>
        <v/>
      </c>
      <c r="Z878" s="24">
        <f>IF($B878="","",MONTH($B878))</f>
        <v/>
      </c>
      <c r="AA878" s="24">
        <f>IF($B878="","",YEAR($B878))</f>
        <v/>
      </c>
      <c r="AB878" s="24">
        <f>IF($B878="","",ISOWEEKNUM($B878))</f>
        <v/>
      </c>
      <c r="AC878" s="17">
        <f>IF($B878="","",CHOOSE(WEEKDAY($B878,2),"Segunda","Terça","Quarta","Quinta","Sexta","Sábado","Domingo"))</f>
        <v/>
      </c>
      <c r="AD878" s="17">
        <f>IF($B878="","",TEXT($B878,"MM/AAAA"))</f>
        <v/>
      </c>
      <c r="AE878" s="18">
        <f>IF(COUNTA($B878:$R878)=0,"",IF($X878="Cancelado",0,ROUND(N($Q878)+N($S878)+N($T878)-N($U878),2)))</f>
        <v/>
      </c>
      <c r="AF878" s="9">
        <f>IF($G878="","",IFERROR(INDEX(LINHAS_DRE_PLANO,MATCH($G878,SUBCATEGORIAS_PLANO,0)),"Não classificado"))</f>
        <v/>
      </c>
      <c r="AG878" s="17">
        <f>IF($G878="","",IFERROR(INDEX(TIPOS_FLUXO_PLANO,MATCH($G878,SUBCATEGORIAS_PLANO,0)),"Não classificado"))</f>
        <v/>
      </c>
      <c r="AH878" s="9">
        <f>IF($G878="","",IFERROR(INDEX(GRUPOS_PLANO,MATCH($G878,SUBCATEGORIAS_PLANO,0)),"Não classificado"))</f>
        <v/>
      </c>
      <c r="AI878" s="24">
        <f>IF(OR($C878="",$X878="Pago",$X878="Recebido",$X878="Cancelado"),"",$C878-TODAY())</f>
        <v/>
      </c>
      <c r="AJ878" s="24">
        <f>IF(OR($C878="",$X878="Pago",$X878="Recebido",$X878="Cancelado"),0,MAX(0,TODAY()-$C878))</f>
        <v/>
      </c>
      <c r="AK878" s="24">
        <f>IF($D878="","",$D878-$B878)</f>
        <v/>
      </c>
      <c r="AL878" s="18">
        <f>IF(OR($D878="",$B878=""),"",ROUND(N($R878)*($D878-$B878),2))</f>
        <v/>
      </c>
      <c r="AM878" s="17">
        <f>IF(AND($E878="Saída",$W878&gt;0,$C878&lt;&gt;""),$C878+ROW()/1000000,"")</f>
        <v/>
      </c>
      <c r="AN878" s="17">
        <f>IF(AND($E878="Entrada",$W878&gt;0,$C878&lt;&gt;""),$C878+ROW()/1000000,"")</f>
        <v/>
      </c>
      <c r="AO878" s="9">
        <f>IF(COUNTA($B878:$R878)=0,"",IF(AND($I878&lt;&gt;"",COUNTIF(CLIENTES_NOMES,$I878)+COUNTIF(CLIENTES_FANTASIA,$I878)+COUNTIF(FORNECEDORES_NOMES,$I878)+COUNTIF(FORNECEDORES_FANTASIA,$I878)=0),"⚠ Cliente/Fornecedor não cadastrado",IF(AND($G878&lt;&gt;"",COUNTIF(SUBCATEGORIAS_PLANO,$G878)=0),"⚠ Subcategoria fora do plano de contas",IF(OR($Q878="",N($Q878)=0),"⚠ Valor previsto não informado",IF(AND(OR($X878="Pago",$X878="Recebido"),$D878=""),"⚠ Status pago/recebido sem data",IF(AND($D878&lt;&gt;"",N($R878)=0),"⚠ Data de pagamento sem valor realizado",IF(AND(N($P878)&gt;1,N($O878)&gt;N($P878)),"⚠ Nº da parcela maior que o total",IF(AND($C878&lt;&gt;"",$B878&lt;&gt;"",$C878&lt;$B878),"⚠ Vencimento anterior à competência","OK"))))))))</f>
        <v/>
      </c>
    </row>
    <row r="879">
      <c r="A879" s="14" t="n"/>
      <c r="B879" s="36" t="n"/>
      <c r="C879" s="36" t="n"/>
      <c r="D879" s="36" t="n"/>
      <c r="E879" s="14" t="n"/>
      <c r="F879" s="29" t="n"/>
      <c r="G879" s="29" t="n"/>
      <c r="H879" s="29" t="n"/>
      <c r="I879" s="29" t="n"/>
      <c r="J879" s="29" t="n"/>
      <c r="K879" s="14" t="n"/>
      <c r="L879" s="29" t="n"/>
      <c r="M879" s="14" t="n"/>
      <c r="N879" s="29" t="n"/>
      <c r="O879" s="13" t="n"/>
      <c r="P879" s="13" t="n"/>
      <c r="Q879" s="35" t="n"/>
      <c r="R879" s="35" t="n"/>
      <c r="S879" s="35" t="n"/>
      <c r="T879" s="35" t="n"/>
      <c r="U879" s="35" t="n"/>
      <c r="V879" s="18">
        <f>IF(COUNTA($B879:$R879)=0,"",ROUND(N($R879)+N($S879)+N($T879)-N($U879),2))</f>
        <v/>
      </c>
      <c r="W879" s="18">
        <f>IF(COUNTA($B879:$R879)=0,"",IF(OR($X879="Pago",$X879="Recebido",$X879="Cancelado"),0,ROUND(N($Q879)+N($S879)+N($T879)-N($U879)-N($R879),2)))</f>
        <v/>
      </c>
      <c r="X879" s="14" t="n"/>
      <c r="Y879" s="17">
        <f>IF(COUNTA($B879:$R879)=0,"",IF($X879="Cancelado","Cancelado",IF(OR($X879="Pago",$X879="Recebido"),$X879,IF(OR($X879="Parcial",N($R879)&gt;0),"Parcial",IF($C879="","Sem vencimento",IF($C879&lt;TODAY(),"Vencido",IF($C879=TODAY(),"Vence hoje",IF($C879&lt;=TODAY()+7,"Vence em 7 dias",IF($C879&lt;=TODAY()+30,"Vence em 30 dias","Futuro")))))))))</f>
        <v/>
      </c>
      <c r="Z879" s="24">
        <f>IF($B879="","",MONTH($B879))</f>
        <v/>
      </c>
      <c r="AA879" s="24">
        <f>IF($B879="","",YEAR($B879))</f>
        <v/>
      </c>
      <c r="AB879" s="24">
        <f>IF($B879="","",ISOWEEKNUM($B879))</f>
        <v/>
      </c>
      <c r="AC879" s="17">
        <f>IF($B879="","",CHOOSE(WEEKDAY($B879,2),"Segunda","Terça","Quarta","Quinta","Sexta","Sábado","Domingo"))</f>
        <v/>
      </c>
      <c r="AD879" s="17">
        <f>IF($B879="","",TEXT($B879,"MM/AAAA"))</f>
        <v/>
      </c>
      <c r="AE879" s="18">
        <f>IF(COUNTA($B879:$R879)=0,"",IF($X879="Cancelado",0,ROUND(N($Q879)+N($S879)+N($T879)-N($U879),2)))</f>
        <v/>
      </c>
      <c r="AF879" s="9">
        <f>IF($G879="","",IFERROR(INDEX(LINHAS_DRE_PLANO,MATCH($G879,SUBCATEGORIAS_PLANO,0)),"Não classificado"))</f>
        <v/>
      </c>
      <c r="AG879" s="17">
        <f>IF($G879="","",IFERROR(INDEX(TIPOS_FLUXO_PLANO,MATCH($G879,SUBCATEGORIAS_PLANO,0)),"Não classificado"))</f>
        <v/>
      </c>
      <c r="AH879" s="9">
        <f>IF($G879="","",IFERROR(INDEX(GRUPOS_PLANO,MATCH($G879,SUBCATEGORIAS_PLANO,0)),"Não classificado"))</f>
        <v/>
      </c>
      <c r="AI879" s="24">
        <f>IF(OR($C879="",$X879="Pago",$X879="Recebido",$X879="Cancelado"),"",$C879-TODAY())</f>
        <v/>
      </c>
      <c r="AJ879" s="24">
        <f>IF(OR($C879="",$X879="Pago",$X879="Recebido",$X879="Cancelado"),0,MAX(0,TODAY()-$C879))</f>
        <v/>
      </c>
      <c r="AK879" s="24">
        <f>IF($D879="","",$D879-$B879)</f>
        <v/>
      </c>
      <c r="AL879" s="18">
        <f>IF(OR($D879="",$B879=""),"",ROUND(N($R879)*($D879-$B879),2))</f>
        <v/>
      </c>
      <c r="AM879" s="17">
        <f>IF(AND($E879="Saída",$W879&gt;0,$C879&lt;&gt;""),$C879+ROW()/1000000,"")</f>
        <v/>
      </c>
      <c r="AN879" s="17">
        <f>IF(AND($E879="Entrada",$W879&gt;0,$C879&lt;&gt;""),$C879+ROW()/1000000,"")</f>
        <v/>
      </c>
      <c r="AO879" s="9">
        <f>IF(COUNTA($B879:$R879)=0,"",IF(AND($I879&lt;&gt;"",COUNTIF(CLIENTES_NOMES,$I879)+COUNTIF(CLIENTES_FANTASIA,$I879)+COUNTIF(FORNECEDORES_NOMES,$I879)+COUNTIF(FORNECEDORES_FANTASIA,$I879)=0),"⚠ Cliente/Fornecedor não cadastrado",IF(AND($G879&lt;&gt;"",COUNTIF(SUBCATEGORIAS_PLANO,$G879)=0),"⚠ Subcategoria fora do plano de contas",IF(OR($Q879="",N($Q879)=0),"⚠ Valor previsto não informado",IF(AND(OR($X879="Pago",$X879="Recebido"),$D879=""),"⚠ Status pago/recebido sem data",IF(AND($D879&lt;&gt;"",N($R879)=0),"⚠ Data de pagamento sem valor realizado",IF(AND(N($P879)&gt;1,N($O879)&gt;N($P879)),"⚠ Nº da parcela maior que o total",IF(AND($C879&lt;&gt;"",$B879&lt;&gt;"",$C879&lt;$B879),"⚠ Vencimento anterior à competência","OK"))))))))</f>
        <v/>
      </c>
    </row>
    <row r="880">
      <c r="A880" s="14" t="n"/>
      <c r="B880" s="36" t="n"/>
      <c r="C880" s="36" t="n"/>
      <c r="D880" s="36" t="n"/>
      <c r="E880" s="14" t="n"/>
      <c r="F880" s="29" t="n"/>
      <c r="G880" s="29" t="n"/>
      <c r="H880" s="29" t="n"/>
      <c r="I880" s="29" t="n"/>
      <c r="J880" s="29" t="n"/>
      <c r="K880" s="14" t="n"/>
      <c r="L880" s="29" t="n"/>
      <c r="M880" s="14" t="n"/>
      <c r="N880" s="29" t="n"/>
      <c r="O880" s="13" t="n"/>
      <c r="P880" s="13" t="n"/>
      <c r="Q880" s="35" t="n"/>
      <c r="R880" s="35" t="n"/>
      <c r="S880" s="35" t="n"/>
      <c r="T880" s="35" t="n"/>
      <c r="U880" s="35" t="n"/>
      <c r="V880" s="18">
        <f>IF(COUNTA($B880:$R880)=0,"",ROUND(N($R880)+N($S880)+N($T880)-N($U880),2))</f>
        <v/>
      </c>
      <c r="W880" s="18">
        <f>IF(COUNTA($B880:$R880)=0,"",IF(OR($X880="Pago",$X880="Recebido",$X880="Cancelado"),0,ROUND(N($Q880)+N($S880)+N($T880)-N($U880)-N($R880),2)))</f>
        <v/>
      </c>
      <c r="X880" s="14" t="n"/>
      <c r="Y880" s="17">
        <f>IF(COUNTA($B880:$R880)=0,"",IF($X880="Cancelado","Cancelado",IF(OR($X880="Pago",$X880="Recebido"),$X880,IF(OR($X880="Parcial",N($R880)&gt;0),"Parcial",IF($C880="","Sem vencimento",IF($C880&lt;TODAY(),"Vencido",IF($C880=TODAY(),"Vence hoje",IF($C880&lt;=TODAY()+7,"Vence em 7 dias",IF($C880&lt;=TODAY()+30,"Vence em 30 dias","Futuro")))))))))</f>
        <v/>
      </c>
      <c r="Z880" s="24">
        <f>IF($B880="","",MONTH($B880))</f>
        <v/>
      </c>
      <c r="AA880" s="24">
        <f>IF($B880="","",YEAR($B880))</f>
        <v/>
      </c>
      <c r="AB880" s="24">
        <f>IF($B880="","",ISOWEEKNUM($B880))</f>
        <v/>
      </c>
      <c r="AC880" s="17">
        <f>IF($B880="","",CHOOSE(WEEKDAY($B880,2),"Segunda","Terça","Quarta","Quinta","Sexta","Sábado","Domingo"))</f>
        <v/>
      </c>
      <c r="AD880" s="17">
        <f>IF($B880="","",TEXT($B880,"MM/AAAA"))</f>
        <v/>
      </c>
      <c r="AE880" s="18">
        <f>IF(COUNTA($B880:$R880)=0,"",IF($X880="Cancelado",0,ROUND(N($Q880)+N($S880)+N($T880)-N($U880),2)))</f>
        <v/>
      </c>
      <c r="AF880" s="9">
        <f>IF($G880="","",IFERROR(INDEX(LINHAS_DRE_PLANO,MATCH($G880,SUBCATEGORIAS_PLANO,0)),"Não classificado"))</f>
        <v/>
      </c>
      <c r="AG880" s="17">
        <f>IF($G880="","",IFERROR(INDEX(TIPOS_FLUXO_PLANO,MATCH($G880,SUBCATEGORIAS_PLANO,0)),"Não classificado"))</f>
        <v/>
      </c>
      <c r="AH880" s="9">
        <f>IF($G880="","",IFERROR(INDEX(GRUPOS_PLANO,MATCH($G880,SUBCATEGORIAS_PLANO,0)),"Não classificado"))</f>
        <v/>
      </c>
      <c r="AI880" s="24">
        <f>IF(OR($C880="",$X880="Pago",$X880="Recebido",$X880="Cancelado"),"",$C880-TODAY())</f>
        <v/>
      </c>
      <c r="AJ880" s="24">
        <f>IF(OR($C880="",$X880="Pago",$X880="Recebido",$X880="Cancelado"),0,MAX(0,TODAY()-$C880))</f>
        <v/>
      </c>
      <c r="AK880" s="24">
        <f>IF($D880="","",$D880-$B880)</f>
        <v/>
      </c>
      <c r="AL880" s="18">
        <f>IF(OR($D880="",$B880=""),"",ROUND(N($R880)*($D880-$B880),2))</f>
        <v/>
      </c>
      <c r="AM880" s="17">
        <f>IF(AND($E880="Saída",$W880&gt;0,$C880&lt;&gt;""),$C880+ROW()/1000000,"")</f>
        <v/>
      </c>
      <c r="AN880" s="17">
        <f>IF(AND($E880="Entrada",$W880&gt;0,$C880&lt;&gt;""),$C880+ROW()/1000000,"")</f>
        <v/>
      </c>
      <c r="AO880" s="9">
        <f>IF(COUNTA($B880:$R880)=0,"",IF(AND($I880&lt;&gt;"",COUNTIF(CLIENTES_NOMES,$I880)+COUNTIF(CLIENTES_FANTASIA,$I880)+COUNTIF(FORNECEDORES_NOMES,$I880)+COUNTIF(FORNECEDORES_FANTASIA,$I880)=0),"⚠ Cliente/Fornecedor não cadastrado",IF(AND($G880&lt;&gt;"",COUNTIF(SUBCATEGORIAS_PLANO,$G880)=0),"⚠ Subcategoria fora do plano de contas",IF(OR($Q880="",N($Q880)=0),"⚠ Valor previsto não informado",IF(AND(OR($X880="Pago",$X880="Recebido"),$D880=""),"⚠ Status pago/recebido sem data",IF(AND($D880&lt;&gt;"",N($R880)=0),"⚠ Data de pagamento sem valor realizado",IF(AND(N($P880)&gt;1,N($O880)&gt;N($P880)),"⚠ Nº da parcela maior que o total",IF(AND($C880&lt;&gt;"",$B880&lt;&gt;"",$C880&lt;$B880),"⚠ Vencimento anterior à competência","OK"))))))))</f>
        <v/>
      </c>
    </row>
    <row r="881">
      <c r="A881" s="14" t="n"/>
      <c r="B881" s="36" t="n"/>
      <c r="C881" s="36" t="n"/>
      <c r="D881" s="36" t="n"/>
      <c r="E881" s="14" t="n"/>
      <c r="F881" s="29" t="n"/>
      <c r="G881" s="29" t="n"/>
      <c r="H881" s="29" t="n"/>
      <c r="I881" s="29" t="n"/>
      <c r="J881" s="29" t="n"/>
      <c r="K881" s="14" t="n"/>
      <c r="L881" s="29" t="n"/>
      <c r="M881" s="14" t="n"/>
      <c r="N881" s="29" t="n"/>
      <c r="O881" s="13" t="n"/>
      <c r="P881" s="13" t="n"/>
      <c r="Q881" s="35" t="n"/>
      <c r="R881" s="35" t="n"/>
      <c r="S881" s="35" t="n"/>
      <c r="T881" s="35" t="n"/>
      <c r="U881" s="35" t="n"/>
      <c r="V881" s="18">
        <f>IF(COUNTA($B881:$R881)=0,"",ROUND(N($R881)+N($S881)+N($T881)-N($U881),2))</f>
        <v/>
      </c>
      <c r="W881" s="18">
        <f>IF(COUNTA($B881:$R881)=0,"",IF(OR($X881="Pago",$X881="Recebido",$X881="Cancelado"),0,ROUND(N($Q881)+N($S881)+N($T881)-N($U881)-N($R881),2)))</f>
        <v/>
      </c>
      <c r="X881" s="14" t="n"/>
      <c r="Y881" s="17">
        <f>IF(COUNTA($B881:$R881)=0,"",IF($X881="Cancelado","Cancelado",IF(OR($X881="Pago",$X881="Recebido"),$X881,IF(OR($X881="Parcial",N($R881)&gt;0),"Parcial",IF($C881="","Sem vencimento",IF($C881&lt;TODAY(),"Vencido",IF($C881=TODAY(),"Vence hoje",IF($C881&lt;=TODAY()+7,"Vence em 7 dias",IF($C881&lt;=TODAY()+30,"Vence em 30 dias","Futuro")))))))))</f>
        <v/>
      </c>
      <c r="Z881" s="24">
        <f>IF($B881="","",MONTH($B881))</f>
        <v/>
      </c>
      <c r="AA881" s="24">
        <f>IF($B881="","",YEAR($B881))</f>
        <v/>
      </c>
      <c r="AB881" s="24">
        <f>IF($B881="","",ISOWEEKNUM($B881))</f>
        <v/>
      </c>
      <c r="AC881" s="17">
        <f>IF($B881="","",CHOOSE(WEEKDAY($B881,2),"Segunda","Terça","Quarta","Quinta","Sexta","Sábado","Domingo"))</f>
        <v/>
      </c>
      <c r="AD881" s="17">
        <f>IF($B881="","",TEXT($B881,"MM/AAAA"))</f>
        <v/>
      </c>
      <c r="AE881" s="18">
        <f>IF(COUNTA($B881:$R881)=0,"",IF($X881="Cancelado",0,ROUND(N($Q881)+N($S881)+N($T881)-N($U881),2)))</f>
        <v/>
      </c>
      <c r="AF881" s="9">
        <f>IF($G881="","",IFERROR(INDEX(LINHAS_DRE_PLANO,MATCH($G881,SUBCATEGORIAS_PLANO,0)),"Não classificado"))</f>
        <v/>
      </c>
      <c r="AG881" s="17">
        <f>IF($G881="","",IFERROR(INDEX(TIPOS_FLUXO_PLANO,MATCH($G881,SUBCATEGORIAS_PLANO,0)),"Não classificado"))</f>
        <v/>
      </c>
      <c r="AH881" s="9">
        <f>IF($G881="","",IFERROR(INDEX(GRUPOS_PLANO,MATCH($G881,SUBCATEGORIAS_PLANO,0)),"Não classificado"))</f>
        <v/>
      </c>
      <c r="AI881" s="24">
        <f>IF(OR($C881="",$X881="Pago",$X881="Recebido",$X881="Cancelado"),"",$C881-TODAY())</f>
        <v/>
      </c>
      <c r="AJ881" s="24">
        <f>IF(OR($C881="",$X881="Pago",$X881="Recebido",$X881="Cancelado"),0,MAX(0,TODAY()-$C881))</f>
        <v/>
      </c>
      <c r="AK881" s="24">
        <f>IF($D881="","",$D881-$B881)</f>
        <v/>
      </c>
      <c r="AL881" s="18">
        <f>IF(OR($D881="",$B881=""),"",ROUND(N($R881)*($D881-$B881),2))</f>
        <v/>
      </c>
      <c r="AM881" s="17">
        <f>IF(AND($E881="Saída",$W881&gt;0,$C881&lt;&gt;""),$C881+ROW()/1000000,"")</f>
        <v/>
      </c>
      <c r="AN881" s="17">
        <f>IF(AND($E881="Entrada",$W881&gt;0,$C881&lt;&gt;""),$C881+ROW()/1000000,"")</f>
        <v/>
      </c>
      <c r="AO881" s="9">
        <f>IF(COUNTA($B881:$R881)=0,"",IF(AND($I881&lt;&gt;"",COUNTIF(CLIENTES_NOMES,$I881)+COUNTIF(CLIENTES_FANTASIA,$I881)+COUNTIF(FORNECEDORES_NOMES,$I881)+COUNTIF(FORNECEDORES_FANTASIA,$I881)=0),"⚠ Cliente/Fornecedor não cadastrado",IF(AND($G881&lt;&gt;"",COUNTIF(SUBCATEGORIAS_PLANO,$G881)=0),"⚠ Subcategoria fora do plano de contas",IF(OR($Q881="",N($Q881)=0),"⚠ Valor previsto não informado",IF(AND(OR($X881="Pago",$X881="Recebido"),$D881=""),"⚠ Status pago/recebido sem data",IF(AND($D881&lt;&gt;"",N($R881)=0),"⚠ Data de pagamento sem valor realizado",IF(AND(N($P881)&gt;1,N($O881)&gt;N($P881)),"⚠ Nº da parcela maior que o total",IF(AND($C881&lt;&gt;"",$B881&lt;&gt;"",$C881&lt;$B881),"⚠ Vencimento anterior à competência","OK"))))))))</f>
        <v/>
      </c>
    </row>
    <row r="882">
      <c r="A882" s="14" t="n"/>
      <c r="B882" s="36" t="n"/>
      <c r="C882" s="36" t="n"/>
      <c r="D882" s="36" t="n"/>
      <c r="E882" s="14" t="n"/>
      <c r="F882" s="29" t="n"/>
      <c r="G882" s="29" t="n"/>
      <c r="H882" s="29" t="n"/>
      <c r="I882" s="29" t="n"/>
      <c r="J882" s="29" t="n"/>
      <c r="K882" s="14" t="n"/>
      <c r="L882" s="29" t="n"/>
      <c r="M882" s="14" t="n"/>
      <c r="N882" s="29" t="n"/>
      <c r="O882" s="13" t="n"/>
      <c r="P882" s="13" t="n"/>
      <c r="Q882" s="35" t="n"/>
      <c r="R882" s="35" t="n"/>
      <c r="S882" s="35" t="n"/>
      <c r="T882" s="35" t="n"/>
      <c r="U882" s="35" t="n"/>
      <c r="V882" s="18">
        <f>IF(COUNTA($B882:$R882)=0,"",ROUND(N($R882)+N($S882)+N($T882)-N($U882),2))</f>
        <v/>
      </c>
      <c r="W882" s="18">
        <f>IF(COUNTA($B882:$R882)=0,"",IF(OR($X882="Pago",$X882="Recebido",$X882="Cancelado"),0,ROUND(N($Q882)+N($S882)+N($T882)-N($U882)-N($R882),2)))</f>
        <v/>
      </c>
      <c r="X882" s="14" t="n"/>
      <c r="Y882" s="17">
        <f>IF(COUNTA($B882:$R882)=0,"",IF($X882="Cancelado","Cancelado",IF(OR($X882="Pago",$X882="Recebido"),$X882,IF(OR($X882="Parcial",N($R882)&gt;0),"Parcial",IF($C882="","Sem vencimento",IF($C882&lt;TODAY(),"Vencido",IF($C882=TODAY(),"Vence hoje",IF($C882&lt;=TODAY()+7,"Vence em 7 dias",IF($C882&lt;=TODAY()+30,"Vence em 30 dias","Futuro")))))))))</f>
        <v/>
      </c>
      <c r="Z882" s="24">
        <f>IF($B882="","",MONTH($B882))</f>
        <v/>
      </c>
      <c r="AA882" s="24">
        <f>IF($B882="","",YEAR($B882))</f>
        <v/>
      </c>
      <c r="AB882" s="24">
        <f>IF($B882="","",ISOWEEKNUM($B882))</f>
        <v/>
      </c>
      <c r="AC882" s="17">
        <f>IF($B882="","",CHOOSE(WEEKDAY($B882,2),"Segunda","Terça","Quarta","Quinta","Sexta","Sábado","Domingo"))</f>
        <v/>
      </c>
      <c r="AD882" s="17">
        <f>IF($B882="","",TEXT($B882,"MM/AAAA"))</f>
        <v/>
      </c>
      <c r="AE882" s="18">
        <f>IF(COUNTA($B882:$R882)=0,"",IF($X882="Cancelado",0,ROUND(N($Q882)+N($S882)+N($T882)-N($U882),2)))</f>
        <v/>
      </c>
      <c r="AF882" s="9">
        <f>IF($G882="","",IFERROR(INDEX(LINHAS_DRE_PLANO,MATCH($G882,SUBCATEGORIAS_PLANO,0)),"Não classificado"))</f>
        <v/>
      </c>
      <c r="AG882" s="17">
        <f>IF($G882="","",IFERROR(INDEX(TIPOS_FLUXO_PLANO,MATCH($G882,SUBCATEGORIAS_PLANO,0)),"Não classificado"))</f>
        <v/>
      </c>
      <c r="AH882" s="9">
        <f>IF($G882="","",IFERROR(INDEX(GRUPOS_PLANO,MATCH($G882,SUBCATEGORIAS_PLANO,0)),"Não classificado"))</f>
        <v/>
      </c>
      <c r="AI882" s="24">
        <f>IF(OR($C882="",$X882="Pago",$X882="Recebido",$X882="Cancelado"),"",$C882-TODAY())</f>
        <v/>
      </c>
      <c r="AJ882" s="24">
        <f>IF(OR($C882="",$X882="Pago",$X882="Recebido",$X882="Cancelado"),0,MAX(0,TODAY()-$C882))</f>
        <v/>
      </c>
      <c r="AK882" s="24">
        <f>IF($D882="","",$D882-$B882)</f>
        <v/>
      </c>
      <c r="AL882" s="18">
        <f>IF(OR($D882="",$B882=""),"",ROUND(N($R882)*($D882-$B882),2))</f>
        <v/>
      </c>
      <c r="AM882" s="17">
        <f>IF(AND($E882="Saída",$W882&gt;0,$C882&lt;&gt;""),$C882+ROW()/1000000,"")</f>
        <v/>
      </c>
      <c r="AN882" s="17">
        <f>IF(AND($E882="Entrada",$W882&gt;0,$C882&lt;&gt;""),$C882+ROW()/1000000,"")</f>
        <v/>
      </c>
      <c r="AO882" s="9">
        <f>IF(COUNTA($B882:$R882)=0,"",IF(AND($I882&lt;&gt;"",COUNTIF(CLIENTES_NOMES,$I882)+COUNTIF(CLIENTES_FANTASIA,$I882)+COUNTIF(FORNECEDORES_NOMES,$I882)+COUNTIF(FORNECEDORES_FANTASIA,$I882)=0),"⚠ Cliente/Fornecedor não cadastrado",IF(AND($G882&lt;&gt;"",COUNTIF(SUBCATEGORIAS_PLANO,$G882)=0),"⚠ Subcategoria fora do plano de contas",IF(OR($Q882="",N($Q882)=0),"⚠ Valor previsto não informado",IF(AND(OR($X882="Pago",$X882="Recebido"),$D882=""),"⚠ Status pago/recebido sem data",IF(AND($D882&lt;&gt;"",N($R882)=0),"⚠ Data de pagamento sem valor realizado",IF(AND(N($P882)&gt;1,N($O882)&gt;N($P882)),"⚠ Nº da parcela maior que o total",IF(AND($C882&lt;&gt;"",$B882&lt;&gt;"",$C882&lt;$B882),"⚠ Vencimento anterior à competência","OK"))))))))</f>
        <v/>
      </c>
    </row>
    <row r="883">
      <c r="A883" s="14" t="n"/>
      <c r="B883" s="36" t="n"/>
      <c r="C883" s="36" t="n"/>
      <c r="D883" s="36" t="n"/>
      <c r="E883" s="14" t="n"/>
      <c r="F883" s="29" t="n"/>
      <c r="G883" s="29" t="n"/>
      <c r="H883" s="29" t="n"/>
      <c r="I883" s="29" t="n"/>
      <c r="J883" s="29" t="n"/>
      <c r="K883" s="14" t="n"/>
      <c r="L883" s="29" t="n"/>
      <c r="M883" s="14" t="n"/>
      <c r="N883" s="29" t="n"/>
      <c r="O883" s="13" t="n"/>
      <c r="P883" s="13" t="n"/>
      <c r="Q883" s="35" t="n"/>
      <c r="R883" s="35" t="n"/>
      <c r="S883" s="35" t="n"/>
      <c r="T883" s="35" t="n"/>
      <c r="U883" s="35" t="n"/>
      <c r="V883" s="18">
        <f>IF(COUNTA($B883:$R883)=0,"",ROUND(N($R883)+N($S883)+N($T883)-N($U883),2))</f>
        <v/>
      </c>
      <c r="W883" s="18">
        <f>IF(COUNTA($B883:$R883)=0,"",IF(OR($X883="Pago",$X883="Recebido",$X883="Cancelado"),0,ROUND(N($Q883)+N($S883)+N($T883)-N($U883)-N($R883),2)))</f>
        <v/>
      </c>
      <c r="X883" s="14" t="n"/>
      <c r="Y883" s="17">
        <f>IF(COUNTA($B883:$R883)=0,"",IF($X883="Cancelado","Cancelado",IF(OR($X883="Pago",$X883="Recebido"),$X883,IF(OR($X883="Parcial",N($R883)&gt;0),"Parcial",IF($C883="","Sem vencimento",IF($C883&lt;TODAY(),"Vencido",IF($C883=TODAY(),"Vence hoje",IF($C883&lt;=TODAY()+7,"Vence em 7 dias",IF($C883&lt;=TODAY()+30,"Vence em 30 dias","Futuro")))))))))</f>
        <v/>
      </c>
      <c r="Z883" s="24">
        <f>IF($B883="","",MONTH($B883))</f>
        <v/>
      </c>
      <c r="AA883" s="24">
        <f>IF($B883="","",YEAR($B883))</f>
        <v/>
      </c>
      <c r="AB883" s="24">
        <f>IF($B883="","",ISOWEEKNUM($B883))</f>
        <v/>
      </c>
      <c r="AC883" s="17">
        <f>IF($B883="","",CHOOSE(WEEKDAY($B883,2),"Segunda","Terça","Quarta","Quinta","Sexta","Sábado","Domingo"))</f>
        <v/>
      </c>
      <c r="AD883" s="17">
        <f>IF($B883="","",TEXT($B883,"MM/AAAA"))</f>
        <v/>
      </c>
      <c r="AE883" s="18">
        <f>IF(COUNTA($B883:$R883)=0,"",IF($X883="Cancelado",0,ROUND(N($Q883)+N($S883)+N($T883)-N($U883),2)))</f>
        <v/>
      </c>
      <c r="AF883" s="9">
        <f>IF($G883="","",IFERROR(INDEX(LINHAS_DRE_PLANO,MATCH($G883,SUBCATEGORIAS_PLANO,0)),"Não classificado"))</f>
        <v/>
      </c>
      <c r="AG883" s="17">
        <f>IF($G883="","",IFERROR(INDEX(TIPOS_FLUXO_PLANO,MATCH($G883,SUBCATEGORIAS_PLANO,0)),"Não classificado"))</f>
        <v/>
      </c>
      <c r="AH883" s="9">
        <f>IF($G883="","",IFERROR(INDEX(GRUPOS_PLANO,MATCH($G883,SUBCATEGORIAS_PLANO,0)),"Não classificado"))</f>
        <v/>
      </c>
      <c r="AI883" s="24">
        <f>IF(OR($C883="",$X883="Pago",$X883="Recebido",$X883="Cancelado"),"",$C883-TODAY())</f>
        <v/>
      </c>
      <c r="AJ883" s="24">
        <f>IF(OR($C883="",$X883="Pago",$X883="Recebido",$X883="Cancelado"),0,MAX(0,TODAY()-$C883))</f>
        <v/>
      </c>
      <c r="AK883" s="24">
        <f>IF($D883="","",$D883-$B883)</f>
        <v/>
      </c>
      <c r="AL883" s="18">
        <f>IF(OR($D883="",$B883=""),"",ROUND(N($R883)*($D883-$B883),2))</f>
        <v/>
      </c>
      <c r="AM883" s="17">
        <f>IF(AND($E883="Saída",$W883&gt;0,$C883&lt;&gt;""),$C883+ROW()/1000000,"")</f>
        <v/>
      </c>
      <c r="AN883" s="17">
        <f>IF(AND($E883="Entrada",$W883&gt;0,$C883&lt;&gt;""),$C883+ROW()/1000000,"")</f>
        <v/>
      </c>
      <c r="AO883" s="9">
        <f>IF(COUNTA($B883:$R883)=0,"",IF(AND($I883&lt;&gt;"",COUNTIF(CLIENTES_NOMES,$I883)+COUNTIF(CLIENTES_FANTASIA,$I883)+COUNTIF(FORNECEDORES_NOMES,$I883)+COUNTIF(FORNECEDORES_FANTASIA,$I883)=0),"⚠ Cliente/Fornecedor não cadastrado",IF(AND($G883&lt;&gt;"",COUNTIF(SUBCATEGORIAS_PLANO,$G883)=0),"⚠ Subcategoria fora do plano de contas",IF(OR($Q883="",N($Q883)=0),"⚠ Valor previsto não informado",IF(AND(OR($X883="Pago",$X883="Recebido"),$D883=""),"⚠ Status pago/recebido sem data",IF(AND($D883&lt;&gt;"",N($R883)=0),"⚠ Data de pagamento sem valor realizado",IF(AND(N($P883)&gt;1,N($O883)&gt;N($P883)),"⚠ Nº da parcela maior que o total",IF(AND($C883&lt;&gt;"",$B883&lt;&gt;"",$C883&lt;$B883),"⚠ Vencimento anterior à competência","OK"))))))))</f>
        <v/>
      </c>
    </row>
    <row r="884">
      <c r="A884" s="14" t="n"/>
      <c r="B884" s="36" t="n"/>
      <c r="C884" s="36" t="n"/>
      <c r="D884" s="36" t="n"/>
      <c r="E884" s="14" t="n"/>
      <c r="F884" s="29" t="n"/>
      <c r="G884" s="29" t="n"/>
      <c r="H884" s="29" t="n"/>
      <c r="I884" s="29" t="n"/>
      <c r="J884" s="29" t="n"/>
      <c r="K884" s="14" t="n"/>
      <c r="L884" s="29" t="n"/>
      <c r="M884" s="14" t="n"/>
      <c r="N884" s="29" t="n"/>
      <c r="O884" s="13" t="n"/>
      <c r="P884" s="13" t="n"/>
      <c r="Q884" s="35" t="n"/>
      <c r="R884" s="35" t="n"/>
      <c r="S884" s="35" t="n"/>
      <c r="T884" s="35" t="n"/>
      <c r="U884" s="35" t="n"/>
      <c r="V884" s="18">
        <f>IF(COUNTA($B884:$R884)=0,"",ROUND(N($R884)+N($S884)+N($T884)-N($U884),2))</f>
        <v/>
      </c>
      <c r="W884" s="18">
        <f>IF(COUNTA($B884:$R884)=0,"",IF(OR($X884="Pago",$X884="Recebido",$X884="Cancelado"),0,ROUND(N($Q884)+N($S884)+N($T884)-N($U884)-N($R884),2)))</f>
        <v/>
      </c>
      <c r="X884" s="14" t="n"/>
      <c r="Y884" s="17">
        <f>IF(COUNTA($B884:$R884)=0,"",IF($X884="Cancelado","Cancelado",IF(OR($X884="Pago",$X884="Recebido"),$X884,IF(OR($X884="Parcial",N($R884)&gt;0),"Parcial",IF($C884="","Sem vencimento",IF($C884&lt;TODAY(),"Vencido",IF($C884=TODAY(),"Vence hoje",IF($C884&lt;=TODAY()+7,"Vence em 7 dias",IF($C884&lt;=TODAY()+30,"Vence em 30 dias","Futuro")))))))))</f>
        <v/>
      </c>
      <c r="Z884" s="24">
        <f>IF($B884="","",MONTH($B884))</f>
        <v/>
      </c>
      <c r="AA884" s="24">
        <f>IF($B884="","",YEAR($B884))</f>
        <v/>
      </c>
      <c r="AB884" s="24">
        <f>IF($B884="","",ISOWEEKNUM($B884))</f>
        <v/>
      </c>
      <c r="AC884" s="17">
        <f>IF($B884="","",CHOOSE(WEEKDAY($B884,2),"Segunda","Terça","Quarta","Quinta","Sexta","Sábado","Domingo"))</f>
        <v/>
      </c>
      <c r="AD884" s="17">
        <f>IF($B884="","",TEXT($B884,"MM/AAAA"))</f>
        <v/>
      </c>
      <c r="AE884" s="18">
        <f>IF(COUNTA($B884:$R884)=0,"",IF($X884="Cancelado",0,ROUND(N($Q884)+N($S884)+N($T884)-N($U884),2)))</f>
        <v/>
      </c>
      <c r="AF884" s="9">
        <f>IF($G884="","",IFERROR(INDEX(LINHAS_DRE_PLANO,MATCH($G884,SUBCATEGORIAS_PLANO,0)),"Não classificado"))</f>
        <v/>
      </c>
      <c r="AG884" s="17">
        <f>IF($G884="","",IFERROR(INDEX(TIPOS_FLUXO_PLANO,MATCH($G884,SUBCATEGORIAS_PLANO,0)),"Não classificado"))</f>
        <v/>
      </c>
      <c r="AH884" s="9">
        <f>IF($G884="","",IFERROR(INDEX(GRUPOS_PLANO,MATCH($G884,SUBCATEGORIAS_PLANO,0)),"Não classificado"))</f>
        <v/>
      </c>
      <c r="AI884" s="24">
        <f>IF(OR($C884="",$X884="Pago",$X884="Recebido",$X884="Cancelado"),"",$C884-TODAY())</f>
        <v/>
      </c>
      <c r="AJ884" s="24">
        <f>IF(OR($C884="",$X884="Pago",$X884="Recebido",$X884="Cancelado"),0,MAX(0,TODAY()-$C884))</f>
        <v/>
      </c>
      <c r="AK884" s="24">
        <f>IF($D884="","",$D884-$B884)</f>
        <v/>
      </c>
      <c r="AL884" s="18">
        <f>IF(OR($D884="",$B884=""),"",ROUND(N($R884)*($D884-$B884),2))</f>
        <v/>
      </c>
      <c r="AM884" s="17">
        <f>IF(AND($E884="Saída",$W884&gt;0,$C884&lt;&gt;""),$C884+ROW()/1000000,"")</f>
        <v/>
      </c>
      <c r="AN884" s="17">
        <f>IF(AND($E884="Entrada",$W884&gt;0,$C884&lt;&gt;""),$C884+ROW()/1000000,"")</f>
        <v/>
      </c>
      <c r="AO884" s="9">
        <f>IF(COUNTA($B884:$R884)=0,"",IF(AND($I884&lt;&gt;"",COUNTIF(CLIENTES_NOMES,$I884)+COUNTIF(CLIENTES_FANTASIA,$I884)+COUNTIF(FORNECEDORES_NOMES,$I884)+COUNTIF(FORNECEDORES_FANTASIA,$I884)=0),"⚠ Cliente/Fornecedor não cadastrado",IF(AND($G884&lt;&gt;"",COUNTIF(SUBCATEGORIAS_PLANO,$G884)=0),"⚠ Subcategoria fora do plano de contas",IF(OR($Q884="",N($Q884)=0),"⚠ Valor previsto não informado",IF(AND(OR($X884="Pago",$X884="Recebido"),$D884=""),"⚠ Status pago/recebido sem data",IF(AND($D884&lt;&gt;"",N($R884)=0),"⚠ Data de pagamento sem valor realizado",IF(AND(N($P884)&gt;1,N($O884)&gt;N($P884)),"⚠ Nº da parcela maior que o total",IF(AND($C884&lt;&gt;"",$B884&lt;&gt;"",$C884&lt;$B884),"⚠ Vencimento anterior à competência","OK"))))))))</f>
        <v/>
      </c>
    </row>
    <row r="885">
      <c r="A885" s="14" t="n"/>
      <c r="B885" s="36" t="n"/>
      <c r="C885" s="36" t="n"/>
      <c r="D885" s="36" t="n"/>
      <c r="E885" s="14" t="n"/>
      <c r="F885" s="29" t="n"/>
      <c r="G885" s="29" t="n"/>
      <c r="H885" s="29" t="n"/>
      <c r="I885" s="29" t="n"/>
      <c r="J885" s="29" t="n"/>
      <c r="K885" s="14" t="n"/>
      <c r="L885" s="29" t="n"/>
      <c r="M885" s="14" t="n"/>
      <c r="N885" s="29" t="n"/>
      <c r="O885" s="13" t="n"/>
      <c r="P885" s="13" t="n"/>
      <c r="Q885" s="35" t="n"/>
      <c r="R885" s="35" t="n"/>
      <c r="S885" s="35" t="n"/>
      <c r="T885" s="35" t="n"/>
      <c r="U885" s="35" t="n"/>
      <c r="V885" s="18">
        <f>IF(COUNTA($B885:$R885)=0,"",ROUND(N($R885)+N($S885)+N($T885)-N($U885),2))</f>
        <v/>
      </c>
      <c r="W885" s="18">
        <f>IF(COUNTA($B885:$R885)=0,"",IF(OR($X885="Pago",$X885="Recebido",$X885="Cancelado"),0,ROUND(N($Q885)+N($S885)+N($T885)-N($U885)-N($R885),2)))</f>
        <v/>
      </c>
      <c r="X885" s="14" t="n"/>
      <c r="Y885" s="17">
        <f>IF(COUNTA($B885:$R885)=0,"",IF($X885="Cancelado","Cancelado",IF(OR($X885="Pago",$X885="Recebido"),$X885,IF(OR($X885="Parcial",N($R885)&gt;0),"Parcial",IF($C885="","Sem vencimento",IF($C885&lt;TODAY(),"Vencido",IF($C885=TODAY(),"Vence hoje",IF($C885&lt;=TODAY()+7,"Vence em 7 dias",IF($C885&lt;=TODAY()+30,"Vence em 30 dias","Futuro")))))))))</f>
        <v/>
      </c>
      <c r="Z885" s="24">
        <f>IF($B885="","",MONTH($B885))</f>
        <v/>
      </c>
      <c r="AA885" s="24">
        <f>IF($B885="","",YEAR($B885))</f>
        <v/>
      </c>
      <c r="AB885" s="24">
        <f>IF($B885="","",ISOWEEKNUM($B885))</f>
        <v/>
      </c>
      <c r="AC885" s="17">
        <f>IF($B885="","",CHOOSE(WEEKDAY($B885,2),"Segunda","Terça","Quarta","Quinta","Sexta","Sábado","Domingo"))</f>
        <v/>
      </c>
      <c r="AD885" s="17">
        <f>IF($B885="","",TEXT($B885,"MM/AAAA"))</f>
        <v/>
      </c>
      <c r="AE885" s="18">
        <f>IF(COUNTA($B885:$R885)=0,"",IF($X885="Cancelado",0,ROUND(N($Q885)+N($S885)+N($T885)-N($U885),2)))</f>
        <v/>
      </c>
      <c r="AF885" s="9">
        <f>IF($G885="","",IFERROR(INDEX(LINHAS_DRE_PLANO,MATCH($G885,SUBCATEGORIAS_PLANO,0)),"Não classificado"))</f>
        <v/>
      </c>
      <c r="AG885" s="17">
        <f>IF($G885="","",IFERROR(INDEX(TIPOS_FLUXO_PLANO,MATCH($G885,SUBCATEGORIAS_PLANO,0)),"Não classificado"))</f>
        <v/>
      </c>
      <c r="AH885" s="9">
        <f>IF($G885="","",IFERROR(INDEX(GRUPOS_PLANO,MATCH($G885,SUBCATEGORIAS_PLANO,0)),"Não classificado"))</f>
        <v/>
      </c>
      <c r="AI885" s="24">
        <f>IF(OR($C885="",$X885="Pago",$X885="Recebido",$X885="Cancelado"),"",$C885-TODAY())</f>
        <v/>
      </c>
      <c r="AJ885" s="24">
        <f>IF(OR($C885="",$X885="Pago",$X885="Recebido",$X885="Cancelado"),0,MAX(0,TODAY()-$C885))</f>
        <v/>
      </c>
      <c r="AK885" s="24">
        <f>IF($D885="","",$D885-$B885)</f>
        <v/>
      </c>
      <c r="AL885" s="18">
        <f>IF(OR($D885="",$B885=""),"",ROUND(N($R885)*($D885-$B885),2))</f>
        <v/>
      </c>
      <c r="AM885" s="17">
        <f>IF(AND($E885="Saída",$W885&gt;0,$C885&lt;&gt;""),$C885+ROW()/1000000,"")</f>
        <v/>
      </c>
      <c r="AN885" s="17">
        <f>IF(AND($E885="Entrada",$W885&gt;0,$C885&lt;&gt;""),$C885+ROW()/1000000,"")</f>
        <v/>
      </c>
      <c r="AO885" s="9">
        <f>IF(COUNTA($B885:$R885)=0,"",IF(AND($I885&lt;&gt;"",COUNTIF(CLIENTES_NOMES,$I885)+COUNTIF(CLIENTES_FANTASIA,$I885)+COUNTIF(FORNECEDORES_NOMES,$I885)+COUNTIF(FORNECEDORES_FANTASIA,$I885)=0),"⚠ Cliente/Fornecedor não cadastrado",IF(AND($G885&lt;&gt;"",COUNTIF(SUBCATEGORIAS_PLANO,$G885)=0),"⚠ Subcategoria fora do plano de contas",IF(OR($Q885="",N($Q885)=0),"⚠ Valor previsto não informado",IF(AND(OR($X885="Pago",$X885="Recebido"),$D885=""),"⚠ Status pago/recebido sem data",IF(AND($D885&lt;&gt;"",N($R885)=0),"⚠ Data de pagamento sem valor realizado",IF(AND(N($P885)&gt;1,N($O885)&gt;N($P885)),"⚠ Nº da parcela maior que o total",IF(AND($C885&lt;&gt;"",$B885&lt;&gt;"",$C885&lt;$B885),"⚠ Vencimento anterior à competência","OK"))))))))</f>
        <v/>
      </c>
    </row>
    <row r="886">
      <c r="A886" s="14" t="n"/>
      <c r="B886" s="36" t="n"/>
      <c r="C886" s="36" t="n"/>
      <c r="D886" s="36" t="n"/>
      <c r="E886" s="14" t="n"/>
      <c r="F886" s="29" t="n"/>
      <c r="G886" s="29" t="n"/>
      <c r="H886" s="29" t="n"/>
      <c r="I886" s="29" t="n"/>
      <c r="J886" s="29" t="n"/>
      <c r="K886" s="14" t="n"/>
      <c r="L886" s="29" t="n"/>
      <c r="M886" s="14" t="n"/>
      <c r="N886" s="29" t="n"/>
      <c r="O886" s="13" t="n"/>
      <c r="P886" s="13" t="n"/>
      <c r="Q886" s="35" t="n"/>
      <c r="R886" s="35" t="n"/>
      <c r="S886" s="35" t="n"/>
      <c r="T886" s="35" t="n"/>
      <c r="U886" s="35" t="n"/>
      <c r="V886" s="18">
        <f>IF(COUNTA($B886:$R886)=0,"",ROUND(N($R886)+N($S886)+N($T886)-N($U886),2))</f>
        <v/>
      </c>
      <c r="W886" s="18">
        <f>IF(COUNTA($B886:$R886)=0,"",IF(OR($X886="Pago",$X886="Recebido",$X886="Cancelado"),0,ROUND(N($Q886)+N($S886)+N($T886)-N($U886)-N($R886),2)))</f>
        <v/>
      </c>
      <c r="X886" s="14" t="n"/>
      <c r="Y886" s="17">
        <f>IF(COUNTA($B886:$R886)=0,"",IF($X886="Cancelado","Cancelado",IF(OR($X886="Pago",$X886="Recebido"),$X886,IF(OR($X886="Parcial",N($R886)&gt;0),"Parcial",IF($C886="","Sem vencimento",IF($C886&lt;TODAY(),"Vencido",IF($C886=TODAY(),"Vence hoje",IF($C886&lt;=TODAY()+7,"Vence em 7 dias",IF($C886&lt;=TODAY()+30,"Vence em 30 dias","Futuro")))))))))</f>
        <v/>
      </c>
      <c r="Z886" s="24">
        <f>IF($B886="","",MONTH($B886))</f>
        <v/>
      </c>
      <c r="AA886" s="24">
        <f>IF($B886="","",YEAR($B886))</f>
        <v/>
      </c>
      <c r="AB886" s="24">
        <f>IF($B886="","",ISOWEEKNUM($B886))</f>
        <v/>
      </c>
      <c r="AC886" s="17">
        <f>IF($B886="","",CHOOSE(WEEKDAY($B886,2),"Segunda","Terça","Quarta","Quinta","Sexta","Sábado","Domingo"))</f>
        <v/>
      </c>
      <c r="AD886" s="17">
        <f>IF($B886="","",TEXT($B886,"MM/AAAA"))</f>
        <v/>
      </c>
      <c r="AE886" s="18">
        <f>IF(COUNTA($B886:$R886)=0,"",IF($X886="Cancelado",0,ROUND(N($Q886)+N($S886)+N($T886)-N($U886),2)))</f>
        <v/>
      </c>
      <c r="AF886" s="9">
        <f>IF($G886="","",IFERROR(INDEX(LINHAS_DRE_PLANO,MATCH($G886,SUBCATEGORIAS_PLANO,0)),"Não classificado"))</f>
        <v/>
      </c>
      <c r="AG886" s="17">
        <f>IF($G886="","",IFERROR(INDEX(TIPOS_FLUXO_PLANO,MATCH($G886,SUBCATEGORIAS_PLANO,0)),"Não classificado"))</f>
        <v/>
      </c>
      <c r="AH886" s="9">
        <f>IF($G886="","",IFERROR(INDEX(GRUPOS_PLANO,MATCH($G886,SUBCATEGORIAS_PLANO,0)),"Não classificado"))</f>
        <v/>
      </c>
      <c r="AI886" s="24">
        <f>IF(OR($C886="",$X886="Pago",$X886="Recebido",$X886="Cancelado"),"",$C886-TODAY())</f>
        <v/>
      </c>
      <c r="AJ886" s="24">
        <f>IF(OR($C886="",$X886="Pago",$X886="Recebido",$X886="Cancelado"),0,MAX(0,TODAY()-$C886))</f>
        <v/>
      </c>
      <c r="AK886" s="24">
        <f>IF($D886="","",$D886-$B886)</f>
        <v/>
      </c>
      <c r="AL886" s="18">
        <f>IF(OR($D886="",$B886=""),"",ROUND(N($R886)*($D886-$B886),2))</f>
        <v/>
      </c>
      <c r="AM886" s="17">
        <f>IF(AND($E886="Saída",$W886&gt;0,$C886&lt;&gt;""),$C886+ROW()/1000000,"")</f>
        <v/>
      </c>
      <c r="AN886" s="17">
        <f>IF(AND($E886="Entrada",$W886&gt;0,$C886&lt;&gt;""),$C886+ROW()/1000000,"")</f>
        <v/>
      </c>
      <c r="AO886" s="9">
        <f>IF(COUNTA($B886:$R886)=0,"",IF(AND($I886&lt;&gt;"",COUNTIF(CLIENTES_NOMES,$I886)+COUNTIF(CLIENTES_FANTASIA,$I886)+COUNTIF(FORNECEDORES_NOMES,$I886)+COUNTIF(FORNECEDORES_FANTASIA,$I886)=0),"⚠ Cliente/Fornecedor não cadastrado",IF(AND($G886&lt;&gt;"",COUNTIF(SUBCATEGORIAS_PLANO,$G886)=0),"⚠ Subcategoria fora do plano de contas",IF(OR($Q886="",N($Q886)=0),"⚠ Valor previsto não informado",IF(AND(OR($X886="Pago",$X886="Recebido"),$D886=""),"⚠ Status pago/recebido sem data",IF(AND($D886&lt;&gt;"",N($R886)=0),"⚠ Data de pagamento sem valor realizado",IF(AND(N($P886)&gt;1,N($O886)&gt;N($P886)),"⚠ Nº da parcela maior que o total",IF(AND($C886&lt;&gt;"",$B886&lt;&gt;"",$C886&lt;$B886),"⚠ Vencimento anterior à competência","OK"))))))))</f>
        <v/>
      </c>
    </row>
    <row r="887">
      <c r="A887" s="14" t="n"/>
      <c r="B887" s="36" t="n"/>
      <c r="C887" s="36" t="n"/>
      <c r="D887" s="36" t="n"/>
      <c r="E887" s="14" t="n"/>
      <c r="F887" s="29" t="n"/>
      <c r="G887" s="29" t="n"/>
      <c r="H887" s="29" t="n"/>
      <c r="I887" s="29" t="n"/>
      <c r="J887" s="29" t="n"/>
      <c r="K887" s="14" t="n"/>
      <c r="L887" s="29" t="n"/>
      <c r="M887" s="14" t="n"/>
      <c r="N887" s="29" t="n"/>
      <c r="O887" s="13" t="n"/>
      <c r="P887" s="13" t="n"/>
      <c r="Q887" s="35" t="n"/>
      <c r="R887" s="35" t="n"/>
      <c r="S887" s="35" t="n"/>
      <c r="T887" s="35" t="n"/>
      <c r="U887" s="35" t="n"/>
      <c r="V887" s="18">
        <f>IF(COUNTA($B887:$R887)=0,"",ROUND(N($R887)+N($S887)+N($T887)-N($U887),2))</f>
        <v/>
      </c>
      <c r="W887" s="18">
        <f>IF(COUNTA($B887:$R887)=0,"",IF(OR($X887="Pago",$X887="Recebido",$X887="Cancelado"),0,ROUND(N($Q887)+N($S887)+N($T887)-N($U887)-N($R887),2)))</f>
        <v/>
      </c>
      <c r="X887" s="14" t="n"/>
      <c r="Y887" s="17">
        <f>IF(COUNTA($B887:$R887)=0,"",IF($X887="Cancelado","Cancelado",IF(OR($X887="Pago",$X887="Recebido"),$X887,IF(OR($X887="Parcial",N($R887)&gt;0),"Parcial",IF($C887="","Sem vencimento",IF($C887&lt;TODAY(),"Vencido",IF($C887=TODAY(),"Vence hoje",IF($C887&lt;=TODAY()+7,"Vence em 7 dias",IF($C887&lt;=TODAY()+30,"Vence em 30 dias","Futuro")))))))))</f>
        <v/>
      </c>
      <c r="Z887" s="24">
        <f>IF($B887="","",MONTH($B887))</f>
        <v/>
      </c>
      <c r="AA887" s="24">
        <f>IF($B887="","",YEAR($B887))</f>
        <v/>
      </c>
      <c r="AB887" s="24">
        <f>IF($B887="","",ISOWEEKNUM($B887))</f>
        <v/>
      </c>
      <c r="AC887" s="17">
        <f>IF($B887="","",CHOOSE(WEEKDAY($B887,2),"Segunda","Terça","Quarta","Quinta","Sexta","Sábado","Domingo"))</f>
        <v/>
      </c>
      <c r="AD887" s="17">
        <f>IF($B887="","",TEXT($B887,"MM/AAAA"))</f>
        <v/>
      </c>
      <c r="AE887" s="18">
        <f>IF(COUNTA($B887:$R887)=0,"",IF($X887="Cancelado",0,ROUND(N($Q887)+N($S887)+N($T887)-N($U887),2)))</f>
        <v/>
      </c>
      <c r="AF887" s="9">
        <f>IF($G887="","",IFERROR(INDEX(LINHAS_DRE_PLANO,MATCH($G887,SUBCATEGORIAS_PLANO,0)),"Não classificado"))</f>
        <v/>
      </c>
      <c r="AG887" s="17">
        <f>IF($G887="","",IFERROR(INDEX(TIPOS_FLUXO_PLANO,MATCH($G887,SUBCATEGORIAS_PLANO,0)),"Não classificado"))</f>
        <v/>
      </c>
      <c r="AH887" s="9">
        <f>IF($G887="","",IFERROR(INDEX(GRUPOS_PLANO,MATCH($G887,SUBCATEGORIAS_PLANO,0)),"Não classificado"))</f>
        <v/>
      </c>
      <c r="AI887" s="24">
        <f>IF(OR($C887="",$X887="Pago",$X887="Recebido",$X887="Cancelado"),"",$C887-TODAY())</f>
        <v/>
      </c>
      <c r="AJ887" s="24">
        <f>IF(OR($C887="",$X887="Pago",$X887="Recebido",$X887="Cancelado"),0,MAX(0,TODAY()-$C887))</f>
        <v/>
      </c>
      <c r="AK887" s="24">
        <f>IF($D887="","",$D887-$B887)</f>
        <v/>
      </c>
      <c r="AL887" s="18">
        <f>IF(OR($D887="",$B887=""),"",ROUND(N($R887)*($D887-$B887),2))</f>
        <v/>
      </c>
      <c r="AM887" s="17">
        <f>IF(AND($E887="Saída",$W887&gt;0,$C887&lt;&gt;""),$C887+ROW()/1000000,"")</f>
        <v/>
      </c>
      <c r="AN887" s="17">
        <f>IF(AND($E887="Entrada",$W887&gt;0,$C887&lt;&gt;""),$C887+ROW()/1000000,"")</f>
        <v/>
      </c>
      <c r="AO887" s="9">
        <f>IF(COUNTA($B887:$R887)=0,"",IF(AND($I887&lt;&gt;"",COUNTIF(CLIENTES_NOMES,$I887)+COUNTIF(CLIENTES_FANTASIA,$I887)+COUNTIF(FORNECEDORES_NOMES,$I887)+COUNTIF(FORNECEDORES_FANTASIA,$I887)=0),"⚠ Cliente/Fornecedor não cadastrado",IF(AND($G887&lt;&gt;"",COUNTIF(SUBCATEGORIAS_PLANO,$G887)=0),"⚠ Subcategoria fora do plano de contas",IF(OR($Q887="",N($Q887)=0),"⚠ Valor previsto não informado",IF(AND(OR($X887="Pago",$X887="Recebido"),$D887=""),"⚠ Status pago/recebido sem data",IF(AND($D887&lt;&gt;"",N($R887)=0),"⚠ Data de pagamento sem valor realizado",IF(AND(N($P887)&gt;1,N($O887)&gt;N($P887)),"⚠ Nº da parcela maior que o total",IF(AND($C887&lt;&gt;"",$B887&lt;&gt;"",$C887&lt;$B887),"⚠ Vencimento anterior à competência","OK"))))))))</f>
        <v/>
      </c>
    </row>
    <row r="888">
      <c r="A888" s="14" t="n"/>
      <c r="B888" s="36" t="n"/>
      <c r="C888" s="36" t="n"/>
      <c r="D888" s="36" t="n"/>
      <c r="E888" s="14" t="n"/>
      <c r="F888" s="29" t="n"/>
      <c r="G888" s="29" t="n"/>
      <c r="H888" s="29" t="n"/>
      <c r="I888" s="29" t="n"/>
      <c r="J888" s="29" t="n"/>
      <c r="K888" s="14" t="n"/>
      <c r="L888" s="29" t="n"/>
      <c r="M888" s="14" t="n"/>
      <c r="N888" s="29" t="n"/>
      <c r="O888" s="13" t="n"/>
      <c r="P888" s="13" t="n"/>
      <c r="Q888" s="35" t="n"/>
      <c r="R888" s="35" t="n"/>
      <c r="S888" s="35" t="n"/>
      <c r="T888" s="35" t="n"/>
      <c r="U888" s="35" t="n"/>
      <c r="V888" s="18">
        <f>IF(COUNTA($B888:$R888)=0,"",ROUND(N($R888)+N($S888)+N($T888)-N($U888),2))</f>
        <v/>
      </c>
      <c r="W888" s="18">
        <f>IF(COUNTA($B888:$R888)=0,"",IF(OR($X888="Pago",$X888="Recebido",$X888="Cancelado"),0,ROUND(N($Q888)+N($S888)+N($T888)-N($U888)-N($R888),2)))</f>
        <v/>
      </c>
      <c r="X888" s="14" t="n"/>
      <c r="Y888" s="17">
        <f>IF(COUNTA($B888:$R888)=0,"",IF($X888="Cancelado","Cancelado",IF(OR($X888="Pago",$X888="Recebido"),$X888,IF(OR($X888="Parcial",N($R888)&gt;0),"Parcial",IF($C888="","Sem vencimento",IF($C888&lt;TODAY(),"Vencido",IF($C888=TODAY(),"Vence hoje",IF($C888&lt;=TODAY()+7,"Vence em 7 dias",IF($C888&lt;=TODAY()+30,"Vence em 30 dias","Futuro")))))))))</f>
        <v/>
      </c>
      <c r="Z888" s="24">
        <f>IF($B888="","",MONTH($B888))</f>
        <v/>
      </c>
      <c r="AA888" s="24">
        <f>IF($B888="","",YEAR($B888))</f>
        <v/>
      </c>
      <c r="AB888" s="24">
        <f>IF($B888="","",ISOWEEKNUM($B888))</f>
        <v/>
      </c>
      <c r="AC888" s="17">
        <f>IF($B888="","",CHOOSE(WEEKDAY($B888,2),"Segunda","Terça","Quarta","Quinta","Sexta","Sábado","Domingo"))</f>
        <v/>
      </c>
      <c r="AD888" s="17">
        <f>IF($B888="","",TEXT($B888,"MM/AAAA"))</f>
        <v/>
      </c>
      <c r="AE888" s="18">
        <f>IF(COUNTA($B888:$R888)=0,"",IF($X888="Cancelado",0,ROUND(N($Q888)+N($S888)+N($T888)-N($U888),2)))</f>
        <v/>
      </c>
      <c r="AF888" s="9">
        <f>IF($G888="","",IFERROR(INDEX(LINHAS_DRE_PLANO,MATCH($G888,SUBCATEGORIAS_PLANO,0)),"Não classificado"))</f>
        <v/>
      </c>
      <c r="AG888" s="17">
        <f>IF($G888="","",IFERROR(INDEX(TIPOS_FLUXO_PLANO,MATCH($G888,SUBCATEGORIAS_PLANO,0)),"Não classificado"))</f>
        <v/>
      </c>
      <c r="AH888" s="9">
        <f>IF($G888="","",IFERROR(INDEX(GRUPOS_PLANO,MATCH($G888,SUBCATEGORIAS_PLANO,0)),"Não classificado"))</f>
        <v/>
      </c>
      <c r="AI888" s="24">
        <f>IF(OR($C888="",$X888="Pago",$X888="Recebido",$X888="Cancelado"),"",$C888-TODAY())</f>
        <v/>
      </c>
      <c r="AJ888" s="24">
        <f>IF(OR($C888="",$X888="Pago",$X888="Recebido",$X888="Cancelado"),0,MAX(0,TODAY()-$C888))</f>
        <v/>
      </c>
      <c r="AK888" s="24">
        <f>IF($D888="","",$D888-$B888)</f>
        <v/>
      </c>
      <c r="AL888" s="18">
        <f>IF(OR($D888="",$B888=""),"",ROUND(N($R888)*($D888-$B888),2))</f>
        <v/>
      </c>
      <c r="AM888" s="17">
        <f>IF(AND($E888="Saída",$W888&gt;0,$C888&lt;&gt;""),$C888+ROW()/1000000,"")</f>
        <v/>
      </c>
      <c r="AN888" s="17">
        <f>IF(AND($E888="Entrada",$W888&gt;0,$C888&lt;&gt;""),$C888+ROW()/1000000,"")</f>
        <v/>
      </c>
      <c r="AO888" s="9">
        <f>IF(COUNTA($B888:$R888)=0,"",IF(AND($I888&lt;&gt;"",COUNTIF(CLIENTES_NOMES,$I888)+COUNTIF(CLIENTES_FANTASIA,$I888)+COUNTIF(FORNECEDORES_NOMES,$I888)+COUNTIF(FORNECEDORES_FANTASIA,$I888)=0),"⚠ Cliente/Fornecedor não cadastrado",IF(AND($G888&lt;&gt;"",COUNTIF(SUBCATEGORIAS_PLANO,$G888)=0),"⚠ Subcategoria fora do plano de contas",IF(OR($Q888="",N($Q888)=0),"⚠ Valor previsto não informado",IF(AND(OR($X888="Pago",$X888="Recebido"),$D888=""),"⚠ Status pago/recebido sem data",IF(AND($D888&lt;&gt;"",N($R888)=0),"⚠ Data de pagamento sem valor realizado",IF(AND(N($P888)&gt;1,N($O888)&gt;N($P888)),"⚠ Nº da parcela maior que o total",IF(AND($C888&lt;&gt;"",$B888&lt;&gt;"",$C888&lt;$B888),"⚠ Vencimento anterior à competência","OK"))))))))</f>
        <v/>
      </c>
    </row>
    <row r="889">
      <c r="A889" s="14" t="n"/>
      <c r="B889" s="36" t="n"/>
      <c r="C889" s="36" t="n"/>
      <c r="D889" s="36" t="n"/>
      <c r="E889" s="14" t="n"/>
      <c r="F889" s="29" t="n"/>
      <c r="G889" s="29" t="n"/>
      <c r="H889" s="29" t="n"/>
      <c r="I889" s="29" t="n"/>
      <c r="J889" s="29" t="n"/>
      <c r="K889" s="14" t="n"/>
      <c r="L889" s="29" t="n"/>
      <c r="M889" s="14" t="n"/>
      <c r="N889" s="29" t="n"/>
      <c r="O889" s="13" t="n"/>
      <c r="P889" s="13" t="n"/>
      <c r="Q889" s="35" t="n"/>
      <c r="R889" s="35" t="n"/>
      <c r="S889" s="35" t="n"/>
      <c r="T889" s="35" t="n"/>
      <c r="U889" s="35" t="n"/>
      <c r="V889" s="18">
        <f>IF(COUNTA($B889:$R889)=0,"",ROUND(N($R889)+N($S889)+N($T889)-N($U889),2))</f>
        <v/>
      </c>
      <c r="W889" s="18">
        <f>IF(COUNTA($B889:$R889)=0,"",IF(OR($X889="Pago",$X889="Recebido",$X889="Cancelado"),0,ROUND(N($Q889)+N($S889)+N($T889)-N($U889)-N($R889),2)))</f>
        <v/>
      </c>
      <c r="X889" s="14" t="n"/>
      <c r="Y889" s="17">
        <f>IF(COUNTA($B889:$R889)=0,"",IF($X889="Cancelado","Cancelado",IF(OR($X889="Pago",$X889="Recebido"),$X889,IF(OR($X889="Parcial",N($R889)&gt;0),"Parcial",IF($C889="","Sem vencimento",IF($C889&lt;TODAY(),"Vencido",IF($C889=TODAY(),"Vence hoje",IF($C889&lt;=TODAY()+7,"Vence em 7 dias",IF($C889&lt;=TODAY()+30,"Vence em 30 dias","Futuro")))))))))</f>
        <v/>
      </c>
      <c r="Z889" s="24">
        <f>IF($B889="","",MONTH($B889))</f>
        <v/>
      </c>
      <c r="AA889" s="24">
        <f>IF($B889="","",YEAR($B889))</f>
        <v/>
      </c>
      <c r="AB889" s="24">
        <f>IF($B889="","",ISOWEEKNUM($B889))</f>
        <v/>
      </c>
      <c r="AC889" s="17">
        <f>IF($B889="","",CHOOSE(WEEKDAY($B889,2),"Segunda","Terça","Quarta","Quinta","Sexta","Sábado","Domingo"))</f>
        <v/>
      </c>
      <c r="AD889" s="17">
        <f>IF($B889="","",TEXT($B889,"MM/AAAA"))</f>
        <v/>
      </c>
      <c r="AE889" s="18">
        <f>IF(COUNTA($B889:$R889)=0,"",IF($X889="Cancelado",0,ROUND(N($Q889)+N($S889)+N($T889)-N($U889),2)))</f>
        <v/>
      </c>
      <c r="AF889" s="9">
        <f>IF($G889="","",IFERROR(INDEX(LINHAS_DRE_PLANO,MATCH($G889,SUBCATEGORIAS_PLANO,0)),"Não classificado"))</f>
        <v/>
      </c>
      <c r="AG889" s="17">
        <f>IF($G889="","",IFERROR(INDEX(TIPOS_FLUXO_PLANO,MATCH($G889,SUBCATEGORIAS_PLANO,0)),"Não classificado"))</f>
        <v/>
      </c>
      <c r="AH889" s="9">
        <f>IF($G889="","",IFERROR(INDEX(GRUPOS_PLANO,MATCH($G889,SUBCATEGORIAS_PLANO,0)),"Não classificado"))</f>
        <v/>
      </c>
      <c r="AI889" s="24">
        <f>IF(OR($C889="",$X889="Pago",$X889="Recebido",$X889="Cancelado"),"",$C889-TODAY())</f>
        <v/>
      </c>
      <c r="AJ889" s="24">
        <f>IF(OR($C889="",$X889="Pago",$X889="Recebido",$X889="Cancelado"),0,MAX(0,TODAY()-$C889))</f>
        <v/>
      </c>
      <c r="AK889" s="24">
        <f>IF($D889="","",$D889-$B889)</f>
        <v/>
      </c>
      <c r="AL889" s="18">
        <f>IF(OR($D889="",$B889=""),"",ROUND(N($R889)*($D889-$B889),2))</f>
        <v/>
      </c>
      <c r="AM889" s="17">
        <f>IF(AND($E889="Saída",$W889&gt;0,$C889&lt;&gt;""),$C889+ROW()/1000000,"")</f>
        <v/>
      </c>
      <c r="AN889" s="17">
        <f>IF(AND($E889="Entrada",$W889&gt;0,$C889&lt;&gt;""),$C889+ROW()/1000000,"")</f>
        <v/>
      </c>
      <c r="AO889" s="9">
        <f>IF(COUNTA($B889:$R889)=0,"",IF(AND($I889&lt;&gt;"",COUNTIF(CLIENTES_NOMES,$I889)+COUNTIF(CLIENTES_FANTASIA,$I889)+COUNTIF(FORNECEDORES_NOMES,$I889)+COUNTIF(FORNECEDORES_FANTASIA,$I889)=0),"⚠ Cliente/Fornecedor não cadastrado",IF(AND($G889&lt;&gt;"",COUNTIF(SUBCATEGORIAS_PLANO,$G889)=0),"⚠ Subcategoria fora do plano de contas",IF(OR($Q889="",N($Q889)=0),"⚠ Valor previsto não informado",IF(AND(OR($X889="Pago",$X889="Recebido"),$D889=""),"⚠ Status pago/recebido sem data",IF(AND($D889&lt;&gt;"",N($R889)=0),"⚠ Data de pagamento sem valor realizado",IF(AND(N($P889)&gt;1,N($O889)&gt;N($P889)),"⚠ Nº da parcela maior que o total",IF(AND($C889&lt;&gt;"",$B889&lt;&gt;"",$C889&lt;$B889),"⚠ Vencimento anterior à competência","OK"))))))))</f>
        <v/>
      </c>
    </row>
    <row r="890">
      <c r="A890" s="14" t="n"/>
      <c r="B890" s="36" t="n"/>
      <c r="C890" s="36" t="n"/>
      <c r="D890" s="36" t="n"/>
      <c r="E890" s="14" t="n"/>
      <c r="F890" s="29" t="n"/>
      <c r="G890" s="29" t="n"/>
      <c r="H890" s="29" t="n"/>
      <c r="I890" s="29" t="n"/>
      <c r="J890" s="29" t="n"/>
      <c r="K890" s="14" t="n"/>
      <c r="L890" s="29" t="n"/>
      <c r="M890" s="14" t="n"/>
      <c r="N890" s="29" t="n"/>
      <c r="O890" s="13" t="n"/>
      <c r="P890" s="13" t="n"/>
      <c r="Q890" s="35" t="n"/>
      <c r="R890" s="35" t="n"/>
      <c r="S890" s="35" t="n"/>
      <c r="T890" s="35" t="n"/>
      <c r="U890" s="35" t="n"/>
      <c r="V890" s="18">
        <f>IF(COUNTA($B890:$R890)=0,"",ROUND(N($R890)+N($S890)+N($T890)-N($U890),2))</f>
        <v/>
      </c>
      <c r="W890" s="18">
        <f>IF(COUNTA($B890:$R890)=0,"",IF(OR($X890="Pago",$X890="Recebido",$X890="Cancelado"),0,ROUND(N($Q890)+N($S890)+N($T890)-N($U890)-N($R890),2)))</f>
        <v/>
      </c>
      <c r="X890" s="14" t="n"/>
      <c r="Y890" s="17">
        <f>IF(COUNTA($B890:$R890)=0,"",IF($X890="Cancelado","Cancelado",IF(OR($X890="Pago",$X890="Recebido"),$X890,IF(OR($X890="Parcial",N($R890)&gt;0),"Parcial",IF($C890="","Sem vencimento",IF($C890&lt;TODAY(),"Vencido",IF($C890=TODAY(),"Vence hoje",IF($C890&lt;=TODAY()+7,"Vence em 7 dias",IF($C890&lt;=TODAY()+30,"Vence em 30 dias","Futuro")))))))))</f>
        <v/>
      </c>
      <c r="Z890" s="24">
        <f>IF($B890="","",MONTH($B890))</f>
        <v/>
      </c>
      <c r="AA890" s="24">
        <f>IF($B890="","",YEAR($B890))</f>
        <v/>
      </c>
      <c r="AB890" s="24">
        <f>IF($B890="","",ISOWEEKNUM($B890))</f>
        <v/>
      </c>
      <c r="AC890" s="17">
        <f>IF($B890="","",CHOOSE(WEEKDAY($B890,2),"Segunda","Terça","Quarta","Quinta","Sexta","Sábado","Domingo"))</f>
        <v/>
      </c>
      <c r="AD890" s="17">
        <f>IF($B890="","",TEXT($B890,"MM/AAAA"))</f>
        <v/>
      </c>
      <c r="AE890" s="18">
        <f>IF(COUNTA($B890:$R890)=0,"",IF($X890="Cancelado",0,ROUND(N($Q890)+N($S890)+N($T890)-N($U890),2)))</f>
        <v/>
      </c>
      <c r="AF890" s="9">
        <f>IF($G890="","",IFERROR(INDEX(LINHAS_DRE_PLANO,MATCH($G890,SUBCATEGORIAS_PLANO,0)),"Não classificado"))</f>
        <v/>
      </c>
      <c r="AG890" s="17">
        <f>IF($G890="","",IFERROR(INDEX(TIPOS_FLUXO_PLANO,MATCH($G890,SUBCATEGORIAS_PLANO,0)),"Não classificado"))</f>
        <v/>
      </c>
      <c r="AH890" s="9">
        <f>IF($G890="","",IFERROR(INDEX(GRUPOS_PLANO,MATCH($G890,SUBCATEGORIAS_PLANO,0)),"Não classificado"))</f>
        <v/>
      </c>
      <c r="AI890" s="24">
        <f>IF(OR($C890="",$X890="Pago",$X890="Recebido",$X890="Cancelado"),"",$C890-TODAY())</f>
        <v/>
      </c>
      <c r="AJ890" s="24">
        <f>IF(OR($C890="",$X890="Pago",$X890="Recebido",$X890="Cancelado"),0,MAX(0,TODAY()-$C890))</f>
        <v/>
      </c>
      <c r="AK890" s="24">
        <f>IF($D890="","",$D890-$B890)</f>
        <v/>
      </c>
      <c r="AL890" s="18">
        <f>IF(OR($D890="",$B890=""),"",ROUND(N($R890)*($D890-$B890),2))</f>
        <v/>
      </c>
      <c r="AM890" s="17">
        <f>IF(AND($E890="Saída",$W890&gt;0,$C890&lt;&gt;""),$C890+ROW()/1000000,"")</f>
        <v/>
      </c>
      <c r="AN890" s="17">
        <f>IF(AND($E890="Entrada",$W890&gt;0,$C890&lt;&gt;""),$C890+ROW()/1000000,"")</f>
        <v/>
      </c>
      <c r="AO890" s="9">
        <f>IF(COUNTA($B890:$R890)=0,"",IF(AND($I890&lt;&gt;"",COUNTIF(CLIENTES_NOMES,$I890)+COUNTIF(CLIENTES_FANTASIA,$I890)+COUNTIF(FORNECEDORES_NOMES,$I890)+COUNTIF(FORNECEDORES_FANTASIA,$I890)=0),"⚠ Cliente/Fornecedor não cadastrado",IF(AND($G890&lt;&gt;"",COUNTIF(SUBCATEGORIAS_PLANO,$G890)=0),"⚠ Subcategoria fora do plano de contas",IF(OR($Q890="",N($Q890)=0),"⚠ Valor previsto não informado",IF(AND(OR($X890="Pago",$X890="Recebido"),$D890=""),"⚠ Status pago/recebido sem data",IF(AND($D890&lt;&gt;"",N($R890)=0),"⚠ Data de pagamento sem valor realizado",IF(AND(N($P890)&gt;1,N($O890)&gt;N($P890)),"⚠ Nº da parcela maior que o total",IF(AND($C890&lt;&gt;"",$B890&lt;&gt;"",$C890&lt;$B890),"⚠ Vencimento anterior à competência","OK"))))))))</f>
        <v/>
      </c>
    </row>
    <row r="891">
      <c r="A891" s="14" t="n"/>
      <c r="B891" s="36" t="n"/>
      <c r="C891" s="36" t="n"/>
      <c r="D891" s="36" t="n"/>
      <c r="E891" s="14" t="n"/>
      <c r="F891" s="29" t="n"/>
      <c r="G891" s="29" t="n"/>
      <c r="H891" s="29" t="n"/>
      <c r="I891" s="29" t="n"/>
      <c r="J891" s="29" t="n"/>
      <c r="K891" s="14" t="n"/>
      <c r="L891" s="29" t="n"/>
      <c r="M891" s="14" t="n"/>
      <c r="N891" s="29" t="n"/>
      <c r="O891" s="13" t="n"/>
      <c r="P891" s="13" t="n"/>
      <c r="Q891" s="35" t="n"/>
      <c r="R891" s="35" t="n"/>
      <c r="S891" s="35" t="n"/>
      <c r="T891" s="35" t="n"/>
      <c r="U891" s="35" t="n"/>
      <c r="V891" s="18">
        <f>IF(COUNTA($B891:$R891)=0,"",ROUND(N($R891)+N($S891)+N($T891)-N($U891),2))</f>
        <v/>
      </c>
      <c r="W891" s="18">
        <f>IF(COUNTA($B891:$R891)=0,"",IF(OR($X891="Pago",$X891="Recebido",$X891="Cancelado"),0,ROUND(N($Q891)+N($S891)+N($T891)-N($U891)-N($R891),2)))</f>
        <v/>
      </c>
      <c r="X891" s="14" t="n"/>
      <c r="Y891" s="17">
        <f>IF(COUNTA($B891:$R891)=0,"",IF($X891="Cancelado","Cancelado",IF(OR($X891="Pago",$X891="Recebido"),$X891,IF(OR($X891="Parcial",N($R891)&gt;0),"Parcial",IF($C891="","Sem vencimento",IF($C891&lt;TODAY(),"Vencido",IF($C891=TODAY(),"Vence hoje",IF($C891&lt;=TODAY()+7,"Vence em 7 dias",IF($C891&lt;=TODAY()+30,"Vence em 30 dias","Futuro")))))))))</f>
        <v/>
      </c>
      <c r="Z891" s="24">
        <f>IF($B891="","",MONTH($B891))</f>
        <v/>
      </c>
      <c r="AA891" s="24">
        <f>IF($B891="","",YEAR($B891))</f>
        <v/>
      </c>
      <c r="AB891" s="24">
        <f>IF($B891="","",ISOWEEKNUM($B891))</f>
        <v/>
      </c>
      <c r="AC891" s="17">
        <f>IF($B891="","",CHOOSE(WEEKDAY($B891,2),"Segunda","Terça","Quarta","Quinta","Sexta","Sábado","Domingo"))</f>
        <v/>
      </c>
      <c r="AD891" s="17">
        <f>IF($B891="","",TEXT($B891,"MM/AAAA"))</f>
        <v/>
      </c>
      <c r="AE891" s="18">
        <f>IF(COUNTA($B891:$R891)=0,"",IF($X891="Cancelado",0,ROUND(N($Q891)+N($S891)+N($T891)-N($U891),2)))</f>
        <v/>
      </c>
      <c r="AF891" s="9">
        <f>IF($G891="","",IFERROR(INDEX(LINHAS_DRE_PLANO,MATCH($G891,SUBCATEGORIAS_PLANO,0)),"Não classificado"))</f>
        <v/>
      </c>
      <c r="AG891" s="17">
        <f>IF($G891="","",IFERROR(INDEX(TIPOS_FLUXO_PLANO,MATCH($G891,SUBCATEGORIAS_PLANO,0)),"Não classificado"))</f>
        <v/>
      </c>
      <c r="AH891" s="9">
        <f>IF($G891="","",IFERROR(INDEX(GRUPOS_PLANO,MATCH($G891,SUBCATEGORIAS_PLANO,0)),"Não classificado"))</f>
        <v/>
      </c>
      <c r="AI891" s="24">
        <f>IF(OR($C891="",$X891="Pago",$X891="Recebido",$X891="Cancelado"),"",$C891-TODAY())</f>
        <v/>
      </c>
      <c r="AJ891" s="24">
        <f>IF(OR($C891="",$X891="Pago",$X891="Recebido",$X891="Cancelado"),0,MAX(0,TODAY()-$C891))</f>
        <v/>
      </c>
      <c r="AK891" s="24">
        <f>IF($D891="","",$D891-$B891)</f>
        <v/>
      </c>
      <c r="AL891" s="18">
        <f>IF(OR($D891="",$B891=""),"",ROUND(N($R891)*($D891-$B891),2))</f>
        <v/>
      </c>
      <c r="AM891" s="17">
        <f>IF(AND($E891="Saída",$W891&gt;0,$C891&lt;&gt;""),$C891+ROW()/1000000,"")</f>
        <v/>
      </c>
      <c r="AN891" s="17">
        <f>IF(AND($E891="Entrada",$W891&gt;0,$C891&lt;&gt;""),$C891+ROW()/1000000,"")</f>
        <v/>
      </c>
      <c r="AO891" s="9">
        <f>IF(COUNTA($B891:$R891)=0,"",IF(AND($I891&lt;&gt;"",COUNTIF(CLIENTES_NOMES,$I891)+COUNTIF(CLIENTES_FANTASIA,$I891)+COUNTIF(FORNECEDORES_NOMES,$I891)+COUNTIF(FORNECEDORES_FANTASIA,$I891)=0),"⚠ Cliente/Fornecedor não cadastrado",IF(AND($G891&lt;&gt;"",COUNTIF(SUBCATEGORIAS_PLANO,$G891)=0),"⚠ Subcategoria fora do plano de contas",IF(OR($Q891="",N($Q891)=0),"⚠ Valor previsto não informado",IF(AND(OR($X891="Pago",$X891="Recebido"),$D891=""),"⚠ Status pago/recebido sem data",IF(AND($D891&lt;&gt;"",N($R891)=0),"⚠ Data de pagamento sem valor realizado",IF(AND(N($P891)&gt;1,N($O891)&gt;N($P891)),"⚠ Nº da parcela maior que o total",IF(AND($C891&lt;&gt;"",$B891&lt;&gt;"",$C891&lt;$B891),"⚠ Vencimento anterior à competência","OK"))))))))</f>
        <v/>
      </c>
    </row>
    <row r="892">
      <c r="A892" s="14" t="n"/>
      <c r="B892" s="36" t="n"/>
      <c r="C892" s="36" t="n"/>
      <c r="D892" s="36" t="n"/>
      <c r="E892" s="14" t="n"/>
      <c r="F892" s="29" t="n"/>
      <c r="G892" s="29" t="n"/>
      <c r="H892" s="29" t="n"/>
      <c r="I892" s="29" t="n"/>
      <c r="J892" s="29" t="n"/>
      <c r="K892" s="14" t="n"/>
      <c r="L892" s="29" t="n"/>
      <c r="M892" s="14" t="n"/>
      <c r="N892" s="29" t="n"/>
      <c r="O892" s="13" t="n"/>
      <c r="P892" s="13" t="n"/>
      <c r="Q892" s="35" t="n"/>
      <c r="R892" s="35" t="n"/>
      <c r="S892" s="35" t="n"/>
      <c r="T892" s="35" t="n"/>
      <c r="U892" s="35" t="n"/>
      <c r="V892" s="18">
        <f>IF(COUNTA($B892:$R892)=0,"",ROUND(N($R892)+N($S892)+N($T892)-N($U892),2))</f>
        <v/>
      </c>
      <c r="W892" s="18">
        <f>IF(COUNTA($B892:$R892)=0,"",IF(OR($X892="Pago",$X892="Recebido",$X892="Cancelado"),0,ROUND(N($Q892)+N($S892)+N($T892)-N($U892)-N($R892),2)))</f>
        <v/>
      </c>
      <c r="X892" s="14" t="n"/>
      <c r="Y892" s="17">
        <f>IF(COUNTA($B892:$R892)=0,"",IF($X892="Cancelado","Cancelado",IF(OR($X892="Pago",$X892="Recebido"),$X892,IF(OR($X892="Parcial",N($R892)&gt;0),"Parcial",IF($C892="","Sem vencimento",IF($C892&lt;TODAY(),"Vencido",IF($C892=TODAY(),"Vence hoje",IF($C892&lt;=TODAY()+7,"Vence em 7 dias",IF($C892&lt;=TODAY()+30,"Vence em 30 dias","Futuro")))))))))</f>
        <v/>
      </c>
      <c r="Z892" s="24">
        <f>IF($B892="","",MONTH($B892))</f>
        <v/>
      </c>
      <c r="AA892" s="24">
        <f>IF($B892="","",YEAR($B892))</f>
        <v/>
      </c>
      <c r="AB892" s="24">
        <f>IF($B892="","",ISOWEEKNUM($B892))</f>
        <v/>
      </c>
      <c r="AC892" s="17">
        <f>IF($B892="","",CHOOSE(WEEKDAY($B892,2),"Segunda","Terça","Quarta","Quinta","Sexta","Sábado","Domingo"))</f>
        <v/>
      </c>
      <c r="AD892" s="17">
        <f>IF($B892="","",TEXT($B892,"MM/AAAA"))</f>
        <v/>
      </c>
      <c r="AE892" s="18">
        <f>IF(COUNTA($B892:$R892)=0,"",IF($X892="Cancelado",0,ROUND(N($Q892)+N($S892)+N($T892)-N($U892),2)))</f>
        <v/>
      </c>
      <c r="AF892" s="9">
        <f>IF($G892="","",IFERROR(INDEX(LINHAS_DRE_PLANO,MATCH($G892,SUBCATEGORIAS_PLANO,0)),"Não classificado"))</f>
        <v/>
      </c>
      <c r="AG892" s="17">
        <f>IF($G892="","",IFERROR(INDEX(TIPOS_FLUXO_PLANO,MATCH($G892,SUBCATEGORIAS_PLANO,0)),"Não classificado"))</f>
        <v/>
      </c>
      <c r="AH892" s="9">
        <f>IF($G892="","",IFERROR(INDEX(GRUPOS_PLANO,MATCH($G892,SUBCATEGORIAS_PLANO,0)),"Não classificado"))</f>
        <v/>
      </c>
      <c r="AI892" s="24">
        <f>IF(OR($C892="",$X892="Pago",$X892="Recebido",$X892="Cancelado"),"",$C892-TODAY())</f>
        <v/>
      </c>
      <c r="AJ892" s="24">
        <f>IF(OR($C892="",$X892="Pago",$X892="Recebido",$X892="Cancelado"),0,MAX(0,TODAY()-$C892))</f>
        <v/>
      </c>
      <c r="AK892" s="24">
        <f>IF($D892="","",$D892-$B892)</f>
        <v/>
      </c>
      <c r="AL892" s="18">
        <f>IF(OR($D892="",$B892=""),"",ROUND(N($R892)*($D892-$B892),2))</f>
        <v/>
      </c>
      <c r="AM892" s="17">
        <f>IF(AND($E892="Saída",$W892&gt;0,$C892&lt;&gt;""),$C892+ROW()/1000000,"")</f>
        <v/>
      </c>
      <c r="AN892" s="17">
        <f>IF(AND($E892="Entrada",$W892&gt;0,$C892&lt;&gt;""),$C892+ROW()/1000000,"")</f>
        <v/>
      </c>
      <c r="AO892" s="9">
        <f>IF(COUNTA($B892:$R892)=0,"",IF(AND($I892&lt;&gt;"",COUNTIF(CLIENTES_NOMES,$I892)+COUNTIF(CLIENTES_FANTASIA,$I892)+COUNTIF(FORNECEDORES_NOMES,$I892)+COUNTIF(FORNECEDORES_FANTASIA,$I892)=0),"⚠ Cliente/Fornecedor não cadastrado",IF(AND($G892&lt;&gt;"",COUNTIF(SUBCATEGORIAS_PLANO,$G892)=0),"⚠ Subcategoria fora do plano de contas",IF(OR($Q892="",N($Q892)=0),"⚠ Valor previsto não informado",IF(AND(OR($X892="Pago",$X892="Recebido"),$D892=""),"⚠ Status pago/recebido sem data",IF(AND($D892&lt;&gt;"",N($R892)=0),"⚠ Data de pagamento sem valor realizado",IF(AND(N($P892)&gt;1,N($O892)&gt;N($P892)),"⚠ Nº da parcela maior que o total",IF(AND($C892&lt;&gt;"",$B892&lt;&gt;"",$C892&lt;$B892),"⚠ Vencimento anterior à competência","OK"))))))))</f>
        <v/>
      </c>
    </row>
    <row r="893">
      <c r="A893" s="14" t="n"/>
      <c r="B893" s="36" t="n"/>
      <c r="C893" s="36" t="n"/>
      <c r="D893" s="36" t="n"/>
      <c r="E893" s="14" t="n"/>
      <c r="F893" s="29" t="n"/>
      <c r="G893" s="29" t="n"/>
      <c r="H893" s="29" t="n"/>
      <c r="I893" s="29" t="n"/>
      <c r="J893" s="29" t="n"/>
      <c r="K893" s="14" t="n"/>
      <c r="L893" s="29" t="n"/>
      <c r="M893" s="14" t="n"/>
      <c r="N893" s="29" t="n"/>
      <c r="O893" s="13" t="n"/>
      <c r="P893" s="13" t="n"/>
      <c r="Q893" s="35" t="n"/>
      <c r="R893" s="35" t="n"/>
      <c r="S893" s="35" t="n"/>
      <c r="T893" s="35" t="n"/>
      <c r="U893" s="35" t="n"/>
      <c r="V893" s="18">
        <f>IF(COUNTA($B893:$R893)=0,"",ROUND(N($R893)+N($S893)+N($T893)-N($U893),2))</f>
        <v/>
      </c>
      <c r="W893" s="18">
        <f>IF(COUNTA($B893:$R893)=0,"",IF(OR($X893="Pago",$X893="Recebido",$X893="Cancelado"),0,ROUND(N($Q893)+N($S893)+N($T893)-N($U893)-N($R893),2)))</f>
        <v/>
      </c>
      <c r="X893" s="14" t="n"/>
      <c r="Y893" s="17">
        <f>IF(COUNTA($B893:$R893)=0,"",IF($X893="Cancelado","Cancelado",IF(OR($X893="Pago",$X893="Recebido"),$X893,IF(OR($X893="Parcial",N($R893)&gt;0),"Parcial",IF($C893="","Sem vencimento",IF($C893&lt;TODAY(),"Vencido",IF($C893=TODAY(),"Vence hoje",IF($C893&lt;=TODAY()+7,"Vence em 7 dias",IF($C893&lt;=TODAY()+30,"Vence em 30 dias","Futuro")))))))))</f>
        <v/>
      </c>
      <c r="Z893" s="24">
        <f>IF($B893="","",MONTH($B893))</f>
        <v/>
      </c>
      <c r="AA893" s="24">
        <f>IF($B893="","",YEAR($B893))</f>
        <v/>
      </c>
      <c r="AB893" s="24">
        <f>IF($B893="","",ISOWEEKNUM($B893))</f>
        <v/>
      </c>
      <c r="AC893" s="17">
        <f>IF($B893="","",CHOOSE(WEEKDAY($B893,2),"Segunda","Terça","Quarta","Quinta","Sexta","Sábado","Domingo"))</f>
        <v/>
      </c>
      <c r="AD893" s="17">
        <f>IF($B893="","",TEXT($B893,"MM/AAAA"))</f>
        <v/>
      </c>
      <c r="AE893" s="18">
        <f>IF(COUNTA($B893:$R893)=0,"",IF($X893="Cancelado",0,ROUND(N($Q893)+N($S893)+N($T893)-N($U893),2)))</f>
        <v/>
      </c>
      <c r="AF893" s="9">
        <f>IF($G893="","",IFERROR(INDEX(LINHAS_DRE_PLANO,MATCH($G893,SUBCATEGORIAS_PLANO,0)),"Não classificado"))</f>
        <v/>
      </c>
      <c r="AG893" s="17">
        <f>IF($G893="","",IFERROR(INDEX(TIPOS_FLUXO_PLANO,MATCH($G893,SUBCATEGORIAS_PLANO,0)),"Não classificado"))</f>
        <v/>
      </c>
      <c r="AH893" s="9">
        <f>IF($G893="","",IFERROR(INDEX(GRUPOS_PLANO,MATCH($G893,SUBCATEGORIAS_PLANO,0)),"Não classificado"))</f>
        <v/>
      </c>
      <c r="AI893" s="24">
        <f>IF(OR($C893="",$X893="Pago",$X893="Recebido",$X893="Cancelado"),"",$C893-TODAY())</f>
        <v/>
      </c>
      <c r="AJ893" s="24">
        <f>IF(OR($C893="",$X893="Pago",$X893="Recebido",$X893="Cancelado"),0,MAX(0,TODAY()-$C893))</f>
        <v/>
      </c>
      <c r="AK893" s="24">
        <f>IF($D893="","",$D893-$B893)</f>
        <v/>
      </c>
      <c r="AL893" s="18">
        <f>IF(OR($D893="",$B893=""),"",ROUND(N($R893)*($D893-$B893),2))</f>
        <v/>
      </c>
      <c r="AM893" s="17">
        <f>IF(AND($E893="Saída",$W893&gt;0,$C893&lt;&gt;""),$C893+ROW()/1000000,"")</f>
        <v/>
      </c>
      <c r="AN893" s="17">
        <f>IF(AND($E893="Entrada",$W893&gt;0,$C893&lt;&gt;""),$C893+ROW()/1000000,"")</f>
        <v/>
      </c>
      <c r="AO893" s="9">
        <f>IF(COUNTA($B893:$R893)=0,"",IF(AND($I893&lt;&gt;"",COUNTIF(CLIENTES_NOMES,$I893)+COUNTIF(CLIENTES_FANTASIA,$I893)+COUNTIF(FORNECEDORES_NOMES,$I893)+COUNTIF(FORNECEDORES_FANTASIA,$I893)=0),"⚠ Cliente/Fornecedor não cadastrado",IF(AND($G893&lt;&gt;"",COUNTIF(SUBCATEGORIAS_PLANO,$G893)=0),"⚠ Subcategoria fora do plano de contas",IF(OR($Q893="",N($Q893)=0),"⚠ Valor previsto não informado",IF(AND(OR($X893="Pago",$X893="Recebido"),$D893=""),"⚠ Status pago/recebido sem data",IF(AND($D893&lt;&gt;"",N($R893)=0),"⚠ Data de pagamento sem valor realizado",IF(AND(N($P893)&gt;1,N($O893)&gt;N($P893)),"⚠ Nº da parcela maior que o total",IF(AND($C893&lt;&gt;"",$B893&lt;&gt;"",$C893&lt;$B893),"⚠ Vencimento anterior à competência","OK"))))))))</f>
        <v/>
      </c>
    </row>
    <row r="894">
      <c r="A894" s="14" t="n"/>
      <c r="B894" s="36" t="n"/>
      <c r="C894" s="36" t="n"/>
      <c r="D894" s="36" t="n"/>
      <c r="E894" s="14" t="n"/>
      <c r="F894" s="29" t="n"/>
      <c r="G894" s="29" t="n"/>
      <c r="H894" s="29" t="n"/>
      <c r="I894" s="29" t="n"/>
      <c r="J894" s="29" t="n"/>
      <c r="K894" s="14" t="n"/>
      <c r="L894" s="29" t="n"/>
      <c r="M894" s="14" t="n"/>
      <c r="N894" s="29" t="n"/>
      <c r="O894" s="13" t="n"/>
      <c r="P894" s="13" t="n"/>
      <c r="Q894" s="35" t="n"/>
      <c r="R894" s="35" t="n"/>
      <c r="S894" s="35" t="n"/>
      <c r="T894" s="35" t="n"/>
      <c r="U894" s="35" t="n"/>
      <c r="V894" s="18">
        <f>IF(COUNTA($B894:$R894)=0,"",ROUND(N($R894)+N($S894)+N($T894)-N($U894),2))</f>
        <v/>
      </c>
      <c r="W894" s="18">
        <f>IF(COUNTA($B894:$R894)=0,"",IF(OR($X894="Pago",$X894="Recebido",$X894="Cancelado"),0,ROUND(N($Q894)+N($S894)+N($T894)-N($U894)-N($R894),2)))</f>
        <v/>
      </c>
      <c r="X894" s="14" t="n"/>
      <c r="Y894" s="17">
        <f>IF(COUNTA($B894:$R894)=0,"",IF($X894="Cancelado","Cancelado",IF(OR($X894="Pago",$X894="Recebido"),$X894,IF(OR($X894="Parcial",N($R894)&gt;0),"Parcial",IF($C894="","Sem vencimento",IF($C894&lt;TODAY(),"Vencido",IF($C894=TODAY(),"Vence hoje",IF($C894&lt;=TODAY()+7,"Vence em 7 dias",IF($C894&lt;=TODAY()+30,"Vence em 30 dias","Futuro")))))))))</f>
        <v/>
      </c>
      <c r="Z894" s="24">
        <f>IF($B894="","",MONTH($B894))</f>
        <v/>
      </c>
      <c r="AA894" s="24">
        <f>IF($B894="","",YEAR($B894))</f>
        <v/>
      </c>
      <c r="AB894" s="24">
        <f>IF($B894="","",ISOWEEKNUM($B894))</f>
        <v/>
      </c>
      <c r="AC894" s="17">
        <f>IF($B894="","",CHOOSE(WEEKDAY($B894,2),"Segunda","Terça","Quarta","Quinta","Sexta","Sábado","Domingo"))</f>
        <v/>
      </c>
      <c r="AD894" s="17">
        <f>IF($B894="","",TEXT($B894,"MM/AAAA"))</f>
        <v/>
      </c>
      <c r="AE894" s="18">
        <f>IF(COUNTA($B894:$R894)=0,"",IF($X894="Cancelado",0,ROUND(N($Q894)+N($S894)+N($T894)-N($U894),2)))</f>
        <v/>
      </c>
      <c r="AF894" s="9">
        <f>IF($G894="","",IFERROR(INDEX(LINHAS_DRE_PLANO,MATCH($G894,SUBCATEGORIAS_PLANO,0)),"Não classificado"))</f>
        <v/>
      </c>
      <c r="AG894" s="17">
        <f>IF($G894="","",IFERROR(INDEX(TIPOS_FLUXO_PLANO,MATCH($G894,SUBCATEGORIAS_PLANO,0)),"Não classificado"))</f>
        <v/>
      </c>
      <c r="AH894" s="9">
        <f>IF($G894="","",IFERROR(INDEX(GRUPOS_PLANO,MATCH($G894,SUBCATEGORIAS_PLANO,0)),"Não classificado"))</f>
        <v/>
      </c>
      <c r="AI894" s="24">
        <f>IF(OR($C894="",$X894="Pago",$X894="Recebido",$X894="Cancelado"),"",$C894-TODAY())</f>
        <v/>
      </c>
      <c r="AJ894" s="24">
        <f>IF(OR($C894="",$X894="Pago",$X894="Recebido",$X894="Cancelado"),0,MAX(0,TODAY()-$C894))</f>
        <v/>
      </c>
      <c r="AK894" s="24">
        <f>IF($D894="","",$D894-$B894)</f>
        <v/>
      </c>
      <c r="AL894" s="18">
        <f>IF(OR($D894="",$B894=""),"",ROUND(N($R894)*($D894-$B894),2))</f>
        <v/>
      </c>
      <c r="AM894" s="17">
        <f>IF(AND($E894="Saída",$W894&gt;0,$C894&lt;&gt;""),$C894+ROW()/1000000,"")</f>
        <v/>
      </c>
      <c r="AN894" s="17">
        <f>IF(AND($E894="Entrada",$W894&gt;0,$C894&lt;&gt;""),$C894+ROW()/1000000,"")</f>
        <v/>
      </c>
      <c r="AO894" s="9">
        <f>IF(COUNTA($B894:$R894)=0,"",IF(AND($I894&lt;&gt;"",COUNTIF(CLIENTES_NOMES,$I894)+COUNTIF(CLIENTES_FANTASIA,$I894)+COUNTIF(FORNECEDORES_NOMES,$I894)+COUNTIF(FORNECEDORES_FANTASIA,$I894)=0),"⚠ Cliente/Fornecedor não cadastrado",IF(AND($G894&lt;&gt;"",COUNTIF(SUBCATEGORIAS_PLANO,$G894)=0),"⚠ Subcategoria fora do plano de contas",IF(OR($Q894="",N($Q894)=0),"⚠ Valor previsto não informado",IF(AND(OR($X894="Pago",$X894="Recebido"),$D894=""),"⚠ Status pago/recebido sem data",IF(AND($D894&lt;&gt;"",N($R894)=0),"⚠ Data de pagamento sem valor realizado",IF(AND(N($P894)&gt;1,N($O894)&gt;N($P894)),"⚠ Nº da parcela maior que o total",IF(AND($C894&lt;&gt;"",$B894&lt;&gt;"",$C894&lt;$B894),"⚠ Vencimento anterior à competência","OK"))))))))</f>
        <v/>
      </c>
    </row>
    <row r="895">
      <c r="A895" s="14" t="n"/>
      <c r="B895" s="36" t="n"/>
      <c r="C895" s="36" t="n"/>
      <c r="D895" s="36" t="n"/>
      <c r="E895" s="14" t="n"/>
      <c r="F895" s="29" t="n"/>
      <c r="G895" s="29" t="n"/>
      <c r="H895" s="29" t="n"/>
      <c r="I895" s="29" t="n"/>
      <c r="J895" s="29" t="n"/>
      <c r="K895" s="14" t="n"/>
      <c r="L895" s="29" t="n"/>
      <c r="M895" s="14" t="n"/>
      <c r="N895" s="29" t="n"/>
      <c r="O895" s="13" t="n"/>
      <c r="P895" s="13" t="n"/>
      <c r="Q895" s="35" t="n"/>
      <c r="R895" s="35" t="n"/>
      <c r="S895" s="35" t="n"/>
      <c r="T895" s="35" t="n"/>
      <c r="U895" s="35" t="n"/>
      <c r="V895" s="18">
        <f>IF(COUNTA($B895:$R895)=0,"",ROUND(N($R895)+N($S895)+N($T895)-N($U895),2))</f>
        <v/>
      </c>
      <c r="W895" s="18">
        <f>IF(COUNTA($B895:$R895)=0,"",IF(OR($X895="Pago",$X895="Recebido",$X895="Cancelado"),0,ROUND(N($Q895)+N($S895)+N($T895)-N($U895)-N($R895),2)))</f>
        <v/>
      </c>
      <c r="X895" s="14" t="n"/>
      <c r="Y895" s="17">
        <f>IF(COUNTA($B895:$R895)=0,"",IF($X895="Cancelado","Cancelado",IF(OR($X895="Pago",$X895="Recebido"),$X895,IF(OR($X895="Parcial",N($R895)&gt;0),"Parcial",IF($C895="","Sem vencimento",IF($C895&lt;TODAY(),"Vencido",IF($C895=TODAY(),"Vence hoje",IF($C895&lt;=TODAY()+7,"Vence em 7 dias",IF($C895&lt;=TODAY()+30,"Vence em 30 dias","Futuro")))))))))</f>
        <v/>
      </c>
      <c r="Z895" s="24">
        <f>IF($B895="","",MONTH($B895))</f>
        <v/>
      </c>
      <c r="AA895" s="24">
        <f>IF($B895="","",YEAR($B895))</f>
        <v/>
      </c>
      <c r="AB895" s="24">
        <f>IF($B895="","",ISOWEEKNUM($B895))</f>
        <v/>
      </c>
      <c r="AC895" s="17">
        <f>IF($B895="","",CHOOSE(WEEKDAY($B895,2),"Segunda","Terça","Quarta","Quinta","Sexta","Sábado","Domingo"))</f>
        <v/>
      </c>
      <c r="AD895" s="17">
        <f>IF($B895="","",TEXT($B895,"MM/AAAA"))</f>
        <v/>
      </c>
      <c r="AE895" s="18">
        <f>IF(COUNTA($B895:$R895)=0,"",IF($X895="Cancelado",0,ROUND(N($Q895)+N($S895)+N($T895)-N($U895),2)))</f>
        <v/>
      </c>
      <c r="AF895" s="9">
        <f>IF($G895="","",IFERROR(INDEX(LINHAS_DRE_PLANO,MATCH($G895,SUBCATEGORIAS_PLANO,0)),"Não classificado"))</f>
        <v/>
      </c>
      <c r="AG895" s="17">
        <f>IF($G895="","",IFERROR(INDEX(TIPOS_FLUXO_PLANO,MATCH($G895,SUBCATEGORIAS_PLANO,0)),"Não classificado"))</f>
        <v/>
      </c>
      <c r="AH895" s="9">
        <f>IF($G895="","",IFERROR(INDEX(GRUPOS_PLANO,MATCH($G895,SUBCATEGORIAS_PLANO,0)),"Não classificado"))</f>
        <v/>
      </c>
      <c r="AI895" s="24">
        <f>IF(OR($C895="",$X895="Pago",$X895="Recebido",$X895="Cancelado"),"",$C895-TODAY())</f>
        <v/>
      </c>
      <c r="AJ895" s="24">
        <f>IF(OR($C895="",$X895="Pago",$X895="Recebido",$X895="Cancelado"),0,MAX(0,TODAY()-$C895))</f>
        <v/>
      </c>
      <c r="AK895" s="24">
        <f>IF($D895="","",$D895-$B895)</f>
        <v/>
      </c>
      <c r="AL895" s="18">
        <f>IF(OR($D895="",$B895=""),"",ROUND(N($R895)*($D895-$B895),2))</f>
        <v/>
      </c>
      <c r="AM895" s="17">
        <f>IF(AND($E895="Saída",$W895&gt;0,$C895&lt;&gt;""),$C895+ROW()/1000000,"")</f>
        <v/>
      </c>
      <c r="AN895" s="17">
        <f>IF(AND($E895="Entrada",$W895&gt;0,$C895&lt;&gt;""),$C895+ROW()/1000000,"")</f>
        <v/>
      </c>
      <c r="AO895" s="9">
        <f>IF(COUNTA($B895:$R895)=0,"",IF(AND($I895&lt;&gt;"",COUNTIF(CLIENTES_NOMES,$I895)+COUNTIF(CLIENTES_FANTASIA,$I895)+COUNTIF(FORNECEDORES_NOMES,$I895)+COUNTIF(FORNECEDORES_FANTASIA,$I895)=0),"⚠ Cliente/Fornecedor não cadastrado",IF(AND($G895&lt;&gt;"",COUNTIF(SUBCATEGORIAS_PLANO,$G895)=0),"⚠ Subcategoria fora do plano de contas",IF(OR($Q895="",N($Q895)=0),"⚠ Valor previsto não informado",IF(AND(OR($X895="Pago",$X895="Recebido"),$D895=""),"⚠ Status pago/recebido sem data",IF(AND($D895&lt;&gt;"",N($R895)=0),"⚠ Data de pagamento sem valor realizado",IF(AND(N($P895)&gt;1,N($O895)&gt;N($P895)),"⚠ Nº da parcela maior que o total",IF(AND($C895&lt;&gt;"",$B895&lt;&gt;"",$C895&lt;$B895),"⚠ Vencimento anterior à competência","OK"))))))))</f>
        <v/>
      </c>
    </row>
    <row r="896">
      <c r="A896" s="14" t="n"/>
      <c r="B896" s="36" t="n"/>
      <c r="C896" s="36" t="n"/>
      <c r="D896" s="36" t="n"/>
      <c r="E896" s="14" t="n"/>
      <c r="F896" s="29" t="n"/>
      <c r="G896" s="29" t="n"/>
      <c r="H896" s="29" t="n"/>
      <c r="I896" s="29" t="n"/>
      <c r="J896" s="29" t="n"/>
      <c r="K896" s="14" t="n"/>
      <c r="L896" s="29" t="n"/>
      <c r="M896" s="14" t="n"/>
      <c r="N896" s="29" t="n"/>
      <c r="O896" s="13" t="n"/>
      <c r="P896" s="13" t="n"/>
      <c r="Q896" s="35" t="n"/>
      <c r="R896" s="35" t="n"/>
      <c r="S896" s="35" t="n"/>
      <c r="T896" s="35" t="n"/>
      <c r="U896" s="35" t="n"/>
      <c r="V896" s="18">
        <f>IF(COUNTA($B896:$R896)=0,"",ROUND(N($R896)+N($S896)+N($T896)-N($U896),2))</f>
        <v/>
      </c>
      <c r="W896" s="18">
        <f>IF(COUNTA($B896:$R896)=0,"",IF(OR($X896="Pago",$X896="Recebido",$X896="Cancelado"),0,ROUND(N($Q896)+N($S896)+N($T896)-N($U896)-N($R896),2)))</f>
        <v/>
      </c>
      <c r="X896" s="14" t="n"/>
      <c r="Y896" s="17">
        <f>IF(COUNTA($B896:$R896)=0,"",IF($X896="Cancelado","Cancelado",IF(OR($X896="Pago",$X896="Recebido"),$X896,IF(OR($X896="Parcial",N($R896)&gt;0),"Parcial",IF($C896="","Sem vencimento",IF($C896&lt;TODAY(),"Vencido",IF($C896=TODAY(),"Vence hoje",IF($C896&lt;=TODAY()+7,"Vence em 7 dias",IF($C896&lt;=TODAY()+30,"Vence em 30 dias","Futuro")))))))))</f>
        <v/>
      </c>
      <c r="Z896" s="24">
        <f>IF($B896="","",MONTH($B896))</f>
        <v/>
      </c>
      <c r="AA896" s="24">
        <f>IF($B896="","",YEAR($B896))</f>
        <v/>
      </c>
      <c r="AB896" s="24">
        <f>IF($B896="","",ISOWEEKNUM($B896))</f>
        <v/>
      </c>
      <c r="AC896" s="17">
        <f>IF($B896="","",CHOOSE(WEEKDAY($B896,2),"Segunda","Terça","Quarta","Quinta","Sexta","Sábado","Domingo"))</f>
        <v/>
      </c>
      <c r="AD896" s="17">
        <f>IF($B896="","",TEXT($B896,"MM/AAAA"))</f>
        <v/>
      </c>
      <c r="AE896" s="18">
        <f>IF(COUNTA($B896:$R896)=0,"",IF($X896="Cancelado",0,ROUND(N($Q896)+N($S896)+N($T896)-N($U896),2)))</f>
        <v/>
      </c>
      <c r="AF896" s="9">
        <f>IF($G896="","",IFERROR(INDEX(LINHAS_DRE_PLANO,MATCH($G896,SUBCATEGORIAS_PLANO,0)),"Não classificado"))</f>
        <v/>
      </c>
      <c r="AG896" s="17">
        <f>IF($G896="","",IFERROR(INDEX(TIPOS_FLUXO_PLANO,MATCH($G896,SUBCATEGORIAS_PLANO,0)),"Não classificado"))</f>
        <v/>
      </c>
      <c r="AH896" s="9">
        <f>IF($G896="","",IFERROR(INDEX(GRUPOS_PLANO,MATCH($G896,SUBCATEGORIAS_PLANO,0)),"Não classificado"))</f>
        <v/>
      </c>
      <c r="AI896" s="24">
        <f>IF(OR($C896="",$X896="Pago",$X896="Recebido",$X896="Cancelado"),"",$C896-TODAY())</f>
        <v/>
      </c>
      <c r="AJ896" s="24">
        <f>IF(OR($C896="",$X896="Pago",$X896="Recebido",$X896="Cancelado"),0,MAX(0,TODAY()-$C896))</f>
        <v/>
      </c>
      <c r="AK896" s="24">
        <f>IF($D896="","",$D896-$B896)</f>
        <v/>
      </c>
      <c r="AL896" s="18">
        <f>IF(OR($D896="",$B896=""),"",ROUND(N($R896)*($D896-$B896),2))</f>
        <v/>
      </c>
      <c r="AM896" s="17">
        <f>IF(AND($E896="Saída",$W896&gt;0,$C896&lt;&gt;""),$C896+ROW()/1000000,"")</f>
        <v/>
      </c>
      <c r="AN896" s="17">
        <f>IF(AND($E896="Entrada",$W896&gt;0,$C896&lt;&gt;""),$C896+ROW()/1000000,"")</f>
        <v/>
      </c>
      <c r="AO896" s="9">
        <f>IF(COUNTA($B896:$R896)=0,"",IF(AND($I896&lt;&gt;"",COUNTIF(CLIENTES_NOMES,$I896)+COUNTIF(CLIENTES_FANTASIA,$I896)+COUNTIF(FORNECEDORES_NOMES,$I896)+COUNTIF(FORNECEDORES_FANTASIA,$I896)=0),"⚠ Cliente/Fornecedor não cadastrado",IF(AND($G896&lt;&gt;"",COUNTIF(SUBCATEGORIAS_PLANO,$G896)=0),"⚠ Subcategoria fora do plano de contas",IF(OR($Q896="",N($Q896)=0),"⚠ Valor previsto não informado",IF(AND(OR($X896="Pago",$X896="Recebido"),$D896=""),"⚠ Status pago/recebido sem data",IF(AND($D896&lt;&gt;"",N($R896)=0),"⚠ Data de pagamento sem valor realizado",IF(AND(N($P896)&gt;1,N($O896)&gt;N($P896)),"⚠ Nº da parcela maior que o total",IF(AND($C896&lt;&gt;"",$B896&lt;&gt;"",$C896&lt;$B896),"⚠ Vencimento anterior à competência","OK"))))))))</f>
        <v/>
      </c>
    </row>
    <row r="897">
      <c r="A897" s="14" t="n"/>
      <c r="B897" s="36" t="n"/>
      <c r="C897" s="36" t="n"/>
      <c r="D897" s="36" t="n"/>
      <c r="E897" s="14" t="n"/>
      <c r="F897" s="29" t="n"/>
      <c r="G897" s="29" t="n"/>
      <c r="H897" s="29" t="n"/>
      <c r="I897" s="29" t="n"/>
      <c r="J897" s="29" t="n"/>
      <c r="K897" s="14" t="n"/>
      <c r="L897" s="29" t="n"/>
      <c r="M897" s="14" t="n"/>
      <c r="N897" s="29" t="n"/>
      <c r="O897" s="13" t="n"/>
      <c r="P897" s="13" t="n"/>
      <c r="Q897" s="35" t="n"/>
      <c r="R897" s="35" t="n"/>
      <c r="S897" s="35" t="n"/>
      <c r="T897" s="35" t="n"/>
      <c r="U897" s="35" t="n"/>
      <c r="V897" s="18">
        <f>IF(COUNTA($B897:$R897)=0,"",ROUND(N($R897)+N($S897)+N($T897)-N($U897),2))</f>
        <v/>
      </c>
      <c r="W897" s="18">
        <f>IF(COUNTA($B897:$R897)=0,"",IF(OR($X897="Pago",$X897="Recebido",$X897="Cancelado"),0,ROUND(N($Q897)+N($S897)+N($T897)-N($U897)-N($R897),2)))</f>
        <v/>
      </c>
      <c r="X897" s="14" t="n"/>
      <c r="Y897" s="17">
        <f>IF(COUNTA($B897:$R897)=0,"",IF($X897="Cancelado","Cancelado",IF(OR($X897="Pago",$X897="Recebido"),$X897,IF(OR($X897="Parcial",N($R897)&gt;0),"Parcial",IF($C897="","Sem vencimento",IF($C897&lt;TODAY(),"Vencido",IF($C897=TODAY(),"Vence hoje",IF($C897&lt;=TODAY()+7,"Vence em 7 dias",IF($C897&lt;=TODAY()+30,"Vence em 30 dias","Futuro")))))))))</f>
        <v/>
      </c>
      <c r="Z897" s="24">
        <f>IF($B897="","",MONTH($B897))</f>
        <v/>
      </c>
      <c r="AA897" s="24">
        <f>IF($B897="","",YEAR($B897))</f>
        <v/>
      </c>
      <c r="AB897" s="24">
        <f>IF($B897="","",ISOWEEKNUM($B897))</f>
        <v/>
      </c>
      <c r="AC897" s="17">
        <f>IF($B897="","",CHOOSE(WEEKDAY($B897,2),"Segunda","Terça","Quarta","Quinta","Sexta","Sábado","Domingo"))</f>
        <v/>
      </c>
      <c r="AD897" s="17">
        <f>IF($B897="","",TEXT($B897,"MM/AAAA"))</f>
        <v/>
      </c>
      <c r="AE897" s="18">
        <f>IF(COUNTA($B897:$R897)=0,"",IF($X897="Cancelado",0,ROUND(N($Q897)+N($S897)+N($T897)-N($U897),2)))</f>
        <v/>
      </c>
      <c r="AF897" s="9">
        <f>IF($G897="","",IFERROR(INDEX(LINHAS_DRE_PLANO,MATCH($G897,SUBCATEGORIAS_PLANO,0)),"Não classificado"))</f>
        <v/>
      </c>
      <c r="AG897" s="17">
        <f>IF($G897="","",IFERROR(INDEX(TIPOS_FLUXO_PLANO,MATCH($G897,SUBCATEGORIAS_PLANO,0)),"Não classificado"))</f>
        <v/>
      </c>
      <c r="AH897" s="9">
        <f>IF($G897="","",IFERROR(INDEX(GRUPOS_PLANO,MATCH($G897,SUBCATEGORIAS_PLANO,0)),"Não classificado"))</f>
        <v/>
      </c>
      <c r="AI897" s="24">
        <f>IF(OR($C897="",$X897="Pago",$X897="Recebido",$X897="Cancelado"),"",$C897-TODAY())</f>
        <v/>
      </c>
      <c r="AJ897" s="24">
        <f>IF(OR($C897="",$X897="Pago",$X897="Recebido",$X897="Cancelado"),0,MAX(0,TODAY()-$C897))</f>
        <v/>
      </c>
      <c r="AK897" s="24">
        <f>IF($D897="","",$D897-$B897)</f>
        <v/>
      </c>
      <c r="AL897" s="18">
        <f>IF(OR($D897="",$B897=""),"",ROUND(N($R897)*($D897-$B897),2))</f>
        <v/>
      </c>
      <c r="AM897" s="17">
        <f>IF(AND($E897="Saída",$W897&gt;0,$C897&lt;&gt;""),$C897+ROW()/1000000,"")</f>
        <v/>
      </c>
      <c r="AN897" s="17">
        <f>IF(AND($E897="Entrada",$W897&gt;0,$C897&lt;&gt;""),$C897+ROW()/1000000,"")</f>
        <v/>
      </c>
      <c r="AO897" s="9">
        <f>IF(COUNTA($B897:$R897)=0,"",IF(AND($I897&lt;&gt;"",COUNTIF(CLIENTES_NOMES,$I897)+COUNTIF(CLIENTES_FANTASIA,$I897)+COUNTIF(FORNECEDORES_NOMES,$I897)+COUNTIF(FORNECEDORES_FANTASIA,$I897)=0),"⚠ Cliente/Fornecedor não cadastrado",IF(AND($G897&lt;&gt;"",COUNTIF(SUBCATEGORIAS_PLANO,$G897)=0),"⚠ Subcategoria fora do plano de contas",IF(OR($Q897="",N($Q897)=0),"⚠ Valor previsto não informado",IF(AND(OR($X897="Pago",$X897="Recebido"),$D897=""),"⚠ Status pago/recebido sem data",IF(AND($D897&lt;&gt;"",N($R897)=0),"⚠ Data de pagamento sem valor realizado",IF(AND(N($P897)&gt;1,N($O897)&gt;N($P897)),"⚠ Nº da parcela maior que o total",IF(AND($C897&lt;&gt;"",$B897&lt;&gt;"",$C897&lt;$B897),"⚠ Vencimento anterior à competência","OK"))))))))</f>
        <v/>
      </c>
    </row>
    <row r="898">
      <c r="A898" s="14" t="n"/>
      <c r="B898" s="36" t="n"/>
      <c r="C898" s="36" t="n"/>
      <c r="D898" s="36" t="n"/>
      <c r="E898" s="14" t="n"/>
      <c r="F898" s="29" t="n"/>
      <c r="G898" s="29" t="n"/>
      <c r="H898" s="29" t="n"/>
      <c r="I898" s="29" t="n"/>
      <c r="J898" s="29" t="n"/>
      <c r="K898" s="14" t="n"/>
      <c r="L898" s="29" t="n"/>
      <c r="M898" s="14" t="n"/>
      <c r="N898" s="29" t="n"/>
      <c r="O898" s="13" t="n"/>
      <c r="P898" s="13" t="n"/>
      <c r="Q898" s="35" t="n"/>
      <c r="R898" s="35" t="n"/>
      <c r="S898" s="35" t="n"/>
      <c r="T898" s="35" t="n"/>
      <c r="U898" s="35" t="n"/>
      <c r="V898" s="18">
        <f>IF(COUNTA($B898:$R898)=0,"",ROUND(N($R898)+N($S898)+N($T898)-N($U898),2))</f>
        <v/>
      </c>
      <c r="W898" s="18">
        <f>IF(COUNTA($B898:$R898)=0,"",IF(OR($X898="Pago",$X898="Recebido",$X898="Cancelado"),0,ROUND(N($Q898)+N($S898)+N($T898)-N($U898)-N($R898),2)))</f>
        <v/>
      </c>
      <c r="X898" s="14" t="n"/>
      <c r="Y898" s="17">
        <f>IF(COUNTA($B898:$R898)=0,"",IF($X898="Cancelado","Cancelado",IF(OR($X898="Pago",$X898="Recebido"),$X898,IF(OR($X898="Parcial",N($R898)&gt;0),"Parcial",IF($C898="","Sem vencimento",IF($C898&lt;TODAY(),"Vencido",IF($C898=TODAY(),"Vence hoje",IF($C898&lt;=TODAY()+7,"Vence em 7 dias",IF($C898&lt;=TODAY()+30,"Vence em 30 dias","Futuro")))))))))</f>
        <v/>
      </c>
      <c r="Z898" s="24">
        <f>IF($B898="","",MONTH($B898))</f>
        <v/>
      </c>
      <c r="AA898" s="24">
        <f>IF($B898="","",YEAR($B898))</f>
        <v/>
      </c>
      <c r="AB898" s="24">
        <f>IF($B898="","",ISOWEEKNUM($B898))</f>
        <v/>
      </c>
      <c r="AC898" s="17">
        <f>IF($B898="","",CHOOSE(WEEKDAY($B898,2),"Segunda","Terça","Quarta","Quinta","Sexta","Sábado","Domingo"))</f>
        <v/>
      </c>
      <c r="AD898" s="17">
        <f>IF($B898="","",TEXT($B898,"MM/AAAA"))</f>
        <v/>
      </c>
      <c r="AE898" s="18">
        <f>IF(COUNTA($B898:$R898)=0,"",IF($X898="Cancelado",0,ROUND(N($Q898)+N($S898)+N($T898)-N($U898),2)))</f>
        <v/>
      </c>
      <c r="AF898" s="9">
        <f>IF($G898="","",IFERROR(INDEX(LINHAS_DRE_PLANO,MATCH($G898,SUBCATEGORIAS_PLANO,0)),"Não classificado"))</f>
        <v/>
      </c>
      <c r="AG898" s="17">
        <f>IF($G898="","",IFERROR(INDEX(TIPOS_FLUXO_PLANO,MATCH($G898,SUBCATEGORIAS_PLANO,0)),"Não classificado"))</f>
        <v/>
      </c>
      <c r="AH898" s="9">
        <f>IF($G898="","",IFERROR(INDEX(GRUPOS_PLANO,MATCH($G898,SUBCATEGORIAS_PLANO,0)),"Não classificado"))</f>
        <v/>
      </c>
      <c r="AI898" s="24">
        <f>IF(OR($C898="",$X898="Pago",$X898="Recebido",$X898="Cancelado"),"",$C898-TODAY())</f>
        <v/>
      </c>
      <c r="AJ898" s="24">
        <f>IF(OR($C898="",$X898="Pago",$X898="Recebido",$X898="Cancelado"),0,MAX(0,TODAY()-$C898))</f>
        <v/>
      </c>
      <c r="AK898" s="24">
        <f>IF($D898="","",$D898-$B898)</f>
        <v/>
      </c>
      <c r="AL898" s="18">
        <f>IF(OR($D898="",$B898=""),"",ROUND(N($R898)*($D898-$B898),2))</f>
        <v/>
      </c>
      <c r="AM898" s="17">
        <f>IF(AND($E898="Saída",$W898&gt;0,$C898&lt;&gt;""),$C898+ROW()/1000000,"")</f>
        <v/>
      </c>
      <c r="AN898" s="17">
        <f>IF(AND($E898="Entrada",$W898&gt;0,$C898&lt;&gt;""),$C898+ROW()/1000000,"")</f>
        <v/>
      </c>
      <c r="AO898" s="9">
        <f>IF(COUNTA($B898:$R898)=0,"",IF(AND($I898&lt;&gt;"",COUNTIF(CLIENTES_NOMES,$I898)+COUNTIF(CLIENTES_FANTASIA,$I898)+COUNTIF(FORNECEDORES_NOMES,$I898)+COUNTIF(FORNECEDORES_FANTASIA,$I898)=0),"⚠ Cliente/Fornecedor não cadastrado",IF(AND($G898&lt;&gt;"",COUNTIF(SUBCATEGORIAS_PLANO,$G898)=0),"⚠ Subcategoria fora do plano de contas",IF(OR($Q898="",N($Q898)=0),"⚠ Valor previsto não informado",IF(AND(OR($X898="Pago",$X898="Recebido"),$D898=""),"⚠ Status pago/recebido sem data",IF(AND($D898&lt;&gt;"",N($R898)=0),"⚠ Data de pagamento sem valor realizado",IF(AND(N($P898)&gt;1,N($O898)&gt;N($P898)),"⚠ Nº da parcela maior que o total",IF(AND($C898&lt;&gt;"",$B898&lt;&gt;"",$C898&lt;$B898),"⚠ Vencimento anterior à competência","OK"))))))))</f>
        <v/>
      </c>
    </row>
    <row r="899">
      <c r="A899" s="14" t="n"/>
      <c r="B899" s="36" t="n"/>
      <c r="C899" s="36" t="n"/>
      <c r="D899" s="36" t="n"/>
      <c r="E899" s="14" t="n"/>
      <c r="F899" s="29" t="n"/>
      <c r="G899" s="29" t="n"/>
      <c r="H899" s="29" t="n"/>
      <c r="I899" s="29" t="n"/>
      <c r="J899" s="29" t="n"/>
      <c r="K899" s="14" t="n"/>
      <c r="L899" s="29" t="n"/>
      <c r="M899" s="14" t="n"/>
      <c r="N899" s="29" t="n"/>
      <c r="O899" s="13" t="n"/>
      <c r="P899" s="13" t="n"/>
      <c r="Q899" s="35" t="n"/>
      <c r="R899" s="35" t="n"/>
      <c r="S899" s="35" t="n"/>
      <c r="T899" s="35" t="n"/>
      <c r="U899" s="35" t="n"/>
      <c r="V899" s="18">
        <f>IF(COUNTA($B899:$R899)=0,"",ROUND(N($R899)+N($S899)+N($T899)-N($U899),2))</f>
        <v/>
      </c>
      <c r="W899" s="18">
        <f>IF(COUNTA($B899:$R899)=0,"",IF(OR($X899="Pago",$X899="Recebido",$X899="Cancelado"),0,ROUND(N($Q899)+N($S899)+N($T899)-N($U899)-N($R899),2)))</f>
        <v/>
      </c>
      <c r="X899" s="14" t="n"/>
      <c r="Y899" s="17">
        <f>IF(COUNTA($B899:$R899)=0,"",IF($X899="Cancelado","Cancelado",IF(OR($X899="Pago",$X899="Recebido"),$X899,IF(OR($X899="Parcial",N($R899)&gt;0),"Parcial",IF($C899="","Sem vencimento",IF($C899&lt;TODAY(),"Vencido",IF($C899=TODAY(),"Vence hoje",IF($C899&lt;=TODAY()+7,"Vence em 7 dias",IF($C899&lt;=TODAY()+30,"Vence em 30 dias","Futuro")))))))))</f>
        <v/>
      </c>
      <c r="Z899" s="24">
        <f>IF($B899="","",MONTH($B899))</f>
        <v/>
      </c>
      <c r="AA899" s="24">
        <f>IF($B899="","",YEAR($B899))</f>
        <v/>
      </c>
      <c r="AB899" s="24">
        <f>IF($B899="","",ISOWEEKNUM($B899))</f>
        <v/>
      </c>
      <c r="AC899" s="17">
        <f>IF($B899="","",CHOOSE(WEEKDAY($B899,2),"Segunda","Terça","Quarta","Quinta","Sexta","Sábado","Domingo"))</f>
        <v/>
      </c>
      <c r="AD899" s="17">
        <f>IF($B899="","",TEXT($B899,"MM/AAAA"))</f>
        <v/>
      </c>
      <c r="AE899" s="18">
        <f>IF(COUNTA($B899:$R899)=0,"",IF($X899="Cancelado",0,ROUND(N($Q899)+N($S899)+N($T899)-N($U899),2)))</f>
        <v/>
      </c>
      <c r="AF899" s="9">
        <f>IF($G899="","",IFERROR(INDEX(LINHAS_DRE_PLANO,MATCH($G899,SUBCATEGORIAS_PLANO,0)),"Não classificado"))</f>
        <v/>
      </c>
      <c r="AG899" s="17">
        <f>IF($G899="","",IFERROR(INDEX(TIPOS_FLUXO_PLANO,MATCH($G899,SUBCATEGORIAS_PLANO,0)),"Não classificado"))</f>
        <v/>
      </c>
      <c r="AH899" s="9">
        <f>IF($G899="","",IFERROR(INDEX(GRUPOS_PLANO,MATCH($G899,SUBCATEGORIAS_PLANO,0)),"Não classificado"))</f>
        <v/>
      </c>
      <c r="AI899" s="24">
        <f>IF(OR($C899="",$X899="Pago",$X899="Recebido",$X899="Cancelado"),"",$C899-TODAY())</f>
        <v/>
      </c>
      <c r="AJ899" s="24">
        <f>IF(OR($C899="",$X899="Pago",$X899="Recebido",$X899="Cancelado"),0,MAX(0,TODAY()-$C899))</f>
        <v/>
      </c>
      <c r="AK899" s="24">
        <f>IF($D899="","",$D899-$B899)</f>
        <v/>
      </c>
      <c r="AL899" s="18">
        <f>IF(OR($D899="",$B899=""),"",ROUND(N($R899)*($D899-$B899),2))</f>
        <v/>
      </c>
      <c r="AM899" s="17">
        <f>IF(AND($E899="Saída",$W899&gt;0,$C899&lt;&gt;""),$C899+ROW()/1000000,"")</f>
        <v/>
      </c>
      <c r="AN899" s="17">
        <f>IF(AND($E899="Entrada",$W899&gt;0,$C899&lt;&gt;""),$C899+ROW()/1000000,"")</f>
        <v/>
      </c>
      <c r="AO899" s="9">
        <f>IF(COUNTA($B899:$R899)=0,"",IF(AND($I899&lt;&gt;"",COUNTIF(CLIENTES_NOMES,$I899)+COUNTIF(CLIENTES_FANTASIA,$I899)+COUNTIF(FORNECEDORES_NOMES,$I899)+COUNTIF(FORNECEDORES_FANTASIA,$I899)=0),"⚠ Cliente/Fornecedor não cadastrado",IF(AND($G899&lt;&gt;"",COUNTIF(SUBCATEGORIAS_PLANO,$G899)=0),"⚠ Subcategoria fora do plano de contas",IF(OR($Q899="",N($Q899)=0),"⚠ Valor previsto não informado",IF(AND(OR($X899="Pago",$X899="Recebido"),$D899=""),"⚠ Status pago/recebido sem data",IF(AND($D899&lt;&gt;"",N($R899)=0),"⚠ Data de pagamento sem valor realizado",IF(AND(N($P899)&gt;1,N($O899)&gt;N($P899)),"⚠ Nº da parcela maior que o total",IF(AND($C899&lt;&gt;"",$B899&lt;&gt;"",$C899&lt;$B899),"⚠ Vencimento anterior à competência","OK"))))))))</f>
        <v/>
      </c>
    </row>
    <row r="900">
      <c r="A900" s="14" t="n"/>
      <c r="B900" s="36" t="n"/>
      <c r="C900" s="36" t="n"/>
      <c r="D900" s="36" t="n"/>
      <c r="E900" s="14" t="n"/>
      <c r="F900" s="29" t="n"/>
      <c r="G900" s="29" t="n"/>
      <c r="H900" s="29" t="n"/>
      <c r="I900" s="29" t="n"/>
      <c r="J900" s="29" t="n"/>
      <c r="K900" s="14" t="n"/>
      <c r="L900" s="29" t="n"/>
      <c r="M900" s="14" t="n"/>
      <c r="N900" s="29" t="n"/>
      <c r="O900" s="13" t="n"/>
      <c r="P900" s="13" t="n"/>
      <c r="Q900" s="35" t="n"/>
      <c r="R900" s="35" t="n"/>
      <c r="S900" s="35" t="n"/>
      <c r="T900" s="35" t="n"/>
      <c r="U900" s="35" t="n"/>
      <c r="V900" s="18">
        <f>IF(COUNTA($B900:$R900)=0,"",ROUND(N($R900)+N($S900)+N($T900)-N($U900),2))</f>
        <v/>
      </c>
      <c r="W900" s="18">
        <f>IF(COUNTA($B900:$R900)=0,"",IF(OR($X900="Pago",$X900="Recebido",$X900="Cancelado"),0,ROUND(N($Q900)+N($S900)+N($T900)-N($U900)-N($R900),2)))</f>
        <v/>
      </c>
      <c r="X900" s="14" t="n"/>
      <c r="Y900" s="17">
        <f>IF(COUNTA($B900:$R900)=0,"",IF($X900="Cancelado","Cancelado",IF(OR($X900="Pago",$X900="Recebido"),$X900,IF(OR($X900="Parcial",N($R900)&gt;0),"Parcial",IF($C900="","Sem vencimento",IF($C900&lt;TODAY(),"Vencido",IF($C900=TODAY(),"Vence hoje",IF($C900&lt;=TODAY()+7,"Vence em 7 dias",IF($C900&lt;=TODAY()+30,"Vence em 30 dias","Futuro")))))))))</f>
        <v/>
      </c>
      <c r="Z900" s="24">
        <f>IF($B900="","",MONTH($B900))</f>
        <v/>
      </c>
      <c r="AA900" s="24">
        <f>IF($B900="","",YEAR($B900))</f>
        <v/>
      </c>
      <c r="AB900" s="24">
        <f>IF($B900="","",ISOWEEKNUM($B900))</f>
        <v/>
      </c>
      <c r="AC900" s="17">
        <f>IF($B900="","",CHOOSE(WEEKDAY($B900,2),"Segunda","Terça","Quarta","Quinta","Sexta","Sábado","Domingo"))</f>
        <v/>
      </c>
      <c r="AD900" s="17">
        <f>IF($B900="","",TEXT($B900,"MM/AAAA"))</f>
        <v/>
      </c>
      <c r="AE900" s="18">
        <f>IF(COUNTA($B900:$R900)=0,"",IF($X900="Cancelado",0,ROUND(N($Q900)+N($S900)+N($T900)-N($U900),2)))</f>
        <v/>
      </c>
      <c r="AF900" s="9">
        <f>IF($G900="","",IFERROR(INDEX(LINHAS_DRE_PLANO,MATCH($G900,SUBCATEGORIAS_PLANO,0)),"Não classificado"))</f>
        <v/>
      </c>
      <c r="AG900" s="17">
        <f>IF($G900="","",IFERROR(INDEX(TIPOS_FLUXO_PLANO,MATCH($G900,SUBCATEGORIAS_PLANO,0)),"Não classificado"))</f>
        <v/>
      </c>
      <c r="AH900" s="9">
        <f>IF($G900="","",IFERROR(INDEX(GRUPOS_PLANO,MATCH($G900,SUBCATEGORIAS_PLANO,0)),"Não classificado"))</f>
        <v/>
      </c>
      <c r="AI900" s="24">
        <f>IF(OR($C900="",$X900="Pago",$X900="Recebido",$X900="Cancelado"),"",$C900-TODAY())</f>
        <v/>
      </c>
      <c r="AJ900" s="24">
        <f>IF(OR($C900="",$X900="Pago",$X900="Recebido",$X900="Cancelado"),0,MAX(0,TODAY()-$C900))</f>
        <v/>
      </c>
      <c r="AK900" s="24">
        <f>IF($D900="","",$D900-$B900)</f>
        <v/>
      </c>
      <c r="AL900" s="18">
        <f>IF(OR($D900="",$B900=""),"",ROUND(N($R900)*($D900-$B900),2))</f>
        <v/>
      </c>
      <c r="AM900" s="17">
        <f>IF(AND($E900="Saída",$W900&gt;0,$C900&lt;&gt;""),$C900+ROW()/1000000,"")</f>
        <v/>
      </c>
      <c r="AN900" s="17">
        <f>IF(AND($E900="Entrada",$W900&gt;0,$C900&lt;&gt;""),$C900+ROW()/1000000,"")</f>
        <v/>
      </c>
      <c r="AO900" s="9">
        <f>IF(COUNTA($B900:$R900)=0,"",IF(AND($I900&lt;&gt;"",COUNTIF(CLIENTES_NOMES,$I900)+COUNTIF(CLIENTES_FANTASIA,$I900)+COUNTIF(FORNECEDORES_NOMES,$I900)+COUNTIF(FORNECEDORES_FANTASIA,$I900)=0),"⚠ Cliente/Fornecedor não cadastrado",IF(AND($G900&lt;&gt;"",COUNTIF(SUBCATEGORIAS_PLANO,$G900)=0),"⚠ Subcategoria fora do plano de contas",IF(OR($Q900="",N($Q900)=0),"⚠ Valor previsto não informado",IF(AND(OR($X900="Pago",$X900="Recebido"),$D900=""),"⚠ Status pago/recebido sem data",IF(AND($D900&lt;&gt;"",N($R900)=0),"⚠ Data de pagamento sem valor realizado",IF(AND(N($P900)&gt;1,N($O900)&gt;N($P900)),"⚠ Nº da parcela maior que o total",IF(AND($C900&lt;&gt;"",$B900&lt;&gt;"",$C900&lt;$B900),"⚠ Vencimento anterior à competência","OK"))))))))</f>
        <v/>
      </c>
    </row>
    <row r="901">
      <c r="A901" s="14" t="n"/>
      <c r="B901" s="36" t="n"/>
      <c r="C901" s="36" t="n"/>
      <c r="D901" s="36" t="n"/>
      <c r="E901" s="14" t="n"/>
      <c r="F901" s="29" t="n"/>
      <c r="G901" s="29" t="n"/>
      <c r="H901" s="29" t="n"/>
      <c r="I901" s="29" t="n"/>
      <c r="J901" s="29" t="n"/>
      <c r="K901" s="14" t="n"/>
      <c r="L901" s="29" t="n"/>
      <c r="M901" s="14" t="n"/>
      <c r="N901" s="29" t="n"/>
      <c r="O901" s="13" t="n"/>
      <c r="P901" s="13" t="n"/>
      <c r="Q901" s="35" t="n"/>
      <c r="R901" s="35" t="n"/>
      <c r="S901" s="35" t="n"/>
      <c r="T901" s="35" t="n"/>
      <c r="U901" s="35" t="n"/>
      <c r="V901" s="18">
        <f>IF(COUNTA($B901:$R901)=0,"",ROUND(N($R901)+N($S901)+N($T901)-N($U901),2))</f>
        <v/>
      </c>
      <c r="W901" s="18">
        <f>IF(COUNTA($B901:$R901)=0,"",IF(OR($X901="Pago",$X901="Recebido",$X901="Cancelado"),0,ROUND(N($Q901)+N($S901)+N($T901)-N($U901)-N($R901),2)))</f>
        <v/>
      </c>
      <c r="X901" s="14" t="n"/>
      <c r="Y901" s="17">
        <f>IF(COUNTA($B901:$R901)=0,"",IF($X901="Cancelado","Cancelado",IF(OR($X901="Pago",$X901="Recebido"),$X901,IF(OR($X901="Parcial",N($R901)&gt;0),"Parcial",IF($C901="","Sem vencimento",IF($C901&lt;TODAY(),"Vencido",IF($C901=TODAY(),"Vence hoje",IF($C901&lt;=TODAY()+7,"Vence em 7 dias",IF($C901&lt;=TODAY()+30,"Vence em 30 dias","Futuro")))))))))</f>
        <v/>
      </c>
      <c r="Z901" s="24">
        <f>IF($B901="","",MONTH($B901))</f>
        <v/>
      </c>
      <c r="AA901" s="24">
        <f>IF($B901="","",YEAR($B901))</f>
        <v/>
      </c>
      <c r="AB901" s="24">
        <f>IF($B901="","",ISOWEEKNUM($B901))</f>
        <v/>
      </c>
      <c r="AC901" s="17">
        <f>IF($B901="","",CHOOSE(WEEKDAY($B901,2),"Segunda","Terça","Quarta","Quinta","Sexta","Sábado","Domingo"))</f>
        <v/>
      </c>
      <c r="AD901" s="17">
        <f>IF($B901="","",TEXT($B901,"MM/AAAA"))</f>
        <v/>
      </c>
      <c r="AE901" s="18">
        <f>IF(COUNTA($B901:$R901)=0,"",IF($X901="Cancelado",0,ROUND(N($Q901)+N($S901)+N($T901)-N($U901),2)))</f>
        <v/>
      </c>
      <c r="AF901" s="9">
        <f>IF($G901="","",IFERROR(INDEX(LINHAS_DRE_PLANO,MATCH($G901,SUBCATEGORIAS_PLANO,0)),"Não classificado"))</f>
        <v/>
      </c>
      <c r="AG901" s="17">
        <f>IF($G901="","",IFERROR(INDEX(TIPOS_FLUXO_PLANO,MATCH($G901,SUBCATEGORIAS_PLANO,0)),"Não classificado"))</f>
        <v/>
      </c>
      <c r="AH901" s="9">
        <f>IF($G901="","",IFERROR(INDEX(GRUPOS_PLANO,MATCH($G901,SUBCATEGORIAS_PLANO,0)),"Não classificado"))</f>
        <v/>
      </c>
      <c r="AI901" s="24">
        <f>IF(OR($C901="",$X901="Pago",$X901="Recebido",$X901="Cancelado"),"",$C901-TODAY())</f>
        <v/>
      </c>
      <c r="AJ901" s="24">
        <f>IF(OR($C901="",$X901="Pago",$X901="Recebido",$X901="Cancelado"),0,MAX(0,TODAY()-$C901))</f>
        <v/>
      </c>
      <c r="AK901" s="24">
        <f>IF($D901="","",$D901-$B901)</f>
        <v/>
      </c>
      <c r="AL901" s="18">
        <f>IF(OR($D901="",$B901=""),"",ROUND(N($R901)*($D901-$B901),2))</f>
        <v/>
      </c>
      <c r="AM901" s="17">
        <f>IF(AND($E901="Saída",$W901&gt;0,$C901&lt;&gt;""),$C901+ROW()/1000000,"")</f>
        <v/>
      </c>
      <c r="AN901" s="17">
        <f>IF(AND($E901="Entrada",$W901&gt;0,$C901&lt;&gt;""),$C901+ROW()/1000000,"")</f>
        <v/>
      </c>
      <c r="AO901" s="9">
        <f>IF(COUNTA($B901:$R901)=0,"",IF(AND($I901&lt;&gt;"",COUNTIF(CLIENTES_NOMES,$I901)+COUNTIF(CLIENTES_FANTASIA,$I901)+COUNTIF(FORNECEDORES_NOMES,$I901)+COUNTIF(FORNECEDORES_FANTASIA,$I901)=0),"⚠ Cliente/Fornecedor não cadastrado",IF(AND($G901&lt;&gt;"",COUNTIF(SUBCATEGORIAS_PLANO,$G901)=0),"⚠ Subcategoria fora do plano de contas",IF(OR($Q901="",N($Q901)=0),"⚠ Valor previsto não informado",IF(AND(OR($X901="Pago",$X901="Recebido"),$D901=""),"⚠ Status pago/recebido sem data",IF(AND($D901&lt;&gt;"",N($R901)=0),"⚠ Data de pagamento sem valor realizado",IF(AND(N($P901)&gt;1,N($O901)&gt;N($P901)),"⚠ Nº da parcela maior que o total",IF(AND($C901&lt;&gt;"",$B901&lt;&gt;"",$C901&lt;$B901),"⚠ Vencimento anterior à competência","OK"))))))))</f>
        <v/>
      </c>
    </row>
    <row r="902">
      <c r="A902" s="14" t="n"/>
      <c r="B902" s="36" t="n"/>
      <c r="C902" s="36" t="n"/>
      <c r="D902" s="36" t="n"/>
      <c r="E902" s="14" t="n"/>
      <c r="F902" s="29" t="n"/>
      <c r="G902" s="29" t="n"/>
      <c r="H902" s="29" t="n"/>
      <c r="I902" s="29" t="n"/>
      <c r="J902" s="29" t="n"/>
      <c r="K902" s="14" t="n"/>
      <c r="L902" s="29" t="n"/>
      <c r="M902" s="14" t="n"/>
      <c r="N902" s="29" t="n"/>
      <c r="O902" s="13" t="n"/>
      <c r="P902" s="13" t="n"/>
      <c r="Q902" s="35" t="n"/>
      <c r="R902" s="35" t="n"/>
      <c r="S902" s="35" t="n"/>
      <c r="T902" s="35" t="n"/>
      <c r="U902" s="35" t="n"/>
      <c r="V902" s="18">
        <f>IF(COUNTA($B902:$R902)=0,"",ROUND(N($R902)+N($S902)+N($T902)-N($U902),2))</f>
        <v/>
      </c>
      <c r="W902" s="18">
        <f>IF(COUNTA($B902:$R902)=0,"",IF(OR($X902="Pago",$X902="Recebido",$X902="Cancelado"),0,ROUND(N($Q902)+N($S902)+N($T902)-N($U902)-N($R902),2)))</f>
        <v/>
      </c>
      <c r="X902" s="14" t="n"/>
      <c r="Y902" s="17">
        <f>IF(COUNTA($B902:$R902)=0,"",IF($X902="Cancelado","Cancelado",IF(OR($X902="Pago",$X902="Recebido"),$X902,IF(OR($X902="Parcial",N($R902)&gt;0),"Parcial",IF($C902="","Sem vencimento",IF($C902&lt;TODAY(),"Vencido",IF($C902=TODAY(),"Vence hoje",IF($C902&lt;=TODAY()+7,"Vence em 7 dias",IF($C902&lt;=TODAY()+30,"Vence em 30 dias","Futuro")))))))))</f>
        <v/>
      </c>
      <c r="Z902" s="24">
        <f>IF($B902="","",MONTH($B902))</f>
        <v/>
      </c>
      <c r="AA902" s="24">
        <f>IF($B902="","",YEAR($B902))</f>
        <v/>
      </c>
      <c r="AB902" s="24">
        <f>IF($B902="","",ISOWEEKNUM($B902))</f>
        <v/>
      </c>
      <c r="AC902" s="17">
        <f>IF($B902="","",CHOOSE(WEEKDAY($B902,2),"Segunda","Terça","Quarta","Quinta","Sexta","Sábado","Domingo"))</f>
        <v/>
      </c>
      <c r="AD902" s="17">
        <f>IF($B902="","",TEXT($B902,"MM/AAAA"))</f>
        <v/>
      </c>
      <c r="AE902" s="18">
        <f>IF(COUNTA($B902:$R902)=0,"",IF($X902="Cancelado",0,ROUND(N($Q902)+N($S902)+N($T902)-N($U902),2)))</f>
        <v/>
      </c>
      <c r="AF902" s="9">
        <f>IF($G902="","",IFERROR(INDEX(LINHAS_DRE_PLANO,MATCH($G902,SUBCATEGORIAS_PLANO,0)),"Não classificado"))</f>
        <v/>
      </c>
      <c r="AG902" s="17">
        <f>IF($G902="","",IFERROR(INDEX(TIPOS_FLUXO_PLANO,MATCH($G902,SUBCATEGORIAS_PLANO,0)),"Não classificado"))</f>
        <v/>
      </c>
      <c r="AH902" s="9">
        <f>IF($G902="","",IFERROR(INDEX(GRUPOS_PLANO,MATCH($G902,SUBCATEGORIAS_PLANO,0)),"Não classificado"))</f>
        <v/>
      </c>
      <c r="AI902" s="24">
        <f>IF(OR($C902="",$X902="Pago",$X902="Recebido",$X902="Cancelado"),"",$C902-TODAY())</f>
        <v/>
      </c>
      <c r="AJ902" s="24">
        <f>IF(OR($C902="",$X902="Pago",$X902="Recebido",$X902="Cancelado"),0,MAX(0,TODAY()-$C902))</f>
        <v/>
      </c>
      <c r="AK902" s="24">
        <f>IF($D902="","",$D902-$B902)</f>
        <v/>
      </c>
      <c r="AL902" s="18">
        <f>IF(OR($D902="",$B902=""),"",ROUND(N($R902)*($D902-$B902),2))</f>
        <v/>
      </c>
      <c r="AM902" s="17">
        <f>IF(AND($E902="Saída",$W902&gt;0,$C902&lt;&gt;""),$C902+ROW()/1000000,"")</f>
        <v/>
      </c>
      <c r="AN902" s="17">
        <f>IF(AND($E902="Entrada",$W902&gt;0,$C902&lt;&gt;""),$C902+ROW()/1000000,"")</f>
        <v/>
      </c>
      <c r="AO902" s="9">
        <f>IF(COUNTA($B902:$R902)=0,"",IF(AND($I902&lt;&gt;"",COUNTIF(CLIENTES_NOMES,$I902)+COUNTIF(CLIENTES_FANTASIA,$I902)+COUNTIF(FORNECEDORES_NOMES,$I902)+COUNTIF(FORNECEDORES_FANTASIA,$I902)=0),"⚠ Cliente/Fornecedor não cadastrado",IF(AND($G902&lt;&gt;"",COUNTIF(SUBCATEGORIAS_PLANO,$G902)=0),"⚠ Subcategoria fora do plano de contas",IF(OR($Q902="",N($Q902)=0),"⚠ Valor previsto não informado",IF(AND(OR($X902="Pago",$X902="Recebido"),$D902=""),"⚠ Status pago/recebido sem data",IF(AND($D902&lt;&gt;"",N($R902)=0),"⚠ Data de pagamento sem valor realizado",IF(AND(N($P902)&gt;1,N($O902)&gt;N($P902)),"⚠ Nº da parcela maior que o total",IF(AND($C902&lt;&gt;"",$B902&lt;&gt;"",$C902&lt;$B902),"⚠ Vencimento anterior à competência","OK"))))))))</f>
        <v/>
      </c>
    </row>
    <row r="903">
      <c r="A903" s="14" t="n"/>
      <c r="B903" s="36" t="n"/>
      <c r="C903" s="36" t="n"/>
      <c r="D903" s="36" t="n"/>
      <c r="E903" s="14" t="n"/>
      <c r="F903" s="29" t="n"/>
      <c r="G903" s="29" t="n"/>
      <c r="H903" s="29" t="n"/>
      <c r="I903" s="29" t="n"/>
      <c r="J903" s="29" t="n"/>
      <c r="K903" s="14" t="n"/>
      <c r="L903" s="29" t="n"/>
      <c r="M903" s="14" t="n"/>
      <c r="N903" s="29" t="n"/>
      <c r="O903" s="13" t="n"/>
      <c r="P903" s="13" t="n"/>
      <c r="Q903" s="35" t="n"/>
      <c r="R903" s="35" t="n"/>
      <c r="S903" s="35" t="n"/>
      <c r="T903" s="35" t="n"/>
      <c r="U903" s="35" t="n"/>
      <c r="V903" s="18">
        <f>IF(COUNTA($B903:$R903)=0,"",ROUND(N($R903)+N($S903)+N($T903)-N($U903),2))</f>
        <v/>
      </c>
      <c r="W903" s="18">
        <f>IF(COUNTA($B903:$R903)=0,"",IF(OR($X903="Pago",$X903="Recebido",$X903="Cancelado"),0,ROUND(N($Q903)+N($S903)+N($T903)-N($U903)-N($R903),2)))</f>
        <v/>
      </c>
      <c r="X903" s="14" t="n"/>
      <c r="Y903" s="17">
        <f>IF(COUNTA($B903:$R903)=0,"",IF($X903="Cancelado","Cancelado",IF(OR($X903="Pago",$X903="Recebido"),$X903,IF(OR($X903="Parcial",N($R903)&gt;0),"Parcial",IF($C903="","Sem vencimento",IF($C903&lt;TODAY(),"Vencido",IF($C903=TODAY(),"Vence hoje",IF($C903&lt;=TODAY()+7,"Vence em 7 dias",IF($C903&lt;=TODAY()+30,"Vence em 30 dias","Futuro")))))))))</f>
        <v/>
      </c>
      <c r="Z903" s="24">
        <f>IF($B903="","",MONTH($B903))</f>
        <v/>
      </c>
      <c r="AA903" s="24">
        <f>IF($B903="","",YEAR($B903))</f>
        <v/>
      </c>
      <c r="AB903" s="24">
        <f>IF($B903="","",ISOWEEKNUM($B903))</f>
        <v/>
      </c>
      <c r="AC903" s="17">
        <f>IF($B903="","",CHOOSE(WEEKDAY($B903,2),"Segunda","Terça","Quarta","Quinta","Sexta","Sábado","Domingo"))</f>
        <v/>
      </c>
      <c r="AD903" s="17">
        <f>IF($B903="","",TEXT($B903,"MM/AAAA"))</f>
        <v/>
      </c>
      <c r="AE903" s="18">
        <f>IF(COUNTA($B903:$R903)=0,"",IF($X903="Cancelado",0,ROUND(N($Q903)+N($S903)+N($T903)-N($U903),2)))</f>
        <v/>
      </c>
      <c r="AF903" s="9">
        <f>IF($G903="","",IFERROR(INDEX(LINHAS_DRE_PLANO,MATCH($G903,SUBCATEGORIAS_PLANO,0)),"Não classificado"))</f>
        <v/>
      </c>
      <c r="AG903" s="17">
        <f>IF($G903="","",IFERROR(INDEX(TIPOS_FLUXO_PLANO,MATCH($G903,SUBCATEGORIAS_PLANO,0)),"Não classificado"))</f>
        <v/>
      </c>
      <c r="AH903" s="9">
        <f>IF($G903="","",IFERROR(INDEX(GRUPOS_PLANO,MATCH($G903,SUBCATEGORIAS_PLANO,0)),"Não classificado"))</f>
        <v/>
      </c>
      <c r="AI903" s="24">
        <f>IF(OR($C903="",$X903="Pago",$X903="Recebido",$X903="Cancelado"),"",$C903-TODAY())</f>
        <v/>
      </c>
      <c r="AJ903" s="24">
        <f>IF(OR($C903="",$X903="Pago",$X903="Recebido",$X903="Cancelado"),0,MAX(0,TODAY()-$C903))</f>
        <v/>
      </c>
      <c r="AK903" s="24">
        <f>IF($D903="","",$D903-$B903)</f>
        <v/>
      </c>
      <c r="AL903" s="18">
        <f>IF(OR($D903="",$B903=""),"",ROUND(N($R903)*($D903-$B903),2))</f>
        <v/>
      </c>
      <c r="AM903" s="17">
        <f>IF(AND($E903="Saída",$W903&gt;0,$C903&lt;&gt;""),$C903+ROW()/1000000,"")</f>
        <v/>
      </c>
      <c r="AN903" s="17">
        <f>IF(AND($E903="Entrada",$W903&gt;0,$C903&lt;&gt;""),$C903+ROW()/1000000,"")</f>
        <v/>
      </c>
      <c r="AO903" s="9">
        <f>IF(COUNTA($B903:$R903)=0,"",IF(AND($I903&lt;&gt;"",COUNTIF(CLIENTES_NOMES,$I903)+COUNTIF(CLIENTES_FANTASIA,$I903)+COUNTIF(FORNECEDORES_NOMES,$I903)+COUNTIF(FORNECEDORES_FANTASIA,$I903)=0),"⚠ Cliente/Fornecedor não cadastrado",IF(AND($G903&lt;&gt;"",COUNTIF(SUBCATEGORIAS_PLANO,$G903)=0),"⚠ Subcategoria fora do plano de contas",IF(OR($Q903="",N($Q903)=0),"⚠ Valor previsto não informado",IF(AND(OR($X903="Pago",$X903="Recebido"),$D903=""),"⚠ Status pago/recebido sem data",IF(AND($D903&lt;&gt;"",N($R903)=0),"⚠ Data de pagamento sem valor realizado",IF(AND(N($P903)&gt;1,N($O903)&gt;N($P903)),"⚠ Nº da parcela maior que o total",IF(AND($C903&lt;&gt;"",$B903&lt;&gt;"",$C903&lt;$B903),"⚠ Vencimento anterior à competência","OK"))))))))</f>
        <v/>
      </c>
    </row>
    <row r="904">
      <c r="A904" s="14" t="n"/>
      <c r="B904" s="36" t="n"/>
      <c r="C904" s="36" t="n"/>
      <c r="D904" s="36" t="n"/>
      <c r="E904" s="14" t="n"/>
      <c r="F904" s="29" t="n"/>
      <c r="G904" s="29" t="n"/>
      <c r="H904" s="29" t="n"/>
      <c r="I904" s="29" t="n"/>
      <c r="J904" s="29" t="n"/>
      <c r="K904" s="14" t="n"/>
      <c r="L904" s="29" t="n"/>
      <c r="M904" s="14" t="n"/>
      <c r="N904" s="29" t="n"/>
      <c r="O904" s="13" t="n"/>
      <c r="P904" s="13" t="n"/>
      <c r="Q904" s="35" t="n"/>
      <c r="R904" s="35" t="n"/>
      <c r="S904" s="35" t="n"/>
      <c r="T904" s="35" t="n"/>
      <c r="U904" s="35" t="n"/>
      <c r="V904" s="18">
        <f>IF(COUNTA($B904:$R904)=0,"",ROUND(N($R904)+N($S904)+N($T904)-N($U904),2))</f>
        <v/>
      </c>
      <c r="W904" s="18">
        <f>IF(COUNTA($B904:$R904)=0,"",IF(OR($X904="Pago",$X904="Recebido",$X904="Cancelado"),0,ROUND(N($Q904)+N($S904)+N($T904)-N($U904)-N($R904),2)))</f>
        <v/>
      </c>
      <c r="X904" s="14" t="n"/>
      <c r="Y904" s="17">
        <f>IF(COUNTA($B904:$R904)=0,"",IF($X904="Cancelado","Cancelado",IF(OR($X904="Pago",$X904="Recebido"),$X904,IF(OR($X904="Parcial",N($R904)&gt;0),"Parcial",IF($C904="","Sem vencimento",IF($C904&lt;TODAY(),"Vencido",IF($C904=TODAY(),"Vence hoje",IF($C904&lt;=TODAY()+7,"Vence em 7 dias",IF($C904&lt;=TODAY()+30,"Vence em 30 dias","Futuro")))))))))</f>
        <v/>
      </c>
      <c r="Z904" s="24">
        <f>IF($B904="","",MONTH($B904))</f>
        <v/>
      </c>
      <c r="AA904" s="24">
        <f>IF($B904="","",YEAR($B904))</f>
        <v/>
      </c>
      <c r="AB904" s="24">
        <f>IF($B904="","",ISOWEEKNUM($B904))</f>
        <v/>
      </c>
      <c r="AC904" s="17">
        <f>IF($B904="","",CHOOSE(WEEKDAY($B904,2),"Segunda","Terça","Quarta","Quinta","Sexta","Sábado","Domingo"))</f>
        <v/>
      </c>
      <c r="AD904" s="17">
        <f>IF($B904="","",TEXT($B904,"MM/AAAA"))</f>
        <v/>
      </c>
      <c r="AE904" s="18">
        <f>IF(COUNTA($B904:$R904)=0,"",IF($X904="Cancelado",0,ROUND(N($Q904)+N($S904)+N($T904)-N($U904),2)))</f>
        <v/>
      </c>
      <c r="AF904" s="9">
        <f>IF($G904="","",IFERROR(INDEX(LINHAS_DRE_PLANO,MATCH($G904,SUBCATEGORIAS_PLANO,0)),"Não classificado"))</f>
        <v/>
      </c>
      <c r="AG904" s="17">
        <f>IF($G904="","",IFERROR(INDEX(TIPOS_FLUXO_PLANO,MATCH($G904,SUBCATEGORIAS_PLANO,0)),"Não classificado"))</f>
        <v/>
      </c>
      <c r="AH904" s="9">
        <f>IF($G904="","",IFERROR(INDEX(GRUPOS_PLANO,MATCH($G904,SUBCATEGORIAS_PLANO,0)),"Não classificado"))</f>
        <v/>
      </c>
      <c r="AI904" s="24">
        <f>IF(OR($C904="",$X904="Pago",$X904="Recebido",$X904="Cancelado"),"",$C904-TODAY())</f>
        <v/>
      </c>
      <c r="AJ904" s="24">
        <f>IF(OR($C904="",$X904="Pago",$X904="Recebido",$X904="Cancelado"),0,MAX(0,TODAY()-$C904))</f>
        <v/>
      </c>
      <c r="AK904" s="24">
        <f>IF($D904="","",$D904-$B904)</f>
        <v/>
      </c>
      <c r="AL904" s="18">
        <f>IF(OR($D904="",$B904=""),"",ROUND(N($R904)*($D904-$B904),2))</f>
        <v/>
      </c>
      <c r="AM904" s="17">
        <f>IF(AND($E904="Saída",$W904&gt;0,$C904&lt;&gt;""),$C904+ROW()/1000000,"")</f>
        <v/>
      </c>
      <c r="AN904" s="17">
        <f>IF(AND($E904="Entrada",$W904&gt;0,$C904&lt;&gt;""),$C904+ROW()/1000000,"")</f>
        <v/>
      </c>
      <c r="AO904" s="9">
        <f>IF(COUNTA($B904:$R904)=0,"",IF(AND($I904&lt;&gt;"",COUNTIF(CLIENTES_NOMES,$I904)+COUNTIF(CLIENTES_FANTASIA,$I904)+COUNTIF(FORNECEDORES_NOMES,$I904)+COUNTIF(FORNECEDORES_FANTASIA,$I904)=0),"⚠ Cliente/Fornecedor não cadastrado",IF(AND($G904&lt;&gt;"",COUNTIF(SUBCATEGORIAS_PLANO,$G904)=0),"⚠ Subcategoria fora do plano de contas",IF(OR($Q904="",N($Q904)=0),"⚠ Valor previsto não informado",IF(AND(OR($X904="Pago",$X904="Recebido"),$D904=""),"⚠ Status pago/recebido sem data",IF(AND($D904&lt;&gt;"",N($R904)=0),"⚠ Data de pagamento sem valor realizado",IF(AND(N($P904)&gt;1,N($O904)&gt;N($P904)),"⚠ Nº da parcela maior que o total",IF(AND($C904&lt;&gt;"",$B904&lt;&gt;"",$C904&lt;$B904),"⚠ Vencimento anterior à competência","OK"))))))))</f>
        <v/>
      </c>
    </row>
    <row r="905">
      <c r="A905" s="14" t="n"/>
      <c r="B905" s="36" t="n"/>
      <c r="C905" s="36" t="n"/>
      <c r="D905" s="36" t="n"/>
      <c r="E905" s="14" t="n"/>
      <c r="F905" s="29" t="n"/>
      <c r="G905" s="29" t="n"/>
      <c r="H905" s="29" t="n"/>
      <c r="I905" s="29" t="n"/>
      <c r="J905" s="29" t="n"/>
      <c r="K905" s="14" t="n"/>
      <c r="L905" s="29" t="n"/>
      <c r="M905" s="14" t="n"/>
      <c r="N905" s="29" t="n"/>
      <c r="O905" s="13" t="n"/>
      <c r="P905" s="13" t="n"/>
      <c r="Q905" s="35" t="n"/>
      <c r="R905" s="35" t="n"/>
      <c r="S905" s="35" t="n"/>
      <c r="T905" s="35" t="n"/>
      <c r="U905" s="35" t="n"/>
      <c r="V905" s="18">
        <f>IF(COUNTA($B905:$R905)=0,"",ROUND(N($R905)+N($S905)+N($T905)-N($U905),2))</f>
        <v/>
      </c>
      <c r="W905" s="18">
        <f>IF(COUNTA($B905:$R905)=0,"",IF(OR($X905="Pago",$X905="Recebido",$X905="Cancelado"),0,ROUND(N($Q905)+N($S905)+N($T905)-N($U905)-N($R905),2)))</f>
        <v/>
      </c>
      <c r="X905" s="14" t="n"/>
      <c r="Y905" s="17">
        <f>IF(COUNTA($B905:$R905)=0,"",IF($X905="Cancelado","Cancelado",IF(OR($X905="Pago",$X905="Recebido"),$X905,IF(OR($X905="Parcial",N($R905)&gt;0),"Parcial",IF($C905="","Sem vencimento",IF($C905&lt;TODAY(),"Vencido",IF($C905=TODAY(),"Vence hoje",IF($C905&lt;=TODAY()+7,"Vence em 7 dias",IF($C905&lt;=TODAY()+30,"Vence em 30 dias","Futuro")))))))))</f>
        <v/>
      </c>
      <c r="Z905" s="24">
        <f>IF($B905="","",MONTH($B905))</f>
        <v/>
      </c>
      <c r="AA905" s="24">
        <f>IF($B905="","",YEAR($B905))</f>
        <v/>
      </c>
      <c r="AB905" s="24">
        <f>IF($B905="","",ISOWEEKNUM($B905))</f>
        <v/>
      </c>
      <c r="AC905" s="17">
        <f>IF($B905="","",CHOOSE(WEEKDAY($B905,2),"Segunda","Terça","Quarta","Quinta","Sexta","Sábado","Domingo"))</f>
        <v/>
      </c>
      <c r="AD905" s="17">
        <f>IF($B905="","",TEXT($B905,"MM/AAAA"))</f>
        <v/>
      </c>
      <c r="AE905" s="18">
        <f>IF(COUNTA($B905:$R905)=0,"",IF($X905="Cancelado",0,ROUND(N($Q905)+N($S905)+N($T905)-N($U905),2)))</f>
        <v/>
      </c>
      <c r="AF905" s="9">
        <f>IF($G905="","",IFERROR(INDEX(LINHAS_DRE_PLANO,MATCH($G905,SUBCATEGORIAS_PLANO,0)),"Não classificado"))</f>
        <v/>
      </c>
      <c r="AG905" s="17">
        <f>IF($G905="","",IFERROR(INDEX(TIPOS_FLUXO_PLANO,MATCH($G905,SUBCATEGORIAS_PLANO,0)),"Não classificado"))</f>
        <v/>
      </c>
      <c r="AH905" s="9">
        <f>IF($G905="","",IFERROR(INDEX(GRUPOS_PLANO,MATCH($G905,SUBCATEGORIAS_PLANO,0)),"Não classificado"))</f>
        <v/>
      </c>
      <c r="AI905" s="24">
        <f>IF(OR($C905="",$X905="Pago",$X905="Recebido",$X905="Cancelado"),"",$C905-TODAY())</f>
        <v/>
      </c>
      <c r="AJ905" s="24">
        <f>IF(OR($C905="",$X905="Pago",$X905="Recebido",$X905="Cancelado"),0,MAX(0,TODAY()-$C905))</f>
        <v/>
      </c>
      <c r="AK905" s="24">
        <f>IF($D905="","",$D905-$B905)</f>
        <v/>
      </c>
      <c r="AL905" s="18">
        <f>IF(OR($D905="",$B905=""),"",ROUND(N($R905)*($D905-$B905),2))</f>
        <v/>
      </c>
      <c r="AM905" s="17">
        <f>IF(AND($E905="Saída",$W905&gt;0,$C905&lt;&gt;""),$C905+ROW()/1000000,"")</f>
        <v/>
      </c>
      <c r="AN905" s="17">
        <f>IF(AND($E905="Entrada",$W905&gt;0,$C905&lt;&gt;""),$C905+ROW()/1000000,"")</f>
        <v/>
      </c>
      <c r="AO905" s="9">
        <f>IF(COUNTA($B905:$R905)=0,"",IF(AND($I905&lt;&gt;"",COUNTIF(CLIENTES_NOMES,$I905)+COUNTIF(CLIENTES_FANTASIA,$I905)+COUNTIF(FORNECEDORES_NOMES,$I905)+COUNTIF(FORNECEDORES_FANTASIA,$I905)=0),"⚠ Cliente/Fornecedor não cadastrado",IF(AND($G905&lt;&gt;"",COUNTIF(SUBCATEGORIAS_PLANO,$G905)=0),"⚠ Subcategoria fora do plano de contas",IF(OR($Q905="",N($Q905)=0),"⚠ Valor previsto não informado",IF(AND(OR($X905="Pago",$X905="Recebido"),$D905=""),"⚠ Status pago/recebido sem data",IF(AND($D905&lt;&gt;"",N($R905)=0),"⚠ Data de pagamento sem valor realizado",IF(AND(N($P905)&gt;1,N($O905)&gt;N($P905)),"⚠ Nº da parcela maior que o total",IF(AND($C905&lt;&gt;"",$B905&lt;&gt;"",$C905&lt;$B905),"⚠ Vencimento anterior à competência","OK"))))))))</f>
        <v/>
      </c>
    </row>
    <row r="906">
      <c r="A906" s="14" t="n"/>
      <c r="B906" s="36" t="n"/>
      <c r="C906" s="36" t="n"/>
      <c r="D906" s="36" t="n"/>
      <c r="E906" s="14" t="n"/>
      <c r="F906" s="29" t="n"/>
      <c r="G906" s="29" t="n"/>
      <c r="H906" s="29" t="n"/>
      <c r="I906" s="29" t="n"/>
      <c r="J906" s="29" t="n"/>
      <c r="K906" s="14" t="n"/>
      <c r="L906" s="29" t="n"/>
      <c r="M906" s="14" t="n"/>
      <c r="N906" s="29" t="n"/>
      <c r="O906" s="13" t="n"/>
      <c r="P906" s="13" t="n"/>
      <c r="Q906" s="35" t="n"/>
      <c r="R906" s="35" t="n"/>
      <c r="S906" s="35" t="n"/>
      <c r="T906" s="35" t="n"/>
      <c r="U906" s="35" t="n"/>
      <c r="V906" s="18">
        <f>IF(COUNTA($B906:$R906)=0,"",ROUND(N($R906)+N($S906)+N($T906)-N($U906),2))</f>
        <v/>
      </c>
      <c r="W906" s="18">
        <f>IF(COUNTA($B906:$R906)=0,"",IF(OR($X906="Pago",$X906="Recebido",$X906="Cancelado"),0,ROUND(N($Q906)+N($S906)+N($T906)-N($U906)-N($R906),2)))</f>
        <v/>
      </c>
      <c r="X906" s="14" t="n"/>
      <c r="Y906" s="17">
        <f>IF(COUNTA($B906:$R906)=0,"",IF($X906="Cancelado","Cancelado",IF(OR($X906="Pago",$X906="Recebido"),$X906,IF(OR($X906="Parcial",N($R906)&gt;0),"Parcial",IF($C906="","Sem vencimento",IF($C906&lt;TODAY(),"Vencido",IF($C906=TODAY(),"Vence hoje",IF($C906&lt;=TODAY()+7,"Vence em 7 dias",IF($C906&lt;=TODAY()+30,"Vence em 30 dias","Futuro")))))))))</f>
        <v/>
      </c>
      <c r="Z906" s="24">
        <f>IF($B906="","",MONTH($B906))</f>
        <v/>
      </c>
      <c r="AA906" s="24">
        <f>IF($B906="","",YEAR($B906))</f>
        <v/>
      </c>
      <c r="AB906" s="24">
        <f>IF($B906="","",ISOWEEKNUM($B906))</f>
        <v/>
      </c>
      <c r="AC906" s="17">
        <f>IF($B906="","",CHOOSE(WEEKDAY($B906,2),"Segunda","Terça","Quarta","Quinta","Sexta","Sábado","Domingo"))</f>
        <v/>
      </c>
      <c r="AD906" s="17">
        <f>IF($B906="","",TEXT($B906,"MM/AAAA"))</f>
        <v/>
      </c>
      <c r="AE906" s="18">
        <f>IF(COUNTA($B906:$R906)=0,"",IF($X906="Cancelado",0,ROUND(N($Q906)+N($S906)+N($T906)-N($U906),2)))</f>
        <v/>
      </c>
      <c r="AF906" s="9">
        <f>IF($G906="","",IFERROR(INDEX(LINHAS_DRE_PLANO,MATCH($G906,SUBCATEGORIAS_PLANO,0)),"Não classificado"))</f>
        <v/>
      </c>
      <c r="AG906" s="17">
        <f>IF($G906="","",IFERROR(INDEX(TIPOS_FLUXO_PLANO,MATCH($G906,SUBCATEGORIAS_PLANO,0)),"Não classificado"))</f>
        <v/>
      </c>
      <c r="AH906" s="9">
        <f>IF($G906="","",IFERROR(INDEX(GRUPOS_PLANO,MATCH($G906,SUBCATEGORIAS_PLANO,0)),"Não classificado"))</f>
        <v/>
      </c>
      <c r="AI906" s="24">
        <f>IF(OR($C906="",$X906="Pago",$X906="Recebido",$X906="Cancelado"),"",$C906-TODAY())</f>
        <v/>
      </c>
      <c r="AJ906" s="24">
        <f>IF(OR($C906="",$X906="Pago",$X906="Recebido",$X906="Cancelado"),0,MAX(0,TODAY()-$C906))</f>
        <v/>
      </c>
      <c r="AK906" s="24">
        <f>IF($D906="","",$D906-$B906)</f>
        <v/>
      </c>
      <c r="AL906" s="18">
        <f>IF(OR($D906="",$B906=""),"",ROUND(N($R906)*($D906-$B906),2))</f>
        <v/>
      </c>
      <c r="AM906" s="17">
        <f>IF(AND($E906="Saída",$W906&gt;0,$C906&lt;&gt;""),$C906+ROW()/1000000,"")</f>
        <v/>
      </c>
      <c r="AN906" s="17">
        <f>IF(AND($E906="Entrada",$W906&gt;0,$C906&lt;&gt;""),$C906+ROW()/1000000,"")</f>
        <v/>
      </c>
      <c r="AO906" s="9">
        <f>IF(COUNTA($B906:$R906)=0,"",IF(AND($I906&lt;&gt;"",COUNTIF(CLIENTES_NOMES,$I906)+COUNTIF(CLIENTES_FANTASIA,$I906)+COUNTIF(FORNECEDORES_NOMES,$I906)+COUNTIF(FORNECEDORES_FANTASIA,$I906)=0),"⚠ Cliente/Fornecedor não cadastrado",IF(AND($G906&lt;&gt;"",COUNTIF(SUBCATEGORIAS_PLANO,$G906)=0),"⚠ Subcategoria fora do plano de contas",IF(OR($Q906="",N($Q906)=0),"⚠ Valor previsto não informado",IF(AND(OR($X906="Pago",$X906="Recebido"),$D906=""),"⚠ Status pago/recebido sem data",IF(AND($D906&lt;&gt;"",N($R906)=0),"⚠ Data de pagamento sem valor realizado",IF(AND(N($P906)&gt;1,N($O906)&gt;N($P906)),"⚠ Nº da parcela maior que o total",IF(AND($C906&lt;&gt;"",$B906&lt;&gt;"",$C906&lt;$B906),"⚠ Vencimento anterior à competência","OK"))))))))</f>
        <v/>
      </c>
    </row>
    <row r="907">
      <c r="A907" s="14" t="n"/>
      <c r="B907" s="36" t="n"/>
      <c r="C907" s="36" t="n"/>
      <c r="D907" s="36" t="n"/>
      <c r="E907" s="14" t="n"/>
      <c r="F907" s="29" t="n"/>
      <c r="G907" s="29" t="n"/>
      <c r="H907" s="29" t="n"/>
      <c r="I907" s="29" t="n"/>
      <c r="J907" s="29" t="n"/>
      <c r="K907" s="14" t="n"/>
      <c r="L907" s="29" t="n"/>
      <c r="M907" s="14" t="n"/>
      <c r="N907" s="29" t="n"/>
      <c r="O907" s="13" t="n"/>
      <c r="P907" s="13" t="n"/>
      <c r="Q907" s="35" t="n"/>
      <c r="R907" s="35" t="n"/>
      <c r="S907" s="35" t="n"/>
      <c r="T907" s="35" t="n"/>
      <c r="U907" s="35" t="n"/>
      <c r="V907" s="18">
        <f>IF(COUNTA($B907:$R907)=0,"",ROUND(N($R907)+N($S907)+N($T907)-N($U907),2))</f>
        <v/>
      </c>
      <c r="W907" s="18">
        <f>IF(COUNTA($B907:$R907)=0,"",IF(OR($X907="Pago",$X907="Recebido",$X907="Cancelado"),0,ROUND(N($Q907)+N($S907)+N($T907)-N($U907)-N($R907),2)))</f>
        <v/>
      </c>
      <c r="X907" s="14" t="n"/>
      <c r="Y907" s="17">
        <f>IF(COUNTA($B907:$R907)=0,"",IF($X907="Cancelado","Cancelado",IF(OR($X907="Pago",$X907="Recebido"),$X907,IF(OR($X907="Parcial",N($R907)&gt;0),"Parcial",IF($C907="","Sem vencimento",IF($C907&lt;TODAY(),"Vencido",IF($C907=TODAY(),"Vence hoje",IF($C907&lt;=TODAY()+7,"Vence em 7 dias",IF($C907&lt;=TODAY()+30,"Vence em 30 dias","Futuro")))))))))</f>
        <v/>
      </c>
      <c r="Z907" s="24">
        <f>IF($B907="","",MONTH($B907))</f>
        <v/>
      </c>
      <c r="AA907" s="24">
        <f>IF($B907="","",YEAR($B907))</f>
        <v/>
      </c>
      <c r="AB907" s="24">
        <f>IF($B907="","",ISOWEEKNUM($B907))</f>
        <v/>
      </c>
      <c r="AC907" s="17">
        <f>IF($B907="","",CHOOSE(WEEKDAY($B907,2),"Segunda","Terça","Quarta","Quinta","Sexta","Sábado","Domingo"))</f>
        <v/>
      </c>
      <c r="AD907" s="17">
        <f>IF($B907="","",TEXT($B907,"MM/AAAA"))</f>
        <v/>
      </c>
      <c r="AE907" s="18">
        <f>IF(COUNTA($B907:$R907)=0,"",IF($X907="Cancelado",0,ROUND(N($Q907)+N($S907)+N($T907)-N($U907),2)))</f>
        <v/>
      </c>
      <c r="AF907" s="9">
        <f>IF($G907="","",IFERROR(INDEX(LINHAS_DRE_PLANO,MATCH($G907,SUBCATEGORIAS_PLANO,0)),"Não classificado"))</f>
        <v/>
      </c>
      <c r="AG907" s="17">
        <f>IF($G907="","",IFERROR(INDEX(TIPOS_FLUXO_PLANO,MATCH($G907,SUBCATEGORIAS_PLANO,0)),"Não classificado"))</f>
        <v/>
      </c>
      <c r="AH907" s="9">
        <f>IF($G907="","",IFERROR(INDEX(GRUPOS_PLANO,MATCH($G907,SUBCATEGORIAS_PLANO,0)),"Não classificado"))</f>
        <v/>
      </c>
      <c r="AI907" s="24">
        <f>IF(OR($C907="",$X907="Pago",$X907="Recebido",$X907="Cancelado"),"",$C907-TODAY())</f>
        <v/>
      </c>
      <c r="AJ907" s="24">
        <f>IF(OR($C907="",$X907="Pago",$X907="Recebido",$X907="Cancelado"),0,MAX(0,TODAY()-$C907))</f>
        <v/>
      </c>
      <c r="AK907" s="24">
        <f>IF($D907="","",$D907-$B907)</f>
        <v/>
      </c>
      <c r="AL907" s="18">
        <f>IF(OR($D907="",$B907=""),"",ROUND(N($R907)*($D907-$B907),2))</f>
        <v/>
      </c>
      <c r="AM907" s="17">
        <f>IF(AND($E907="Saída",$W907&gt;0,$C907&lt;&gt;""),$C907+ROW()/1000000,"")</f>
        <v/>
      </c>
      <c r="AN907" s="17">
        <f>IF(AND($E907="Entrada",$W907&gt;0,$C907&lt;&gt;""),$C907+ROW()/1000000,"")</f>
        <v/>
      </c>
      <c r="AO907" s="9">
        <f>IF(COUNTA($B907:$R907)=0,"",IF(AND($I907&lt;&gt;"",COUNTIF(CLIENTES_NOMES,$I907)+COUNTIF(CLIENTES_FANTASIA,$I907)+COUNTIF(FORNECEDORES_NOMES,$I907)+COUNTIF(FORNECEDORES_FANTASIA,$I907)=0),"⚠ Cliente/Fornecedor não cadastrado",IF(AND($G907&lt;&gt;"",COUNTIF(SUBCATEGORIAS_PLANO,$G907)=0),"⚠ Subcategoria fora do plano de contas",IF(OR($Q907="",N($Q907)=0),"⚠ Valor previsto não informado",IF(AND(OR($X907="Pago",$X907="Recebido"),$D907=""),"⚠ Status pago/recebido sem data",IF(AND($D907&lt;&gt;"",N($R907)=0),"⚠ Data de pagamento sem valor realizado",IF(AND(N($P907)&gt;1,N($O907)&gt;N($P907)),"⚠ Nº da parcela maior que o total",IF(AND($C907&lt;&gt;"",$B907&lt;&gt;"",$C907&lt;$B907),"⚠ Vencimento anterior à competência","OK"))))))))</f>
        <v/>
      </c>
    </row>
    <row r="908">
      <c r="A908" s="14" t="n"/>
      <c r="B908" s="36" t="n"/>
      <c r="C908" s="36" t="n"/>
      <c r="D908" s="36" t="n"/>
      <c r="E908" s="14" t="n"/>
      <c r="F908" s="29" t="n"/>
      <c r="G908" s="29" t="n"/>
      <c r="H908" s="29" t="n"/>
      <c r="I908" s="29" t="n"/>
      <c r="J908" s="29" t="n"/>
      <c r="K908" s="14" t="n"/>
      <c r="L908" s="29" t="n"/>
      <c r="M908" s="14" t="n"/>
      <c r="N908" s="29" t="n"/>
      <c r="O908" s="13" t="n"/>
      <c r="P908" s="13" t="n"/>
      <c r="Q908" s="35" t="n"/>
      <c r="R908" s="35" t="n"/>
      <c r="S908" s="35" t="n"/>
      <c r="T908" s="35" t="n"/>
      <c r="U908" s="35" t="n"/>
      <c r="V908" s="18">
        <f>IF(COUNTA($B908:$R908)=0,"",ROUND(N($R908)+N($S908)+N($T908)-N($U908),2))</f>
        <v/>
      </c>
      <c r="W908" s="18">
        <f>IF(COUNTA($B908:$R908)=0,"",IF(OR($X908="Pago",$X908="Recebido",$X908="Cancelado"),0,ROUND(N($Q908)+N($S908)+N($T908)-N($U908)-N($R908),2)))</f>
        <v/>
      </c>
      <c r="X908" s="14" t="n"/>
      <c r="Y908" s="17">
        <f>IF(COUNTA($B908:$R908)=0,"",IF($X908="Cancelado","Cancelado",IF(OR($X908="Pago",$X908="Recebido"),$X908,IF(OR($X908="Parcial",N($R908)&gt;0),"Parcial",IF($C908="","Sem vencimento",IF($C908&lt;TODAY(),"Vencido",IF($C908=TODAY(),"Vence hoje",IF($C908&lt;=TODAY()+7,"Vence em 7 dias",IF($C908&lt;=TODAY()+30,"Vence em 30 dias","Futuro")))))))))</f>
        <v/>
      </c>
      <c r="Z908" s="24">
        <f>IF($B908="","",MONTH($B908))</f>
        <v/>
      </c>
      <c r="AA908" s="24">
        <f>IF($B908="","",YEAR($B908))</f>
        <v/>
      </c>
      <c r="AB908" s="24">
        <f>IF($B908="","",ISOWEEKNUM($B908))</f>
        <v/>
      </c>
      <c r="AC908" s="17">
        <f>IF($B908="","",CHOOSE(WEEKDAY($B908,2),"Segunda","Terça","Quarta","Quinta","Sexta","Sábado","Domingo"))</f>
        <v/>
      </c>
      <c r="AD908" s="17">
        <f>IF($B908="","",TEXT($B908,"MM/AAAA"))</f>
        <v/>
      </c>
      <c r="AE908" s="18">
        <f>IF(COUNTA($B908:$R908)=0,"",IF($X908="Cancelado",0,ROUND(N($Q908)+N($S908)+N($T908)-N($U908),2)))</f>
        <v/>
      </c>
      <c r="AF908" s="9">
        <f>IF($G908="","",IFERROR(INDEX(LINHAS_DRE_PLANO,MATCH($G908,SUBCATEGORIAS_PLANO,0)),"Não classificado"))</f>
        <v/>
      </c>
      <c r="AG908" s="17">
        <f>IF($G908="","",IFERROR(INDEX(TIPOS_FLUXO_PLANO,MATCH($G908,SUBCATEGORIAS_PLANO,0)),"Não classificado"))</f>
        <v/>
      </c>
      <c r="AH908" s="9">
        <f>IF($G908="","",IFERROR(INDEX(GRUPOS_PLANO,MATCH($G908,SUBCATEGORIAS_PLANO,0)),"Não classificado"))</f>
        <v/>
      </c>
      <c r="AI908" s="24">
        <f>IF(OR($C908="",$X908="Pago",$X908="Recebido",$X908="Cancelado"),"",$C908-TODAY())</f>
        <v/>
      </c>
      <c r="AJ908" s="24">
        <f>IF(OR($C908="",$X908="Pago",$X908="Recebido",$X908="Cancelado"),0,MAX(0,TODAY()-$C908))</f>
        <v/>
      </c>
      <c r="AK908" s="24">
        <f>IF($D908="","",$D908-$B908)</f>
        <v/>
      </c>
      <c r="AL908" s="18">
        <f>IF(OR($D908="",$B908=""),"",ROUND(N($R908)*($D908-$B908),2))</f>
        <v/>
      </c>
      <c r="AM908" s="17">
        <f>IF(AND($E908="Saída",$W908&gt;0,$C908&lt;&gt;""),$C908+ROW()/1000000,"")</f>
        <v/>
      </c>
      <c r="AN908" s="17">
        <f>IF(AND($E908="Entrada",$W908&gt;0,$C908&lt;&gt;""),$C908+ROW()/1000000,"")</f>
        <v/>
      </c>
      <c r="AO908" s="9">
        <f>IF(COUNTA($B908:$R908)=0,"",IF(AND($I908&lt;&gt;"",COUNTIF(CLIENTES_NOMES,$I908)+COUNTIF(CLIENTES_FANTASIA,$I908)+COUNTIF(FORNECEDORES_NOMES,$I908)+COUNTIF(FORNECEDORES_FANTASIA,$I908)=0),"⚠ Cliente/Fornecedor não cadastrado",IF(AND($G908&lt;&gt;"",COUNTIF(SUBCATEGORIAS_PLANO,$G908)=0),"⚠ Subcategoria fora do plano de contas",IF(OR($Q908="",N($Q908)=0),"⚠ Valor previsto não informado",IF(AND(OR($X908="Pago",$X908="Recebido"),$D908=""),"⚠ Status pago/recebido sem data",IF(AND($D908&lt;&gt;"",N($R908)=0),"⚠ Data de pagamento sem valor realizado",IF(AND(N($P908)&gt;1,N($O908)&gt;N($P908)),"⚠ Nº da parcela maior que o total",IF(AND($C908&lt;&gt;"",$B908&lt;&gt;"",$C908&lt;$B908),"⚠ Vencimento anterior à competência","OK"))))))))</f>
        <v/>
      </c>
    </row>
    <row r="909">
      <c r="A909" s="14" t="n"/>
      <c r="B909" s="36" t="n"/>
      <c r="C909" s="36" t="n"/>
      <c r="D909" s="36" t="n"/>
      <c r="E909" s="14" t="n"/>
      <c r="F909" s="29" t="n"/>
      <c r="G909" s="29" t="n"/>
      <c r="H909" s="29" t="n"/>
      <c r="I909" s="29" t="n"/>
      <c r="J909" s="29" t="n"/>
      <c r="K909" s="14" t="n"/>
      <c r="L909" s="29" t="n"/>
      <c r="M909" s="14" t="n"/>
      <c r="N909" s="29" t="n"/>
      <c r="O909" s="13" t="n"/>
      <c r="P909" s="13" t="n"/>
      <c r="Q909" s="35" t="n"/>
      <c r="R909" s="35" t="n"/>
      <c r="S909" s="35" t="n"/>
      <c r="T909" s="35" t="n"/>
      <c r="U909" s="35" t="n"/>
      <c r="V909" s="18">
        <f>IF(COUNTA($B909:$R909)=0,"",ROUND(N($R909)+N($S909)+N($T909)-N($U909),2))</f>
        <v/>
      </c>
      <c r="W909" s="18">
        <f>IF(COUNTA($B909:$R909)=0,"",IF(OR($X909="Pago",$X909="Recebido",$X909="Cancelado"),0,ROUND(N($Q909)+N($S909)+N($T909)-N($U909)-N($R909),2)))</f>
        <v/>
      </c>
      <c r="X909" s="14" t="n"/>
      <c r="Y909" s="17">
        <f>IF(COUNTA($B909:$R909)=0,"",IF($X909="Cancelado","Cancelado",IF(OR($X909="Pago",$X909="Recebido"),$X909,IF(OR($X909="Parcial",N($R909)&gt;0),"Parcial",IF($C909="","Sem vencimento",IF($C909&lt;TODAY(),"Vencido",IF($C909=TODAY(),"Vence hoje",IF($C909&lt;=TODAY()+7,"Vence em 7 dias",IF($C909&lt;=TODAY()+30,"Vence em 30 dias","Futuro")))))))))</f>
        <v/>
      </c>
      <c r="Z909" s="24">
        <f>IF($B909="","",MONTH($B909))</f>
        <v/>
      </c>
      <c r="AA909" s="24">
        <f>IF($B909="","",YEAR($B909))</f>
        <v/>
      </c>
      <c r="AB909" s="24">
        <f>IF($B909="","",ISOWEEKNUM($B909))</f>
        <v/>
      </c>
      <c r="AC909" s="17">
        <f>IF($B909="","",CHOOSE(WEEKDAY($B909,2),"Segunda","Terça","Quarta","Quinta","Sexta","Sábado","Domingo"))</f>
        <v/>
      </c>
      <c r="AD909" s="17">
        <f>IF($B909="","",TEXT($B909,"MM/AAAA"))</f>
        <v/>
      </c>
      <c r="AE909" s="18">
        <f>IF(COUNTA($B909:$R909)=0,"",IF($X909="Cancelado",0,ROUND(N($Q909)+N($S909)+N($T909)-N($U909),2)))</f>
        <v/>
      </c>
      <c r="AF909" s="9">
        <f>IF($G909="","",IFERROR(INDEX(LINHAS_DRE_PLANO,MATCH($G909,SUBCATEGORIAS_PLANO,0)),"Não classificado"))</f>
        <v/>
      </c>
      <c r="AG909" s="17">
        <f>IF($G909="","",IFERROR(INDEX(TIPOS_FLUXO_PLANO,MATCH($G909,SUBCATEGORIAS_PLANO,0)),"Não classificado"))</f>
        <v/>
      </c>
      <c r="AH909" s="9">
        <f>IF($G909="","",IFERROR(INDEX(GRUPOS_PLANO,MATCH($G909,SUBCATEGORIAS_PLANO,0)),"Não classificado"))</f>
        <v/>
      </c>
      <c r="AI909" s="24">
        <f>IF(OR($C909="",$X909="Pago",$X909="Recebido",$X909="Cancelado"),"",$C909-TODAY())</f>
        <v/>
      </c>
      <c r="AJ909" s="24">
        <f>IF(OR($C909="",$X909="Pago",$X909="Recebido",$X909="Cancelado"),0,MAX(0,TODAY()-$C909))</f>
        <v/>
      </c>
      <c r="AK909" s="24">
        <f>IF($D909="","",$D909-$B909)</f>
        <v/>
      </c>
      <c r="AL909" s="18">
        <f>IF(OR($D909="",$B909=""),"",ROUND(N($R909)*($D909-$B909),2))</f>
        <v/>
      </c>
      <c r="AM909" s="17">
        <f>IF(AND($E909="Saída",$W909&gt;0,$C909&lt;&gt;""),$C909+ROW()/1000000,"")</f>
        <v/>
      </c>
      <c r="AN909" s="17">
        <f>IF(AND($E909="Entrada",$W909&gt;0,$C909&lt;&gt;""),$C909+ROW()/1000000,"")</f>
        <v/>
      </c>
      <c r="AO909" s="9">
        <f>IF(COUNTA($B909:$R909)=0,"",IF(AND($I909&lt;&gt;"",COUNTIF(CLIENTES_NOMES,$I909)+COUNTIF(CLIENTES_FANTASIA,$I909)+COUNTIF(FORNECEDORES_NOMES,$I909)+COUNTIF(FORNECEDORES_FANTASIA,$I909)=0),"⚠ Cliente/Fornecedor não cadastrado",IF(AND($G909&lt;&gt;"",COUNTIF(SUBCATEGORIAS_PLANO,$G909)=0),"⚠ Subcategoria fora do plano de contas",IF(OR($Q909="",N($Q909)=0),"⚠ Valor previsto não informado",IF(AND(OR($X909="Pago",$X909="Recebido"),$D909=""),"⚠ Status pago/recebido sem data",IF(AND($D909&lt;&gt;"",N($R909)=0),"⚠ Data de pagamento sem valor realizado",IF(AND(N($P909)&gt;1,N($O909)&gt;N($P909)),"⚠ Nº da parcela maior que o total",IF(AND($C909&lt;&gt;"",$B909&lt;&gt;"",$C909&lt;$B909),"⚠ Vencimento anterior à competência","OK"))))))))</f>
        <v/>
      </c>
    </row>
    <row r="910">
      <c r="A910" s="14" t="n"/>
      <c r="B910" s="36" t="n"/>
      <c r="C910" s="36" t="n"/>
      <c r="D910" s="36" t="n"/>
      <c r="E910" s="14" t="n"/>
      <c r="F910" s="29" t="n"/>
      <c r="G910" s="29" t="n"/>
      <c r="H910" s="29" t="n"/>
      <c r="I910" s="29" t="n"/>
      <c r="J910" s="29" t="n"/>
      <c r="K910" s="14" t="n"/>
      <c r="L910" s="29" t="n"/>
      <c r="M910" s="14" t="n"/>
      <c r="N910" s="29" t="n"/>
      <c r="O910" s="13" t="n"/>
      <c r="P910" s="13" t="n"/>
      <c r="Q910" s="35" t="n"/>
      <c r="R910" s="35" t="n"/>
      <c r="S910" s="35" t="n"/>
      <c r="T910" s="35" t="n"/>
      <c r="U910" s="35" t="n"/>
      <c r="V910" s="18">
        <f>IF(COUNTA($B910:$R910)=0,"",ROUND(N($R910)+N($S910)+N($T910)-N($U910),2))</f>
        <v/>
      </c>
      <c r="W910" s="18">
        <f>IF(COUNTA($B910:$R910)=0,"",IF(OR($X910="Pago",$X910="Recebido",$X910="Cancelado"),0,ROUND(N($Q910)+N($S910)+N($T910)-N($U910)-N($R910),2)))</f>
        <v/>
      </c>
      <c r="X910" s="14" t="n"/>
      <c r="Y910" s="17">
        <f>IF(COUNTA($B910:$R910)=0,"",IF($X910="Cancelado","Cancelado",IF(OR($X910="Pago",$X910="Recebido"),$X910,IF(OR($X910="Parcial",N($R910)&gt;0),"Parcial",IF($C910="","Sem vencimento",IF($C910&lt;TODAY(),"Vencido",IF($C910=TODAY(),"Vence hoje",IF($C910&lt;=TODAY()+7,"Vence em 7 dias",IF($C910&lt;=TODAY()+30,"Vence em 30 dias","Futuro")))))))))</f>
        <v/>
      </c>
      <c r="Z910" s="24">
        <f>IF($B910="","",MONTH($B910))</f>
        <v/>
      </c>
      <c r="AA910" s="24">
        <f>IF($B910="","",YEAR($B910))</f>
        <v/>
      </c>
      <c r="AB910" s="24">
        <f>IF($B910="","",ISOWEEKNUM($B910))</f>
        <v/>
      </c>
      <c r="AC910" s="17">
        <f>IF($B910="","",CHOOSE(WEEKDAY($B910,2),"Segunda","Terça","Quarta","Quinta","Sexta","Sábado","Domingo"))</f>
        <v/>
      </c>
      <c r="AD910" s="17">
        <f>IF($B910="","",TEXT($B910,"MM/AAAA"))</f>
        <v/>
      </c>
      <c r="AE910" s="18">
        <f>IF(COUNTA($B910:$R910)=0,"",IF($X910="Cancelado",0,ROUND(N($Q910)+N($S910)+N($T910)-N($U910),2)))</f>
        <v/>
      </c>
      <c r="AF910" s="9">
        <f>IF($G910="","",IFERROR(INDEX(LINHAS_DRE_PLANO,MATCH($G910,SUBCATEGORIAS_PLANO,0)),"Não classificado"))</f>
        <v/>
      </c>
      <c r="AG910" s="17">
        <f>IF($G910="","",IFERROR(INDEX(TIPOS_FLUXO_PLANO,MATCH($G910,SUBCATEGORIAS_PLANO,0)),"Não classificado"))</f>
        <v/>
      </c>
      <c r="AH910" s="9">
        <f>IF($G910="","",IFERROR(INDEX(GRUPOS_PLANO,MATCH($G910,SUBCATEGORIAS_PLANO,0)),"Não classificado"))</f>
        <v/>
      </c>
      <c r="AI910" s="24">
        <f>IF(OR($C910="",$X910="Pago",$X910="Recebido",$X910="Cancelado"),"",$C910-TODAY())</f>
        <v/>
      </c>
      <c r="AJ910" s="24">
        <f>IF(OR($C910="",$X910="Pago",$X910="Recebido",$X910="Cancelado"),0,MAX(0,TODAY()-$C910))</f>
        <v/>
      </c>
      <c r="AK910" s="24">
        <f>IF($D910="","",$D910-$B910)</f>
        <v/>
      </c>
      <c r="AL910" s="18">
        <f>IF(OR($D910="",$B910=""),"",ROUND(N($R910)*($D910-$B910),2))</f>
        <v/>
      </c>
      <c r="AM910" s="17">
        <f>IF(AND($E910="Saída",$W910&gt;0,$C910&lt;&gt;""),$C910+ROW()/1000000,"")</f>
        <v/>
      </c>
      <c r="AN910" s="17">
        <f>IF(AND($E910="Entrada",$W910&gt;0,$C910&lt;&gt;""),$C910+ROW()/1000000,"")</f>
        <v/>
      </c>
      <c r="AO910" s="9">
        <f>IF(COUNTA($B910:$R910)=0,"",IF(AND($I910&lt;&gt;"",COUNTIF(CLIENTES_NOMES,$I910)+COUNTIF(CLIENTES_FANTASIA,$I910)+COUNTIF(FORNECEDORES_NOMES,$I910)+COUNTIF(FORNECEDORES_FANTASIA,$I910)=0),"⚠ Cliente/Fornecedor não cadastrado",IF(AND($G910&lt;&gt;"",COUNTIF(SUBCATEGORIAS_PLANO,$G910)=0),"⚠ Subcategoria fora do plano de contas",IF(OR($Q910="",N($Q910)=0),"⚠ Valor previsto não informado",IF(AND(OR($X910="Pago",$X910="Recebido"),$D910=""),"⚠ Status pago/recebido sem data",IF(AND($D910&lt;&gt;"",N($R910)=0),"⚠ Data de pagamento sem valor realizado",IF(AND(N($P910)&gt;1,N($O910)&gt;N($P910)),"⚠ Nº da parcela maior que o total",IF(AND($C910&lt;&gt;"",$B910&lt;&gt;"",$C910&lt;$B910),"⚠ Vencimento anterior à competência","OK"))))))))</f>
        <v/>
      </c>
    </row>
    <row r="911">
      <c r="A911" s="14" t="n"/>
      <c r="B911" s="36" t="n"/>
      <c r="C911" s="36" t="n"/>
      <c r="D911" s="36" t="n"/>
      <c r="E911" s="14" t="n"/>
      <c r="F911" s="29" t="n"/>
      <c r="G911" s="29" t="n"/>
      <c r="H911" s="29" t="n"/>
      <c r="I911" s="29" t="n"/>
      <c r="J911" s="29" t="n"/>
      <c r="K911" s="14" t="n"/>
      <c r="L911" s="29" t="n"/>
      <c r="M911" s="14" t="n"/>
      <c r="N911" s="29" t="n"/>
      <c r="O911" s="13" t="n"/>
      <c r="P911" s="13" t="n"/>
      <c r="Q911" s="35" t="n"/>
      <c r="R911" s="35" t="n"/>
      <c r="S911" s="35" t="n"/>
      <c r="T911" s="35" t="n"/>
      <c r="U911" s="35" t="n"/>
      <c r="V911" s="18">
        <f>IF(COUNTA($B911:$R911)=0,"",ROUND(N($R911)+N($S911)+N($T911)-N($U911),2))</f>
        <v/>
      </c>
      <c r="W911" s="18">
        <f>IF(COUNTA($B911:$R911)=0,"",IF(OR($X911="Pago",$X911="Recebido",$X911="Cancelado"),0,ROUND(N($Q911)+N($S911)+N($T911)-N($U911)-N($R911),2)))</f>
        <v/>
      </c>
      <c r="X911" s="14" t="n"/>
      <c r="Y911" s="17">
        <f>IF(COUNTA($B911:$R911)=0,"",IF($X911="Cancelado","Cancelado",IF(OR($X911="Pago",$X911="Recebido"),$X911,IF(OR($X911="Parcial",N($R911)&gt;0),"Parcial",IF($C911="","Sem vencimento",IF($C911&lt;TODAY(),"Vencido",IF($C911=TODAY(),"Vence hoje",IF($C911&lt;=TODAY()+7,"Vence em 7 dias",IF($C911&lt;=TODAY()+30,"Vence em 30 dias","Futuro")))))))))</f>
        <v/>
      </c>
      <c r="Z911" s="24">
        <f>IF($B911="","",MONTH($B911))</f>
        <v/>
      </c>
      <c r="AA911" s="24">
        <f>IF($B911="","",YEAR($B911))</f>
        <v/>
      </c>
      <c r="AB911" s="24">
        <f>IF($B911="","",ISOWEEKNUM($B911))</f>
        <v/>
      </c>
      <c r="AC911" s="17">
        <f>IF($B911="","",CHOOSE(WEEKDAY($B911,2),"Segunda","Terça","Quarta","Quinta","Sexta","Sábado","Domingo"))</f>
        <v/>
      </c>
      <c r="AD911" s="17">
        <f>IF($B911="","",TEXT($B911,"MM/AAAA"))</f>
        <v/>
      </c>
      <c r="AE911" s="18">
        <f>IF(COUNTA($B911:$R911)=0,"",IF($X911="Cancelado",0,ROUND(N($Q911)+N($S911)+N($T911)-N($U911),2)))</f>
        <v/>
      </c>
      <c r="AF911" s="9">
        <f>IF($G911="","",IFERROR(INDEX(LINHAS_DRE_PLANO,MATCH($G911,SUBCATEGORIAS_PLANO,0)),"Não classificado"))</f>
        <v/>
      </c>
      <c r="AG911" s="17">
        <f>IF($G911="","",IFERROR(INDEX(TIPOS_FLUXO_PLANO,MATCH($G911,SUBCATEGORIAS_PLANO,0)),"Não classificado"))</f>
        <v/>
      </c>
      <c r="AH911" s="9">
        <f>IF($G911="","",IFERROR(INDEX(GRUPOS_PLANO,MATCH($G911,SUBCATEGORIAS_PLANO,0)),"Não classificado"))</f>
        <v/>
      </c>
      <c r="AI911" s="24">
        <f>IF(OR($C911="",$X911="Pago",$X911="Recebido",$X911="Cancelado"),"",$C911-TODAY())</f>
        <v/>
      </c>
      <c r="AJ911" s="24">
        <f>IF(OR($C911="",$X911="Pago",$X911="Recebido",$X911="Cancelado"),0,MAX(0,TODAY()-$C911))</f>
        <v/>
      </c>
      <c r="AK911" s="24">
        <f>IF($D911="","",$D911-$B911)</f>
        <v/>
      </c>
      <c r="AL911" s="18">
        <f>IF(OR($D911="",$B911=""),"",ROUND(N($R911)*($D911-$B911),2))</f>
        <v/>
      </c>
      <c r="AM911" s="17">
        <f>IF(AND($E911="Saída",$W911&gt;0,$C911&lt;&gt;""),$C911+ROW()/1000000,"")</f>
        <v/>
      </c>
      <c r="AN911" s="17">
        <f>IF(AND($E911="Entrada",$W911&gt;0,$C911&lt;&gt;""),$C911+ROW()/1000000,"")</f>
        <v/>
      </c>
      <c r="AO911" s="9">
        <f>IF(COUNTA($B911:$R911)=0,"",IF(AND($I911&lt;&gt;"",COUNTIF(CLIENTES_NOMES,$I911)+COUNTIF(CLIENTES_FANTASIA,$I911)+COUNTIF(FORNECEDORES_NOMES,$I911)+COUNTIF(FORNECEDORES_FANTASIA,$I911)=0),"⚠ Cliente/Fornecedor não cadastrado",IF(AND($G911&lt;&gt;"",COUNTIF(SUBCATEGORIAS_PLANO,$G911)=0),"⚠ Subcategoria fora do plano de contas",IF(OR($Q911="",N($Q911)=0),"⚠ Valor previsto não informado",IF(AND(OR($X911="Pago",$X911="Recebido"),$D911=""),"⚠ Status pago/recebido sem data",IF(AND($D911&lt;&gt;"",N($R911)=0),"⚠ Data de pagamento sem valor realizado",IF(AND(N($P911)&gt;1,N($O911)&gt;N($P911)),"⚠ Nº da parcela maior que o total",IF(AND($C911&lt;&gt;"",$B911&lt;&gt;"",$C911&lt;$B911),"⚠ Vencimento anterior à competência","OK"))))))))</f>
        <v/>
      </c>
    </row>
    <row r="912">
      <c r="A912" s="14" t="n"/>
      <c r="B912" s="36" t="n"/>
      <c r="C912" s="36" t="n"/>
      <c r="D912" s="36" t="n"/>
      <c r="E912" s="14" t="n"/>
      <c r="F912" s="29" t="n"/>
      <c r="G912" s="29" t="n"/>
      <c r="H912" s="29" t="n"/>
      <c r="I912" s="29" t="n"/>
      <c r="J912" s="29" t="n"/>
      <c r="K912" s="14" t="n"/>
      <c r="L912" s="29" t="n"/>
      <c r="M912" s="14" t="n"/>
      <c r="N912" s="29" t="n"/>
      <c r="O912" s="13" t="n"/>
      <c r="P912" s="13" t="n"/>
      <c r="Q912" s="35" t="n"/>
      <c r="R912" s="35" t="n"/>
      <c r="S912" s="35" t="n"/>
      <c r="T912" s="35" t="n"/>
      <c r="U912" s="35" t="n"/>
      <c r="V912" s="18">
        <f>IF(COUNTA($B912:$R912)=0,"",ROUND(N($R912)+N($S912)+N($T912)-N($U912),2))</f>
        <v/>
      </c>
      <c r="W912" s="18">
        <f>IF(COUNTA($B912:$R912)=0,"",IF(OR($X912="Pago",$X912="Recebido",$X912="Cancelado"),0,ROUND(N($Q912)+N($S912)+N($T912)-N($U912)-N($R912),2)))</f>
        <v/>
      </c>
      <c r="X912" s="14" t="n"/>
      <c r="Y912" s="17">
        <f>IF(COUNTA($B912:$R912)=0,"",IF($X912="Cancelado","Cancelado",IF(OR($X912="Pago",$X912="Recebido"),$X912,IF(OR($X912="Parcial",N($R912)&gt;0),"Parcial",IF($C912="","Sem vencimento",IF($C912&lt;TODAY(),"Vencido",IF($C912=TODAY(),"Vence hoje",IF($C912&lt;=TODAY()+7,"Vence em 7 dias",IF($C912&lt;=TODAY()+30,"Vence em 30 dias","Futuro")))))))))</f>
        <v/>
      </c>
      <c r="Z912" s="24">
        <f>IF($B912="","",MONTH($B912))</f>
        <v/>
      </c>
      <c r="AA912" s="24">
        <f>IF($B912="","",YEAR($B912))</f>
        <v/>
      </c>
      <c r="AB912" s="24">
        <f>IF($B912="","",ISOWEEKNUM($B912))</f>
        <v/>
      </c>
      <c r="AC912" s="17">
        <f>IF($B912="","",CHOOSE(WEEKDAY($B912,2),"Segunda","Terça","Quarta","Quinta","Sexta","Sábado","Domingo"))</f>
        <v/>
      </c>
      <c r="AD912" s="17">
        <f>IF($B912="","",TEXT($B912,"MM/AAAA"))</f>
        <v/>
      </c>
      <c r="AE912" s="18">
        <f>IF(COUNTA($B912:$R912)=0,"",IF($X912="Cancelado",0,ROUND(N($Q912)+N($S912)+N($T912)-N($U912),2)))</f>
        <v/>
      </c>
      <c r="AF912" s="9">
        <f>IF($G912="","",IFERROR(INDEX(LINHAS_DRE_PLANO,MATCH($G912,SUBCATEGORIAS_PLANO,0)),"Não classificado"))</f>
        <v/>
      </c>
      <c r="AG912" s="17">
        <f>IF($G912="","",IFERROR(INDEX(TIPOS_FLUXO_PLANO,MATCH($G912,SUBCATEGORIAS_PLANO,0)),"Não classificado"))</f>
        <v/>
      </c>
      <c r="AH912" s="9">
        <f>IF($G912="","",IFERROR(INDEX(GRUPOS_PLANO,MATCH($G912,SUBCATEGORIAS_PLANO,0)),"Não classificado"))</f>
        <v/>
      </c>
      <c r="AI912" s="24">
        <f>IF(OR($C912="",$X912="Pago",$X912="Recebido",$X912="Cancelado"),"",$C912-TODAY())</f>
        <v/>
      </c>
      <c r="AJ912" s="24">
        <f>IF(OR($C912="",$X912="Pago",$X912="Recebido",$X912="Cancelado"),0,MAX(0,TODAY()-$C912))</f>
        <v/>
      </c>
      <c r="AK912" s="24">
        <f>IF($D912="","",$D912-$B912)</f>
        <v/>
      </c>
      <c r="AL912" s="18">
        <f>IF(OR($D912="",$B912=""),"",ROUND(N($R912)*($D912-$B912),2))</f>
        <v/>
      </c>
      <c r="AM912" s="17">
        <f>IF(AND($E912="Saída",$W912&gt;0,$C912&lt;&gt;""),$C912+ROW()/1000000,"")</f>
        <v/>
      </c>
      <c r="AN912" s="17">
        <f>IF(AND($E912="Entrada",$W912&gt;0,$C912&lt;&gt;""),$C912+ROW()/1000000,"")</f>
        <v/>
      </c>
      <c r="AO912" s="9">
        <f>IF(COUNTA($B912:$R912)=0,"",IF(AND($I912&lt;&gt;"",COUNTIF(CLIENTES_NOMES,$I912)+COUNTIF(CLIENTES_FANTASIA,$I912)+COUNTIF(FORNECEDORES_NOMES,$I912)+COUNTIF(FORNECEDORES_FANTASIA,$I912)=0),"⚠ Cliente/Fornecedor não cadastrado",IF(AND($G912&lt;&gt;"",COUNTIF(SUBCATEGORIAS_PLANO,$G912)=0),"⚠ Subcategoria fora do plano de contas",IF(OR($Q912="",N($Q912)=0),"⚠ Valor previsto não informado",IF(AND(OR($X912="Pago",$X912="Recebido"),$D912=""),"⚠ Status pago/recebido sem data",IF(AND($D912&lt;&gt;"",N($R912)=0),"⚠ Data de pagamento sem valor realizado",IF(AND(N($P912)&gt;1,N($O912)&gt;N($P912)),"⚠ Nº da parcela maior que o total",IF(AND($C912&lt;&gt;"",$B912&lt;&gt;"",$C912&lt;$B912),"⚠ Vencimento anterior à competência","OK"))))))))</f>
        <v/>
      </c>
    </row>
    <row r="913">
      <c r="A913" s="14" t="n"/>
      <c r="B913" s="36" t="n"/>
      <c r="C913" s="36" t="n"/>
      <c r="D913" s="36" t="n"/>
      <c r="E913" s="14" t="n"/>
      <c r="F913" s="29" t="n"/>
      <c r="G913" s="29" t="n"/>
      <c r="H913" s="29" t="n"/>
      <c r="I913" s="29" t="n"/>
      <c r="J913" s="29" t="n"/>
      <c r="K913" s="14" t="n"/>
      <c r="L913" s="29" t="n"/>
      <c r="M913" s="14" t="n"/>
      <c r="N913" s="29" t="n"/>
      <c r="O913" s="13" t="n"/>
      <c r="P913" s="13" t="n"/>
      <c r="Q913" s="35" t="n"/>
      <c r="R913" s="35" t="n"/>
      <c r="S913" s="35" t="n"/>
      <c r="T913" s="35" t="n"/>
      <c r="U913" s="35" t="n"/>
      <c r="V913" s="18">
        <f>IF(COUNTA($B913:$R913)=0,"",ROUND(N($R913)+N($S913)+N($T913)-N($U913),2))</f>
        <v/>
      </c>
      <c r="W913" s="18">
        <f>IF(COUNTA($B913:$R913)=0,"",IF(OR($X913="Pago",$X913="Recebido",$X913="Cancelado"),0,ROUND(N($Q913)+N($S913)+N($T913)-N($U913)-N($R913),2)))</f>
        <v/>
      </c>
      <c r="X913" s="14" t="n"/>
      <c r="Y913" s="17">
        <f>IF(COUNTA($B913:$R913)=0,"",IF($X913="Cancelado","Cancelado",IF(OR($X913="Pago",$X913="Recebido"),$X913,IF(OR($X913="Parcial",N($R913)&gt;0),"Parcial",IF($C913="","Sem vencimento",IF($C913&lt;TODAY(),"Vencido",IF($C913=TODAY(),"Vence hoje",IF($C913&lt;=TODAY()+7,"Vence em 7 dias",IF($C913&lt;=TODAY()+30,"Vence em 30 dias","Futuro")))))))))</f>
        <v/>
      </c>
      <c r="Z913" s="24">
        <f>IF($B913="","",MONTH($B913))</f>
        <v/>
      </c>
      <c r="AA913" s="24">
        <f>IF($B913="","",YEAR($B913))</f>
        <v/>
      </c>
      <c r="AB913" s="24">
        <f>IF($B913="","",ISOWEEKNUM($B913))</f>
        <v/>
      </c>
      <c r="AC913" s="17">
        <f>IF($B913="","",CHOOSE(WEEKDAY($B913,2),"Segunda","Terça","Quarta","Quinta","Sexta","Sábado","Domingo"))</f>
        <v/>
      </c>
      <c r="AD913" s="17">
        <f>IF($B913="","",TEXT($B913,"MM/AAAA"))</f>
        <v/>
      </c>
      <c r="AE913" s="18">
        <f>IF(COUNTA($B913:$R913)=0,"",IF($X913="Cancelado",0,ROUND(N($Q913)+N($S913)+N($T913)-N($U913),2)))</f>
        <v/>
      </c>
      <c r="AF913" s="9">
        <f>IF($G913="","",IFERROR(INDEX(LINHAS_DRE_PLANO,MATCH($G913,SUBCATEGORIAS_PLANO,0)),"Não classificado"))</f>
        <v/>
      </c>
      <c r="AG913" s="17">
        <f>IF($G913="","",IFERROR(INDEX(TIPOS_FLUXO_PLANO,MATCH($G913,SUBCATEGORIAS_PLANO,0)),"Não classificado"))</f>
        <v/>
      </c>
      <c r="AH913" s="9">
        <f>IF($G913="","",IFERROR(INDEX(GRUPOS_PLANO,MATCH($G913,SUBCATEGORIAS_PLANO,0)),"Não classificado"))</f>
        <v/>
      </c>
      <c r="AI913" s="24">
        <f>IF(OR($C913="",$X913="Pago",$X913="Recebido",$X913="Cancelado"),"",$C913-TODAY())</f>
        <v/>
      </c>
      <c r="AJ913" s="24">
        <f>IF(OR($C913="",$X913="Pago",$X913="Recebido",$X913="Cancelado"),0,MAX(0,TODAY()-$C913))</f>
        <v/>
      </c>
      <c r="AK913" s="24">
        <f>IF($D913="","",$D913-$B913)</f>
        <v/>
      </c>
      <c r="AL913" s="18">
        <f>IF(OR($D913="",$B913=""),"",ROUND(N($R913)*($D913-$B913),2))</f>
        <v/>
      </c>
      <c r="AM913" s="17">
        <f>IF(AND($E913="Saída",$W913&gt;0,$C913&lt;&gt;""),$C913+ROW()/1000000,"")</f>
        <v/>
      </c>
      <c r="AN913" s="17">
        <f>IF(AND($E913="Entrada",$W913&gt;0,$C913&lt;&gt;""),$C913+ROW()/1000000,"")</f>
        <v/>
      </c>
      <c r="AO913" s="9">
        <f>IF(COUNTA($B913:$R913)=0,"",IF(AND($I913&lt;&gt;"",COUNTIF(CLIENTES_NOMES,$I913)+COUNTIF(CLIENTES_FANTASIA,$I913)+COUNTIF(FORNECEDORES_NOMES,$I913)+COUNTIF(FORNECEDORES_FANTASIA,$I913)=0),"⚠ Cliente/Fornecedor não cadastrado",IF(AND($G913&lt;&gt;"",COUNTIF(SUBCATEGORIAS_PLANO,$G913)=0),"⚠ Subcategoria fora do plano de contas",IF(OR($Q913="",N($Q913)=0),"⚠ Valor previsto não informado",IF(AND(OR($X913="Pago",$X913="Recebido"),$D913=""),"⚠ Status pago/recebido sem data",IF(AND($D913&lt;&gt;"",N($R913)=0),"⚠ Data de pagamento sem valor realizado",IF(AND(N($P913)&gt;1,N($O913)&gt;N($P913)),"⚠ Nº da parcela maior que o total",IF(AND($C913&lt;&gt;"",$B913&lt;&gt;"",$C913&lt;$B913),"⚠ Vencimento anterior à competência","OK"))))))))</f>
        <v/>
      </c>
    </row>
    <row r="914">
      <c r="A914" s="14" t="n"/>
      <c r="B914" s="36" t="n"/>
      <c r="C914" s="36" t="n"/>
      <c r="D914" s="36" t="n"/>
      <c r="E914" s="14" t="n"/>
      <c r="F914" s="29" t="n"/>
      <c r="G914" s="29" t="n"/>
      <c r="H914" s="29" t="n"/>
      <c r="I914" s="29" t="n"/>
      <c r="J914" s="29" t="n"/>
      <c r="K914" s="14" t="n"/>
      <c r="L914" s="29" t="n"/>
      <c r="M914" s="14" t="n"/>
      <c r="N914" s="29" t="n"/>
      <c r="O914" s="13" t="n"/>
      <c r="P914" s="13" t="n"/>
      <c r="Q914" s="35" t="n"/>
      <c r="R914" s="35" t="n"/>
      <c r="S914" s="35" t="n"/>
      <c r="T914" s="35" t="n"/>
      <c r="U914" s="35" t="n"/>
      <c r="V914" s="18">
        <f>IF(COUNTA($B914:$R914)=0,"",ROUND(N($R914)+N($S914)+N($T914)-N($U914),2))</f>
        <v/>
      </c>
      <c r="W914" s="18">
        <f>IF(COUNTA($B914:$R914)=0,"",IF(OR($X914="Pago",$X914="Recebido",$X914="Cancelado"),0,ROUND(N($Q914)+N($S914)+N($T914)-N($U914)-N($R914),2)))</f>
        <v/>
      </c>
      <c r="X914" s="14" t="n"/>
      <c r="Y914" s="17">
        <f>IF(COUNTA($B914:$R914)=0,"",IF($X914="Cancelado","Cancelado",IF(OR($X914="Pago",$X914="Recebido"),$X914,IF(OR($X914="Parcial",N($R914)&gt;0),"Parcial",IF($C914="","Sem vencimento",IF($C914&lt;TODAY(),"Vencido",IF($C914=TODAY(),"Vence hoje",IF($C914&lt;=TODAY()+7,"Vence em 7 dias",IF($C914&lt;=TODAY()+30,"Vence em 30 dias","Futuro")))))))))</f>
        <v/>
      </c>
      <c r="Z914" s="24">
        <f>IF($B914="","",MONTH($B914))</f>
        <v/>
      </c>
      <c r="AA914" s="24">
        <f>IF($B914="","",YEAR($B914))</f>
        <v/>
      </c>
      <c r="AB914" s="24">
        <f>IF($B914="","",ISOWEEKNUM($B914))</f>
        <v/>
      </c>
      <c r="AC914" s="17">
        <f>IF($B914="","",CHOOSE(WEEKDAY($B914,2),"Segunda","Terça","Quarta","Quinta","Sexta","Sábado","Domingo"))</f>
        <v/>
      </c>
      <c r="AD914" s="17">
        <f>IF($B914="","",TEXT($B914,"MM/AAAA"))</f>
        <v/>
      </c>
      <c r="AE914" s="18">
        <f>IF(COUNTA($B914:$R914)=0,"",IF($X914="Cancelado",0,ROUND(N($Q914)+N($S914)+N($T914)-N($U914),2)))</f>
        <v/>
      </c>
      <c r="AF914" s="9">
        <f>IF($G914="","",IFERROR(INDEX(LINHAS_DRE_PLANO,MATCH($G914,SUBCATEGORIAS_PLANO,0)),"Não classificado"))</f>
        <v/>
      </c>
      <c r="AG914" s="17">
        <f>IF($G914="","",IFERROR(INDEX(TIPOS_FLUXO_PLANO,MATCH($G914,SUBCATEGORIAS_PLANO,0)),"Não classificado"))</f>
        <v/>
      </c>
      <c r="AH914" s="9">
        <f>IF($G914="","",IFERROR(INDEX(GRUPOS_PLANO,MATCH($G914,SUBCATEGORIAS_PLANO,0)),"Não classificado"))</f>
        <v/>
      </c>
      <c r="AI914" s="24">
        <f>IF(OR($C914="",$X914="Pago",$X914="Recebido",$X914="Cancelado"),"",$C914-TODAY())</f>
        <v/>
      </c>
      <c r="AJ914" s="24">
        <f>IF(OR($C914="",$X914="Pago",$X914="Recebido",$X914="Cancelado"),0,MAX(0,TODAY()-$C914))</f>
        <v/>
      </c>
      <c r="AK914" s="24">
        <f>IF($D914="","",$D914-$B914)</f>
        <v/>
      </c>
      <c r="AL914" s="18">
        <f>IF(OR($D914="",$B914=""),"",ROUND(N($R914)*($D914-$B914),2))</f>
        <v/>
      </c>
      <c r="AM914" s="17">
        <f>IF(AND($E914="Saída",$W914&gt;0,$C914&lt;&gt;""),$C914+ROW()/1000000,"")</f>
        <v/>
      </c>
      <c r="AN914" s="17">
        <f>IF(AND($E914="Entrada",$W914&gt;0,$C914&lt;&gt;""),$C914+ROW()/1000000,"")</f>
        <v/>
      </c>
      <c r="AO914" s="9">
        <f>IF(COUNTA($B914:$R914)=0,"",IF(AND($I914&lt;&gt;"",COUNTIF(CLIENTES_NOMES,$I914)+COUNTIF(CLIENTES_FANTASIA,$I914)+COUNTIF(FORNECEDORES_NOMES,$I914)+COUNTIF(FORNECEDORES_FANTASIA,$I914)=0),"⚠ Cliente/Fornecedor não cadastrado",IF(AND($G914&lt;&gt;"",COUNTIF(SUBCATEGORIAS_PLANO,$G914)=0),"⚠ Subcategoria fora do plano de contas",IF(OR($Q914="",N($Q914)=0),"⚠ Valor previsto não informado",IF(AND(OR($X914="Pago",$X914="Recebido"),$D914=""),"⚠ Status pago/recebido sem data",IF(AND($D914&lt;&gt;"",N($R914)=0),"⚠ Data de pagamento sem valor realizado",IF(AND(N($P914)&gt;1,N($O914)&gt;N($P914)),"⚠ Nº da parcela maior que o total",IF(AND($C914&lt;&gt;"",$B914&lt;&gt;"",$C914&lt;$B914),"⚠ Vencimento anterior à competência","OK"))))))))</f>
        <v/>
      </c>
    </row>
    <row r="915">
      <c r="A915" s="14" t="n"/>
      <c r="B915" s="36" t="n"/>
      <c r="C915" s="36" t="n"/>
      <c r="D915" s="36" t="n"/>
      <c r="E915" s="14" t="n"/>
      <c r="F915" s="29" t="n"/>
      <c r="G915" s="29" t="n"/>
      <c r="H915" s="29" t="n"/>
      <c r="I915" s="29" t="n"/>
      <c r="J915" s="29" t="n"/>
      <c r="K915" s="14" t="n"/>
      <c r="L915" s="29" t="n"/>
      <c r="M915" s="14" t="n"/>
      <c r="N915" s="29" t="n"/>
      <c r="O915" s="13" t="n"/>
      <c r="P915" s="13" t="n"/>
      <c r="Q915" s="35" t="n"/>
      <c r="R915" s="35" t="n"/>
      <c r="S915" s="35" t="n"/>
      <c r="T915" s="35" t="n"/>
      <c r="U915" s="35" t="n"/>
      <c r="V915" s="18">
        <f>IF(COUNTA($B915:$R915)=0,"",ROUND(N($R915)+N($S915)+N($T915)-N($U915),2))</f>
        <v/>
      </c>
      <c r="W915" s="18">
        <f>IF(COUNTA($B915:$R915)=0,"",IF(OR($X915="Pago",$X915="Recebido",$X915="Cancelado"),0,ROUND(N($Q915)+N($S915)+N($T915)-N($U915)-N($R915),2)))</f>
        <v/>
      </c>
      <c r="X915" s="14" t="n"/>
      <c r="Y915" s="17">
        <f>IF(COUNTA($B915:$R915)=0,"",IF($X915="Cancelado","Cancelado",IF(OR($X915="Pago",$X915="Recebido"),$X915,IF(OR($X915="Parcial",N($R915)&gt;0),"Parcial",IF($C915="","Sem vencimento",IF($C915&lt;TODAY(),"Vencido",IF($C915=TODAY(),"Vence hoje",IF($C915&lt;=TODAY()+7,"Vence em 7 dias",IF($C915&lt;=TODAY()+30,"Vence em 30 dias","Futuro")))))))))</f>
        <v/>
      </c>
      <c r="Z915" s="24">
        <f>IF($B915="","",MONTH($B915))</f>
        <v/>
      </c>
      <c r="AA915" s="24">
        <f>IF($B915="","",YEAR($B915))</f>
        <v/>
      </c>
      <c r="AB915" s="24">
        <f>IF($B915="","",ISOWEEKNUM($B915))</f>
        <v/>
      </c>
      <c r="AC915" s="17">
        <f>IF($B915="","",CHOOSE(WEEKDAY($B915,2),"Segunda","Terça","Quarta","Quinta","Sexta","Sábado","Domingo"))</f>
        <v/>
      </c>
      <c r="AD915" s="17">
        <f>IF($B915="","",TEXT($B915,"MM/AAAA"))</f>
        <v/>
      </c>
      <c r="AE915" s="18">
        <f>IF(COUNTA($B915:$R915)=0,"",IF($X915="Cancelado",0,ROUND(N($Q915)+N($S915)+N($T915)-N($U915),2)))</f>
        <v/>
      </c>
      <c r="AF915" s="9">
        <f>IF($G915="","",IFERROR(INDEX(LINHAS_DRE_PLANO,MATCH($G915,SUBCATEGORIAS_PLANO,0)),"Não classificado"))</f>
        <v/>
      </c>
      <c r="AG915" s="17">
        <f>IF($G915="","",IFERROR(INDEX(TIPOS_FLUXO_PLANO,MATCH($G915,SUBCATEGORIAS_PLANO,0)),"Não classificado"))</f>
        <v/>
      </c>
      <c r="AH915" s="9">
        <f>IF($G915="","",IFERROR(INDEX(GRUPOS_PLANO,MATCH($G915,SUBCATEGORIAS_PLANO,0)),"Não classificado"))</f>
        <v/>
      </c>
      <c r="AI915" s="24">
        <f>IF(OR($C915="",$X915="Pago",$X915="Recebido",$X915="Cancelado"),"",$C915-TODAY())</f>
        <v/>
      </c>
      <c r="AJ915" s="24">
        <f>IF(OR($C915="",$X915="Pago",$X915="Recebido",$X915="Cancelado"),0,MAX(0,TODAY()-$C915))</f>
        <v/>
      </c>
      <c r="AK915" s="24">
        <f>IF($D915="","",$D915-$B915)</f>
        <v/>
      </c>
      <c r="AL915" s="18">
        <f>IF(OR($D915="",$B915=""),"",ROUND(N($R915)*($D915-$B915),2))</f>
        <v/>
      </c>
      <c r="AM915" s="17">
        <f>IF(AND($E915="Saída",$W915&gt;0,$C915&lt;&gt;""),$C915+ROW()/1000000,"")</f>
        <v/>
      </c>
      <c r="AN915" s="17">
        <f>IF(AND($E915="Entrada",$W915&gt;0,$C915&lt;&gt;""),$C915+ROW()/1000000,"")</f>
        <v/>
      </c>
      <c r="AO915" s="9">
        <f>IF(COUNTA($B915:$R915)=0,"",IF(AND($I915&lt;&gt;"",COUNTIF(CLIENTES_NOMES,$I915)+COUNTIF(CLIENTES_FANTASIA,$I915)+COUNTIF(FORNECEDORES_NOMES,$I915)+COUNTIF(FORNECEDORES_FANTASIA,$I915)=0),"⚠ Cliente/Fornecedor não cadastrado",IF(AND($G915&lt;&gt;"",COUNTIF(SUBCATEGORIAS_PLANO,$G915)=0),"⚠ Subcategoria fora do plano de contas",IF(OR($Q915="",N($Q915)=0),"⚠ Valor previsto não informado",IF(AND(OR($X915="Pago",$X915="Recebido"),$D915=""),"⚠ Status pago/recebido sem data",IF(AND($D915&lt;&gt;"",N($R915)=0),"⚠ Data de pagamento sem valor realizado",IF(AND(N($P915)&gt;1,N($O915)&gt;N($P915)),"⚠ Nº da parcela maior que o total",IF(AND($C915&lt;&gt;"",$B915&lt;&gt;"",$C915&lt;$B915),"⚠ Vencimento anterior à competência","OK"))))))))</f>
        <v/>
      </c>
    </row>
    <row r="916">
      <c r="A916" s="14" t="n"/>
      <c r="B916" s="36" t="n"/>
      <c r="C916" s="36" t="n"/>
      <c r="D916" s="36" t="n"/>
      <c r="E916" s="14" t="n"/>
      <c r="F916" s="29" t="n"/>
      <c r="G916" s="29" t="n"/>
      <c r="H916" s="29" t="n"/>
      <c r="I916" s="29" t="n"/>
      <c r="J916" s="29" t="n"/>
      <c r="K916" s="14" t="n"/>
      <c r="L916" s="29" t="n"/>
      <c r="M916" s="14" t="n"/>
      <c r="N916" s="29" t="n"/>
      <c r="O916" s="13" t="n"/>
      <c r="P916" s="13" t="n"/>
      <c r="Q916" s="35" t="n"/>
      <c r="R916" s="35" t="n"/>
      <c r="S916" s="35" t="n"/>
      <c r="T916" s="35" t="n"/>
      <c r="U916" s="35" t="n"/>
      <c r="V916" s="18">
        <f>IF(COUNTA($B916:$R916)=0,"",ROUND(N($R916)+N($S916)+N($T916)-N($U916),2))</f>
        <v/>
      </c>
      <c r="W916" s="18">
        <f>IF(COUNTA($B916:$R916)=0,"",IF(OR($X916="Pago",$X916="Recebido",$X916="Cancelado"),0,ROUND(N($Q916)+N($S916)+N($T916)-N($U916)-N($R916),2)))</f>
        <v/>
      </c>
      <c r="X916" s="14" t="n"/>
      <c r="Y916" s="17">
        <f>IF(COUNTA($B916:$R916)=0,"",IF($X916="Cancelado","Cancelado",IF(OR($X916="Pago",$X916="Recebido"),$X916,IF(OR($X916="Parcial",N($R916)&gt;0),"Parcial",IF($C916="","Sem vencimento",IF($C916&lt;TODAY(),"Vencido",IF($C916=TODAY(),"Vence hoje",IF($C916&lt;=TODAY()+7,"Vence em 7 dias",IF($C916&lt;=TODAY()+30,"Vence em 30 dias","Futuro")))))))))</f>
        <v/>
      </c>
      <c r="Z916" s="24">
        <f>IF($B916="","",MONTH($B916))</f>
        <v/>
      </c>
      <c r="AA916" s="24">
        <f>IF($B916="","",YEAR($B916))</f>
        <v/>
      </c>
      <c r="AB916" s="24">
        <f>IF($B916="","",ISOWEEKNUM($B916))</f>
        <v/>
      </c>
      <c r="AC916" s="17">
        <f>IF($B916="","",CHOOSE(WEEKDAY($B916,2),"Segunda","Terça","Quarta","Quinta","Sexta","Sábado","Domingo"))</f>
        <v/>
      </c>
      <c r="AD916" s="17">
        <f>IF($B916="","",TEXT($B916,"MM/AAAA"))</f>
        <v/>
      </c>
      <c r="AE916" s="18">
        <f>IF(COUNTA($B916:$R916)=0,"",IF($X916="Cancelado",0,ROUND(N($Q916)+N($S916)+N($T916)-N($U916),2)))</f>
        <v/>
      </c>
      <c r="AF916" s="9">
        <f>IF($G916="","",IFERROR(INDEX(LINHAS_DRE_PLANO,MATCH($G916,SUBCATEGORIAS_PLANO,0)),"Não classificado"))</f>
        <v/>
      </c>
      <c r="AG916" s="17">
        <f>IF($G916="","",IFERROR(INDEX(TIPOS_FLUXO_PLANO,MATCH($G916,SUBCATEGORIAS_PLANO,0)),"Não classificado"))</f>
        <v/>
      </c>
      <c r="AH916" s="9">
        <f>IF($G916="","",IFERROR(INDEX(GRUPOS_PLANO,MATCH($G916,SUBCATEGORIAS_PLANO,0)),"Não classificado"))</f>
        <v/>
      </c>
      <c r="AI916" s="24">
        <f>IF(OR($C916="",$X916="Pago",$X916="Recebido",$X916="Cancelado"),"",$C916-TODAY())</f>
        <v/>
      </c>
      <c r="AJ916" s="24">
        <f>IF(OR($C916="",$X916="Pago",$X916="Recebido",$X916="Cancelado"),0,MAX(0,TODAY()-$C916))</f>
        <v/>
      </c>
      <c r="AK916" s="24">
        <f>IF($D916="","",$D916-$B916)</f>
        <v/>
      </c>
      <c r="AL916" s="18">
        <f>IF(OR($D916="",$B916=""),"",ROUND(N($R916)*($D916-$B916),2))</f>
        <v/>
      </c>
      <c r="AM916" s="17">
        <f>IF(AND($E916="Saída",$W916&gt;0,$C916&lt;&gt;""),$C916+ROW()/1000000,"")</f>
        <v/>
      </c>
      <c r="AN916" s="17">
        <f>IF(AND($E916="Entrada",$W916&gt;0,$C916&lt;&gt;""),$C916+ROW()/1000000,"")</f>
        <v/>
      </c>
      <c r="AO916" s="9">
        <f>IF(COUNTA($B916:$R916)=0,"",IF(AND($I916&lt;&gt;"",COUNTIF(CLIENTES_NOMES,$I916)+COUNTIF(CLIENTES_FANTASIA,$I916)+COUNTIF(FORNECEDORES_NOMES,$I916)+COUNTIF(FORNECEDORES_FANTASIA,$I916)=0),"⚠ Cliente/Fornecedor não cadastrado",IF(AND($G916&lt;&gt;"",COUNTIF(SUBCATEGORIAS_PLANO,$G916)=0),"⚠ Subcategoria fora do plano de contas",IF(OR($Q916="",N($Q916)=0),"⚠ Valor previsto não informado",IF(AND(OR($X916="Pago",$X916="Recebido"),$D916=""),"⚠ Status pago/recebido sem data",IF(AND($D916&lt;&gt;"",N($R916)=0),"⚠ Data de pagamento sem valor realizado",IF(AND(N($P916)&gt;1,N($O916)&gt;N($P916)),"⚠ Nº da parcela maior que o total",IF(AND($C916&lt;&gt;"",$B916&lt;&gt;"",$C916&lt;$B916),"⚠ Vencimento anterior à competência","OK"))))))))</f>
        <v/>
      </c>
    </row>
    <row r="917">
      <c r="A917" s="14" t="n"/>
      <c r="B917" s="36" t="n"/>
      <c r="C917" s="36" t="n"/>
      <c r="D917" s="36" t="n"/>
      <c r="E917" s="14" t="n"/>
      <c r="F917" s="29" t="n"/>
      <c r="G917" s="29" t="n"/>
      <c r="H917" s="29" t="n"/>
      <c r="I917" s="29" t="n"/>
      <c r="J917" s="29" t="n"/>
      <c r="K917" s="14" t="n"/>
      <c r="L917" s="29" t="n"/>
      <c r="M917" s="14" t="n"/>
      <c r="N917" s="29" t="n"/>
      <c r="O917" s="13" t="n"/>
      <c r="P917" s="13" t="n"/>
      <c r="Q917" s="35" t="n"/>
      <c r="R917" s="35" t="n"/>
      <c r="S917" s="35" t="n"/>
      <c r="T917" s="35" t="n"/>
      <c r="U917" s="35" t="n"/>
      <c r="V917" s="18">
        <f>IF(COUNTA($B917:$R917)=0,"",ROUND(N($R917)+N($S917)+N($T917)-N($U917),2))</f>
        <v/>
      </c>
      <c r="W917" s="18">
        <f>IF(COUNTA($B917:$R917)=0,"",IF(OR($X917="Pago",$X917="Recebido",$X917="Cancelado"),0,ROUND(N($Q917)+N($S917)+N($T917)-N($U917)-N($R917),2)))</f>
        <v/>
      </c>
      <c r="X917" s="14" t="n"/>
      <c r="Y917" s="17">
        <f>IF(COUNTA($B917:$R917)=0,"",IF($X917="Cancelado","Cancelado",IF(OR($X917="Pago",$X917="Recebido"),$X917,IF(OR($X917="Parcial",N($R917)&gt;0),"Parcial",IF($C917="","Sem vencimento",IF($C917&lt;TODAY(),"Vencido",IF($C917=TODAY(),"Vence hoje",IF($C917&lt;=TODAY()+7,"Vence em 7 dias",IF($C917&lt;=TODAY()+30,"Vence em 30 dias","Futuro")))))))))</f>
        <v/>
      </c>
      <c r="Z917" s="24">
        <f>IF($B917="","",MONTH($B917))</f>
        <v/>
      </c>
      <c r="AA917" s="24">
        <f>IF($B917="","",YEAR($B917))</f>
        <v/>
      </c>
      <c r="AB917" s="24">
        <f>IF($B917="","",ISOWEEKNUM($B917))</f>
        <v/>
      </c>
      <c r="AC917" s="17">
        <f>IF($B917="","",CHOOSE(WEEKDAY($B917,2),"Segunda","Terça","Quarta","Quinta","Sexta","Sábado","Domingo"))</f>
        <v/>
      </c>
      <c r="AD917" s="17">
        <f>IF($B917="","",TEXT($B917,"MM/AAAA"))</f>
        <v/>
      </c>
      <c r="AE917" s="18">
        <f>IF(COUNTA($B917:$R917)=0,"",IF($X917="Cancelado",0,ROUND(N($Q917)+N($S917)+N($T917)-N($U917),2)))</f>
        <v/>
      </c>
      <c r="AF917" s="9">
        <f>IF($G917="","",IFERROR(INDEX(LINHAS_DRE_PLANO,MATCH($G917,SUBCATEGORIAS_PLANO,0)),"Não classificado"))</f>
        <v/>
      </c>
      <c r="AG917" s="17">
        <f>IF($G917="","",IFERROR(INDEX(TIPOS_FLUXO_PLANO,MATCH($G917,SUBCATEGORIAS_PLANO,0)),"Não classificado"))</f>
        <v/>
      </c>
      <c r="AH917" s="9">
        <f>IF($G917="","",IFERROR(INDEX(GRUPOS_PLANO,MATCH($G917,SUBCATEGORIAS_PLANO,0)),"Não classificado"))</f>
        <v/>
      </c>
      <c r="AI917" s="24">
        <f>IF(OR($C917="",$X917="Pago",$X917="Recebido",$X917="Cancelado"),"",$C917-TODAY())</f>
        <v/>
      </c>
      <c r="AJ917" s="24">
        <f>IF(OR($C917="",$X917="Pago",$X917="Recebido",$X917="Cancelado"),0,MAX(0,TODAY()-$C917))</f>
        <v/>
      </c>
      <c r="AK917" s="24">
        <f>IF($D917="","",$D917-$B917)</f>
        <v/>
      </c>
      <c r="AL917" s="18">
        <f>IF(OR($D917="",$B917=""),"",ROUND(N($R917)*($D917-$B917),2))</f>
        <v/>
      </c>
      <c r="AM917" s="17">
        <f>IF(AND($E917="Saída",$W917&gt;0,$C917&lt;&gt;""),$C917+ROW()/1000000,"")</f>
        <v/>
      </c>
      <c r="AN917" s="17">
        <f>IF(AND($E917="Entrada",$W917&gt;0,$C917&lt;&gt;""),$C917+ROW()/1000000,"")</f>
        <v/>
      </c>
      <c r="AO917" s="9">
        <f>IF(COUNTA($B917:$R917)=0,"",IF(AND($I917&lt;&gt;"",COUNTIF(CLIENTES_NOMES,$I917)+COUNTIF(CLIENTES_FANTASIA,$I917)+COUNTIF(FORNECEDORES_NOMES,$I917)+COUNTIF(FORNECEDORES_FANTASIA,$I917)=0),"⚠ Cliente/Fornecedor não cadastrado",IF(AND($G917&lt;&gt;"",COUNTIF(SUBCATEGORIAS_PLANO,$G917)=0),"⚠ Subcategoria fora do plano de contas",IF(OR($Q917="",N($Q917)=0),"⚠ Valor previsto não informado",IF(AND(OR($X917="Pago",$X917="Recebido"),$D917=""),"⚠ Status pago/recebido sem data",IF(AND($D917&lt;&gt;"",N($R917)=0),"⚠ Data de pagamento sem valor realizado",IF(AND(N($P917)&gt;1,N($O917)&gt;N($P917)),"⚠ Nº da parcela maior que o total",IF(AND($C917&lt;&gt;"",$B917&lt;&gt;"",$C917&lt;$B917),"⚠ Vencimento anterior à competência","OK"))))))))</f>
        <v/>
      </c>
    </row>
    <row r="918">
      <c r="A918" s="14" t="n"/>
      <c r="B918" s="36" t="n"/>
      <c r="C918" s="36" t="n"/>
      <c r="D918" s="36" t="n"/>
      <c r="E918" s="14" t="n"/>
      <c r="F918" s="29" t="n"/>
      <c r="G918" s="29" t="n"/>
      <c r="H918" s="29" t="n"/>
      <c r="I918" s="29" t="n"/>
      <c r="J918" s="29" t="n"/>
      <c r="K918" s="14" t="n"/>
      <c r="L918" s="29" t="n"/>
      <c r="M918" s="14" t="n"/>
      <c r="N918" s="29" t="n"/>
      <c r="O918" s="13" t="n"/>
      <c r="P918" s="13" t="n"/>
      <c r="Q918" s="35" t="n"/>
      <c r="R918" s="35" t="n"/>
      <c r="S918" s="35" t="n"/>
      <c r="T918" s="35" t="n"/>
      <c r="U918" s="35" t="n"/>
      <c r="V918" s="18">
        <f>IF(COUNTA($B918:$R918)=0,"",ROUND(N($R918)+N($S918)+N($T918)-N($U918),2))</f>
        <v/>
      </c>
      <c r="W918" s="18">
        <f>IF(COUNTA($B918:$R918)=0,"",IF(OR($X918="Pago",$X918="Recebido",$X918="Cancelado"),0,ROUND(N($Q918)+N($S918)+N($T918)-N($U918)-N($R918),2)))</f>
        <v/>
      </c>
      <c r="X918" s="14" t="n"/>
      <c r="Y918" s="17">
        <f>IF(COUNTA($B918:$R918)=0,"",IF($X918="Cancelado","Cancelado",IF(OR($X918="Pago",$X918="Recebido"),$X918,IF(OR($X918="Parcial",N($R918)&gt;0),"Parcial",IF($C918="","Sem vencimento",IF($C918&lt;TODAY(),"Vencido",IF($C918=TODAY(),"Vence hoje",IF($C918&lt;=TODAY()+7,"Vence em 7 dias",IF($C918&lt;=TODAY()+30,"Vence em 30 dias","Futuro")))))))))</f>
        <v/>
      </c>
      <c r="Z918" s="24">
        <f>IF($B918="","",MONTH($B918))</f>
        <v/>
      </c>
      <c r="AA918" s="24">
        <f>IF($B918="","",YEAR($B918))</f>
        <v/>
      </c>
      <c r="AB918" s="24">
        <f>IF($B918="","",ISOWEEKNUM($B918))</f>
        <v/>
      </c>
      <c r="AC918" s="17">
        <f>IF($B918="","",CHOOSE(WEEKDAY($B918,2),"Segunda","Terça","Quarta","Quinta","Sexta","Sábado","Domingo"))</f>
        <v/>
      </c>
      <c r="AD918" s="17">
        <f>IF($B918="","",TEXT($B918,"MM/AAAA"))</f>
        <v/>
      </c>
      <c r="AE918" s="18">
        <f>IF(COUNTA($B918:$R918)=0,"",IF($X918="Cancelado",0,ROUND(N($Q918)+N($S918)+N($T918)-N($U918),2)))</f>
        <v/>
      </c>
      <c r="AF918" s="9">
        <f>IF($G918="","",IFERROR(INDEX(LINHAS_DRE_PLANO,MATCH($G918,SUBCATEGORIAS_PLANO,0)),"Não classificado"))</f>
        <v/>
      </c>
      <c r="AG918" s="17">
        <f>IF($G918="","",IFERROR(INDEX(TIPOS_FLUXO_PLANO,MATCH($G918,SUBCATEGORIAS_PLANO,0)),"Não classificado"))</f>
        <v/>
      </c>
      <c r="AH918" s="9">
        <f>IF($G918="","",IFERROR(INDEX(GRUPOS_PLANO,MATCH($G918,SUBCATEGORIAS_PLANO,0)),"Não classificado"))</f>
        <v/>
      </c>
      <c r="AI918" s="24">
        <f>IF(OR($C918="",$X918="Pago",$X918="Recebido",$X918="Cancelado"),"",$C918-TODAY())</f>
        <v/>
      </c>
      <c r="AJ918" s="24">
        <f>IF(OR($C918="",$X918="Pago",$X918="Recebido",$X918="Cancelado"),0,MAX(0,TODAY()-$C918))</f>
        <v/>
      </c>
      <c r="AK918" s="24">
        <f>IF($D918="","",$D918-$B918)</f>
        <v/>
      </c>
      <c r="AL918" s="18">
        <f>IF(OR($D918="",$B918=""),"",ROUND(N($R918)*($D918-$B918),2))</f>
        <v/>
      </c>
      <c r="AM918" s="17">
        <f>IF(AND($E918="Saída",$W918&gt;0,$C918&lt;&gt;""),$C918+ROW()/1000000,"")</f>
        <v/>
      </c>
      <c r="AN918" s="17">
        <f>IF(AND($E918="Entrada",$W918&gt;0,$C918&lt;&gt;""),$C918+ROW()/1000000,"")</f>
        <v/>
      </c>
      <c r="AO918" s="9">
        <f>IF(COUNTA($B918:$R918)=0,"",IF(AND($I918&lt;&gt;"",COUNTIF(CLIENTES_NOMES,$I918)+COUNTIF(CLIENTES_FANTASIA,$I918)+COUNTIF(FORNECEDORES_NOMES,$I918)+COUNTIF(FORNECEDORES_FANTASIA,$I918)=0),"⚠ Cliente/Fornecedor não cadastrado",IF(AND($G918&lt;&gt;"",COUNTIF(SUBCATEGORIAS_PLANO,$G918)=0),"⚠ Subcategoria fora do plano de contas",IF(OR($Q918="",N($Q918)=0),"⚠ Valor previsto não informado",IF(AND(OR($X918="Pago",$X918="Recebido"),$D918=""),"⚠ Status pago/recebido sem data",IF(AND($D918&lt;&gt;"",N($R918)=0),"⚠ Data de pagamento sem valor realizado",IF(AND(N($P918)&gt;1,N($O918)&gt;N($P918)),"⚠ Nº da parcela maior que o total",IF(AND($C918&lt;&gt;"",$B918&lt;&gt;"",$C918&lt;$B918),"⚠ Vencimento anterior à competência","OK"))))))))</f>
        <v/>
      </c>
    </row>
    <row r="919">
      <c r="A919" s="14" t="n"/>
      <c r="B919" s="36" t="n"/>
      <c r="C919" s="36" t="n"/>
      <c r="D919" s="36" t="n"/>
      <c r="E919" s="14" t="n"/>
      <c r="F919" s="29" t="n"/>
      <c r="G919" s="29" t="n"/>
      <c r="H919" s="29" t="n"/>
      <c r="I919" s="29" t="n"/>
      <c r="J919" s="29" t="n"/>
      <c r="K919" s="14" t="n"/>
      <c r="L919" s="29" t="n"/>
      <c r="M919" s="14" t="n"/>
      <c r="N919" s="29" t="n"/>
      <c r="O919" s="13" t="n"/>
      <c r="P919" s="13" t="n"/>
      <c r="Q919" s="35" t="n"/>
      <c r="R919" s="35" t="n"/>
      <c r="S919" s="35" t="n"/>
      <c r="T919" s="35" t="n"/>
      <c r="U919" s="35" t="n"/>
      <c r="V919" s="18">
        <f>IF(COUNTA($B919:$R919)=0,"",ROUND(N($R919)+N($S919)+N($T919)-N($U919),2))</f>
        <v/>
      </c>
      <c r="W919" s="18">
        <f>IF(COUNTA($B919:$R919)=0,"",IF(OR($X919="Pago",$X919="Recebido",$X919="Cancelado"),0,ROUND(N($Q919)+N($S919)+N($T919)-N($U919)-N($R919),2)))</f>
        <v/>
      </c>
      <c r="X919" s="14" t="n"/>
      <c r="Y919" s="17">
        <f>IF(COUNTA($B919:$R919)=0,"",IF($X919="Cancelado","Cancelado",IF(OR($X919="Pago",$X919="Recebido"),$X919,IF(OR($X919="Parcial",N($R919)&gt;0),"Parcial",IF($C919="","Sem vencimento",IF($C919&lt;TODAY(),"Vencido",IF($C919=TODAY(),"Vence hoje",IF($C919&lt;=TODAY()+7,"Vence em 7 dias",IF($C919&lt;=TODAY()+30,"Vence em 30 dias","Futuro")))))))))</f>
        <v/>
      </c>
      <c r="Z919" s="24">
        <f>IF($B919="","",MONTH($B919))</f>
        <v/>
      </c>
      <c r="AA919" s="24">
        <f>IF($B919="","",YEAR($B919))</f>
        <v/>
      </c>
      <c r="AB919" s="24">
        <f>IF($B919="","",ISOWEEKNUM($B919))</f>
        <v/>
      </c>
      <c r="AC919" s="17">
        <f>IF($B919="","",CHOOSE(WEEKDAY($B919,2),"Segunda","Terça","Quarta","Quinta","Sexta","Sábado","Domingo"))</f>
        <v/>
      </c>
      <c r="AD919" s="17">
        <f>IF($B919="","",TEXT($B919,"MM/AAAA"))</f>
        <v/>
      </c>
      <c r="AE919" s="18">
        <f>IF(COUNTA($B919:$R919)=0,"",IF($X919="Cancelado",0,ROUND(N($Q919)+N($S919)+N($T919)-N($U919),2)))</f>
        <v/>
      </c>
      <c r="AF919" s="9">
        <f>IF($G919="","",IFERROR(INDEX(LINHAS_DRE_PLANO,MATCH($G919,SUBCATEGORIAS_PLANO,0)),"Não classificado"))</f>
        <v/>
      </c>
      <c r="AG919" s="17">
        <f>IF($G919="","",IFERROR(INDEX(TIPOS_FLUXO_PLANO,MATCH($G919,SUBCATEGORIAS_PLANO,0)),"Não classificado"))</f>
        <v/>
      </c>
      <c r="AH919" s="9">
        <f>IF($G919="","",IFERROR(INDEX(GRUPOS_PLANO,MATCH($G919,SUBCATEGORIAS_PLANO,0)),"Não classificado"))</f>
        <v/>
      </c>
      <c r="AI919" s="24">
        <f>IF(OR($C919="",$X919="Pago",$X919="Recebido",$X919="Cancelado"),"",$C919-TODAY())</f>
        <v/>
      </c>
      <c r="AJ919" s="24">
        <f>IF(OR($C919="",$X919="Pago",$X919="Recebido",$X919="Cancelado"),0,MAX(0,TODAY()-$C919))</f>
        <v/>
      </c>
      <c r="AK919" s="24">
        <f>IF($D919="","",$D919-$B919)</f>
        <v/>
      </c>
      <c r="AL919" s="18">
        <f>IF(OR($D919="",$B919=""),"",ROUND(N($R919)*($D919-$B919),2))</f>
        <v/>
      </c>
      <c r="AM919" s="17">
        <f>IF(AND($E919="Saída",$W919&gt;0,$C919&lt;&gt;""),$C919+ROW()/1000000,"")</f>
        <v/>
      </c>
      <c r="AN919" s="17">
        <f>IF(AND($E919="Entrada",$W919&gt;0,$C919&lt;&gt;""),$C919+ROW()/1000000,"")</f>
        <v/>
      </c>
      <c r="AO919" s="9">
        <f>IF(COUNTA($B919:$R919)=0,"",IF(AND($I919&lt;&gt;"",COUNTIF(CLIENTES_NOMES,$I919)+COUNTIF(CLIENTES_FANTASIA,$I919)+COUNTIF(FORNECEDORES_NOMES,$I919)+COUNTIF(FORNECEDORES_FANTASIA,$I919)=0),"⚠ Cliente/Fornecedor não cadastrado",IF(AND($G919&lt;&gt;"",COUNTIF(SUBCATEGORIAS_PLANO,$G919)=0),"⚠ Subcategoria fora do plano de contas",IF(OR($Q919="",N($Q919)=0),"⚠ Valor previsto não informado",IF(AND(OR($X919="Pago",$X919="Recebido"),$D919=""),"⚠ Status pago/recebido sem data",IF(AND($D919&lt;&gt;"",N($R919)=0),"⚠ Data de pagamento sem valor realizado",IF(AND(N($P919)&gt;1,N($O919)&gt;N($P919)),"⚠ Nº da parcela maior que o total",IF(AND($C919&lt;&gt;"",$B919&lt;&gt;"",$C919&lt;$B919),"⚠ Vencimento anterior à competência","OK"))))))))</f>
        <v/>
      </c>
    </row>
    <row r="920">
      <c r="A920" s="14" t="n"/>
      <c r="B920" s="36" t="n"/>
      <c r="C920" s="36" t="n"/>
      <c r="D920" s="36" t="n"/>
      <c r="E920" s="14" t="n"/>
      <c r="F920" s="29" t="n"/>
      <c r="G920" s="29" t="n"/>
      <c r="H920" s="29" t="n"/>
      <c r="I920" s="29" t="n"/>
      <c r="J920" s="29" t="n"/>
      <c r="K920" s="14" t="n"/>
      <c r="L920" s="29" t="n"/>
      <c r="M920" s="14" t="n"/>
      <c r="N920" s="29" t="n"/>
      <c r="O920" s="13" t="n"/>
      <c r="P920" s="13" t="n"/>
      <c r="Q920" s="35" t="n"/>
      <c r="R920" s="35" t="n"/>
      <c r="S920" s="35" t="n"/>
      <c r="T920" s="35" t="n"/>
      <c r="U920" s="35" t="n"/>
      <c r="V920" s="18">
        <f>IF(COUNTA($B920:$R920)=0,"",ROUND(N($R920)+N($S920)+N($T920)-N($U920),2))</f>
        <v/>
      </c>
      <c r="W920" s="18">
        <f>IF(COUNTA($B920:$R920)=0,"",IF(OR($X920="Pago",$X920="Recebido",$X920="Cancelado"),0,ROUND(N($Q920)+N($S920)+N($T920)-N($U920)-N($R920),2)))</f>
        <v/>
      </c>
      <c r="X920" s="14" t="n"/>
      <c r="Y920" s="17">
        <f>IF(COUNTA($B920:$R920)=0,"",IF($X920="Cancelado","Cancelado",IF(OR($X920="Pago",$X920="Recebido"),$X920,IF(OR($X920="Parcial",N($R920)&gt;0),"Parcial",IF($C920="","Sem vencimento",IF($C920&lt;TODAY(),"Vencido",IF($C920=TODAY(),"Vence hoje",IF($C920&lt;=TODAY()+7,"Vence em 7 dias",IF($C920&lt;=TODAY()+30,"Vence em 30 dias","Futuro")))))))))</f>
        <v/>
      </c>
      <c r="Z920" s="24">
        <f>IF($B920="","",MONTH($B920))</f>
        <v/>
      </c>
      <c r="AA920" s="24">
        <f>IF($B920="","",YEAR($B920))</f>
        <v/>
      </c>
      <c r="AB920" s="24">
        <f>IF($B920="","",ISOWEEKNUM($B920))</f>
        <v/>
      </c>
      <c r="AC920" s="17">
        <f>IF($B920="","",CHOOSE(WEEKDAY($B920,2),"Segunda","Terça","Quarta","Quinta","Sexta","Sábado","Domingo"))</f>
        <v/>
      </c>
      <c r="AD920" s="17">
        <f>IF($B920="","",TEXT($B920,"MM/AAAA"))</f>
        <v/>
      </c>
      <c r="AE920" s="18">
        <f>IF(COUNTA($B920:$R920)=0,"",IF($X920="Cancelado",0,ROUND(N($Q920)+N($S920)+N($T920)-N($U920),2)))</f>
        <v/>
      </c>
      <c r="AF920" s="9">
        <f>IF($G920="","",IFERROR(INDEX(LINHAS_DRE_PLANO,MATCH($G920,SUBCATEGORIAS_PLANO,0)),"Não classificado"))</f>
        <v/>
      </c>
      <c r="AG920" s="17">
        <f>IF($G920="","",IFERROR(INDEX(TIPOS_FLUXO_PLANO,MATCH($G920,SUBCATEGORIAS_PLANO,0)),"Não classificado"))</f>
        <v/>
      </c>
      <c r="AH920" s="9">
        <f>IF($G920="","",IFERROR(INDEX(GRUPOS_PLANO,MATCH($G920,SUBCATEGORIAS_PLANO,0)),"Não classificado"))</f>
        <v/>
      </c>
      <c r="AI920" s="24">
        <f>IF(OR($C920="",$X920="Pago",$X920="Recebido",$X920="Cancelado"),"",$C920-TODAY())</f>
        <v/>
      </c>
      <c r="AJ920" s="24">
        <f>IF(OR($C920="",$X920="Pago",$X920="Recebido",$X920="Cancelado"),0,MAX(0,TODAY()-$C920))</f>
        <v/>
      </c>
      <c r="AK920" s="24">
        <f>IF($D920="","",$D920-$B920)</f>
        <v/>
      </c>
      <c r="AL920" s="18">
        <f>IF(OR($D920="",$B920=""),"",ROUND(N($R920)*($D920-$B920),2))</f>
        <v/>
      </c>
      <c r="AM920" s="17">
        <f>IF(AND($E920="Saída",$W920&gt;0,$C920&lt;&gt;""),$C920+ROW()/1000000,"")</f>
        <v/>
      </c>
      <c r="AN920" s="17">
        <f>IF(AND($E920="Entrada",$W920&gt;0,$C920&lt;&gt;""),$C920+ROW()/1000000,"")</f>
        <v/>
      </c>
      <c r="AO920" s="9">
        <f>IF(COUNTA($B920:$R920)=0,"",IF(AND($I920&lt;&gt;"",COUNTIF(CLIENTES_NOMES,$I920)+COUNTIF(CLIENTES_FANTASIA,$I920)+COUNTIF(FORNECEDORES_NOMES,$I920)+COUNTIF(FORNECEDORES_FANTASIA,$I920)=0),"⚠ Cliente/Fornecedor não cadastrado",IF(AND($G920&lt;&gt;"",COUNTIF(SUBCATEGORIAS_PLANO,$G920)=0),"⚠ Subcategoria fora do plano de contas",IF(OR($Q920="",N($Q920)=0),"⚠ Valor previsto não informado",IF(AND(OR($X920="Pago",$X920="Recebido"),$D920=""),"⚠ Status pago/recebido sem data",IF(AND($D920&lt;&gt;"",N($R920)=0),"⚠ Data de pagamento sem valor realizado",IF(AND(N($P920)&gt;1,N($O920)&gt;N($P920)),"⚠ Nº da parcela maior que o total",IF(AND($C920&lt;&gt;"",$B920&lt;&gt;"",$C920&lt;$B920),"⚠ Vencimento anterior à competência","OK"))))))))</f>
        <v/>
      </c>
    </row>
    <row r="921">
      <c r="A921" s="14" t="n"/>
      <c r="B921" s="36" t="n"/>
      <c r="C921" s="36" t="n"/>
      <c r="D921" s="36" t="n"/>
      <c r="E921" s="14" t="n"/>
      <c r="F921" s="29" t="n"/>
      <c r="G921" s="29" t="n"/>
      <c r="H921" s="29" t="n"/>
      <c r="I921" s="29" t="n"/>
      <c r="J921" s="29" t="n"/>
      <c r="K921" s="14" t="n"/>
      <c r="L921" s="29" t="n"/>
      <c r="M921" s="14" t="n"/>
      <c r="N921" s="29" t="n"/>
      <c r="O921" s="13" t="n"/>
      <c r="P921" s="13" t="n"/>
      <c r="Q921" s="35" t="n"/>
      <c r="R921" s="35" t="n"/>
      <c r="S921" s="35" t="n"/>
      <c r="T921" s="35" t="n"/>
      <c r="U921" s="35" t="n"/>
      <c r="V921" s="18">
        <f>IF(COUNTA($B921:$R921)=0,"",ROUND(N($R921)+N($S921)+N($T921)-N($U921),2))</f>
        <v/>
      </c>
      <c r="W921" s="18">
        <f>IF(COUNTA($B921:$R921)=0,"",IF(OR($X921="Pago",$X921="Recebido",$X921="Cancelado"),0,ROUND(N($Q921)+N($S921)+N($T921)-N($U921)-N($R921),2)))</f>
        <v/>
      </c>
      <c r="X921" s="14" t="n"/>
      <c r="Y921" s="17">
        <f>IF(COUNTA($B921:$R921)=0,"",IF($X921="Cancelado","Cancelado",IF(OR($X921="Pago",$X921="Recebido"),$X921,IF(OR($X921="Parcial",N($R921)&gt;0),"Parcial",IF($C921="","Sem vencimento",IF($C921&lt;TODAY(),"Vencido",IF($C921=TODAY(),"Vence hoje",IF($C921&lt;=TODAY()+7,"Vence em 7 dias",IF($C921&lt;=TODAY()+30,"Vence em 30 dias","Futuro")))))))))</f>
        <v/>
      </c>
      <c r="Z921" s="24">
        <f>IF($B921="","",MONTH($B921))</f>
        <v/>
      </c>
      <c r="AA921" s="24">
        <f>IF($B921="","",YEAR($B921))</f>
        <v/>
      </c>
      <c r="AB921" s="24">
        <f>IF($B921="","",ISOWEEKNUM($B921))</f>
        <v/>
      </c>
      <c r="AC921" s="17">
        <f>IF($B921="","",CHOOSE(WEEKDAY($B921,2),"Segunda","Terça","Quarta","Quinta","Sexta","Sábado","Domingo"))</f>
        <v/>
      </c>
      <c r="AD921" s="17">
        <f>IF($B921="","",TEXT($B921,"MM/AAAA"))</f>
        <v/>
      </c>
      <c r="AE921" s="18">
        <f>IF(COUNTA($B921:$R921)=0,"",IF($X921="Cancelado",0,ROUND(N($Q921)+N($S921)+N($T921)-N($U921),2)))</f>
        <v/>
      </c>
      <c r="AF921" s="9">
        <f>IF($G921="","",IFERROR(INDEX(LINHAS_DRE_PLANO,MATCH($G921,SUBCATEGORIAS_PLANO,0)),"Não classificado"))</f>
        <v/>
      </c>
      <c r="AG921" s="17">
        <f>IF($G921="","",IFERROR(INDEX(TIPOS_FLUXO_PLANO,MATCH($G921,SUBCATEGORIAS_PLANO,0)),"Não classificado"))</f>
        <v/>
      </c>
      <c r="AH921" s="9">
        <f>IF($G921="","",IFERROR(INDEX(GRUPOS_PLANO,MATCH($G921,SUBCATEGORIAS_PLANO,0)),"Não classificado"))</f>
        <v/>
      </c>
      <c r="AI921" s="24">
        <f>IF(OR($C921="",$X921="Pago",$X921="Recebido",$X921="Cancelado"),"",$C921-TODAY())</f>
        <v/>
      </c>
      <c r="AJ921" s="24">
        <f>IF(OR($C921="",$X921="Pago",$X921="Recebido",$X921="Cancelado"),0,MAX(0,TODAY()-$C921))</f>
        <v/>
      </c>
      <c r="AK921" s="24">
        <f>IF($D921="","",$D921-$B921)</f>
        <v/>
      </c>
      <c r="AL921" s="18">
        <f>IF(OR($D921="",$B921=""),"",ROUND(N($R921)*($D921-$B921),2))</f>
        <v/>
      </c>
      <c r="AM921" s="17">
        <f>IF(AND($E921="Saída",$W921&gt;0,$C921&lt;&gt;""),$C921+ROW()/1000000,"")</f>
        <v/>
      </c>
      <c r="AN921" s="17">
        <f>IF(AND($E921="Entrada",$W921&gt;0,$C921&lt;&gt;""),$C921+ROW()/1000000,"")</f>
        <v/>
      </c>
      <c r="AO921" s="9">
        <f>IF(COUNTA($B921:$R921)=0,"",IF(AND($I921&lt;&gt;"",COUNTIF(CLIENTES_NOMES,$I921)+COUNTIF(CLIENTES_FANTASIA,$I921)+COUNTIF(FORNECEDORES_NOMES,$I921)+COUNTIF(FORNECEDORES_FANTASIA,$I921)=0),"⚠ Cliente/Fornecedor não cadastrado",IF(AND($G921&lt;&gt;"",COUNTIF(SUBCATEGORIAS_PLANO,$G921)=0),"⚠ Subcategoria fora do plano de contas",IF(OR($Q921="",N($Q921)=0),"⚠ Valor previsto não informado",IF(AND(OR($X921="Pago",$X921="Recebido"),$D921=""),"⚠ Status pago/recebido sem data",IF(AND($D921&lt;&gt;"",N($R921)=0),"⚠ Data de pagamento sem valor realizado",IF(AND(N($P921)&gt;1,N($O921)&gt;N($P921)),"⚠ Nº da parcela maior que o total",IF(AND($C921&lt;&gt;"",$B921&lt;&gt;"",$C921&lt;$B921),"⚠ Vencimento anterior à competência","OK"))))))))</f>
        <v/>
      </c>
    </row>
    <row r="922">
      <c r="A922" s="14" t="n"/>
      <c r="B922" s="36" t="n"/>
      <c r="C922" s="36" t="n"/>
      <c r="D922" s="36" t="n"/>
      <c r="E922" s="14" t="n"/>
      <c r="F922" s="29" t="n"/>
      <c r="G922" s="29" t="n"/>
      <c r="H922" s="29" t="n"/>
      <c r="I922" s="29" t="n"/>
      <c r="J922" s="29" t="n"/>
      <c r="K922" s="14" t="n"/>
      <c r="L922" s="29" t="n"/>
      <c r="M922" s="14" t="n"/>
      <c r="N922" s="29" t="n"/>
      <c r="O922" s="13" t="n"/>
      <c r="P922" s="13" t="n"/>
      <c r="Q922" s="35" t="n"/>
      <c r="R922" s="35" t="n"/>
      <c r="S922" s="35" t="n"/>
      <c r="T922" s="35" t="n"/>
      <c r="U922" s="35" t="n"/>
      <c r="V922" s="18">
        <f>IF(COUNTA($B922:$R922)=0,"",ROUND(N($R922)+N($S922)+N($T922)-N($U922),2))</f>
        <v/>
      </c>
      <c r="W922" s="18">
        <f>IF(COUNTA($B922:$R922)=0,"",IF(OR($X922="Pago",$X922="Recebido",$X922="Cancelado"),0,ROUND(N($Q922)+N($S922)+N($T922)-N($U922)-N($R922),2)))</f>
        <v/>
      </c>
      <c r="X922" s="14" t="n"/>
      <c r="Y922" s="17">
        <f>IF(COUNTA($B922:$R922)=0,"",IF($X922="Cancelado","Cancelado",IF(OR($X922="Pago",$X922="Recebido"),$X922,IF(OR($X922="Parcial",N($R922)&gt;0),"Parcial",IF($C922="","Sem vencimento",IF($C922&lt;TODAY(),"Vencido",IF($C922=TODAY(),"Vence hoje",IF($C922&lt;=TODAY()+7,"Vence em 7 dias",IF($C922&lt;=TODAY()+30,"Vence em 30 dias","Futuro")))))))))</f>
        <v/>
      </c>
      <c r="Z922" s="24">
        <f>IF($B922="","",MONTH($B922))</f>
        <v/>
      </c>
      <c r="AA922" s="24">
        <f>IF($B922="","",YEAR($B922))</f>
        <v/>
      </c>
      <c r="AB922" s="24">
        <f>IF($B922="","",ISOWEEKNUM($B922))</f>
        <v/>
      </c>
      <c r="AC922" s="17">
        <f>IF($B922="","",CHOOSE(WEEKDAY($B922,2),"Segunda","Terça","Quarta","Quinta","Sexta","Sábado","Domingo"))</f>
        <v/>
      </c>
      <c r="AD922" s="17">
        <f>IF($B922="","",TEXT($B922,"MM/AAAA"))</f>
        <v/>
      </c>
      <c r="AE922" s="18">
        <f>IF(COUNTA($B922:$R922)=0,"",IF($X922="Cancelado",0,ROUND(N($Q922)+N($S922)+N($T922)-N($U922),2)))</f>
        <v/>
      </c>
      <c r="AF922" s="9">
        <f>IF($G922="","",IFERROR(INDEX(LINHAS_DRE_PLANO,MATCH($G922,SUBCATEGORIAS_PLANO,0)),"Não classificado"))</f>
        <v/>
      </c>
      <c r="AG922" s="17">
        <f>IF($G922="","",IFERROR(INDEX(TIPOS_FLUXO_PLANO,MATCH($G922,SUBCATEGORIAS_PLANO,0)),"Não classificado"))</f>
        <v/>
      </c>
      <c r="AH922" s="9">
        <f>IF($G922="","",IFERROR(INDEX(GRUPOS_PLANO,MATCH($G922,SUBCATEGORIAS_PLANO,0)),"Não classificado"))</f>
        <v/>
      </c>
      <c r="AI922" s="24">
        <f>IF(OR($C922="",$X922="Pago",$X922="Recebido",$X922="Cancelado"),"",$C922-TODAY())</f>
        <v/>
      </c>
      <c r="AJ922" s="24">
        <f>IF(OR($C922="",$X922="Pago",$X922="Recebido",$X922="Cancelado"),0,MAX(0,TODAY()-$C922))</f>
        <v/>
      </c>
      <c r="AK922" s="24">
        <f>IF($D922="","",$D922-$B922)</f>
        <v/>
      </c>
      <c r="AL922" s="18">
        <f>IF(OR($D922="",$B922=""),"",ROUND(N($R922)*($D922-$B922),2))</f>
        <v/>
      </c>
      <c r="AM922" s="17">
        <f>IF(AND($E922="Saída",$W922&gt;0,$C922&lt;&gt;""),$C922+ROW()/1000000,"")</f>
        <v/>
      </c>
      <c r="AN922" s="17">
        <f>IF(AND($E922="Entrada",$W922&gt;0,$C922&lt;&gt;""),$C922+ROW()/1000000,"")</f>
        <v/>
      </c>
      <c r="AO922" s="9">
        <f>IF(COUNTA($B922:$R922)=0,"",IF(AND($I922&lt;&gt;"",COUNTIF(CLIENTES_NOMES,$I922)+COUNTIF(CLIENTES_FANTASIA,$I922)+COUNTIF(FORNECEDORES_NOMES,$I922)+COUNTIF(FORNECEDORES_FANTASIA,$I922)=0),"⚠ Cliente/Fornecedor não cadastrado",IF(AND($G922&lt;&gt;"",COUNTIF(SUBCATEGORIAS_PLANO,$G922)=0),"⚠ Subcategoria fora do plano de contas",IF(OR($Q922="",N($Q922)=0),"⚠ Valor previsto não informado",IF(AND(OR($X922="Pago",$X922="Recebido"),$D922=""),"⚠ Status pago/recebido sem data",IF(AND($D922&lt;&gt;"",N($R922)=0),"⚠ Data de pagamento sem valor realizado",IF(AND(N($P922)&gt;1,N($O922)&gt;N($P922)),"⚠ Nº da parcela maior que o total",IF(AND($C922&lt;&gt;"",$B922&lt;&gt;"",$C922&lt;$B922),"⚠ Vencimento anterior à competência","OK"))))))))</f>
        <v/>
      </c>
    </row>
    <row r="923">
      <c r="A923" s="14" t="n"/>
      <c r="B923" s="36" t="n"/>
      <c r="C923" s="36" t="n"/>
      <c r="D923" s="36" t="n"/>
      <c r="E923" s="14" t="n"/>
      <c r="F923" s="29" t="n"/>
      <c r="G923" s="29" t="n"/>
      <c r="H923" s="29" t="n"/>
      <c r="I923" s="29" t="n"/>
      <c r="J923" s="29" t="n"/>
      <c r="K923" s="14" t="n"/>
      <c r="L923" s="29" t="n"/>
      <c r="M923" s="14" t="n"/>
      <c r="N923" s="29" t="n"/>
      <c r="O923" s="13" t="n"/>
      <c r="P923" s="13" t="n"/>
      <c r="Q923" s="35" t="n"/>
      <c r="R923" s="35" t="n"/>
      <c r="S923" s="35" t="n"/>
      <c r="T923" s="35" t="n"/>
      <c r="U923" s="35" t="n"/>
      <c r="V923" s="18">
        <f>IF(COUNTA($B923:$R923)=0,"",ROUND(N($R923)+N($S923)+N($T923)-N($U923),2))</f>
        <v/>
      </c>
      <c r="W923" s="18">
        <f>IF(COUNTA($B923:$R923)=0,"",IF(OR($X923="Pago",$X923="Recebido",$X923="Cancelado"),0,ROUND(N($Q923)+N($S923)+N($T923)-N($U923)-N($R923),2)))</f>
        <v/>
      </c>
      <c r="X923" s="14" t="n"/>
      <c r="Y923" s="17">
        <f>IF(COUNTA($B923:$R923)=0,"",IF($X923="Cancelado","Cancelado",IF(OR($X923="Pago",$X923="Recebido"),$X923,IF(OR($X923="Parcial",N($R923)&gt;0),"Parcial",IF($C923="","Sem vencimento",IF($C923&lt;TODAY(),"Vencido",IF($C923=TODAY(),"Vence hoje",IF($C923&lt;=TODAY()+7,"Vence em 7 dias",IF($C923&lt;=TODAY()+30,"Vence em 30 dias","Futuro")))))))))</f>
        <v/>
      </c>
      <c r="Z923" s="24">
        <f>IF($B923="","",MONTH($B923))</f>
        <v/>
      </c>
      <c r="AA923" s="24">
        <f>IF($B923="","",YEAR($B923))</f>
        <v/>
      </c>
      <c r="AB923" s="24">
        <f>IF($B923="","",ISOWEEKNUM($B923))</f>
        <v/>
      </c>
      <c r="AC923" s="17">
        <f>IF($B923="","",CHOOSE(WEEKDAY($B923,2),"Segunda","Terça","Quarta","Quinta","Sexta","Sábado","Domingo"))</f>
        <v/>
      </c>
      <c r="AD923" s="17">
        <f>IF($B923="","",TEXT($B923,"MM/AAAA"))</f>
        <v/>
      </c>
      <c r="AE923" s="18">
        <f>IF(COUNTA($B923:$R923)=0,"",IF($X923="Cancelado",0,ROUND(N($Q923)+N($S923)+N($T923)-N($U923),2)))</f>
        <v/>
      </c>
      <c r="AF923" s="9">
        <f>IF($G923="","",IFERROR(INDEX(LINHAS_DRE_PLANO,MATCH($G923,SUBCATEGORIAS_PLANO,0)),"Não classificado"))</f>
        <v/>
      </c>
      <c r="AG923" s="17">
        <f>IF($G923="","",IFERROR(INDEX(TIPOS_FLUXO_PLANO,MATCH($G923,SUBCATEGORIAS_PLANO,0)),"Não classificado"))</f>
        <v/>
      </c>
      <c r="AH923" s="9">
        <f>IF($G923="","",IFERROR(INDEX(GRUPOS_PLANO,MATCH($G923,SUBCATEGORIAS_PLANO,0)),"Não classificado"))</f>
        <v/>
      </c>
      <c r="AI923" s="24">
        <f>IF(OR($C923="",$X923="Pago",$X923="Recebido",$X923="Cancelado"),"",$C923-TODAY())</f>
        <v/>
      </c>
      <c r="AJ923" s="24">
        <f>IF(OR($C923="",$X923="Pago",$X923="Recebido",$X923="Cancelado"),0,MAX(0,TODAY()-$C923))</f>
        <v/>
      </c>
      <c r="AK923" s="24">
        <f>IF($D923="","",$D923-$B923)</f>
        <v/>
      </c>
      <c r="AL923" s="18">
        <f>IF(OR($D923="",$B923=""),"",ROUND(N($R923)*($D923-$B923),2))</f>
        <v/>
      </c>
      <c r="AM923" s="17">
        <f>IF(AND($E923="Saída",$W923&gt;0,$C923&lt;&gt;""),$C923+ROW()/1000000,"")</f>
        <v/>
      </c>
      <c r="AN923" s="17">
        <f>IF(AND($E923="Entrada",$W923&gt;0,$C923&lt;&gt;""),$C923+ROW()/1000000,"")</f>
        <v/>
      </c>
      <c r="AO923" s="9">
        <f>IF(COUNTA($B923:$R923)=0,"",IF(AND($I923&lt;&gt;"",COUNTIF(CLIENTES_NOMES,$I923)+COUNTIF(CLIENTES_FANTASIA,$I923)+COUNTIF(FORNECEDORES_NOMES,$I923)+COUNTIF(FORNECEDORES_FANTASIA,$I923)=0),"⚠ Cliente/Fornecedor não cadastrado",IF(AND($G923&lt;&gt;"",COUNTIF(SUBCATEGORIAS_PLANO,$G923)=0),"⚠ Subcategoria fora do plano de contas",IF(OR($Q923="",N($Q923)=0),"⚠ Valor previsto não informado",IF(AND(OR($X923="Pago",$X923="Recebido"),$D923=""),"⚠ Status pago/recebido sem data",IF(AND($D923&lt;&gt;"",N($R923)=0),"⚠ Data de pagamento sem valor realizado",IF(AND(N($P923)&gt;1,N($O923)&gt;N($P923)),"⚠ Nº da parcela maior que o total",IF(AND($C923&lt;&gt;"",$B923&lt;&gt;"",$C923&lt;$B923),"⚠ Vencimento anterior à competência","OK"))))))))</f>
        <v/>
      </c>
    </row>
    <row r="924">
      <c r="A924" s="14" t="n"/>
      <c r="B924" s="36" t="n"/>
      <c r="C924" s="36" t="n"/>
      <c r="D924" s="36" t="n"/>
      <c r="E924" s="14" t="n"/>
      <c r="F924" s="29" t="n"/>
      <c r="G924" s="29" t="n"/>
      <c r="H924" s="29" t="n"/>
      <c r="I924" s="29" t="n"/>
      <c r="J924" s="29" t="n"/>
      <c r="K924" s="14" t="n"/>
      <c r="L924" s="29" t="n"/>
      <c r="M924" s="14" t="n"/>
      <c r="N924" s="29" t="n"/>
      <c r="O924" s="13" t="n"/>
      <c r="P924" s="13" t="n"/>
      <c r="Q924" s="35" t="n"/>
      <c r="R924" s="35" t="n"/>
      <c r="S924" s="35" t="n"/>
      <c r="T924" s="35" t="n"/>
      <c r="U924" s="35" t="n"/>
      <c r="V924" s="18">
        <f>IF(COUNTA($B924:$R924)=0,"",ROUND(N($R924)+N($S924)+N($T924)-N($U924),2))</f>
        <v/>
      </c>
      <c r="W924" s="18">
        <f>IF(COUNTA($B924:$R924)=0,"",IF(OR($X924="Pago",$X924="Recebido",$X924="Cancelado"),0,ROUND(N($Q924)+N($S924)+N($T924)-N($U924)-N($R924),2)))</f>
        <v/>
      </c>
      <c r="X924" s="14" t="n"/>
      <c r="Y924" s="17">
        <f>IF(COUNTA($B924:$R924)=0,"",IF($X924="Cancelado","Cancelado",IF(OR($X924="Pago",$X924="Recebido"),$X924,IF(OR($X924="Parcial",N($R924)&gt;0),"Parcial",IF($C924="","Sem vencimento",IF($C924&lt;TODAY(),"Vencido",IF($C924=TODAY(),"Vence hoje",IF($C924&lt;=TODAY()+7,"Vence em 7 dias",IF($C924&lt;=TODAY()+30,"Vence em 30 dias","Futuro")))))))))</f>
        <v/>
      </c>
      <c r="Z924" s="24">
        <f>IF($B924="","",MONTH($B924))</f>
        <v/>
      </c>
      <c r="AA924" s="24">
        <f>IF($B924="","",YEAR($B924))</f>
        <v/>
      </c>
      <c r="AB924" s="24">
        <f>IF($B924="","",ISOWEEKNUM($B924))</f>
        <v/>
      </c>
      <c r="AC924" s="17">
        <f>IF($B924="","",CHOOSE(WEEKDAY($B924,2),"Segunda","Terça","Quarta","Quinta","Sexta","Sábado","Domingo"))</f>
        <v/>
      </c>
      <c r="AD924" s="17">
        <f>IF($B924="","",TEXT($B924,"MM/AAAA"))</f>
        <v/>
      </c>
      <c r="AE924" s="18">
        <f>IF(COUNTA($B924:$R924)=0,"",IF($X924="Cancelado",0,ROUND(N($Q924)+N($S924)+N($T924)-N($U924),2)))</f>
        <v/>
      </c>
      <c r="AF924" s="9">
        <f>IF($G924="","",IFERROR(INDEX(LINHAS_DRE_PLANO,MATCH($G924,SUBCATEGORIAS_PLANO,0)),"Não classificado"))</f>
        <v/>
      </c>
      <c r="AG924" s="17">
        <f>IF($G924="","",IFERROR(INDEX(TIPOS_FLUXO_PLANO,MATCH($G924,SUBCATEGORIAS_PLANO,0)),"Não classificado"))</f>
        <v/>
      </c>
      <c r="AH924" s="9">
        <f>IF($G924="","",IFERROR(INDEX(GRUPOS_PLANO,MATCH($G924,SUBCATEGORIAS_PLANO,0)),"Não classificado"))</f>
        <v/>
      </c>
      <c r="AI924" s="24">
        <f>IF(OR($C924="",$X924="Pago",$X924="Recebido",$X924="Cancelado"),"",$C924-TODAY())</f>
        <v/>
      </c>
      <c r="AJ924" s="24">
        <f>IF(OR($C924="",$X924="Pago",$X924="Recebido",$X924="Cancelado"),0,MAX(0,TODAY()-$C924))</f>
        <v/>
      </c>
      <c r="AK924" s="24">
        <f>IF($D924="","",$D924-$B924)</f>
        <v/>
      </c>
      <c r="AL924" s="18">
        <f>IF(OR($D924="",$B924=""),"",ROUND(N($R924)*($D924-$B924),2))</f>
        <v/>
      </c>
      <c r="AM924" s="17">
        <f>IF(AND($E924="Saída",$W924&gt;0,$C924&lt;&gt;""),$C924+ROW()/1000000,"")</f>
        <v/>
      </c>
      <c r="AN924" s="17">
        <f>IF(AND($E924="Entrada",$W924&gt;0,$C924&lt;&gt;""),$C924+ROW()/1000000,"")</f>
        <v/>
      </c>
      <c r="AO924" s="9">
        <f>IF(COUNTA($B924:$R924)=0,"",IF(AND($I924&lt;&gt;"",COUNTIF(CLIENTES_NOMES,$I924)+COUNTIF(CLIENTES_FANTASIA,$I924)+COUNTIF(FORNECEDORES_NOMES,$I924)+COUNTIF(FORNECEDORES_FANTASIA,$I924)=0),"⚠ Cliente/Fornecedor não cadastrado",IF(AND($G924&lt;&gt;"",COUNTIF(SUBCATEGORIAS_PLANO,$G924)=0),"⚠ Subcategoria fora do plano de contas",IF(OR($Q924="",N($Q924)=0),"⚠ Valor previsto não informado",IF(AND(OR($X924="Pago",$X924="Recebido"),$D924=""),"⚠ Status pago/recebido sem data",IF(AND($D924&lt;&gt;"",N($R924)=0),"⚠ Data de pagamento sem valor realizado",IF(AND(N($P924)&gt;1,N($O924)&gt;N($P924)),"⚠ Nº da parcela maior que o total",IF(AND($C924&lt;&gt;"",$B924&lt;&gt;"",$C924&lt;$B924),"⚠ Vencimento anterior à competência","OK"))))))))</f>
        <v/>
      </c>
    </row>
    <row r="925">
      <c r="A925" s="14" t="n"/>
      <c r="B925" s="36" t="n"/>
      <c r="C925" s="36" t="n"/>
      <c r="D925" s="36" t="n"/>
      <c r="E925" s="14" t="n"/>
      <c r="F925" s="29" t="n"/>
      <c r="G925" s="29" t="n"/>
      <c r="H925" s="29" t="n"/>
      <c r="I925" s="29" t="n"/>
      <c r="J925" s="29" t="n"/>
      <c r="K925" s="14" t="n"/>
      <c r="L925" s="29" t="n"/>
      <c r="M925" s="14" t="n"/>
      <c r="N925" s="29" t="n"/>
      <c r="O925" s="13" t="n"/>
      <c r="P925" s="13" t="n"/>
      <c r="Q925" s="35" t="n"/>
      <c r="R925" s="35" t="n"/>
      <c r="S925" s="35" t="n"/>
      <c r="T925" s="35" t="n"/>
      <c r="U925" s="35" t="n"/>
      <c r="V925" s="18">
        <f>IF(COUNTA($B925:$R925)=0,"",ROUND(N($R925)+N($S925)+N($T925)-N($U925),2))</f>
        <v/>
      </c>
      <c r="W925" s="18">
        <f>IF(COUNTA($B925:$R925)=0,"",IF(OR($X925="Pago",$X925="Recebido",$X925="Cancelado"),0,ROUND(N($Q925)+N($S925)+N($T925)-N($U925)-N($R925),2)))</f>
        <v/>
      </c>
      <c r="X925" s="14" t="n"/>
      <c r="Y925" s="17">
        <f>IF(COUNTA($B925:$R925)=0,"",IF($X925="Cancelado","Cancelado",IF(OR($X925="Pago",$X925="Recebido"),$X925,IF(OR($X925="Parcial",N($R925)&gt;0),"Parcial",IF($C925="","Sem vencimento",IF($C925&lt;TODAY(),"Vencido",IF($C925=TODAY(),"Vence hoje",IF($C925&lt;=TODAY()+7,"Vence em 7 dias",IF($C925&lt;=TODAY()+30,"Vence em 30 dias","Futuro")))))))))</f>
        <v/>
      </c>
      <c r="Z925" s="24">
        <f>IF($B925="","",MONTH($B925))</f>
        <v/>
      </c>
      <c r="AA925" s="24">
        <f>IF($B925="","",YEAR($B925))</f>
        <v/>
      </c>
      <c r="AB925" s="24">
        <f>IF($B925="","",ISOWEEKNUM($B925))</f>
        <v/>
      </c>
      <c r="AC925" s="17">
        <f>IF($B925="","",CHOOSE(WEEKDAY($B925,2),"Segunda","Terça","Quarta","Quinta","Sexta","Sábado","Domingo"))</f>
        <v/>
      </c>
      <c r="AD925" s="17">
        <f>IF($B925="","",TEXT($B925,"MM/AAAA"))</f>
        <v/>
      </c>
      <c r="AE925" s="18">
        <f>IF(COUNTA($B925:$R925)=0,"",IF($X925="Cancelado",0,ROUND(N($Q925)+N($S925)+N($T925)-N($U925),2)))</f>
        <v/>
      </c>
      <c r="AF925" s="9">
        <f>IF($G925="","",IFERROR(INDEX(LINHAS_DRE_PLANO,MATCH($G925,SUBCATEGORIAS_PLANO,0)),"Não classificado"))</f>
        <v/>
      </c>
      <c r="AG925" s="17">
        <f>IF($G925="","",IFERROR(INDEX(TIPOS_FLUXO_PLANO,MATCH($G925,SUBCATEGORIAS_PLANO,0)),"Não classificado"))</f>
        <v/>
      </c>
      <c r="AH925" s="9">
        <f>IF($G925="","",IFERROR(INDEX(GRUPOS_PLANO,MATCH($G925,SUBCATEGORIAS_PLANO,0)),"Não classificado"))</f>
        <v/>
      </c>
      <c r="AI925" s="24">
        <f>IF(OR($C925="",$X925="Pago",$X925="Recebido",$X925="Cancelado"),"",$C925-TODAY())</f>
        <v/>
      </c>
      <c r="AJ925" s="24">
        <f>IF(OR($C925="",$X925="Pago",$X925="Recebido",$X925="Cancelado"),0,MAX(0,TODAY()-$C925))</f>
        <v/>
      </c>
      <c r="AK925" s="24">
        <f>IF($D925="","",$D925-$B925)</f>
        <v/>
      </c>
      <c r="AL925" s="18">
        <f>IF(OR($D925="",$B925=""),"",ROUND(N($R925)*($D925-$B925),2))</f>
        <v/>
      </c>
      <c r="AM925" s="17">
        <f>IF(AND($E925="Saída",$W925&gt;0,$C925&lt;&gt;""),$C925+ROW()/1000000,"")</f>
        <v/>
      </c>
      <c r="AN925" s="17">
        <f>IF(AND($E925="Entrada",$W925&gt;0,$C925&lt;&gt;""),$C925+ROW()/1000000,"")</f>
        <v/>
      </c>
      <c r="AO925" s="9">
        <f>IF(COUNTA($B925:$R925)=0,"",IF(AND($I925&lt;&gt;"",COUNTIF(CLIENTES_NOMES,$I925)+COUNTIF(CLIENTES_FANTASIA,$I925)+COUNTIF(FORNECEDORES_NOMES,$I925)+COUNTIF(FORNECEDORES_FANTASIA,$I925)=0),"⚠ Cliente/Fornecedor não cadastrado",IF(AND($G925&lt;&gt;"",COUNTIF(SUBCATEGORIAS_PLANO,$G925)=0),"⚠ Subcategoria fora do plano de contas",IF(OR($Q925="",N($Q925)=0),"⚠ Valor previsto não informado",IF(AND(OR($X925="Pago",$X925="Recebido"),$D925=""),"⚠ Status pago/recebido sem data",IF(AND($D925&lt;&gt;"",N($R925)=0),"⚠ Data de pagamento sem valor realizado",IF(AND(N($P925)&gt;1,N($O925)&gt;N($P925)),"⚠ Nº da parcela maior que o total",IF(AND($C925&lt;&gt;"",$B925&lt;&gt;"",$C925&lt;$B925),"⚠ Vencimento anterior à competência","OK"))))))))</f>
        <v/>
      </c>
    </row>
    <row r="926">
      <c r="A926" s="14" t="n"/>
      <c r="B926" s="36" t="n"/>
      <c r="C926" s="36" t="n"/>
      <c r="D926" s="36" t="n"/>
      <c r="E926" s="14" t="n"/>
      <c r="F926" s="29" t="n"/>
      <c r="G926" s="29" t="n"/>
      <c r="H926" s="29" t="n"/>
      <c r="I926" s="29" t="n"/>
      <c r="J926" s="29" t="n"/>
      <c r="K926" s="14" t="n"/>
      <c r="L926" s="29" t="n"/>
      <c r="M926" s="14" t="n"/>
      <c r="N926" s="29" t="n"/>
      <c r="O926" s="13" t="n"/>
      <c r="P926" s="13" t="n"/>
      <c r="Q926" s="35" t="n"/>
      <c r="R926" s="35" t="n"/>
      <c r="S926" s="35" t="n"/>
      <c r="T926" s="35" t="n"/>
      <c r="U926" s="35" t="n"/>
      <c r="V926" s="18">
        <f>IF(COUNTA($B926:$R926)=0,"",ROUND(N($R926)+N($S926)+N($T926)-N($U926),2))</f>
        <v/>
      </c>
      <c r="W926" s="18">
        <f>IF(COUNTA($B926:$R926)=0,"",IF(OR($X926="Pago",$X926="Recebido",$X926="Cancelado"),0,ROUND(N($Q926)+N($S926)+N($T926)-N($U926)-N($R926),2)))</f>
        <v/>
      </c>
      <c r="X926" s="14" t="n"/>
      <c r="Y926" s="17">
        <f>IF(COUNTA($B926:$R926)=0,"",IF($X926="Cancelado","Cancelado",IF(OR($X926="Pago",$X926="Recebido"),$X926,IF(OR($X926="Parcial",N($R926)&gt;0),"Parcial",IF($C926="","Sem vencimento",IF($C926&lt;TODAY(),"Vencido",IF($C926=TODAY(),"Vence hoje",IF($C926&lt;=TODAY()+7,"Vence em 7 dias",IF($C926&lt;=TODAY()+30,"Vence em 30 dias","Futuro")))))))))</f>
        <v/>
      </c>
      <c r="Z926" s="24">
        <f>IF($B926="","",MONTH($B926))</f>
        <v/>
      </c>
      <c r="AA926" s="24">
        <f>IF($B926="","",YEAR($B926))</f>
        <v/>
      </c>
      <c r="AB926" s="24">
        <f>IF($B926="","",ISOWEEKNUM($B926))</f>
        <v/>
      </c>
      <c r="AC926" s="17">
        <f>IF($B926="","",CHOOSE(WEEKDAY($B926,2),"Segunda","Terça","Quarta","Quinta","Sexta","Sábado","Domingo"))</f>
        <v/>
      </c>
      <c r="AD926" s="17">
        <f>IF($B926="","",TEXT($B926,"MM/AAAA"))</f>
        <v/>
      </c>
      <c r="AE926" s="18">
        <f>IF(COUNTA($B926:$R926)=0,"",IF($X926="Cancelado",0,ROUND(N($Q926)+N($S926)+N($T926)-N($U926),2)))</f>
        <v/>
      </c>
      <c r="AF926" s="9">
        <f>IF($G926="","",IFERROR(INDEX(LINHAS_DRE_PLANO,MATCH($G926,SUBCATEGORIAS_PLANO,0)),"Não classificado"))</f>
        <v/>
      </c>
      <c r="AG926" s="17">
        <f>IF($G926="","",IFERROR(INDEX(TIPOS_FLUXO_PLANO,MATCH($G926,SUBCATEGORIAS_PLANO,0)),"Não classificado"))</f>
        <v/>
      </c>
      <c r="AH926" s="9">
        <f>IF($G926="","",IFERROR(INDEX(GRUPOS_PLANO,MATCH($G926,SUBCATEGORIAS_PLANO,0)),"Não classificado"))</f>
        <v/>
      </c>
      <c r="AI926" s="24">
        <f>IF(OR($C926="",$X926="Pago",$X926="Recebido",$X926="Cancelado"),"",$C926-TODAY())</f>
        <v/>
      </c>
      <c r="AJ926" s="24">
        <f>IF(OR($C926="",$X926="Pago",$X926="Recebido",$X926="Cancelado"),0,MAX(0,TODAY()-$C926))</f>
        <v/>
      </c>
      <c r="AK926" s="24">
        <f>IF($D926="","",$D926-$B926)</f>
        <v/>
      </c>
      <c r="AL926" s="18">
        <f>IF(OR($D926="",$B926=""),"",ROUND(N($R926)*($D926-$B926),2))</f>
        <v/>
      </c>
      <c r="AM926" s="17">
        <f>IF(AND($E926="Saída",$W926&gt;0,$C926&lt;&gt;""),$C926+ROW()/1000000,"")</f>
        <v/>
      </c>
      <c r="AN926" s="17">
        <f>IF(AND($E926="Entrada",$W926&gt;0,$C926&lt;&gt;""),$C926+ROW()/1000000,"")</f>
        <v/>
      </c>
      <c r="AO926" s="9">
        <f>IF(COUNTA($B926:$R926)=0,"",IF(AND($I926&lt;&gt;"",COUNTIF(CLIENTES_NOMES,$I926)+COUNTIF(CLIENTES_FANTASIA,$I926)+COUNTIF(FORNECEDORES_NOMES,$I926)+COUNTIF(FORNECEDORES_FANTASIA,$I926)=0),"⚠ Cliente/Fornecedor não cadastrado",IF(AND($G926&lt;&gt;"",COUNTIF(SUBCATEGORIAS_PLANO,$G926)=0),"⚠ Subcategoria fora do plano de contas",IF(OR($Q926="",N($Q926)=0),"⚠ Valor previsto não informado",IF(AND(OR($X926="Pago",$X926="Recebido"),$D926=""),"⚠ Status pago/recebido sem data",IF(AND($D926&lt;&gt;"",N($R926)=0),"⚠ Data de pagamento sem valor realizado",IF(AND(N($P926)&gt;1,N($O926)&gt;N($P926)),"⚠ Nº da parcela maior que o total",IF(AND($C926&lt;&gt;"",$B926&lt;&gt;"",$C926&lt;$B926),"⚠ Vencimento anterior à competência","OK"))))))))</f>
        <v/>
      </c>
    </row>
    <row r="927">
      <c r="A927" s="14" t="n"/>
      <c r="B927" s="36" t="n"/>
      <c r="C927" s="36" t="n"/>
      <c r="D927" s="36" t="n"/>
      <c r="E927" s="14" t="n"/>
      <c r="F927" s="29" t="n"/>
      <c r="G927" s="29" t="n"/>
      <c r="H927" s="29" t="n"/>
      <c r="I927" s="29" t="n"/>
      <c r="J927" s="29" t="n"/>
      <c r="K927" s="14" t="n"/>
      <c r="L927" s="29" t="n"/>
      <c r="M927" s="14" t="n"/>
      <c r="N927" s="29" t="n"/>
      <c r="O927" s="13" t="n"/>
      <c r="P927" s="13" t="n"/>
      <c r="Q927" s="35" t="n"/>
      <c r="R927" s="35" t="n"/>
      <c r="S927" s="35" t="n"/>
      <c r="T927" s="35" t="n"/>
      <c r="U927" s="35" t="n"/>
      <c r="V927" s="18">
        <f>IF(COUNTA($B927:$R927)=0,"",ROUND(N($R927)+N($S927)+N($T927)-N($U927),2))</f>
        <v/>
      </c>
      <c r="W927" s="18">
        <f>IF(COUNTA($B927:$R927)=0,"",IF(OR($X927="Pago",$X927="Recebido",$X927="Cancelado"),0,ROUND(N($Q927)+N($S927)+N($T927)-N($U927)-N($R927),2)))</f>
        <v/>
      </c>
      <c r="X927" s="14" t="n"/>
      <c r="Y927" s="17">
        <f>IF(COUNTA($B927:$R927)=0,"",IF($X927="Cancelado","Cancelado",IF(OR($X927="Pago",$X927="Recebido"),$X927,IF(OR($X927="Parcial",N($R927)&gt;0),"Parcial",IF($C927="","Sem vencimento",IF($C927&lt;TODAY(),"Vencido",IF($C927=TODAY(),"Vence hoje",IF($C927&lt;=TODAY()+7,"Vence em 7 dias",IF($C927&lt;=TODAY()+30,"Vence em 30 dias","Futuro")))))))))</f>
        <v/>
      </c>
      <c r="Z927" s="24">
        <f>IF($B927="","",MONTH($B927))</f>
        <v/>
      </c>
      <c r="AA927" s="24">
        <f>IF($B927="","",YEAR($B927))</f>
        <v/>
      </c>
      <c r="AB927" s="24">
        <f>IF($B927="","",ISOWEEKNUM($B927))</f>
        <v/>
      </c>
      <c r="AC927" s="17">
        <f>IF($B927="","",CHOOSE(WEEKDAY($B927,2),"Segunda","Terça","Quarta","Quinta","Sexta","Sábado","Domingo"))</f>
        <v/>
      </c>
      <c r="AD927" s="17">
        <f>IF($B927="","",TEXT($B927,"MM/AAAA"))</f>
        <v/>
      </c>
      <c r="AE927" s="18">
        <f>IF(COUNTA($B927:$R927)=0,"",IF($X927="Cancelado",0,ROUND(N($Q927)+N($S927)+N($T927)-N($U927),2)))</f>
        <v/>
      </c>
      <c r="AF927" s="9">
        <f>IF($G927="","",IFERROR(INDEX(LINHAS_DRE_PLANO,MATCH($G927,SUBCATEGORIAS_PLANO,0)),"Não classificado"))</f>
        <v/>
      </c>
      <c r="AG927" s="17">
        <f>IF($G927="","",IFERROR(INDEX(TIPOS_FLUXO_PLANO,MATCH($G927,SUBCATEGORIAS_PLANO,0)),"Não classificado"))</f>
        <v/>
      </c>
      <c r="AH927" s="9">
        <f>IF($G927="","",IFERROR(INDEX(GRUPOS_PLANO,MATCH($G927,SUBCATEGORIAS_PLANO,0)),"Não classificado"))</f>
        <v/>
      </c>
      <c r="AI927" s="24">
        <f>IF(OR($C927="",$X927="Pago",$X927="Recebido",$X927="Cancelado"),"",$C927-TODAY())</f>
        <v/>
      </c>
      <c r="AJ927" s="24">
        <f>IF(OR($C927="",$X927="Pago",$X927="Recebido",$X927="Cancelado"),0,MAX(0,TODAY()-$C927))</f>
        <v/>
      </c>
      <c r="AK927" s="24">
        <f>IF($D927="","",$D927-$B927)</f>
        <v/>
      </c>
      <c r="AL927" s="18">
        <f>IF(OR($D927="",$B927=""),"",ROUND(N($R927)*($D927-$B927),2))</f>
        <v/>
      </c>
      <c r="AM927" s="17">
        <f>IF(AND($E927="Saída",$W927&gt;0,$C927&lt;&gt;""),$C927+ROW()/1000000,"")</f>
        <v/>
      </c>
      <c r="AN927" s="17">
        <f>IF(AND($E927="Entrada",$W927&gt;0,$C927&lt;&gt;""),$C927+ROW()/1000000,"")</f>
        <v/>
      </c>
      <c r="AO927" s="9">
        <f>IF(COUNTA($B927:$R927)=0,"",IF(AND($I927&lt;&gt;"",COUNTIF(CLIENTES_NOMES,$I927)+COUNTIF(CLIENTES_FANTASIA,$I927)+COUNTIF(FORNECEDORES_NOMES,$I927)+COUNTIF(FORNECEDORES_FANTASIA,$I927)=0),"⚠ Cliente/Fornecedor não cadastrado",IF(AND($G927&lt;&gt;"",COUNTIF(SUBCATEGORIAS_PLANO,$G927)=0),"⚠ Subcategoria fora do plano de contas",IF(OR($Q927="",N($Q927)=0),"⚠ Valor previsto não informado",IF(AND(OR($X927="Pago",$X927="Recebido"),$D927=""),"⚠ Status pago/recebido sem data",IF(AND($D927&lt;&gt;"",N($R927)=0),"⚠ Data de pagamento sem valor realizado",IF(AND(N($P927)&gt;1,N($O927)&gt;N($P927)),"⚠ Nº da parcela maior que o total",IF(AND($C927&lt;&gt;"",$B927&lt;&gt;"",$C927&lt;$B927),"⚠ Vencimento anterior à competência","OK"))))))))</f>
        <v/>
      </c>
    </row>
    <row r="928">
      <c r="A928" s="14" t="n"/>
      <c r="B928" s="36" t="n"/>
      <c r="C928" s="36" t="n"/>
      <c r="D928" s="36" t="n"/>
      <c r="E928" s="14" t="n"/>
      <c r="F928" s="29" t="n"/>
      <c r="G928" s="29" t="n"/>
      <c r="H928" s="29" t="n"/>
      <c r="I928" s="29" t="n"/>
      <c r="J928" s="29" t="n"/>
      <c r="K928" s="14" t="n"/>
      <c r="L928" s="29" t="n"/>
      <c r="M928" s="14" t="n"/>
      <c r="N928" s="29" t="n"/>
      <c r="O928" s="13" t="n"/>
      <c r="P928" s="13" t="n"/>
      <c r="Q928" s="35" t="n"/>
      <c r="R928" s="35" t="n"/>
      <c r="S928" s="35" t="n"/>
      <c r="T928" s="35" t="n"/>
      <c r="U928" s="35" t="n"/>
      <c r="V928" s="18">
        <f>IF(COUNTA($B928:$R928)=0,"",ROUND(N($R928)+N($S928)+N($T928)-N($U928),2))</f>
        <v/>
      </c>
      <c r="W928" s="18">
        <f>IF(COUNTA($B928:$R928)=0,"",IF(OR($X928="Pago",$X928="Recebido",$X928="Cancelado"),0,ROUND(N($Q928)+N($S928)+N($T928)-N($U928)-N($R928),2)))</f>
        <v/>
      </c>
      <c r="X928" s="14" t="n"/>
      <c r="Y928" s="17">
        <f>IF(COUNTA($B928:$R928)=0,"",IF($X928="Cancelado","Cancelado",IF(OR($X928="Pago",$X928="Recebido"),$X928,IF(OR($X928="Parcial",N($R928)&gt;0),"Parcial",IF($C928="","Sem vencimento",IF($C928&lt;TODAY(),"Vencido",IF($C928=TODAY(),"Vence hoje",IF($C928&lt;=TODAY()+7,"Vence em 7 dias",IF($C928&lt;=TODAY()+30,"Vence em 30 dias","Futuro")))))))))</f>
        <v/>
      </c>
      <c r="Z928" s="24">
        <f>IF($B928="","",MONTH($B928))</f>
        <v/>
      </c>
      <c r="AA928" s="24">
        <f>IF($B928="","",YEAR($B928))</f>
        <v/>
      </c>
      <c r="AB928" s="24">
        <f>IF($B928="","",ISOWEEKNUM($B928))</f>
        <v/>
      </c>
      <c r="AC928" s="17">
        <f>IF($B928="","",CHOOSE(WEEKDAY($B928,2),"Segunda","Terça","Quarta","Quinta","Sexta","Sábado","Domingo"))</f>
        <v/>
      </c>
      <c r="AD928" s="17">
        <f>IF($B928="","",TEXT($B928,"MM/AAAA"))</f>
        <v/>
      </c>
      <c r="AE928" s="18">
        <f>IF(COUNTA($B928:$R928)=0,"",IF($X928="Cancelado",0,ROUND(N($Q928)+N($S928)+N($T928)-N($U928),2)))</f>
        <v/>
      </c>
      <c r="AF928" s="9">
        <f>IF($G928="","",IFERROR(INDEX(LINHAS_DRE_PLANO,MATCH($G928,SUBCATEGORIAS_PLANO,0)),"Não classificado"))</f>
        <v/>
      </c>
      <c r="AG928" s="17">
        <f>IF($G928="","",IFERROR(INDEX(TIPOS_FLUXO_PLANO,MATCH($G928,SUBCATEGORIAS_PLANO,0)),"Não classificado"))</f>
        <v/>
      </c>
      <c r="AH928" s="9">
        <f>IF($G928="","",IFERROR(INDEX(GRUPOS_PLANO,MATCH($G928,SUBCATEGORIAS_PLANO,0)),"Não classificado"))</f>
        <v/>
      </c>
      <c r="AI928" s="24">
        <f>IF(OR($C928="",$X928="Pago",$X928="Recebido",$X928="Cancelado"),"",$C928-TODAY())</f>
        <v/>
      </c>
      <c r="AJ928" s="24">
        <f>IF(OR($C928="",$X928="Pago",$X928="Recebido",$X928="Cancelado"),0,MAX(0,TODAY()-$C928))</f>
        <v/>
      </c>
      <c r="AK928" s="24">
        <f>IF($D928="","",$D928-$B928)</f>
        <v/>
      </c>
      <c r="AL928" s="18">
        <f>IF(OR($D928="",$B928=""),"",ROUND(N($R928)*($D928-$B928),2))</f>
        <v/>
      </c>
      <c r="AM928" s="17">
        <f>IF(AND($E928="Saída",$W928&gt;0,$C928&lt;&gt;""),$C928+ROW()/1000000,"")</f>
        <v/>
      </c>
      <c r="AN928" s="17">
        <f>IF(AND($E928="Entrada",$W928&gt;0,$C928&lt;&gt;""),$C928+ROW()/1000000,"")</f>
        <v/>
      </c>
      <c r="AO928" s="9">
        <f>IF(COUNTA($B928:$R928)=0,"",IF(AND($I928&lt;&gt;"",COUNTIF(CLIENTES_NOMES,$I928)+COUNTIF(CLIENTES_FANTASIA,$I928)+COUNTIF(FORNECEDORES_NOMES,$I928)+COUNTIF(FORNECEDORES_FANTASIA,$I928)=0),"⚠ Cliente/Fornecedor não cadastrado",IF(AND($G928&lt;&gt;"",COUNTIF(SUBCATEGORIAS_PLANO,$G928)=0),"⚠ Subcategoria fora do plano de contas",IF(OR($Q928="",N($Q928)=0),"⚠ Valor previsto não informado",IF(AND(OR($X928="Pago",$X928="Recebido"),$D928=""),"⚠ Status pago/recebido sem data",IF(AND($D928&lt;&gt;"",N($R928)=0),"⚠ Data de pagamento sem valor realizado",IF(AND(N($P928)&gt;1,N($O928)&gt;N($P928)),"⚠ Nº da parcela maior que o total",IF(AND($C928&lt;&gt;"",$B928&lt;&gt;"",$C928&lt;$B928),"⚠ Vencimento anterior à competência","OK"))))))))</f>
        <v/>
      </c>
    </row>
    <row r="929">
      <c r="A929" s="14" t="n"/>
      <c r="B929" s="36" t="n"/>
      <c r="C929" s="36" t="n"/>
      <c r="D929" s="36" t="n"/>
      <c r="E929" s="14" t="n"/>
      <c r="F929" s="29" t="n"/>
      <c r="G929" s="29" t="n"/>
      <c r="H929" s="29" t="n"/>
      <c r="I929" s="29" t="n"/>
      <c r="J929" s="29" t="n"/>
      <c r="K929" s="14" t="n"/>
      <c r="L929" s="29" t="n"/>
      <c r="M929" s="14" t="n"/>
      <c r="N929" s="29" t="n"/>
      <c r="O929" s="13" t="n"/>
      <c r="P929" s="13" t="n"/>
      <c r="Q929" s="35" t="n"/>
      <c r="R929" s="35" t="n"/>
      <c r="S929" s="35" t="n"/>
      <c r="T929" s="35" t="n"/>
      <c r="U929" s="35" t="n"/>
      <c r="V929" s="18">
        <f>IF(COUNTA($B929:$R929)=0,"",ROUND(N($R929)+N($S929)+N($T929)-N($U929),2))</f>
        <v/>
      </c>
      <c r="W929" s="18">
        <f>IF(COUNTA($B929:$R929)=0,"",IF(OR($X929="Pago",$X929="Recebido",$X929="Cancelado"),0,ROUND(N($Q929)+N($S929)+N($T929)-N($U929)-N($R929),2)))</f>
        <v/>
      </c>
      <c r="X929" s="14" t="n"/>
      <c r="Y929" s="17">
        <f>IF(COUNTA($B929:$R929)=0,"",IF($X929="Cancelado","Cancelado",IF(OR($X929="Pago",$X929="Recebido"),$X929,IF(OR($X929="Parcial",N($R929)&gt;0),"Parcial",IF($C929="","Sem vencimento",IF($C929&lt;TODAY(),"Vencido",IF($C929=TODAY(),"Vence hoje",IF($C929&lt;=TODAY()+7,"Vence em 7 dias",IF($C929&lt;=TODAY()+30,"Vence em 30 dias","Futuro")))))))))</f>
        <v/>
      </c>
      <c r="Z929" s="24">
        <f>IF($B929="","",MONTH($B929))</f>
        <v/>
      </c>
      <c r="AA929" s="24">
        <f>IF($B929="","",YEAR($B929))</f>
        <v/>
      </c>
      <c r="AB929" s="24">
        <f>IF($B929="","",ISOWEEKNUM($B929))</f>
        <v/>
      </c>
      <c r="AC929" s="17">
        <f>IF($B929="","",CHOOSE(WEEKDAY($B929,2),"Segunda","Terça","Quarta","Quinta","Sexta","Sábado","Domingo"))</f>
        <v/>
      </c>
      <c r="AD929" s="17">
        <f>IF($B929="","",TEXT($B929,"MM/AAAA"))</f>
        <v/>
      </c>
      <c r="AE929" s="18">
        <f>IF(COUNTA($B929:$R929)=0,"",IF($X929="Cancelado",0,ROUND(N($Q929)+N($S929)+N($T929)-N($U929),2)))</f>
        <v/>
      </c>
      <c r="AF929" s="9">
        <f>IF($G929="","",IFERROR(INDEX(LINHAS_DRE_PLANO,MATCH($G929,SUBCATEGORIAS_PLANO,0)),"Não classificado"))</f>
        <v/>
      </c>
      <c r="AG929" s="17">
        <f>IF($G929="","",IFERROR(INDEX(TIPOS_FLUXO_PLANO,MATCH($G929,SUBCATEGORIAS_PLANO,0)),"Não classificado"))</f>
        <v/>
      </c>
      <c r="AH929" s="9">
        <f>IF($G929="","",IFERROR(INDEX(GRUPOS_PLANO,MATCH($G929,SUBCATEGORIAS_PLANO,0)),"Não classificado"))</f>
        <v/>
      </c>
      <c r="AI929" s="24">
        <f>IF(OR($C929="",$X929="Pago",$X929="Recebido",$X929="Cancelado"),"",$C929-TODAY())</f>
        <v/>
      </c>
      <c r="AJ929" s="24">
        <f>IF(OR($C929="",$X929="Pago",$X929="Recebido",$X929="Cancelado"),0,MAX(0,TODAY()-$C929))</f>
        <v/>
      </c>
      <c r="AK929" s="24">
        <f>IF($D929="","",$D929-$B929)</f>
        <v/>
      </c>
      <c r="AL929" s="18">
        <f>IF(OR($D929="",$B929=""),"",ROUND(N($R929)*($D929-$B929),2))</f>
        <v/>
      </c>
      <c r="AM929" s="17">
        <f>IF(AND($E929="Saída",$W929&gt;0,$C929&lt;&gt;""),$C929+ROW()/1000000,"")</f>
        <v/>
      </c>
      <c r="AN929" s="17">
        <f>IF(AND($E929="Entrada",$W929&gt;0,$C929&lt;&gt;""),$C929+ROW()/1000000,"")</f>
        <v/>
      </c>
      <c r="AO929" s="9">
        <f>IF(COUNTA($B929:$R929)=0,"",IF(AND($I929&lt;&gt;"",COUNTIF(CLIENTES_NOMES,$I929)+COUNTIF(CLIENTES_FANTASIA,$I929)+COUNTIF(FORNECEDORES_NOMES,$I929)+COUNTIF(FORNECEDORES_FANTASIA,$I929)=0),"⚠ Cliente/Fornecedor não cadastrado",IF(AND($G929&lt;&gt;"",COUNTIF(SUBCATEGORIAS_PLANO,$G929)=0),"⚠ Subcategoria fora do plano de contas",IF(OR($Q929="",N($Q929)=0),"⚠ Valor previsto não informado",IF(AND(OR($X929="Pago",$X929="Recebido"),$D929=""),"⚠ Status pago/recebido sem data",IF(AND($D929&lt;&gt;"",N($R929)=0),"⚠ Data de pagamento sem valor realizado",IF(AND(N($P929)&gt;1,N($O929)&gt;N($P929)),"⚠ Nº da parcela maior que o total",IF(AND($C929&lt;&gt;"",$B929&lt;&gt;"",$C929&lt;$B929),"⚠ Vencimento anterior à competência","OK"))))))))</f>
        <v/>
      </c>
    </row>
    <row r="930">
      <c r="A930" s="14" t="n"/>
      <c r="B930" s="36" t="n"/>
      <c r="C930" s="36" t="n"/>
      <c r="D930" s="36" t="n"/>
      <c r="E930" s="14" t="n"/>
      <c r="F930" s="29" t="n"/>
      <c r="G930" s="29" t="n"/>
      <c r="H930" s="29" t="n"/>
      <c r="I930" s="29" t="n"/>
      <c r="J930" s="29" t="n"/>
      <c r="K930" s="14" t="n"/>
      <c r="L930" s="29" t="n"/>
      <c r="M930" s="14" t="n"/>
      <c r="N930" s="29" t="n"/>
      <c r="O930" s="13" t="n"/>
      <c r="P930" s="13" t="n"/>
      <c r="Q930" s="35" t="n"/>
      <c r="R930" s="35" t="n"/>
      <c r="S930" s="35" t="n"/>
      <c r="T930" s="35" t="n"/>
      <c r="U930" s="35" t="n"/>
      <c r="V930" s="18">
        <f>IF(COUNTA($B930:$R930)=0,"",ROUND(N($R930)+N($S930)+N($T930)-N($U930),2))</f>
        <v/>
      </c>
      <c r="W930" s="18">
        <f>IF(COUNTA($B930:$R930)=0,"",IF(OR($X930="Pago",$X930="Recebido",$X930="Cancelado"),0,ROUND(N($Q930)+N($S930)+N($T930)-N($U930)-N($R930),2)))</f>
        <v/>
      </c>
      <c r="X930" s="14" t="n"/>
      <c r="Y930" s="17">
        <f>IF(COUNTA($B930:$R930)=0,"",IF($X930="Cancelado","Cancelado",IF(OR($X930="Pago",$X930="Recebido"),$X930,IF(OR($X930="Parcial",N($R930)&gt;0),"Parcial",IF($C930="","Sem vencimento",IF($C930&lt;TODAY(),"Vencido",IF($C930=TODAY(),"Vence hoje",IF($C930&lt;=TODAY()+7,"Vence em 7 dias",IF($C930&lt;=TODAY()+30,"Vence em 30 dias","Futuro")))))))))</f>
        <v/>
      </c>
      <c r="Z930" s="24">
        <f>IF($B930="","",MONTH($B930))</f>
        <v/>
      </c>
      <c r="AA930" s="24">
        <f>IF($B930="","",YEAR($B930))</f>
        <v/>
      </c>
      <c r="AB930" s="24">
        <f>IF($B930="","",ISOWEEKNUM($B930))</f>
        <v/>
      </c>
      <c r="AC930" s="17">
        <f>IF($B930="","",CHOOSE(WEEKDAY($B930,2),"Segunda","Terça","Quarta","Quinta","Sexta","Sábado","Domingo"))</f>
        <v/>
      </c>
      <c r="AD930" s="17">
        <f>IF($B930="","",TEXT($B930,"MM/AAAA"))</f>
        <v/>
      </c>
      <c r="AE930" s="18">
        <f>IF(COUNTA($B930:$R930)=0,"",IF($X930="Cancelado",0,ROUND(N($Q930)+N($S930)+N($T930)-N($U930),2)))</f>
        <v/>
      </c>
      <c r="AF930" s="9">
        <f>IF($G930="","",IFERROR(INDEX(LINHAS_DRE_PLANO,MATCH($G930,SUBCATEGORIAS_PLANO,0)),"Não classificado"))</f>
        <v/>
      </c>
      <c r="AG930" s="17">
        <f>IF($G930="","",IFERROR(INDEX(TIPOS_FLUXO_PLANO,MATCH($G930,SUBCATEGORIAS_PLANO,0)),"Não classificado"))</f>
        <v/>
      </c>
      <c r="AH930" s="9">
        <f>IF($G930="","",IFERROR(INDEX(GRUPOS_PLANO,MATCH($G930,SUBCATEGORIAS_PLANO,0)),"Não classificado"))</f>
        <v/>
      </c>
      <c r="AI930" s="24">
        <f>IF(OR($C930="",$X930="Pago",$X930="Recebido",$X930="Cancelado"),"",$C930-TODAY())</f>
        <v/>
      </c>
      <c r="AJ930" s="24">
        <f>IF(OR($C930="",$X930="Pago",$X930="Recebido",$X930="Cancelado"),0,MAX(0,TODAY()-$C930))</f>
        <v/>
      </c>
      <c r="AK930" s="24">
        <f>IF($D930="","",$D930-$B930)</f>
        <v/>
      </c>
      <c r="AL930" s="18">
        <f>IF(OR($D930="",$B930=""),"",ROUND(N($R930)*($D930-$B930),2))</f>
        <v/>
      </c>
      <c r="AM930" s="17">
        <f>IF(AND($E930="Saída",$W930&gt;0,$C930&lt;&gt;""),$C930+ROW()/1000000,"")</f>
        <v/>
      </c>
      <c r="AN930" s="17">
        <f>IF(AND($E930="Entrada",$W930&gt;0,$C930&lt;&gt;""),$C930+ROW()/1000000,"")</f>
        <v/>
      </c>
      <c r="AO930" s="9">
        <f>IF(COUNTA($B930:$R930)=0,"",IF(AND($I930&lt;&gt;"",COUNTIF(CLIENTES_NOMES,$I930)+COUNTIF(CLIENTES_FANTASIA,$I930)+COUNTIF(FORNECEDORES_NOMES,$I930)+COUNTIF(FORNECEDORES_FANTASIA,$I930)=0),"⚠ Cliente/Fornecedor não cadastrado",IF(AND($G930&lt;&gt;"",COUNTIF(SUBCATEGORIAS_PLANO,$G930)=0),"⚠ Subcategoria fora do plano de contas",IF(OR($Q930="",N($Q930)=0),"⚠ Valor previsto não informado",IF(AND(OR($X930="Pago",$X930="Recebido"),$D930=""),"⚠ Status pago/recebido sem data",IF(AND($D930&lt;&gt;"",N($R930)=0),"⚠ Data de pagamento sem valor realizado",IF(AND(N($P930)&gt;1,N($O930)&gt;N($P930)),"⚠ Nº da parcela maior que o total",IF(AND($C930&lt;&gt;"",$B930&lt;&gt;"",$C930&lt;$B930),"⚠ Vencimento anterior à competência","OK"))))))))</f>
        <v/>
      </c>
    </row>
    <row r="931">
      <c r="A931" s="14" t="n"/>
      <c r="B931" s="36" t="n"/>
      <c r="C931" s="36" t="n"/>
      <c r="D931" s="36" t="n"/>
      <c r="E931" s="14" t="n"/>
      <c r="F931" s="29" t="n"/>
      <c r="G931" s="29" t="n"/>
      <c r="H931" s="29" t="n"/>
      <c r="I931" s="29" t="n"/>
      <c r="J931" s="29" t="n"/>
      <c r="K931" s="14" t="n"/>
      <c r="L931" s="29" t="n"/>
      <c r="M931" s="14" t="n"/>
      <c r="N931" s="29" t="n"/>
      <c r="O931" s="13" t="n"/>
      <c r="P931" s="13" t="n"/>
      <c r="Q931" s="35" t="n"/>
      <c r="R931" s="35" t="n"/>
      <c r="S931" s="35" t="n"/>
      <c r="T931" s="35" t="n"/>
      <c r="U931" s="35" t="n"/>
      <c r="V931" s="18">
        <f>IF(COUNTA($B931:$R931)=0,"",ROUND(N($R931)+N($S931)+N($T931)-N($U931),2))</f>
        <v/>
      </c>
      <c r="W931" s="18">
        <f>IF(COUNTA($B931:$R931)=0,"",IF(OR($X931="Pago",$X931="Recebido",$X931="Cancelado"),0,ROUND(N($Q931)+N($S931)+N($T931)-N($U931)-N($R931),2)))</f>
        <v/>
      </c>
      <c r="X931" s="14" t="n"/>
      <c r="Y931" s="17">
        <f>IF(COUNTA($B931:$R931)=0,"",IF($X931="Cancelado","Cancelado",IF(OR($X931="Pago",$X931="Recebido"),$X931,IF(OR($X931="Parcial",N($R931)&gt;0),"Parcial",IF($C931="","Sem vencimento",IF($C931&lt;TODAY(),"Vencido",IF($C931=TODAY(),"Vence hoje",IF($C931&lt;=TODAY()+7,"Vence em 7 dias",IF($C931&lt;=TODAY()+30,"Vence em 30 dias","Futuro")))))))))</f>
        <v/>
      </c>
      <c r="Z931" s="24">
        <f>IF($B931="","",MONTH($B931))</f>
        <v/>
      </c>
      <c r="AA931" s="24">
        <f>IF($B931="","",YEAR($B931))</f>
        <v/>
      </c>
      <c r="AB931" s="24">
        <f>IF($B931="","",ISOWEEKNUM($B931))</f>
        <v/>
      </c>
      <c r="AC931" s="17">
        <f>IF($B931="","",CHOOSE(WEEKDAY($B931,2),"Segunda","Terça","Quarta","Quinta","Sexta","Sábado","Domingo"))</f>
        <v/>
      </c>
      <c r="AD931" s="17">
        <f>IF($B931="","",TEXT($B931,"MM/AAAA"))</f>
        <v/>
      </c>
      <c r="AE931" s="18">
        <f>IF(COUNTA($B931:$R931)=0,"",IF($X931="Cancelado",0,ROUND(N($Q931)+N($S931)+N($T931)-N($U931),2)))</f>
        <v/>
      </c>
      <c r="AF931" s="9">
        <f>IF($G931="","",IFERROR(INDEX(LINHAS_DRE_PLANO,MATCH($G931,SUBCATEGORIAS_PLANO,0)),"Não classificado"))</f>
        <v/>
      </c>
      <c r="AG931" s="17">
        <f>IF($G931="","",IFERROR(INDEX(TIPOS_FLUXO_PLANO,MATCH($G931,SUBCATEGORIAS_PLANO,0)),"Não classificado"))</f>
        <v/>
      </c>
      <c r="AH931" s="9">
        <f>IF($G931="","",IFERROR(INDEX(GRUPOS_PLANO,MATCH($G931,SUBCATEGORIAS_PLANO,0)),"Não classificado"))</f>
        <v/>
      </c>
      <c r="AI931" s="24">
        <f>IF(OR($C931="",$X931="Pago",$X931="Recebido",$X931="Cancelado"),"",$C931-TODAY())</f>
        <v/>
      </c>
      <c r="AJ931" s="24">
        <f>IF(OR($C931="",$X931="Pago",$X931="Recebido",$X931="Cancelado"),0,MAX(0,TODAY()-$C931))</f>
        <v/>
      </c>
      <c r="AK931" s="24">
        <f>IF($D931="","",$D931-$B931)</f>
        <v/>
      </c>
      <c r="AL931" s="18">
        <f>IF(OR($D931="",$B931=""),"",ROUND(N($R931)*($D931-$B931),2))</f>
        <v/>
      </c>
      <c r="AM931" s="17">
        <f>IF(AND($E931="Saída",$W931&gt;0,$C931&lt;&gt;""),$C931+ROW()/1000000,"")</f>
        <v/>
      </c>
      <c r="AN931" s="17">
        <f>IF(AND($E931="Entrada",$W931&gt;0,$C931&lt;&gt;""),$C931+ROW()/1000000,"")</f>
        <v/>
      </c>
      <c r="AO931" s="9">
        <f>IF(COUNTA($B931:$R931)=0,"",IF(AND($I931&lt;&gt;"",COUNTIF(CLIENTES_NOMES,$I931)+COUNTIF(CLIENTES_FANTASIA,$I931)+COUNTIF(FORNECEDORES_NOMES,$I931)+COUNTIF(FORNECEDORES_FANTASIA,$I931)=0),"⚠ Cliente/Fornecedor não cadastrado",IF(AND($G931&lt;&gt;"",COUNTIF(SUBCATEGORIAS_PLANO,$G931)=0),"⚠ Subcategoria fora do plano de contas",IF(OR($Q931="",N($Q931)=0),"⚠ Valor previsto não informado",IF(AND(OR($X931="Pago",$X931="Recebido"),$D931=""),"⚠ Status pago/recebido sem data",IF(AND($D931&lt;&gt;"",N($R931)=0),"⚠ Data de pagamento sem valor realizado",IF(AND(N($P931)&gt;1,N($O931)&gt;N($P931)),"⚠ Nº da parcela maior que o total",IF(AND($C931&lt;&gt;"",$B931&lt;&gt;"",$C931&lt;$B931),"⚠ Vencimento anterior à competência","OK"))))))))</f>
        <v/>
      </c>
    </row>
    <row r="932">
      <c r="A932" s="14" t="n"/>
      <c r="B932" s="36" t="n"/>
      <c r="C932" s="36" t="n"/>
      <c r="D932" s="36" t="n"/>
      <c r="E932" s="14" t="n"/>
      <c r="F932" s="29" t="n"/>
      <c r="G932" s="29" t="n"/>
      <c r="H932" s="29" t="n"/>
      <c r="I932" s="29" t="n"/>
      <c r="J932" s="29" t="n"/>
      <c r="K932" s="14" t="n"/>
      <c r="L932" s="29" t="n"/>
      <c r="M932" s="14" t="n"/>
      <c r="N932" s="29" t="n"/>
      <c r="O932" s="13" t="n"/>
      <c r="P932" s="13" t="n"/>
      <c r="Q932" s="35" t="n"/>
      <c r="R932" s="35" t="n"/>
      <c r="S932" s="35" t="n"/>
      <c r="T932" s="35" t="n"/>
      <c r="U932" s="35" t="n"/>
      <c r="V932" s="18">
        <f>IF(COUNTA($B932:$R932)=0,"",ROUND(N($R932)+N($S932)+N($T932)-N($U932),2))</f>
        <v/>
      </c>
      <c r="W932" s="18">
        <f>IF(COUNTA($B932:$R932)=0,"",IF(OR($X932="Pago",$X932="Recebido",$X932="Cancelado"),0,ROUND(N($Q932)+N($S932)+N($T932)-N($U932)-N($R932),2)))</f>
        <v/>
      </c>
      <c r="X932" s="14" t="n"/>
      <c r="Y932" s="17">
        <f>IF(COUNTA($B932:$R932)=0,"",IF($X932="Cancelado","Cancelado",IF(OR($X932="Pago",$X932="Recebido"),$X932,IF(OR($X932="Parcial",N($R932)&gt;0),"Parcial",IF($C932="","Sem vencimento",IF($C932&lt;TODAY(),"Vencido",IF($C932=TODAY(),"Vence hoje",IF($C932&lt;=TODAY()+7,"Vence em 7 dias",IF($C932&lt;=TODAY()+30,"Vence em 30 dias","Futuro")))))))))</f>
        <v/>
      </c>
      <c r="Z932" s="24">
        <f>IF($B932="","",MONTH($B932))</f>
        <v/>
      </c>
      <c r="AA932" s="24">
        <f>IF($B932="","",YEAR($B932))</f>
        <v/>
      </c>
      <c r="AB932" s="24">
        <f>IF($B932="","",ISOWEEKNUM($B932))</f>
        <v/>
      </c>
      <c r="AC932" s="17">
        <f>IF($B932="","",CHOOSE(WEEKDAY($B932,2),"Segunda","Terça","Quarta","Quinta","Sexta","Sábado","Domingo"))</f>
        <v/>
      </c>
      <c r="AD932" s="17">
        <f>IF($B932="","",TEXT($B932,"MM/AAAA"))</f>
        <v/>
      </c>
      <c r="AE932" s="18">
        <f>IF(COUNTA($B932:$R932)=0,"",IF($X932="Cancelado",0,ROUND(N($Q932)+N($S932)+N($T932)-N($U932),2)))</f>
        <v/>
      </c>
      <c r="AF932" s="9">
        <f>IF($G932="","",IFERROR(INDEX(LINHAS_DRE_PLANO,MATCH($G932,SUBCATEGORIAS_PLANO,0)),"Não classificado"))</f>
        <v/>
      </c>
      <c r="AG932" s="17">
        <f>IF($G932="","",IFERROR(INDEX(TIPOS_FLUXO_PLANO,MATCH($G932,SUBCATEGORIAS_PLANO,0)),"Não classificado"))</f>
        <v/>
      </c>
      <c r="AH932" s="9">
        <f>IF($G932="","",IFERROR(INDEX(GRUPOS_PLANO,MATCH($G932,SUBCATEGORIAS_PLANO,0)),"Não classificado"))</f>
        <v/>
      </c>
      <c r="AI932" s="24">
        <f>IF(OR($C932="",$X932="Pago",$X932="Recebido",$X932="Cancelado"),"",$C932-TODAY())</f>
        <v/>
      </c>
      <c r="AJ932" s="24">
        <f>IF(OR($C932="",$X932="Pago",$X932="Recebido",$X932="Cancelado"),0,MAX(0,TODAY()-$C932))</f>
        <v/>
      </c>
      <c r="AK932" s="24">
        <f>IF($D932="","",$D932-$B932)</f>
        <v/>
      </c>
      <c r="AL932" s="18">
        <f>IF(OR($D932="",$B932=""),"",ROUND(N($R932)*($D932-$B932),2))</f>
        <v/>
      </c>
      <c r="AM932" s="17">
        <f>IF(AND($E932="Saída",$W932&gt;0,$C932&lt;&gt;""),$C932+ROW()/1000000,"")</f>
        <v/>
      </c>
      <c r="AN932" s="17">
        <f>IF(AND($E932="Entrada",$W932&gt;0,$C932&lt;&gt;""),$C932+ROW()/1000000,"")</f>
        <v/>
      </c>
      <c r="AO932" s="9">
        <f>IF(COUNTA($B932:$R932)=0,"",IF(AND($I932&lt;&gt;"",COUNTIF(CLIENTES_NOMES,$I932)+COUNTIF(CLIENTES_FANTASIA,$I932)+COUNTIF(FORNECEDORES_NOMES,$I932)+COUNTIF(FORNECEDORES_FANTASIA,$I932)=0),"⚠ Cliente/Fornecedor não cadastrado",IF(AND($G932&lt;&gt;"",COUNTIF(SUBCATEGORIAS_PLANO,$G932)=0),"⚠ Subcategoria fora do plano de contas",IF(OR($Q932="",N($Q932)=0),"⚠ Valor previsto não informado",IF(AND(OR($X932="Pago",$X932="Recebido"),$D932=""),"⚠ Status pago/recebido sem data",IF(AND($D932&lt;&gt;"",N($R932)=0),"⚠ Data de pagamento sem valor realizado",IF(AND(N($P932)&gt;1,N($O932)&gt;N($P932)),"⚠ Nº da parcela maior que o total",IF(AND($C932&lt;&gt;"",$B932&lt;&gt;"",$C932&lt;$B932),"⚠ Vencimento anterior à competência","OK"))))))))</f>
        <v/>
      </c>
    </row>
    <row r="933">
      <c r="A933" s="14" t="n"/>
      <c r="B933" s="36" t="n"/>
      <c r="C933" s="36" t="n"/>
      <c r="D933" s="36" t="n"/>
      <c r="E933" s="14" t="n"/>
      <c r="F933" s="29" t="n"/>
      <c r="G933" s="29" t="n"/>
      <c r="H933" s="29" t="n"/>
      <c r="I933" s="29" t="n"/>
      <c r="J933" s="29" t="n"/>
      <c r="K933" s="14" t="n"/>
      <c r="L933" s="29" t="n"/>
      <c r="M933" s="14" t="n"/>
      <c r="N933" s="29" t="n"/>
      <c r="O933" s="13" t="n"/>
      <c r="P933" s="13" t="n"/>
      <c r="Q933" s="35" t="n"/>
      <c r="R933" s="35" t="n"/>
      <c r="S933" s="35" t="n"/>
      <c r="T933" s="35" t="n"/>
      <c r="U933" s="35" t="n"/>
      <c r="V933" s="18">
        <f>IF(COUNTA($B933:$R933)=0,"",ROUND(N($R933)+N($S933)+N($T933)-N($U933),2))</f>
        <v/>
      </c>
      <c r="W933" s="18">
        <f>IF(COUNTA($B933:$R933)=0,"",IF(OR($X933="Pago",$X933="Recebido",$X933="Cancelado"),0,ROUND(N($Q933)+N($S933)+N($T933)-N($U933)-N($R933),2)))</f>
        <v/>
      </c>
      <c r="X933" s="14" t="n"/>
      <c r="Y933" s="17">
        <f>IF(COUNTA($B933:$R933)=0,"",IF($X933="Cancelado","Cancelado",IF(OR($X933="Pago",$X933="Recebido"),$X933,IF(OR($X933="Parcial",N($R933)&gt;0),"Parcial",IF($C933="","Sem vencimento",IF($C933&lt;TODAY(),"Vencido",IF($C933=TODAY(),"Vence hoje",IF($C933&lt;=TODAY()+7,"Vence em 7 dias",IF($C933&lt;=TODAY()+30,"Vence em 30 dias","Futuro")))))))))</f>
        <v/>
      </c>
      <c r="Z933" s="24">
        <f>IF($B933="","",MONTH($B933))</f>
        <v/>
      </c>
      <c r="AA933" s="24">
        <f>IF($B933="","",YEAR($B933))</f>
        <v/>
      </c>
      <c r="AB933" s="24">
        <f>IF($B933="","",ISOWEEKNUM($B933))</f>
        <v/>
      </c>
      <c r="AC933" s="17">
        <f>IF($B933="","",CHOOSE(WEEKDAY($B933,2),"Segunda","Terça","Quarta","Quinta","Sexta","Sábado","Domingo"))</f>
        <v/>
      </c>
      <c r="AD933" s="17">
        <f>IF($B933="","",TEXT($B933,"MM/AAAA"))</f>
        <v/>
      </c>
      <c r="AE933" s="18">
        <f>IF(COUNTA($B933:$R933)=0,"",IF($X933="Cancelado",0,ROUND(N($Q933)+N($S933)+N($T933)-N($U933),2)))</f>
        <v/>
      </c>
      <c r="AF933" s="9">
        <f>IF($G933="","",IFERROR(INDEX(LINHAS_DRE_PLANO,MATCH($G933,SUBCATEGORIAS_PLANO,0)),"Não classificado"))</f>
        <v/>
      </c>
      <c r="AG933" s="17">
        <f>IF($G933="","",IFERROR(INDEX(TIPOS_FLUXO_PLANO,MATCH($G933,SUBCATEGORIAS_PLANO,0)),"Não classificado"))</f>
        <v/>
      </c>
      <c r="AH933" s="9">
        <f>IF($G933="","",IFERROR(INDEX(GRUPOS_PLANO,MATCH($G933,SUBCATEGORIAS_PLANO,0)),"Não classificado"))</f>
        <v/>
      </c>
      <c r="AI933" s="24">
        <f>IF(OR($C933="",$X933="Pago",$X933="Recebido",$X933="Cancelado"),"",$C933-TODAY())</f>
        <v/>
      </c>
      <c r="AJ933" s="24">
        <f>IF(OR($C933="",$X933="Pago",$X933="Recebido",$X933="Cancelado"),0,MAX(0,TODAY()-$C933))</f>
        <v/>
      </c>
      <c r="AK933" s="24">
        <f>IF($D933="","",$D933-$B933)</f>
        <v/>
      </c>
      <c r="AL933" s="18">
        <f>IF(OR($D933="",$B933=""),"",ROUND(N($R933)*($D933-$B933),2))</f>
        <v/>
      </c>
      <c r="AM933" s="17">
        <f>IF(AND($E933="Saída",$W933&gt;0,$C933&lt;&gt;""),$C933+ROW()/1000000,"")</f>
        <v/>
      </c>
      <c r="AN933" s="17">
        <f>IF(AND($E933="Entrada",$W933&gt;0,$C933&lt;&gt;""),$C933+ROW()/1000000,"")</f>
        <v/>
      </c>
      <c r="AO933" s="9">
        <f>IF(COUNTA($B933:$R933)=0,"",IF(AND($I933&lt;&gt;"",COUNTIF(CLIENTES_NOMES,$I933)+COUNTIF(CLIENTES_FANTASIA,$I933)+COUNTIF(FORNECEDORES_NOMES,$I933)+COUNTIF(FORNECEDORES_FANTASIA,$I933)=0),"⚠ Cliente/Fornecedor não cadastrado",IF(AND($G933&lt;&gt;"",COUNTIF(SUBCATEGORIAS_PLANO,$G933)=0),"⚠ Subcategoria fora do plano de contas",IF(OR($Q933="",N($Q933)=0),"⚠ Valor previsto não informado",IF(AND(OR($X933="Pago",$X933="Recebido"),$D933=""),"⚠ Status pago/recebido sem data",IF(AND($D933&lt;&gt;"",N($R933)=0),"⚠ Data de pagamento sem valor realizado",IF(AND(N($P933)&gt;1,N($O933)&gt;N($P933)),"⚠ Nº da parcela maior que o total",IF(AND($C933&lt;&gt;"",$B933&lt;&gt;"",$C933&lt;$B933),"⚠ Vencimento anterior à competência","OK"))))))))</f>
        <v/>
      </c>
    </row>
    <row r="934">
      <c r="A934" s="14" t="n"/>
      <c r="B934" s="36" t="n"/>
      <c r="C934" s="36" t="n"/>
      <c r="D934" s="36" t="n"/>
      <c r="E934" s="14" t="n"/>
      <c r="F934" s="29" t="n"/>
      <c r="G934" s="29" t="n"/>
      <c r="H934" s="29" t="n"/>
      <c r="I934" s="29" t="n"/>
      <c r="J934" s="29" t="n"/>
      <c r="K934" s="14" t="n"/>
      <c r="L934" s="29" t="n"/>
      <c r="M934" s="14" t="n"/>
      <c r="N934" s="29" t="n"/>
      <c r="O934" s="13" t="n"/>
      <c r="P934" s="13" t="n"/>
      <c r="Q934" s="35" t="n"/>
      <c r="R934" s="35" t="n"/>
      <c r="S934" s="35" t="n"/>
      <c r="T934" s="35" t="n"/>
      <c r="U934" s="35" t="n"/>
      <c r="V934" s="18">
        <f>IF(COUNTA($B934:$R934)=0,"",ROUND(N($R934)+N($S934)+N($T934)-N($U934),2))</f>
        <v/>
      </c>
      <c r="W934" s="18">
        <f>IF(COUNTA($B934:$R934)=0,"",IF(OR($X934="Pago",$X934="Recebido",$X934="Cancelado"),0,ROUND(N($Q934)+N($S934)+N($T934)-N($U934)-N($R934),2)))</f>
        <v/>
      </c>
      <c r="X934" s="14" t="n"/>
      <c r="Y934" s="17">
        <f>IF(COUNTA($B934:$R934)=0,"",IF($X934="Cancelado","Cancelado",IF(OR($X934="Pago",$X934="Recebido"),$X934,IF(OR($X934="Parcial",N($R934)&gt;0),"Parcial",IF($C934="","Sem vencimento",IF($C934&lt;TODAY(),"Vencido",IF($C934=TODAY(),"Vence hoje",IF($C934&lt;=TODAY()+7,"Vence em 7 dias",IF($C934&lt;=TODAY()+30,"Vence em 30 dias","Futuro")))))))))</f>
        <v/>
      </c>
      <c r="Z934" s="24">
        <f>IF($B934="","",MONTH($B934))</f>
        <v/>
      </c>
      <c r="AA934" s="24">
        <f>IF($B934="","",YEAR($B934))</f>
        <v/>
      </c>
      <c r="AB934" s="24">
        <f>IF($B934="","",ISOWEEKNUM($B934))</f>
        <v/>
      </c>
      <c r="AC934" s="17">
        <f>IF($B934="","",CHOOSE(WEEKDAY($B934,2),"Segunda","Terça","Quarta","Quinta","Sexta","Sábado","Domingo"))</f>
        <v/>
      </c>
      <c r="AD934" s="17">
        <f>IF($B934="","",TEXT($B934,"MM/AAAA"))</f>
        <v/>
      </c>
      <c r="AE934" s="18">
        <f>IF(COUNTA($B934:$R934)=0,"",IF($X934="Cancelado",0,ROUND(N($Q934)+N($S934)+N($T934)-N($U934),2)))</f>
        <v/>
      </c>
      <c r="AF934" s="9">
        <f>IF($G934="","",IFERROR(INDEX(LINHAS_DRE_PLANO,MATCH($G934,SUBCATEGORIAS_PLANO,0)),"Não classificado"))</f>
        <v/>
      </c>
      <c r="AG934" s="17">
        <f>IF($G934="","",IFERROR(INDEX(TIPOS_FLUXO_PLANO,MATCH($G934,SUBCATEGORIAS_PLANO,0)),"Não classificado"))</f>
        <v/>
      </c>
      <c r="AH934" s="9">
        <f>IF($G934="","",IFERROR(INDEX(GRUPOS_PLANO,MATCH($G934,SUBCATEGORIAS_PLANO,0)),"Não classificado"))</f>
        <v/>
      </c>
      <c r="AI934" s="24">
        <f>IF(OR($C934="",$X934="Pago",$X934="Recebido",$X934="Cancelado"),"",$C934-TODAY())</f>
        <v/>
      </c>
      <c r="AJ934" s="24">
        <f>IF(OR($C934="",$X934="Pago",$X934="Recebido",$X934="Cancelado"),0,MAX(0,TODAY()-$C934))</f>
        <v/>
      </c>
      <c r="AK934" s="24">
        <f>IF($D934="","",$D934-$B934)</f>
        <v/>
      </c>
      <c r="AL934" s="18">
        <f>IF(OR($D934="",$B934=""),"",ROUND(N($R934)*($D934-$B934),2))</f>
        <v/>
      </c>
      <c r="AM934" s="17">
        <f>IF(AND($E934="Saída",$W934&gt;0,$C934&lt;&gt;""),$C934+ROW()/1000000,"")</f>
        <v/>
      </c>
      <c r="AN934" s="17">
        <f>IF(AND($E934="Entrada",$W934&gt;0,$C934&lt;&gt;""),$C934+ROW()/1000000,"")</f>
        <v/>
      </c>
      <c r="AO934" s="9">
        <f>IF(COUNTA($B934:$R934)=0,"",IF(AND($I934&lt;&gt;"",COUNTIF(CLIENTES_NOMES,$I934)+COUNTIF(CLIENTES_FANTASIA,$I934)+COUNTIF(FORNECEDORES_NOMES,$I934)+COUNTIF(FORNECEDORES_FANTASIA,$I934)=0),"⚠ Cliente/Fornecedor não cadastrado",IF(AND($G934&lt;&gt;"",COUNTIF(SUBCATEGORIAS_PLANO,$G934)=0),"⚠ Subcategoria fora do plano de contas",IF(OR($Q934="",N($Q934)=0),"⚠ Valor previsto não informado",IF(AND(OR($X934="Pago",$X934="Recebido"),$D934=""),"⚠ Status pago/recebido sem data",IF(AND($D934&lt;&gt;"",N($R934)=0),"⚠ Data de pagamento sem valor realizado",IF(AND(N($P934)&gt;1,N($O934)&gt;N($P934)),"⚠ Nº da parcela maior que o total",IF(AND($C934&lt;&gt;"",$B934&lt;&gt;"",$C934&lt;$B934),"⚠ Vencimento anterior à competência","OK"))))))))</f>
        <v/>
      </c>
    </row>
    <row r="935">
      <c r="A935" s="14" t="n"/>
      <c r="B935" s="36" t="n"/>
      <c r="C935" s="36" t="n"/>
      <c r="D935" s="36" t="n"/>
      <c r="E935" s="14" t="n"/>
      <c r="F935" s="29" t="n"/>
      <c r="G935" s="29" t="n"/>
      <c r="H935" s="29" t="n"/>
      <c r="I935" s="29" t="n"/>
      <c r="J935" s="29" t="n"/>
      <c r="K935" s="14" t="n"/>
      <c r="L935" s="29" t="n"/>
      <c r="M935" s="14" t="n"/>
      <c r="N935" s="29" t="n"/>
      <c r="O935" s="13" t="n"/>
      <c r="P935" s="13" t="n"/>
      <c r="Q935" s="35" t="n"/>
      <c r="R935" s="35" t="n"/>
      <c r="S935" s="35" t="n"/>
      <c r="T935" s="35" t="n"/>
      <c r="U935" s="35" t="n"/>
      <c r="V935" s="18">
        <f>IF(COUNTA($B935:$R935)=0,"",ROUND(N($R935)+N($S935)+N($T935)-N($U935),2))</f>
        <v/>
      </c>
      <c r="W935" s="18">
        <f>IF(COUNTA($B935:$R935)=0,"",IF(OR($X935="Pago",$X935="Recebido",$X935="Cancelado"),0,ROUND(N($Q935)+N($S935)+N($T935)-N($U935)-N($R935),2)))</f>
        <v/>
      </c>
      <c r="X935" s="14" t="n"/>
      <c r="Y935" s="17">
        <f>IF(COUNTA($B935:$R935)=0,"",IF($X935="Cancelado","Cancelado",IF(OR($X935="Pago",$X935="Recebido"),$X935,IF(OR($X935="Parcial",N($R935)&gt;0),"Parcial",IF($C935="","Sem vencimento",IF($C935&lt;TODAY(),"Vencido",IF($C935=TODAY(),"Vence hoje",IF($C935&lt;=TODAY()+7,"Vence em 7 dias",IF($C935&lt;=TODAY()+30,"Vence em 30 dias","Futuro")))))))))</f>
        <v/>
      </c>
      <c r="Z935" s="24">
        <f>IF($B935="","",MONTH($B935))</f>
        <v/>
      </c>
      <c r="AA935" s="24">
        <f>IF($B935="","",YEAR($B935))</f>
        <v/>
      </c>
      <c r="AB935" s="24">
        <f>IF($B935="","",ISOWEEKNUM($B935))</f>
        <v/>
      </c>
      <c r="AC935" s="17">
        <f>IF($B935="","",CHOOSE(WEEKDAY($B935,2),"Segunda","Terça","Quarta","Quinta","Sexta","Sábado","Domingo"))</f>
        <v/>
      </c>
      <c r="AD935" s="17">
        <f>IF($B935="","",TEXT($B935,"MM/AAAA"))</f>
        <v/>
      </c>
      <c r="AE935" s="18">
        <f>IF(COUNTA($B935:$R935)=0,"",IF($X935="Cancelado",0,ROUND(N($Q935)+N($S935)+N($T935)-N($U935),2)))</f>
        <v/>
      </c>
      <c r="AF935" s="9">
        <f>IF($G935="","",IFERROR(INDEX(LINHAS_DRE_PLANO,MATCH($G935,SUBCATEGORIAS_PLANO,0)),"Não classificado"))</f>
        <v/>
      </c>
      <c r="AG935" s="17">
        <f>IF($G935="","",IFERROR(INDEX(TIPOS_FLUXO_PLANO,MATCH($G935,SUBCATEGORIAS_PLANO,0)),"Não classificado"))</f>
        <v/>
      </c>
      <c r="AH935" s="9">
        <f>IF($G935="","",IFERROR(INDEX(GRUPOS_PLANO,MATCH($G935,SUBCATEGORIAS_PLANO,0)),"Não classificado"))</f>
        <v/>
      </c>
      <c r="AI935" s="24">
        <f>IF(OR($C935="",$X935="Pago",$X935="Recebido",$X935="Cancelado"),"",$C935-TODAY())</f>
        <v/>
      </c>
      <c r="AJ935" s="24">
        <f>IF(OR($C935="",$X935="Pago",$X935="Recebido",$X935="Cancelado"),0,MAX(0,TODAY()-$C935))</f>
        <v/>
      </c>
      <c r="AK935" s="24">
        <f>IF($D935="","",$D935-$B935)</f>
        <v/>
      </c>
      <c r="AL935" s="18">
        <f>IF(OR($D935="",$B935=""),"",ROUND(N($R935)*($D935-$B935),2))</f>
        <v/>
      </c>
      <c r="AM935" s="17">
        <f>IF(AND($E935="Saída",$W935&gt;0,$C935&lt;&gt;""),$C935+ROW()/1000000,"")</f>
        <v/>
      </c>
      <c r="AN935" s="17">
        <f>IF(AND($E935="Entrada",$W935&gt;0,$C935&lt;&gt;""),$C935+ROW()/1000000,"")</f>
        <v/>
      </c>
      <c r="AO935" s="9">
        <f>IF(COUNTA($B935:$R935)=0,"",IF(AND($I935&lt;&gt;"",COUNTIF(CLIENTES_NOMES,$I935)+COUNTIF(CLIENTES_FANTASIA,$I935)+COUNTIF(FORNECEDORES_NOMES,$I935)+COUNTIF(FORNECEDORES_FANTASIA,$I935)=0),"⚠ Cliente/Fornecedor não cadastrado",IF(AND($G935&lt;&gt;"",COUNTIF(SUBCATEGORIAS_PLANO,$G935)=0),"⚠ Subcategoria fora do plano de contas",IF(OR($Q935="",N($Q935)=0),"⚠ Valor previsto não informado",IF(AND(OR($X935="Pago",$X935="Recebido"),$D935=""),"⚠ Status pago/recebido sem data",IF(AND($D935&lt;&gt;"",N($R935)=0),"⚠ Data de pagamento sem valor realizado",IF(AND(N($P935)&gt;1,N($O935)&gt;N($P935)),"⚠ Nº da parcela maior que o total",IF(AND($C935&lt;&gt;"",$B935&lt;&gt;"",$C935&lt;$B935),"⚠ Vencimento anterior à competência","OK"))))))))</f>
        <v/>
      </c>
    </row>
    <row r="936">
      <c r="A936" s="14" t="n"/>
      <c r="B936" s="36" t="n"/>
      <c r="C936" s="36" t="n"/>
      <c r="D936" s="36" t="n"/>
      <c r="E936" s="14" t="n"/>
      <c r="F936" s="29" t="n"/>
      <c r="G936" s="29" t="n"/>
      <c r="H936" s="29" t="n"/>
      <c r="I936" s="29" t="n"/>
      <c r="J936" s="29" t="n"/>
      <c r="K936" s="14" t="n"/>
      <c r="L936" s="29" t="n"/>
      <c r="M936" s="14" t="n"/>
      <c r="N936" s="29" t="n"/>
      <c r="O936" s="13" t="n"/>
      <c r="P936" s="13" t="n"/>
      <c r="Q936" s="35" t="n"/>
      <c r="R936" s="35" t="n"/>
      <c r="S936" s="35" t="n"/>
      <c r="T936" s="35" t="n"/>
      <c r="U936" s="35" t="n"/>
      <c r="V936" s="18">
        <f>IF(COUNTA($B936:$R936)=0,"",ROUND(N($R936)+N($S936)+N($T936)-N($U936),2))</f>
        <v/>
      </c>
      <c r="W936" s="18">
        <f>IF(COUNTA($B936:$R936)=0,"",IF(OR($X936="Pago",$X936="Recebido",$X936="Cancelado"),0,ROUND(N($Q936)+N($S936)+N($T936)-N($U936)-N($R936),2)))</f>
        <v/>
      </c>
      <c r="X936" s="14" t="n"/>
      <c r="Y936" s="17">
        <f>IF(COUNTA($B936:$R936)=0,"",IF($X936="Cancelado","Cancelado",IF(OR($X936="Pago",$X936="Recebido"),$X936,IF(OR($X936="Parcial",N($R936)&gt;0),"Parcial",IF($C936="","Sem vencimento",IF($C936&lt;TODAY(),"Vencido",IF($C936=TODAY(),"Vence hoje",IF($C936&lt;=TODAY()+7,"Vence em 7 dias",IF($C936&lt;=TODAY()+30,"Vence em 30 dias","Futuro")))))))))</f>
        <v/>
      </c>
      <c r="Z936" s="24">
        <f>IF($B936="","",MONTH($B936))</f>
        <v/>
      </c>
      <c r="AA936" s="24">
        <f>IF($B936="","",YEAR($B936))</f>
        <v/>
      </c>
      <c r="AB936" s="24">
        <f>IF($B936="","",ISOWEEKNUM($B936))</f>
        <v/>
      </c>
      <c r="AC936" s="17">
        <f>IF($B936="","",CHOOSE(WEEKDAY($B936,2),"Segunda","Terça","Quarta","Quinta","Sexta","Sábado","Domingo"))</f>
        <v/>
      </c>
      <c r="AD936" s="17">
        <f>IF($B936="","",TEXT($B936,"MM/AAAA"))</f>
        <v/>
      </c>
      <c r="AE936" s="18">
        <f>IF(COUNTA($B936:$R936)=0,"",IF($X936="Cancelado",0,ROUND(N($Q936)+N($S936)+N($T936)-N($U936),2)))</f>
        <v/>
      </c>
      <c r="AF936" s="9">
        <f>IF($G936="","",IFERROR(INDEX(LINHAS_DRE_PLANO,MATCH($G936,SUBCATEGORIAS_PLANO,0)),"Não classificado"))</f>
        <v/>
      </c>
      <c r="AG936" s="17">
        <f>IF($G936="","",IFERROR(INDEX(TIPOS_FLUXO_PLANO,MATCH($G936,SUBCATEGORIAS_PLANO,0)),"Não classificado"))</f>
        <v/>
      </c>
      <c r="AH936" s="9">
        <f>IF($G936="","",IFERROR(INDEX(GRUPOS_PLANO,MATCH($G936,SUBCATEGORIAS_PLANO,0)),"Não classificado"))</f>
        <v/>
      </c>
      <c r="AI936" s="24">
        <f>IF(OR($C936="",$X936="Pago",$X936="Recebido",$X936="Cancelado"),"",$C936-TODAY())</f>
        <v/>
      </c>
      <c r="AJ936" s="24">
        <f>IF(OR($C936="",$X936="Pago",$X936="Recebido",$X936="Cancelado"),0,MAX(0,TODAY()-$C936))</f>
        <v/>
      </c>
      <c r="AK936" s="24">
        <f>IF($D936="","",$D936-$B936)</f>
        <v/>
      </c>
      <c r="AL936" s="18">
        <f>IF(OR($D936="",$B936=""),"",ROUND(N($R936)*($D936-$B936),2))</f>
        <v/>
      </c>
      <c r="AM936" s="17">
        <f>IF(AND($E936="Saída",$W936&gt;0,$C936&lt;&gt;""),$C936+ROW()/1000000,"")</f>
        <v/>
      </c>
      <c r="AN936" s="17">
        <f>IF(AND($E936="Entrada",$W936&gt;0,$C936&lt;&gt;""),$C936+ROW()/1000000,"")</f>
        <v/>
      </c>
      <c r="AO936" s="9">
        <f>IF(COUNTA($B936:$R936)=0,"",IF(AND($I936&lt;&gt;"",COUNTIF(CLIENTES_NOMES,$I936)+COUNTIF(CLIENTES_FANTASIA,$I936)+COUNTIF(FORNECEDORES_NOMES,$I936)+COUNTIF(FORNECEDORES_FANTASIA,$I936)=0),"⚠ Cliente/Fornecedor não cadastrado",IF(AND($G936&lt;&gt;"",COUNTIF(SUBCATEGORIAS_PLANO,$G936)=0),"⚠ Subcategoria fora do plano de contas",IF(OR($Q936="",N($Q936)=0),"⚠ Valor previsto não informado",IF(AND(OR($X936="Pago",$X936="Recebido"),$D936=""),"⚠ Status pago/recebido sem data",IF(AND($D936&lt;&gt;"",N($R936)=0),"⚠ Data de pagamento sem valor realizado",IF(AND(N($P936)&gt;1,N($O936)&gt;N($P936)),"⚠ Nº da parcela maior que o total",IF(AND($C936&lt;&gt;"",$B936&lt;&gt;"",$C936&lt;$B936),"⚠ Vencimento anterior à competência","OK"))))))))</f>
        <v/>
      </c>
    </row>
    <row r="937">
      <c r="A937" s="14" t="n"/>
      <c r="B937" s="36" t="n"/>
      <c r="C937" s="36" t="n"/>
      <c r="D937" s="36" t="n"/>
      <c r="E937" s="14" t="n"/>
      <c r="F937" s="29" t="n"/>
      <c r="G937" s="29" t="n"/>
      <c r="H937" s="29" t="n"/>
      <c r="I937" s="29" t="n"/>
      <c r="J937" s="29" t="n"/>
      <c r="K937" s="14" t="n"/>
      <c r="L937" s="29" t="n"/>
      <c r="M937" s="14" t="n"/>
      <c r="N937" s="29" t="n"/>
      <c r="O937" s="13" t="n"/>
      <c r="P937" s="13" t="n"/>
      <c r="Q937" s="35" t="n"/>
      <c r="R937" s="35" t="n"/>
      <c r="S937" s="35" t="n"/>
      <c r="T937" s="35" t="n"/>
      <c r="U937" s="35" t="n"/>
      <c r="V937" s="18">
        <f>IF(COUNTA($B937:$R937)=0,"",ROUND(N($R937)+N($S937)+N($T937)-N($U937),2))</f>
        <v/>
      </c>
      <c r="W937" s="18">
        <f>IF(COUNTA($B937:$R937)=0,"",IF(OR($X937="Pago",$X937="Recebido",$X937="Cancelado"),0,ROUND(N($Q937)+N($S937)+N($T937)-N($U937)-N($R937),2)))</f>
        <v/>
      </c>
      <c r="X937" s="14" t="n"/>
      <c r="Y937" s="17">
        <f>IF(COUNTA($B937:$R937)=0,"",IF($X937="Cancelado","Cancelado",IF(OR($X937="Pago",$X937="Recebido"),$X937,IF(OR($X937="Parcial",N($R937)&gt;0),"Parcial",IF($C937="","Sem vencimento",IF($C937&lt;TODAY(),"Vencido",IF($C937=TODAY(),"Vence hoje",IF($C937&lt;=TODAY()+7,"Vence em 7 dias",IF($C937&lt;=TODAY()+30,"Vence em 30 dias","Futuro")))))))))</f>
        <v/>
      </c>
      <c r="Z937" s="24">
        <f>IF($B937="","",MONTH($B937))</f>
        <v/>
      </c>
      <c r="AA937" s="24">
        <f>IF($B937="","",YEAR($B937))</f>
        <v/>
      </c>
      <c r="AB937" s="24">
        <f>IF($B937="","",ISOWEEKNUM($B937))</f>
        <v/>
      </c>
      <c r="AC937" s="17">
        <f>IF($B937="","",CHOOSE(WEEKDAY($B937,2),"Segunda","Terça","Quarta","Quinta","Sexta","Sábado","Domingo"))</f>
        <v/>
      </c>
      <c r="AD937" s="17">
        <f>IF($B937="","",TEXT($B937,"MM/AAAA"))</f>
        <v/>
      </c>
      <c r="AE937" s="18">
        <f>IF(COUNTA($B937:$R937)=0,"",IF($X937="Cancelado",0,ROUND(N($Q937)+N($S937)+N($T937)-N($U937),2)))</f>
        <v/>
      </c>
      <c r="AF937" s="9">
        <f>IF($G937="","",IFERROR(INDEX(LINHAS_DRE_PLANO,MATCH($G937,SUBCATEGORIAS_PLANO,0)),"Não classificado"))</f>
        <v/>
      </c>
      <c r="AG937" s="17">
        <f>IF($G937="","",IFERROR(INDEX(TIPOS_FLUXO_PLANO,MATCH($G937,SUBCATEGORIAS_PLANO,0)),"Não classificado"))</f>
        <v/>
      </c>
      <c r="AH937" s="9">
        <f>IF($G937="","",IFERROR(INDEX(GRUPOS_PLANO,MATCH($G937,SUBCATEGORIAS_PLANO,0)),"Não classificado"))</f>
        <v/>
      </c>
      <c r="AI937" s="24">
        <f>IF(OR($C937="",$X937="Pago",$X937="Recebido",$X937="Cancelado"),"",$C937-TODAY())</f>
        <v/>
      </c>
      <c r="AJ937" s="24">
        <f>IF(OR($C937="",$X937="Pago",$X937="Recebido",$X937="Cancelado"),0,MAX(0,TODAY()-$C937))</f>
        <v/>
      </c>
      <c r="AK937" s="24">
        <f>IF($D937="","",$D937-$B937)</f>
        <v/>
      </c>
      <c r="AL937" s="18">
        <f>IF(OR($D937="",$B937=""),"",ROUND(N($R937)*($D937-$B937),2))</f>
        <v/>
      </c>
      <c r="AM937" s="17">
        <f>IF(AND($E937="Saída",$W937&gt;0,$C937&lt;&gt;""),$C937+ROW()/1000000,"")</f>
        <v/>
      </c>
      <c r="AN937" s="17">
        <f>IF(AND($E937="Entrada",$W937&gt;0,$C937&lt;&gt;""),$C937+ROW()/1000000,"")</f>
        <v/>
      </c>
      <c r="AO937" s="9">
        <f>IF(COUNTA($B937:$R937)=0,"",IF(AND($I937&lt;&gt;"",COUNTIF(CLIENTES_NOMES,$I937)+COUNTIF(CLIENTES_FANTASIA,$I937)+COUNTIF(FORNECEDORES_NOMES,$I937)+COUNTIF(FORNECEDORES_FANTASIA,$I937)=0),"⚠ Cliente/Fornecedor não cadastrado",IF(AND($G937&lt;&gt;"",COUNTIF(SUBCATEGORIAS_PLANO,$G937)=0),"⚠ Subcategoria fora do plano de contas",IF(OR($Q937="",N($Q937)=0),"⚠ Valor previsto não informado",IF(AND(OR($X937="Pago",$X937="Recebido"),$D937=""),"⚠ Status pago/recebido sem data",IF(AND($D937&lt;&gt;"",N($R937)=0),"⚠ Data de pagamento sem valor realizado",IF(AND(N($P937)&gt;1,N($O937)&gt;N($P937)),"⚠ Nº da parcela maior que o total",IF(AND($C937&lt;&gt;"",$B937&lt;&gt;"",$C937&lt;$B937),"⚠ Vencimento anterior à competência","OK"))))))))</f>
        <v/>
      </c>
    </row>
    <row r="938">
      <c r="A938" s="14" t="n"/>
      <c r="B938" s="36" t="n"/>
      <c r="C938" s="36" t="n"/>
      <c r="D938" s="36" t="n"/>
      <c r="E938" s="14" t="n"/>
      <c r="F938" s="29" t="n"/>
      <c r="G938" s="29" t="n"/>
      <c r="H938" s="29" t="n"/>
      <c r="I938" s="29" t="n"/>
      <c r="J938" s="29" t="n"/>
      <c r="K938" s="14" t="n"/>
      <c r="L938" s="29" t="n"/>
      <c r="M938" s="14" t="n"/>
      <c r="N938" s="29" t="n"/>
      <c r="O938" s="13" t="n"/>
      <c r="P938" s="13" t="n"/>
      <c r="Q938" s="35" t="n"/>
      <c r="R938" s="35" t="n"/>
      <c r="S938" s="35" t="n"/>
      <c r="T938" s="35" t="n"/>
      <c r="U938" s="35" t="n"/>
      <c r="V938" s="18">
        <f>IF(COUNTA($B938:$R938)=0,"",ROUND(N($R938)+N($S938)+N($T938)-N($U938),2))</f>
        <v/>
      </c>
      <c r="W938" s="18">
        <f>IF(COUNTA($B938:$R938)=0,"",IF(OR($X938="Pago",$X938="Recebido",$X938="Cancelado"),0,ROUND(N($Q938)+N($S938)+N($T938)-N($U938)-N($R938),2)))</f>
        <v/>
      </c>
      <c r="X938" s="14" t="n"/>
      <c r="Y938" s="17">
        <f>IF(COUNTA($B938:$R938)=0,"",IF($X938="Cancelado","Cancelado",IF(OR($X938="Pago",$X938="Recebido"),$X938,IF(OR($X938="Parcial",N($R938)&gt;0),"Parcial",IF($C938="","Sem vencimento",IF($C938&lt;TODAY(),"Vencido",IF($C938=TODAY(),"Vence hoje",IF($C938&lt;=TODAY()+7,"Vence em 7 dias",IF($C938&lt;=TODAY()+30,"Vence em 30 dias","Futuro")))))))))</f>
        <v/>
      </c>
      <c r="Z938" s="24">
        <f>IF($B938="","",MONTH($B938))</f>
        <v/>
      </c>
      <c r="AA938" s="24">
        <f>IF($B938="","",YEAR($B938))</f>
        <v/>
      </c>
      <c r="AB938" s="24">
        <f>IF($B938="","",ISOWEEKNUM($B938))</f>
        <v/>
      </c>
      <c r="AC938" s="17">
        <f>IF($B938="","",CHOOSE(WEEKDAY($B938,2),"Segunda","Terça","Quarta","Quinta","Sexta","Sábado","Domingo"))</f>
        <v/>
      </c>
      <c r="AD938" s="17">
        <f>IF($B938="","",TEXT($B938,"MM/AAAA"))</f>
        <v/>
      </c>
      <c r="AE938" s="18">
        <f>IF(COUNTA($B938:$R938)=0,"",IF($X938="Cancelado",0,ROUND(N($Q938)+N($S938)+N($T938)-N($U938),2)))</f>
        <v/>
      </c>
      <c r="AF938" s="9">
        <f>IF($G938="","",IFERROR(INDEX(LINHAS_DRE_PLANO,MATCH($G938,SUBCATEGORIAS_PLANO,0)),"Não classificado"))</f>
        <v/>
      </c>
      <c r="AG938" s="17">
        <f>IF($G938="","",IFERROR(INDEX(TIPOS_FLUXO_PLANO,MATCH($G938,SUBCATEGORIAS_PLANO,0)),"Não classificado"))</f>
        <v/>
      </c>
      <c r="AH938" s="9">
        <f>IF($G938="","",IFERROR(INDEX(GRUPOS_PLANO,MATCH($G938,SUBCATEGORIAS_PLANO,0)),"Não classificado"))</f>
        <v/>
      </c>
      <c r="AI938" s="24">
        <f>IF(OR($C938="",$X938="Pago",$X938="Recebido",$X938="Cancelado"),"",$C938-TODAY())</f>
        <v/>
      </c>
      <c r="AJ938" s="24">
        <f>IF(OR($C938="",$X938="Pago",$X938="Recebido",$X938="Cancelado"),0,MAX(0,TODAY()-$C938))</f>
        <v/>
      </c>
      <c r="AK938" s="24">
        <f>IF($D938="","",$D938-$B938)</f>
        <v/>
      </c>
      <c r="AL938" s="18">
        <f>IF(OR($D938="",$B938=""),"",ROUND(N($R938)*($D938-$B938),2))</f>
        <v/>
      </c>
      <c r="AM938" s="17">
        <f>IF(AND($E938="Saída",$W938&gt;0,$C938&lt;&gt;""),$C938+ROW()/1000000,"")</f>
        <v/>
      </c>
      <c r="AN938" s="17">
        <f>IF(AND($E938="Entrada",$W938&gt;0,$C938&lt;&gt;""),$C938+ROW()/1000000,"")</f>
        <v/>
      </c>
      <c r="AO938" s="9">
        <f>IF(COUNTA($B938:$R938)=0,"",IF(AND($I938&lt;&gt;"",COUNTIF(CLIENTES_NOMES,$I938)+COUNTIF(CLIENTES_FANTASIA,$I938)+COUNTIF(FORNECEDORES_NOMES,$I938)+COUNTIF(FORNECEDORES_FANTASIA,$I938)=0),"⚠ Cliente/Fornecedor não cadastrado",IF(AND($G938&lt;&gt;"",COUNTIF(SUBCATEGORIAS_PLANO,$G938)=0),"⚠ Subcategoria fora do plano de contas",IF(OR($Q938="",N($Q938)=0),"⚠ Valor previsto não informado",IF(AND(OR($X938="Pago",$X938="Recebido"),$D938=""),"⚠ Status pago/recebido sem data",IF(AND($D938&lt;&gt;"",N($R938)=0),"⚠ Data de pagamento sem valor realizado",IF(AND(N($P938)&gt;1,N($O938)&gt;N($P938)),"⚠ Nº da parcela maior que o total",IF(AND($C938&lt;&gt;"",$B938&lt;&gt;"",$C938&lt;$B938),"⚠ Vencimento anterior à competência","OK"))))))))</f>
        <v/>
      </c>
    </row>
    <row r="939">
      <c r="A939" s="14" t="n"/>
      <c r="B939" s="36" t="n"/>
      <c r="C939" s="36" t="n"/>
      <c r="D939" s="36" t="n"/>
      <c r="E939" s="14" t="n"/>
      <c r="F939" s="29" t="n"/>
      <c r="G939" s="29" t="n"/>
      <c r="H939" s="29" t="n"/>
      <c r="I939" s="29" t="n"/>
      <c r="J939" s="29" t="n"/>
      <c r="K939" s="14" t="n"/>
      <c r="L939" s="29" t="n"/>
      <c r="M939" s="14" t="n"/>
      <c r="N939" s="29" t="n"/>
      <c r="O939" s="13" t="n"/>
      <c r="P939" s="13" t="n"/>
      <c r="Q939" s="35" t="n"/>
      <c r="R939" s="35" t="n"/>
      <c r="S939" s="35" t="n"/>
      <c r="T939" s="35" t="n"/>
      <c r="U939" s="35" t="n"/>
      <c r="V939" s="18">
        <f>IF(COUNTA($B939:$R939)=0,"",ROUND(N($R939)+N($S939)+N($T939)-N($U939),2))</f>
        <v/>
      </c>
      <c r="W939" s="18">
        <f>IF(COUNTA($B939:$R939)=0,"",IF(OR($X939="Pago",$X939="Recebido",$X939="Cancelado"),0,ROUND(N($Q939)+N($S939)+N($T939)-N($U939)-N($R939),2)))</f>
        <v/>
      </c>
      <c r="X939" s="14" t="n"/>
      <c r="Y939" s="17">
        <f>IF(COUNTA($B939:$R939)=0,"",IF($X939="Cancelado","Cancelado",IF(OR($X939="Pago",$X939="Recebido"),$X939,IF(OR($X939="Parcial",N($R939)&gt;0),"Parcial",IF($C939="","Sem vencimento",IF($C939&lt;TODAY(),"Vencido",IF($C939=TODAY(),"Vence hoje",IF($C939&lt;=TODAY()+7,"Vence em 7 dias",IF($C939&lt;=TODAY()+30,"Vence em 30 dias","Futuro")))))))))</f>
        <v/>
      </c>
      <c r="Z939" s="24">
        <f>IF($B939="","",MONTH($B939))</f>
        <v/>
      </c>
      <c r="AA939" s="24">
        <f>IF($B939="","",YEAR($B939))</f>
        <v/>
      </c>
      <c r="AB939" s="24">
        <f>IF($B939="","",ISOWEEKNUM($B939))</f>
        <v/>
      </c>
      <c r="AC939" s="17">
        <f>IF($B939="","",CHOOSE(WEEKDAY($B939,2),"Segunda","Terça","Quarta","Quinta","Sexta","Sábado","Domingo"))</f>
        <v/>
      </c>
      <c r="AD939" s="17">
        <f>IF($B939="","",TEXT($B939,"MM/AAAA"))</f>
        <v/>
      </c>
      <c r="AE939" s="18">
        <f>IF(COUNTA($B939:$R939)=0,"",IF($X939="Cancelado",0,ROUND(N($Q939)+N($S939)+N($T939)-N($U939),2)))</f>
        <v/>
      </c>
      <c r="AF939" s="9">
        <f>IF($G939="","",IFERROR(INDEX(LINHAS_DRE_PLANO,MATCH($G939,SUBCATEGORIAS_PLANO,0)),"Não classificado"))</f>
        <v/>
      </c>
      <c r="AG939" s="17">
        <f>IF($G939="","",IFERROR(INDEX(TIPOS_FLUXO_PLANO,MATCH($G939,SUBCATEGORIAS_PLANO,0)),"Não classificado"))</f>
        <v/>
      </c>
      <c r="AH939" s="9">
        <f>IF($G939="","",IFERROR(INDEX(GRUPOS_PLANO,MATCH($G939,SUBCATEGORIAS_PLANO,0)),"Não classificado"))</f>
        <v/>
      </c>
      <c r="AI939" s="24">
        <f>IF(OR($C939="",$X939="Pago",$X939="Recebido",$X939="Cancelado"),"",$C939-TODAY())</f>
        <v/>
      </c>
      <c r="AJ939" s="24">
        <f>IF(OR($C939="",$X939="Pago",$X939="Recebido",$X939="Cancelado"),0,MAX(0,TODAY()-$C939))</f>
        <v/>
      </c>
      <c r="AK939" s="24">
        <f>IF($D939="","",$D939-$B939)</f>
        <v/>
      </c>
      <c r="AL939" s="18">
        <f>IF(OR($D939="",$B939=""),"",ROUND(N($R939)*($D939-$B939),2))</f>
        <v/>
      </c>
      <c r="AM939" s="17">
        <f>IF(AND($E939="Saída",$W939&gt;0,$C939&lt;&gt;""),$C939+ROW()/1000000,"")</f>
        <v/>
      </c>
      <c r="AN939" s="17">
        <f>IF(AND($E939="Entrada",$W939&gt;0,$C939&lt;&gt;""),$C939+ROW()/1000000,"")</f>
        <v/>
      </c>
      <c r="AO939" s="9">
        <f>IF(COUNTA($B939:$R939)=0,"",IF(AND($I939&lt;&gt;"",COUNTIF(CLIENTES_NOMES,$I939)+COUNTIF(CLIENTES_FANTASIA,$I939)+COUNTIF(FORNECEDORES_NOMES,$I939)+COUNTIF(FORNECEDORES_FANTASIA,$I939)=0),"⚠ Cliente/Fornecedor não cadastrado",IF(AND($G939&lt;&gt;"",COUNTIF(SUBCATEGORIAS_PLANO,$G939)=0),"⚠ Subcategoria fora do plano de contas",IF(OR($Q939="",N($Q939)=0),"⚠ Valor previsto não informado",IF(AND(OR($X939="Pago",$X939="Recebido"),$D939=""),"⚠ Status pago/recebido sem data",IF(AND($D939&lt;&gt;"",N($R939)=0),"⚠ Data de pagamento sem valor realizado",IF(AND(N($P939)&gt;1,N($O939)&gt;N($P939)),"⚠ Nº da parcela maior que o total",IF(AND($C939&lt;&gt;"",$B939&lt;&gt;"",$C939&lt;$B939),"⚠ Vencimento anterior à competência","OK"))))))))</f>
        <v/>
      </c>
    </row>
    <row r="940">
      <c r="A940" s="14" t="n"/>
      <c r="B940" s="36" t="n"/>
      <c r="C940" s="36" t="n"/>
      <c r="D940" s="36" t="n"/>
      <c r="E940" s="14" t="n"/>
      <c r="F940" s="29" t="n"/>
      <c r="G940" s="29" t="n"/>
      <c r="H940" s="29" t="n"/>
      <c r="I940" s="29" t="n"/>
      <c r="J940" s="29" t="n"/>
      <c r="K940" s="14" t="n"/>
      <c r="L940" s="29" t="n"/>
      <c r="M940" s="14" t="n"/>
      <c r="N940" s="29" t="n"/>
      <c r="O940" s="13" t="n"/>
      <c r="P940" s="13" t="n"/>
      <c r="Q940" s="35" t="n"/>
      <c r="R940" s="35" t="n"/>
      <c r="S940" s="35" t="n"/>
      <c r="T940" s="35" t="n"/>
      <c r="U940" s="35" t="n"/>
      <c r="V940" s="18">
        <f>IF(COUNTA($B940:$R940)=0,"",ROUND(N($R940)+N($S940)+N($T940)-N($U940),2))</f>
        <v/>
      </c>
      <c r="W940" s="18">
        <f>IF(COUNTA($B940:$R940)=0,"",IF(OR($X940="Pago",$X940="Recebido",$X940="Cancelado"),0,ROUND(N($Q940)+N($S940)+N($T940)-N($U940)-N($R940),2)))</f>
        <v/>
      </c>
      <c r="X940" s="14" t="n"/>
      <c r="Y940" s="17">
        <f>IF(COUNTA($B940:$R940)=0,"",IF($X940="Cancelado","Cancelado",IF(OR($X940="Pago",$X940="Recebido"),$X940,IF(OR($X940="Parcial",N($R940)&gt;0),"Parcial",IF($C940="","Sem vencimento",IF($C940&lt;TODAY(),"Vencido",IF($C940=TODAY(),"Vence hoje",IF($C940&lt;=TODAY()+7,"Vence em 7 dias",IF($C940&lt;=TODAY()+30,"Vence em 30 dias","Futuro")))))))))</f>
        <v/>
      </c>
      <c r="Z940" s="24">
        <f>IF($B940="","",MONTH($B940))</f>
        <v/>
      </c>
      <c r="AA940" s="24">
        <f>IF($B940="","",YEAR($B940))</f>
        <v/>
      </c>
      <c r="AB940" s="24">
        <f>IF($B940="","",ISOWEEKNUM($B940))</f>
        <v/>
      </c>
      <c r="AC940" s="17">
        <f>IF($B940="","",CHOOSE(WEEKDAY($B940,2),"Segunda","Terça","Quarta","Quinta","Sexta","Sábado","Domingo"))</f>
        <v/>
      </c>
      <c r="AD940" s="17">
        <f>IF($B940="","",TEXT($B940,"MM/AAAA"))</f>
        <v/>
      </c>
      <c r="AE940" s="18">
        <f>IF(COUNTA($B940:$R940)=0,"",IF($X940="Cancelado",0,ROUND(N($Q940)+N($S940)+N($T940)-N($U940),2)))</f>
        <v/>
      </c>
      <c r="AF940" s="9">
        <f>IF($G940="","",IFERROR(INDEX(LINHAS_DRE_PLANO,MATCH($G940,SUBCATEGORIAS_PLANO,0)),"Não classificado"))</f>
        <v/>
      </c>
      <c r="AG940" s="17">
        <f>IF($G940="","",IFERROR(INDEX(TIPOS_FLUXO_PLANO,MATCH($G940,SUBCATEGORIAS_PLANO,0)),"Não classificado"))</f>
        <v/>
      </c>
      <c r="AH940" s="9">
        <f>IF($G940="","",IFERROR(INDEX(GRUPOS_PLANO,MATCH($G940,SUBCATEGORIAS_PLANO,0)),"Não classificado"))</f>
        <v/>
      </c>
      <c r="AI940" s="24">
        <f>IF(OR($C940="",$X940="Pago",$X940="Recebido",$X940="Cancelado"),"",$C940-TODAY())</f>
        <v/>
      </c>
      <c r="AJ940" s="24">
        <f>IF(OR($C940="",$X940="Pago",$X940="Recebido",$X940="Cancelado"),0,MAX(0,TODAY()-$C940))</f>
        <v/>
      </c>
      <c r="AK940" s="24">
        <f>IF($D940="","",$D940-$B940)</f>
        <v/>
      </c>
      <c r="AL940" s="18">
        <f>IF(OR($D940="",$B940=""),"",ROUND(N($R940)*($D940-$B940),2))</f>
        <v/>
      </c>
      <c r="AM940" s="17">
        <f>IF(AND($E940="Saída",$W940&gt;0,$C940&lt;&gt;""),$C940+ROW()/1000000,"")</f>
        <v/>
      </c>
      <c r="AN940" s="17">
        <f>IF(AND($E940="Entrada",$W940&gt;0,$C940&lt;&gt;""),$C940+ROW()/1000000,"")</f>
        <v/>
      </c>
      <c r="AO940" s="9">
        <f>IF(COUNTA($B940:$R940)=0,"",IF(AND($I940&lt;&gt;"",COUNTIF(CLIENTES_NOMES,$I940)+COUNTIF(CLIENTES_FANTASIA,$I940)+COUNTIF(FORNECEDORES_NOMES,$I940)+COUNTIF(FORNECEDORES_FANTASIA,$I940)=0),"⚠ Cliente/Fornecedor não cadastrado",IF(AND($G940&lt;&gt;"",COUNTIF(SUBCATEGORIAS_PLANO,$G940)=0),"⚠ Subcategoria fora do plano de contas",IF(OR($Q940="",N($Q940)=0),"⚠ Valor previsto não informado",IF(AND(OR($X940="Pago",$X940="Recebido"),$D940=""),"⚠ Status pago/recebido sem data",IF(AND($D940&lt;&gt;"",N($R940)=0),"⚠ Data de pagamento sem valor realizado",IF(AND(N($P940)&gt;1,N($O940)&gt;N($P940)),"⚠ Nº da parcela maior que o total",IF(AND($C940&lt;&gt;"",$B940&lt;&gt;"",$C940&lt;$B940),"⚠ Vencimento anterior à competência","OK"))))))))</f>
        <v/>
      </c>
    </row>
    <row r="941">
      <c r="A941" s="14" t="n"/>
      <c r="B941" s="36" t="n"/>
      <c r="C941" s="36" t="n"/>
      <c r="D941" s="36" t="n"/>
      <c r="E941" s="14" t="n"/>
      <c r="F941" s="29" t="n"/>
      <c r="G941" s="29" t="n"/>
      <c r="H941" s="29" t="n"/>
      <c r="I941" s="29" t="n"/>
      <c r="J941" s="29" t="n"/>
      <c r="K941" s="14" t="n"/>
      <c r="L941" s="29" t="n"/>
      <c r="M941" s="14" t="n"/>
      <c r="N941" s="29" t="n"/>
      <c r="O941" s="13" t="n"/>
      <c r="P941" s="13" t="n"/>
      <c r="Q941" s="35" t="n"/>
      <c r="R941" s="35" t="n"/>
      <c r="S941" s="35" t="n"/>
      <c r="T941" s="35" t="n"/>
      <c r="U941" s="35" t="n"/>
      <c r="V941" s="18">
        <f>IF(COUNTA($B941:$R941)=0,"",ROUND(N($R941)+N($S941)+N($T941)-N($U941),2))</f>
        <v/>
      </c>
      <c r="W941" s="18">
        <f>IF(COUNTA($B941:$R941)=0,"",IF(OR($X941="Pago",$X941="Recebido",$X941="Cancelado"),0,ROUND(N($Q941)+N($S941)+N($T941)-N($U941)-N($R941),2)))</f>
        <v/>
      </c>
      <c r="X941" s="14" t="n"/>
      <c r="Y941" s="17">
        <f>IF(COUNTA($B941:$R941)=0,"",IF($X941="Cancelado","Cancelado",IF(OR($X941="Pago",$X941="Recebido"),$X941,IF(OR($X941="Parcial",N($R941)&gt;0),"Parcial",IF($C941="","Sem vencimento",IF($C941&lt;TODAY(),"Vencido",IF($C941=TODAY(),"Vence hoje",IF($C941&lt;=TODAY()+7,"Vence em 7 dias",IF($C941&lt;=TODAY()+30,"Vence em 30 dias","Futuro")))))))))</f>
        <v/>
      </c>
      <c r="Z941" s="24">
        <f>IF($B941="","",MONTH($B941))</f>
        <v/>
      </c>
      <c r="AA941" s="24">
        <f>IF($B941="","",YEAR($B941))</f>
        <v/>
      </c>
      <c r="AB941" s="24">
        <f>IF($B941="","",ISOWEEKNUM($B941))</f>
        <v/>
      </c>
      <c r="AC941" s="17">
        <f>IF($B941="","",CHOOSE(WEEKDAY($B941,2),"Segunda","Terça","Quarta","Quinta","Sexta","Sábado","Domingo"))</f>
        <v/>
      </c>
      <c r="AD941" s="17">
        <f>IF($B941="","",TEXT($B941,"MM/AAAA"))</f>
        <v/>
      </c>
      <c r="AE941" s="18">
        <f>IF(COUNTA($B941:$R941)=0,"",IF($X941="Cancelado",0,ROUND(N($Q941)+N($S941)+N($T941)-N($U941),2)))</f>
        <v/>
      </c>
      <c r="AF941" s="9">
        <f>IF($G941="","",IFERROR(INDEX(LINHAS_DRE_PLANO,MATCH($G941,SUBCATEGORIAS_PLANO,0)),"Não classificado"))</f>
        <v/>
      </c>
      <c r="AG941" s="17">
        <f>IF($G941="","",IFERROR(INDEX(TIPOS_FLUXO_PLANO,MATCH($G941,SUBCATEGORIAS_PLANO,0)),"Não classificado"))</f>
        <v/>
      </c>
      <c r="AH941" s="9">
        <f>IF($G941="","",IFERROR(INDEX(GRUPOS_PLANO,MATCH($G941,SUBCATEGORIAS_PLANO,0)),"Não classificado"))</f>
        <v/>
      </c>
      <c r="AI941" s="24">
        <f>IF(OR($C941="",$X941="Pago",$X941="Recebido",$X941="Cancelado"),"",$C941-TODAY())</f>
        <v/>
      </c>
      <c r="AJ941" s="24">
        <f>IF(OR($C941="",$X941="Pago",$X941="Recebido",$X941="Cancelado"),0,MAX(0,TODAY()-$C941))</f>
        <v/>
      </c>
      <c r="AK941" s="24">
        <f>IF($D941="","",$D941-$B941)</f>
        <v/>
      </c>
      <c r="AL941" s="18">
        <f>IF(OR($D941="",$B941=""),"",ROUND(N($R941)*($D941-$B941),2))</f>
        <v/>
      </c>
      <c r="AM941" s="17">
        <f>IF(AND($E941="Saída",$W941&gt;0,$C941&lt;&gt;""),$C941+ROW()/1000000,"")</f>
        <v/>
      </c>
      <c r="AN941" s="17">
        <f>IF(AND($E941="Entrada",$W941&gt;0,$C941&lt;&gt;""),$C941+ROW()/1000000,"")</f>
        <v/>
      </c>
      <c r="AO941" s="9">
        <f>IF(COUNTA($B941:$R941)=0,"",IF(AND($I941&lt;&gt;"",COUNTIF(CLIENTES_NOMES,$I941)+COUNTIF(CLIENTES_FANTASIA,$I941)+COUNTIF(FORNECEDORES_NOMES,$I941)+COUNTIF(FORNECEDORES_FANTASIA,$I941)=0),"⚠ Cliente/Fornecedor não cadastrado",IF(AND($G941&lt;&gt;"",COUNTIF(SUBCATEGORIAS_PLANO,$G941)=0),"⚠ Subcategoria fora do plano de contas",IF(OR($Q941="",N($Q941)=0),"⚠ Valor previsto não informado",IF(AND(OR($X941="Pago",$X941="Recebido"),$D941=""),"⚠ Status pago/recebido sem data",IF(AND($D941&lt;&gt;"",N($R941)=0),"⚠ Data de pagamento sem valor realizado",IF(AND(N($P941)&gt;1,N($O941)&gt;N($P941)),"⚠ Nº da parcela maior que o total",IF(AND($C941&lt;&gt;"",$B941&lt;&gt;"",$C941&lt;$B941),"⚠ Vencimento anterior à competência","OK"))))))))</f>
        <v/>
      </c>
    </row>
    <row r="942">
      <c r="A942" s="14" t="n"/>
      <c r="B942" s="36" t="n"/>
      <c r="C942" s="36" t="n"/>
      <c r="D942" s="36" t="n"/>
      <c r="E942" s="14" t="n"/>
      <c r="F942" s="29" t="n"/>
      <c r="G942" s="29" t="n"/>
      <c r="H942" s="29" t="n"/>
      <c r="I942" s="29" t="n"/>
      <c r="J942" s="29" t="n"/>
      <c r="K942" s="14" t="n"/>
      <c r="L942" s="29" t="n"/>
      <c r="M942" s="14" t="n"/>
      <c r="N942" s="29" t="n"/>
      <c r="O942" s="13" t="n"/>
      <c r="P942" s="13" t="n"/>
      <c r="Q942" s="35" t="n"/>
      <c r="R942" s="35" t="n"/>
      <c r="S942" s="35" t="n"/>
      <c r="T942" s="35" t="n"/>
      <c r="U942" s="35" t="n"/>
      <c r="V942" s="18">
        <f>IF(COUNTA($B942:$R942)=0,"",ROUND(N($R942)+N($S942)+N($T942)-N($U942),2))</f>
        <v/>
      </c>
      <c r="W942" s="18">
        <f>IF(COUNTA($B942:$R942)=0,"",IF(OR($X942="Pago",$X942="Recebido",$X942="Cancelado"),0,ROUND(N($Q942)+N($S942)+N($T942)-N($U942)-N($R942),2)))</f>
        <v/>
      </c>
      <c r="X942" s="14" t="n"/>
      <c r="Y942" s="17">
        <f>IF(COUNTA($B942:$R942)=0,"",IF($X942="Cancelado","Cancelado",IF(OR($X942="Pago",$X942="Recebido"),$X942,IF(OR($X942="Parcial",N($R942)&gt;0),"Parcial",IF($C942="","Sem vencimento",IF($C942&lt;TODAY(),"Vencido",IF($C942=TODAY(),"Vence hoje",IF($C942&lt;=TODAY()+7,"Vence em 7 dias",IF($C942&lt;=TODAY()+30,"Vence em 30 dias","Futuro")))))))))</f>
        <v/>
      </c>
      <c r="Z942" s="24">
        <f>IF($B942="","",MONTH($B942))</f>
        <v/>
      </c>
      <c r="AA942" s="24">
        <f>IF($B942="","",YEAR($B942))</f>
        <v/>
      </c>
      <c r="AB942" s="24">
        <f>IF($B942="","",ISOWEEKNUM($B942))</f>
        <v/>
      </c>
      <c r="AC942" s="17">
        <f>IF($B942="","",CHOOSE(WEEKDAY($B942,2),"Segunda","Terça","Quarta","Quinta","Sexta","Sábado","Domingo"))</f>
        <v/>
      </c>
      <c r="AD942" s="17">
        <f>IF($B942="","",TEXT($B942,"MM/AAAA"))</f>
        <v/>
      </c>
      <c r="AE942" s="18">
        <f>IF(COUNTA($B942:$R942)=0,"",IF($X942="Cancelado",0,ROUND(N($Q942)+N($S942)+N($T942)-N($U942),2)))</f>
        <v/>
      </c>
      <c r="AF942" s="9">
        <f>IF($G942="","",IFERROR(INDEX(LINHAS_DRE_PLANO,MATCH($G942,SUBCATEGORIAS_PLANO,0)),"Não classificado"))</f>
        <v/>
      </c>
      <c r="AG942" s="17">
        <f>IF($G942="","",IFERROR(INDEX(TIPOS_FLUXO_PLANO,MATCH($G942,SUBCATEGORIAS_PLANO,0)),"Não classificado"))</f>
        <v/>
      </c>
      <c r="AH942" s="9">
        <f>IF($G942="","",IFERROR(INDEX(GRUPOS_PLANO,MATCH($G942,SUBCATEGORIAS_PLANO,0)),"Não classificado"))</f>
        <v/>
      </c>
      <c r="AI942" s="24">
        <f>IF(OR($C942="",$X942="Pago",$X942="Recebido",$X942="Cancelado"),"",$C942-TODAY())</f>
        <v/>
      </c>
      <c r="AJ942" s="24">
        <f>IF(OR($C942="",$X942="Pago",$X942="Recebido",$X942="Cancelado"),0,MAX(0,TODAY()-$C942))</f>
        <v/>
      </c>
      <c r="AK942" s="24">
        <f>IF($D942="","",$D942-$B942)</f>
        <v/>
      </c>
      <c r="AL942" s="18">
        <f>IF(OR($D942="",$B942=""),"",ROUND(N($R942)*($D942-$B942),2))</f>
        <v/>
      </c>
      <c r="AM942" s="17">
        <f>IF(AND($E942="Saída",$W942&gt;0,$C942&lt;&gt;""),$C942+ROW()/1000000,"")</f>
        <v/>
      </c>
      <c r="AN942" s="17">
        <f>IF(AND($E942="Entrada",$W942&gt;0,$C942&lt;&gt;""),$C942+ROW()/1000000,"")</f>
        <v/>
      </c>
      <c r="AO942" s="9">
        <f>IF(COUNTA($B942:$R942)=0,"",IF(AND($I942&lt;&gt;"",COUNTIF(CLIENTES_NOMES,$I942)+COUNTIF(CLIENTES_FANTASIA,$I942)+COUNTIF(FORNECEDORES_NOMES,$I942)+COUNTIF(FORNECEDORES_FANTASIA,$I942)=0),"⚠ Cliente/Fornecedor não cadastrado",IF(AND($G942&lt;&gt;"",COUNTIF(SUBCATEGORIAS_PLANO,$G942)=0),"⚠ Subcategoria fora do plano de contas",IF(OR($Q942="",N($Q942)=0),"⚠ Valor previsto não informado",IF(AND(OR($X942="Pago",$X942="Recebido"),$D942=""),"⚠ Status pago/recebido sem data",IF(AND($D942&lt;&gt;"",N($R942)=0),"⚠ Data de pagamento sem valor realizado",IF(AND(N($P942)&gt;1,N($O942)&gt;N($P942)),"⚠ Nº da parcela maior que o total",IF(AND($C942&lt;&gt;"",$B942&lt;&gt;"",$C942&lt;$B942),"⚠ Vencimento anterior à competência","OK"))))))))</f>
        <v/>
      </c>
    </row>
    <row r="943">
      <c r="A943" s="14" t="n"/>
      <c r="B943" s="36" t="n"/>
      <c r="C943" s="36" t="n"/>
      <c r="D943" s="36" t="n"/>
      <c r="E943" s="14" t="n"/>
      <c r="F943" s="29" t="n"/>
      <c r="G943" s="29" t="n"/>
      <c r="H943" s="29" t="n"/>
      <c r="I943" s="29" t="n"/>
      <c r="J943" s="29" t="n"/>
      <c r="K943" s="14" t="n"/>
      <c r="L943" s="29" t="n"/>
      <c r="M943" s="14" t="n"/>
      <c r="N943" s="29" t="n"/>
      <c r="O943" s="13" t="n"/>
      <c r="P943" s="13" t="n"/>
      <c r="Q943" s="35" t="n"/>
      <c r="R943" s="35" t="n"/>
      <c r="S943" s="35" t="n"/>
      <c r="T943" s="35" t="n"/>
      <c r="U943" s="35" t="n"/>
      <c r="V943" s="18">
        <f>IF(COUNTA($B943:$R943)=0,"",ROUND(N($R943)+N($S943)+N($T943)-N($U943),2))</f>
        <v/>
      </c>
      <c r="W943" s="18">
        <f>IF(COUNTA($B943:$R943)=0,"",IF(OR($X943="Pago",$X943="Recebido",$X943="Cancelado"),0,ROUND(N($Q943)+N($S943)+N($T943)-N($U943)-N($R943),2)))</f>
        <v/>
      </c>
      <c r="X943" s="14" t="n"/>
      <c r="Y943" s="17">
        <f>IF(COUNTA($B943:$R943)=0,"",IF($X943="Cancelado","Cancelado",IF(OR($X943="Pago",$X943="Recebido"),$X943,IF(OR($X943="Parcial",N($R943)&gt;0),"Parcial",IF($C943="","Sem vencimento",IF($C943&lt;TODAY(),"Vencido",IF($C943=TODAY(),"Vence hoje",IF($C943&lt;=TODAY()+7,"Vence em 7 dias",IF($C943&lt;=TODAY()+30,"Vence em 30 dias","Futuro")))))))))</f>
        <v/>
      </c>
      <c r="Z943" s="24">
        <f>IF($B943="","",MONTH($B943))</f>
        <v/>
      </c>
      <c r="AA943" s="24">
        <f>IF($B943="","",YEAR($B943))</f>
        <v/>
      </c>
      <c r="AB943" s="24">
        <f>IF($B943="","",ISOWEEKNUM($B943))</f>
        <v/>
      </c>
      <c r="AC943" s="17">
        <f>IF($B943="","",CHOOSE(WEEKDAY($B943,2),"Segunda","Terça","Quarta","Quinta","Sexta","Sábado","Domingo"))</f>
        <v/>
      </c>
      <c r="AD943" s="17">
        <f>IF($B943="","",TEXT($B943,"MM/AAAA"))</f>
        <v/>
      </c>
      <c r="AE943" s="18">
        <f>IF(COUNTA($B943:$R943)=0,"",IF($X943="Cancelado",0,ROUND(N($Q943)+N($S943)+N($T943)-N($U943),2)))</f>
        <v/>
      </c>
      <c r="AF943" s="9">
        <f>IF($G943="","",IFERROR(INDEX(LINHAS_DRE_PLANO,MATCH($G943,SUBCATEGORIAS_PLANO,0)),"Não classificado"))</f>
        <v/>
      </c>
      <c r="AG943" s="17">
        <f>IF($G943="","",IFERROR(INDEX(TIPOS_FLUXO_PLANO,MATCH($G943,SUBCATEGORIAS_PLANO,0)),"Não classificado"))</f>
        <v/>
      </c>
      <c r="AH943" s="9">
        <f>IF($G943="","",IFERROR(INDEX(GRUPOS_PLANO,MATCH($G943,SUBCATEGORIAS_PLANO,0)),"Não classificado"))</f>
        <v/>
      </c>
      <c r="AI943" s="24">
        <f>IF(OR($C943="",$X943="Pago",$X943="Recebido",$X943="Cancelado"),"",$C943-TODAY())</f>
        <v/>
      </c>
      <c r="AJ943" s="24">
        <f>IF(OR($C943="",$X943="Pago",$X943="Recebido",$X943="Cancelado"),0,MAX(0,TODAY()-$C943))</f>
        <v/>
      </c>
      <c r="AK943" s="24">
        <f>IF($D943="","",$D943-$B943)</f>
        <v/>
      </c>
      <c r="AL943" s="18">
        <f>IF(OR($D943="",$B943=""),"",ROUND(N($R943)*($D943-$B943),2))</f>
        <v/>
      </c>
      <c r="AM943" s="17">
        <f>IF(AND($E943="Saída",$W943&gt;0,$C943&lt;&gt;""),$C943+ROW()/1000000,"")</f>
        <v/>
      </c>
      <c r="AN943" s="17">
        <f>IF(AND($E943="Entrada",$W943&gt;0,$C943&lt;&gt;""),$C943+ROW()/1000000,"")</f>
        <v/>
      </c>
      <c r="AO943" s="9">
        <f>IF(COUNTA($B943:$R943)=0,"",IF(AND($I943&lt;&gt;"",COUNTIF(CLIENTES_NOMES,$I943)+COUNTIF(CLIENTES_FANTASIA,$I943)+COUNTIF(FORNECEDORES_NOMES,$I943)+COUNTIF(FORNECEDORES_FANTASIA,$I943)=0),"⚠ Cliente/Fornecedor não cadastrado",IF(AND($G943&lt;&gt;"",COUNTIF(SUBCATEGORIAS_PLANO,$G943)=0),"⚠ Subcategoria fora do plano de contas",IF(OR($Q943="",N($Q943)=0),"⚠ Valor previsto não informado",IF(AND(OR($X943="Pago",$X943="Recebido"),$D943=""),"⚠ Status pago/recebido sem data",IF(AND($D943&lt;&gt;"",N($R943)=0),"⚠ Data de pagamento sem valor realizado",IF(AND(N($P943)&gt;1,N($O943)&gt;N($P943)),"⚠ Nº da parcela maior que o total",IF(AND($C943&lt;&gt;"",$B943&lt;&gt;"",$C943&lt;$B943),"⚠ Vencimento anterior à competência","OK"))))))))</f>
        <v/>
      </c>
    </row>
    <row r="944">
      <c r="A944" s="14" t="n"/>
      <c r="B944" s="36" t="n"/>
      <c r="C944" s="36" t="n"/>
      <c r="D944" s="36" t="n"/>
      <c r="E944" s="14" t="n"/>
      <c r="F944" s="29" t="n"/>
      <c r="G944" s="29" t="n"/>
      <c r="H944" s="29" t="n"/>
      <c r="I944" s="29" t="n"/>
      <c r="J944" s="29" t="n"/>
      <c r="K944" s="14" t="n"/>
      <c r="L944" s="29" t="n"/>
      <c r="M944" s="14" t="n"/>
      <c r="N944" s="29" t="n"/>
      <c r="O944" s="13" t="n"/>
      <c r="P944" s="13" t="n"/>
      <c r="Q944" s="35" t="n"/>
      <c r="R944" s="35" t="n"/>
      <c r="S944" s="35" t="n"/>
      <c r="T944" s="35" t="n"/>
      <c r="U944" s="35" t="n"/>
      <c r="V944" s="18">
        <f>IF(COUNTA($B944:$R944)=0,"",ROUND(N($R944)+N($S944)+N($T944)-N($U944),2))</f>
        <v/>
      </c>
      <c r="W944" s="18">
        <f>IF(COUNTA($B944:$R944)=0,"",IF(OR($X944="Pago",$X944="Recebido",$X944="Cancelado"),0,ROUND(N($Q944)+N($S944)+N($T944)-N($U944)-N($R944),2)))</f>
        <v/>
      </c>
      <c r="X944" s="14" t="n"/>
      <c r="Y944" s="17">
        <f>IF(COUNTA($B944:$R944)=0,"",IF($X944="Cancelado","Cancelado",IF(OR($X944="Pago",$X944="Recebido"),$X944,IF(OR($X944="Parcial",N($R944)&gt;0),"Parcial",IF($C944="","Sem vencimento",IF($C944&lt;TODAY(),"Vencido",IF($C944=TODAY(),"Vence hoje",IF($C944&lt;=TODAY()+7,"Vence em 7 dias",IF($C944&lt;=TODAY()+30,"Vence em 30 dias","Futuro")))))))))</f>
        <v/>
      </c>
      <c r="Z944" s="24">
        <f>IF($B944="","",MONTH($B944))</f>
        <v/>
      </c>
      <c r="AA944" s="24">
        <f>IF($B944="","",YEAR($B944))</f>
        <v/>
      </c>
      <c r="AB944" s="24">
        <f>IF($B944="","",ISOWEEKNUM($B944))</f>
        <v/>
      </c>
      <c r="AC944" s="17">
        <f>IF($B944="","",CHOOSE(WEEKDAY($B944,2),"Segunda","Terça","Quarta","Quinta","Sexta","Sábado","Domingo"))</f>
        <v/>
      </c>
      <c r="AD944" s="17">
        <f>IF($B944="","",TEXT($B944,"MM/AAAA"))</f>
        <v/>
      </c>
      <c r="AE944" s="18">
        <f>IF(COUNTA($B944:$R944)=0,"",IF($X944="Cancelado",0,ROUND(N($Q944)+N($S944)+N($T944)-N($U944),2)))</f>
        <v/>
      </c>
      <c r="AF944" s="9">
        <f>IF($G944="","",IFERROR(INDEX(LINHAS_DRE_PLANO,MATCH($G944,SUBCATEGORIAS_PLANO,0)),"Não classificado"))</f>
        <v/>
      </c>
      <c r="AG944" s="17">
        <f>IF($G944="","",IFERROR(INDEX(TIPOS_FLUXO_PLANO,MATCH($G944,SUBCATEGORIAS_PLANO,0)),"Não classificado"))</f>
        <v/>
      </c>
      <c r="AH944" s="9">
        <f>IF($G944="","",IFERROR(INDEX(GRUPOS_PLANO,MATCH($G944,SUBCATEGORIAS_PLANO,0)),"Não classificado"))</f>
        <v/>
      </c>
      <c r="AI944" s="24">
        <f>IF(OR($C944="",$X944="Pago",$X944="Recebido",$X944="Cancelado"),"",$C944-TODAY())</f>
        <v/>
      </c>
      <c r="AJ944" s="24">
        <f>IF(OR($C944="",$X944="Pago",$X944="Recebido",$X944="Cancelado"),0,MAX(0,TODAY()-$C944))</f>
        <v/>
      </c>
      <c r="AK944" s="24">
        <f>IF($D944="","",$D944-$B944)</f>
        <v/>
      </c>
      <c r="AL944" s="18">
        <f>IF(OR($D944="",$B944=""),"",ROUND(N($R944)*($D944-$B944),2))</f>
        <v/>
      </c>
      <c r="AM944" s="17">
        <f>IF(AND($E944="Saída",$W944&gt;0,$C944&lt;&gt;""),$C944+ROW()/1000000,"")</f>
        <v/>
      </c>
      <c r="AN944" s="17">
        <f>IF(AND($E944="Entrada",$W944&gt;0,$C944&lt;&gt;""),$C944+ROW()/1000000,"")</f>
        <v/>
      </c>
      <c r="AO944" s="9">
        <f>IF(COUNTA($B944:$R944)=0,"",IF(AND($I944&lt;&gt;"",COUNTIF(CLIENTES_NOMES,$I944)+COUNTIF(CLIENTES_FANTASIA,$I944)+COUNTIF(FORNECEDORES_NOMES,$I944)+COUNTIF(FORNECEDORES_FANTASIA,$I944)=0),"⚠ Cliente/Fornecedor não cadastrado",IF(AND($G944&lt;&gt;"",COUNTIF(SUBCATEGORIAS_PLANO,$G944)=0),"⚠ Subcategoria fora do plano de contas",IF(OR($Q944="",N($Q944)=0),"⚠ Valor previsto não informado",IF(AND(OR($X944="Pago",$X944="Recebido"),$D944=""),"⚠ Status pago/recebido sem data",IF(AND($D944&lt;&gt;"",N($R944)=0),"⚠ Data de pagamento sem valor realizado",IF(AND(N($P944)&gt;1,N($O944)&gt;N($P944)),"⚠ Nº da parcela maior que o total",IF(AND($C944&lt;&gt;"",$B944&lt;&gt;"",$C944&lt;$B944),"⚠ Vencimento anterior à competência","OK"))))))))</f>
        <v/>
      </c>
    </row>
    <row r="945">
      <c r="A945" s="14" t="n"/>
      <c r="B945" s="36" t="n"/>
      <c r="C945" s="36" t="n"/>
      <c r="D945" s="36" t="n"/>
      <c r="E945" s="14" t="n"/>
      <c r="F945" s="29" t="n"/>
      <c r="G945" s="29" t="n"/>
      <c r="H945" s="29" t="n"/>
      <c r="I945" s="29" t="n"/>
      <c r="J945" s="29" t="n"/>
      <c r="K945" s="14" t="n"/>
      <c r="L945" s="29" t="n"/>
      <c r="M945" s="14" t="n"/>
      <c r="N945" s="29" t="n"/>
      <c r="O945" s="13" t="n"/>
      <c r="P945" s="13" t="n"/>
      <c r="Q945" s="35" t="n"/>
      <c r="R945" s="35" t="n"/>
      <c r="S945" s="35" t="n"/>
      <c r="T945" s="35" t="n"/>
      <c r="U945" s="35" t="n"/>
      <c r="V945" s="18">
        <f>IF(COUNTA($B945:$R945)=0,"",ROUND(N($R945)+N($S945)+N($T945)-N($U945),2))</f>
        <v/>
      </c>
      <c r="W945" s="18">
        <f>IF(COUNTA($B945:$R945)=0,"",IF(OR($X945="Pago",$X945="Recebido",$X945="Cancelado"),0,ROUND(N($Q945)+N($S945)+N($T945)-N($U945)-N($R945),2)))</f>
        <v/>
      </c>
      <c r="X945" s="14" t="n"/>
      <c r="Y945" s="17">
        <f>IF(COUNTA($B945:$R945)=0,"",IF($X945="Cancelado","Cancelado",IF(OR($X945="Pago",$X945="Recebido"),$X945,IF(OR($X945="Parcial",N($R945)&gt;0),"Parcial",IF($C945="","Sem vencimento",IF($C945&lt;TODAY(),"Vencido",IF($C945=TODAY(),"Vence hoje",IF($C945&lt;=TODAY()+7,"Vence em 7 dias",IF($C945&lt;=TODAY()+30,"Vence em 30 dias","Futuro")))))))))</f>
        <v/>
      </c>
      <c r="Z945" s="24">
        <f>IF($B945="","",MONTH($B945))</f>
        <v/>
      </c>
      <c r="AA945" s="24">
        <f>IF($B945="","",YEAR($B945))</f>
        <v/>
      </c>
      <c r="AB945" s="24">
        <f>IF($B945="","",ISOWEEKNUM($B945))</f>
        <v/>
      </c>
      <c r="AC945" s="17">
        <f>IF($B945="","",CHOOSE(WEEKDAY($B945,2),"Segunda","Terça","Quarta","Quinta","Sexta","Sábado","Domingo"))</f>
        <v/>
      </c>
      <c r="AD945" s="17">
        <f>IF($B945="","",TEXT($B945,"MM/AAAA"))</f>
        <v/>
      </c>
      <c r="AE945" s="18">
        <f>IF(COUNTA($B945:$R945)=0,"",IF($X945="Cancelado",0,ROUND(N($Q945)+N($S945)+N($T945)-N($U945),2)))</f>
        <v/>
      </c>
      <c r="AF945" s="9">
        <f>IF($G945="","",IFERROR(INDEX(LINHAS_DRE_PLANO,MATCH($G945,SUBCATEGORIAS_PLANO,0)),"Não classificado"))</f>
        <v/>
      </c>
      <c r="AG945" s="17">
        <f>IF($G945="","",IFERROR(INDEX(TIPOS_FLUXO_PLANO,MATCH($G945,SUBCATEGORIAS_PLANO,0)),"Não classificado"))</f>
        <v/>
      </c>
      <c r="AH945" s="9">
        <f>IF($G945="","",IFERROR(INDEX(GRUPOS_PLANO,MATCH($G945,SUBCATEGORIAS_PLANO,0)),"Não classificado"))</f>
        <v/>
      </c>
      <c r="AI945" s="24">
        <f>IF(OR($C945="",$X945="Pago",$X945="Recebido",$X945="Cancelado"),"",$C945-TODAY())</f>
        <v/>
      </c>
      <c r="AJ945" s="24">
        <f>IF(OR($C945="",$X945="Pago",$X945="Recebido",$X945="Cancelado"),0,MAX(0,TODAY()-$C945))</f>
        <v/>
      </c>
      <c r="AK945" s="24">
        <f>IF($D945="","",$D945-$B945)</f>
        <v/>
      </c>
      <c r="AL945" s="18">
        <f>IF(OR($D945="",$B945=""),"",ROUND(N($R945)*($D945-$B945),2))</f>
        <v/>
      </c>
      <c r="AM945" s="17">
        <f>IF(AND($E945="Saída",$W945&gt;0,$C945&lt;&gt;""),$C945+ROW()/1000000,"")</f>
        <v/>
      </c>
      <c r="AN945" s="17">
        <f>IF(AND($E945="Entrada",$W945&gt;0,$C945&lt;&gt;""),$C945+ROW()/1000000,"")</f>
        <v/>
      </c>
      <c r="AO945" s="9">
        <f>IF(COUNTA($B945:$R945)=0,"",IF(AND($I945&lt;&gt;"",COUNTIF(CLIENTES_NOMES,$I945)+COUNTIF(CLIENTES_FANTASIA,$I945)+COUNTIF(FORNECEDORES_NOMES,$I945)+COUNTIF(FORNECEDORES_FANTASIA,$I945)=0),"⚠ Cliente/Fornecedor não cadastrado",IF(AND($G945&lt;&gt;"",COUNTIF(SUBCATEGORIAS_PLANO,$G945)=0),"⚠ Subcategoria fora do plano de contas",IF(OR($Q945="",N($Q945)=0),"⚠ Valor previsto não informado",IF(AND(OR($X945="Pago",$X945="Recebido"),$D945=""),"⚠ Status pago/recebido sem data",IF(AND($D945&lt;&gt;"",N($R945)=0),"⚠ Data de pagamento sem valor realizado",IF(AND(N($P945)&gt;1,N($O945)&gt;N($P945)),"⚠ Nº da parcela maior que o total",IF(AND($C945&lt;&gt;"",$B945&lt;&gt;"",$C945&lt;$B945),"⚠ Vencimento anterior à competência","OK"))))))))</f>
        <v/>
      </c>
    </row>
    <row r="946">
      <c r="A946" s="14" t="n"/>
      <c r="B946" s="36" t="n"/>
      <c r="C946" s="36" t="n"/>
      <c r="D946" s="36" t="n"/>
      <c r="E946" s="14" t="n"/>
      <c r="F946" s="29" t="n"/>
      <c r="G946" s="29" t="n"/>
      <c r="H946" s="29" t="n"/>
      <c r="I946" s="29" t="n"/>
      <c r="J946" s="29" t="n"/>
      <c r="K946" s="14" t="n"/>
      <c r="L946" s="29" t="n"/>
      <c r="M946" s="14" t="n"/>
      <c r="N946" s="29" t="n"/>
      <c r="O946" s="13" t="n"/>
      <c r="P946" s="13" t="n"/>
      <c r="Q946" s="35" t="n"/>
      <c r="R946" s="35" t="n"/>
      <c r="S946" s="35" t="n"/>
      <c r="T946" s="35" t="n"/>
      <c r="U946" s="35" t="n"/>
      <c r="V946" s="18">
        <f>IF(COUNTA($B946:$R946)=0,"",ROUND(N($R946)+N($S946)+N($T946)-N($U946),2))</f>
        <v/>
      </c>
      <c r="W946" s="18">
        <f>IF(COUNTA($B946:$R946)=0,"",IF(OR($X946="Pago",$X946="Recebido",$X946="Cancelado"),0,ROUND(N($Q946)+N($S946)+N($T946)-N($U946)-N($R946),2)))</f>
        <v/>
      </c>
      <c r="X946" s="14" t="n"/>
      <c r="Y946" s="17">
        <f>IF(COUNTA($B946:$R946)=0,"",IF($X946="Cancelado","Cancelado",IF(OR($X946="Pago",$X946="Recebido"),$X946,IF(OR($X946="Parcial",N($R946)&gt;0),"Parcial",IF($C946="","Sem vencimento",IF($C946&lt;TODAY(),"Vencido",IF($C946=TODAY(),"Vence hoje",IF($C946&lt;=TODAY()+7,"Vence em 7 dias",IF($C946&lt;=TODAY()+30,"Vence em 30 dias","Futuro")))))))))</f>
        <v/>
      </c>
      <c r="Z946" s="24">
        <f>IF($B946="","",MONTH($B946))</f>
        <v/>
      </c>
      <c r="AA946" s="24">
        <f>IF($B946="","",YEAR($B946))</f>
        <v/>
      </c>
      <c r="AB946" s="24">
        <f>IF($B946="","",ISOWEEKNUM($B946))</f>
        <v/>
      </c>
      <c r="AC946" s="17">
        <f>IF($B946="","",CHOOSE(WEEKDAY($B946,2),"Segunda","Terça","Quarta","Quinta","Sexta","Sábado","Domingo"))</f>
        <v/>
      </c>
      <c r="AD946" s="17">
        <f>IF($B946="","",TEXT($B946,"MM/AAAA"))</f>
        <v/>
      </c>
      <c r="AE946" s="18">
        <f>IF(COUNTA($B946:$R946)=0,"",IF($X946="Cancelado",0,ROUND(N($Q946)+N($S946)+N($T946)-N($U946),2)))</f>
        <v/>
      </c>
      <c r="AF946" s="9">
        <f>IF($G946="","",IFERROR(INDEX(LINHAS_DRE_PLANO,MATCH($G946,SUBCATEGORIAS_PLANO,0)),"Não classificado"))</f>
        <v/>
      </c>
      <c r="AG946" s="17">
        <f>IF($G946="","",IFERROR(INDEX(TIPOS_FLUXO_PLANO,MATCH($G946,SUBCATEGORIAS_PLANO,0)),"Não classificado"))</f>
        <v/>
      </c>
      <c r="AH946" s="9">
        <f>IF($G946="","",IFERROR(INDEX(GRUPOS_PLANO,MATCH($G946,SUBCATEGORIAS_PLANO,0)),"Não classificado"))</f>
        <v/>
      </c>
      <c r="AI946" s="24">
        <f>IF(OR($C946="",$X946="Pago",$X946="Recebido",$X946="Cancelado"),"",$C946-TODAY())</f>
        <v/>
      </c>
      <c r="AJ946" s="24">
        <f>IF(OR($C946="",$X946="Pago",$X946="Recebido",$X946="Cancelado"),0,MAX(0,TODAY()-$C946))</f>
        <v/>
      </c>
      <c r="AK946" s="24">
        <f>IF($D946="","",$D946-$B946)</f>
        <v/>
      </c>
      <c r="AL946" s="18">
        <f>IF(OR($D946="",$B946=""),"",ROUND(N($R946)*($D946-$B946),2))</f>
        <v/>
      </c>
      <c r="AM946" s="17">
        <f>IF(AND($E946="Saída",$W946&gt;0,$C946&lt;&gt;""),$C946+ROW()/1000000,"")</f>
        <v/>
      </c>
      <c r="AN946" s="17">
        <f>IF(AND($E946="Entrada",$W946&gt;0,$C946&lt;&gt;""),$C946+ROW()/1000000,"")</f>
        <v/>
      </c>
      <c r="AO946" s="9">
        <f>IF(COUNTA($B946:$R946)=0,"",IF(AND($I946&lt;&gt;"",COUNTIF(CLIENTES_NOMES,$I946)+COUNTIF(CLIENTES_FANTASIA,$I946)+COUNTIF(FORNECEDORES_NOMES,$I946)+COUNTIF(FORNECEDORES_FANTASIA,$I946)=0),"⚠ Cliente/Fornecedor não cadastrado",IF(AND($G946&lt;&gt;"",COUNTIF(SUBCATEGORIAS_PLANO,$G946)=0),"⚠ Subcategoria fora do plano de contas",IF(OR($Q946="",N($Q946)=0),"⚠ Valor previsto não informado",IF(AND(OR($X946="Pago",$X946="Recebido"),$D946=""),"⚠ Status pago/recebido sem data",IF(AND($D946&lt;&gt;"",N($R946)=0),"⚠ Data de pagamento sem valor realizado",IF(AND(N($P946)&gt;1,N($O946)&gt;N($P946)),"⚠ Nº da parcela maior que o total",IF(AND($C946&lt;&gt;"",$B946&lt;&gt;"",$C946&lt;$B946),"⚠ Vencimento anterior à competência","OK"))))))))</f>
        <v/>
      </c>
    </row>
    <row r="947">
      <c r="A947" s="14" t="n"/>
      <c r="B947" s="36" t="n"/>
      <c r="C947" s="36" t="n"/>
      <c r="D947" s="36" t="n"/>
      <c r="E947" s="14" t="n"/>
      <c r="F947" s="29" t="n"/>
      <c r="G947" s="29" t="n"/>
      <c r="H947" s="29" t="n"/>
      <c r="I947" s="29" t="n"/>
      <c r="J947" s="29" t="n"/>
      <c r="K947" s="14" t="n"/>
      <c r="L947" s="29" t="n"/>
      <c r="M947" s="14" t="n"/>
      <c r="N947" s="29" t="n"/>
      <c r="O947" s="13" t="n"/>
      <c r="P947" s="13" t="n"/>
      <c r="Q947" s="35" t="n"/>
      <c r="R947" s="35" t="n"/>
      <c r="S947" s="35" t="n"/>
      <c r="T947" s="35" t="n"/>
      <c r="U947" s="35" t="n"/>
      <c r="V947" s="18">
        <f>IF(COUNTA($B947:$R947)=0,"",ROUND(N($R947)+N($S947)+N($T947)-N($U947),2))</f>
        <v/>
      </c>
      <c r="W947" s="18">
        <f>IF(COUNTA($B947:$R947)=0,"",IF(OR($X947="Pago",$X947="Recebido",$X947="Cancelado"),0,ROUND(N($Q947)+N($S947)+N($T947)-N($U947)-N($R947),2)))</f>
        <v/>
      </c>
      <c r="X947" s="14" t="n"/>
      <c r="Y947" s="17">
        <f>IF(COUNTA($B947:$R947)=0,"",IF($X947="Cancelado","Cancelado",IF(OR($X947="Pago",$X947="Recebido"),$X947,IF(OR($X947="Parcial",N($R947)&gt;0),"Parcial",IF($C947="","Sem vencimento",IF($C947&lt;TODAY(),"Vencido",IF($C947=TODAY(),"Vence hoje",IF($C947&lt;=TODAY()+7,"Vence em 7 dias",IF($C947&lt;=TODAY()+30,"Vence em 30 dias","Futuro")))))))))</f>
        <v/>
      </c>
      <c r="Z947" s="24">
        <f>IF($B947="","",MONTH($B947))</f>
        <v/>
      </c>
      <c r="AA947" s="24">
        <f>IF($B947="","",YEAR($B947))</f>
        <v/>
      </c>
      <c r="AB947" s="24">
        <f>IF($B947="","",ISOWEEKNUM($B947))</f>
        <v/>
      </c>
      <c r="AC947" s="17">
        <f>IF($B947="","",CHOOSE(WEEKDAY($B947,2),"Segunda","Terça","Quarta","Quinta","Sexta","Sábado","Domingo"))</f>
        <v/>
      </c>
      <c r="AD947" s="17">
        <f>IF($B947="","",TEXT($B947,"MM/AAAA"))</f>
        <v/>
      </c>
      <c r="AE947" s="18">
        <f>IF(COUNTA($B947:$R947)=0,"",IF($X947="Cancelado",0,ROUND(N($Q947)+N($S947)+N($T947)-N($U947),2)))</f>
        <v/>
      </c>
      <c r="AF947" s="9">
        <f>IF($G947="","",IFERROR(INDEX(LINHAS_DRE_PLANO,MATCH($G947,SUBCATEGORIAS_PLANO,0)),"Não classificado"))</f>
        <v/>
      </c>
      <c r="AG947" s="17">
        <f>IF($G947="","",IFERROR(INDEX(TIPOS_FLUXO_PLANO,MATCH($G947,SUBCATEGORIAS_PLANO,0)),"Não classificado"))</f>
        <v/>
      </c>
      <c r="AH947" s="9">
        <f>IF($G947="","",IFERROR(INDEX(GRUPOS_PLANO,MATCH($G947,SUBCATEGORIAS_PLANO,0)),"Não classificado"))</f>
        <v/>
      </c>
      <c r="AI947" s="24">
        <f>IF(OR($C947="",$X947="Pago",$X947="Recebido",$X947="Cancelado"),"",$C947-TODAY())</f>
        <v/>
      </c>
      <c r="AJ947" s="24">
        <f>IF(OR($C947="",$X947="Pago",$X947="Recebido",$X947="Cancelado"),0,MAX(0,TODAY()-$C947))</f>
        <v/>
      </c>
      <c r="AK947" s="24">
        <f>IF($D947="","",$D947-$B947)</f>
        <v/>
      </c>
      <c r="AL947" s="18">
        <f>IF(OR($D947="",$B947=""),"",ROUND(N($R947)*($D947-$B947),2))</f>
        <v/>
      </c>
      <c r="AM947" s="17">
        <f>IF(AND($E947="Saída",$W947&gt;0,$C947&lt;&gt;""),$C947+ROW()/1000000,"")</f>
        <v/>
      </c>
      <c r="AN947" s="17">
        <f>IF(AND($E947="Entrada",$W947&gt;0,$C947&lt;&gt;""),$C947+ROW()/1000000,"")</f>
        <v/>
      </c>
      <c r="AO947" s="9">
        <f>IF(COUNTA($B947:$R947)=0,"",IF(AND($I947&lt;&gt;"",COUNTIF(CLIENTES_NOMES,$I947)+COUNTIF(CLIENTES_FANTASIA,$I947)+COUNTIF(FORNECEDORES_NOMES,$I947)+COUNTIF(FORNECEDORES_FANTASIA,$I947)=0),"⚠ Cliente/Fornecedor não cadastrado",IF(AND($G947&lt;&gt;"",COUNTIF(SUBCATEGORIAS_PLANO,$G947)=0),"⚠ Subcategoria fora do plano de contas",IF(OR($Q947="",N($Q947)=0),"⚠ Valor previsto não informado",IF(AND(OR($X947="Pago",$X947="Recebido"),$D947=""),"⚠ Status pago/recebido sem data",IF(AND($D947&lt;&gt;"",N($R947)=0),"⚠ Data de pagamento sem valor realizado",IF(AND(N($P947)&gt;1,N($O947)&gt;N($P947)),"⚠ Nº da parcela maior que o total",IF(AND($C947&lt;&gt;"",$B947&lt;&gt;"",$C947&lt;$B947),"⚠ Vencimento anterior à competência","OK"))))))))</f>
        <v/>
      </c>
    </row>
    <row r="948">
      <c r="A948" s="14" t="n"/>
      <c r="B948" s="36" t="n"/>
      <c r="C948" s="36" t="n"/>
      <c r="D948" s="36" t="n"/>
      <c r="E948" s="14" t="n"/>
      <c r="F948" s="29" t="n"/>
      <c r="G948" s="29" t="n"/>
      <c r="H948" s="29" t="n"/>
      <c r="I948" s="29" t="n"/>
      <c r="J948" s="29" t="n"/>
      <c r="K948" s="14" t="n"/>
      <c r="L948" s="29" t="n"/>
      <c r="M948" s="14" t="n"/>
      <c r="N948" s="29" t="n"/>
      <c r="O948" s="13" t="n"/>
      <c r="P948" s="13" t="n"/>
      <c r="Q948" s="35" t="n"/>
      <c r="R948" s="35" t="n"/>
      <c r="S948" s="35" t="n"/>
      <c r="T948" s="35" t="n"/>
      <c r="U948" s="35" t="n"/>
      <c r="V948" s="18">
        <f>IF(COUNTA($B948:$R948)=0,"",ROUND(N($R948)+N($S948)+N($T948)-N($U948),2))</f>
        <v/>
      </c>
      <c r="W948" s="18">
        <f>IF(COUNTA($B948:$R948)=0,"",IF(OR($X948="Pago",$X948="Recebido",$X948="Cancelado"),0,ROUND(N($Q948)+N($S948)+N($T948)-N($U948)-N($R948),2)))</f>
        <v/>
      </c>
      <c r="X948" s="14" t="n"/>
      <c r="Y948" s="17">
        <f>IF(COUNTA($B948:$R948)=0,"",IF($X948="Cancelado","Cancelado",IF(OR($X948="Pago",$X948="Recebido"),$X948,IF(OR($X948="Parcial",N($R948)&gt;0),"Parcial",IF($C948="","Sem vencimento",IF($C948&lt;TODAY(),"Vencido",IF($C948=TODAY(),"Vence hoje",IF($C948&lt;=TODAY()+7,"Vence em 7 dias",IF($C948&lt;=TODAY()+30,"Vence em 30 dias","Futuro")))))))))</f>
        <v/>
      </c>
      <c r="Z948" s="24">
        <f>IF($B948="","",MONTH($B948))</f>
        <v/>
      </c>
      <c r="AA948" s="24">
        <f>IF($B948="","",YEAR($B948))</f>
        <v/>
      </c>
      <c r="AB948" s="24">
        <f>IF($B948="","",ISOWEEKNUM($B948))</f>
        <v/>
      </c>
      <c r="AC948" s="17">
        <f>IF($B948="","",CHOOSE(WEEKDAY($B948,2),"Segunda","Terça","Quarta","Quinta","Sexta","Sábado","Domingo"))</f>
        <v/>
      </c>
      <c r="AD948" s="17">
        <f>IF($B948="","",TEXT($B948,"MM/AAAA"))</f>
        <v/>
      </c>
      <c r="AE948" s="18">
        <f>IF(COUNTA($B948:$R948)=0,"",IF($X948="Cancelado",0,ROUND(N($Q948)+N($S948)+N($T948)-N($U948),2)))</f>
        <v/>
      </c>
      <c r="AF948" s="9">
        <f>IF($G948="","",IFERROR(INDEX(LINHAS_DRE_PLANO,MATCH($G948,SUBCATEGORIAS_PLANO,0)),"Não classificado"))</f>
        <v/>
      </c>
      <c r="AG948" s="17">
        <f>IF($G948="","",IFERROR(INDEX(TIPOS_FLUXO_PLANO,MATCH($G948,SUBCATEGORIAS_PLANO,0)),"Não classificado"))</f>
        <v/>
      </c>
      <c r="AH948" s="9">
        <f>IF($G948="","",IFERROR(INDEX(GRUPOS_PLANO,MATCH($G948,SUBCATEGORIAS_PLANO,0)),"Não classificado"))</f>
        <v/>
      </c>
      <c r="AI948" s="24">
        <f>IF(OR($C948="",$X948="Pago",$X948="Recebido",$X948="Cancelado"),"",$C948-TODAY())</f>
        <v/>
      </c>
      <c r="AJ948" s="24">
        <f>IF(OR($C948="",$X948="Pago",$X948="Recebido",$X948="Cancelado"),0,MAX(0,TODAY()-$C948))</f>
        <v/>
      </c>
      <c r="AK948" s="24">
        <f>IF($D948="","",$D948-$B948)</f>
        <v/>
      </c>
      <c r="AL948" s="18">
        <f>IF(OR($D948="",$B948=""),"",ROUND(N($R948)*($D948-$B948),2))</f>
        <v/>
      </c>
      <c r="AM948" s="17">
        <f>IF(AND($E948="Saída",$W948&gt;0,$C948&lt;&gt;""),$C948+ROW()/1000000,"")</f>
        <v/>
      </c>
      <c r="AN948" s="17">
        <f>IF(AND($E948="Entrada",$W948&gt;0,$C948&lt;&gt;""),$C948+ROW()/1000000,"")</f>
        <v/>
      </c>
      <c r="AO948" s="9">
        <f>IF(COUNTA($B948:$R948)=0,"",IF(AND($I948&lt;&gt;"",COUNTIF(CLIENTES_NOMES,$I948)+COUNTIF(CLIENTES_FANTASIA,$I948)+COUNTIF(FORNECEDORES_NOMES,$I948)+COUNTIF(FORNECEDORES_FANTASIA,$I948)=0),"⚠ Cliente/Fornecedor não cadastrado",IF(AND($G948&lt;&gt;"",COUNTIF(SUBCATEGORIAS_PLANO,$G948)=0),"⚠ Subcategoria fora do plano de contas",IF(OR($Q948="",N($Q948)=0),"⚠ Valor previsto não informado",IF(AND(OR($X948="Pago",$X948="Recebido"),$D948=""),"⚠ Status pago/recebido sem data",IF(AND($D948&lt;&gt;"",N($R948)=0),"⚠ Data de pagamento sem valor realizado",IF(AND(N($P948)&gt;1,N($O948)&gt;N($P948)),"⚠ Nº da parcela maior que o total",IF(AND($C948&lt;&gt;"",$B948&lt;&gt;"",$C948&lt;$B948),"⚠ Vencimento anterior à competência","OK"))))))))</f>
        <v/>
      </c>
    </row>
    <row r="949">
      <c r="A949" s="14" t="n"/>
      <c r="B949" s="36" t="n"/>
      <c r="C949" s="36" t="n"/>
      <c r="D949" s="36" t="n"/>
      <c r="E949" s="14" t="n"/>
      <c r="F949" s="29" t="n"/>
      <c r="G949" s="29" t="n"/>
      <c r="H949" s="29" t="n"/>
      <c r="I949" s="29" t="n"/>
      <c r="J949" s="29" t="n"/>
      <c r="K949" s="14" t="n"/>
      <c r="L949" s="29" t="n"/>
      <c r="M949" s="14" t="n"/>
      <c r="N949" s="29" t="n"/>
      <c r="O949" s="13" t="n"/>
      <c r="P949" s="13" t="n"/>
      <c r="Q949" s="35" t="n"/>
      <c r="R949" s="35" t="n"/>
      <c r="S949" s="35" t="n"/>
      <c r="T949" s="35" t="n"/>
      <c r="U949" s="35" t="n"/>
      <c r="V949" s="18">
        <f>IF(COUNTA($B949:$R949)=0,"",ROUND(N($R949)+N($S949)+N($T949)-N($U949),2))</f>
        <v/>
      </c>
      <c r="W949" s="18">
        <f>IF(COUNTA($B949:$R949)=0,"",IF(OR($X949="Pago",$X949="Recebido",$X949="Cancelado"),0,ROUND(N($Q949)+N($S949)+N($T949)-N($U949)-N($R949),2)))</f>
        <v/>
      </c>
      <c r="X949" s="14" t="n"/>
      <c r="Y949" s="17">
        <f>IF(COUNTA($B949:$R949)=0,"",IF($X949="Cancelado","Cancelado",IF(OR($X949="Pago",$X949="Recebido"),$X949,IF(OR($X949="Parcial",N($R949)&gt;0),"Parcial",IF($C949="","Sem vencimento",IF($C949&lt;TODAY(),"Vencido",IF($C949=TODAY(),"Vence hoje",IF($C949&lt;=TODAY()+7,"Vence em 7 dias",IF($C949&lt;=TODAY()+30,"Vence em 30 dias","Futuro")))))))))</f>
        <v/>
      </c>
      <c r="Z949" s="24">
        <f>IF($B949="","",MONTH($B949))</f>
        <v/>
      </c>
      <c r="AA949" s="24">
        <f>IF($B949="","",YEAR($B949))</f>
        <v/>
      </c>
      <c r="AB949" s="24">
        <f>IF($B949="","",ISOWEEKNUM($B949))</f>
        <v/>
      </c>
      <c r="AC949" s="17">
        <f>IF($B949="","",CHOOSE(WEEKDAY($B949,2),"Segunda","Terça","Quarta","Quinta","Sexta","Sábado","Domingo"))</f>
        <v/>
      </c>
      <c r="AD949" s="17">
        <f>IF($B949="","",TEXT($B949,"MM/AAAA"))</f>
        <v/>
      </c>
      <c r="AE949" s="18">
        <f>IF(COUNTA($B949:$R949)=0,"",IF($X949="Cancelado",0,ROUND(N($Q949)+N($S949)+N($T949)-N($U949),2)))</f>
        <v/>
      </c>
      <c r="AF949" s="9">
        <f>IF($G949="","",IFERROR(INDEX(LINHAS_DRE_PLANO,MATCH($G949,SUBCATEGORIAS_PLANO,0)),"Não classificado"))</f>
        <v/>
      </c>
      <c r="AG949" s="17">
        <f>IF($G949="","",IFERROR(INDEX(TIPOS_FLUXO_PLANO,MATCH($G949,SUBCATEGORIAS_PLANO,0)),"Não classificado"))</f>
        <v/>
      </c>
      <c r="AH949" s="9">
        <f>IF($G949="","",IFERROR(INDEX(GRUPOS_PLANO,MATCH($G949,SUBCATEGORIAS_PLANO,0)),"Não classificado"))</f>
        <v/>
      </c>
      <c r="AI949" s="24">
        <f>IF(OR($C949="",$X949="Pago",$X949="Recebido",$X949="Cancelado"),"",$C949-TODAY())</f>
        <v/>
      </c>
      <c r="AJ949" s="24">
        <f>IF(OR($C949="",$X949="Pago",$X949="Recebido",$X949="Cancelado"),0,MAX(0,TODAY()-$C949))</f>
        <v/>
      </c>
      <c r="AK949" s="24">
        <f>IF($D949="","",$D949-$B949)</f>
        <v/>
      </c>
      <c r="AL949" s="18">
        <f>IF(OR($D949="",$B949=""),"",ROUND(N($R949)*($D949-$B949),2))</f>
        <v/>
      </c>
      <c r="AM949" s="17">
        <f>IF(AND($E949="Saída",$W949&gt;0,$C949&lt;&gt;""),$C949+ROW()/1000000,"")</f>
        <v/>
      </c>
      <c r="AN949" s="17">
        <f>IF(AND($E949="Entrada",$W949&gt;0,$C949&lt;&gt;""),$C949+ROW()/1000000,"")</f>
        <v/>
      </c>
      <c r="AO949" s="9">
        <f>IF(COUNTA($B949:$R949)=0,"",IF(AND($I949&lt;&gt;"",COUNTIF(CLIENTES_NOMES,$I949)+COUNTIF(CLIENTES_FANTASIA,$I949)+COUNTIF(FORNECEDORES_NOMES,$I949)+COUNTIF(FORNECEDORES_FANTASIA,$I949)=0),"⚠ Cliente/Fornecedor não cadastrado",IF(AND($G949&lt;&gt;"",COUNTIF(SUBCATEGORIAS_PLANO,$G949)=0),"⚠ Subcategoria fora do plano de contas",IF(OR($Q949="",N($Q949)=0),"⚠ Valor previsto não informado",IF(AND(OR($X949="Pago",$X949="Recebido"),$D949=""),"⚠ Status pago/recebido sem data",IF(AND($D949&lt;&gt;"",N($R949)=0),"⚠ Data de pagamento sem valor realizado",IF(AND(N($P949)&gt;1,N($O949)&gt;N($P949)),"⚠ Nº da parcela maior que o total",IF(AND($C949&lt;&gt;"",$B949&lt;&gt;"",$C949&lt;$B949),"⚠ Vencimento anterior à competência","OK"))))))))</f>
        <v/>
      </c>
    </row>
    <row r="950">
      <c r="A950" s="14" t="n"/>
      <c r="B950" s="36" t="n"/>
      <c r="C950" s="36" t="n"/>
      <c r="D950" s="36" t="n"/>
      <c r="E950" s="14" t="n"/>
      <c r="F950" s="29" t="n"/>
      <c r="G950" s="29" t="n"/>
      <c r="H950" s="29" t="n"/>
      <c r="I950" s="29" t="n"/>
      <c r="J950" s="29" t="n"/>
      <c r="K950" s="14" t="n"/>
      <c r="L950" s="29" t="n"/>
      <c r="M950" s="14" t="n"/>
      <c r="N950" s="29" t="n"/>
      <c r="O950" s="13" t="n"/>
      <c r="P950" s="13" t="n"/>
      <c r="Q950" s="35" t="n"/>
      <c r="R950" s="35" t="n"/>
      <c r="S950" s="35" t="n"/>
      <c r="T950" s="35" t="n"/>
      <c r="U950" s="35" t="n"/>
      <c r="V950" s="18">
        <f>IF(COUNTA($B950:$R950)=0,"",ROUND(N($R950)+N($S950)+N($T950)-N($U950),2))</f>
        <v/>
      </c>
      <c r="W950" s="18">
        <f>IF(COUNTA($B950:$R950)=0,"",IF(OR($X950="Pago",$X950="Recebido",$X950="Cancelado"),0,ROUND(N($Q950)+N($S950)+N($T950)-N($U950)-N($R950),2)))</f>
        <v/>
      </c>
      <c r="X950" s="14" t="n"/>
      <c r="Y950" s="17">
        <f>IF(COUNTA($B950:$R950)=0,"",IF($X950="Cancelado","Cancelado",IF(OR($X950="Pago",$X950="Recebido"),$X950,IF(OR($X950="Parcial",N($R950)&gt;0),"Parcial",IF($C950="","Sem vencimento",IF($C950&lt;TODAY(),"Vencido",IF($C950=TODAY(),"Vence hoje",IF($C950&lt;=TODAY()+7,"Vence em 7 dias",IF($C950&lt;=TODAY()+30,"Vence em 30 dias","Futuro")))))))))</f>
        <v/>
      </c>
      <c r="Z950" s="24">
        <f>IF($B950="","",MONTH($B950))</f>
        <v/>
      </c>
      <c r="AA950" s="24">
        <f>IF($B950="","",YEAR($B950))</f>
        <v/>
      </c>
      <c r="AB950" s="24">
        <f>IF($B950="","",ISOWEEKNUM($B950))</f>
        <v/>
      </c>
      <c r="AC950" s="17">
        <f>IF($B950="","",CHOOSE(WEEKDAY($B950,2),"Segunda","Terça","Quarta","Quinta","Sexta","Sábado","Domingo"))</f>
        <v/>
      </c>
      <c r="AD950" s="17">
        <f>IF($B950="","",TEXT($B950,"MM/AAAA"))</f>
        <v/>
      </c>
      <c r="AE950" s="18">
        <f>IF(COUNTA($B950:$R950)=0,"",IF($X950="Cancelado",0,ROUND(N($Q950)+N($S950)+N($T950)-N($U950),2)))</f>
        <v/>
      </c>
      <c r="AF950" s="9">
        <f>IF($G950="","",IFERROR(INDEX(LINHAS_DRE_PLANO,MATCH($G950,SUBCATEGORIAS_PLANO,0)),"Não classificado"))</f>
        <v/>
      </c>
      <c r="AG950" s="17">
        <f>IF($G950="","",IFERROR(INDEX(TIPOS_FLUXO_PLANO,MATCH($G950,SUBCATEGORIAS_PLANO,0)),"Não classificado"))</f>
        <v/>
      </c>
      <c r="AH950" s="9">
        <f>IF($G950="","",IFERROR(INDEX(GRUPOS_PLANO,MATCH($G950,SUBCATEGORIAS_PLANO,0)),"Não classificado"))</f>
        <v/>
      </c>
      <c r="AI950" s="24">
        <f>IF(OR($C950="",$X950="Pago",$X950="Recebido",$X950="Cancelado"),"",$C950-TODAY())</f>
        <v/>
      </c>
      <c r="AJ950" s="24">
        <f>IF(OR($C950="",$X950="Pago",$X950="Recebido",$X950="Cancelado"),0,MAX(0,TODAY()-$C950))</f>
        <v/>
      </c>
      <c r="AK950" s="24">
        <f>IF($D950="","",$D950-$B950)</f>
        <v/>
      </c>
      <c r="AL950" s="18">
        <f>IF(OR($D950="",$B950=""),"",ROUND(N($R950)*($D950-$B950),2))</f>
        <v/>
      </c>
      <c r="AM950" s="17">
        <f>IF(AND($E950="Saída",$W950&gt;0,$C950&lt;&gt;""),$C950+ROW()/1000000,"")</f>
        <v/>
      </c>
      <c r="AN950" s="17">
        <f>IF(AND($E950="Entrada",$W950&gt;0,$C950&lt;&gt;""),$C950+ROW()/1000000,"")</f>
        <v/>
      </c>
      <c r="AO950" s="9">
        <f>IF(COUNTA($B950:$R950)=0,"",IF(AND($I950&lt;&gt;"",COUNTIF(CLIENTES_NOMES,$I950)+COUNTIF(CLIENTES_FANTASIA,$I950)+COUNTIF(FORNECEDORES_NOMES,$I950)+COUNTIF(FORNECEDORES_FANTASIA,$I950)=0),"⚠ Cliente/Fornecedor não cadastrado",IF(AND($G950&lt;&gt;"",COUNTIF(SUBCATEGORIAS_PLANO,$G950)=0),"⚠ Subcategoria fora do plano de contas",IF(OR($Q950="",N($Q950)=0),"⚠ Valor previsto não informado",IF(AND(OR($X950="Pago",$X950="Recebido"),$D950=""),"⚠ Status pago/recebido sem data",IF(AND($D950&lt;&gt;"",N($R950)=0),"⚠ Data de pagamento sem valor realizado",IF(AND(N($P950)&gt;1,N($O950)&gt;N($P950)),"⚠ Nº da parcela maior que o total",IF(AND($C950&lt;&gt;"",$B950&lt;&gt;"",$C950&lt;$B950),"⚠ Vencimento anterior à competência","OK"))))))))</f>
        <v/>
      </c>
    </row>
    <row r="951">
      <c r="A951" s="14" t="n"/>
      <c r="B951" s="36" t="n"/>
      <c r="C951" s="36" t="n"/>
      <c r="D951" s="36" t="n"/>
      <c r="E951" s="14" t="n"/>
      <c r="F951" s="29" t="n"/>
      <c r="G951" s="29" t="n"/>
      <c r="H951" s="29" t="n"/>
      <c r="I951" s="29" t="n"/>
      <c r="J951" s="29" t="n"/>
      <c r="K951" s="14" t="n"/>
      <c r="L951" s="29" t="n"/>
      <c r="M951" s="14" t="n"/>
      <c r="N951" s="29" t="n"/>
      <c r="O951" s="13" t="n"/>
      <c r="P951" s="13" t="n"/>
      <c r="Q951" s="35" t="n"/>
      <c r="R951" s="35" t="n"/>
      <c r="S951" s="35" t="n"/>
      <c r="T951" s="35" t="n"/>
      <c r="U951" s="35" t="n"/>
      <c r="V951" s="18">
        <f>IF(COUNTA($B951:$R951)=0,"",ROUND(N($R951)+N($S951)+N($T951)-N($U951),2))</f>
        <v/>
      </c>
      <c r="W951" s="18">
        <f>IF(COUNTA($B951:$R951)=0,"",IF(OR($X951="Pago",$X951="Recebido",$X951="Cancelado"),0,ROUND(N($Q951)+N($S951)+N($T951)-N($U951)-N($R951),2)))</f>
        <v/>
      </c>
      <c r="X951" s="14" t="n"/>
      <c r="Y951" s="17">
        <f>IF(COUNTA($B951:$R951)=0,"",IF($X951="Cancelado","Cancelado",IF(OR($X951="Pago",$X951="Recebido"),$X951,IF(OR($X951="Parcial",N($R951)&gt;0),"Parcial",IF($C951="","Sem vencimento",IF($C951&lt;TODAY(),"Vencido",IF($C951=TODAY(),"Vence hoje",IF($C951&lt;=TODAY()+7,"Vence em 7 dias",IF($C951&lt;=TODAY()+30,"Vence em 30 dias","Futuro")))))))))</f>
        <v/>
      </c>
      <c r="Z951" s="24">
        <f>IF($B951="","",MONTH($B951))</f>
        <v/>
      </c>
      <c r="AA951" s="24">
        <f>IF($B951="","",YEAR($B951))</f>
        <v/>
      </c>
      <c r="AB951" s="24">
        <f>IF($B951="","",ISOWEEKNUM($B951))</f>
        <v/>
      </c>
      <c r="AC951" s="17">
        <f>IF($B951="","",CHOOSE(WEEKDAY($B951,2),"Segunda","Terça","Quarta","Quinta","Sexta","Sábado","Domingo"))</f>
        <v/>
      </c>
      <c r="AD951" s="17">
        <f>IF($B951="","",TEXT($B951,"MM/AAAA"))</f>
        <v/>
      </c>
      <c r="AE951" s="18">
        <f>IF(COUNTA($B951:$R951)=0,"",IF($X951="Cancelado",0,ROUND(N($Q951)+N($S951)+N($T951)-N($U951),2)))</f>
        <v/>
      </c>
      <c r="AF951" s="9">
        <f>IF($G951="","",IFERROR(INDEX(LINHAS_DRE_PLANO,MATCH($G951,SUBCATEGORIAS_PLANO,0)),"Não classificado"))</f>
        <v/>
      </c>
      <c r="AG951" s="17">
        <f>IF($G951="","",IFERROR(INDEX(TIPOS_FLUXO_PLANO,MATCH($G951,SUBCATEGORIAS_PLANO,0)),"Não classificado"))</f>
        <v/>
      </c>
      <c r="AH951" s="9">
        <f>IF($G951="","",IFERROR(INDEX(GRUPOS_PLANO,MATCH($G951,SUBCATEGORIAS_PLANO,0)),"Não classificado"))</f>
        <v/>
      </c>
      <c r="AI951" s="24">
        <f>IF(OR($C951="",$X951="Pago",$X951="Recebido",$X951="Cancelado"),"",$C951-TODAY())</f>
        <v/>
      </c>
      <c r="AJ951" s="24">
        <f>IF(OR($C951="",$X951="Pago",$X951="Recebido",$X951="Cancelado"),0,MAX(0,TODAY()-$C951))</f>
        <v/>
      </c>
      <c r="AK951" s="24">
        <f>IF($D951="","",$D951-$B951)</f>
        <v/>
      </c>
      <c r="AL951" s="18">
        <f>IF(OR($D951="",$B951=""),"",ROUND(N($R951)*($D951-$B951),2))</f>
        <v/>
      </c>
      <c r="AM951" s="17">
        <f>IF(AND($E951="Saída",$W951&gt;0,$C951&lt;&gt;""),$C951+ROW()/1000000,"")</f>
        <v/>
      </c>
      <c r="AN951" s="17">
        <f>IF(AND($E951="Entrada",$W951&gt;0,$C951&lt;&gt;""),$C951+ROW()/1000000,"")</f>
        <v/>
      </c>
      <c r="AO951" s="9">
        <f>IF(COUNTA($B951:$R951)=0,"",IF(AND($I951&lt;&gt;"",COUNTIF(CLIENTES_NOMES,$I951)+COUNTIF(CLIENTES_FANTASIA,$I951)+COUNTIF(FORNECEDORES_NOMES,$I951)+COUNTIF(FORNECEDORES_FANTASIA,$I951)=0),"⚠ Cliente/Fornecedor não cadastrado",IF(AND($G951&lt;&gt;"",COUNTIF(SUBCATEGORIAS_PLANO,$G951)=0),"⚠ Subcategoria fora do plano de contas",IF(OR($Q951="",N($Q951)=0),"⚠ Valor previsto não informado",IF(AND(OR($X951="Pago",$X951="Recebido"),$D951=""),"⚠ Status pago/recebido sem data",IF(AND($D951&lt;&gt;"",N($R951)=0),"⚠ Data de pagamento sem valor realizado",IF(AND(N($P951)&gt;1,N($O951)&gt;N($P951)),"⚠ Nº da parcela maior que o total",IF(AND($C951&lt;&gt;"",$B951&lt;&gt;"",$C951&lt;$B951),"⚠ Vencimento anterior à competência","OK"))))))))</f>
        <v/>
      </c>
    </row>
    <row r="952">
      <c r="A952" s="14" t="n"/>
      <c r="B952" s="36" t="n"/>
      <c r="C952" s="36" t="n"/>
      <c r="D952" s="36" t="n"/>
      <c r="E952" s="14" t="n"/>
      <c r="F952" s="29" t="n"/>
      <c r="G952" s="29" t="n"/>
      <c r="H952" s="29" t="n"/>
      <c r="I952" s="29" t="n"/>
      <c r="J952" s="29" t="n"/>
      <c r="K952" s="14" t="n"/>
      <c r="L952" s="29" t="n"/>
      <c r="M952" s="14" t="n"/>
      <c r="N952" s="29" t="n"/>
      <c r="O952" s="13" t="n"/>
      <c r="P952" s="13" t="n"/>
      <c r="Q952" s="35" t="n"/>
      <c r="R952" s="35" t="n"/>
      <c r="S952" s="35" t="n"/>
      <c r="T952" s="35" t="n"/>
      <c r="U952" s="35" t="n"/>
      <c r="V952" s="18">
        <f>IF(COUNTA($B952:$R952)=0,"",ROUND(N($R952)+N($S952)+N($T952)-N($U952),2))</f>
        <v/>
      </c>
      <c r="W952" s="18">
        <f>IF(COUNTA($B952:$R952)=0,"",IF(OR($X952="Pago",$X952="Recebido",$X952="Cancelado"),0,ROUND(N($Q952)+N($S952)+N($T952)-N($U952)-N($R952),2)))</f>
        <v/>
      </c>
      <c r="X952" s="14" t="n"/>
      <c r="Y952" s="17">
        <f>IF(COUNTA($B952:$R952)=0,"",IF($X952="Cancelado","Cancelado",IF(OR($X952="Pago",$X952="Recebido"),$X952,IF(OR($X952="Parcial",N($R952)&gt;0),"Parcial",IF($C952="","Sem vencimento",IF($C952&lt;TODAY(),"Vencido",IF($C952=TODAY(),"Vence hoje",IF($C952&lt;=TODAY()+7,"Vence em 7 dias",IF($C952&lt;=TODAY()+30,"Vence em 30 dias","Futuro")))))))))</f>
        <v/>
      </c>
      <c r="Z952" s="24">
        <f>IF($B952="","",MONTH($B952))</f>
        <v/>
      </c>
      <c r="AA952" s="24">
        <f>IF($B952="","",YEAR($B952))</f>
        <v/>
      </c>
      <c r="AB952" s="24">
        <f>IF($B952="","",ISOWEEKNUM($B952))</f>
        <v/>
      </c>
      <c r="AC952" s="17">
        <f>IF($B952="","",CHOOSE(WEEKDAY($B952,2),"Segunda","Terça","Quarta","Quinta","Sexta","Sábado","Domingo"))</f>
        <v/>
      </c>
      <c r="AD952" s="17">
        <f>IF($B952="","",TEXT($B952,"MM/AAAA"))</f>
        <v/>
      </c>
      <c r="AE952" s="18">
        <f>IF(COUNTA($B952:$R952)=0,"",IF($X952="Cancelado",0,ROUND(N($Q952)+N($S952)+N($T952)-N($U952),2)))</f>
        <v/>
      </c>
      <c r="AF952" s="9">
        <f>IF($G952="","",IFERROR(INDEX(LINHAS_DRE_PLANO,MATCH($G952,SUBCATEGORIAS_PLANO,0)),"Não classificado"))</f>
        <v/>
      </c>
      <c r="AG952" s="17">
        <f>IF($G952="","",IFERROR(INDEX(TIPOS_FLUXO_PLANO,MATCH($G952,SUBCATEGORIAS_PLANO,0)),"Não classificado"))</f>
        <v/>
      </c>
      <c r="AH952" s="9">
        <f>IF($G952="","",IFERROR(INDEX(GRUPOS_PLANO,MATCH($G952,SUBCATEGORIAS_PLANO,0)),"Não classificado"))</f>
        <v/>
      </c>
      <c r="AI952" s="24">
        <f>IF(OR($C952="",$X952="Pago",$X952="Recebido",$X952="Cancelado"),"",$C952-TODAY())</f>
        <v/>
      </c>
      <c r="AJ952" s="24">
        <f>IF(OR($C952="",$X952="Pago",$X952="Recebido",$X952="Cancelado"),0,MAX(0,TODAY()-$C952))</f>
        <v/>
      </c>
      <c r="AK952" s="24">
        <f>IF($D952="","",$D952-$B952)</f>
        <v/>
      </c>
      <c r="AL952" s="18">
        <f>IF(OR($D952="",$B952=""),"",ROUND(N($R952)*($D952-$B952),2))</f>
        <v/>
      </c>
      <c r="AM952" s="17">
        <f>IF(AND($E952="Saída",$W952&gt;0,$C952&lt;&gt;""),$C952+ROW()/1000000,"")</f>
        <v/>
      </c>
      <c r="AN952" s="17">
        <f>IF(AND($E952="Entrada",$W952&gt;0,$C952&lt;&gt;""),$C952+ROW()/1000000,"")</f>
        <v/>
      </c>
      <c r="AO952" s="9">
        <f>IF(COUNTA($B952:$R952)=0,"",IF(AND($I952&lt;&gt;"",COUNTIF(CLIENTES_NOMES,$I952)+COUNTIF(CLIENTES_FANTASIA,$I952)+COUNTIF(FORNECEDORES_NOMES,$I952)+COUNTIF(FORNECEDORES_FANTASIA,$I952)=0),"⚠ Cliente/Fornecedor não cadastrado",IF(AND($G952&lt;&gt;"",COUNTIF(SUBCATEGORIAS_PLANO,$G952)=0),"⚠ Subcategoria fora do plano de contas",IF(OR($Q952="",N($Q952)=0),"⚠ Valor previsto não informado",IF(AND(OR($X952="Pago",$X952="Recebido"),$D952=""),"⚠ Status pago/recebido sem data",IF(AND($D952&lt;&gt;"",N($R952)=0),"⚠ Data de pagamento sem valor realizado",IF(AND(N($P952)&gt;1,N($O952)&gt;N($P952)),"⚠ Nº da parcela maior que o total",IF(AND($C952&lt;&gt;"",$B952&lt;&gt;"",$C952&lt;$B952),"⚠ Vencimento anterior à competência","OK"))))))))</f>
        <v/>
      </c>
    </row>
    <row r="953">
      <c r="A953" s="14" t="n"/>
      <c r="B953" s="36" t="n"/>
      <c r="C953" s="36" t="n"/>
      <c r="D953" s="36" t="n"/>
      <c r="E953" s="14" t="n"/>
      <c r="F953" s="29" t="n"/>
      <c r="G953" s="29" t="n"/>
      <c r="H953" s="29" t="n"/>
      <c r="I953" s="29" t="n"/>
      <c r="J953" s="29" t="n"/>
      <c r="K953" s="14" t="n"/>
      <c r="L953" s="29" t="n"/>
      <c r="M953" s="14" t="n"/>
      <c r="N953" s="29" t="n"/>
      <c r="O953" s="13" t="n"/>
      <c r="P953" s="13" t="n"/>
      <c r="Q953" s="35" t="n"/>
      <c r="R953" s="35" t="n"/>
      <c r="S953" s="35" t="n"/>
      <c r="T953" s="35" t="n"/>
      <c r="U953" s="35" t="n"/>
      <c r="V953" s="18">
        <f>IF(COUNTA($B953:$R953)=0,"",ROUND(N($R953)+N($S953)+N($T953)-N($U953),2))</f>
        <v/>
      </c>
      <c r="W953" s="18">
        <f>IF(COUNTA($B953:$R953)=0,"",IF(OR($X953="Pago",$X953="Recebido",$X953="Cancelado"),0,ROUND(N($Q953)+N($S953)+N($T953)-N($U953)-N($R953),2)))</f>
        <v/>
      </c>
      <c r="X953" s="14" t="n"/>
      <c r="Y953" s="17">
        <f>IF(COUNTA($B953:$R953)=0,"",IF($X953="Cancelado","Cancelado",IF(OR($X953="Pago",$X953="Recebido"),$X953,IF(OR($X953="Parcial",N($R953)&gt;0),"Parcial",IF($C953="","Sem vencimento",IF($C953&lt;TODAY(),"Vencido",IF($C953=TODAY(),"Vence hoje",IF($C953&lt;=TODAY()+7,"Vence em 7 dias",IF($C953&lt;=TODAY()+30,"Vence em 30 dias","Futuro")))))))))</f>
        <v/>
      </c>
      <c r="Z953" s="24">
        <f>IF($B953="","",MONTH($B953))</f>
        <v/>
      </c>
      <c r="AA953" s="24">
        <f>IF($B953="","",YEAR($B953))</f>
        <v/>
      </c>
      <c r="AB953" s="24">
        <f>IF($B953="","",ISOWEEKNUM($B953))</f>
        <v/>
      </c>
      <c r="AC953" s="17">
        <f>IF($B953="","",CHOOSE(WEEKDAY($B953,2),"Segunda","Terça","Quarta","Quinta","Sexta","Sábado","Domingo"))</f>
        <v/>
      </c>
      <c r="AD953" s="17">
        <f>IF($B953="","",TEXT($B953,"MM/AAAA"))</f>
        <v/>
      </c>
      <c r="AE953" s="18">
        <f>IF(COUNTA($B953:$R953)=0,"",IF($X953="Cancelado",0,ROUND(N($Q953)+N($S953)+N($T953)-N($U953),2)))</f>
        <v/>
      </c>
      <c r="AF953" s="9">
        <f>IF($G953="","",IFERROR(INDEX(LINHAS_DRE_PLANO,MATCH($G953,SUBCATEGORIAS_PLANO,0)),"Não classificado"))</f>
        <v/>
      </c>
      <c r="AG953" s="17">
        <f>IF($G953="","",IFERROR(INDEX(TIPOS_FLUXO_PLANO,MATCH($G953,SUBCATEGORIAS_PLANO,0)),"Não classificado"))</f>
        <v/>
      </c>
      <c r="AH953" s="9">
        <f>IF($G953="","",IFERROR(INDEX(GRUPOS_PLANO,MATCH($G953,SUBCATEGORIAS_PLANO,0)),"Não classificado"))</f>
        <v/>
      </c>
      <c r="AI953" s="24">
        <f>IF(OR($C953="",$X953="Pago",$X953="Recebido",$X953="Cancelado"),"",$C953-TODAY())</f>
        <v/>
      </c>
      <c r="AJ953" s="24">
        <f>IF(OR($C953="",$X953="Pago",$X953="Recebido",$X953="Cancelado"),0,MAX(0,TODAY()-$C953))</f>
        <v/>
      </c>
      <c r="AK953" s="24">
        <f>IF($D953="","",$D953-$B953)</f>
        <v/>
      </c>
      <c r="AL953" s="18">
        <f>IF(OR($D953="",$B953=""),"",ROUND(N($R953)*($D953-$B953),2))</f>
        <v/>
      </c>
      <c r="AM953" s="17">
        <f>IF(AND($E953="Saída",$W953&gt;0,$C953&lt;&gt;""),$C953+ROW()/1000000,"")</f>
        <v/>
      </c>
      <c r="AN953" s="17">
        <f>IF(AND($E953="Entrada",$W953&gt;0,$C953&lt;&gt;""),$C953+ROW()/1000000,"")</f>
        <v/>
      </c>
      <c r="AO953" s="9">
        <f>IF(COUNTA($B953:$R953)=0,"",IF(AND($I953&lt;&gt;"",COUNTIF(CLIENTES_NOMES,$I953)+COUNTIF(CLIENTES_FANTASIA,$I953)+COUNTIF(FORNECEDORES_NOMES,$I953)+COUNTIF(FORNECEDORES_FANTASIA,$I953)=0),"⚠ Cliente/Fornecedor não cadastrado",IF(AND($G953&lt;&gt;"",COUNTIF(SUBCATEGORIAS_PLANO,$G953)=0),"⚠ Subcategoria fora do plano de contas",IF(OR($Q953="",N($Q953)=0),"⚠ Valor previsto não informado",IF(AND(OR($X953="Pago",$X953="Recebido"),$D953=""),"⚠ Status pago/recebido sem data",IF(AND($D953&lt;&gt;"",N($R953)=0),"⚠ Data de pagamento sem valor realizado",IF(AND(N($P953)&gt;1,N($O953)&gt;N($P953)),"⚠ Nº da parcela maior que o total",IF(AND($C953&lt;&gt;"",$B953&lt;&gt;"",$C953&lt;$B953),"⚠ Vencimento anterior à competência","OK"))))))))</f>
        <v/>
      </c>
    </row>
    <row r="954">
      <c r="A954" s="14" t="n"/>
      <c r="B954" s="36" t="n"/>
      <c r="C954" s="36" t="n"/>
      <c r="D954" s="36" t="n"/>
      <c r="E954" s="14" t="n"/>
      <c r="F954" s="29" t="n"/>
      <c r="G954" s="29" t="n"/>
      <c r="H954" s="29" t="n"/>
      <c r="I954" s="29" t="n"/>
      <c r="J954" s="29" t="n"/>
      <c r="K954" s="14" t="n"/>
      <c r="L954" s="29" t="n"/>
      <c r="M954" s="14" t="n"/>
      <c r="N954" s="29" t="n"/>
      <c r="O954" s="13" t="n"/>
      <c r="P954" s="13" t="n"/>
      <c r="Q954" s="35" t="n"/>
      <c r="R954" s="35" t="n"/>
      <c r="S954" s="35" t="n"/>
      <c r="T954" s="35" t="n"/>
      <c r="U954" s="35" t="n"/>
      <c r="V954" s="18">
        <f>IF(COUNTA($B954:$R954)=0,"",ROUND(N($R954)+N($S954)+N($T954)-N($U954),2))</f>
        <v/>
      </c>
      <c r="W954" s="18">
        <f>IF(COUNTA($B954:$R954)=0,"",IF(OR($X954="Pago",$X954="Recebido",$X954="Cancelado"),0,ROUND(N($Q954)+N($S954)+N($T954)-N($U954)-N($R954),2)))</f>
        <v/>
      </c>
      <c r="X954" s="14" t="n"/>
      <c r="Y954" s="17">
        <f>IF(COUNTA($B954:$R954)=0,"",IF($X954="Cancelado","Cancelado",IF(OR($X954="Pago",$X954="Recebido"),$X954,IF(OR($X954="Parcial",N($R954)&gt;0),"Parcial",IF($C954="","Sem vencimento",IF($C954&lt;TODAY(),"Vencido",IF($C954=TODAY(),"Vence hoje",IF($C954&lt;=TODAY()+7,"Vence em 7 dias",IF($C954&lt;=TODAY()+30,"Vence em 30 dias","Futuro")))))))))</f>
        <v/>
      </c>
      <c r="Z954" s="24">
        <f>IF($B954="","",MONTH($B954))</f>
        <v/>
      </c>
      <c r="AA954" s="24">
        <f>IF($B954="","",YEAR($B954))</f>
        <v/>
      </c>
      <c r="AB954" s="24">
        <f>IF($B954="","",ISOWEEKNUM($B954))</f>
        <v/>
      </c>
      <c r="AC954" s="17">
        <f>IF($B954="","",CHOOSE(WEEKDAY($B954,2),"Segunda","Terça","Quarta","Quinta","Sexta","Sábado","Domingo"))</f>
        <v/>
      </c>
      <c r="AD954" s="17">
        <f>IF($B954="","",TEXT($B954,"MM/AAAA"))</f>
        <v/>
      </c>
      <c r="AE954" s="18">
        <f>IF(COUNTA($B954:$R954)=0,"",IF($X954="Cancelado",0,ROUND(N($Q954)+N($S954)+N($T954)-N($U954),2)))</f>
        <v/>
      </c>
      <c r="AF954" s="9">
        <f>IF($G954="","",IFERROR(INDEX(LINHAS_DRE_PLANO,MATCH($G954,SUBCATEGORIAS_PLANO,0)),"Não classificado"))</f>
        <v/>
      </c>
      <c r="AG954" s="17">
        <f>IF($G954="","",IFERROR(INDEX(TIPOS_FLUXO_PLANO,MATCH($G954,SUBCATEGORIAS_PLANO,0)),"Não classificado"))</f>
        <v/>
      </c>
      <c r="AH954" s="9">
        <f>IF($G954="","",IFERROR(INDEX(GRUPOS_PLANO,MATCH($G954,SUBCATEGORIAS_PLANO,0)),"Não classificado"))</f>
        <v/>
      </c>
      <c r="AI954" s="24">
        <f>IF(OR($C954="",$X954="Pago",$X954="Recebido",$X954="Cancelado"),"",$C954-TODAY())</f>
        <v/>
      </c>
      <c r="AJ954" s="24">
        <f>IF(OR($C954="",$X954="Pago",$X954="Recebido",$X954="Cancelado"),0,MAX(0,TODAY()-$C954))</f>
        <v/>
      </c>
      <c r="AK954" s="24">
        <f>IF($D954="","",$D954-$B954)</f>
        <v/>
      </c>
      <c r="AL954" s="18">
        <f>IF(OR($D954="",$B954=""),"",ROUND(N($R954)*($D954-$B954),2))</f>
        <v/>
      </c>
      <c r="AM954" s="17">
        <f>IF(AND($E954="Saída",$W954&gt;0,$C954&lt;&gt;""),$C954+ROW()/1000000,"")</f>
        <v/>
      </c>
      <c r="AN954" s="17">
        <f>IF(AND($E954="Entrada",$W954&gt;0,$C954&lt;&gt;""),$C954+ROW()/1000000,"")</f>
        <v/>
      </c>
      <c r="AO954" s="9">
        <f>IF(COUNTA($B954:$R954)=0,"",IF(AND($I954&lt;&gt;"",COUNTIF(CLIENTES_NOMES,$I954)+COUNTIF(CLIENTES_FANTASIA,$I954)+COUNTIF(FORNECEDORES_NOMES,$I954)+COUNTIF(FORNECEDORES_FANTASIA,$I954)=0),"⚠ Cliente/Fornecedor não cadastrado",IF(AND($G954&lt;&gt;"",COUNTIF(SUBCATEGORIAS_PLANO,$G954)=0),"⚠ Subcategoria fora do plano de contas",IF(OR($Q954="",N($Q954)=0),"⚠ Valor previsto não informado",IF(AND(OR($X954="Pago",$X954="Recebido"),$D954=""),"⚠ Status pago/recebido sem data",IF(AND($D954&lt;&gt;"",N($R954)=0),"⚠ Data de pagamento sem valor realizado",IF(AND(N($P954)&gt;1,N($O954)&gt;N($P954)),"⚠ Nº da parcela maior que o total",IF(AND($C954&lt;&gt;"",$B954&lt;&gt;"",$C954&lt;$B954),"⚠ Vencimento anterior à competência","OK"))))))))</f>
        <v/>
      </c>
    </row>
    <row r="955">
      <c r="A955" s="14" t="n"/>
      <c r="B955" s="36" t="n"/>
      <c r="C955" s="36" t="n"/>
      <c r="D955" s="36" t="n"/>
      <c r="E955" s="14" t="n"/>
      <c r="F955" s="29" t="n"/>
      <c r="G955" s="29" t="n"/>
      <c r="H955" s="29" t="n"/>
      <c r="I955" s="29" t="n"/>
      <c r="J955" s="29" t="n"/>
      <c r="K955" s="14" t="n"/>
      <c r="L955" s="29" t="n"/>
      <c r="M955" s="14" t="n"/>
      <c r="N955" s="29" t="n"/>
      <c r="O955" s="13" t="n"/>
      <c r="P955" s="13" t="n"/>
      <c r="Q955" s="35" t="n"/>
      <c r="R955" s="35" t="n"/>
      <c r="S955" s="35" t="n"/>
      <c r="T955" s="35" t="n"/>
      <c r="U955" s="35" t="n"/>
      <c r="V955" s="18">
        <f>IF(COUNTA($B955:$R955)=0,"",ROUND(N($R955)+N($S955)+N($T955)-N($U955),2))</f>
        <v/>
      </c>
      <c r="W955" s="18">
        <f>IF(COUNTA($B955:$R955)=0,"",IF(OR($X955="Pago",$X955="Recebido",$X955="Cancelado"),0,ROUND(N($Q955)+N($S955)+N($T955)-N($U955)-N($R955),2)))</f>
        <v/>
      </c>
      <c r="X955" s="14" t="n"/>
      <c r="Y955" s="17">
        <f>IF(COUNTA($B955:$R955)=0,"",IF($X955="Cancelado","Cancelado",IF(OR($X955="Pago",$X955="Recebido"),$X955,IF(OR($X955="Parcial",N($R955)&gt;0),"Parcial",IF($C955="","Sem vencimento",IF($C955&lt;TODAY(),"Vencido",IF($C955=TODAY(),"Vence hoje",IF($C955&lt;=TODAY()+7,"Vence em 7 dias",IF($C955&lt;=TODAY()+30,"Vence em 30 dias","Futuro")))))))))</f>
        <v/>
      </c>
      <c r="Z955" s="24">
        <f>IF($B955="","",MONTH($B955))</f>
        <v/>
      </c>
      <c r="AA955" s="24">
        <f>IF($B955="","",YEAR($B955))</f>
        <v/>
      </c>
      <c r="AB955" s="24">
        <f>IF($B955="","",ISOWEEKNUM($B955))</f>
        <v/>
      </c>
      <c r="AC955" s="17">
        <f>IF($B955="","",CHOOSE(WEEKDAY($B955,2),"Segunda","Terça","Quarta","Quinta","Sexta","Sábado","Domingo"))</f>
        <v/>
      </c>
      <c r="AD955" s="17">
        <f>IF($B955="","",TEXT($B955,"MM/AAAA"))</f>
        <v/>
      </c>
      <c r="AE955" s="18">
        <f>IF(COUNTA($B955:$R955)=0,"",IF($X955="Cancelado",0,ROUND(N($Q955)+N($S955)+N($T955)-N($U955),2)))</f>
        <v/>
      </c>
      <c r="AF955" s="9">
        <f>IF($G955="","",IFERROR(INDEX(LINHAS_DRE_PLANO,MATCH($G955,SUBCATEGORIAS_PLANO,0)),"Não classificado"))</f>
        <v/>
      </c>
      <c r="AG955" s="17">
        <f>IF($G955="","",IFERROR(INDEX(TIPOS_FLUXO_PLANO,MATCH($G955,SUBCATEGORIAS_PLANO,0)),"Não classificado"))</f>
        <v/>
      </c>
      <c r="AH955" s="9">
        <f>IF($G955="","",IFERROR(INDEX(GRUPOS_PLANO,MATCH($G955,SUBCATEGORIAS_PLANO,0)),"Não classificado"))</f>
        <v/>
      </c>
      <c r="AI955" s="24">
        <f>IF(OR($C955="",$X955="Pago",$X955="Recebido",$X955="Cancelado"),"",$C955-TODAY())</f>
        <v/>
      </c>
      <c r="AJ955" s="24">
        <f>IF(OR($C955="",$X955="Pago",$X955="Recebido",$X955="Cancelado"),0,MAX(0,TODAY()-$C955))</f>
        <v/>
      </c>
      <c r="AK955" s="24">
        <f>IF($D955="","",$D955-$B955)</f>
        <v/>
      </c>
      <c r="AL955" s="18">
        <f>IF(OR($D955="",$B955=""),"",ROUND(N($R955)*($D955-$B955),2))</f>
        <v/>
      </c>
      <c r="AM955" s="17">
        <f>IF(AND($E955="Saída",$W955&gt;0,$C955&lt;&gt;""),$C955+ROW()/1000000,"")</f>
        <v/>
      </c>
      <c r="AN955" s="17">
        <f>IF(AND($E955="Entrada",$W955&gt;0,$C955&lt;&gt;""),$C955+ROW()/1000000,"")</f>
        <v/>
      </c>
      <c r="AO955" s="9">
        <f>IF(COUNTA($B955:$R955)=0,"",IF(AND($I955&lt;&gt;"",COUNTIF(CLIENTES_NOMES,$I955)+COUNTIF(CLIENTES_FANTASIA,$I955)+COUNTIF(FORNECEDORES_NOMES,$I955)+COUNTIF(FORNECEDORES_FANTASIA,$I955)=0),"⚠ Cliente/Fornecedor não cadastrado",IF(AND($G955&lt;&gt;"",COUNTIF(SUBCATEGORIAS_PLANO,$G955)=0),"⚠ Subcategoria fora do plano de contas",IF(OR($Q955="",N($Q955)=0),"⚠ Valor previsto não informado",IF(AND(OR($X955="Pago",$X955="Recebido"),$D955=""),"⚠ Status pago/recebido sem data",IF(AND($D955&lt;&gt;"",N($R955)=0),"⚠ Data de pagamento sem valor realizado",IF(AND(N($P955)&gt;1,N($O955)&gt;N($P955)),"⚠ Nº da parcela maior que o total",IF(AND($C955&lt;&gt;"",$B955&lt;&gt;"",$C955&lt;$B955),"⚠ Vencimento anterior à competência","OK"))))))))</f>
        <v/>
      </c>
    </row>
    <row r="956">
      <c r="A956" s="14" t="n"/>
      <c r="B956" s="36" t="n"/>
      <c r="C956" s="36" t="n"/>
      <c r="D956" s="36" t="n"/>
      <c r="E956" s="14" t="n"/>
      <c r="F956" s="29" t="n"/>
      <c r="G956" s="29" t="n"/>
      <c r="H956" s="29" t="n"/>
      <c r="I956" s="29" t="n"/>
      <c r="J956" s="29" t="n"/>
      <c r="K956" s="14" t="n"/>
      <c r="L956" s="29" t="n"/>
      <c r="M956" s="14" t="n"/>
      <c r="N956" s="29" t="n"/>
      <c r="O956" s="13" t="n"/>
      <c r="P956" s="13" t="n"/>
      <c r="Q956" s="35" t="n"/>
      <c r="R956" s="35" t="n"/>
      <c r="S956" s="35" t="n"/>
      <c r="T956" s="35" t="n"/>
      <c r="U956" s="35" t="n"/>
      <c r="V956" s="18">
        <f>IF(COUNTA($B956:$R956)=0,"",ROUND(N($R956)+N($S956)+N($T956)-N($U956),2))</f>
        <v/>
      </c>
      <c r="W956" s="18">
        <f>IF(COUNTA($B956:$R956)=0,"",IF(OR($X956="Pago",$X956="Recebido",$X956="Cancelado"),0,ROUND(N($Q956)+N($S956)+N($T956)-N($U956)-N($R956),2)))</f>
        <v/>
      </c>
      <c r="X956" s="14" t="n"/>
      <c r="Y956" s="17">
        <f>IF(COUNTA($B956:$R956)=0,"",IF($X956="Cancelado","Cancelado",IF(OR($X956="Pago",$X956="Recebido"),$X956,IF(OR($X956="Parcial",N($R956)&gt;0),"Parcial",IF($C956="","Sem vencimento",IF($C956&lt;TODAY(),"Vencido",IF($C956=TODAY(),"Vence hoje",IF($C956&lt;=TODAY()+7,"Vence em 7 dias",IF($C956&lt;=TODAY()+30,"Vence em 30 dias","Futuro")))))))))</f>
        <v/>
      </c>
      <c r="Z956" s="24">
        <f>IF($B956="","",MONTH($B956))</f>
        <v/>
      </c>
      <c r="AA956" s="24">
        <f>IF($B956="","",YEAR($B956))</f>
        <v/>
      </c>
      <c r="AB956" s="24">
        <f>IF($B956="","",ISOWEEKNUM($B956))</f>
        <v/>
      </c>
      <c r="AC956" s="17">
        <f>IF($B956="","",CHOOSE(WEEKDAY($B956,2),"Segunda","Terça","Quarta","Quinta","Sexta","Sábado","Domingo"))</f>
        <v/>
      </c>
      <c r="AD956" s="17">
        <f>IF($B956="","",TEXT($B956,"MM/AAAA"))</f>
        <v/>
      </c>
      <c r="AE956" s="18">
        <f>IF(COUNTA($B956:$R956)=0,"",IF($X956="Cancelado",0,ROUND(N($Q956)+N($S956)+N($T956)-N($U956),2)))</f>
        <v/>
      </c>
      <c r="AF956" s="9">
        <f>IF($G956="","",IFERROR(INDEX(LINHAS_DRE_PLANO,MATCH($G956,SUBCATEGORIAS_PLANO,0)),"Não classificado"))</f>
        <v/>
      </c>
      <c r="AG956" s="17">
        <f>IF($G956="","",IFERROR(INDEX(TIPOS_FLUXO_PLANO,MATCH($G956,SUBCATEGORIAS_PLANO,0)),"Não classificado"))</f>
        <v/>
      </c>
      <c r="AH956" s="9">
        <f>IF($G956="","",IFERROR(INDEX(GRUPOS_PLANO,MATCH($G956,SUBCATEGORIAS_PLANO,0)),"Não classificado"))</f>
        <v/>
      </c>
      <c r="AI956" s="24">
        <f>IF(OR($C956="",$X956="Pago",$X956="Recebido",$X956="Cancelado"),"",$C956-TODAY())</f>
        <v/>
      </c>
      <c r="AJ956" s="24">
        <f>IF(OR($C956="",$X956="Pago",$X956="Recebido",$X956="Cancelado"),0,MAX(0,TODAY()-$C956))</f>
        <v/>
      </c>
      <c r="AK956" s="24">
        <f>IF($D956="","",$D956-$B956)</f>
        <v/>
      </c>
      <c r="AL956" s="18">
        <f>IF(OR($D956="",$B956=""),"",ROUND(N($R956)*($D956-$B956),2))</f>
        <v/>
      </c>
      <c r="AM956" s="17">
        <f>IF(AND($E956="Saída",$W956&gt;0,$C956&lt;&gt;""),$C956+ROW()/1000000,"")</f>
        <v/>
      </c>
      <c r="AN956" s="17">
        <f>IF(AND($E956="Entrada",$W956&gt;0,$C956&lt;&gt;""),$C956+ROW()/1000000,"")</f>
        <v/>
      </c>
      <c r="AO956" s="9">
        <f>IF(COUNTA($B956:$R956)=0,"",IF(AND($I956&lt;&gt;"",COUNTIF(CLIENTES_NOMES,$I956)+COUNTIF(CLIENTES_FANTASIA,$I956)+COUNTIF(FORNECEDORES_NOMES,$I956)+COUNTIF(FORNECEDORES_FANTASIA,$I956)=0),"⚠ Cliente/Fornecedor não cadastrado",IF(AND($G956&lt;&gt;"",COUNTIF(SUBCATEGORIAS_PLANO,$G956)=0),"⚠ Subcategoria fora do plano de contas",IF(OR($Q956="",N($Q956)=0),"⚠ Valor previsto não informado",IF(AND(OR($X956="Pago",$X956="Recebido"),$D956=""),"⚠ Status pago/recebido sem data",IF(AND($D956&lt;&gt;"",N($R956)=0),"⚠ Data de pagamento sem valor realizado",IF(AND(N($P956)&gt;1,N($O956)&gt;N($P956)),"⚠ Nº da parcela maior que o total",IF(AND($C956&lt;&gt;"",$B956&lt;&gt;"",$C956&lt;$B956),"⚠ Vencimento anterior à competência","OK"))))))))</f>
        <v/>
      </c>
    </row>
    <row r="957">
      <c r="A957" s="14" t="n"/>
      <c r="B957" s="36" t="n"/>
      <c r="C957" s="36" t="n"/>
      <c r="D957" s="36" t="n"/>
      <c r="E957" s="14" t="n"/>
      <c r="F957" s="29" t="n"/>
      <c r="G957" s="29" t="n"/>
      <c r="H957" s="29" t="n"/>
      <c r="I957" s="29" t="n"/>
      <c r="J957" s="29" t="n"/>
      <c r="K957" s="14" t="n"/>
      <c r="L957" s="29" t="n"/>
      <c r="M957" s="14" t="n"/>
      <c r="N957" s="29" t="n"/>
      <c r="O957" s="13" t="n"/>
      <c r="P957" s="13" t="n"/>
      <c r="Q957" s="35" t="n"/>
      <c r="R957" s="35" t="n"/>
      <c r="S957" s="35" t="n"/>
      <c r="T957" s="35" t="n"/>
      <c r="U957" s="35" t="n"/>
      <c r="V957" s="18">
        <f>IF(COUNTA($B957:$R957)=0,"",ROUND(N($R957)+N($S957)+N($T957)-N($U957),2))</f>
        <v/>
      </c>
      <c r="W957" s="18">
        <f>IF(COUNTA($B957:$R957)=0,"",IF(OR($X957="Pago",$X957="Recebido",$X957="Cancelado"),0,ROUND(N($Q957)+N($S957)+N($T957)-N($U957)-N($R957),2)))</f>
        <v/>
      </c>
      <c r="X957" s="14" t="n"/>
      <c r="Y957" s="17">
        <f>IF(COUNTA($B957:$R957)=0,"",IF($X957="Cancelado","Cancelado",IF(OR($X957="Pago",$X957="Recebido"),$X957,IF(OR($X957="Parcial",N($R957)&gt;0),"Parcial",IF($C957="","Sem vencimento",IF($C957&lt;TODAY(),"Vencido",IF($C957=TODAY(),"Vence hoje",IF($C957&lt;=TODAY()+7,"Vence em 7 dias",IF($C957&lt;=TODAY()+30,"Vence em 30 dias","Futuro")))))))))</f>
        <v/>
      </c>
      <c r="Z957" s="24">
        <f>IF($B957="","",MONTH($B957))</f>
        <v/>
      </c>
      <c r="AA957" s="24">
        <f>IF($B957="","",YEAR($B957))</f>
        <v/>
      </c>
      <c r="AB957" s="24">
        <f>IF($B957="","",ISOWEEKNUM($B957))</f>
        <v/>
      </c>
      <c r="AC957" s="17">
        <f>IF($B957="","",CHOOSE(WEEKDAY($B957,2),"Segunda","Terça","Quarta","Quinta","Sexta","Sábado","Domingo"))</f>
        <v/>
      </c>
      <c r="AD957" s="17">
        <f>IF($B957="","",TEXT($B957,"MM/AAAA"))</f>
        <v/>
      </c>
      <c r="AE957" s="18">
        <f>IF(COUNTA($B957:$R957)=0,"",IF($X957="Cancelado",0,ROUND(N($Q957)+N($S957)+N($T957)-N($U957),2)))</f>
        <v/>
      </c>
      <c r="AF957" s="9">
        <f>IF($G957="","",IFERROR(INDEX(LINHAS_DRE_PLANO,MATCH($G957,SUBCATEGORIAS_PLANO,0)),"Não classificado"))</f>
        <v/>
      </c>
      <c r="AG957" s="17">
        <f>IF($G957="","",IFERROR(INDEX(TIPOS_FLUXO_PLANO,MATCH($G957,SUBCATEGORIAS_PLANO,0)),"Não classificado"))</f>
        <v/>
      </c>
      <c r="AH957" s="9">
        <f>IF($G957="","",IFERROR(INDEX(GRUPOS_PLANO,MATCH($G957,SUBCATEGORIAS_PLANO,0)),"Não classificado"))</f>
        <v/>
      </c>
      <c r="AI957" s="24">
        <f>IF(OR($C957="",$X957="Pago",$X957="Recebido",$X957="Cancelado"),"",$C957-TODAY())</f>
        <v/>
      </c>
      <c r="AJ957" s="24">
        <f>IF(OR($C957="",$X957="Pago",$X957="Recebido",$X957="Cancelado"),0,MAX(0,TODAY()-$C957))</f>
        <v/>
      </c>
      <c r="AK957" s="24">
        <f>IF($D957="","",$D957-$B957)</f>
        <v/>
      </c>
      <c r="AL957" s="18">
        <f>IF(OR($D957="",$B957=""),"",ROUND(N($R957)*($D957-$B957),2))</f>
        <v/>
      </c>
      <c r="AM957" s="17">
        <f>IF(AND($E957="Saída",$W957&gt;0,$C957&lt;&gt;""),$C957+ROW()/1000000,"")</f>
        <v/>
      </c>
      <c r="AN957" s="17">
        <f>IF(AND($E957="Entrada",$W957&gt;0,$C957&lt;&gt;""),$C957+ROW()/1000000,"")</f>
        <v/>
      </c>
      <c r="AO957" s="9">
        <f>IF(COUNTA($B957:$R957)=0,"",IF(AND($I957&lt;&gt;"",COUNTIF(CLIENTES_NOMES,$I957)+COUNTIF(CLIENTES_FANTASIA,$I957)+COUNTIF(FORNECEDORES_NOMES,$I957)+COUNTIF(FORNECEDORES_FANTASIA,$I957)=0),"⚠ Cliente/Fornecedor não cadastrado",IF(AND($G957&lt;&gt;"",COUNTIF(SUBCATEGORIAS_PLANO,$G957)=0),"⚠ Subcategoria fora do plano de contas",IF(OR($Q957="",N($Q957)=0),"⚠ Valor previsto não informado",IF(AND(OR($X957="Pago",$X957="Recebido"),$D957=""),"⚠ Status pago/recebido sem data",IF(AND($D957&lt;&gt;"",N($R957)=0),"⚠ Data de pagamento sem valor realizado",IF(AND(N($P957)&gt;1,N($O957)&gt;N($P957)),"⚠ Nº da parcela maior que o total",IF(AND($C957&lt;&gt;"",$B957&lt;&gt;"",$C957&lt;$B957),"⚠ Vencimento anterior à competência","OK"))))))))</f>
        <v/>
      </c>
    </row>
    <row r="958">
      <c r="A958" s="14" t="n"/>
      <c r="B958" s="36" t="n"/>
      <c r="C958" s="36" t="n"/>
      <c r="D958" s="36" t="n"/>
      <c r="E958" s="14" t="n"/>
      <c r="F958" s="29" t="n"/>
      <c r="G958" s="29" t="n"/>
      <c r="H958" s="29" t="n"/>
      <c r="I958" s="29" t="n"/>
      <c r="J958" s="29" t="n"/>
      <c r="K958" s="14" t="n"/>
      <c r="L958" s="29" t="n"/>
      <c r="M958" s="14" t="n"/>
      <c r="N958" s="29" t="n"/>
      <c r="O958" s="13" t="n"/>
      <c r="P958" s="13" t="n"/>
      <c r="Q958" s="35" t="n"/>
      <c r="R958" s="35" t="n"/>
      <c r="S958" s="35" t="n"/>
      <c r="T958" s="35" t="n"/>
      <c r="U958" s="35" t="n"/>
      <c r="V958" s="18">
        <f>IF(COUNTA($B958:$R958)=0,"",ROUND(N($R958)+N($S958)+N($T958)-N($U958),2))</f>
        <v/>
      </c>
      <c r="W958" s="18">
        <f>IF(COUNTA($B958:$R958)=0,"",IF(OR($X958="Pago",$X958="Recebido",$X958="Cancelado"),0,ROUND(N($Q958)+N($S958)+N($T958)-N($U958)-N($R958),2)))</f>
        <v/>
      </c>
      <c r="X958" s="14" t="n"/>
      <c r="Y958" s="17">
        <f>IF(COUNTA($B958:$R958)=0,"",IF($X958="Cancelado","Cancelado",IF(OR($X958="Pago",$X958="Recebido"),$X958,IF(OR($X958="Parcial",N($R958)&gt;0),"Parcial",IF($C958="","Sem vencimento",IF($C958&lt;TODAY(),"Vencido",IF($C958=TODAY(),"Vence hoje",IF($C958&lt;=TODAY()+7,"Vence em 7 dias",IF($C958&lt;=TODAY()+30,"Vence em 30 dias","Futuro")))))))))</f>
        <v/>
      </c>
      <c r="Z958" s="24">
        <f>IF($B958="","",MONTH($B958))</f>
        <v/>
      </c>
      <c r="AA958" s="24">
        <f>IF($B958="","",YEAR($B958))</f>
        <v/>
      </c>
      <c r="AB958" s="24">
        <f>IF($B958="","",ISOWEEKNUM($B958))</f>
        <v/>
      </c>
      <c r="AC958" s="17">
        <f>IF($B958="","",CHOOSE(WEEKDAY($B958,2),"Segunda","Terça","Quarta","Quinta","Sexta","Sábado","Domingo"))</f>
        <v/>
      </c>
      <c r="AD958" s="17">
        <f>IF($B958="","",TEXT($B958,"MM/AAAA"))</f>
        <v/>
      </c>
      <c r="AE958" s="18">
        <f>IF(COUNTA($B958:$R958)=0,"",IF($X958="Cancelado",0,ROUND(N($Q958)+N($S958)+N($T958)-N($U958),2)))</f>
        <v/>
      </c>
      <c r="AF958" s="9">
        <f>IF($G958="","",IFERROR(INDEX(LINHAS_DRE_PLANO,MATCH($G958,SUBCATEGORIAS_PLANO,0)),"Não classificado"))</f>
        <v/>
      </c>
      <c r="AG958" s="17">
        <f>IF($G958="","",IFERROR(INDEX(TIPOS_FLUXO_PLANO,MATCH($G958,SUBCATEGORIAS_PLANO,0)),"Não classificado"))</f>
        <v/>
      </c>
      <c r="AH958" s="9">
        <f>IF($G958="","",IFERROR(INDEX(GRUPOS_PLANO,MATCH($G958,SUBCATEGORIAS_PLANO,0)),"Não classificado"))</f>
        <v/>
      </c>
      <c r="AI958" s="24">
        <f>IF(OR($C958="",$X958="Pago",$X958="Recebido",$X958="Cancelado"),"",$C958-TODAY())</f>
        <v/>
      </c>
      <c r="AJ958" s="24">
        <f>IF(OR($C958="",$X958="Pago",$X958="Recebido",$X958="Cancelado"),0,MAX(0,TODAY()-$C958))</f>
        <v/>
      </c>
      <c r="AK958" s="24">
        <f>IF($D958="","",$D958-$B958)</f>
        <v/>
      </c>
      <c r="AL958" s="18">
        <f>IF(OR($D958="",$B958=""),"",ROUND(N($R958)*($D958-$B958),2))</f>
        <v/>
      </c>
      <c r="AM958" s="17">
        <f>IF(AND($E958="Saída",$W958&gt;0,$C958&lt;&gt;""),$C958+ROW()/1000000,"")</f>
        <v/>
      </c>
      <c r="AN958" s="17">
        <f>IF(AND($E958="Entrada",$W958&gt;0,$C958&lt;&gt;""),$C958+ROW()/1000000,"")</f>
        <v/>
      </c>
      <c r="AO958" s="9">
        <f>IF(COUNTA($B958:$R958)=0,"",IF(AND($I958&lt;&gt;"",COUNTIF(CLIENTES_NOMES,$I958)+COUNTIF(CLIENTES_FANTASIA,$I958)+COUNTIF(FORNECEDORES_NOMES,$I958)+COUNTIF(FORNECEDORES_FANTASIA,$I958)=0),"⚠ Cliente/Fornecedor não cadastrado",IF(AND($G958&lt;&gt;"",COUNTIF(SUBCATEGORIAS_PLANO,$G958)=0),"⚠ Subcategoria fora do plano de contas",IF(OR($Q958="",N($Q958)=0),"⚠ Valor previsto não informado",IF(AND(OR($X958="Pago",$X958="Recebido"),$D958=""),"⚠ Status pago/recebido sem data",IF(AND($D958&lt;&gt;"",N($R958)=0),"⚠ Data de pagamento sem valor realizado",IF(AND(N($P958)&gt;1,N($O958)&gt;N($P958)),"⚠ Nº da parcela maior que o total",IF(AND($C958&lt;&gt;"",$B958&lt;&gt;"",$C958&lt;$B958),"⚠ Vencimento anterior à competência","OK"))))))))</f>
        <v/>
      </c>
    </row>
    <row r="959">
      <c r="A959" s="14" t="n"/>
      <c r="B959" s="36" t="n"/>
      <c r="C959" s="36" t="n"/>
      <c r="D959" s="36" t="n"/>
      <c r="E959" s="14" t="n"/>
      <c r="F959" s="29" t="n"/>
      <c r="G959" s="29" t="n"/>
      <c r="H959" s="29" t="n"/>
      <c r="I959" s="29" t="n"/>
      <c r="J959" s="29" t="n"/>
      <c r="K959" s="14" t="n"/>
      <c r="L959" s="29" t="n"/>
      <c r="M959" s="14" t="n"/>
      <c r="N959" s="29" t="n"/>
      <c r="O959" s="13" t="n"/>
      <c r="P959" s="13" t="n"/>
      <c r="Q959" s="35" t="n"/>
      <c r="R959" s="35" t="n"/>
      <c r="S959" s="35" t="n"/>
      <c r="T959" s="35" t="n"/>
      <c r="U959" s="35" t="n"/>
      <c r="V959" s="18">
        <f>IF(COUNTA($B959:$R959)=0,"",ROUND(N($R959)+N($S959)+N($T959)-N($U959),2))</f>
        <v/>
      </c>
      <c r="W959" s="18">
        <f>IF(COUNTA($B959:$R959)=0,"",IF(OR($X959="Pago",$X959="Recebido",$X959="Cancelado"),0,ROUND(N($Q959)+N($S959)+N($T959)-N($U959)-N($R959),2)))</f>
        <v/>
      </c>
      <c r="X959" s="14" t="n"/>
      <c r="Y959" s="17">
        <f>IF(COUNTA($B959:$R959)=0,"",IF($X959="Cancelado","Cancelado",IF(OR($X959="Pago",$X959="Recebido"),$X959,IF(OR($X959="Parcial",N($R959)&gt;0),"Parcial",IF($C959="","Sem vencimento",IF($C959&lt;TODAY(),"Vencido",IF($C959=TODAY(),"Vence hoje",IF($C959&lt;=TODAY()+7,"Vence em 7 dias",IF($C959&lt;=TODAY()+30,"Vence em 30 dias","Futuro")))))))))</f>
        <v/>
      </c>
      <c r="Z959" s="24">
        <f>IF($B959="","",MONTH($B959))</f>
        <v/>
      </c>
      <c r="AA959" s="24">
        <f>IF($B959="","",YEAR($B959))</f>
        <v/>
      </c>
      <c r="AB959" s="24">
        <f>IF($B959="","",ISOWEEKNUM($B959))</f>
        <v/>
      </c>
      <c r="AC959" s="17">
        <f>IF($B959="","",CHOOSE(WEEKDAY($B959,2),"Segunda","Terça","Quarta","Quinta","Sexta","Sábado","Domingo"))</f>
        <v/>
      </c>
      <c r="AD959" s="17">
        <f>IF($B959="","",TEXT($B959,"MM/AAAA"))</f>
        <v/>
      </c>
      <c r="AE959" s="18">
        <f>IF(COUNTA($B959:$R959)=0,"",IF($X959="Cancelado",0,ROUND(N($Q959)+N($S959)+N($T959)-N($U959),2)))</f>
        <v/>
      </c>
      <c r="AF959" s="9">
        <f>IF($G959="","",IFERROR(INDEX(LINHAS_DRE_PLANO,MATCH($G959,SUBCATEGORIAS_PLANO,0)),"Não classificado"))</f>
        <v/>
      </c>
      <c r="AG959" s="17">
        <f>IF($G959="","",IFERROR(INDEX(TIPOS_FLUXO_PLANO,MATCH($G959,SUBCATEGORIAS_PLANO,0)),"Não classificado"))</f>
        <v/>
      </c>
      <c r="AH959" s="9">
        <f>IF($G959="","",IFERROR(INDEX(GRUPOS_PLANO,MATCH($G959,SUBCATEGORIAS_PLANO,0)),"Não classificado"))</f>
        <v/>
      </c>
      <c r="AI959" s="24">
        <f>IF(OR($C959="",$X959="Pago",$X959="Recebido",$X959="Cancelado"),"",$C959-TODAY())</f>
        <v/>
      </c>
      <c r="AJ959" s="24">
        <f>IF(OR($C959="",$X959="Pago",$X959="Recebido",$X959="Cancelado"),0,MAX(0,TODAY()-$C959))</f>
        <v/>
      </c>
      <c r="AK959" s="24">
        <f>IF($D959="","",$D959-$B959)</f>
        <v/>
      </c>
      <c r="AL959" s="18">
        <f>IF(OR($D959="",$B959=""),"",ROUND(N($R959)*($D959-$B959),2))</f>
        <v/>
      </c>
      <c r="AM959" s="17">
        <f>IF(AND($E959="Saída",$W959&gt;0,$C959&lt;&gt;""),$C959+ROW()/1000000,"")</f>
        <v/>
      </c>
      <c r="AN959" s="17">
        <f>IF(AND($E959="Entrada",$W959&gt;0,$C959&lt;&gt;""),$C959+ROW()/1000000,"")</f>
        <v/>
      </c>
      <c r="AO959" s="9">
        <f>IF(COUNTA($B959:$R959)=0,"",IF(AND($I959&lt;&gt;"",COUNTIF(CLIENTES_NOMES,$I959)+COUNTIF(CLIENTES_FANTASIA,$I959)+COUNTIF(FORNECEDORES_NOMES,$I959)+COUNTIF(FORNECEDORES_FANTASIA,$I959)=0),"⚠ Cliente/Fornecedor não cadastrado",IF(AND($G959&lt;&gt;"",COUNTIF(SUBCATEGORIAS_PLANO,$G959)=0),"⚠ Subcategoria fora do plano de contas",IF(OR($Q959="",N($Q959)=0),"⚠ Valor previsto não informado",IF(AND(OR($X959="Pago",$X959="Recebido"),$D959=""),"⚠ Status pago/recebido sem data",IF(AND($D959&lt;&gt;"",N($R959)=0),"⚠ Data de pagamento sem valor realizado",IF(AND(N($P959)&gt;1,N($O959)&gt;N($P959)),"⚠ Nº da parcela maior que o total",IF(AND($C959&lt;&gt;"",$B959&lt;&gt;"",$C959&lt;$B959),"⚠ Vencimento anterior à competência","OK"))))))))</f>
        <v/>
      </c>
    </row>
    <row r="960">
      <c r="A960" s="14" t="n"/>
      <c r="B960" s="36" t="n"/>
      <c r="C960" s="36" t="n"/>
      <c r="D960" s="36" t="n"/>
      <c r="E960" s="14" t="n"/>
      <c r="F960" s="29" t="n"/>
      <c r="G960" s="29" t="n"/>
      <c r="H960" s="29" t="n"/>
      <c r="I960" s="29" t="n"/>
      <c r="J960" s="29" t="n"/>
      <c r="K960" s="14" t="n"/>
      <c r="L960" s="29" t="n"/>
      <c r="M960" s="14" t="n"/>
      <c r="N960" s="29" t="n"/>
      <c r="O960" s="13" t="n"/>
      <c r="P960" s="13" t="n"/>
      <c r="Q960" s="35" t="n"/>
      <c r="R960" s="35" t="n"/>
      <c r="S960" s="35" t="n"/>
      <c r="T960" s="35" t="n"/>
      <c r="U960" s="35" t="n"/>
      <c r="V960" s="18">
        <f>IF(COUNTA($B960:$R960)=0,"",ROUND(N($R960)+N($S960)+N($T960)-N($U960),2))</f>
        <v/>
      </c>
      <c r="W960" s="18">
        <f>IF(COUNTA($B960:$R960)=0,"",IF(OR($X960="Pago",$X960="Recebido",$X960="Cancelado"),0,ROUND(N($Q960)+N($S960)+N($T960)-N($U960)-N($R960),2)))</f>
        <v/>
      </c>
      <c r="X960" s="14" t="n"/>
      <c r="Y960" s="17">
        <f>IF(COUNTA($B960:$R960)=0,"",IF($X960="Cancelado","Cancelado",IF(OR($X960="Pago",$X960="Recebido"),$X960,IF(OR($X960="Parcial",N($R960)&gt;0),"Parcial",IF($C960="","Sem vencimento",IF($C960&lt;TODAY(),"Vencido",IF($C960=TODAY(),"Vence hoje",IF($C960&lt;=TODAY()+7,"Vence em 7 dias",IF($C960&lt;=TODAY()+30,"Vence em 30 dias","Futuro")))))))))</f>
        <v/>
      </c>
      <c r="Z960" s="24">
        <f>IF($B960="","",MONTH($B960))</f>
        <v/>
      </c>
      <c r="AA960" s="24">
        <f>IF($B960="","",YEAR($B960))</f>
        <v/>
      </c>
      <c r="AB960" s="24">
        <f>IF($B960="","",ISOWEEKNUM($B960))</f>
        <v/>
      </c>
      <c r="AC960" s="17">
        <f>IF($B960="","",CHOOSE(WEEKDAY($B960,2),"Segunda","Terça","Quarta","Quinta","Sexta","Sábado","Domingo"))</f>
        <v/>
      </c>
      <c r="AD960" s="17">
        <f>IF($B960="","",TEXT($B960,"MM/AAAA"))</f>
        <v/>
      </c>
      <c r="AE960" s="18">
        <f>IF(COUNTA($B960:$R960)=0,"",IF($X960="Cancelado",0,ROUND(N($Q960)+N($S960)+N($T960)-N($U960),2)))</f>
        <v/>
      </c>
      <c r="AF960" s="9">
        <f>IF($G960="","",IFERROR(INDEX(LINHAS_DRE_PLANO,MATCH($G960,SUBCATEGORIAS_PLANO,0)),"Não classificado"))</f>
        <v/>
      </c>
      <c r="AG960" s="17">
        <f>IF($G960="","",IFERROR(INDEX(TIPOS_FLUXO_PLANO,MATCH($G960,SUBCATEGORIAS_PLANO,0)),"Não classificado"))</f>
        <v/>
      </c>
      <c r="AH960" s="9">
        <f>IF($G960="","",IFERROR(INDEX(GRUPOS_PLANO,MATCH($G960,SUBCATEGORIAS_PLANO,0)),"Não classificado"))</f>
        <v/>
      </c>
      <c r="AI960" s="24">
        <f>IF(OR($C960="",$X960="Pago",$X960="Recebido",$X960="Cancelado"),"",$C960-TODAY())</f>
        <v/>
      </c>
      <c r="AJ960" s="24">
        <f>IF(OR($C960="",$X960="Pago",$X960="Recebido",$X960="Cancelado"),0,MAX(0,TODAY()-$C960))</f>
        <v/>
      </c>
      <c r="AK960" s="24">
        <f>IF($D960="","",$D960-$B960)</f>
        <v/>
      </c>
      <c r="AL960" s="18">
        <f>IF(OR($D960="",$B960=""),"",ROUND(N($R960)*($D960-$B960),2))</f>
        <v/>
      </c>
      <c r="AM960" s="17">
        <f>IF(AND($E960="Saída",$W960&gt;0,$C960&lt;&gt;""),$C960+ROW()/1000000,"")</f>
        <v/>
      </c>
      <c r="AN960" s="17">
        <f>IF(AND($E960="Entrada",$W960&gt;0,$C960&lt;&gt;""),$C960+ROW()/1000000,"")</f>
        <v/>
      </c>
      <c r="AO960" s="9">
        <f>IF(COUNTA($B960:$R960)=0,"",IF(AND($I960&lt;&gt;"",COUNTIF(CLIENTES_NOMES,$I960)+COUNTIF(CLIENTES_FANTASIA,$I960)+COUNTIF(FORNECEDORES_NOMES,$I960)+COUNTIF(FORNECEDORES_FANTASIA,$I960)=0),"⚠ Cliente/Fornecedor não cadastrado",IF(AND($G960&lt;&gt;"",COUNTIF(SUBCATEGORIAS_PLANO,$G960)=0),"⚠ Subcategoria fora do plano de contas",IF(OR($Q960="",N($Q960)=0),"⚠ Valor previsto não informado",IF(AND(OR($X960="Pago",$X960="Recebido"),$D960=""),"⚠ Status pago/recebido sem data",IF(AND($D960&lt;&gt;"",N($R960)=0),"⚠ Data de pagamento sem valor realizado",IF(AND(N($P960)&gt;1,N($O960)&gt;N($P960)),"⚠ Nº da parcela maior que o total",IF(AND($C960&lt;&gt;"",$B960&lt;&gt;"",$C960&lt;$B960),"⚠ Vencimento anterior à competência","OK"))))))))</f>
        <v/>
      </c>
    </row>
    <row r="961">
      <c r="A961" s="14" t="n"/>
      <c r="B961" s="36" t="n"/>
      <c r="C961" s="36" t="n"/>
      <c r="D961" s="36" t="n"/>
      <c r="E961" s="14" t="n"/>
      <c r="F961" s="29" t="n"/>
      <c r="G961" s="29" t="n"/>
      <c r="H961" s="29" t="n"/>
      <c r="I961" s="29" t="n"/>
      <c r="J961" s="29" t="n"/>
      <c r="K961" s="14" t="n"/>
      <c r="L961" s="29" t="n"/>
      <c r="M961" s="14" t="n"/>
      <c r="N961" s="29" t="n"/>
      <c r="O961" s="13" t="n"/>
      <c r="P961" s="13" t="n"/>
      <c r="Q961" s="35" t="n"/>
      <c r="R961" s="35" t="n"/>
      <c r="S961" s="35" t="n"/>
      <c r="T961" s="35" t="n"/>
      <c r="U961" s="35" t="n"/>
      <c r="V961" s="18">
        <f>IF(COUNTA($B961:$R961)=0,"",ROUND(N($R961)+N($S961)+N($T961)-N($U961),2))</f>
        <v/>
      </c>
      <c r="W961" s="18">
        <f>IF(COUNTA($B961:$R961)=0,"",IF(OR($X961="Pago",$X961="Recebido",$X961="Cancelado"),0,ROUND(N($Q961)+N($S961)+N($T961)-N($U961)-N($R961),2)))</f>
        <v/>
      </c>
      <c r="X961" s="14" t="n"/>
      <c r="Y961" s="17">
        <f>IF(COUNTA($B961:$R961)=0,"",IF($X961="Cancelado","Cancelado",IF(OR($X961="Pago",$X961="Recebido"),$X961,IF(OR($X961="Parcial",N($R961)&gt;0),"Parcial",IF($C961="","Sem vencimento",IF($C961&lt;TODAY(),"Vencido",IF($C961=TODAY(),"Vence hoje",IF($C961&lt;=TODAY()+7,"Vence em 7 dias",IF($C961&lt;=TODAY()+30,"Vence em 30 dias","Futuro")))))))))</f>
        <v/>
      </c>
      <c r="Z961" s="24">
        <f>IF($B961="","",MONTH($B961))</f>
        <v/>
      </c>
      <c r="AA961" s="24">
        <f>IF($B961="","",YEAR($B961))</f>
        <v/>
      </c>
      <c r="AB961" s="24">
        <f>IF($B961="","",ISOWEEKNUM($B961))</f>
        <v/>
      </c>
      <c r="AC961" s="17">
        <f>IF($B961="","",CHOOSE(WEEKDAY($B961,2),"Segunda","Terça","Quarta","Quinta","Sexta","Sábado","Domingo"))</f>
        <v/>
      </c>
      <c r="AD961" s="17">
        <f>IF($B961="","",TEXT($B961,"MM/AAAA"))</f>
        <v/>
      </c>
      <c r="AE961" s="18">
        <f>IF(COUNTA($B961:$R961)=0,"",IF($X961="Cancelado",0,ROUND(N($Q961)+N($S961)+N($T961)-N($U961),2)))</f>
        <v/>
      </c>
      <c r="AF961" s="9">
        <f>IF($G961="","",IFERROR(INDEX(LINHAS_DRE_PLANO,MATCH($G961,SUBCATEGORIAS_PLANO,0)),"Não classificado"))</f>
        <v/>
      </c>
      <c r="AG961" s="17">
        <f>IF($G961="","",IFERROR(INDEX(TIPOS_FLUXO_PLANO,MATCH($G961,SUBCATEGORIAS_PLANO,0)),"Não classificado"))</f>
        <v/>
      </c>
      <c r="AH961" s="9">
        <f>IF($G961="","",IFERROR(INDEX(GRUPOS_PLANO,MATCH($G961,SUBCATEGORIAS_PLANO,0)),"Não classificado"))</f>
        <v/>
      </c>
      <c r="AI961" s="24">
        <f>IF(OR($C961="",$X961="Pago",$X961="Recebido",$X961="Cancelado"),"",$C961-TODAY())</f>
        <v/>
      </c>
      <c r="AJ961" s="24">
        <f>IF(OR($C961="",$X961="Pago",$X961="Recebido",$X961="Cancelado"),0,MAX(0,TODAY()-$C961))</f>
        <v/>
      </c>
      <c r="AK961" s="24">
        <f>IF($D961="","",$D961-$B961)</f>
        <v/>
      </c>
      <c r="AL961" s="18">
        <f>IF(OR($D961="",$B961=""),"",ROUND(N($R961)*($D961-$B961),2))</f>
        <v/>
      </c>
      <c r="AM961" s="17">
        <f>IF(AND($E961="Saída",$W961&gt;0,$C961&lt;&gt;""),$C961+ROW()/1000000,"")</f>
        <v/>
      </c>
      <c r="AN961" s="17">
        <f>IF(AND($E961="Entrada",$W961&gt;0,$C961&lt;&gt;""),$C961+ROW()/1000000,"")</f>
        <v/>
      </c>
      <c r="AO961" s="9">
        <f>IF(COUNTA($B961:$R961)=0,"",IF(AND($I961&lt;&gt;"",COUNTIF(CLIENTES_NOMES,$I961)+COUNTIF(CLIENTES_FANTASIA,$I961)+COUNTIF(FORNECEDORES_NOMES,$I961)+COUNTIF(FORNECEDORES_FANTASIA,$I961)=0),"⚠ Cliente/Fornecedor não cadastrado",IF(AND($G961&lt;&gt;"",COUNTIF(SUBCATEGORIAS_PLANO,$G961)=0),"⚠ Subcategoria fora do plano de contas",IF(OR($Q961="",N($Q961)=0),"⚠ Valor previsto não informado",IF(AND(OR($X961="Pago",$X961="Recebido"),$D961=""),"⚠ Status pago/recebido sem data",IF(AND($D961&lt;&gt;"",N($R961)=0),"⚠ Data de pagamento sem valor realizado",IF(AND(N($P961)&gt;1,N($O961)&gt;N($P961)),"⚠ Nº da parcela maior que o total",IF(AND($C961&lt;&gt;"",$B961&lt;&gt;"",$C961&lt;$B961),"⚠ Vencimento anterior à competência","OK"))))))))</f>
        <v/>
      </c>
    </row>
    <row r="962">
      <c r="A962" s="14" t="n"/>
      <c r="B962" s="36" t="n"/>
      <c r="C962" s="36" t="n"/>
      <c r="D962" s="36" t="n"/>
      <c r="E962" s="14" t="n"/>
      <c r="F962" s="29" t="n"/>
      <c r="G962" s="29" t="n"/>
      <c r="H962" s="29" t="n"/>
      <c r="I962" s="29" t="n"/>
      <c r="J962" s="29" t="n"/>
      <c r="K962" s="14" t="n"/>
      <c r="L962" s="29" t="n"/>
      <c r="M962" s="14" t="n"/>
      <c r="N962" s="29" t="n"/>
      <c r="O962" s="13" t="n"/>
      <c r="P962" s="13" t="n"/>
      <c r="Q962" s="35" t="n"/>
      <c r="R962" s="35" t="n"/>
      <c r="S962" s="35" t="n"/>
      <c r="T962" s="35" t="n"/>
      <c r="U962" s="35" t="n"/>
      <c r="V962" s="18">
        <f>IF(COUNTA($B962:$R962)=0,"",ROUND(N($R962)+N($S962)+N($T962)-N($U962),2))</f>
        <v/>
      </c>
      <c r="W962" s="18">
        <f>IF(COUNTA($B962:$R962)=0,"",IF(OR($X962="Pago",$X962="Recebido",$X962="Cancelado"),0,ROUND(N($Q962)+N($S962)+N($T962)-N($U962)-N($R962),2)))</f>
        <v/>
      </c>
      <c r="X962" s="14" t="n"/>
      <c r="Y962" s="17">
        <f>IF(COUNTA($B962:$R962)=0,"",IF($X962="Cancelado","Cancelado",IF(OR($X962="Pago",$X962="Recebido"),$X962,IF(OR($X962="Parcial",N($R962)&gt;0),"Parcial",IF($C962="","Sem vencimento",IF($C962&lt;TODAY(),"Vencido",IF($C962=TODAY(),"Vence hoje",IF($C962&lt;=TODAY()+7,"Vence em 7 dias",IF($C962&lt;=TODAY()+30,"Vence em 30 dias","Futuro")))))))))</f>
        <v/>
      </c>
      <c r="Z962" s="24">
        <f>IF($B962="","",MONTH($B962))</f>
        <v/>
      </c>
      <c r="AA962" s="24">
        <f>IF($B962="","",YEAR($B962))</f>
        <v/>
      </c>
      <c r="AB962" s="24">
        <f>IF($B962="","",ISOWEEKNUM($B962))</f>
        <v/>
      </c>
      <c r="AC962" s="17">
        <f>IF($B962="","",CHOOSE(WEEKDAY($B962,2),"Segunda","Terça","Quarta","Quinta","Sexta","Sábado","Domingo"))</f>
        <v/>
      </c>
      <c r="AD962" s="17">
        <f>IF($B962="","",TEXT($B962,"MM/AAAA"))</f>
        <v/>
      </c>
      <c r="AE962" s="18">
        <f>IF(COUNTA($B962:$R962)=0,"",IF($X962="Cancelado",0,ROUND(N($Q962)+N($S962)+N($T962)-N($U962),2)))</f>
        <v/>
      </c>
      <c r="AF962" s="9">
        <f>IF($G962="","",IFERROR(INDEX(LINHAS_DRE_PLANO,MATCH($G962,SUBCATEGORIAS_PLANO,0)),"Não classificado"))</f>
        <v/>
      </c>
      <c r="AG962" s="17">
        <f>IF($G962="","",IFERROR(INDEX(TIPOS_FLUXO_PLANO,MATCH($G962,SUBCATEGORIAS_PLANO,0)),"Não classificado"))</f>
        <v/>
      </c>
      <c r="AH962" s="9">
        <f>IF($G962="","",IFERROR(INDEX(GRUPOS_PLANO,MATCH($G962,SUBCATEGORIAS_PLANO,0)),"Não classificado"))</f>
        <v/>
      </c>
      <c r="AI962" s="24">
        <f>IF(OR($C962="",$X962="Pago",$X962="Recebido",$X962="Cancelado"),"",$C962-TODAY())</f>
        <v/>
      </c>
      <c r="AJ962" s="24">
        <f>IF(OR($C962="",$X962="Pago",$X962="Recebido",$X962="Cancelado"),0,MAX(0,TODAY()-$C962))</f>
        <v/>
      </c>
      <c r="AK962" s="24">
        <f>IF($D962="","",$D962-$B962)</f>
        <v/>
      </c>
      <c r="AL962" s="18">
        <f>IF(OR($D962="",$B962=""),"",ROUND(N($R962)*($D962-$B962),2))</f>
        <v/>
      </c>
      <c r="AM962" s="17">
        <f>IF(AND($E962="Saída",$W962&gt;0,$C962&lt;&gt;""),$C962+ROW()/1000000,"")</f>
        <v/>
      </c>
      <c r="AN962" s="17">
        <f>IF(AND($E962="Entrada",$W962&gt;0,$C962&lt;&gt;""),$C962+ROW()/1000000,"")</f>
        <v/>
      </c>
      <c r="AO962" s="9">
        <f>IF(COUNTA($B962:$R962)=0,"",IF(AND($I962&lt;&gt;"",COUNTIF(CLIENTES_NOMES,$I962)+COUNTIF(CLIENTES_FANTASIA,$I962)+COUNTIF(FORNECEDORES_NOMES,$I962)+COUNTIF(FORNECEDORES_FANTASIA,$I962)=0),"⚠ Cliente/Fornecedor não cadastrado",IF(AND($G962&lt;&gt;"",COUNTIF(SUBCATEGORIAS_PLANO,$G962)=0),"⚠ Subcategoria fora do plano de contas",IF(OR($Q962="",N($Q962)=0),"⚠ Valor previsto não informado",IF(AND(OR($X962="Pago",$X962="Recebido"),$D962=""),"⚠ Status pago/recebido sem data",IF(AND($D962&lt;&gt;"",N($R962)=0),"⚠ Data de pagamento sem valor realizado",IF(AND(N($P962)&gt;1,N($O962)&gt;N($P962)),"⚠ Nº da parcela maior que o total",IF(AND($C962&lt;&gt;"",$B962&lt;&gt;"",$C962&lt;$B962),"⚠ Vencimento anterior à competência","OK"))))))))</f>
        <v/>
      </c>
    </row>
    <row r="963">
      <c r="A963" s="14" t="n"/>
      <c r="B963" s="36" t="n"/>
      <c r="C963" s="36" t="n"/>
      <c r="D963" s="36" t="n"/>
      <c r="E963" s="14" t="n"/>
      <c r="F963" s="29" t="n"/>
      <c r="G963" s="29" t="n"/>
      <c r="H963" s="29" t="n"/>
      <c r="I963" s="29" t="n"/>
      <c r="J963" s="29" t="n"/>
      <c r="K963" s="14" t="n"/>
      <c r="L963" s="29" t="n"/>
      <c r="M963" s="14" t="n"/>
      <c r="N963" s="29" t="n"/>
      <c r="O963" s="13" t="n"/>
      <c r="P963" s="13" t="n"/>
      <c r="Q963" s="35" t="n"/>
      <c r="R963" s="35" t="n"/>
      <c r="S963" s="35" t="n"/>
      <c r="T963" s="35" t="n"/>
      <c r="U963" s="35" t="n"/>
      <c r="V963" s="18">
        <f>IF(COUNTA($B963:$R963)=0,"",ROUND(N($R963)+N($S963)+N($T963)-N($U963),2))</f>
        <v/>
      </c>
      <c r="W963" s="18">
        <f>IF(COUNTA($B963:$R963)=0,"",IF(OR($X963="Pago",$X963="Recebido",$X963="Cancelado"),0,ROUND(N($Q963)+N($S963)+N($T963)-N($U963)-N($R963),2)))</f>
        <v/>
      </c>
      <c r="X963" s="14" t="n"/>
      <c r="Y963" s="17">
        <f>IF(COUNTA($B963:$R963)=0,"",IF($X963="Cancelado","Cancelado",IF(OR($X963="Pago",$X963="Recebido"),$X963,IF(OR($X963="Parcial",N($R963)&gt;0),"Parcial",IF($C963="","Sem vencimento",IF($C963&lt;TODAY(),"Vencido",IF($C963=TODAY(),"Vence hoje",IF($C963&lt;=TODAY()+7,"Vence em 7 dias",IF($C963&lt;=TODAY()+30,"Vence em 30 dias","Futuro")))))))))</f>
        <v/>
      </c>
      <c r="Z963" s="24">
        <f>IF($B963="","",MONTH($B963))</f>
        <v/>
      </c>
      <c r="AA963" s="24">
        <f>IF($B963="","",YEAR($B963))</f>
        <v/>
      </c>
      <c r="AB963" s="24">
        <f>IF($B963="","",ISOWEEKNUM($B963))</f>
        <v/>
      </c>
      <c r="AC963" s="17">
        <f>IF($B963="","",CHOOSE(WEEKDAY($B963,2),"Segunda","Terça","Quarta","Quinta","Sexta","Sábado","Domingo"))</f>
        <v/>
      </c>
      <c r="AD963" s="17">
        <f>IF($B963="","",TEXT($B963,"MM/AAAA"))</f>
        <v/>
      </c>
      <c r="AE963" s="18">
        <f>IF(COUNTA($B963:$R963)=0,"",IF($X963="Cancelado",0,ROUND(N($Q963)+N($S963)+N($T963)-N($U963),2)))</f>
        <v/>
      </c>
      <c r="AF963" s="9">
        <f>IF($G963="","",IFERROR(INDEX(LINHAS_DRE_PLANO,MATCH($G963,SUBCATEGORIAS_PLANO,0)),"Não classificado"))</f>
        <v/>
      </c>
      <c r="AG963" s="17">
        <f>IF($G963="","",IFERROR(INDEX(TIPOS_FLUXO_PLANO,MATCH($G963,SUBCATEGORIAS_PLANO,0)),"Não classificado"))</f>
        <v/>
      </c>
      <c r="AH963" s="9">
        <f>IF($G963="","",IFERROR(INDEX(GRUPOS_PLANO,MATCH($G963,SUBCATEGORIAS_PLANO,0)),"Não classificado"))</f>
        <v/>
      </c>
      <c r="AI963" s="24">
        <f>IF(OR($C963="",$X963="Pago",$X963="Recebido",$X963="Cancelado"),"",$C963-TODAY())</f>
        <v/>
      </c>
      <c r="AJ963" s="24">
        <f>IF(OR($C963="",$X963="Pago",$X963="Recebido",$X963="Cancelado"),0,MAX(0,TODAY()-$C963))</f>
        <v/>
      </c>
      <c r="AK963" s="24">
        <f>IF($D963="","",$D963-$B963)</f>
        <v/>
      </c>
      <c r="AL963" s="18">
        <f>IF(OR($D963="",$B963=""),"",ROUND(N($R963)*($D963-$B963),2))</f>
        <v/>
      </c>
      <c r="AM963" s="17">
        <f>IF(AND($E963="Saída",$W963&gt;0,$C963&lt;&gt;""),$C963+ROW()/1000000,"")</f>
        <v/>
      </c>
      <c r="AN963" s="17">
        <f>IF(AND($E963="Entrada",$W963&gt;0,$C963&lt;&gt;""),$C963+ROW()/1000000,"")</f>
        <v/>
      </c>
      <c r="AO963" s="9">
        <f>IF(COUNTA($B963:$R963)=0,"",IF(AND($I963&lt;&gt;"",COUNTIF(CLIENTES_NOMES,$I963)+COUNTIF(CLIENTES_FANTASIA,$I963)+COUNTIF(FORNECEDORES_NOMES,$I963)+COUNTIF(FORNECEDORES_FANTASIA,$I963)=0),"⚠ Cliente/Fornecedor não cadastrado",IF(AND($G963&lt;&gt;"",COUNTIF(SUBCATEGORIAS_PLANO,$G963)=0),"⚠ Subcategoria fora do plano de contas",IF(OR($Q963="",N($Q963)=0),"⚠ Valor previsto não informado",IF(AND(OR($X963="Pago",$X963="Recebido"),$D963=""),"⚠ Status pago/recebido sem data",IF(AND($D963&lt;&gt;"",N($R963)=0),"⚠ Data de pagamento sem valor realizado",IF(AND(N($P963)&gt;1,N($O963)&gt;N($P963)),"⚠ Nº da parcela maior que o total",IF(AND($C963&lt;&gt;"",$B963&lt;&gt;"",$C963&lt;$B963),"⚠ Vencimento anterior à competência","OK"))))))))</f>
        <v/>
      </c>
    </row>
    <row r="964">
      <c r="A964" s="14" t="n"/>
      <c r="B964" s="36" t="n"/>
      <c r="C964" s="36" t="n"/>
      <c r="D964" s="36" t="n"/>
      <c r="E964" s="14" t="n"/>
      <c r="F964" s="29" t="n"/>
      <c r="G964" s="29" t="n"/>
      <c r="H964" s="29" t="n"/>
      <c r="I964" s="29" t="n"/>
      <c r="J964" s="29" t="n"/>
      <c r="K964" s="14" t="n"/>
      <c r="L964" s="29" t="n"/>
      <c r="M964" s="14" t="n"/>
      <c r="N964" s="29" t="n"/>
      <c r="O964" s="13" t="n"/>
      <c r="P964" s="13" t="n"/>
      <c r="Q964" s="35" t="n"/>
      <c r="R964" s="35" t="n"/>
      <c r="S964" s="35" t="n"/>
      <c r="T964" s="35" t="n"/>
      <c r="U964" s="35" t="n"/>
      <c r="V964" s="18">
        <f>IF(COUNTA($B964:$R964)=0,"",ROUND(N($R964)+N($S964)+N($T964)-N($U964),2))</f>
        <v/>
      </c>
      <c r="W964" s="18">
        <f>IF(COUNTA($B964:$R964)=0,"",IF(OR($X964="Pago",$X964="Recebido",$X964="Cancelado"),0,ROUND(N($Q964)+N($S964)+N($T964)-N($U964)-N($R964),2)))</f>
        <v/>
      </c>
      <c r="X964" s="14" t="n"/>
      <c r="Y964" s="17">
        <f>IF(COUNTA($B964:$R964)=0,"",IF($X964="Cancelado","Cancelado",IF(OR($X964="Pago",$X964="Recebido"),$X964,IF(OR($X964="Parcial",N($R964)&gt;0),"Parcial",IF($C964="","Sem vencimento",IF($C964&lt;TODAY(),"Vencido",IF($C964=TODAY(),"Vence hoje",IF($C964&lt;=TODAY()+7,"Vence em 7 dias",IF($C964&lt;=TODAY()+30,"Vence em 30 dias","Futuro")))))))))</f>
        <v/>
      </c>
      <c r="Z964" s="24">
        <f>IF($B964="","",MONTH($B964))</f>
        <v/>
      </c>
      <c r="AA964" s="24">
        <f>IF($B964="","",YEAR($B964))</f>
        <v/>
      </c>
      <c r="AB964" s="24">
        <f>IF($B964="","",ISOWEEKNUM($B964))</f>
        <v/>
      </c>
      <c r="AC964" s="17">
        <f>IF($B964="","",CHOOSE(WEEKDAY($B964,2),"Segunda","Terça","Quarta","Quinta","Sexta","Sábado","Domingo"))</f>
        <v/>
      </c>
      <c r="AD964" s="17">
        <f>IF($B964="","",TEXT($B964,"MM/AAAA"))</f>
        <v/>
      </c>
      <c r="AE964" s="18">
        <f>IF(COUNTA($B964:$R964)=0,"",IF($X964="Cancelado",0,ROUND(N($Q964)+N($S964)+N($T964)-N($U964),2)))</f>
        <v/>
      </c>
      <c r="AF964" s="9">
        <f>IF($G964="","",IFERROR(INDEX(LINHAS_DRE_PLANO,MATCH($G964,SUBCATEGORIAS_PLANO,0)),"Não classificado"))</f>
        <v/>
      </c>
      <c r="AG964" s="17">
        <f>IF($G964="","",IFERROR(INDEX(TIPOS_FLUXO_PLANO,MATCH($G964,SUBCATEGORIAS_PLANO,0)),"Não classificado"))</f>
        <v/>
      </c>
      <c r="AH964" s="9">
        <f>IF($G964="","",IFERROR(INDEX(GRUPOS_PLANO,MATCH($G964,SUBCATEGORIAS_PLANO,0)),"Não classificado"))</f>
        <v/>
      </c>
      <c r="AI964" s="24">
        <f>IF(OR($C964="",$X964="Pago",$X964="Recebido",$X964="Cancelado"),"",$C964-TODAY())</f>
        <v/>
      </c>
      <c r="AJ964" s="24">
        <f>IF(OR($C964="",$X964="Pago",$X964="Recebido",$X964="Cancelado"),0,MAX(0,TODAY()-$C964))</f>
        <v/>
      </c>
      <c r="AK964" s="24">
        <f>IF($D964="","",$D964-$B964)</f>
        <v/>
      </c>
      <c r="AL964" s="18">
        <f>IF(OR($D964="",$B964=""),"",ROUND(N($R964)*($D964-$B964),2))</f>
        <v/>
      </c>
      <c r="AM964" s="17">
        <f>IF(AND($E964="Saída",$W964&gt;0,$C964&lt;&gt;""),$C964+ROW()/1000000,"")</f>
        <v/>
      </c>
      <c r="AN964" s="17">
        <f>IF(AND($E964="Entrada",$W964&gt;0,$C964&lt;&gt;""),$C964+ROW()/1000000,"")</f>
        <v/>
      </c>
      <c r="AO964" s="9">
        <f>IF(COUNTA($B964:$R964)=0,"",IF(AND($I964&lt;&gt;"",COUNTIF(CLIENTES_NOMES,$I964)+COUNTIF(CLIENTES_FANTASIA,$I964)+COUNTIF(FORNECEDORES_NOMES,$I964)+COUNTIF(FORNECEDORES_FANTASIA,$I964)=0),"⚠ Cliente/Fornecedor não cadastrado",IF(AND($G964&lt;&gt;"",COUNTIF(SUBCATEGORIAS_PLANO,$G964)=0),"⚠ Subcategoria fora do plano de contas",IF(OR($Q964="",N($Q964)=0),"⚠ Valor previsto não informado",IF(AND(OR($X964="Pago",$X964="Recebido"),$D964=""),"⚠ Status pago/recebido sem data",IF(AND($D964&lt;&gt;"",N($R964)=0),"⚠ Data de pagamento sem valor realizado",IF(AND(N($P964)&gt;1,N($O964)&gt;N($P964)),"⚠ Nº da parcela maior que o total",IF(AND($C964&lt;&gt;"",$B964&lt;&gt;"",$C964&lt;$B964),"⚠ Vencimento anterior à competência","OK"))))))))</f>
        <v/>
      </c>
    </row>
    <row r="965">
      <c r="A965" s="14" t="n"/>
      <c r="B965" s="36" t="n"/>
      <c r="C965" s="36" t="n"/>
      <c r="D965" s="36" t="n"/>
      <c r="E965" s="14" t="n"/>
      <c r="F965" s="29" t="n"/>
      <c r="G965" s="29" t="n"/>
      <c r="H965" s="29" t="n"/>
      <c r="I965" s="29" t="n"/>
      <c r="J965" s="29" t="n"/>
      <c r="K965" s="14" t="n"/>
      <c r="L965" s="29" t="n"/>
      <c r="M965" s="14" t="n"/>
      <c r="N965" s="29" t="n"/>
      <c r="O965" s="13" t="n"/>
      <c r="P965" s="13" t="n"/>
      <c r="Q965" s="35" t="n"/>
      <c r="R965" s="35" t="n"/>
      <c r="S965" s="35" t="n"/>
      <c r="T965" s="35" t="n"/>
      <c r="U965" s="35" t="n"/>
      <c r="V965" s="18">
        <f>IF(COUNTA($B965:$R965)=0,"",ROUND(N($R965)+N($S965)+N($T965)-N($U965),2))</f>
        <v/>
      </c>
      <c r="W965" s="18">
        <f>IF(COUNTA($B965:$R965)=0,"",IF(OR($X965="Pago",$X965="Recebido",$X965="Cancelado"),0,ROUND(N($Q965)+N($S965)+N($T965)-N($U965)-N($R965),2)))</f>
        <v/>
      </c>
      <c r="X965" s="14" t="n"/>
      <c r="Y965" s="17">
        <f>IF(COUNTA($B965:$R965)=0,"",IF($X965="Cancelado","Cancelado",IF(OR($X965="Pago",$X965="Recebido"),$X965,IF(OR($X965="Parcial",N($R965)&gt;0),"Parcial",IF($C965="","Sem vencimento",IF($C965&lt;TODAY(),"Vencido",IF($C965=TODAY(),"Vence hoje",IF($C965&lt;=TODAY()+7,"Vence em 7 dias",IF($C965&lt;=TODAY()+30,"Vence em 30 dias","Futuro")))))))))</f>
        <v/>
      </c>
      <c r="Z965" s="24">
        <f>IF($B965="","",MONTH($B965))</f>
        <v/>
      </c>
      <c r="AA965" s="24">
        <f>IF($B965="","",YEAR($B965))</f>
        <v/>
      </c>
      <c r="AB965" s="24">
        <f>IF($B965="","",ISOWEEKNUM($B965))</f>
        <v/>
      </c>
      <c r="AC965" s="17">
        <f>IF($B965="","",CHOOSE(WEEKDAY($B965,2),"Segunda","Terça","Quarta","Quinta","Sexta","Sábado","Domingo"))</f>
        <v/>
      </c>
      <c r="AD965" s="17">
        <f>IF($B965="","",TEXT($B965,"MM/AAAA"))</f>
        <v/>
      </c>
      <c r="AE965" s="18">
        <f>IF(COUNTA($B965:$R965)=0,"",IF($X965="Cancelado",0,ROUND(N($Q965)+N($S965)+N($T965)-N($U965),2)))</f>
        <v/>
      </c>
      <c r="AF965" s="9">
        <f>IF($G965="","",IFERROR(INDEX(LINHAS_DRE_PLANO,MATCH($G965,SUBCATEGORIAS_PLANO,0)),"Não classificado"))</f>
        <v/>
      </c>
      <c r="AG965" s="17">
        <f>IF($G965="","",IFERROR(INDEX(TIPOS_FLUXO_PLANO,MATCH($G965,SUBCATEGORIAS_PLANO,0)),"Não classificado"))</f>
        <v/>
      </c>
      <c r="AH965" s="9">
        <f>IF($G965="","",IFERROR(INDEX(GRUPOS_PLANO,MATCH($G965,SUBCATEGORIAS_PLANO,0)),"Não classificado"))</f>
        <v/>
      </c>
      <c r="AI965" s="24">
        <f>IF(OR($C965="",$X965="Pago",$X965="Recebido",$X965="Cancelado"),"",$C965-TODAY())</f>
        <v/>
      </c>
      <c r="AJ965" s="24">
        <f>IF(OR($C965="",$X965="Pago",$X965="Recebido",$X965="Cancelado"),0,MAX(0,TODAY()-$C965))</f>
        <v/>
      </c>
      <c r="AK965" s="24">
        <f>IF($D965="","",$D965-$B965)</f>
        <v/>
      </c>
      <c r="AL965" s="18">
        <f>IF(OR($D965="",$B965=""),"",ROUND(N($R965)*($D965-$B965),2))</f>
        <v/>
      </c>
      <c r="AM965" s="17">
        <f>IF(AND($E965="Saída",$W965&gt;0,$C965&lt;&gt;""),$C965+ROW()/1000000,"")</f>
        <v/>
      </c>
      <c r="AN965" s="17">
        <f>IF(AND($E965="Entrada",$W965&gt;0,$C965&lt;&gt;""),$C965+ROW()/1000000,"")</f>
        <v/>
      </c>
      <c r="AO965" s="9">
        <f>IF(COUNTA($B965:$R965)=0,"",IF(AND($I965&lt;&gt;"",COUNTIF(CLIENTES_NOMES,$I965)+COUNTIF(CLIENTES_FANTASIA,$I965)+COUNTIF(FORNECEDORES_NOMES,$I965)+COUNTIF(FORNECEDORES_FANTASIA,$I965)=0),"⚠ Cliente/Fornecedor não cadastrado",IF(AND($G965&lt;&gt;"",COUNTIF(SUBCATEGORIAS_PLANO,$G965)=0),"⚠ Subcategoria fora do plano de contas",IF(OR($Q965="",N($Q965)=0),"⚠ Valor previsto não informado",IF(AND(OR($X965="Pago",$X965="Recebido"),$D965=""),"⚠ Status pago/recebido sem data",IF(AND($D965&lt;&gt;"",N($R965)=0),"⚠ Data de pagamento sem valor realizado",IF(AND(N($P965)&gt;1,N($O965)&gt;N($P965)),"⚠ Nº da parcela maior que o total",IF(AND($C965&lt;&gt;"",$B965&lt;&gt;"",$C965&lt;$B965),"⚠ Vencimento anterior à competência","OK"))))))))</f>
        <v/>
      </c>
    </row>
    <row r="966">
      <c r="A966" s="14" t="n"/>
      <c r="B966" s="36" t="n"/>
      <c r="C966" s="36" t="n"/>
      <c r="D966" s="36" t="n"/>
      <c r="E966" s="14" t="n"/>
      <c r="F966" s="29" t="n"/>
      <c r="G966" s="29" t="n"/>
      <c r="H966" s="29" t="n"/>
      <c r="I966" s="29" t="n"/>
      <c r="J966" s="29" t="n"/>
      <c r="K966" s="14" t="n"/>
      <c r="L966" s="29" t="n"/>
      <c r="M966" s="14" t="n"/>
      <c r="N966" s="29" t="n"/>
      <c r="O966" s="13" t="n"/>
      <c r="P966" s="13" t="n"/>
      <c r="Q966" s="35" t="n"/>
      <c r="R966" s="35" t="n"/>
      <c r="S966" s="35" t="n"/>
      <c r="T966" s="35" t="n"/>
      <c r="U966" s="35" t="n"/>
      <c r="V966" s="18">
        <f>IF(COUNTA($B966:$R966)=0,"",ROUND(N($R966)+N($S966)+N($T966)-N($U966),2))</f>
        <v/>
      </c>
      <c r="W966" s="18">
        <f>IF(COUNTA($B966:$R966)=0,"",IF(OR($X966="Pago",$X966="Recebido",$X966="Cancelado"),0,ROUND(N($Q966)+N($S966)+N($T966)-N($U966)-N($R966),2)))</f>
        <v/>
      </c>
      <c r="X966" s="14" t="n"/>
      <c r="Y966" s="17">
        <f>IF(COUNTA($B966:$R966)=0,"",IF($X966="Cancelado","Cancelado",IF(OR($X966="Pago",$X966="Recebido"),$X966,IF(OR($X966="Parcial",N($R966)&gt;0),"Parcial",IF($C966="","Sem vencimento",IF($C966&lt;TODAY(),"Vencido",IF($C966=TODAY(),"Vence hoje",IF($C966&lt;=TODAY()+7,"Vence em 7 dias",IF($C966&lt;=TODAY()+30,"Vence em 30 dias","Futuro")))))))))</f>
        <v/>
      </c>
      <c r="Z966" s="24">
        <f>IF($B966="","",MONTH($B966))</f>
        <v/>
      </c>
      <c r="AA966" s="24">
        <f>IF($B966="","",YEAR($B966))</f>
        <v/>
      </c>
      <c r="AB966" s="24">
        <f>IF($B966="","",ISOWEEKNUM($B966))</f>
        <v/>
      </c>
      <c r="AC966" s="17">
        <f>IF($B966="","",CHOOSE(WEEKDAY($B966,2),"Segunda","Terça","Quarta","Quinta","Sexta","Sábado","Domingo"))</f>
        <v/>
      </c>
      <c r="AD966" s="17">
        <f>IF($B966="","",TEXT($B966,"MM/AAAA"))</f>
        <v/>
      </c>
      <c r="AE966" s="18">
        <f>IF(COUNTA($B966:$R966)=0,"",IF($X966="Cancelado",0,ROUND(N($Q966)+N($S966)+N($T966)-N($U966),2)))</f>
        <v/>
      </c>
      <c r="AF966" s="9">
        <f>IF($G966="","",IFERROR(INDEX(LINHAS_DRE_PLANO,MATCH($G966,SUBCATEGORIAS_PLANO,0)),"Não classificado"))</f>
        <v/>
      </c>
      <c r="AG966" s="17">
        <f>IF($G966="","",IFERROR(INDEX(TIPOS_FLUXO_PLANO,MATCH($G966,SUBCATEGORIAS_PLANO,0)),"Não classificado"))</f>
        <v/>
      </c>
      <c r="AH966" s="9">
        <f>IF($G966="","",IFERROR(INDEX(GRUPOS_PLANO,MATCH($G966,SUBCATEGORIAS_PLANO,0)),"Não classificado"))</f>
        <v/>
      </c>
      <c r="AI966" s="24">
        <f>IF(OR($C966="",$X966="Pago",$X966="Recebido",$X966="Cancelado"),"",$C966-TODAY())</f>
        <v/>
      </c>
      <c r="AJ966" s="24">
        <f>IF(OR($C966="",$X966="Pago",$X966="Recebido",$X966="Cancelado"),0,MAX(0,TODAY()-$C966))</f>
        <v/>
      </c>
      <c r="AK966" s="24">
        <f>IF($D966="","",$D966-$B966)</f>
        <v/>
      </c>
      <c r="AL966" s="18">
        <f>IF(OR($D966="",$B966=""),"",ROUND(N($R966)*($D966-$B966),2))</f>
        <v/>
      </c>
      <c r="AM966" s="17">
        <f>IF(AND($E966="Saída",$W966&gt;0,$C966&lt;&gt;""),$C966+ROW()/1000000,"")</f>
        <v/>
      </c>
      <c r="AN966" s="17">
        <f>IF(AND($E966="Entrada",$W966&gt;0,$C966&lt;&gt;""),$C966+ROW()/1000000,"")</f>
        <v/>
      </c>
      <c r="AO966" s="9">
        <f>IF(COUNTA($B966:$R966)=0,"",IF(AND($I966&lt;&gt;"",COUNTIF(CLIENTES_NOMES,$I966)+COUNTIF(CLIENTES_FANTASIA,$I966)+COUNTIF(FORNECEDORES_NOMES,$I966)+COUNTIF(FORNECEDORES_FANTASIA,$I966)=0),"⚠ Cliente/Fornecedor não cadastrado",IF(AND($G966&lt;&gt;"",COUNTIF(SUBCATEGORIAS_PLANO,$G966)=0),"⚠ Subcategoria fora do plano de contas",IF(OR($Q966="",N($Q966)=0),"⚠ Valor previsto não informado",IF(AND(OR($X966="Pago",$X966="Recebido"),$D966=""),"⚠ Status pago/recebido sem data",IF(AND($D966&lt;&gt;"",N($R966)=0),"⚠ Data de pagamento sem valor realizado",IF(AND(N($P966)&gt;1,N($O966)&gt;N($P966)),"⚠ Nº da parcela maior que o total",IF(AND($C966&lt;&gt;"",$B966&lt;&gt;"",$C966&lt;$B966),"⚠ Vencimento anterior à competência","OK"))))))))</f>
        <v/>
      </c>
    </row>
    <row r="967">
      <c r="A967" s="14" t="n"/>
      <c r="B967" s="36" t="n"/>
      <c r="C967" s="36" t="n"/>
      <c r="D967" s="36" t="n"/>
      <c r="E967" s="14" t="n"/>
      <c r="F967" s="29" t="n"/>
      <c r="G967" s="29" t="n"/>
      <c r="H967" s="29" t="n"/>
      <c r="I967" s="29" t="n"/>
      <c r="J967" s="29" t="n"/>
      <c r="K967" s="14" t="n"/>
      <c r="L967" s="29" t="n"/>
      <c r="M967" s="14" t="n"/>
      <c r="N967" s="29" t="n"/>
      <c r="O967" s="13" t="n"/>
      <c r="P967" s="13" t="n"/>
      <c r="Q967" s="35" t="n"/>
      <c r="R967" s="35" t="n"/>
      <c r="S967" s="35" t="n"/>
      <c r="T967" s="35" t="n"/>
      <c r="U967" s="35" t="n"/>
      <c r="V967" s="18">
        <f>IF(COUNTA($B967:$R967)=0,"",ROUND(N($R967)+N($S967)+N($T967)-N($U967),2))</f>
        <v/>
      </c>
      <c r="W967" s="18">
        <f>IF(COUNTA($B967:$R967)=0,"",IF(OR($X967="Pago",$X967="Recebido",$X967="Cancelado"),0,ROUND(N($Q967)+N($S967)+N($T967)-N($U967)-N($R967),2)))</f>
        <v/>
      </c>
      <c r="X967" s="14" t="n"/>
      <c r="Y967" s="17">
        <f>IF(COUNTA($B967:$R967)=0,"",IF($X967="Cancelado","Cancelado",IF(OR($X967="Pago",$X967="Recebido"),$X967,IF(OR($X967="Parcial",N($R967)&gt;0),"Parcial",IF($C967="","Sem vencimento",IF($C967&lt;TODAY(),"Vencido",IF($C967=TODAY(),"Vence hoje",IF($C967&lt;=TODAY()+7,"Vence em 7 dias",IF($C967&lt;=TODAY()+30,"Vence em 30 dias","Futuro")))))))))</f>
        <v/>
      </c>
      <c r="Z967" s="24">
        <f>IF($B967="","",MONTH($B967))</f>
        <v/>
      </c>
      <c r="AA967" s="24">
        <f>IF($B967="","",YEAR($B967))</f>
        <v/>
      </c>
      <c r="AB967" s="24">
        <f>IF($B967="","",ISOWEEKNUM($B967))</f>
        <v/>
      </c>
      <c r="AC967" s="17">
        <f>IF($B967="","",CHOOSE(WEEKDAY($B967,2),"Segunda","Terça","Quarta","Quinta","Sexta","Sábado","Domingo"))</f>
        <v/>
      </c>
      <c r="AD967" s="17">
        <f>IF($B967="","",TEXT($B967,"MM/AAAA"))</f>
        <v/>
      </c>
      <c r="AE967" s="18">
        <f>IF(COUNTA($B967:$R967)=0,"",IF($X967="Cancelado",0,ROUND(N($Q967)+N($S967)+N($T967)-N($U967),2)))</f>
        <v/>
      </c>
      <c r="AF967" s="9">
        <f>IF($G967="","",IFERROR(INDEX(LINHAS_DRE_PLANO,MATCH($G967,SUBCATEGORIAS_PLANO,0)),"Não classificado"))</f>
        <v/>
      </c>
      <c r="AG967" s="17">
        <f>IF($G967="","",IFERROR(INDEX(TIPOS_FLUXO_PLANO,MATCH($G967,SUBCATEGORIAS_PLANO,0)),"Não classificado"))</f>
        <v/>
      </c>
      <c r="AH967" s="9">
        <f>IF($G967="","",IFERROR(INDEX(GRUPOS_PLANO,MATCH($G967,SUBCATEGORIAS_PLANO,0)),"Não classificado"))</f>
        <v/>
      </c>
      <c r="AI967" s="24">
        <f>IF(OR($C967="",$X967="Pago",$X967="Recebido",$X967="Cancelado"),"",$C967-TODAY())</f>
        <v/>
      </c>
      <c r="AJ967" s="24">
        <f>IF(OR($C967="",$X967="Pago",$X967="Recebido",$X967="Cancelado"),0,MAX(0,TODAY()-$C967))</f>
        <v/>
      </c>
      <c r="AK967" s="24">
        <f>IF($D967="","",$D967-$B967)</f>
        <v/>
      </c>
      <c r="AL967" s="18">
        <f>IF(OR($D967="",$B967=""),"",ROUND(N($R967)*($D967-$B967),2))</f>
        <v/>
      </c>
      <c r="AM967" s="17">
        <f>IF(AND($E967="Saída",$W967&gt;0,$C967&lt;&gt;""),$C967+ROW()/1000000,"")</f>
        <v/>
      </c>
      <c r="AN967" s="17">
        <f>IF(AND($E967="Entrada",$W967&gt;0,$C967&lt;&gt;""),$C967+ROW()/1000000,"")</f>
        <v/>
      </c>
      <c r="AO967" s="9">
        <f>IF(COUNTA($B967:$R967)=0,"",IF(AND($I967&lt;&gt;"",COUNTIF(CLIENTES_NOMES,$I967)+COUNTIF(CLIENTES_FANTASIA,$I967)+COUNTIF(FORNECEDORES_NOMES,$I967)+COUNTIF(FORNECEDORES_FANTASIA,$I967)=0),"⚠ Cliente/Fornecedor não cadastrado",IF(AND($G967&lt;&gt;"",COUNTIF(SUBCATEGORIAS_PLANO,$G967)=0),"⚠ Subcategoria fora do plano de contas",IF(OR($Q967="",N($Q967)=0),"⚠ Valor previsto não informado",IF(AND(OR($X967="Pago",$X967="Recebido"),$D967=""),"⚠ Status pago/recebido sem data",IF(AND($D967&lt;&gt;"",N($R967)=0),"⚠ Data de pagamento sem valor realizado",IF(AND(N($P967)&gt;1,N($O967)&gt;N($P967)),"⚠ Nº da parcela maior que o total",IF(AND($C967&lt;&gt;"",$B967&lt;&gt;"",$C967&lt;$B967),"⚠ Vencimento anterior à competência","OK"))))))))</f>
        <v/>
      </c>
    </row>
    <row r="968">
      <c r="A968" s="14" t="n"/>
      <c r="B968" s="36" t="n"/>
      <c r="C968" s="36" t="n"/>
      <c r="D968" s="36" t="n"/>
      <c r="E968" s="14" t="n"/>
      <c r="F968" s="29" t="n"/>
      <c r="G968" s="29" t="n"/>
      <c r="H968" s="29" t="n"/>
      <c r="I968" s="29" t="n"/>
      <c r="J968" s="29" t="n"/>
      <c r="K968" s="14" t="n"/>
      <c r="L968" s="29" t="n"/>
      <c r="M968" s="14" t="n"/>
      <c r="N968" s="29" t="n"/>
      <c r="O968" s="13" t="n"/>
      <c r="P968" s="13" t="n"/>
      <c r="Q968" s="35" t="n"/>
      <c r="R968" s="35" t="n"/>
      <c r="S968" s="35" t="n"/>
      <c r="T968" s="35" t="n"/>
      <c r="U968" s="35" t="n"/>
      <c r="V968" s="18">
        <f>IF(COUNTA($B968:$R968)=0,"",ROUND(N($R968)+N($S968)+N($T968)-N($U968),2))</f>
        <v/>
      </c>
      <c r="W968" s="18">
        <f>IF(COUNTA($B968:$R968)=0,"",IF(OR($X968="Pago",$X968="Recebido",$X968="Cancelado"),0,ROUND(N($Q968)+N($S968)+N($T968)-N($U968)-N($R968),2)))</f>
        <v/>
      </c>
      <c r="X968" s="14" t="n"/>
      <c r="Y968" s="17">
        <f>IF(COUNTA($B968:$R968)=0,"",IF($X968="Cancelado","Cancelado",IF(OR($X968="Pago",$X968="Recebido"),$X968,IF(OR($X968="Parcial",N($R968)&gt;0),"Parcial",IF($C968="","Sem vencimento",IF($C968&lt;TODAY(),"Vencido",IF($C968=TODAY(),"Vence hoje",IF($C968&lt;=TODAY()+7,"Vence em 7 dias",IF($C968&lt;=TODAY()+30,"Vence em 30 dias","Futuro")))))))))</f>
        <v/>
      </c>
      <c r="Z968" s="24">
        <f>IF($B968="","",MONTH($B968))</f>
        <v/>
      </c>
      <c r="AA968" s="24">
        <f>IF($B968="","",YEAR($B968))</f>
        <v/>
      </c>
      <c r="AB968" s="24">
        <f>IF($B968="","",ISOWEEKNUM($B968))</f>
        <v/>
      </c>
      <c r="AC968" s="17">
        <f>IF($B968="","",CHOOSE(WEEKDAY($B968,2),"Segunda","Terça","Quarta","Quinta","Sexta","Sábado","Domingo"))</f>
        <v/>
      </c>
      <c r="AD968" s="17">
        <f>IF($B968="","",TEXT($B968,"MM/AAAA"))</f>
        <v/>
      </c>
      <c r="AE968" s="18">
        <f>IF(COUNTA($B968:$R968)=0,"",IF($X968="Cancelado",0,ROUND(N($Q968)+N($S968)+N($T968)-N($U968),2)))</f>
        <v/>
      </c>
      <c r="AF968" s="9">
        <f>IF($G968="","",IFERROR(INDEX(LINHAS_DRE_PLANO,MATCH($G968,SUBCATEGORIAS_PLANO,0)),"Não classificado"))</f>
        <v/>
      </c>
      <c r="AG968" s="17">
        <f>IF($G968="","",IFERROR(INDEX(TIPOS_FLUXO_PLANO,MATCH($G968,SUBCATEGORIAS_PLANO,0)),"Não classificado"))</f>
        <v/>
      </c>
      <c r="AH968" s="9">
        <f>IF($G968="","",IFERROR(INDEX(GRUPOS_PLANO,MATCH($G968,SUBCATEGORIAS_PLANO,0)),"Não classificado"))</f>
        <v/>
      </c>
      <c r="AI968" s="24">
        <f>IF(OR($C968="",$X968="Pago",$X968="Recebido",$X968="Cancelado"),"",$C968-TODAY())</f>
        <v/>
      </c>
      <c r="AJ968" s="24">
        <f>IF(OR($C968="",$X968="Pago",$X968="Recebido",$X968="Cancelado"),0,MAX(0,TODAY()-$C968))</f>
        <v/>
      </c>
      <c r="AK968" s="24">
        <f>IF($D968="","",$D968-$B968)</f>
        <v/>
      </c>
      <c r="AL968" s="18">
        <f>IF(OR($D968="",$B968=""),"",ROUND(N($R968)*($D968-$B968),2))</f>
        <v/>
      </c>
      <c r="AM968" s="17">
        <f>IF(AND($E968="Saída",$W968&gt;0,$C968&lt;&gt;""),$C968+ROW()/1000000,"")</f>
        <v/>
      </c>
      <c r="AN968" s="17">
        <f>IF(AND($E968="Entrada",$W968&gt;0,$C968&lt;&gt;""),$C968+ROW()/1000000,"")</f>
        <v/>
      </c>
      <c r="AO968" s="9">
        <f>IF(COUNTA($B968:$R968)=0,"",IF(AND($I968&lt;&gt;"",COUNTIF(CLIENTES_NOMES,$I968)+COUNTIF(CLIENTES_FANTASIA,$I968)+COUNTIF(FORNECEDORES_NOMES,$I968)+COUNTIF(FORNECEDORES_FANTASIA,$I968)=0),"⚠ Cliente/Fornecedor não cadastrado",IF(AND($G968&lt;&gt;"",COUNTIF(SUBCATEGORIAS_PLANO,$G968)=0),"⚠ Subcategoria fora do plano de contas",IF(OR($Q968="",N($Q968)=0),"⚠ Valor previsto não informado",IF(AND(OR($X968="Pago",$X968="Recebido"),$D968=""),"⚠ Status pago/recebido sem data",IF(AND($D968&lt;&gt;"",N($R968)=0),"⚠ Data de pagamento sem valor realizado",IF(AND(N($P968)&gt;1,N($O968)&gt;N($P968)),"⚠ Nº da parcela maior que o total",IF(AND($C968&lt;&gt;"",$B968&lt;&gt;"",$C968&lt;$B968),"⚠ Vencimento anterior à competência","OK"))))))))</f>
        <v/>
      </c>
    </row>
    <row r="969">
      <c r="A969" s="14" t="n"/>
      <c r="B969" s="36" t="n"/>
      <c r="C969" s="36" t="n"/>
      <c r="D969" s="36" t="n"/>
      <c r="E969" s="14" t="n"/>
      <c r="F969" s="29" t="n"/>
      <c r="G969" s="29" t="n"/>
      <c r="H969" s="29" t="n"/>
      <c r="I969" s="29" t="n"/>
      <c r="J969" s="29" t="n"/>
      <c r="K969" s="14" t="n"/>
      <c r="L969" s="29" t="n"/>
      <c r="M969" s="14" t="n"/>
      <c r="N969" s="29" t="n"/>
      <c r="O969" s="13" t="n"/>
      <c r="P969" s="13" t="n"/>
      <c r="Q969" s="35" t="n"/>
      <c r="R969" s="35" t="n"/>
      <c r="S969" s="35" t="n"/>
      <c r="T969" s="35" t="n"/>
      <c r="U969" s="35" t="n"/>
      <c r="V969" s="18">
        <f>IF(COUNTA($B969:$R969)=0,"",ROUND(N($R969)+N($S969)+N($T969)-N($U969),2))</f>
        <v/>
      </c>
      <c r="W969" s="18">
        <f>IF(COUNTA($B969:$R969)=0,"",IF(OR($X969="Pago",$X969="Recebido",$X969="Cancelado"),0,ROUND(N($Q969)+N($S969)+N($T969)-N($U969)-N($R969),2)))</f>
        <v/>
      </c>
      <c r="X969" s="14" t="n"/>
      <c r="Y969" s="17">
        <f>IF(COUNTA($B969:$R969)=0,"",IF($X969="Cancelado","Cancelado",IF(OR($X969="Pago",$X969="Recebido"),$X969,IF(OR($X969="Parcial",N($R969)&gt;0),"Parcial",IF($C969="","Sem vencimento",IF($C969&lt;TODAY(),"Vencido",IF($C969=TODAY(),"Vence hoje",IF($C969&lt;=TODAY()+7,"Vence em 7 dias",IF($C969&lt;=TODAY()+30,"Vence em 30 dias","Futuro")))))))))</f>
        <v/>
      </c>
      <c r="Z969" s="24">
        <f>IF($B969="","",MONTH($B969))</f>
        <v/>
      </c>
      <c r="AA969" s="24">
        <f>IF($B969="","",YEAR($B969))</f>
        <v/>
      </c>
      <c r="AB969" s="24">
        <f>IF($B969="","",ISOWEEKNUM($B969))</f>
        <v/>
      </c>
      <c r="AC969" s="17">
        <f>IF($B969="","",CHOOSE(WEEKDAY($B969,2),"Segunda","Terça","Quarta","Quinta","Sexta","Sábado","Domingo"))</f>
        <v/>
      </c>
      <c r="AD969" s="17">
        <f>IF($B969="","",TEXT($B969,"MM/AAAA"))</f>
        <v/>
      </c>
      <c r="AE969" s="18">
        <f>IF(COUNTA($B969:$R969)=0,"",IF($X969="Cancelado",0,ROUND(N($Q969)+N($S969)+N($T969)-N($U969),2)))</f>
        <v/>
      </c>
      <c r="AF969" s="9">
        <f>IF($G969="","",IFERROR(INDEX(LINHAS_DRE_PLANO,MATCH($G969,SUBCATEGORIAS_PLANO,0)),"Não classificado"))</f>
        <v/>
      </c>
      <c r="AG969" s="17">
        <f>IF($G969="","",IFERROR(INDEX(TIPOS_FLUXO_PLANO,MATCH($G969,SUBCATEGORIAS_PLANO,0)),"Não classificado"))</f>
        <v/>
      </c>
      <c r="AH969" s="9">
        <f>IF($G969="","",IFERROR(INDEX(GRUPOS_PLANO,MATCH($G969,SUBCATEGORIAS_PLANO,0)),"Não classificado"))</f>
        <v/>
      </c>
      <c r="AI969" s="24">
        <f>IF(OR($C969="",$X969="Pago",$X969="Recebido",$X969="Cancelado"),"",$C969-TODAY())</f>
        <v/>
      </c>
      <c r="AJ969" s="24">
        <f>IF(OR($C969="",$X969="Pago",$X969="Recebido",$X969="Cancelado"),0,MAX(0,TODAY()-$C969))</f>
        <v/>
      </c>
      <c r="AK969" s="24">
        <f>IF($D969="","",$D969-$B969)</f>
        <v/>
      </c>
      <c r="AL969" s="18">
        <f>IF(OR($D969="",$B969=""),"",ROUND(N($R969)*($D969-$B969),2))</f>
        <v/>
      </c>
      <c r="AM969" s="17">
        <f>IF(AND($E969="Saída",$W969&gt;0,$C969&lt;&gt;""),$C969+ROW()/1000000,"")</f>
        <v/>
      </c>
      <c r="AN969" s="17">
        <f>IF(AND($E969="Entrada",$W969&gt;0,$C969&lt;&gt;""),$C969+ROW()/1000000,"")</f>
        <v/>
      </c>
      <c r="AO969" s="9">
        <f>IF(COUNTA($B969:$R969)=0,"",IF(AND($I969&lt;&gt;"",COUNTIF(CLIENTES_NOMES,$I969)+COUNTIF(CLIENTES_FANTASIA,$I969)+COUNTIF(FORNECEDORES_NOMES,$I969)+COUNTIF(FORNECEDORES_FANTASIA,$I969)=0),"⚠ Cliente/Fornecedor não cadastrado",IF(AND($G969&lt;&gt;"",COUNTIF(SUBCATEGORIAS_PLANO,$G969)=0),"⚠ Subcategoria fora do plano de contas",IF(OR($Q969="",N($Q969)=0),"⚠ Valor previsto não informado",IF(AND(OR($X969="Pago",$X969="Recebido"),$D969=""),"⚠ Status pago/recebido sem data",IF(AND($D969&lt;&gt;"",N($R969)=0),"⚠ Data de pagamento sem valor realizado",IF(AND(N($P969)&gt;1,N($O969)&gt;N($P969)),"⚠ Nº da parcela maior que o total",IF(AND($C969&lt;&gt;"",$B969&lt;&gt;"",$C969&lt;$B969),"⚠ Vencimento anterior à competência","OK"))))))))</f>
        <v/>
      </c>
    </row>
    <row r="970">
      <c r="A970" s="14" t="n"/>
      <c r="B970" s="36" t="n"/>
      <c r="C970" s="36" t="n"/>
      <c r="D970" s="36" t="n"/>
      <c r="E970" s="14" t="n"/>
      <c r="F970" s="29" t="n"/>
      <c r="G970" s="29" t="n"/>
      <c r="H970" s="29" t="n"/>
      <c r="I970" s="29" t="n"/>
      <c r="J970" s="29" t="n"/>
      <c r="K970" s="14" t="n"/>
      <c r="L970" s="29" t="n"/>
      <c r="M970" s="14" t="n"/>
      <c r="N970" s="29" t="n"/>
      <c r="O970" s="13" t="n"/>
      <c r="P970" s="13" t="n"/>
      <c r="Q970" s="35" t="n"/>
      <c r="R970" s="35" t="n"/>
      <c r="S970" s="35" t="n"/>
      <c r="T970" s="35" t="n"/>
      <c r="U970" s="35" t="n"/>
      <c r="V970" s="18">
        <f>IF(COUNTA($B970:$R970)=0,"",ROUND(N($R970)+N($S970)+N($T970)-N($U970),2))</f>
        <v/>
      </c>
      <c r="W970" s="18">
        <f>IF(COUNTA($B970:$R970)=0,"",IF(OR($X970="Pago",$X970="Recebido",$X970="Cancelado"),0,ROUND(N($Q970)+N($S970)+N($T970)-N($U970)-N($R970),2)))</f>
        <v/>
      </c>
      <c r="X970" s="14" t="n"/>
      <c r="Y970" s="17">
        <f>IF(COUNTA($B970:$R970)=0,"",IF($X970="Cancelado","Cancelado",IF(OR($X970="Pago",$X970="Recebido"),$X970,IF(OR($X970="Parcial",N($R970)&gt;0),"Parcial",IF($C970="","Sem vencimento",IF($C970&lt;TODAY(),"Vencido",IF($C970=TODAY(),"Vence hoje",IF($C970&lt;=TODAY()+7,"Vence em 7 dias",IF($C970&lt;=TODAY()+30,"Vence em 30 dias","Futuro")))))))))</f>
        <v/>
      </c>
      <c r="Z970" s="24">
        <f>IF($B970="","",MONTH($B970))</f>
        <v/>
      </c>
      <c r="AA970" s="24">
        <f>IF($B970="","",YEAR($B970))</f>
        <v/>
      </c>
      <c r="AB970" s="24">
        <f>IF($B970="","",ISOWEEKNUM($B970))</f>
        <v/>
      </c>
      <c r="AC970" s="17">
        <f>IF($B970="","",CHOOSE(WEEKDAY($B970,2),"Segunda","Terça","Quarta","Quinta","Sexta","Sábado","Domingo"))</f>
        <v/>
      </c>
      <c r="AD970" s="17">
        <f>IF($B970="","",TEXT($B970,"MM/AAAA"))</f>
        <v/>
      </c>
      <c r="AE970" s="18">
        <f>IF(COUNTA($B970:$R970)=0,"",IF($X970="Cancelado",0,ROUND(N($Q970)+N($S970)+N($T970)-N($U970),2)))</f>
        <v/>
      </c>
      <c r="AF970" s="9">
        <f>IF($G970="","",IFERROR(INDEX(LINHAS_DRE_PLANO,MATCH($G970,SUBCATEGORIAS_PLANO,0)),"Não classificado"))</f>
        <v/>
      </c>
      <c r="AG970" s="17">
        <f>IF($G970="","",IFERROR(INDEX(TIPOS_FLUXO_PLANO,MATCH($G970,SUBCATEGORIAS_PLANO,0)),"Não classificado"))</f>
        <v/>
      </c>
      <c r="AH970" s="9">
        <f>IF($G970="","",IFERROR(INDEX(GRUPOS_PLANO,MATCH($G970,SUBCATEGORIAS_PLANO,0)),"Não classificado"))</f>
        <v/>
      </c>
      <c r="AI970" s="24">
        <f>IF(OR($C970="",$X970="Pago",$X970="Recebido",$X970="Cancelado"),"",$C970-TODAY())</f>
        <v/>
      </c>
      <c r="AJ970" s="24">
        <f>IF(OR($C970="",$X970="Pago",$X970="Recebido",$X970="Cancelado"),0,MAX(0,TODAY()-$C970))</f>
        <v/>
      </c>
      <c r="AK970" s="24">
        <f>IF($D970="","",$D970-$B970)</f>
        <v/>
      </c>
      <c r="AL970" s="18">
        <f>IF(OR($D970="",$B970=""),"",ROUND(N($R970)*($D970-$B970),2))</f>
        <v/>
      </c>
      <c r="AM970" s="17">
        <f>IF(AND($E970="Saída",$W970&gt;0,$C970&lt;&gt;""),$C970+ROW()/1000000,"")</f>
        <v/>
      </c>
      <c r="AN970" s="17">
        <f>IF(AND($E970="Entrada",$W970&gt;0,$C970&lt;&gt;""),$C970+ROW()/1000000,"")</f>
        <v/>
      </c>
      <c r="AO970" s="9">
        <f>IF(COUNTA($B970:$R970)=0,"",IF(AND($I970&lt;&gt;"",COUNTIF(CLIENTES_NOMES,$I970)+COUNTIF(CLIENTES_FANTASIA,$I970)+COUNTIF(FORNECEDORES_NOMES,$I970)+COUNTIF(FORNECEDORES_FANTASIA,$I970)=0),"⚠ Cliente/Fornecedor não cadastrado",IF(AND($G970&lt;&gt;"",COUNTIF(SUBCATEGORIAS_PLANO,$G970)=0),"⚠ Subcategoria fora do plano de contas",IF(OR($Q970="",N($Q970)=0),"⚠ Valor previsto não informado",IF(AND(OR($X970="Pago",$X970="Recebido"),$D970=""),"⚠ Status pago/recebido sem data",IF(AND($D970&lt;&gt;"",N($R970)=0),"⚠ Data de pagamento sem valor realizado",IF(AND(N($P970)&gt;1,N($O970)&gt;N($P970)),"⚠ Nº da parcela maior que o total",IF(AND($C970&lt;&gt;"",$B970&lt;&gt;"",$C970&lt;$B970),"⚠ Vencimento anterior à competência","OK"))))))))</f>
        <v/>
      </c>
    </row>
    <row r="971">
      <c r="A971" s="14" t="n"/>
      <c r="B971" s="36" t="n"/>
      <c r="C971" s="36" t="n"/>
      <c r="D971" s="36" t="n"/>
      <c r="E971" s="14" t="n"/>
      <c r="F971" s="29" t="n"/>
      <c r="G971" s="29" t="n"/>
      <c r="H971" s="29" t="n"/>
      <c r="I971" s="29" t="n"/>
      <c r="J971" s="29" t="n"/>
      <c r="K971" s="14" t="n"/>
      <c r="L971" s="29" t="n"/>
      <c r="M971" s="14" t="n"/>
      <c r="N971" s="29" t="n"/>
      <c r="O971" s="13" t="n"/>
      <c r="P971" s="13" t="n"/>
      <c r="Q971" s="35" t="n"/>
      <c r="R971" s="35" t="n"/>
      <c r="S971" s="35" t="n"/>
      <c r="T971" s="35" t="n"/>
      <c r="U971" s="35" t="n"/>
      <c r="V971" s="18">
        <f>IF(COUNTA($B971:$R971)=0,"",ROUND(N($R971)+N($S971)+N($T971)-N($U971),2))</f>
        <v/>
      </c>
      <c r="W971" s="18">
        <f>IF(COUNTA($B971:$R971)=0,"",IF(OR($X971="Pago",$X971="Recebido",$X971="Cancelado"),0,ROUND(N($Q971)+N($S971)+N($T971)-N($U971)-N($R971),2)))</f>
        <v/>
      </c>
      <c r="X971" s="14" t="n"/>
      <c r="Y971" s="17">
        <f>IF(COUNTA($B971:$R971)=0,"",IF($X971="Cancelado","Cancelado",IF(OR($X971="Pago",$X971="Recebido"),$X971,IF(OR($X971="Parcial",N($R971)&gt;0),"Parcial",IF($C971="","Sem vencimento",IF($C971&lt;TODAY(),"Vencido",IF($C971=TODAY(),"Vence hoje",IF($C971&lt;=TODAY()+7,"Vence em 7 dias",IF($C971&lt;=TODAY()+30,"Vence em 30 dias","Futuro")))))))))</f>
        <v/>
      </c>
      <c r="Z971" s="24">
        <f>IF($B971="","",MONTH($B971))</f>
        <v/>
      </c>
      <c r="AA971" s="24">
        <f>IF($B971="","",YEAR($B971))</f>
        <v/>
      </c>
      <c r="AB971" s="24">
        <f>IF($B971="","",ISOWEEKNUM($B971))</f>
        <v/>
      </c>
      <c r="AC971" s="17">
        <f>IF($B971="","",CHOOSE(WEEKDAY($B971,2),"Segunda","Terça","Quarta","Quinta","Sexta","Sábado","Domingo"))</f>
        <v/>
      </c>
      <c r="AD971" s="17">
        <f>IF($B971="","",TEXT($B971,"MM/AAAA"))</f>
        <v/>
      </c>
      <c r="AE971" s="18">
        <f>IF(COUNTA($B971:$R971)=0,"",IF($X971="Cancelado",0,ROUND(N($Q971)+N($S971)+N($T971)-N($U971),2)))</f>
        <v/>
      </c>
      <c r="AF971" s="9">
        <f>IF($G971="","",IFERROR(INDEX(LINHAS_DRE_PLANO,MATCH($G971,SUBCATEGORIAS_PLANO,0)),"Não classificado"))</f>
        <v/>
      </c>
      <c r="AG971" s="17">
        <f>IF($G971="","",IFERROR(INDEX(TIPOS_FLUXO_PLANO,MATCH($G971,SUBCATEGORIAS_PLANO,0)),"Não classificado"))</f>
        <v/>
      </c>
      <c r="AH971" s="9">
        <f>IF($G971="","",IFERROR(INDEX(GRUPOS_PLANO,MATCH($G971,SUBCATEGORIAS_PLANO,0)),"Não classificado"))</f>
        <v/>
      </c>
      <c r="AI971" s="24">
        <f>IF(OR($C971="",$X971="Pago",$X971="Recebido",$X971="Cancelado"),"",$C971-TODAY())</f>
        <v/>
      </c>
      <c r="AJ971" s="24">
        <f>IF(OR($C971="",$X971="Pago",$X971="Recebido",$X971="Cancelado"),0,MAX(0,TODAY()-$C971))</f>
        <v/>
      </c>
      <c r="AK971" s="24">
        <f>IF($D971="","",$D971-$B971)</f>
        <v/>
      </c>
      <c r="AL971" s="18">
        <f>IF(OR($D971="",$B971=""),"",ROUND(N($R971)*($D971-$B971),2))</f>
        <v/>
      </c>
      <c r="AM971" s="17">
        <f>IF(AND($E971="Saída",$W971&gt;0,$C971&lt;&gt;""),$C971+ROW()/1000000,"")</f>
        <v/>
      </c>
      <c r="AN971" s="17">
        <f>IF(AND($E971="Entrada",$W971&gt;0,$C971&lt;&gt;""),$C971+ROW()/1000000,"")</f>
        <v/>
      </c>
      <c r="AO971" s="9">
        <f>IF(COUNTA($B971:$R971)=0,"",IF(AND($I971&lt;&gt;"",COUNTIF(CLIENTES_NOMES,$I971)+COUNTIF(CLIENTES_FANTASIA,$I971)+COUNTIF(FORNECEDORES_NOMES,$I971)+COUNTIF(FORNECEDORES_FANTASIA,$I971)=0),"⚠ Cliente/Fornecedor não cadastrado",IF(AND($G971&lt;&gt;"",COUNTIF(SUBCATEGORIAS_PLANO,$G971)=0),"⚠ Subcategoria fora do plano de contas",IF(OR($Q971="",N($Q971)=0),"⚠ Valor previsto não informado",IF(AND(OR($X971="Pago",$X971="Recebido"),$D971=""),"⚠ Status pago/recebido sem data",IF(AND($D971&lt;&gt;"",N($R971)=0),"⚠ Data de pagamento sem valor realizado",IF(AND(N($P971)&gt;1,N($O971)&gt;N($P971)),"⚠ Nº da parcela maior que o total",IF(AND($C971&lt;&gt;"",$B971&lt;&gt;"",$C971&lt;$B971),"⚠ Vencimento anterior à competência","OK"))))))))</f>
        <v/>
      </c>
    </row>
    <row r="972">
      <c r="A972" s="14" t="n"/>
      <c r="B972" s="36" t="n"/>
      <c r="C972" s="36" t="n"/>
      <c r="D972" s="36" t="n"/>
      <c r="E972" s="14" t="n"/>
      <c r="F972" s="29" t="n"/>
      <c r="G972" s="29" t="n"/>
      <c r="H972" s="29" t="n"/>
      <c r="I972" s="29" t="n"/>
      <c r="J972" s="29" t="n"/>
      <c r="K972" s="14" t="n"/>
      <c r="L972" s="29" t="n"/>
      <c r="M972" s="14" t="n"/>
      <c r="N972" s="29" t="n"/>
      <c r="O972" s="13" t="n"/>
      <c r="P972" s="13" t="n"/>
      <c r="Q972" s="35" t="n"/>
      <c r="R972" s="35" t="n"/>
      <c r="S972" s="35" t="n"/>
      <c r="T972" s="35" t="n"/>
      <c r="U972" s="35" t="n"/>
      <c r="V972" s="18">
        <f>IF(COUNTA($B972:$R972)=0,"",ROUND(N($R972)+N($S972)+N($T972)-N($U972),2))</f>
        <v/>
      </c>
      <c r="W972" s="18">
        <f>IF(COUNTA($B972:$R972)=0,"",IF(OR($X972="Pago",$X972="Recebido",$X972="Cancelado"),0,ROUND(N($Q972)+N($S972)+N($T972)-N($U972)-N($R972),2)))</f>
        <v/>
      </c>
      <c r="X972" s="14" t="n"/>
      <c r="Y972" s="17">
        <f>IF(COUNTA($B972:$R972)=0,"",IF($X972="Cancelado","Cancelado",IF(OR($X972="Pago",$X972="Recebido"),$X972,IF(OR($X972="Parcial",N($R972)&gt;0),"Parcial",IF($C972="","Sem vencimento",IF($C972&lt;TODAY(),"Vencido",IF($C972=TODAY(),"Vence hoje",IF($C972&lt;=TODAY()+7,"Vence em 7 dias",IF($C972&lt;=TODAY()+30,"Vence em 30 dias","Futuro")))))))))</f>
        <v/>
      </c>
      <c r="Z972" s="24">
        <f>IF($B972="","",MONTH($B972))</f>
        <v/>
      </c>
      <c r="AA972" s="24">
        <f>IF($B972="","",YEAR($B972))</f>
        <v/>
      </c>
      <c r="AB972" s="24">
        <f>IF($B972="","",ISOWEEKNUM($B972))</f>
        <v/>
      </c>
      <c r="AC972" s="17">
        <f>IF($B972="","",CHOOSE(WEEKDAY($B972,2),"Segunda","Terça","Quarta","Quinta","Sexta","Sábado","Domingo"))</f>
        <v/>
      </c>
      <c r="AD972" s="17">
        <f>IF($B972="","",TEXT($B972,"MM/AAAA"))</f>
        <v/>
      </c>
      <c r="AE972" s="18">
        <f>IF(COUNTA($B972:$R972)=0,"",IF($X972="Cancelado",0,ROUND(N($Q972)+N($S972)+N($T972)-N($U972),2)))</f>
        <v/>
      </c>
      <c r="AF972" s="9">
        <f>IF($G972="","",IFERROR(INDEX(LINHAS_DRE_PLANO,MATCH($G972,SUBCATEGORIAS_PLANO,0)),"Não classificado"))</f>
        <v/>
      </c>
      <c r="AG972" s="17">
        <f>IF($G972="","",IFERROR(INDEX(TIPOS_FLUXO_PLANO,MATCH($G972,SUBCATEGORIAS_PLANO,0)),"Não classificado"))</f>
        <v/>
      </c>
      <c r="AH972" s="9">
        <f>IF($G972="","",IFERROR(INDEX(GRUPOS_PLANO,MATCH($G972,SUBCATEGORIAS_PLANO,0)),"Não classificado"))</f>
        <v/>
      </c>
      <c r="AI972" s="24">
        <f>IF(OR($C972="",$X972="Pago",$X972="Recebido",$X972="Cancelado"),"",$C972-TODAY())</f>
        <v/>
      </c>
      <c r="AJ972" s="24">
        <f>IF(OR($C972="",$X972="Pago",$X972="Recebido",$X972="Cancelado"),0,MAX(0,TODAY()-$C972))</f>
        <v/>
      </c>
      <c r="AK972" s="24">
        <f>IF($D972="","",$D972-$B972)</f>
        <v/>
      </c>
      <c r="AL972" s="18">
        <f>IF(OR($D972="",$B972=""),"",ROUND(N($R972)*($D972-$B972),2))</f>
        <v/>
      </c>
      <c r="AM972" s="17">
        <f>IF(AND($E972="Saída",$W972&gt;0,$C972&lt;&gt;""),$C972+ROW()/1000000,"")</f>
        <v/>
      </c>
      <c r="AN972" s="17">
        <f>IF(AND($E972="Entrada",$W972&gt;0,$C972&lt;&gt;""),$C972+ROW()/1000000,"")</f>
        <v/>
      </c>
      <c r="AO972" s="9">
        <f>IF(COUNTA($B972:$R972)=0,"",IF(AND($I972&lt;&gt;"",COUNTIF(CLIENTES_NOMES,$I972)+COUNTIF(CLIENTES_FANTASIA,$I972)+COUNTIF(FORNECEDORES_NOMES,$I972)+COUNTIF(FORNECEDORES_FANTASIA,$I972)=0),"⚠ Cliente/Fornecedor não cadastrado",IF(AND($G972&lt;&gt;"",COUNTIF(SUBCATEGORIAS_PLANO,$G972)=0),"⚠ Subcategoria fora do plano de contas",IF(OR($Q972="",N($Q972)=0),"⚠ Valor previsto não informado",IF(AND(OR($X972="Pago",$X972="Recebido"),$D972=""),"⚠ Status pago/recebido sem data",IF(AND($D972&lt;&gt;"",N($R972)=0),"⚠ Data de pagamento sem valor realizado",IF(AND(N($P972)&gt;1,N($O972)&gt;N($P972)),"⚠ Nº da parcela maior que o total",IF(AND($C972&lt;&gt;"",$B972&lt;&gt;"",$C972&lt;$B972),"⚠ Vencimento anterior à competência","OK"))))))))</f>
        <v/>
      </c>
    </row>
    <row r="973">
      <c r="A973" s="14" t="n"/>
      <c r="B973" s="36" t="n"/>
      <c r="C973" s="36" t="n"/>
      <c r="D973" s="36" t="n"/>
      <c r="E973" s="14" t="n"/>
      <c r="F973" s="29" t="n"/>
      <c r="G973" s="29" t="n"/>
      <c r="H973" s="29" t="n"/>
      <c r="I973" s="29" t="n"/>
      <c r="J973" s="29" t="n"/>
      <c r="K973" s="14" t="n"/>
      <c r="L973" s="29" t="n"/>
      <c r="M973" s="14" t="n"/>
      <c r="N973" s="29" t="n"/>
      <c r="O973" s="13" t="n"/>
      <c r="P973" s="13" t="n"/>
      <c r="Q973" s="35" t="n"/>
      <c r="R973" s="35" t="n"/>
      <c r="S973" s="35" t="n"/>
      <c r="T973" s="35" t="n"/>
      <c r="U973" s="35" t="n"/>
      <c r="V973" s="18">
        <f>IF(COUNTA($B973:$R973)=0,"",ROUND(N($R973)+N($S973)+N($T973)-N($U973),2))</f>
        <v/>
      </c>
      <c r="W973" s="18">
        <f>IF(COUNTA($B973:$R973)=0,"",IF(OR($X973="Pago",$X973="Recebido",$X973="Cancelado"),0,ROUND(N($Q973)+N($S973)+N($T973)-N($U973)-N($R973),2)))</f>
        <v/>
      </c>
      <c r="X973" s="14" t="n"/>
      <c r="Y973" s="17">
        <f>IF(COUNTA($B973:$R973)=0,"",IF($X973="Cancelado","Cancelado",IF(OR($X973="Pago",$X973="Recebido"),$X973,IF(OR($X973="Parcial",N($R973)&gt;0),"Parcial",IF($C973="","Sem vencimento",IF($C973&lt;TODAY(),"Vencido",IF($C973=TODAY(),"Vence hoje",IF($C973&lt;=TODAY()+7,"Vence em 7 dias",IF($C973&lt;=TODAY()+30,"Vence em 30 dias","Futuro")))))))))</f>
        <v/>
      </c>
      <c r="Z973" s="24">
        <f>IF($B973="","",MONTH($B973))</f>
        <v/>
      </c>
      <c r="AA973" s="24">
        <f>IF($B973="","",YEAR($B973))</f>
        <v/>
      </c>
      <c r="AB973" s="24">
        <f>IF($B973="","",ISOWEEKNUM($B973))</f>
        <v/>
      </c>
      <c r="AC973" s="17">
        <f>IF($B973="","",CHOOSE(WEEKDAY($B973,2),"Segunda","Terça","Quarta","Quinta","Sexta","Sábado","Domingo"))</f>
        <v/>
      </c>
      <c r="AD973" s="17">
        <f>IF($B973="","",TEXT($B973,"MM/AAAA"))</f>
        <v/>
      </c>
      <c r="AE973" s="18">
        <f>IF(COUNTA($B973:$R973)=0,"",IF($X973="Cancelado",0,ROUND(N($Q973)+N($S973)+N($T973)-N($U973),2)))</f>
        <v/>
      </c>
      <c r="AF973" s="9">
        <f>IF($G973="","",IFERROR(INDEX(LINHAS_DRE_PLANO,MATCH($G973,SUBCATEGORIAS_PLANO,0)),"Não classificado"))</f>
        <v/>
      </c>
      <c r="AG973" s="17">
        <f>IF($G973="","",IFERROR(INDEX(TIPOS_FLUXO_PLANO,MATCH($G973,SUBCATEGORIAS_PLANO,0)),"Não classificado"))</f>
        <v/>
      </c>
      <c r="AH973" s="9">
        <f>IF($G973="","",IFERROR(INDEX(GRUPOS_PLANO,MATCH($G973,SUBCATEGORIAS_PLANO,0)),"Não classificado"))</f>
        <v/>
      </c>
      <c r="AI973" s="24">
        <f>IF(OR($C973="",$X973="Pago",$X973="Recebido",$X973="Cancelado"),"",$C973-TODAY())</f>
        <v/>
      </c>
      <c r="AJ973" s="24">
        <f>IF(OR($C973="",$X973="Pago",$X973="Recebido",$X973="Cancelado"),0,MAX(0,TODAY()-$C973))</f>
        <v/>
      </c>
      <c r="AK973" s="24">
        <f>IF($D973="","",$D973-$B973)</f>
        <v/>
      </c>
      <c r="AL973" s="18">
        <f>IF(OR($D973="",$B973=""),"",ROUND(N($R973)*($D973-$B973),2))</f>
        <v/>
      </c>
      <c r="AM973" s="17">
        <f>IF(AND($E973="Saída",$W973&gt;0,$C973&lt;&gt;""),$C973+ROW()/1000000,"")</f>
        <v/>
      </c>
      <c r="AN973" s="17">
        <f>IF(AND($E973="Entrada",$W973&gt;0,$C973&lt;&gt;""),$C973+ROW()/1000000,"")</f>
        <v/>
      </c>
      <c r="AO973" s="9">
        <f>IF(COUNTA($B973:$R973)=0,"",IF(AND($I973&lt;&gt;"",COUNTIF(CLIENTES_NOMES,$I973)+COUNTIF(CLIENTES_FANTASIA,$I973)+COUNTIF(FORNECEDORES_NOMES,$I973)+COUNTIF(FORNECEDORES_FANTASIA,$I973)=0),"⚠ Cliente/Fornecedor não cadastrado",IF(AND($G973&lt;&gt;"",COUNTIF(SUBCATEGORIAS_PLANO,$G973)=0),"⚠ Subcategoria fora do plano de contas",IF(OR($Q973="",N($Q973)=0),"⚠ Valor previsto não informado",IF(AND(OR($X973="Pago",$X973="Recebido"),$D973=""),"⚠ Status pago/recebido sem data",IF(AND($D973&lt;&gt;"",N($R973)=0),"⚠ Data de pagamento sem valor realizado",IF(AND(N($P973)&gt;1,N($O973)&gt;N($P973)),"⚠ Nº da parcela maior que o total",IF(AND($C973&lt;&gt;"",$B973&lt;&gt;"",$C973&lt;$B973),"⚠ Vencimento anterior à competência","OK"))))))))</f>
        <v/>
      </c>
    </row>
    <row r="974">
      <c r="A974" s="14" t="n"/>
      <c r="B974" s="36" t="n"/>
      <c r="C974" s="36" t="n"/>
      <c r="D974" s="36" t="n"/>
      <c r="E974" s="14" t="n"/>
      <c r="F974" s="29" t="n"/>
      <c r="G974" s="29" t="n"/>
      <c r="H974" s="29" t="n"/>
      <c r="I974" s="29" t="n"/>
      <c r="J974" s="29" t="n"/>
      <c r="K974" s="14" t="n"/>
      <c r="L974" s="29" t="n"/>
      <c r="M974" s="14" t="n"/>
      <c r="N974" s="29" t="n"/>
      <c r="O974" s="13" t="n"/>
      <c r="P974" s="13" t="n"/>
      <c r="Q974" s="35" t="n"/>
      <c r="R974" s="35" t="n"/>
      <c r="S974" s="35" t="n"/>
      <c r="T974" s="35" t="n"/>
      <c r="U974" s="35" t="n"/>
      <c r="V974" s="18">
        <f>IF(COUNTA($B974:$R974)=0,"",ROUND(N($R974)+N($S974)+N($T974)-N($U974),2))</f>
        <v/>
      </c>
      <c r="W974" s="18">
        <f>IF(COUNTA($B974:$R974)=0,"",IF(OR($X974="Pago",$X974="Recebido",$X974="Cancelado"),0,ROUND(N($Q974)+N($S974)+N($T974)-N($U974)-N($R974),2)))</f>
        <v/>
      </c>
      <c r="X974" s="14" t="n"/>
      <c r="Y974" s="17">
        <f>IF(COUNTA($B974:$R974)=0,"",IF($X974="Cancelado","Cancelado",IF(OR($X974="Pago",$X974="Recebido"),$X974,IF(OR($X974="Parcial",N($R974)&gt;0),"Parcial",IF($C974="","Sem vencimento",IF($C974&lt;TODAY(),"Vencido",IF($C974=TODAY(),"Vence hoje",IF($C974&lt;=TODAY()+7,"Vence em 7 dias",IF($C974&lt;=TODAY()+30,"Vence em 30 dias","Futuro")))))))))</f>
        <v/>
      </c>
      <c r="Z974" s="24">
        <f>IF($B974="","",MONTH($B974))</f>
        <v/>
      </c>
      <c r="AA974" s="24">
        <f>IF($B974="","",YEAR($B974))</f>
        <v/>
      </c>
      <c r="AB974" s="24">
        <f>IF($B974="","",ISOWEEKNUM($B974))</f>
        <v/>
      </c>
      <c r="AC974" s="17">
        <f>IF($B974="","",CHOOSE(WEEKDAY($B974,2),"Segunda","Terça","Quarta","Quinta","Sexta","Sábado","Domingo"))</f>
        <v/>
      </c>
      <c r="AD974" s="17">
        <f>IF($B974="","",TEXT($B974,"MM/AAAA"))</f>
        <v/>
      </c>
      <c r="AE974" s="18">
        <f>IF(COUNTA($B974:$R974)=0,"",IF($X974="Cancelado",0,ROUND(N($Q974)+N($S974)+N($T974)-N($U974),2)))</f>
        <v/>
      </c>
      <c r="AF974" s="9">
        <f>IF($G974="","",IFERROR(INDEX(LINHAS_DRE_PLANO,MATCH($G974,SUBCATEGORIAS_PLANO,0)),"Não classificado"))</f>
        <v/>
      </c>
      <c r="AG974" s="17">
        <f>IF($G974="","",IFERROR(INDEX(TIPOS_FLUXO_PLANO,MATCH($G974,SUBCATEGORIAS_PLANO,0)),"Não classificado"))</f>
        <v/>
      </c>
      <c r="AH974" s="9">
        <f>IF($G974="","",IFERROR(INDEX(GRUPOS_PLANO,MATCH($G974,SUBCATEGORIAS_PLANO,0)),"Não classificado"))</f>
        <v/>
      </c>
      <c r="AI974" s="24">
        <f>IF(OR($C974="",$X974="Pago",$X974="Recebido",$X974="Cancelado"),"",$C974-TODAY())</f>
        <v/>
      </c>
      <c r="AJ974" s="24">
        <f>IF(OR($C974="",$X974="Pago",$X974="Recebido",$X974="Cancelado"),0,MAX(0,TODAY()-$C974))</f>
        <v/>
      </c>
      <c r="AK974" s="24">
        <f>IF($D974="","",$D974-$B974)</f>
        <v/>
      </c>
      <c r="AL974" s="18">
        <f>IF(OR($D974="",$B974=""),"",ROUND(N($R974)*($D974-$B974),2))</f>
        <v/>
      </c>
      <c r="AM974" s="17">
        <f>IF(AND($E974="Saída",$W974&gt;0,$C974&lt;&gt;""),$C974+ROW()/1000000,"")</f>
        <v/>
      </c>
      <c r="AN974" s="17">
        <f>IF(AND($E974="Entrada",$W974&gt;0,$C974&lt;&gt;""),$C974+ROW()/1000000,"")</f>
        <v/>
      </c>
      <c r="AO974" s="9">
        <f>IF(COUNTA($B974:$R974)=0,"",IF(AND($I974&lt;&gt;"",COUNTIF(CLIENTES_NOMES,$I974)+COUNTIF(CLIENTES_FANTASIA,$I974)+COUNTIF(FORNECEDORES_NOMES,$I974)+COUNTIF(FORNECEDORES_FANTASIA,$I974)=0),"⚠ Cliente/Fornecedor não cadastrado",IF(AND($G974&lt;&gt;"",COUNTIF(SUBCATEGORIAS_PLANO,$G974)=0),"⚠ Subcategoria fora do plano de contas",IF(OR($Q974="",N($Q974)=0),"⚠ Valor previsto não informado",IF(AND(OR($X974="Pago",$X974="Recebido"),$D974=""),"⚠ Status pago/recebido sem data",IF(AND($D974&lt;&gt;"",N($R974)=0),"⚠ Data de pagamento sem valor realizado",IF(AND(N($P974)&gt;1,N($O974)&gt;N($P974)),"⚠ Nº da parcela maior que o total",IF(AND($C974&lt;&gt;"",$B974&lt;&gt;"",$C974&lt;$B974),"⚠ Vencimento anterior à competência","OK"))))))))</f>
        <v/>
      </c>
    </row>
    <row r="975">
      <c r="A975" s="14" t="n"/>
      <c r="B975" s="36" t="n"/>
      <c r="C975" s="36" t="n"/>
      <c r="D975" s="36" t="n"/>
      <c r="E975" s="14" t="n"/>
      <c r="F975" s="29" t="n"/>
      <c r="G975" s="29" t="n"/>
      <c r="H975" s="29" t="n"/>
      <c r="I975" s="29" t="n"/>
      <c r="J975" s="29" t="n"/>
      <c r="K975" s="14" t="n"/>
      <c r="L975" s="29" t="n"/>
      <c r="M975" s="14" t="n"/>
      <c r="N975" s="29" t="n"/>
      <c r="O975" s="13" t="n"/>
      <c r="P975" s="13" t="n"/>
      <c r="Q975" s="35" t="n"/>
      <c r="R975" s="35" t="n"/>
      <c r="S975" s="35" t="n"/>
      <c r="T975" s="35" t="n"/>
      <c r="U975" s="35" t="n"/>
      <c r="V975" s="18">
        <f>IF(COUNTA($B975:$R975)=0,"",ROUND(N($R975)+N($S975)+N($T975)-N($U975),2))</f>
        <v/>
      </c>
      <c r="W975" s="18">
        <f>IF(COUNTA($B975:$R975)=0,"",IF(OR($X975="Pago",$X975="Recebido",$X975="Cancelado"),0,ROUND(N($Q975)+N($S975)+N($T975)-N($U975)-N($R975),2)))</f>
        <v/>
      </c>
      <c r="X975" s="14" t="n"/>
      <c r="Y975" s="17">
        <f>IF(COUNTA($B975:$R975)=0,"",IF($X975="Cancelado","Cancelado",IF(OR($X975="Pago",$X975="Recebido"),$X975,IF(OR($X975="Parcial",N($R975)&gt;0),"Parcial",IF($C975="","Sem vencimento",IF($C975&lt;TODAY(),"Vencido",IF($C975=TODAY(),"Vence hoje",IF($C975&lt;=TODAY()+7,"Vence em 7 dias",IF($C975&lt;=TODAY()+30,"Vence em 30 dias","Futuro")))))))))</f>
        <v/>
      </c>
      <c r="Z975" s="24">
        <f>IF($B975="","",MONTH($B975))</f>
        <v/>
      </c>
      <c r="AA975" s="24">
        <f>IF($B975="","",YEAR($B975))</f>
        <v/>
      </c>
      <c r="AB975" s="24">
        <f>IF($B975="","",ISOWEEKNUM($B975))</f>
        <v/>
      </c>
      <c r="AC975" s="17">
        <f>IF($B975="","",CHOOSE(WEEKDAY($B975,2),"Segunda","Terça","Quarta","Quinta","Sexta","Sábado","Domingo"))</f>
        <v/>
      </c>
      <c r="AD975" s="17">
        <f>IF($B975="","",TEXT($B975,"MM/AAAA"))</f>
        <v/>
      </c>
      <c r="AE975" s="18">
        <f>IF(COUNTA($B975:$R975)=0,"",IF($X975="Cancelado",0,ROUND(N($Q975)+N($S975)+N($T975)-N($U975),2)))</f>
        <v/>
      </c>
      <c r="AF975" s="9">
        <f>IF($G975="","",IFERROR(INDEX(LINHAS_DRE_PLANO,MATCH($G975,SUBCATEGORIAS_PLANO,0)),"Não classificado"))</f>
        <v/>
      </c>
      <c r="AG975" s="17">
        <f>IF($G975="","",IFERROR(INDEX(TIPOS_FLUXO_PLANO,MATCH($G975,SUBCATEGORIAS_PLANO,0)),"Não classificado"))</f>
        <v/>
      </c>
      <c r="AH975" s="9">
        <f>IF($G975="","",IFERROR(INDEX(GRUPOS_PLANO,MATCH($G975,SUBCATEGORIAS_PLANO,0)),"Não classificado"))</f>
        <v/>
      </c>
      <c r="AI975" s="24">
        <f>IF(OR($C975="",$X975="Pago",$X975="Recebido",$X975="Cancelado"),"",$C975-TODAY())</f>
        <v/>
      </c>
      <c r="AJ975" s="24">
        <f>IF(OR($C975="",$X975="Pago",$X975="Recebido",$X975="Cancelado"),0,MAX(0,TODAY()-$C975))</f>
        <v/>
      </c>
      <c r="AK975" s="24">
        <f>IF($D975="","",$D975-$B975)</f>
        <v/>
      </c>
      <c r="AL975" s="18">
        <f>IF(OR($D975="",$B975=""),"",ROUND(N($R975)*($D975-$B975),2))</f>
        <v/>
      </c>
      <c r="AM975" s="17">
        <f>IF(AND($E975="Saída",$W975&gt;0,$C975&lt;&gt;""),$C975+ROW()/1000000,"")</f>
        <v/>
      </c>
      <c r="AN975" s="17">
        <f>IF(AND($E975="Entrada",$W975&gt;0,$C975&lt;&gt;""),$C975+ROW()/1000000,"")</f>
        <v/>
      </c>
      <c r="AO975" s="9">
        <f>IF(COUNTA($B975:$R975)=0,"",IF(AND($I975&lt;&gt;"",COUNTIF(CLIENTES_NOMES,$I975)+COUNTIF(CLIENTES_FANTASIA,$I975)+COUNTIF(FORNECEDORES_NOMES,$I975)+COUNTIF(FORNECEDORES_FANTASIA,$I975)=0),"⚠ Cliente/Fornecedor não cadastrado",IF(AND($G975&lt;&gt;"",COUNTIF(SUBCATEGORIAS_PLANO,$G975)=0),"⚠ Subcategoria fora do plano de contas",IF(OR($Q975="",N($Q975)=0),"⚠ Valor previsto não informado",IF(AND(OR($X975="Pago",$X975="Recebido"),$D975=""),"⚠ Status pago/recebido sem data",IF(AND($D975&lt;&gt;"",N($R975)=0),"⚠ Data de pagamento sem valor realizado",IF(AND(N($P975)&gt;1,N($O975)&gt;N($P975)),"⚠ Nº da parcela maior que o total",IF(AND($C975&lt;&gt;"",$B975&lt;&gt;"",$C975&lt;$B975),"⚠ Vencimento anterior à competência","OK"))))))))</f>
        <v/>
      </c>
    </row>
    <row r="976">
      <c r="A976" s="14" t="n"/>
      <c r="B976" s="36" t="n"/>
      <c r="C976" s="36" t="n"/>
      <c r="D976" s="36" t="n"/>
      <c r="E976" s="14" t="n"/>
      <c r="F976" s="29" t="n"/>
      <c r="G976" s="29" t="n"/>
      <c r="H976" s="29" t="n"/>
      <c r="I976" s="29" t="n"/>
      <c r="J976" s="29" t="n"/>
      <c r="K976" s="14" t="n"/>
      <c r="L976" s="29" t="n"/>
      <c r="M976" s="14" t="n"/>
      <c r="N976" s="29" t="n"/>
      <c r="O976" s="13" t="n"/>
      <c r="P976" s="13" t="n"/>
      <c r="Q976" s="35" t="n"/>
      <c r="R976" s="35" t="n"/>
      <c r="S976" s="35" t="n"/>
      <c r="T976" s="35" t="n"/>
      <c r="U976" s="35" t="n"/>
      <c r="V976" s="18">
        <f>IF(COUNTA($B976:$R976)=0,"",ROUND(N($R976)+N($S976)+N($T976)-N($U976),2))</f>
        <v/>
      </c>
      <c r="W976" s="18">
        <f>IF(COUNTA($B976:$R976)=0,"",IF(OR($X976="Pago",$X976="Recebido",$X976="Cancelado"),0,ROUND(N($Q976)+N($S976)+N($T976)-N($U976)-N($R976),2)))</f>
        <v/>
      </c>
      <c r="X976" s="14" t="n"/>
      <c r="Y976" s="17">
        <f>IF(COUNTA($B976:$R976)=0,"",IF($X976="Cancelado","Cancelado",IF(OR($X976="Pago",$X976="Recebido"),$X976,IF(OR($X976="Parcial",N($R976)&gt;0),"Parcial",IF($C976="","Sem vencimento",IF($C976&lt;TODAY(),"Vencido",IF($C976=TODAY(),"Vence hoje",IF($C976&lt;=TODAY()+7,"Vence em 7 dias",IF($C976&lt;=TODAY()+30,"Vence em 30 dias","Futuro")))))))))</f>
        <v/>
      </c>
      <c r="Z976" s="24">
        <f>IF($B976="","",MONTH($B976))</f>
        <v/>
      </c>
      <c r="AA976" s="24">
        <f>IF($B976="","",YEAR($B976))</f>
        <v/>
      </c>
      <c r="AB976" s="24">
        <f>IF($B976="","",ISOWEEKNUM($B976))</f>
        <v/>
      </c>
      <c r="AC976" s="17">
        <f>IF($B976="","",CHOOSE(WEEKDAY($B976,2),"Segunda","Terça","Quarta","Quinta","Sexta","Sábado","Domingo"))</f>
        <v/>
      </c>
      <c r="AD976" s="17">
        <f>IF($B976="","",TEXT($B976,"MM/AAAA"))</f>
        <v/>
      </c>
      <c r="AE976" s="18">
        <f>IF(COUNTA($B976:$R976)=0,"",IF($X976="Cancelado",0,ROUND(N($Q976)+N($S976)+N($T976)-N($U976),2)))</f>
        <v/>
      </c>
      <c r="AF976" s="9">
        <f>IF($G976="","",IFERROR(INDEX(LINHAS_DRE_PLANO,MATCH($G976,SUBCATEGORIAS_PLANO,0)),"Não classificado"))</f>
        <v/>
      </c>
      <c r="AG976" s="17">
        <f>IF($G976="","",IFERROR(INDEX(TIPOS_FLUXO_PLANO,MATCH($G976,SUBCATEGORIAS_PLANO,0)),"Não classificado"))</f>
        <v/>
      </c>
      <c r="AH976" s="9">
        <f>IF($G976="","",IFERROR(INDEX(GRUPOS_PLANO,MATCH($G976,SUBCATEGORIAS_PLANO,0)),"Não classificado"))</f>
        <v/>
      </c>
      <c r="AI976" s="24">
        <f>IF(OR($C976="",$X976="Pago",$X976="Recebido",$X976="Cancelado"),"",$C976-TODAY())</f>
        <v/>
      </c>
      <c r="AJ976" s="24">
        <f>IF(OR($C976="",$X976="Pago",$X976="Recebido",$X976="Cancelado"),0,MAX(0,TODAY()-$C976))</f>
        <v/>
      </c>
      <c r="AK976" s="24">
        <f>IF($D976="","",$D976-$B976)</f>
        <v/>
      </c>
      <c r="AL976" s="18">
        <f>IF(OR($D976="",$B976=""),"",ROUND(N($R976)*($D976-$B976),2))</f>
        <v/>
      </c>
      <c r="AM976" s="17">
        <f>IF(AND($E976="Saída",$W976&gt;0,$C976&lt;&gt;""),$C976+ROW()/1000000,"")</f>
        <v/>
      </c>
      <c r="AN976" s="17">
        <f>IF(AND($E976="Entrada",$W976&gt;0,$C976&lt;&gt;""),$C976+ROW()/1000000,"")</f>
        <v/>
      </c>
      <c r="AO976" s="9">
        <f>IF(COUNTA($B976:$R976)=0,"",IF(AND($I976&lt;&gt;"",COUNTIF(CLIENTES_NOMES,$I976)+COUNTIF(CLIENTES_FANTASIA,$I976)+COUNTIF(FORNECEDORES_NOMES,$I976)+COUNTIF(FORNECEDORES_FANTASIA,$I976)=0),"⚠ Cliente/Fornecedor não cadastrado",IF(AND($G976&lt;&gt;"",COUNTIF(SUBCATEGORIAS_PLANO,$G976)=0),"⚠ Subcategoria fora do plano de contas",IF(OR($Q976="",N($Q976)=0),"⚠ Valor previsto não informado",IF(AND(OR($X976="Pago",$X976="Recebido"),$D976=""),"⚠ Status pago/recebido sem data",IF(AND($D976&lt;&gt;"",N($R976)=0),"⚠ Data de pagamento sem valor realizado",IF(AND(N($P976)&gt;1,N($O976)&gt;N($P976)),"⚠ Nº da parcela maior que o total",IF(AND($C976&lt;&gt;"",$B976&lt;&gt;"",$C976&lt;$B976),"⚠ Vencimento anterior à competência","OK"))))))))</f>
        <v/>
      </c>
    </row>
    <row r="977">
      <c r="A977" s="14" t="n"/>
      <c r="B977" s="36" t="n"/>
      <c r="C977" s="36" t="n"/>
      <c r="D977" s="36" t="n"/>
      <c r="E977" s="14" t="n"/>
      <c r="F977" s="29" t="n"/>
      <c r="G977" s="29" t="n"/>
      <c r="H977" s="29" t="n"/>
      <c r="I977" s="29" t="n"/>
      <c r="J977" s="29" t="n"/>
      <c r="K977" s="14" t="n"/>
      <c r="L977" s="29" t="n"/>
      <c r="M977" s="14" t="n"/>
      <c r="N977" s="29" t="n"/>
      <c r="O977" s="13" t="n"/>
      <c r="P977" s="13" t="n"/>
      <c r="Q977" s="35" t="n"/>
      <c r="R977" s="35" t="n"/>
      <c r="S977" s="35" t="n"/>
      <c r="T977" s="35" t="n"/>
      <c r="U977" s="35" t="n"/>
      <c r="V977" s="18">
        <f>IF(COUNTA($B977:$R977)=0,"",ROUND(N($R977)+N($S977)+N($T977)-N($U977),2))</f>
        <v/>
      </c>
      <c r="W977" s="18">
        <f>IF(COUNTA($B977:$R977)=0,"",IF(OR($X977="Pago",$X977="Recebido",$X977="Cancelado"),0,ROUND(N($Q977)+N($S977)+N($T977)-N($U977)-N($R977),2)))</f>
        <v/>
      </c>
      <c r="X977" s="14" t="n"/>
      <c r="Y977" s="17">
        <f>IF(COUNTA($B977:$R977)=0,"",IF($X977="Cancelado","Cancelado",IF(OR($X977="Pago",$X977="Recebido"),$X977,IF(OR($X977="Parcial",N($R977)&gt;0),"Parcial",IF($C977="","Sem vencimento",IF($C977&lt;TODAY(),"Vencido",IF($C977=TODAY(),"Vence hoje",IF($C977&lt;=TODAY()+7,"Vence em 7 dias",IF($C977&lt;=TODAY()+30,"Vence em 30 dias","Futuro")))))))))</f>
        <v/>
      </c>
      <c r="Z977" s="24">
        <f>IF($B977="","",MONTH($B977))</f>
        <v/>
      </c>
      <c r="AA977" s="24">
        <f>IF($B977="","",YEAR($B977))</f>
        <v/>
      </c>
      <c r="AB977" s="24">
        <f>IF($B977="","",ISOWEEKNUM($B977))</f>
        <v/>
      </c>
      <c r="AC977" s="17">
        <f>IF($B977="","",CHOOSE(WEEKDAY($B977,2),"Segunda","Terça","Quarta","Quinta","Sexta","Sábado","Domingo"))</f>
        <v/>
      </c>
      <c r="AD977" s="17">
        <f>IF($B977="","",TEXT($B977,"MM/AAAA"))</f>
        <v/>
      </c>
      <c r="AE977" s="18">
        <f>IF(COUNTA($B977:$R977)=0,"",IF($X977="Cancelado",0,ROUND(N($Q977)+N($S977)+N($T977)-N($U977),2)))</f>
        <v/>
      </c>
      <c r="AF977" s="9">
        <f>IF($G977="","",IFERROR(INDEX(LINHAS_DRE_PLANO,MATCH($G977,SUBCATEGORIAS_PLANO,0)),"Não classificado"))</f>
        <v/>
      </c>
      <c r="AG977" s="17">
        <f>IF($G977="","",IFERROR(INDEX(TIPOS_FLUXO_PLANO,MATCH($G977,SUBCATEGORIAS_PLANO,0)),"Não classificado"))</f>
        <v/>
      </c>
      <c r="AH977" s="9">
        <f>IF($G977="","",IFERROR(INDEX(GRUPOS_PLANO,MATCH($G977,SUBCATEGORIAS_PLANO,0)),"Não classificado"))</f>
        <v/>
      </c>
      <c r="AI977" s="24">
        <f>IF(OR($C977="",$X977="Pago",$X977="Recebido",$X977="Cancelado"),"",$C977-TODAY())</f>
        <v/>
      </c>
      <c r="AJ977" s="24">
        <f>IF(OR($C977="",$X977="Pago",$X977="Recebido",$X977="Cancelado"),0,MAX(0,TODAY()-$C977))</f>
        <v/>
      </c>
      <c r="AK977" s="24">
        <f>IF($D977="","",$D977-$B977)</f>
        <v/>
      </c>
      <c r="AL977" s="18">
        <f>IF(OR($D977="",$B977=""),"",ROUND(N($R977)*($D977-$B977),2))</f>
        <v/>
      </c>
      <c r="AM977" s="17">
        <f>IF(AND($E977="Saída",$W977&gt;0,$C977&lt;&gt;""),$C977+ROW()/1000000,"")</f>
        <v/>
      </c>
      <c r="AN977" s="17">
        <f>IF(AND($E977="Entrada",$W977&gt;0,$C977&lt;&gt;""),$C977+ROW()/1000000,"")</f>
        <v/>
      </c>
      <c r="AO977" s="9">
        <f>IF(COUNTA($B977:$R977)=0,"",IF(AND($I977&lt;&gt;"",COUNTIF(CLIENTES_NOMES,$I977)+COUNTIF(CLIENTES_FANTASIA,$I977)+COUNTIF(FORNECEDORES_NOMES,$I977)+COUNTIF(FORNECEDORES_FANTASIA,$I977)=0),"⚠ Cliente/Fornecedor não cadastrado",IF(AND($G977&lt;&gt;"",COUNTIF(SUBCATEGORIAS_PLANO,$G977)=0),"⚠ Subcategoria fora do plano de contas",IF(OR($Q977="",N($Q977)=0),"⚠ Valor previsto não informado",IF(AND(OR($X977="Pago",$X977="Recebido"),$D977=""),"⚠ Status pago/recebido sem data",IF(AND($D977&lt;&gt;"",N($R977)=0),"⚠ Data de pagamento sem valor realizado",IF(AND(N($P977)&gt;1,N($O977)&gt;N($P977)),"⚠ Nº da parcela maior que o total",IF(AND($C977&lt;&gt;"",$B977&lt;&gt;"",$C977&lt;$B977),"⚠ Vencimento anterior à competência","OK"))))))))</f>
        <v/>
      </c>
    </row>
    <row r="978">
      <c r="A978" s="14" t="n"/>
      <c r="B978" s="36" t="n"/>
      <c r="C978" s="36" t="n"/>
      <c r="D978" s="36" t="n"/>
      <c r="E978" s="14" t="n"/>
      <c r="F978" s="29" t="n"/>
      <c r="G978" s="29" t="n"/>
      <c r="H978" s="29" t="n"/>
      <c r="I978" s="29" t="n"/>
      <c r="J978" s="29" t="n"/>
      <c r="K978" s="14" t="n"/>
      <c r="L978" s="29" t="n"/>
      <c r="M978" s="14" t="n"/>
      <c r="N978" s="29" t="n"/>
      <c r="O978" s="13" t="n"/>
      <c r="P978" s="13" t="n"/>
      <c r="Q978" s="35" t="n"/>
      <c r="R978" s="35" t="n"/>
      <c r="S978" s="35" t="n"/>
      <c r="T978" s="35" t="n"/>
      <c r="U978" s="35" t="n"/>
      <c r="V978" s="18">
        <f>IF(COUNTA($B978:$R978)=0,"",ROUND(N($R978)+N($S978)+N($T978)-N($U978),2))</f>
        <v/>
      </c>
      <c r="W978" s="18">
        <f>IF(COUNTA($B978:$R978)=0,"",IF(OR($X978="Pago",$X978="Recebido",$X978="Cancelado"),0,ROUND(N($Q978)+N($S978)+N($T978)-N($U978)-N($R978),2)))</f>
        <v/>
      </c>
      <c r="X978" s="14" t="n"/>
      <c r="Y978" s="17">
        <f>IF(COUNTA($B978:$R978)=0,"",IF($X978="Cancelado","Cancelado",IF(OR($X978="Pago",$X978="Recebido"),$X978,IF(OR($X978="Parcial",N($R978)&gt;0),"Parcial",IF($C978="","Sem vencimento",IF($C978&lt;TODAY(),"Vencido",IF($C978=TODAY(),"Vence hoje",IF($C978&lt;=TODAY()+7,"Vence em 7 dias",IF($C978&lt;=TODAY()+30,"Vence em 30 dias","Futuro")))))))))</f>
        <v/>
      </c>
      <c r="Z978" s="24">
        <f>IF($B978="","",MONTH($B978))</f>
        <v/>
      </c>
      <c r="AA978" s="24">
        <f>IF($B978="","",YEAR($B978))</f>
        <v/>
      </c>
      <c r="AB978" s="24">
        <f>IF($B978="","",ISOWEEKNUM($B978))</f>
        <v/>
      </c>
      <c r="AC978" s="17">
        <f>IF($B978="","",CHOOSE(WEEKDAY($B978,2),"Segunda","Terça","Quarta","Quinta","Sexta","Sábado","Domingo"))</f>
        <v/>
      </c>
      <c r="AD978" s="17">
        <f>IF($B978="","",TEXT($B978,"MM/AAAA"))</f>
        <v/>
      </c>
      <c r="AE978" s="18">
        <f>IF(COUNTA($B978:$R978)=0,"",IF($X978="Cancelado",0,ROUND(N($Q978)+N($S978)+N($T978)-N($U978),2)))</f>
        <v/>
      </c>
      <c r="AF978" s="9">
        <f>IF($G978="","",IFERROR(INDEX(LINHAS_DRE_PLANO,MATCH($G978,SUBCATEGORIAS_PLANO,0)),"Não classificado"))</f>
        <v/>
      </c>
      <c r="AG978" s="17">
        <f>IF($G978="","",IFERROR(INDEX(TIPOS_FLUXO_PLANO,MATCH($G978,SUBCATEGORIAS_PLANO,0)),"Não classificado"))</f>
        <v/>
      </c>
      <c r="AH978" s="9">
        <f>IF($G978="","",IFERROR(INDEX(GRUPOS_PLANO,MATCH($G978,SUBCATEGORIAS_PLANO,0)),"Não classificado"))</f>
        <v/>
      </c>
      <c r="AI978" s="24">
        <f>IF(OR($C978="",$X978="Pago",$X978="Recebido",$X978="Cancelado"),"",$C978-TODAY())</f>
        <v/>
      </c>
      <c r="AJ978" s="24">
        <f>IF(OR($C978="",$X978="Pago",$X978="Recebido",$X978="Cancelado"),0,MAX(0,TODAY()-$C978))</f>
        <v/>
      </c>
      <c r="AK978" s="24">
        <f>IF($D978="","",$D978-$B978)</f>
        <v/>
      </c>
      <c r="AL978" s="18">
        <f>IF(OR($D978="",$B978=""),"",ROUND(N($R978)*($D978-$B978),2))</f>
        <v/>
      </c>
      <c r="AM978" s="17">
        <f>IF(AND($E978="Saída",$W978&gt;0,$C978&lt;&gt;""),$C978+ROW()/1000000,"")</f>
        <v/>
      </c>
      <c r="AN978" s="17">
        <f>IF(AND($E978="Entrada",$W978&gt;0,$C978&lt;&gt;""),$C978+ROW()/1000000,"")</f>
        <v/>
      </c>
      <c r="AO978" s="9">
        <f>IF(COUNTA($B978:$R978)=0,"",IF(AND($I978&lt;&gt;"",COUNTIF(CLIENTES_NOMES,$I978)+COUNTIF(CLIENTES_FANTASIA,$I978)+COUNTIF(FORNECEDORES_NOMES,$I978)+COUNTIF(FORNECEDORES_FANTASIA,$I978)=0),"⚠ Cliente/Fornecedor não cadastrado",IF(AND($G978&lt;&gt;"",COUNTIF(SUBCATEGORIAS_PLANO,$G978)=0),"⚠ Subcategoria fora do plano de contas",IF(OR($Q978="",N($Q978)=0),"⚠ Valor previsto não informado",IF(AND(OR($X978="Pago",$X978="Recebido"),$D978=""),"⚠ Status pago/recebido sem data",IF(AND($D978&lt;&gt;"",N($R978)=0),"⚠ Data de pagamento sem valor realizado",IF(AND(N($P978)&gt;1,N($O978)&gt;N($P978)),"⚠ Nº da parcela maior que o total",IF(AND($C978&lt;&gt;"",$B978&lt;&gt;"",$C978&lt;$B978),"⚠ Vencimento anterior à competência","OK"))))))))</f>
        <v/>
      </c>
    </row>
    <row r="979">
      <c r="A979" s="14" t="n"/>
      <c r="B979" s="36" t="n"/>
      <c r="C979" s="36" t="n"/>
      <c r="D979" s="36" t="n"/>
      <c r="E979" s="14" t="n"/>
      <c r="F979" s="29" t="n"/>
      <c r="G979" s="29" t="n"/>
      <c r="H979" s="29" t="n"/>
      <c r="I979" s="29" t="n"/>
      <c r="J979" s="29" t="n"/>
      <c r="K979" s="14" t="n"/>
      <c r="L979" s="29" t="n"/>
      <c r="M979" s="14" t="n"/>
      <c r="N979" s="29" t="n"/>
      <c r="O979" s="13" t="n"/>
      <c r="P979" s="13" t="n"/>
      <c r="Q979" s="35" t="n"/>
      <c r="R979" s="35" t="n"/>
      <c r="S979" s="35" t="n"/>
      <c r="T979" s="35" t="n"/>
      <c r="U979" s="35" t="n"/>
      <c r="V979" s="18">
        <f>IF(COUNTA($B979:$R979)=0,"",ROUND(N($R979)+N($S979)+N($T979)-N($U979),2))</f>
        <v/>
      </c>
      <c r="W979" s="18">
        <f>IF(COUNTA($B979:$R979)=0,"",IF(OR($X979="Pago",$X979="Recebido",$X979="Cancelado"),0,ROUND(N($Q979)+N($S979)+N($T979)-N($U979)-N($R979),2)))</f>
        <v/>
      </c>
      <c r="X979" s="14" t="n"/>
      <c r="Y979" s="17">
        <f>IF(COUNTA($B979:$R979)=0,"",IF($X979="Cancelado","Cancelado",IF(OR($X979="Pago",$X979="Recebido"),$X979,IF(OR($X979="Parcial",N($R979)&gt;0),"Parcial",IF($C979="","Sem vencimento",IF($C979&lt;TODAY(),"Vencido",IF($C979=TODAY(),"Vence hoje",IF($C979&lt;=TODAY()+7,"Vence em 7 dias",IF($C979&lt;=TODAY()+30,"Vence em 30 dias","Futuro")))))))))</f>
        <v/>
      </c>
      <c r="Z979" s="24">
        <f>IF($B979="","",MONTH($B979))</f>
        <v/>
      </c>
      <c r="AA979" s="24">
        <f>IF($B979="","",YEAR($B979))</f>
        <v/>
      </c>
      <c r="AB979" s="24">
        <f>IF($B979="","",ISOWEEKNUM($B979))</f>
        <v/>
      </c>
      <c r="AC979" s="17">
        <f>IF($B979="","",CHOOSE(WEEKDAY($B979,2),"Segunda","Terça","Quarta","Quinta","Sexta","Sábado","Domingo"))</f>
        <v/>
      </c>
      <c r="AD979" s="17">
        <f>IF($B979="","",TEXT($B979,"MM/AAAA"))</f>
        <v/>
      </c>
      <c r="AE979" s="18">
        <f>IF(COUNTA($B979:$R979)=0,"",IF($X979="Cancelado",0,ROUND(N($Q979)+N($S979)+N($T979)-N($U979),2)))</f>
        <v/>
      </c>
      <c r="AF979" s="9">
        <f>IF($G979="","",IFERROR(INDEX(LINHAS_DRE_PLANO,MATCH($G979,SUBCATEGORIAS_PLANO,0)),"Não classificado"))</f>
        <v/>
      </c>
      <c r="AG979" s="17">
        <f>IF($G979="","",IFERROR(INDEX(TIPOS_FLUXO_PLANO,MATCH($G979,SUBCATEGORIAS_PLANO,0)),"Não classificado"))</f>
        <v/>
      </c>
      <c r="AH979" s="9">
        <f>IF($G979="","",IFERROR(INDEX(GRUPOS_PLANO,MATCH($G979,SUBCATEGORIAS_PLANO,0)),"Não classificado"))</f>
        <v/>
      </c>
      <c r="AI979" s="24">
        <f>IF(OR($C979="",$X979="Pago",$X979="Recebido",$X979="Cancelado"),"",$C979-TODAY())</f>
        <v/>
      </c>
      <c r="AJ979" s="24">
        <f>IF(OR($C979="",$X979="Pago",$X979="Recebido",$X979="Cancelado"),0,MAX(0,TODAY()-$C979))</f>
        <v/>
      </c>
      <c r="AK979" s="24">
        <f>IF($D979="","",$D979-$B979)</f>
        <v/>
      </c>
      <c r="AL979" s="18">
        <f>IF(OR($D979="",$B979=""),"",ROUND(N($R979)*($D979-$B979),2))</f>
        <v/>
      </c>
      <c r="AM979" s="17">
        <f>IF(AND($E979="Saída",$W979&gt;0,$C979&lt;&gt;""),$C979+ROW()/1000000,"")</f>
        <v/>
      </c>
      <c r="AN979" s="17">
        <f>IF(AND($E979="Entrada",$W979&gt;0,$C979&lt;&gt;""),$C979+ROW()/1000000,"")</f>
        <v/>
      </c>
      <c r="AO979" s="9">
        <f>IF(COUNTA($B979:$R979)=0,"",IF(AND($I979&lt;&gt;"",COUNTIF(CLIENTES_NOMES,$I979)+COUNTIF(CLIENTES_FANTASIA,$I979)+COUNTIF(FORNECEDORES_NOMES,$I979)+COUNTIF(FORNECEDORES_FANTASIA,$I979)=0),"⚠ Cliente/Fornecedor não cadastrado",IF(AND($G979&lt;&gt;"",COUNTIF(SUBCATEGORIAS_PLANO,$G979)=0),"⚠ Subcategoria fora do plano de contas",IF(OR($Q979="",N($Q979)=0),"⚠ Valor previsto não informado",IF(AND(OR($X979="Pago",$X979="Recebido"),$D979=""),"⚠ Status pago/recebido sem data",IF(AND($D979&lt;&gt;"",N($R979)=0),"⚠ Data de pagamento sem valor realizado",IF(AND(N($P979)&gt;1,N($O979)&gt;N($P979)),"⚠ Nº da parcela maior que o total",IF(AND($C979&lt;&gt;"",$B979&lt;&gt;"",$C979&lt;$B979),"⚠ Vencimento anterior à competência","OK"))))))))</f>
        <v/>
      </c>
    </row>
    <row r="980">
      <c r="A980" s="14" t="n"/>
      <c r="B980" s="36" t="n"/>
      <c r="C980" s="36" t="n"/>
      <c r="D980" s="36" t="n"/>
      <c r="E980" s="14" t="n"/>
      <c r="F980" s="29" t="n"/>
      <c r="G980" s="29" t="n"/>
      <c r="H980" s="29" t="n"/>
      <c r="I980" s="29" t="n"/>
      <c r="J980" s="29" t="n"/>
      <c r="K980" s="14" t="n"/>
      <c r="L980" s="29" t="n"/>
      <c r="M980" s="14" t="n"/>
      <c r="N980" s="29" t="n"/>
      <c r="O980" s="13" t="n"/>
      <c r="P980" s="13" t="n"/>
      <c r="Q980" s="35" t="n"/>
      <c r="R980" s="35" t="n"/>
      <c r="S980" s="35" t="n"/>
      <c r="T980" s="35" t="n"/>
      <c r="U980" s="35" t="n"/>
      <c r="V980" s="18">
        <f>IF(COUNTA($B980:$R980)=0,"",ROUND(N($R980)+N($S980)+N($T980)-N($U980),2))</f>
        <v/>
      </c>
      <c r="W980" s="18">
        <f>IF(COUNTA($B980:$R980)=0,"",IF(OR($X980="Pago",$X980="Recebido",$X980="Cancelado"),0,ROUND(N($Q980)+N($S980)+N($T980)-N($U980)-N($R980),2)))</f>
        <v/>
      </c>
      <c r="X980" s="14" t="n"/>
      <c r="Y980" s="17">
        <f>IF(COUNTA($B980:$R980)=0,"",IF($X980="Cancelado","Cancelado",IF(OR($X980="Pago",$X980="Recebido"),$X980,IF(OR($X980="Parcial",N($R980)&gt;0),"Parcial",IF($C980="","Sem vencimento",IF($C980&lt;TODAY(),"Vencido",IF($C980=TODAY(),"Vence hoje",IF($C980&lt;=TODAY()+7,"Vence em 7 dias",IF($C980&lt;=TODAY()+30,"Vence em 30 dias","Futuro")))))))))</f>
        <v/>
      </c>
      <c r="Z980" s="24">
        <f>IF($B980="","",MONTH($B980))</f>
        <v/>
      </c>
      <c r="AA980" s="24">
        <f>IF($B980="","",YEAR($B980))</f>
        <v/>
      </c>
      <c r="AB980" s="24">
        <f>IF($B980="","",ISOWEEKNUM($B980))</f>
        <v/>
      </c>
      <c r="AC980" s="17">
        <f>IF($B980="","",CHOOSE(WEEKDAY($B980,2),"Segunda","Terça","Quarta","Quinta","Sexta","Sábado","Domingo"))</f>
        <v/>
      </c>
      <c r="AD980" s="17">
        <f>IF($B980="","",TEXT($B980,"MM/AAAA"))</f>
        <v/>
      </c>
      <c r="AE980" s="18">
        <f>IF(COUNTA($B980:$R980)=0,"",IF($X980="Cancelado",0,ROUND(N($Q980)+N($S980)+N($T980)-N($U980),2)))</f>
        <v/>
      </c>
      <c r="AF980" s="9">
        <f>IF($G980="","",IFERROR(INDEX(LINHAS_DRE_PLANO,MATCH($G980,SUBCATEGORIAS_PLANO,0)),"Não classificado"))</f>
        <v/>
      </c>
      <c r="AG980" s="17">
        <f>IF($G980="","",IFERROR(INDEX(TIPOS_FLUXO_PLANO,MATCH($G980,SUBCATEGORIAS_PLANO,0)),"Não classificado"))</f>
        <v/>
      </c>
      <c r="AH980" s="9">
        <f>IF($G980="","",IFERROR(INDEX(GRUPOS_PLANO,MATCH($G980,SUBCATEGORIAS_PLANO,0)),"Não classificado"))</f>
        <v/>
      </c>
      <c r="AI980" s="24">
        <f>IF(OR($C980="",$X980="Pago",$X980="Recebido",$X980="Cancelado"),"",$C980-TODAY())</f>
        <v/>
      </c>
      <c r="AJ980" s="24">
        <f>IF(OR($C980="",$X980="Pago",$X980="Recebido",$X980="Cancelado"),0,MAX(0,TODAY()-$C980))</f>
        <v/>
      </c>
      <c r="AK980" s="24">
        <f>IF($D980="","",$D980-$B980)</f>
        <v/>
      </c>
      <c r="AL980" s="18">
        <f>IF(OR($D980="",$B980=""),"",ROUND(N($R980)*($D980-$B980),2))</f>
        <v/>
      </c>
      <c r="AM980" s="17">
        <f>IF(AND($E980="Saída",$W980&gt;0,$C980&lt;&gt;""),$C980+ROW()/1000000,"")</f>
        <v/>
      </c>
      <c r="AN980" s="17">
        <f>IF(AND($E980="Entrada",$W980&gt;0,$C980&lt;&gt;""),$C980+ROW()/1000000,"")</f>
        <v/>
      </c>
      <c r="AO980" s="9">
        <f>IF(COUNTA($B980:$R980)=0,"",IF(AND($I980&lt;&gt;"",COUNTIF(CLIENTES_NOMES,$I980)+COUNTIF(CLIENTES_FANTASIA,$I980)+COUNTIF(FORNECEDORES_NOMES,$I980)+COUNTIF(FORNECEDORES_FANTASIA,$I980)=0),"⚠ Cliente/Fornecedor não cadastrado",IF(AND($G980&lt;&gt;"",COUNTIF(SUBCATEGORIAS_PLANO,$G980)=0),"⚠ Subcategoria fora do plano de contas",IF(OR($Q980="",N($Q980)=0),"⚠ Valor previsto não informado",IF(AND(OR($X980="Pago",$X980="Recebido"),$D980=""),"⚠ Status pago/recebido sem data",IF(AND($D980&lt;&gt;"",N($R980)=0),"⚠ Data de pagamento sem valor realizado",IF(AND(N($P980)&gt;1,N($O980)&gt;N($P980)),"⚠ Nº da parcela maior que o total",IF(AND($C980&lt;&gt;"",$B980&lt;&gt;"",$C980&lt;$B980),"⚠ Vencimento anterior à competência","OK"))))))))</f>
        <v/>
      </c>
    </row>
    <row r="981">
      <c r="A981" s="14" t="n"/>
      <c r="B981" s="36" t="n"/>
      <c r="C981" s="36" t="n"/>
      <c r="D981" s="36" t="n"/>
      <c r="E981" s="14" t="n"/>
      <c r="F981" s="29" t="n"/>
      <c r="G981" s="29" t="n"/>
      <c r="H981" s="29" t="n"/>
      <c r="I981" s="29" t="n"/>
      <c r="J981" s="29" t="n"/>
      <c r="K981" s="14" t="n"/>
      <c r="L981" s="29" t="n"/>
      <c r="M981" s="14" t="n"/>
      <c r="N981" s="29" t="n"/>
      <c r="O981" s="13" t="n"/>
      <c r="P981" s="13" t="n"/>
      <c r="Q981" s="35" t="n"/>
      <c r="R981" s="35" t="n"/>
      <c r="S981" s="35" t="n"/>
      <c r="T981" s="35" t="n"/>
      <c r="U981" s="35" t="n"/>
      <c r="V981" s="18">
        <f>IF(COUNTA($B981:$R981)=0,"",ROUND(N($R981)+N($S981)+N($T981)-N($U981),2))</f>
        <v/>
      </c>
      <c r="W981" s="18">
        <f>IF(COUNTA($B981:$R981)=0,"",IF(OR($X981="Pago",$X981="Recebido",$X981="Cancelado"),0,ROUND(N($Q981)+N($S981)+N($T981)-N($U981)-N($R981),2)))</f>
        <v/>
      </c>
      <c r="X981" s="14" t="n"/>
      <c r="Y981" s="17">
        <f>IF(COUNTA($B981:$R981)=0,"",IF($X981="Cancelado","Cancelado",IF(OR($X981="Pago",$X981="Recebido"),$X981,IF(OR($X981="Parcial",N($R981)&gt;0),"Parcial",IF($C981="","Sem vencimento",IF($C981&lt;TODAY(),"Vencido",IF($C981=TODAY(),"Vence hoje",IF($C981&lt;=TODAY()+7,"Vence em 7 dias",IF($C981&lt;=TODAY()+30,"Vence em 30 dias","Futuro")))))))))</f>
        <v/>
      </c>
      <c r="Z981" s="24">
        <f>IF($B981="","",MONTH($B981))</f>
        <v/>
      </c>
      <c r="AA981" s="24">
        <f>IF($B981="","",YEAR($B981))</f>
        <v/>
      </c>
      <c r="AB981" s="24">
        <f>IF($B981="","",ISOWEEKNUM($B981))</f>
        <v/>
      </c>
      <c r="AC981" s="17">
        <f>IF($B981="","",CHOOSE(WEEKDAY($B981,2),"Segunda","Terça","Quarta","Quinta","Sexta","Sábado","Domingo"))</f>
        <v/>
      </c>
      <c r="AD981" s="17">
        <f>IF($B981="","",TEXT($B981,"MM/AAAA"))</f>
        <v/>
      </c>
      <c r="AE981" s="18">
        <f>IF(COUNTA($B981:$R981)=0,"",IF($X981="Cancelado",0,ROUND(N($Q981)+N($S981)+N($T981)-N($U981),2)))</f>
        <v/>
      </c>
      <c r="AF981" s="9">
        <f>IF($G981="","",IFERROR(INDEX(LINHAS_DRE_PLANO,MATCH($G981,SUBCATEGORIAS_PLANO,0)),"Não classificado"))</f>
        <v/>
      </c>
      <c r="AG981" s="17">
        <f>IF($G981="","",IFERROR(INDEX(TIPOS_FLUXO_PLANO,MATCH($G981,SUBCATEGORIAS_PLANO,0)),"Não classificado"))</f>
        <v/>
      </c>
      <c r="AH981" s="9">
        <f>IF($G981="","",IFERROR(INDEX(GRUPOS_PLANO,MATCH($G981,SUBCATEGORIAS_PLANO,0)),"Não classificado"))</f>
        <v/>
      </c>
      <c r="AI981" s="24">
        <f>IF(OR($C981="",$X981="Pago",$X981="Recebido",$X981="Cancelado"),"",$C981-TODAY())</f>
        <v/>
      </c>
      <c r="AJ981" s="24">
        <f>IF(OR($C981="",$X981="Pago",$X981="Recebido",$X981="Cancelado"),0,MAX(0,TODAY()-$C981))</f>
        <v/>
      </c>
      <c r="AK981" s="24">
        <f>IF($D981="","",$D981-$B981)</f>
        <v/>
      </c>
      <c r="AL981" s="18">
        <f>IF(OR($D981="",$B981=""),"",ROUND(N($R981)*($D981-$B981),2))</f>
        <v/>
      </c>
      <c r="AM981" s="17">
        <f>IF(AND($E981="Saída",$W981&gt;0,$C981&lt;&gt;""),$C981+ROW()/1000000,"")</f>
        <v/>
      </c>
      <c r="AN981" s="17">
        <f>IF(AND($E981="Entrada",$W981&gt;0,$C981&lt;&gt;""),$C981+ROW()/1000000,"")</f>
        <v/>
      </c>
      <c r="AO981" s="9">
        <f>IF(COUNTA($B981:$R981)=0,"",IF(AND($I981&lt;&gt;"",COUNTIF(CLIENTES_NOMES,$I981)+COUNTIF(CLIENTES_FANTASIA,$I981)+COUNTIF(FORNECEDORES_NOMES,$I981)+COUNTIF(FORNECEDORES_FANTASIA,$I981)=0),"⚠ Cliente/Fornecedor não cadastrado",IF(AND($G981&lt;&gt;"",COUNTIF(SUBCATEGORIAS_PLANO,$G981)=0),"⚠ Subcategoria fora do plano de contas",IF(OR($Q981="",N($Q981)=0),"⚠ Valor previsto não informado",IF(AND(OR($X981="Pago",$X981="Recebido"),$D981=""),"⚠ Status pago/recebido sem data",IF(AND($D981&lt;&gt;"",N($R981)=0),"⚠ Data de pagamento sem valor realizado",IF(AND(N($P981)&gt;1,N($O981)&gt;N($P981)),"⚠ Nº da parcela maior que o total",IF(AND($C981&lt;&gt;"",$B981&lt;&gt;"",$C981&lt;$B981),"⚠ Vencimento anterior à competência","OK"))))))))</f>
        <v/>
      </c>
    </row>
    <row r="982">
      <c r="A982" s="14" t="n"/>
      <c r="B982" s="36" t="n"/>
      <c r="C982" s="36" t="n"/>
      <c r="D982" s="36" t="n"/>
      <c r="E982" s="14" t="n"/>
      <c r="F982" s="29" t="n"/>
      <c r="G982" s="29" t="n"/>
      <c r="H982" s="29" t="n"/>
      <c r="I982" s="29" t="n"/>
      <c r="J982" s="29" t="n"/>
      <c r="K982" s="14" t="n"/>
      <c r="L982" s="29" t="n"/>
      <c r="M982" s="14" t="n"/>
      <c r="N982" s="29" t="n"/>
      <c r="O982" s="13" t="n"/>
      <c r="P982" s="13" t="n"/>
      <c r="Q982" s="35" t="n"/>
      <c r="R982" s="35" t="n"/>
      <c r="S982" s="35" t="n"/>
      <c r="T982" s="35" t="n"/>
      <c r="U982" s="35" t="n"/>
      <c r="V982" s="18">
        <f>IF(COUNTA($B982:$R982)=0,"",ROUND(N($R982)+N($S982)+N($T982)-N($U982),2))</f>
        <v/>
      </c>
      <c r="W982" s="18">
        <f>IF(COUNTA($B982:$R982)=0,"",IF(OR($X982="Pago",$X982="Recebido",$X982="Cancelado"),0,ROUND(N($Q982)+N($S982)+N($T982)-N($U982)-N($R982),2)))</f>
        <v/>
      </c>
      <c r="X982" s="14" t="n"/>
      <c r="Y982" s="17">
        <f>IF(COUNTA($B982:$R982)=0,"",IF($X982="Cancelado","Cancelado",IF(OR($X982="Pago",$X982="Recebido"),$X982,IF(OR($X982="Parcial",N($R982)&gt;0),"Parcial",IF($C982="","Sem vencimento",IF($C982&lt;TODAY(),"Vencido",IF($C982=TODAY(),"Vence hoje",IF($C982&lt;=TODAY()+7,"Vence em 7 dias",IF($C982&lt;=TODAY()+30,"Vence em 30 dias","Futuro")))))))))</f>
        <v/>
      </c>
      <c r="Z982" s="24">
        <f>IF($B982="","",MONTH($B982))</f>
        <v/>
      </c>
      <c r="AA982" s="24">
        <f>IF($B982="","",YEAR($B982))</f>
        <v/>
      </c>
      <c r="AB982" s="24">
        <f>IF($B982="","",ISOWEEKNUM($B982))</f>
        <v/>
      </c>
      <c r="AC982" s="17">
        <f>IF($B982="","",CHOOSE(WEEKDAY($B982,2),"Segunda","Terça","Quarta","Quinta","Sexta","Sábado","Domingo"))</f>
        <v/>
      </c>
      <c r="AD982" s="17">
        <f>IF($B982="","",TEXT($B982,"MM/AAAA"))</f>
        <v/>
      </c>
      <c r="AE982" s="18">
        <f>IF(COUNTA($B982:$R982)=0,"",IF($X982="Cancelado",0,ROUND(N($Q982)+N($S982)+N($T982)-N($U982),2)))</f>
        <v/>
      </c>
      <c r="AF982" s="9">
        <f>IF($G982="","",IFERROR(INDEX(LINHAS_DRE_PLANO,MATCH($G982,SUBCATEGORIAS_PLANO,0)),"Não classificado"))</f>
        <v/>
      </c>
      <c r="AG982" s="17">
        <f>IF($G982="","",IFERROR(INDEX(TIPOS_FLUXO_PLANO,MATCH($G982,SUBCATEGORIAS_PLANO,0)),"Não classificado"))</f>
        <v/>
      </c>
      <c r="AH982" s="9">
        <f>IF($G982="","",IFERROR(INDEX(GRUPOS_PLANO,MATCH($G982,SUBCATEGORIAS_PLANO,0)),"Não classificado"))</f>
        <v/>
      </c>
      <c r="AI982" s="24">
        <f>IF(OR($C982="",$X982="Pago",$X982="Recebido",$X982="Cancelado"),"",$C982-TODAY())</f>
        <v/>
      </c>
      <c r="AJ982" s="24">
        <f>IF(OR($C982="",$X982="Pago",$X982="Recebido",$X982="Cancelado"),0,MAX(0,TODAY()-$C982))</f>
        <v/>
      </c>
      <c r="AK982" s="24">
        <f>IF($D982="","",$D982-$B982)</f>
        <v/>
      </c>
      <c r="AL982" s="18">
        <f>IF(OR($D982="",$B982=""),"",ROUND(N($R982)*($D982-$B982),2))</f>
        <v/>
      </c>
      <c r="AM982" s="17">
        <f>IF(AND($E982="Saída",$W982&gt;0,$C982&lt;&gt;""),$C982+ROW()/1000000,"")</f>
        <v/>
      </c>
      <c r="AN982" s="17">
        <f>IF(AND($E982="Entrada",$W982&gt;0,$C982&lt;&gt;""),$C982+ROW()/1000000,"")</f>
        <v/>
      </c>
      <c r="AO982" s="9">
        <f>IF(COUNTA($B982:$R982)=0,"",IF(AND($I982&lt;&gt;"",COUNTIF(CLIENTES_NOMES,$I982)+COUNTIF(CLIENTES_FANTASIA,$I982)+COUNTIF(FORNECEDORES_NOMES,$I982)+COUNTIF(FORNECEDORES_FANTASIA,$I982)=0),"⚠ Cliente/Fornecedor não cadastrado",IF(AND($G982&lt;&gt;"",COUNTIF(SUBCATEGORIAS_PLANO,$G982)=0),"⚠ Subcategoria fora do plano de contas",IF(OR($Q982="",N($Q982)=0),"⚠ Valor previsto não informado",IF(AND(OR($X982="Pago",$X982="Recebido"),$D982=""),"⚠ Status pago/recebido sem data",IF(AND($D982&lt;&gt;"",N($R982)=0),"⚠ Data de pagamento sem valor realizado",IF(AND(N($P982)&gt;1,N($O982)&gt;N($P982)),"⚠ Nº da parcela maior que o total",IF(AND($C982&lt;&gt;"",$B982&lt;&gt;"",$C982&lt;$B982),"⚠ Vencimento anterior à competência","OK"))))))))</f>
        <v/>
      </c>
    </row>
    <row r="983">
      <c r="A983" s="14" t="n"/>
      <c r="B983" s="36" t="n"/>
      <c r="C983" s="36" t="n"/>
      <c r="D983" s="36" t="n"/>
      <c r="E983" s="14" t="n"/>
      <c r="F983" s="29" t="n"/>
      <c r="G983" s="29" t="n"/>
      <c r="H983" s="29" t="n"/>
      <c r="I983" s="29" t="n"/>
      <c r="J983" s="29" t="n"/>
      <c r="K983" s="14" t="n"/>
      <c r="L983" s="29" t="n"/>
      <c r="M983" s="14" t="n"/>
      <c r="N983" s="29" t="n"/>
      <c r="O983" s="13" t="n"/>
      <c r="P983" s="13" t="n"/>
      <c r="Q983" s="35" t="n"/>
      <c r="R983" s="35" t="n"/>
      <c r="S983" s="35" t="n"/>
      <c r="T983" s="35" t="n"/>
      <c r="U983" s="35" t="n"/>
      <c r="V983" s="18">
        <f>IF(COUNTA($B983:$R983)=0,"",ROUND(N($R983)+N($S983)+N($T983)-N($U983),2))</f>
        <v/>
      </c>
      <c r="W983" s="18">
        <f>IF(COUNTA($B983:$R983)=0,"",IF(OR($X983="Pago",$X983="Recebido",$X983="Cancelado"),0,ROUND(N($Q983)+N($S983)+N($T983)-N($U983)-N($R983),2)))</f>
        <v/>
      </c>
      <c r="X983" s="14" t="n"/>
      <c r="Y983" s="17">
        <f>IF(COUNTA($B983:$R983)=0,"",IF($X983="Cancelado","Cancelado",IF(OR($X983="Pago",$X983="Recebido"),$X983,IF(OR($X983="Parcial",N($R983)&gt;0),"Parcial",IF($C983="","Sem vencimento",IF($C983&lt;TODAY(),"Vencido",IF($C983=TODAY(),"Vence hoje",IF($C983&lt;=TODAY()+7,"Vence em 7 dias",IF($C983&lt;=TODAY()+30,"Vence em 30 dias","Futuro")))))))))</f>
        <v/>
      </c>
      <c r="Z983" s="24">
        <f>IF($B983="","",MONTH($B983))</f>
        <v/>
      </c>
      <c r="AA983" s="24">
        <f>IF($B983="","",YEAR($B983))</f>
        <v/>
      </c>
      <c r="AB983" s="24">
        <f>IF($B983="","",ISOWEEKNUM($B983))</f>
        <v/>
      </c>
      <c r="AC983" s="17">
        <f>IF($B983="","",CHOOSE(WEEKDAY($B983,2),"Segunda","Terça","Quarta","Quinta","Sexta","Sábado","Domingo"))</f>
        <v/>
      </c>
      <c r="AD983" s="17">
        <f>IF($B983="","",TEXT($B983,"MM/AAAA"))</f>
        <v/>
      </c>
      <c r="AE983" s="18">
        <f>IF(COUNTA($B983:$R983)=0,"",IF($X983="Cancelado",0,ROUND(N($Q983)+N($S983)+N($T983)-N($U983),2)))</f>
        <v/>
      </c>
      <c r="AF983" s="9">
        <f>IF($G983="","",IFERROR(INDEX(LINHAS_DRE_PLANO,MATCH($G983,SUBCATEGORIAS_PLANO,0)),"Não classificado"))</f>
        <v/>
      </c>
      <c r="AG983" s="17">
        <f>IF($G983="","",IFERROR(INDEX(TIPOS_FLUXO_PLANO,MATCH($G983,SUBCATEGORIAS_PLANO,0)),"Não classificado"))</f>
        <v/>
      </c>
      <c r="AH983" s="9">
        <f>IF($G983="","",IFERROR(INDEX(GRUPOS_PLANO,MATCH($G983,SUBCATEGORIAS_PLANO,0)),"Não classificado"))</f>
        <v/>
      </c>
      <c r="AI983" s="24">
        <f>IF(OR($C983="",$X983="Pago",$X983="Recebido",$X983="Cancelado"),"",$C983-TODAY())</f>
        <v/>
      </c>
      <c r="AJ983" s="24">
        <f>IF(OR($C983="",$X983="Pago",$X983="Recebido",$X983="Cancelado"),0,MAX(0,TODAY()-$C983))</f>
        <v/>
      </c>
      <c r="AK983" s="24">
        <f>IF($D983="","",$D983-$B983)</f>
        <v/>
      </c>
      <c r="AL983" s="18">
        <f>IF(OR($D983="",$B983=""),"",ROUND(N($R983)*($D983-$B983),2))</f>
        <v/>
      </c>
      <c r="AM983" s="17">
        <f>IF(AND($E983="Saída",$W983&gt;0,$C983&lt;&gt;""),$C983+ROW()/1000000,"")</f>
        <v/>
      </c>
      <c r="AN983" s="17">
        <f>IF(AND($E983="Entrada",$W983&gt;0,$C983&lt;&gt;""),$C983+ROW()/1000000,"")</f>
        <v/>
      </c>
      <c r="AO983" s="9">
        <f>IF(COUNTA($B983:$R983)=0,"",IF(AND($I983&lt;&gt;"",COUNTIF(CLIENTES_NOMES,$I983)+COUNTIF(CLIENTES_FANTASIA,$I983)+COUNTIF(FORNECEDORES_NOMES,$I983)+COUNTIF(FORNECEDORES_FANTASIA,$I983)=0),"⚠ Cliente/Fornecedor não cadastrado",IF(AND($G983&lt;&gt;"",COUNTIF(SUBCATEGORIAS_PLANO,$G983)=0),"⚠ Subcategoria fora do plano de contas",IF(OR($Q983="",N($Q983)=0),"⚠ Valor previsto não informado",IF(AND(OR($X983="Pago",$X983="Recebido"),$D983=""),"⚠ Status pago/recebido sem data",IF(AND($D983&lt;&gt;"",N($R983)=0),"⚠ Data de pagamento sem valor realizado",IF(AND(N($P983)&gt;1,N($O983)&gt;N($P983)),"⚠ Nº da parcela maior que o total",IF(AND($C983&lt;&gt;"",$B983&lt;&gt;"",$C983&lt;$B983),"⚠ Vencimento anterior à competência","OK"))))))))</f>
        <v/>
      </c>
    </row>
    <row r="984">
      <c r="A984" s="14" t="n"/>
      <c r="B984" s="36" t="n"/>
      <c r="C984" s="36" t="n"/>
      <c r="D984" s="36" t="n"/>
      <c r="E984" s="14" t="n"/>
      <c r="F984" s="29" t="n"/>
      <c r="G984" s="29" t="n"/>
      <c r="H984" s="29" t="n"/>
      <c r="I984" s="29" t="n"/>
      <c r="J984" s="29" t="n"/>
      <c r="K984" s="14" t="n"/>
      <c r="L984" s="29" t="n"/>
      <c r="M984" s="14" t="n"/>
      <c r="N984" s="29" t="n"/>
      <c r="O984" s="13" t="n"/>
      <c r="P984" s="13" t="n"/>
      <c r="Q984" s="35" t="n"/>
      <c r="R984" s="35" t="n"/>
      <c r="S984" s="35" t="n"/>
      <c r="T984" s="35" t="n"/>
      <c r="U984" s="35" t="n"/>
      <c r="V984" s="18">
        <f>IF(COUNTA($B984:$R984)=0,"",ROUND(N($R984)+N($S984)+N($T984)-N($U984),2))</f>
        <v/>
      </c>
      <c r="W984" s="18">
        <f>IF(COUNTA($B984:$R984)=0,"",IF(OR($X984="Pago",$X984="Recebido",$X984="Cancelado"),0,ROUND(N($Q984)+N($S984)+N($T984)-N($U984)-N($R984),2)))</f>
        <v/>
      </c>
      <c r="X984" s="14" t="n"/>
      <c r="Y984" s="17">
        <f>IF(COUNTA($B984:$R984)=0,"",IF($X984="Cancelado","Cancelado",IF(OR($X984="Pago",$X984="Recebido"),$X984,IF(OR($X984="Parcial",N($R984)&gt;0),"Parcial",IF($C984="","Sem vencimento",IF($C984&lt;TODAY(),"Vencido",IF($C984=TODAY(),"Vence hoje",IF($C984&lt;=TODAY()+7,"Vence em 7 dias",IF($C984&lt;=TODAY()+30,"Vence em 30 dias","Futuro")))))))))</f>
        <v/>
      </c>
      <c r="Z984" s="24">
        <f>IF($B984="","",MONTH($B984))</f>
        <v/>
      </c>
      <c r="AA984" s="24">
        <f>IF($B984="","",YEAR($B984))</f>
        <v/>
      </c>
      <c r="AB984" s="24">
        <f>IF($B984="","",ISOWEEKNUM($B984))</f>
        <v/>
      </c>
      <c r="AC984" s="17">
        <f>IF($B984="","",CHOOSE(WEEKDAY($B984,2),"Segunda","Terça","Quarta","Quinta","Sexta","Sábado","Domingo"))</f>
        <v/>
      </c>
      <c r="AD984" s="17">
        <f>IF($B984="","",TEXT($B984,"MM/AAAA"))</f>
        <v/>
      </c>
      <c r="AE984" s="18">
        <f>IF(COUNTA($B984:$R984)=0,"",IF($X984="Cancelado",0,ROUND(N($Q984)+N($S984)+N($T984)-N($U984),2)))</f>
        <v/>
      </c>
      <c r="AF984" s="9">
        <f>IF($G984="","",IFERROR(INDEX(LINHAS_DRE_PLANO,MATCH($G984,SUBCATEGORIAS_PLANO,0)),"Não classificado"))</f>
        <v/>
      </c>
      <c r="AG984" s="17">
        <f>IF($G984="","",IFERROR(INDEX(TIPOS_FLUXO_PLANO,MATCH($G984,SUBCATEGORIAS_PLANO,0)),"Não classificado"))</f>
        <v/>
      </c>
      <c r="AH984" s="9">
        <f>IF($G984="","",IFERROR(INDEX(GRUPOS_PLANO,MATCH($G984,SUBCATEGORIAS_PLANO,0)),"Não classificado"))</f>
        <v/>
      </c>
      <c r="AI984" s="24">
        <f>IF(OR($C984="",$X984="Pago",$X984="Recebido",$X984="Cancelado"),"",$C984-TODAY())</f>
        <v/>
      </c>
      <c r="AJ984" s="24">
        <f>IF(OR($C984="",$X984="Pago",$X984="Recebido",$X984="Cancelado"),0,MAX(0,TODAY()-$C984))</f>
        <v/>
      </c>
      <c r="AK984" s="24">
        <f>IF($D984="","",$D984-$B984)</f>
        <v/>
      </c>
      <c r="AL984" s="18">
        <f>IF(OR($D984="",$B984=""),"",ROUND(N($R984)*($D984-$B984),2))</f>
        <v/>
      </c>
      <c r="AM984" s="17">
        <f>IF(AND($E984="Saída",$W984&gt;0,$C984&lt;&gt;""),$C984+ROW()/1000000,"")</f>
        <v/>
      </c>
      <c r="AN984" s="17">
        <f>IF(AND($E984="Entrada",$W984&gt;0,$C984&lt;&gt;""),$C984+ROW()/1000000,"")</f>
        <v/>
      </c>
      <c r="AO984" s="9">
        <f>IF(COUNTA($B984:$R984)=0,"",IF(AND($I984&lt;&gt;"",COUNTIF(CLIENTES_NOMES,$I984)+COUNTIF(CLIENTES_FANTASIA,$I984)+COUNTIF(FORNECEDORES_NOMES,$I984)+COUNTIF(FORNECEDORES_FANTASIA,$I984)=0),"⚠ Cliente/Fornecedor não cadastrado",IF(AND($G984&lt;&gt;"",COUNTIF(SUBCATEGORIAS_PLANO,$G984)=0),"⚠ Subcategoria fora do plano de contas",IF(OR($Q984="",N($Q984)=0),"⚠ Valor previsto não informado",IF(AND(OR($X984="Pago",$X984="Recebido"),$D984=""),"⚠ Status pago/recebido sem data",IF(AND($D984&lt;&gt;"",N($R984)=0),"⚠ Data de pagamento sem valor realizado",IF(AND(N($P984)&gt;1,N($O984)&gt;N($P984)),"⚠ Nº da parcela maior que o total",IF(AND($C984&lt;&gt;"",$B984&lt;&gt;"",$C984&lt;$B984),"⚠ Vencimento anterior à competência","OK"))))))))</f>
        <v/>
      </c>
    </row>
    <row r="985">
      <c r="A985" s="14" t="n"/>
      <c r="B985" s="36" t="n"/>
      <c r="C985" s="36" t="n"/>
      <c r="D985" s="36" t="n"/>
      <c r="E985" s="14" t="n"/>
      <c r="F985" s="29" t="n"/>
      <c r="G985" s="29" t="n"/>
      <c r="H985" s="29" t="n"/>
      <c r="I985" s="29" t="n"/>
      <c r="J985" s="29" t="n"/>
      <c r="K985" s="14" t="n"/>
      <c r="L985" s="29" t="n"/>
      <c r="M985" s="14" t="n"/>
      <c r="N985" s="29" t="n"/>
      <c r="O985" s="13" t="n"/>
      <c r="P985" s="13" t="n"/>
      <c r="Q985" s="35" t="n"/>
      <c r="R985" s="35" t="n"/>
      <c r="S985" s="35" t="n"/>
      <c r="T985" s="35" t="n"/>
      <c r="U985" s="35" t="n"/>
      <c r="V985" s="18">
        <f>IF(COUNTA($B985:$R985)=0,"",ROUND(N($R985)+N($S985)+N($T985)-N($U985),2))</f>
        <v/>
      </c>
      <c r="W985" s="18">
        <f>IF(COUNTA($B985:$R985)=0,"",IF(OR($X985="Pago",$X985="Recebido",$X985="Cancelado"),0,ROUND(N($Q985)+N($S985)+N($T985)-N($U985)-N($R985),2)))</f>
        <v/>
      </c>
      <c r="X985" s="14" t="n"/>
      <c r="Y985" s="17">
        <f>IF(COUNTA($B985:$R985)=0,"",IF($X985="Cancelado","Cancelado",IF(OR($X985="Pago",$X985="Recebido"),$X985,IF(OR($X985="Parcial",N($R985)&gt;0),"Parcial",IF($C985="","Sem vencimento",IF($C985&lt;TODAY(),"Vencido",IF($C985=TODAY(),"Vence hoje",IF($C985&lt;=TODAY()+7,"Vence em 7 dias",IF($C985&lt;=TODAY()+30,"Vence em 30 dias","Futuro")))))))))</f>
        <v/>
      </c>
      <c r="Z985" s="24">
        <f>IF($B985="","",MONTH($B985))</f>
        <v/>
      </c>
      <c r="AA985" s="24">
        <f>IF($B985="","",YEAR($B985))</f>
        <v/>
      </c>
      <c r="AB985" s="24">
        <f>IF($B985="","",ISOWEEKNUM($B985))</f>
        <v/>
      </c>
      <c r="AC985" s="17">
        <f>IF($B985="","",CHOOSE(WEEKDAY($B985,2),"Segunda","Terça","Quarta","Quinta","Sexta","Sábado","Domingo"))</f>
        <v/>
      </c>
      <c r="AD985" s="17">
        <f>IF($B985="","",TEXT($B985,"MM/AAAA"))</f>
        <v/>
      </c>
      <c r="AE985" s="18">
        <f>IF(COUNTA($B985:$R985)=0,"",IF($X985="Cancelado",0,ROUND(N($Q985)+N($S985)+N($T985)-N($U985),2)))</f>
        <v/>
      </c>
      <c r="AF985" s="9">
        <f>IF($G985="","",IFERROR(INDEX(LINHAS_DRE_PLANO,MATCH($G985,SUBCATEGORIAS_PLANO,0)),"Não classificado"))</f>
        <v/>
      </c>
      <c r="AG985" s="17">
        <f>IF($G985="","",IFERROR(INDEX(TIPOS_FLUXO_PLANO,MATCH($G985,SUBCATEGORIAS_PLANO,0)),"Não classificado"))</f>
        <v/>
      </c>
      <c r="AH985" s="9">
        <f>IF($G985="","",IFERROR(INDEX(GRUPOS_PLANO,MATCH($G985,SUBCATEGORIAS_PLANO,0)),"Não classificado"))</f>
        <v/>
      </c>
      <c r="AI985" s="24">
        <f>IF(OR($C985="",$X985="Pago",$X985="Recebido",$X985="Cancelado"),"",$C985-TODAY())</f>
        <v/>
      </c>
      <c r="AJ985" s="24">
        <f>IF(OR($C985="",$X985="Pago",$X985="Recebido",$X985="Cancelado"),0,MAX(0,TODAY()-$C985))</f>
        <v/>
      </c>
      <c r="AK985" s="24">
        <f>IF($D985="","",$D985-$B985)</f>
        <v/>
      </c>
      <c r="AL985" s="18">
        <f>IF(OR($D985="",$B985=""),"",ROUND(N($R985)*($D985-$B985),2))</f>
        <v/>
      </c>
      <c r="AM985" s="17">
        <f>IF(AND($E985="Saída",$W985&gt;0,$C985&lt;&gt;""),$C985+ROW()/1000000,"")</f>
        <v/>
      </c>
      <c r="AN985" s="17">
        <f>IF(AND($E985="Entrada",$W985&gt;0,$C985&lt;&gt;""),$C985+ROW()/1000000,"")</f>
        <v/>
      </c>
      <c r="AO985" s="9">
        <f>IF(COUNTA($B985:$R985)=0,"",IF(AND($I985&lt;&gt;"",COUNTIF(CLIENTES_NOMES,$I985)+COUNTIF(CLIENTES_FANTASIA,$I985)+COUNTIF(FORNECEDORES_NOMES,$I985)+COUNTIF(FORNECEDORES_FANTASIA,$I985)=0),"⚠ Cliente/Fornecedor não cadastrado",IF(AND($G985&lt;&gt;"",COUNTIF(SUBCATEGORIAS_PLANO,$G985)=0),"⚠ Subcategoria fora do plano de contas",IF(OR($Q985="",N($Q985)=0),"⚠ Valor previsto não informado",IF(AND(OR($X985="Pago",$X985="Recebido"),$D985=""),"⚠ Status pago/recebido sem data",IF(AND($D985&lt;&gt;"",N($R985)=0),"⚠ Data de pagamento sem valor realizado",IF(AND(N($P985)&gt;1,N($O985)&gt;N($P985)),"⚠ Nº da parcela maior que o total",IF(AND($C985&lt;&gt;"",$B985&lt;&gt;"",$C985&lt;$B985),"⚠ Vencimento anterior à competência","OK"))))))))</f>
        <v/>
      </c>
    </row>
    <row r="986">
      <c r="A986" s="14" t="n"/>
      <c r="B986" s="36" t="n"/>
      <c r="C986" s="36" t="n"/>
      <c r="D986" s="36" t="n"/>
      <c r="E986" s="14" t="n"/>
      <c r="F986" s="29" t="n"/>
      <c r="G986" s="29" t="n"/>
      <c r="H986" s="29" t="n"/>
      <c r="I986" s="29" t="n"/>
      <c r="J986" s="29" t="n"/>
      <c r="K986" s="14" t="n"/>
      <c r="L986" s="29" t="n"/>
      <c r="M986" s="14" t="n"/>
      <c r="N986" s="29" t="n"/>
      <c r="O986" s="13" t="n"/>
      <c r="P986" s="13" t="n"/>
      <c r="Q986" s="35" t="n"/>
      <c r="R986" s="35" t="n"/>
      <c r="S986" s="35" t="n"/>
      <c r="T986" s="35" t="n"/>
      <c r="U986" s="35" t="n"/>
      <c r="V986" s="18">
        <f>IF(COUNTA($B986:$R986)=0,"",ROUND(N($R986)+N($S986)+N($T986)-N($U986),2))</f>
        <v/>
      </c>
      <c r="W986" s="18">
        <f>IF(COUNTA($B986:$R986)=0,"",IF(OR($X986="Pago",$X986="Recebido",$X986="Cancelado"),0,ROUND(N($Q986)+N($S986)+N($T986)-N($U986)-N($R986),2)))</f>
        <v/>
      </c>
      <c r="X986" s="14" t="n"/>
      <c r="Y986" s="17">
        <f>IF(COUNTA($B986:$R986)=0,"",IF($X986="Cancelado","Cancelado",IF(OR($X986="Pago",$X986="Recebido"),$X986,IF(OR($X986="Parcial",N($R986)&gt;0),"Parcial",IF($C986="","Sem vencimento",IF($C986&lt;TODAY(),"Vencido",IF($C986=TODAY(),"Vence hoje",IF($C986&lt;=TODAY()+7,"Vence em 7 dias",IF($C986&lt;=TODAY()+30,"Vence em 30 dias","Futuro")))))))))</f>
        <v/>
      </c>
      <c r="Z986" s="24">
        <f>IF($B986="","",MONTH($B986))</f>
        <v/>
      </c>
      <c r="AA986" s="24">
        <f>IF($B986="","",YEAR($B986))</f>
        <v/>
      </c>
      <c r="AB986" s="24">
        <f>IF($B986="","",ISOWEEKNUM($B986))</f>
        <v/>
      </c>
      <c r="AC986" s="17">
        <f>IF($B986="","",CHOOSE(WEEKDAY($B986,2),"Segunda","Terça","Quarta","Quinta","Sexta","Sábado","Domingo"))</f>
        <v/>
      </c>
      <c r="AD986" s="17">
        <f>IF($B986="","",TEXT($B986,"MM/AAAA"))</f>
        <v/>
      </c>
      <c r="AE986" s="18">
        <f>IF(COUNTA($B986:$R986)=0,"",IF($X986="Cancelado",0,ROUND(N($Q986)+N($S986)+N($T986)-N($U986),2)))</f>
        <v/>
      </c>
      <c r="AF986" s="9">
        <f>IF($G986="","",IFERROR(INDEX(LINHAS_DRE_PLANO,MATCH($G986,SUBCATEGORIAS_PLANO,0)),"Não classificado"))</f>
        <v/>
      </c>
      <c r="AG986" s="17">
        <f>IF($G986="","",IFERROR(INDEX(TIPOS_FLUXO_PLANO,MATCH($G986,SUBCATEGORIAS_PLANO,0)),"Não classificado"))</f>
        <v/>
      </c>
      <c r="AH986" s="9">
        <f>IF($G986="","",IFERROR(INDEX(GRUPOS_PLANO,MATCH($G986,SUBCATEGORIAS_PLANO,0)),"Não classificado"))</f>
        <v/>
      </c>
      <c r="AI986" s="24">
        <f>IF(OR($C986="",$X986="Pago",$X986="Recebido",$X986="Cancelado"),"",$C986-TODAY())</f>
        <v/>
      </c>
      <c r="AJ986" s="24">
        <f>IF(OR($C986="",$X986="Pago",$X986="Recebido",$X986="Cancelado"),0,MAX(0,TODAY()-$C986))</f>
        <v/>
      </c>
      <c r="AK986" s="24">
        <f>IF($D986="","",$D986-$B986)</f>
        <v/>
      </c>
      <c r="AL986" s="18">
        <f>IF(OR($D986="",$B986=""),"",ROUND(N($R986)*($D986-$B986),2))</f>
        <v/>
      </c>
      <c r="AM986" s="17">
        <f>IF(AND($E986="Saída",$W986&gt;0,$C986&lt;&gt;""),$C986+ROW()/1000000,"")</f>
        <v/>
      </c>
      <c r="AN986" s="17">
        <f>IF(AND($E986="Entrada",$W986&gt;0,$C986&lt;&gt;""),$C986+ROW()/1000000,"")</f>
        <v/>
      </c>
      <c r="AO986" s="9">
        <f>IF(COUNTA($B986:$R986)=0,"",IF(AND($I986&lt;&gt;"",COUNTIF(CLIENTES_NOMES,$I986)+COUNTIF(CLIENTES_FANTASIA,$I986)+COUNTIF(FORNECEDORES_NOMES,$I986)+COUNTIF(FORNECEDORES_FANTASIA,$I986)=0),"⚠ Cliente/Fornecedor não cadastrado",IF(AND($G986&lt;&gt;"",COUNTIF(SUBCATEGORIAS_PLANO,$G986)=0),"⚠ Subcategoria fora do plano de contas",IF(OR($Q986="",N($Q986)=0),"⚠ Valor previsto não informado",IF(AND(OR($X986="Pago",$X986="Recebido"),$D986=""),"⚠ Status pago/recebido sem data",IF(AND($D986&lt;&gt;"",N($R986)=0),"⚠ Data de pagamento sem valor realizado",IF(AND(N($P986)&gt;1,N($O986)&gt;N($P986)),"⚠ Nº da parcela maior que o total",IF(AND($C986&lt;&gt;"",$B986&lt;&gt;"",$C986&lt;$B986),"⚠ Vencimento anterior à competência","OK"))))))))</f>
        <v/>
      </c>
    </row>
    <row r="987">
      <c r="A987" s="14" t="n"/>
      <c r="B987" s="36" t="n"/>
      <c r="C987" s="36" t="n"/>
      <c r="D987" s="36" t="n"/>
      <c r="E987" s="14" t="n"/>
      <c r="F987" s="29" t="n"/>
      <c r="G987" s="29" t="n"/>
      <c r="H987" s="29" t="n"/>
      <c r="I987" s="29" t="n"/>
      <c r="J987" s="29" t="n"/>
      <c r="K987" s="14" t="n"/>
      <c r="L987" s="29" t="n"/>
      <c r="M987" s="14" t="n"/>
      <c r="N987" s="29" t="n"/>
      <c r="O987" s="13" t="n"/>
      <c r="P987" s="13" t="n"/>
      <c r="Q987" s="35" t="n"/>
      <c r="R987" s="35" t="n"/>
      <c r="S987" s="35" t="n"/>
      <c r="T987" s="35" t="n"/>
      <c r="U987" s="35" t="n"/>
      <c r="V987" s="18">
        <f>IF(COUNTA($B987:$R987)=0,"",ROUND(N($R987)+N($S987)+N($T987)-N($U987),2))</f>
        <v/>
      </c>
      <c r="W987" s="18">
        <f>IF(COUNTA($B987:$R987)=0,"",IF(OR($X987="Pago",$X987="Recebido",$X987="Cancelado"),0,ROUND(N($Q987)+N($S987)+N($T987)-N($U987)-N($R987),2)))</f>
        <v/>
      </c>
      <c r="X987" s="14" t="n"/>
      <c r="Y987" s="17">
        <f>IF(COUNTA($B987:$R987)=0,"",IF($X987="Cancelado","Cancelado",IF(OR($X987="Pago",$X987="Recebido"),$X987,IF(OR($X987="Parcial",N($R987)&gt;0),"Parcial",IF($C987="","Sem vencimento",IF($C987&lt;TODAY(),"Vencido",IF($C987=TODAY(),"Vence hoje",IF($C987&lt;=TODAY()+7,"Vence em 7 dias",IF($C987&lt;=TODAY()+30,"Vence em 30 dias","Futuro")))))))))</f>
        <v/>
      </c>
      <c r="Z987" s="24">
        <f>IF($B987="","",MONTH($B987))</f>
        <v/>
      </c>
      <c r="AA987" s="24">
        <f>IF($B987="","",YEAR($B987))</f>
        <v/>
      </c>
      <c r="AB987" s="24">
        <f>IF($B987="","",ISOWEEKNUM($B987))</f>
        <v/>
      </c>
      <c r="AC987" s="17">
        <f>IF($B987="","",CHOOSE(WEEKDAY($B987,2),"Segunda","Terça","Quarta","Quinta","Sexta","Sábado","Domingo"))</f>
        <v/>
      </c>
      <c r="AD987" s="17">
        <f>IF($B987="","",TEXT($B987,"MM/AAAA"))</f>
        <v/>
      </c>
      <c r="AE987" s="18">
        <f>IF(COUNTA($B987:$R987)=0,"",IF($X987="Cancelado",0,ROUND(N($Q987)+N($S987)+N($T987)-N($U987),2)))</f>
        <v/>
      </c>
      <c r="AF987" s="9">
        <f>IF($G987="","",IFERROR(INDEX(LINHAS_DRE_PLANO,MATCH($G987,SUBCATEGORIAS_PLANO,0)),"Não classificado"))</f>
        <v/>
      </c>
      <c r="AG987" s="17">
        <f>IF($G987="","",IFERROR(INDEX(TIPOS_FLUXO_PLANO,MATCH($G987,SUBCATEGORIAS_PLANO,0)),"Não classificado"))</f>
        <v/>
      </c>
      <c r="AH987" s="9">
        <f>IF($G987="","",IFERROR(INDEX(GRUPOS_PLANO,MATCH($G987,SUBCATEGORIAS_PLANO,0)),"Não classificado"))</f>
        <v/>
      </c>
      <c r="AI987" s="24">
        <f>IF(OR($C987="",$X987="Pago",$X987="Recebido",$X987="Cancelado"),"",$C987-TODAY())</f>
        <v/>
      </c>
      <c r="AJ987" s="24">
        <f>IF(OR($C987="",$X987="Pago",$X987="Recebido",$X987="Cancelado"),0,MAX(0,TODAY()-$C987))</f>
        <v/>
      </c>
      <c r="AK987" s="24">
        <f>IF($D987="","",$D987-$B987)</f>
        <v/>
      </c>
      <c r="AL987" s="18">
        <f>IF(OR($D987="",$B987=""),"",ROUND(N($R987)*($D987-$B987),2))</f>
        <v/>
      </c>
      <c r="AM987" s="17">
        <f>IF(AND($E987="Saída",$W987&gt;0,$C987&lt;&gt;""),$C987+ROW()/1000000,"")</f>
        <v/>
      </c>
      <c r="AN987" s="17">
        <f>IF(AND($E987="Entrada",$W987&gt;0,$C987&lt;&gt;""),$C987+ROW()/1000000,"")</f>
        <v/>
      </c>
      <c r="AO987" s="9">
        <f>IF(COUNTA($B987:$R987)=0,"",IF(AND($I987&lt;&gt;"",COUNTIF(CLIENTES_NOMES,$I987)+COUNTIF(CLIENTES_FANTASIA,$I987)+COUNTIF(FORNECEDORES_NOMES,$I987)+COUNTIF(FORNECEDORES_FANTASIA,$I987)=0),"⚠ Cliente/Fornecedor não cadastrado",IF(AND($G987&lt;&gt;"",COUNTIF(SUBCATEGORIAS_PLANO,$G987)=0),"⚠ Subcategoria fora do plano de contas",IF(OR($Q987="",N($Q987)=0),"⚠ Valor previsto não informado",IF(AND(OR($X987="Pago",$X987="Recebido"),$D987=""),"⚠ Status pago/recebido sem data",IF(AND($D987&lt;&gt;"",N($R987)=0),"⚠ Data de pagamento sem valor realizado",IF(AND(N($P987)&gt;1,N($O987)&gt;N($P987)),"⚠ Nº da parcela maior que o total",IF(AND($C987&lt;&gt;"",$B987&lt;&gt;"",$C987&lt;$B987),"⚠ Vencimento anterior à competência","OK"))))))))</f>
        <v/>
      </c>
    </row>
    <row r="988">
      <c r="A988" s="14" t="n"/>
      <c r="B988" s="36" t="n"/>
      <c r="C988" s="36" t="n"/>
      <c r="D988" s="36" t="n"/>
      <c r="E988" s="14" t="n"/>
      <c r="F988" s="29" t="n"/>
      <c r="G988" s="29" t="n"/>
      <c r="H988" s="29" t="n"/>
      <c r="I988" s="29" t="n"/>
      <c r="J988" s="29" t="n"/>
      <c r="K988" s="14" t="n"/>
      <c r="L988" s="29" t="n"/>
      <c r="M988" s="14" t="n"/>
      <c r="N988" s="29" t="n"/>
      <c r="O988" s="13" t="n"/>
      <c r="P988" s="13" t="n"/>
      <c r="Q988" s="35" t="n"/>
      <c r="R988" s="35" t="n"/>
      <c r="S988" s="35" t="n"/>
      <c r="T988" s="35" t="n"/>
      <c r="U988" s="35" t="n"/>
      <c r="V988" s="18">
        <f>IF(COUNTA($B988:$R988)=0,"",ROUND(N($R988)+N($S988)+N($T988)-N($U988),2))</f>
        <v/>
      </c>
      <c r="W988" s="18">
        <f>IF(COUNTA($B988:$R988)=0,"",IF(OR($X988="Pago",$X988="Recebido",$X988="Cancelado"),0,ROUND(N($Q988)+N($S988)+N($T988)-N($U988)-N($R988),2)))</f>
        <v/>
      </c>
      <c r="X988" s="14" t="n"/>
      <c r="Y988" s="17">
        <f>IF(COUNTA($B988:$R988)=0,"",IF($X988="Cancelado","Cancelado",IF(OR($X988="Pago",$X988="Recebido"),$X988,IF(OR($X988="Parcial",N($R988)&gt;0),"Parcial",IF($C988="","Sem vencimento",IF($C988&lt;TODAY(),"Vencido",IF($C988=TODAY(),"Vence hoje",IF($C988&lt;=TODAY()+7,"Vence em 7 dias",IF($C988&lt;=TODAY()+30,"Vence em 30 dias","Futuro")))))))))</f>
        <v/>
      </c>
      <c r="Z988" s="24">
        <f>IF($B988="","",MONTH($B988))</f>
        <v/>
      </c>
      <c r="AA988" s="24">
        <f>IF($B988="","",YEAR($B988))</f>
        <v/>
      </c>
      <c r="AB988" s="24">
        <f>IF($B988="","",ISOWEEKNUM($B988))</f>
        <v/>
      </c>
      <c r="AC988" s="17">
        <f>IF($B988="","",CHOOSE(WEEKDAY($B988,2),"Segunda","Terça","Quarta","Quinta","Sexta","Sábado","Domingo"))</f>
        <v/>
      </c>
      <c r="AD988" s="17">
        <f>IF($B988="","",TEXT($B988,"MM/AAAA"))</f>
        <v/>
      </c>
      <c r="AE988" s="18">
        <f>IF(COUNTA($B988:$R988)=0,"",IF($X988="Cancelado",0,ROUND(N($Q988)+N($S988)+N($T988)-N($U988),2)))</f>
        <v/>
      </c>
      <c r="AF988" s="9">
        <f>IF($G988="","",IFERROR(INDEX(LINHAS_DRE_PLANO,MATCH($G988,SUBCATEGORIAS_PLANO,0)),"Não classificado"))</f>
        <v/>
      </c>
      <c r="AG988" s="17">
        <f>IF($G988="","",IFERROR(INDEX(TIPOS_FLUXO_PLANO,MATCH($G988,SUBCATEGORIAS_PLANO,0)),"Não classificado"))</f>
        <v/>
      </c>
      <c r="AH988" s="9">
        <f>IF($G988="","",IFERROR(INDEX(GRUPOS_PLANO,MATCH($G988,SUBCATEGORIAS_PLANO,0)),"Não classificado"))</f>
        <v/>
      </c>
      <c r="AI988" s="24">
        <f>IF(OR($C988="",$X988="Pago",$X988="Recebido",$X988="Cancelado"),"",$C988-TODAY())</f>
        <v/>
      </c>
      <c r="AJ988" s="24">
        <f>IF(OR($C988="",$X988="Pago",$X988="Recebido",$X988="Cancelado"),0,MAX(0,TODAY()-$C988))</f>
        <v/>
      </c>
      <c r="AK988" s="24">
        <f>IF($D988="","",$D988-$B988)</f>
        <v/>
      </c>
      <c r="AL988" s="18">
        <f>IF(OR($D988="",$B988=""),"",ROUND(N($R988)*($D988-$B988),2))</f>
        <v/>
      </c>
      <c r="AM988" s="17">
        <f>IF(AND($E988="Saída",$W988&gt;0,$C988&lt;&gt;""),$C988+ROW()/1000000,"")</f>
        <v/>
      </c>
      <c r="AN988" s="17">
        <f>IF(AND($E988="Entrada",$W988&gt;0,$C988&lt;&gt;""),$C988+ROW()/1000000,"")</f>
        <v/>
      </c>
      <c r="AO988" s="9">
        <f>IF(COUNTA($B988:$R988)=0,"",IF(AND($I988&lt;&gt;"",COUNTIF(CLIENTES_NOMES,$I988)+COUNTIF(CLIENTES_FANTASIA,$I988)+COUNTIF(FORNECEDORES_NOMES,$I988)+COUNTIF(FORNECEDORES_FANTASIA,$I988)=0),"⚠ Cliente/Fornecedor não cadastrado",IF(AND($G988&lt;&gt;"",COUNTIF(SUBCATEGORIAS_PLANO,$G988)=0),"⚠ Subcategoria fora do plano de contas",IF(OR($Q988="",N($Q988)=0),"⚠ Valor previsto não informado",IF(AND(OR($X988="Pago",$X988="Recebido"),$D988=""),"⚠ Status pago/recebido sem data",IF(AND($D988&lt;&gt;"",N($R988)=0),"⚠ Data de pagamento sem valor realizado",IF(AND(N($P988)&gt;1,N($O988)&gt;N($P988)),"⚠ Nº da parcela maior que o total",IF(AND($C988&lt;&gt;"",$B988&lt;&gt;"",$C988&lt;$B988),"⚠ Vencimento anterior à competência","OK"))))))))</f>
        <v/>
      </c>
    </row>
    <row r="989">
      <c r="A989" s="14" t="n"/>
      <c r="B989" s="36" t="n"/>
      <c r="C989" s="36" t="n"/>
      <c r="D989" s="36" t="n"/>
      <c r="E989" s="14" t="n"/>
      <c r="F989" s="29" t="n"/>
      <c r="G989" s="29" t="n"/>
      <c r="H989" s="29" t="n"/>
      <c r="I989" s="29" t="n"/>
      <c r="J989" s="29" t="n"/>
      <c r="K989" s="14" t="n"/>
      <c r="L989" s="29" t="n"/>
      <c r="M989" s="14" t="n"/>
      <c r="N989" s="29" t="n"/>
      <c r="O989" s="13" t="n"/>
      <c r="P989" s="13" t="n"/>
      <c r="Q989" s="35" t="n"/>
      <c r="R989" s="35" t="n"/>
      <c r="S989" s="35" t="n"/>
      <c r="T989" s="35" t="n"/>
      <c r="U989" s="35" t="n"/>
      <c r="V989" s="18">
        <f>IF(COUNTA($B989:$R989)=0,"",ROUND(N($R989)+N($S989)+N($T989)-N($U989),2))</f>
        <v/>
      </c>
      <c r="W989" s="18">
        <f>IF(COUNTA($B989:$R989)=0,"",IF(OR($X989="Pago",$X989="Recebido",$X989="Cancelado"),0,ROUND(N($Q989)+N($S989)+N($T989)-N($U989)-N($R989),2)))</f>
        <v/>
      </c>
      <c r="X989" s="14" t="n"/>
      <c r="Y989" s="17">
        <f>IF(COUNTA($B989:$R989)=0,"",IF($X989="Cancelado","Cancelado",IF(OR($X989="Pago",$X989="Recebido"),$X989,IF(OR($X989="Parcial",N($R989)&gt;0),"Parcial",IF($C989="","Sem vencimento",IF($C989&lt;TODAY(),"Vencido",IF($C989=TODAY(),"Vence hoje",IF($C989&lt;=TODAY()+7,"Vence em 7 dias",IF($C989&lt;=TODAY()+30,"Vence em 30 dias","Futuro")))))))))</f>
        <v/>
      </c>
      <c r="Z989" s="24">
        <f>IF($B989="","",MONTH($B989))</f>
        <v/>
      </c>
      <c r="AA989" s="24">
        <f>IF($B989="","",YEAR($B989))</f>
        <v/>
      </c>
      <c r="AB989" s="24">
        <f>IF($B989="","",ISOWEEKNUM($B989))</f>
        <v/>
      </c>
      <c r="AC989" s="17">
        <f>IF($B989="","",CHOOSE(WEEKDAY($B989,2),"Segunda","Terça","Quarta","Quinta","Sexta","Sábado","Domingo"))</f>
        <v/>
      </c>
      <c r="AD989" s="17">
        <f>IF($B989="","",TEXT($B989,"MM/AAAA"))</f>
        <v/>
      </c>
      <c r="AE989" s="18">
        <f>IF(COUNTA($B989:$R989)=0,"",IF($X989="Cancelado",0,ROUND(N($Q989)+N($S989)+N($T989)-N($U989),2)))</f>
        <v/>
      </c>
      <c r="AF989" s="9">
        <f>IF($G989="","",IFERROR(INDEX(LINHAS_DRE_PLANO,MATCH($G989,SUBCATEGORIAS_PLANO,0)),"Não classificado"))</f>
        <v/>
      </c>
      <c r="AG989" s="17">
        <f>IF($G989="","",IFERROR(INDEX(TIPOS_FLUXO_PLANO,MATCH($G989,SUBCATEGORIAS_PLANO,0)),"Não classificado"))</f>
        <v/>
      </c>
      <c r="AH989" s="9">
        <f>IF($G989="","",IFERROR(INDEX(GRUPOS_PLANO,MATCH($G989,SUBCATEGORIAS_PLANO,0)),"Não classificado"))</f>
        <v/>
      </c>
      <c r="AI989" s="24">
        <f>IF(OR($C989="",$X989="Pago",$X989="Recebido",$X989="Cancelado"),"",$C989-TODAY())</f>
        <v/>
      </c>
      <c r="AJ989" s="24">
        <f>IF(OR($C989="",$X989="Pago",$X989="Recebido",$X989="Cancelado"),0,MAX(0,TODAY()-$C989))</f>
        <v/>
      </c>
      <c r="AK989" s="24">
        <f>IF($D989="","",$D989-$B989)</f>
        <v/>
      </c>
      <c r="AL989" s="18">
        <f>IF(OR($D989="",$B989=""),"",ROUND(N($R989)*($D989-$B989),2))</f>
        <v/>
      </c>
      <c r="AM989" s="17">
        <f>IF(AND($E989="Saída",$W989&gt;0,$C989&lt;&gt;""),$C989+ROW()/1000000,"")</f>
        <v/>
      </c>
      <c r="AN989" s="17">
        <f>IF(AND($E989="Entrada",$W989&gt;0,$C989&lt;&gt;""),$C989+ROW()/1000000,"")</f>
        <v/>
      </c>
      <c r="AO989" s="9">
        <f>IF(COUNTA($B989:$R989)=0,"",IF(AND($I989&lt;&gt;"",COUNTIF(CLIENTES_NOMES,$I989)+COUNTIF(CLIENTES_FANTASIA,$I989)+COUNTIF(FORNECEDORES_NOMES,$I989)+COUNTIF(FORNECEDORES_FANTASIA,$I989)=0),"⚠ Cliente/Fornecedor não cadastrado",IF(AND($G989&lt;&gt;"",COUNTIF(SUBCATEGORIAS_PLANO,$G989)=0),"⚠ Subcategoria fora do plano de contas",IF(OR($Q989="",N($Q989)=0),"⚠ Valor previsto não informado",IF(AND(OR($X989="Pago",$X989="Recebido"),$D989=""),"⚠ Status pago/recebido sem data",IF(AND($D989&lt;&gt;"",N($R989)=0),"⚠ Data de pagamento sem valor realizado",IF(AND(N($P989)&gt;1,N($O989)&gt;N($P989)),"⚠ Nº da parcela maior que o total",IF(AND($C989&lt;&gt;"",$B989&lt;&gt;"",$C989&lt;$B989),"⚠ Vencimento anterior à competência","OK"))))))))</f>
        <v/>
      </c>
    </row>
    <row r="990">
      <c r="A990" s="14" t="n"/>
      <c r="B990" s="36" t="n"/>
      <c r="C990" s="36" t="n"/>
      <c r="D990" s="36" t="n"/>
      <c r="E990" s="14" t="n"/>
      <c r="F990" s="29" t="n"/>
      <c r="G990" s="29" t="n"/>
      <c r="H990" s="29" t="n"/>
      <c r="I990" s="29" t="n"/>
      <c r="J990" s="29" t="n"/>
      <c r="K990" s="14" t="n"/>
      <c r="L990" s="29" t="n"/>
      <c r="M990" s="14" t="n"/>
      <c r="N990" s="29" t="n"/>
      <c r="O990" s="13" t="n"/>
      <c r="P990" s="13" t="n"/>
      <c r="Q990" s="35" t="n"/>
      <c r="R990" s="35" t="n"/>
      <c r="S990" s="35" t="n"/>
      <c r="T990" s="35" t="n"/>
      <c r="U990" s="35" t="n"/>
      <c r="V990" s="18">
        <f>IF(COUNTA($B990:$R990)=0,"",ROUND(N($R990)+N($S990)+N($T990)-N($U990),2))</f>
        <v/>
      </c>
      <c r="W990" s="18">
        <f>IF(COUNTA($B990:$R990)=0,"",IF(OR($X990="Pago",$X990="Recebido",$X990="Cancelado"),0,ROUND(N($Q990)+N($S990)+N($T990)-N($U990)-N($R990),2)))</f>
        <v/>
      </c>
      <c r="X990" s="14" t="n"/>
      <c r="Y990" s="17">
        <f>IF(COUNTA($B990:$R990)=0,"",IF($X990="Cancelado","Cancelado",IF(OR($X990="Pago",$X990="Recebido"),$X990,IF(OR($X990="Parcial",N($R990)&gt;0),"Parcial",IF($C990="","Sem vencimento",IF($C990&lt;TODAY(),"Vencido",IF($C990=TODAY(),"Vence hoje",IF($C990&lt;=TODAY()+7,"Vence em 7 dias",IF($C990&lt;=TODAY()+30,"Vence em 30 dias","Futuro")))))))))</f>
        <v/>
      </c>
      <c r="Z990" s="24">
        <f>IF($B990="","",MONTH($B990))</f>
        <v/>
      </c>
      <c r="AA990" s="24">
        <f>IF($B990="","",YEAR($B990))</f>
        <v/>
      </c>
      <c r="AB990" s="24">
        <f>IF($B990="","",ISOWEEKNUM($B990))</f>
        <v/>
      </c>
      <c r="AC990" s="17">
        <f>IF($B990="","",CHOOSE(WEEKDAY($B990,2),"Segunda","Terça","Quarta","Quinta","Sexta","Sábado","Domingo"))</f>
        <v/>
      </c>
      <c r="AD990" s="17">
        <f>IF($B990="","",TEXT($B990,"MM/AAAA"))</f>
        <v/>
      </c>
      <c r="AE990" s="18">
        <f>IF(COUNTA($B990:$R990)=0,"",IF($X990="Cancelado",0,ROUND(N($Q990)+N($S990)+N($T990)-N($U990),2)))</f>
        <v/>
      </c>
      <c r="AF990" s="9">
        <f>IF($G990="","",IFERROR(INDEX(LINHAS_DRE_PLANO,MATCH($G990,SUBCATEGORIAS_PLANO,0)),"Não classificado"))</f>
        <v/>
      </c>
      <c r="AG990" s="17">
        <f>IF($G990="","",IFERROR(INDEX(TIPOS_FLUXO_PLANO,MATCH($G990,SUBCATEGORIAS_PLANO,0)),"Não classificado"))</f>
        <v/>
      </c>
      <c r="AH990" s="9">
        <f>IF($G990="","",IFERROR(INDEX(GRUPOS_PLANO,MATCH($G990,SUBCATEGORIAS_PLANO,0)),"Não classificado"))</f>
        <v/>
      </c>
      <c r="AI990" s="24">
        <f>IF(OR($C990="",$X990="Pago",$X990="Recebido",$X990="Cancelado"),"",$C990-TODAY())</f>
        <v/>
      </c>
      <c r="AJ990" s="24">
        <f>IF(OR($C990="",$X990="Pago",$X990="Recebido",$X990="Cancelado"),0,MAX(0,TODAY()-$C990))</f>
        <v/>
      </c>
      <c r="AK990" s="24">
        <f>IF($D990="","",$D990-$B990)</f>
        <v/>
      </c>
      <c r="AL990" s="18">
        <f>IF(OR($D990="",$B990=""),"",ROUND(N($R990)*($D990-$B990),2))</f>
        <v/>
      </c>
      <c r="AM990" s="17">
        <f>IF(AND($E990="Saída",$W990&gt;0,$C990&lt;&gt;""),$C990+ROW()/1000000,"")</f>
        <v/>
      </c>
      <c r="AN990" s="17">
        <f>IF(AND($E990="Entrada",$W990&gt;0,$C990&lt;&gt;""),$C990+ROW()/1000000,"")</f>
        <v/>
      </c>
      <c r="AO990" s="9">
        <f>IF(COUNTA($B990:$R990)=0,"",IF(AND($I990&lt;&gt;"",COUNTIF(CLIENTES_NOMES,$I990)+COUNTIF(CLIENTES_FANTASIA,$I990)+COUNTIF(FORNECEDORES_NOMES,$I990)+COUNTIF(FORNECEDORES_FANTASIA,$I990)=0),"⚠ Cliente/Fornecedor não cadastrado",IF(AND($G990&lt;&gt;"",COUNTIF(SUBCATEGORIAS_PLANO,$G990)=0),"⚠ Subcategoria fora do plano de contas",IF(OR($Q990="",N($Q990)=0),"⚠ Valor previsto não informado",IF(AND(OR($X990="Pago",$X990="Recebido"),$D990=""),"⚠ Status pago/recebido sem data",IF(AND($D990&lt;&gt;"",N($R990)=0),"⚠ Data de pagamento sem valor realizado",IF(AND(N($P990)&gt;1,N($O990)&gt;N($P990)),"⚠ Nº da parcela maior que o total",IF(AND($C990&lt;&gt;"",$B990&lt;&gt;"",$C990&lt;$B990),"⚠ Vencimento anterior à competência","OK"))))))))</f>
        <v/>
      </c>
    </row>
    <row r="991">
      <c r="A991" s="14" t="n"/>
      <c r="B991" s="36" t="n"/>
      <c r="C991" s="36" t="n"/>
      <c r="D991" s="36" t="n"/>
      <c r="E991" s="14" t="n"/>
      <c r="F991" s="29" t="n"/>
      <c r="G991" s="29" t="n"/>
      <c r="H991" s="29" t="n"/>
      <c r="I991" s="29" t="n"/>
      <c r="J991" s="29" t="n"/>
      <c r="K991" s="14" t="n"/>
      <c r="L991" s="29" t="n"/>
      <c r="M991" s="14" t="n"/>
      <c r="N991" s="29" t="n"/>
      <c r="O991" s="13" t="n"/>
      <c r="P991" s="13" t="n"/>
      <c r="Q991" s="35" t="n"/>
      <c r="R991" s="35" t="n"/>
      <c r="S991" s="35" t="n"/>
      <c r="T991" s="35" t="n"/>
      <c r="U991" s="35" t="n"/>
      <c r="V991" s="18">
        <f>IF(COUNTA($B991:$R991)=0,"",ROUND(N($R991)+N($S991)+N($T991)-N($U991),2))</f>
        <v/>
      </c>
      <c r="W991" s="18">
        <f>IF(COUNTA($B991:$R991)=0,"",IF(OR($X991="Pago",$X991="Recebido",$X991="Cancelado"),0,ROUND(N($Q991)+N($S991)+N($T991)-N($U991)-N($R991),2)))</f>
        <v/>
      </c>
      <c r="X991" s="14" t="n"/>
      <c r="Y991" s="17">
        <f>IF(COUNTA($B991:$R991)=0,"",IF($X991="Cancelado","Cancelado",IF(OR($X991="Pago",$X991="Recebido"),$X991,IF(OR($X991="Parcial",N($R991)&gt;0),"Parcial",IF($C991="","Sem vencimento",IF($C991&lt;TODAY(),"Vencido",IF($C991=TODAY(),"Vence hoje",IF($C991&lt;=TODAY()+7,"Vence em 7 dias",IF($C991&lt;=TODAY()+30,"Vence em 30 dias","Futuro")))))))))</f>
        <v/>
      </c>
      <c r="Z991" s="24">
        <f>IF($B991="","",MONTH($B991))</f>
        <v/>
      </c>
      <c r="AA991" s="24">
        <f>IF($B991="","",YEAR($B991))</f>
        <v/>
      </c>
      <c r="AB991" s="24">
        <f>IF($B991="","",ISOWEEKNUM($B991))</f>
        <v/>
      </c>
      <c r="AC991" s="17">
        <f>IF($B991="","",CHOOSE(WEEKDAY($B991,2),"Segunda","Terça","Quarta","Quinta","Sexta","Sábado","Domingo"))</f>
        <v/>
      </c>
      <c r="AD991" s="17">
        <f>IF($B991="","",TEXT($B991,"MM/AAAA"))</f>
        <v/>
      </c>
      <c r="AE991" s="18">
        <f>IF(COUNTA($B991:$R991)=0,"",IF($X991="Cancelado",0,ROUND(N($Q991)+N($S991)+N($T991)-N($U991),2)))</f>
        <v/>
      </c>
      <c r="AF991" s="9">
        <f>IF($G991="","",IFERROR(INDEX(LINHAS_DRE_PLANO,MATCH($G991,SUBCATEGORIAS_PLANO,0)),"Não classificado"))</f>
        <v/>
      </c>
      <c r="AG991" s="17">
        <f>IF($G991="","",IFERROR(INDEX(TIPOS_FLUXO_PLANO,MATCH($G991,SUBCATEGORIAS_PLANO,0)),"Não classificado"))</f>
        <v/>
      </c>
      <c r="AH991" s="9">
        <f>IF($G991="","",IFERROR(INDEX(GRUPOS_PLANO,MATCH($G991,SUBCATEGORIAS_PLANO,0)),"Não classificado"))</f>
        <v/>
      </c>
      <c r="AI991" s="24">
        <f>IF(OR($C991="",$X991="Pago",$X991="Recebido",$X991="Cancelado"),"",$C991-TODAY())</f>
        <v/>
      </c>
      <c r="AJ991" s="24">
        <f>IF(OR($C991="",$X991="Pago",$X991="Recebido",$X991="Cancelado"),0,MAX(0,TODAY()-$C991))</f>
        <v/>
      </c>
      <c r="AK991" s="24">
        <f>IF($D991="","",$D991-$B991)</f>
        <v/>
      </c>
      <c r="AL991" s="18">
        <f>IF(OR($D991="",$B991=""),"",ROUND(N($R991)*($D991-$B991),2))</f>
        <v/>
      </c>
      <c r="AM991" s="17">
        <f>IF(AND($E991="Saída",$W991&gt;0,$C991&lt;&gt;""),$C991+ROW()/1000000,"")</f>
        <v/>
      </c>
      <c r="AN991" s="17">
        <f>IF(AND($E991="Entrada",$W991&gt;0,$C991&lt;&gt;""),$C991+ROW()/1000000,"")</f>
        <v/>
      </c>
      <c r="AO991" s="9">
        <f>IF(COUNTA($B991:$R991)=0,"",IF(AND($I991&lt;&gt;"",COUNTIF(CLIENTES_NOMES,$I991)+COUNTIF(CLIENTES_FANTASIA,$I991)+COUNTIF(FORNECEDORES_NOMES,$I991)+COUNTIF(FORNECEDORES_FANTASIA,$I991)=0),"⚠ Cliente/Fornecedor não cadastrado",IF(AND($G991&lt;&gt;"",COUNTIF(SUBCATEGORIAS_PLANO,$G991)=0),"⚠ Subcategoria fora do plano de contas",IF(OR($Q991="",N($Q991)=0),"⚠ Valor previsto não informado",IF(AND(OR($X991="Pago",$X991="Recebido"),$D991=""),"⚠ Status pago/recebido sem data",IF(AND($D991&lt;&gt;"",N($R991)=0),"⚠ Data de pagamento sem valor realizado",IF(AND(N($P991)&gt;1,N($O991)&gt;N($P991)),"⚠ Nº da parcela maior que o total",IF(AND($C991&lt;&gt;"",$B991&lt;&gt;"",$C991&lt;$B991),"⚠ Vencimento anterior à competência","OK"))))))))</f>
        <v/>
      </c>
    </row>
    <row r="992">
      <c r="A992" s="14" t="n"/>
      <c r="B992" s="36" t="n"/>
      <c r="C992" s="36" t="n"/>
      <c r="D992" s="36" t="n"/>
      <c r="E992" s="14" t="n"/>
      <c r="F992" s="29" t="n"/>
      <c r="G992" s="29" t="n"/>
      <c r="H992" s="29" t="n"/>
      <c r="I992" s="29" t="n"/>
      <c r="J992" s="29" t="n"/>
      <c r="K992" s="14" t="n"/>
      <c r="L992" s="29" t="n"/>
      <c r="M992" s="14" t="n"/>
      <c r="N992" s="29" t="n"/>
      <c r="O992" s="13" t="n"/>
      <c r="P992" s="13" t="n"/>
      <c r="Q992" s="35" t="n"/>
      <c r="R992" s="35" t="n"/>
      <c r="S992" s="35" t="n"/>
      <c r="T992" s="35" t="n"/>
      <c r="U992" s="35" t="n"/>
      <c r="V992" s="18">
        <f>IF(COUNTA($B992:$R992)=0,"",ROUND(N($R992)+N($S992)+N($T992)-N($U992),2))</f>
        <v/>
      </c>
      <c r="W992" s="18">
        <f>IF(COUNTA($B992:$R992)=0,"",IF(OR($X992="Pago",$X992="Recebido",$X992="Cancelado"),0,ROUND(N($Q992)+N($S992)+N($T992)-N($U992)-N($R992),2)))</f>
        <v/>
      </c>
      <c r="X992" s="14" t="n"/>
      <c r="Y992" s="17">
        <f>IF(COUNTA($B992:$R992)=0,"",IF($X992="Cancelado","Cancelado",IF(OR($X992="Pago",$X992="Recebido"),$X992,IF(OR($X992="Parcial",N($R992)&gt;0),"Parcial",IF($C992="","Sem vencimento",IF($C992&lt;TODAY(),"Vencido",IF($C992=TODAY(),"Vence hoje",IF($C992&lt;=TODAY()+7,"Vence em 7 dias",IF($C992&lt;=TODAY()+30,"Vence em 30 dias","Futuro")))))))))</f>
        <v/>
      </c>
      <c r="Z992" s="24">
        <f>IF($B992="","",MONTH($B992))</f>
        <v/>
      </c>
      <c r="AA992" s="24">
        <f>IF($B992="","",YEAR($B992))</f>
        <v/>
      </c>
      <c r="AB992" s="24">
        <f>IF($B992="","",ISOWEEKNUM($B992))</f>
        <v/>
      </c>
      <c r="AC992" s="17">
        <f>IF($B992="","",CHOOSE(WEEKDAY($B992,2),"Segunda","Terça","Quarta","Quinta","Sexta","Sábado","Domingo"))</f>
        <v/>
      </c>
      <c r="AD992" s="17">
        <f>IF($B992="","",TEXT($B992,"MM/AAAA"))</f>
        <v/>
      </c>
      <c r="AE992" s="18">
        <f>IF(COUNTA($B992:$R992)=0,"",IF($X992="Cancelado",0,ROUND(N($Q992)+N($S992)+N($T992)-N($U992),2)))</f>
        <v/>
      </c>
      <c r="AF992" s="9">
        <f>IF($G992="","",IFERROR(INDEX(LINHAS_DRE_PLANO,MATCH($G992,SUBCATEGORIAS_PLANO,0)),"Não classificado"))</f>
        <v/>
      </c>
      <c r="AG992" s="17">
        <f>IF($G992="","",IFERROR(INDEX(TIPOS_FLUXO_PLANO,MATCH($G992,SUBCATEGORIAS_PLANO,0)),"Não classificado"))</f>
        <v/>
      </c>
      <c r="AH992" s="9">
        <f>IF($G992="","",IFERROR(INDEX(GRUPOS_PLANO,MATCH($G992,SUBCATEGORIAS_PLANO,0)),"Não classificado"))</f>
        <v/>
      </c>
      <c r="AI992" s="24">
        <f>IF(OR($C992="",$X992="Pago",$X992="Recebido",$X992="Cancelado"),"",$C992-TODAY())</f>
        <v/>
      </c>
      <c r="AJ992" s="24">
        <f>IF(OR($C992="",$X992="Pago",$X992="Recebido",$X992="Cancelado"),0,MAX(0,TODAY()-$C992))</f>
        <v/>
      </c>
      <c r="AK992" s="24">
        <f>IF($D992="","",$D992-$B992)</f>
        <v/>
      </c>
      <c r="AL992" s="18">
        <f>IF(OR($D992="",$B992=""),"",ROUND(N($R992)*($D992-$B992),2))</f>
        <v/>
      </c>
      <c r="AM992" s="17">
        <f>IF(AND($E992="Saída",$W992&gt;0,$C992&lt;&gt;""),$C992+ROW()/1000000,"")</f>
        <v/>
      </c>
      <c r="AN992" s="17">
        <f>IF(AND($E992="Entrada",$W992&gt;0,$C992&lt;&gt;""),$C992+ROW()/1000000,"")</f>
        <v/>
      </c>
      <c r="AO992" s="9">
        <f>IF(COUNTA($B992:$R992)=0,"",IF(AND($I992&lt;&gt;"",COUNTIF(CLIENTES_NOMES,$I992)+COUNTIF(CLIENTES_FANTASIA,$I992)+COUNTIF(FORNECEDORES_NOMES,$I992)+COUNTIF(FORNECEDORES_FANTASIA,$I992)=0),"⚠ Cliente/Fornecedor não cadastrado",IF(AND($G992&lt;&gt;"",COUNTIF(SUBCATEGORIAS_PLANO,$G992)=0),"⚠ Subcategoria fora do plano de contas",IF(OR($Q992="",N($Q992)=0),"⚠ Valor previsto não informado",IF(AND(OR($X992="Pago",$X992="Recebido"),$D992=""),"⚠ Status pago/recebido sem data",IF(AND($D992&lt;&gt;"",N($R992)=0),"⚠ Data de pagamento sem valor realizado",IF(AND(N($P992)&gt;1,N($O992)&gt;N($P992)),"⚠ Nº da parcela maior que o total",IF(AND($C992&lt;&gt;"",$B992&lt;&gt;"",$C992&lt;$B992),"⚠ Vencimento anterior à competência","OK"))))))))</f>
        <v/>
      </c>
    </row>
    <row r="993">
      <c r="A993" s="14" t="n"/>
      <c r="B993" s="36" t="n"/>
      <c r="C993" s="36" t="n"/>
      <c r="D993" s="36" t="n"/>
      <c r="E993" s="14" t="n"/>
      <c r="F993" s="29" t="n"/>
      <c r="G993" s="29" t="n"/>
      <c r="H993" s="29" t="n"/>
      <c r="I993" s="29" t="n"/>
      <c r="J993" s="29" t="n"/>
      <c r="K993" s="14" t="n"/>
      <c r="L993" s="29" t="n"/>
      <c r="M993" s="14" t="n"/>
      <c r="N993" s="29" t="n"/>
      <c r="O993" s="13" t="n"/>
      <c r="P993" s="13" t="n"/>
      <c r="Q993" s="35" t="n"/>
      <c r="R993" s="35" t="n"/>
      <c r="S993" s="35" t="n"/>
      <c r="T993" s="35" t="n"/>
      <c r="U993" s="35" t="n"/>
      <c r="V993" s="18">
        <f>IF(COUNTA($B993:$R993)=0,"",ROUND(N($R993)+N($S993)+N($T993)-N($U993),2))</f>
        <v/>
      </c>
      <c r="W993" s="18">
        <f>IF(COUNTA($B993:$R993)=0,"",IF(OR($X993="Pago",$X993="Recebido",$X993="Cancelado"),0,ROUND(N($Q993)+N($S993)+N($T993)-N($U993)-N($R993),2)))</f>
        <v/>
      </c>
      <c r="X993" s="14" t="n"/>
      <c r="Y993" s="17">
        <f>IF(COUNTA($B993:$R993)=0,"",IF($X993="Cancelado","Cancelado",IF(OR($X993="Pago",$X993="Recebido"),$X993,IF(OR($X993="Parcial",N($R993)&gt;0),"Parcial",IF($C993="","Sem vencimento",IF($C993&lt;TODAY(),"Vencido",IF($C993=TODAY(),"Vence hoje",IF($C993&lt;=TODAY()+7,"Vence em 7 dias",IF($C993&lt;=TODAY()+30,"Vence em 30 dias","Futuro")))))))))</f>
        <v/>
      </c>
      <c r="Z993" s="24">
        <f>IF($B993="","",MONTH($B993))</f>
        <v/>
      </c>
      <c r="AA993" s="24">
        <f>IF($B993="","",YEAR($B993))</f>
        <v/>
      </c>
      <c r="AB993" s="24">
        <f>IF($B993="","",ISOWEEKNUM($B993))</f>
        <v/>
      </c>
      <c r="AC993" s="17">
        <f>IF($B993="","",CHOOSE(WEEKDAY($B993,2),"Segunda","Terça","Quarta","Quinta","Sexta","Sábado","Domingo"))</f>
        <v/>
      </c>
      <c r="AD993" s="17">
        <f>IF($B993="","",TEXT($B993,"MM/AAAA"))</f>
        <v/>
      </c>
      <c r="AE993" s="18">
        <f>IF(COUNTA($B993:$R993)=0,"",IF($X993="Cancelado",0,ROUND(N($Q993)+N($S993)+N($T993)-N($U993),2)))</f>
        <v/>
      </c>
      <c r="AF993" s="9">
        <f>IF($G993="","",IFERROR(INDEX(LINHAS_DRE_PLANO,MATCH($G993,SUBCATEGORIAS_PLANO,0)),"Não classificado"))</f>
        <v/>
      </c>
      <c r="AG993" s="17">
        <f>IF($G993="","",IFERROR(INDEX(TIPOS_FLUXO_PLANO,MATCH($G993,SUBCATEGORIAS_PLANO,0)),"Não classificado"))</f>
        <v/>
      </c>
      <c r="AH993" s="9">
        <f>IF($G993="","",IFERROR(INDEX(GRUPOS_PLANO,MATCH($G993,SUBCATEGORIAS_PLANO,0)),"Não classificado"))</f>
        <v/>
      </c>
      <c r="AI993" s="24">
        <f>IF(OR($C993="",$X993="Pago",$X993="Recebido",$X993="Cancelado"),"",$C993-TODAY())</f>
        <v/>
      </c>
      <c r="AJ993" s="24">
        <f>IF(OR($C993="",$X993="Pago",$X993="Recebido",$X993="Cancelado"),0,MAX(0,TODAY()-$C993))</f>
        <v/>
      </c>
      <c r="AK993" s="24">
        <f>IF($D993="","",$D993-$B993)</f>
        <v/>
      </c>
      <c r="AL993" s="18">
        <f>IF(OR($D993="",$B993=""),"",ROUND(N($R993)*($D993-$B993),2))</f>
        <v/>
      </c>
      <c r="AM993" s="17">
        <f>IF(AND($E993="Saída",$W993&gt;0,$C993&lt;&gt;""),$C993+ROW()/1000000,"")</f>
        <v/>
      </c>
      <c r="AN993" s="17">
        <f>IF(AND($E993="Entrada",$W993&gt;0,$C993&lt;&gt;""),$C993+ROW()/1000000,"")</f>
        <v/>
      </c>
      <c r="AO993" s="9">
        <f>IF(COUNTA($B993:$R993)=0,"",IF(AND($I993&lt;&gt;"",COUNTIF(CLIENTES_NOMES,$I993)+COUNTIF(CLIENTES_FANTASIA,$I993)+COUNTIF(FORNECEDORES_NOMES,$I993)+COUNTIF(FORNECEDORES_FANTASIA,$I993)=0),"⚠ Cliente/Fornecedor não cadastrado",IF(AND($G993&lt;&gt;"",COUNTIF(SUBCATEGORIAS_PLANO,$G993)=0),"⚠ Subcategoria fora do plano de contas",IF(OR($Q993="",N($Q993)=0),"⚠ Valor previsto não informado",IF(AND(OR($X993="Pago",$X993="Recebido"),$D993=""),"⚠ Status pago/recebido sem data",IF(AND($D993&lt;&gt;"",N($R993)=0),"⚠ Data de pagamento sem valor realizado",IF(AND(N($P993)&gt;1,N($O993)&gt;N($P993)),"⚠ Nº da parcela maior que o total",IF(AND($C993&lt;&gt;"",$B993&lt;&gt;"",$C993&lt;$B993),"⚠ Vencimento anterior à competência","OK"))))))))</f>
        <v/>
      </c>
    </row>
    <row r="994">
      <c r="A994" s="14" t="n"/>
      <c r="B994" s="36" t="n"/>
      <c r="C994" s="36" t="n"/>
      <c r="D994" s="36" t="n"/>
      <c r="E994" s="14" t="n"/>
      <c r="F994" s="29" t="n"/>
      <c r="G994" s="29" t="n"/>
      <c r="H994" s="29" t="n"/>
      <c r="I994" s="29" t="n"/>
      <c r="J994" s="29" t="n"/>
      <c r="K994" s="14" t="n"/>
      <c r="L994" s="29" t="n"/>
      <c r="M994" s="14" t="n"/>
      <c r="N994" s="29" t="n"/>
      <c r="O994" s="13" t="n"/>
      <c r="P994" s="13" t="n"/>
      <c r="Q994" s="35" t="n"/>
      <c r="R994" s="35" t="n"/>
      <c r="S994" s="35" t="n"/>
      <c r="T994" s="35" t="n"/>
      <c r="U994" s="35" t="n"/>
      <c r="V994" s="18">
        <f>IF(COUNTA($B994:$R994)=0,"",ROUND(N($R994)+N($S994)+N($T994)-N($U994),2))</f>
        <v/>
      </c>
      <c r="W994" s="18">
        <f>IF(COUNTA($B994:$R994)=0,"",IF(OR($X994="Pago",$X994="Recebido",$X994="Cancelado"),0,ROUND(N($Q994)+N($S994)+N($T994)-N($U994)-N($R994),2)))</f>
        <v/>
      </c>
      <c r="X994" s="14" t="n"/>
      <c r="Y994" s="17">
        <f>IF(COUNTA($B994:$R994)=0,"",IF($X994="Cancelado","Cancelado",IF(OR($X994="Pago",$X994="Recebido"),$X994,IF(OR($X994="Parcial",N($R994)&gt;0),"Parcial",IF($C994="","Sem vencimento",IF($C994&lt;TODAY(),"Vencido",IF($C994=TODAY(),"Vence hoje",IF($C994&lt;=TODAY()+7,"Vence em 7 dias",IF($C994&lt;=TODAY()+30,"Vence em 30 dias","Futuro")))))))))</f>
        <v/>
      </c>
      <c r="Z994" s="24">
        <f>IF($B994="","",MONTH($B994))</f>
        <v/>
      </c>
      <c r="AA994" s="24">
        <f>IF($B994="","",YEAR($B994))</f>
        <v/>
      </c>
      <c r="AB994" s="24">
        <f>IF($B994="","",ISOWEEKNUM($B994))</f>
        <v/>
      </c>
      <c r="AC994" s="17">
        <f>IF($B994="","",CHOOSE(WEEKDAY($B994,2),"Segunda","Terça","Quarta","Quinta","Sexta","Sábado","Domingo"))</f>
        <v/>
      </c>
      <c r="AD994" s="17">
        <f>IF($B994="","",TEXT($B994,"MM/AAAA"))</f>
        <v/>
      </c>
      <c r="AE994" s="18">
        <f>IF(COUNTA($B994:$R994)=0,"",IF($X994="Cancelado",0,ROUND(N($Q994)+N($S994)+N($T994)-N($U994),2)))</f>
        <v/>
      </c>
      <c r="AF994" s="9">
        <f>IF($G994="","",IFERROR(INDEX(LINHAS_DRE_PLANO,MATCH($G994,SUBCATEGORIAS_PLANO,0)),"Não classificado"))</f>
        <v/>
      </c>
      <c r="AG994" s="17">
        <f>IF($G994="","",IFERROR(INDEX(TIPOS_FLUXO_PLANO,MATCH($G994,SUBCATEGORIAS_PLANO,0)),"Não classificado"))</f>
        <v/>
      </c>
      <c r="AH994" s="9">
        <f>IF($G994="","",IFERROR(INDEX(GRUPOS_PLANO,MATCH($G994,SUBCATEGORIAS_PLANO,0)),"Não classificado"))</f>
        <v/>
      </c>
      <c r="AI994" s="24">
        <f>IF(OR($C994="",$X994="Pago",$X994="Recebido",$X994="Cancelado"),"",$C994-TODAY())</f>
        <v/>
      </c>
      <c r="AJ994" s="24">
        <f>IF(OR($C994="",$X994="Pago",$X994="Recebido",$X994="Cancelado"),0,MAX(0,TODAY()-$C994))</f>
        <v/>
      </c>
      <c r="AK994" s="24">
        <f>IF($D994="","",$D994-$B994)</f>
        <v/>
      </c>
      <c r="AL994" s="18">
        <f>IF(OR($D994="",$B994=""),"",ROUND(N($R994)*($D994-$B994),2))</f>
        <v/>
      </c>
      <c r="AM994" s="17">
        <f>IF(AND($E994="Saída",$W994&gt;0,$C994&lt;&gt;""),$C994+ROW()/1000000,"")</f>
        <v/>
      </c>
      <c r="AN994" s="17">
        <f>IF(AND($E994="Entrada",$W994&gt;0,$C994&lt;&gt;""),$C994+ROW()/1000000,"")</f>
        <v/>
      </c>
      <c r="AO994" s="9">
        <f>IF(COUNTA($B994:$R994)=0,"",IF(AND($I994&lt;&gt;"",COUNTIF(CLIENTES_NOMES,$I994)+COUNTIF(CLIENTES_FANTASIA,$I994)+COUNTIF(FORNECEDORES_NOMES,$I994)+COUNTIF(FORNECEDORES_FANTASIA,$I994)=0),"⚠ Cliente/Fornecedor não cadastrado",IF(AND($G994&lt;&gt;"",COUNTIF(SUBCATEGORIAS_PLANO,$G994)=0),"⚠ Subcategoria fora do plano de contas",IF(OR($Q994="",N($Q994)=0),"⚠ Valor previsto não informado",IF(AND(OR($X994="Pago",$X994="Recebido"),$D994=""),"⚠ Status pago/recebido sem data",IF(AND($D994&lt;&gt;"",N($R994)=0),"⚠ Data de pagamento sem valor realizado",IF(AND(N($P994)&gt;1,N($O994)&gt;N($P994)),"⚠ Nº da parcela maior que o total",IF(AND($C994&lt;&gt;"",$B994&lt;&gt;"",$C994&lt;$B994),"⚠ Vencimento anterior à competência","OK"))))))))</f>
        <v/>
      </c>
    </row>
    <row r="995">
      <c r="A995" s="14" t="n"/>
      <c r="B995" s="36" t="n"/>
      <c r="C995" s="36" t="n"/>
      <c r="D995" s="36" t="n"/>
      <c r="E995" s="14" t="n"/>
      <c r="F995" s="29" t="n"/>
      <c r="G995" s="29" t="n"/>
      <c r="H995" s="29" t="n"/>
      <c r="I995" s="29" t="n"/>
      <c r="J995" s="29" t="n"/>
      <c r="K995" s="14" t="n"/>
      <c r="L995" s="29" t="n"/>
      <c r="M995" s="14" t="n"/>
      <c r="N995" s="29" t="n"/>
      <c r="O995" s="13" t="n"/>
      <c r="P995" s="13" t="n"/>
      <c r="Q995" s="35" t="n"/>
      <c r="R995" s="35" t="n"/>
      <c r="S995" s="35" t="n"/>
      <c r="T995" s="35" t="n"/>
      <c r="U995" s="35" t="n"/>
      <c r="V995" s="18">
        <f>IF(COUNTA($B995:$R995)=0,"",ROUND(N($R995)+N($S995)+N($T995)-N($U995),2))</f>
        <v/>
      </c>
      <c r="W995" s="18">
        <f>IF(COUNTA($B995:$R995)=0,"",IF(OR($X995="Pago",$X995="Recebido",$X995="Cancelado"),0,ROUND(N($Q995)+N($S995)+N($T995)-N($U995)-N($R995),2)))</f>
        <v/>
      </c>
      <c r="X995" s="14" t="n"/>
      <c r="Y995" s="17">
        <f>IF(COUNTA($B995:$R995)=0,"",IF($X995="Cancelado","Cancelado",IF(OR($X995="Pago",$X995="Recebido"),$X995,IF(OR($X995="Parcial",N($R995)&gt;0),"Parcial",IF($C995="","Sem vencimento",IF($C995&lt;TODAY(),"Vencido",IF($C995=TODAY(),"Vence hoje",IF($C995&lt;=TODAY()+7,"Vence em 7 dias",IF($C995&lt;=TODAY()+30,"Vence em 30 dias","Futuro")))))))))</f>
        <v/>
      </c>
      <c r="Z995" s="24">
        <f>IF($B995="","",MONTH($B995))</f>
        <v/>
      </c>
      <c r="AA995" s="24">
        <f>IF($B995="","",YEAR($B995))</f>
        <v/>
      </c>
      <c r="AB995" s="24">
        <f>IF($B995="","",ISOWEEKNUM($B995))</f>
        <v/>
      </c>
      <c r="AC995" s="17">
        <f>IF($B995="","",CHOOSE(WEEKDAY($B995,2),"Segunda","Terça","Quarta","Quinta","Sexta","Sábado","Domingo"))</f>
        <v/>
      </c>
      <c r="AD995" s="17">
        <f>IF($B995="","",TEXT($B995,"MM/AAAA"))</f>
        <v/>
      </c>
      <c r="AE995" s="18">
        <f>IF(COUNTA($B995:$R995)=0,"",IF($X995="Cancelado",0,ROUND(N($Q995)+N($S995)+N($T995)-N($U995),2)))</f>
        <v/>
      </c>
      <c r="AF995" s="9">
        <f>IF($G995="","",IFERROR(INDEX(LINHAS_DRE_PLANO,MATCH($G995,SUBCATEGORIAS_PLANO,0)),"Não classificado"))</f>
        <v/>
      </c>
      <c r="AG995" s="17">
        <f>IF($G995="","",IFERROR(INDEX(TIPOS_FLUXO_PLANO,MATCH($G995,SUBCATEGORIAS_PLANO,0)),"Não classificado"))</f>
        <v/>
      </c>
      <c r="AH995" s="9">
        <f>IF($G995="","",IFERROR(INDEX(GRUPOS_PLANO,MATCH($G995,SUBCATEGORIAS_PLANO,0)),"Não classificado"))</f>
        <v/>
      </c>
      <c r="AI995" s="24">
        <f>IF(OR($C995="",$X995="Pago",$X995="Recebido",$X995="Cancelado"),"",$C995-TODAY())</f>
        <v/>
      </c>
      <c r="AJ995" s="24">
        <f>IF(OR($C995="",$X995="Pago",$X995="Recebido",$X995="Cancelado"),0,MAX(0,TODAY()-$C995))</f>
        <v/>
      </c>
      <c r="AK995" s="24">
        <f>IF($D995="","",$D995-$B995)</f>
        <v/>
      </c>
      <c r="AL995" s="18">
        <f>IF(OR($D995="",$B995=""),"",ROUND(N($R995)*($D995-$B995),2))</f>
        <v/>
      </c>
      <c r="AM995" s="17">
        <f>IF(AND($E995="Saída",$W995&gt;0,$C995&lt;&gt;""),$C995+ROW()/1000000,"")</f>
        <v/>
      </c>
      <c r="AN995" s="17">
        <f>IF(AND($E995="Entrada",$W995&gt;0,$C995&lt;&gt;""),$C995+ROW()/1000000,"")</f>
        <v/>
      </c>
      <c r="AO995" s="9">
        <f>IF(COUNTA($B995:$R995)=0,"",IF(AND($I995&lt;&gt;"",COUNTIF(CLIENTES_NOMES,$I995)+COUNTIF(CLIENTES_FANTASIA,$I995)+COUNTIF(FORNECEDORES_NOMES,$I995)+COUNTIF(FORNECEDORES_FANTASIA,$I995)=0),"⚠ Cliente/Fornecedor não cadastrado",IF(AND($G995&lt;&gt;"",COUNTIF(SUBCATEGORIAS_PLANO,$G995)=0),"⚠ Subcategoria fora do plano de contas",IF(OR($Q995="",N($Q995)=0),"⚠ Valor previsto não informado",IF(AND(OR($X995="Pago",$X995="Recebido"),$D995=""),"⚠ Status pago/recebido sem data",IF(AND($D995&lt;&gt;"",N($R995)=0),"⚠ Data de pagamento sem valor realizado",IF(AND(N($P995)&gt;1,N($O995)&gt;N($P995)),"⚠ Nº da parcela maior que o total",IF(AND($C995&lt;&gt;"",$B995&lt;&gt;"",$C995&lt;$B995),"⚠ Vencimento anterior à competência","OK"))))))))</f>
        <v/>
      </c>
    </row>
    <row r="996">
      <c r="A996" s="14" t="n"/>
      <c r="B996" s="36" t="n"/>
      <c r="C996" s="36" t="n"/>
      <c r="D996" s="36" t="n"/>
      <c r="E996" s="14" t="n"/>
      <c r="F996" s="29" t="n"/>
      <c r="G996" s="29" t="n"/>
      <c r="H996" s="29" t="n"/>
      <c r="I996" s="29" t="n"/>
      <c r="J996" s="29" t="n"/>
      <c r="K996" s="14" t="n"/>
      <c r="L996" s="29" t="n"/>
      <c r="M996" s="14" t="n"/>
      <c r="N996" s="29" t="n"/>
      <c r="O996" s="13" t="n"/>
      <c r="P996" s="13" t="n"/>
      <c r="Q996" s="35" t="n"/>
      <c r="R996" s="35" t="n"/>
      <c r="S996" s="35" t="n"/>
      <c r="T996" s="35" t="n"/>
      <c r="U996" s="35" t="n"/>
      <c r="V996" s="18">
        <f>IF(COUNTA($B996:$R996)=0,"",ROUND(N($R996)+N($S996)+N($T996)-N($U996),2))</f>
        <v/>
      </c>
      <c r="W996" s="18">
        <f>IF(COUNTA($B996:$R996)=0,"",IF(OR($X996="Pago",$X996="Recebido",$X996="Cancelado"),0,ROUND(N($Q996)+N($S996)+N($T996)-N($U996)-N($R996),2)))</f>
        <v/>
      </c>
      <c r="X996" s="14" t="n"/>
      <c r="Y996" s="17">
        <f>IF(COUNTA($B996:$R996)=0,"",IF($X996="Cancelado","Cancelado",IF(OR($X996="Pago",$X996="Recebido"),$X996,IF(OR($X996="Parcial",N($R996)&gt;0),"Parcial",IF($C996="","Sem vencimento",IF($C996&lt;TODAY(),"Vencido",IF($C996=TODAY(),"Vence hoje",IF($C996&lt;=TODAY()+7,"Vence em 7 dias",IF($C996&lt;=TODAY()+30,"Vence em 30 dias","Futuro")))))))))</f>
        <v/>
      </c>
      <c r="Z996" s="24">
        <f>IF($B996="","",MONTH($B996))</f>
        <v/>
      </c>
      <c r="AA996" s="24">
        <f>IF($B996="","",YEAR($B996))</f>
        <v/>
      </c>
      <c r="AB996" s="24">
        <f>IF($B996="","",ISOWEEKNUM($B996))</f>
        <v/>
      </c>
      <c r="AC996" s="17">
        <f>IF($B996="","",CHOOSE(WEEKDAY($B996,2),"Segunda","Terça","Quarta","Quinta","Sexta","Sábado","Domingo"))</f>
        <v/>
      </c>
      <c r="AD996" s="17">
        <f>IF($B996="","",TEXT($B996,"MM/AAAA"))</f>
        <v/>
      </c>
      <c r="AE996" s="18">
        <f>IF(COUNTA($B996:$R996)=0,"",IF($X996="Cancelado",0,ROUND(N($Q996)+N($S996)+N($T996)-N($U996),2)))</f>
        <v/>
      </c>
      <c r="AF996" s="9">
        <f>IF($G996="","",IFERROR(INDEX(LINHAS_DRE_PLANO,MATCH($G996,SUBCATEGORIAS_PLANO,0)),"Não classificado"))</f>
        <v/>
      </c>
      <c r="AG996" s="17">
        <f>IF($G996="","",IFERROR(INDEX(TIPOS_FLUXO_PLANO,MATCH($G996,SUBCATEGORIAS_PLANO,0)),"Não classificado"))</f>
        <v/>
      </c>
      <c r="AH996" s="9">
        <f>IF($G996="","",IFERROR(INDEX(GRUPOS_PLANO,MATCH($G996,SUBCATEGORIAS_PLANO,0)),"Não classificado"))</f>
        <v/>
      </c>
      <c r="AI996" s="24">
        <f>IF(OR($C996="",$X996="Pago",$X996="Recebido",$X996="Cancelado"),"",$C996-TODAY())</f>
        <v/>
      </c>
      <c r="AJ996" s="24">
        <f>IF(OR($C996="",$X996="Pago",$X996="Recebido",$X996="Cancelado"),0,MAX(0,TODAY()-$C996))</f>
        <v/>
      </c>
      <c r="AK996" s="24">
        <f>IF($D996="","",$D996-$B996)</f>
        <v/>
      </c>
      <c r="AL996" s="18">
        <f>IF(OR($D996="",$B996=""),"",ROUND(N($R996)*($D996-$B996),2))</f>
        <v/>
      </c>
      <c r="AM996" s="17">
        <f>IF(AND($E996="Saída",$W996&gt;0,$C996&lt;&gt;""),$C996+ROW()/1000000,"")</f>
        <v/>
      </c>
      <c r="AN996" s="17">
        <f>IF(AND($E996="Entrada",$W996&gt;0,$C996&lt;&gt;""),$C996+ROW()/1000000,"")</f>
        <v/>
      </c>
      <c r="AO996" s="9">
        <f>IF(COUNTA($B996:$R996)=0,"",IF(AND($I996&lt;&gt;"",COUNTIF(CLIENTES_NOMES,$I996)+COUNTIF(CLIENTES_FANTASIA,$I996)+COUNTIF(FORNECEDORES_NOMES,$I996)+COUNTIF(FORNECEDORES_FANTASIA,$I996)=0),"⚠ Cliente/Fornecedor não cadastrado",IF(AND($G996&lt;&gt;"",COUNTIF(SUBCATEGORIAS_PLANO,$G996)=0),"⚠ Subcategoria fora do plano de contas",IF(OR($Q996="",N($Q996)=0),"⚠ Valor previsto não informado",IF(AND(OR($X996="Pago",$X996="Recebido"),$D996=""),"⚠ Status pago/recebido sem data",IF(AND($D996&lt;&gt;"",N($R996)=0),"⚠ Data de pagamento sem valor realizado",IF(AND(N($P996)&gt;1,N($O996)&gt;N($P996)),"⚠ Nº da parcela maior que o total",IF(AND($C996&lt;&gt;"",$B996&lt;&gt;"",$C996&lt;$B996),"⚠ Vencimento anterior à competência","OK"))))))))</f>
        <v/>
      </c>
    </row>
    <row r="997">
      <c r="A997" s="14" t="n"/>
      <c r="B997" s="36" t="n"/>
      <c r="C997" s="36" t="n"/>
      <c r="D997" s="36" t="n"/>
      <c r="E997" s="14" t="n"/>
      <c r="F997" s="29" t="n"/>
      <c r="G997" s="29" t="n"/>
      <c r="H997" s="29" t="n"/>
      <c r="I997" s="29" t="n"/>
      <c r="J997" s="29" t="n"/>
      <c r="K997" s="14" t="n"/>
      <c r="L997" s="29" t="n"/>
      <c r="M997" s="14" t="n"/>
      <c r="N997" s="29" t="n"/>
      <c r="O997" s="13" t="n"/>
      <c r="P997" s="13" t="n"/>
      <c r="Q997" s="35" t="n"/>
      <c r="R997" s="35" t="n"/>
      <c r="S997" s="35" t="n"/>
      <c r="T997" s="35" t="n"/>
      <c r="U997" s="35" t="n"/>
      <c r="V997" s="18">
        <f>IF(COUNTA($B997:$R997)=0,"",ROUND(N($R997)+N($S997)+N($T997)-N($U997),2))</f>
        <v/>
      </c>
      <c r="W997" s="18">
        <f>IF(COUNTA($B997:$R997)=0,"",IF(OR($X997="Pago",$X997="Recebido",$X997="Cancelado"),0,ROUND(N($Q997)+N($S997)+N($T997)-N($U997)-N($R997),2)))</f>
        <v/>
      </c>
      <c r="X997" s="14" t="n"/>
      <c r="Y997" s="17">
        <f>IF(COUNTA($B997:$R997)=0,"",IF($X997="Cancelado","Cancelado",IF(OR($X997="Pago",$X997="Recebido"),$X997,IF(OR($X997="Parcial",N($R997)&gt;0),"Parcial",IF($C997="","Sem vencimento",IF($C997&lt;TODAY(),"Vencido",IF($C997=TODAY(),"Vence hoje",IF($C997&lt;=TODAY()+7,"Vence em 7 dias",IF($C997&lt;=TODAY()+30,"Vence em 30 dias","Futuro")))))))))</f>
        <v/>
      </c>
      <c r="Z997" s="24">
        <f>IF($B997="","",MONTH($B997))</f>
        <v/>
      </c>
      <c r="AA997" s="24">
        <f>IF($B997="","",YEAR($B997))</f>
        <v/>
      </c>
      <c r="AB997" s="24">
        <f>IF($B997="","",ISOWEEKNUM($B997))</f>
        <v/>
      </c>
      <c r="AC997" s="17">
        <f>IF($B997="","",CHOOSE(WEEKDAY($B997,2),"Segunda","Terça","Quarta","Quinta","Sexta","Sábado","Domingo"))</f>
        <v/>
      </c>
      <c r="AD997" s="17">
        <f>IF($B997="","",TEXT($B997,"MM/AAAA"))</f>
        <v/>
      </c>
      <c r="AE997" s="18">
        <f>IF(COUNTA($B997:$R997)=0,"",IF($X997="Cancelado",0,ROUND(N($Q997)+N($S997)+N($T997)-N($U997),2)))</f>
        <v/>
      </c>
      <c r="AF997" s="9">
        <f>IF($G997="","",IFERROR(INDEX(LINHAS_DRE_PLANO,MATCH($G997,SUBCATEGORIAS_PLANO,0)),"Não classificado"))</f>
        <v/>
      </c>
      <c r="AG997" s="17">
        <f>IF($G997="","",IFERROR(INDEX(TIPOS_FLUXO_PLANO,MATCH($G997,SUBCATEGORIAS_PLANO,0)),"Não classificado"))</f>
        <v/>
      </c>
      <c r="AH997" s="9">
        <f>IF($G997="","",IFERROR(INDEX(GRUPOS_PLANO,MATCH($G997,SUBCATEGORIAS_PLANO,0)),"Não classificado"))</f>
        <v/>
      </c>
      <c r="AI997" s="24">
        <f>IF(OR($C997="",$X997="Pago",$X997="Recebido",$X997="Cancelado"),"",$C997-TODAY())</f>
        <v/>
      </c>
      <c r="AJ997" s="24">
        <f>IF(OR($C997="",$X997="Pago",$X997="Recebido",$X997="Cancelado"),0,MAX(0,TODAY()-$C997))</f>
        <v/>
      </c>
      <c r="AK997" s="24">
        <f>IF($D997="","",$D997-$B997)</f>
        <v/>
      </c>
      <c r="AL997" s="18">
        <f>IF(OR($D997="",$B997=""),"",ROUND(N($R997)*($D997-$B997),2))</f>
        <v/>
      </c>
      <c r="AM997" s="17">
        <f>IF(AND($E997="Saída",$W997&gt;0,$C997&lt;&gt;""),$C997+ROW()/1000000,"")</f>
        <v/>
      </c>
      <c r="AN997" s="17">
        <f>IF(AND($E997="Entrada",$W997&gt;0,$C997&lt;&gt;""),$C997+ROW()/1000000,"")</f>
        <v/>
      </c>
      <c r="AO997" s="9">
        <f>IF(COUNTA($B997:$R997)=0,"",IF(AND($I997&lt;&gt;"",COUNTIF(CLIENTES_NOMES,$I997)+COUNTIF(CLIENTES_FANTASIA,$I997)+COUNTIF(FORNECEDORES_NOMES,$I997)+COUNTIF(FORNECEDORES_FANTASIA,$I997)=0),"⚠ Cliente/Fornecedor não cadastrado",IF(AND($G997&lt;&gt;"",COUNTIF(SUBCATEGORIAS_PLANO,$G997)=0),"⚠ Subcategoria fora do plano de contas",IF(OR($Q997="",N($Q997)=0),"⚠ Valor previsto não informado",IF(AND(OR($X997="Pago",$X997="Recebido"),$D997=""),"⚠ Status pago/recebido sem data",IF(AND($D997&lt;&gt;"",N($R997)=0),"⚠ Data de pagamento sem valor realizado",IF(AND(N($P997)&gt;1,N($O997)&gt;N($P997)),"⚠ Nº da parcela maior que o total",IF(AND($C997&lt;&gt;"",$B997&lt;&gt;"",$C997&lt;$B997),"⚠ Vencimento anterior à competência","OK"))))))))</f>
        <v/>
      </c>
    </row>
    <row r="998">
      <c r="A998" s="14" t="n"/>
      <c r="B998" s="36" t="n"/>
      <c r="C998" s="36" t="n"/>
      <c r="D998" s="36" t="n"/>
      <c r="E998" s="14" t="n"/>
      <c r="F998" s="29" t="n"/>
      <c r="G998" s="29" t="n"/>
      <c r="H998" s="29" t="n"/>
      <c r="I998" s="29" t="n"/>
      <c r="J998" s="29" t="n"/>
      <c r="K998" s="14" t="n"/>
      <c r="L998" s="29" t="n"/>
      <c r="M998" s="14" t="n"/>
      <c r="N998" s="29" t="n"/>
      <c r="O998" s="13" t="n"/>
      <c r="P998" s="13" t="n"/>
      <c r="Q998" s="35" t="n"/>
      <c r="R998" s="35" t="n"/>
      <c r="S998" s="35" t="n"/>
      <c r="T998" s="35" t="n"/>
      <c r="U998" s="35" t="n"/>
      <c r="V998" s="18">
        <f>IF(COUNTA($B998:$R998)=0,"",ROUND(N($R998)+N($S998)+N($T998)-N($U998),2))</f>
        <v/>
      </c>
      <c r="W998" s="18">
        <f>IF(COUNTA($B998:$R998)=0,"",IF(OR($X998="Pago",$X998="Recebido",$X998="Cancelado"),0,ROUND(N($Q998)+N($S998)+N($T998)-N($U998)-N($R998),2)))</f>
        <v/>
      </c>
      <c r="X998" s="14" t="n"/>
      <c r="Y998" s="17">
        <f>IF(COUNTA($B998:$R998)=0,"",IF($X998="Cancelado","Cancelado",IF(OR($X998="Pago",$X998="Recebido"),$X998,IF(OR($X998="Parcial",N($R998)&gt;0),"Parcial",IF($C998="","Sem vencimento",IF($C998&lt;TODAY(),"Vencido",IF($C998=TODAY(),"Vence hoje",IF($C998&lt;=TODAY()+7,"Vence em 7 dias",IF($C998&lt;=TODAY()+30,"Vence em 30 dias","Futuro")))))))))</f>
        <v/>
      </c>
      <c r="Z998" s="24">
        <f>IF($B998="","",MONTH($B998))</f>
        <v/>
      </c>
      <c r="AA998" s="24">
        <f>IF($B998="","",YEAR($B998))</f>
        <v/>
      </c>
      <c r="AB998" s="24">
        <f>IF($B998="","",ISOWEEKNUM($B998))</f>
        <v/>
      </c>
      <c r="AC998" s="17">
        <f>IF($B998="","",CHOOSE(WEEKDAY($B998,2),"Segunda","Terça","Quarta","Quinta","Sexta","Sábado","Domingo"))</f>
        <v/>
      </c>
      <c r="AD998" s="17">
        <f>IF($B998="","",TEXT($B998,"MM/AAAA"))</f>
        <v/>
      </c>
      <c r="AE998" s="18">
        <f>IF(COUNTA($B998:$R998)=0,"",IF($X998="Cancelado",0,ROUND(N($Q998)+N($S998)+N($T998)-N($U998),2)))</f>
        <v/>
      </c>
      <c r="AF998" s="9">
        <f>IF($G998="","",IFERROR(INDEX(LINHAS_DRE_PLANO,MATCH($G998,SUBCATEGORIAS_PLANO,0)),"Não classificado"))</f>
        <v/>
      </c>
      <c r="AG998" s="17">
        <f>IF($G998="","",IFERROR(INDEX(TIPOS_FLUXO_PLANO,MATCH($G998,SUBCATEGORIAS_PLANO,0)),"Não classificado"))</f>
        <v/>
      </c>
      <c r="AH998" s="9">
        <f>IF($G998="","",IFERROR(INDEX(GRUPOS_PLANO,MATCH($G998,SUBCATEGORIAS_PLANO,0)),"Não classificado"))</f>
        <v/>
      </c>
      <c r="AI998" s="24">
        <f>IF(OR($C998="",$X998="Pago",$X998="Recebido",$X998="Cancelado"),"",$C998-TODAY())</f>
        <v/>
      </c>
      <c r="AJ998" s="24">
        <f>IF(OR($C998="",$X998="Pago",$X998="Recebido",$X998="Cancelado"),0,MAX(0,TODAY()-$C998))</f>
        <v/>
      </c>
      <c r="AK998" s="24">
        <f>IF($D998="","",$D998-$B998)</f>
        <v/>
      </c>
      <c r="AL998" s="18">
        <f>IF(OR($D998="",$B998=""),"",ROUND(N($R998)*($D998-$B998),2))</f>
        <v/>
      </c>
      <c r="AM998" s="17">
        <f>IF(AND($E998="Saída",$W998&gt;0,$C998&lt;&gt;""),$C998+ROW()/1000000,"")</f>
        <v/>
      </c>
      <c r="AN998" s="17">
        <f>IF(AND($E998="Entrada",$W998&gt;0,$C998&lt;&gt;""),$C998+ROW()/1000000,"")</f>
        <v/>
      </c>
      <c r="AO998" s="9">
        <f>IF(COUNTA($B998:$R998)=0,"",IF(AND($I998&lt;&gt;"",COUNTIF(CLIENTES_NOMES,$I998)+COUNTIF(CLIENTES_FANTASIA,$I998)+COUNTIF(FORNECEDORES_NOMES,$I998)+COUNTIF(FORNECEDORES_FANTASIA,$I998)=0),"⚠ Cliente/Fornecedor não cadastrado",IF(AND($G998&lt;&gt;"",COUNTIF(SUBCATEGORIAS_PLANO,$G998)=0),"⚠ Subcategoria fora do plano de contas",IF(OR($Q998="",N($Q998)=0),"⚠ Valor previsto não informado",IF(AND(OR($X998="Pago",$X998="Recebido"),$D998=""),"⚠ Status pago/recebido sem data",IF(AND($D998&lt;&gt;"",N($R998)=0),"⚠ Data de pagamento sem valor realizado",IF(AND(N($P998)&gt;1,N($O998)&gt;N($P998)),"⚠ Nº da parcela maior que o total",IF(AND($C998&lt;&gt;"",$B998&lt;&gt;"",$C998&lt;$B998),"⚠ Vencimento anterior à competência","OK"))))))))</f>
        <v/>
      </c>
    </row>
    <row r="999">
      <c r="A999" s="14" t="n"/>
      <c r="B999" s="36" t="n"/>
      <c r="C999" s="36" t="n"/>
      <c r="D999" s="36" t="n"/>
      <c r="E999" s="14" t="n"/>
      <c r="F999" s="29" t="n"/>
      <c r="G999" s="29" t="n"/>
      <c r="H999" s="29" t="n"/>
      <c r="I999" s="29" t="n"/>
      <c r="J999" s="29" t="n"/>
      <c r="K999" s="14" t="n"/>
      <c r="L999" s="29" t="n"/>
      <c r="M999" s="14" t="n"/>
      <c r="N999" s="29" t="n"/>
      <c r="O999" s="13" t="n"/>
      <c r="P999" s="13" t="n"/>
      <c r="Q999" s="35" t="n"/>
      <c r="R999" s="35" t="n"/>
      <c r="S999" s="35" t="n"/>
      <c r="T999" s="35" t="n"/>
      <c r="U999" s="35" t="n"/>
      <c r="V999" s="18">
        <f>IF(COUNTA($B999:$R999)=0,"",ROUND(N($R999)+N($S999)+N($T999)-N($U999),2))</f>
        <v/>
      </c>
      <c r="W999" s="18">
        <f>IF(COUNTA($B999:$R999)=0,"",IF(OR($X999="Pago",$X999="Recebido",$X999="Cancelado"),0,ROUND(N($Q999)+N($S999)+N($T999)-N($U999)-N($R999),2)))</f>
        <v/>
      </c>
      <c r="X999" s="14" t="n"/>
      <c r="Y999" s="17">
        <f>IF(COUNTA($B999:$R999)=0,"",IF($X999="Cancelado","Cancelado",IF(OR($X999="Pago",$X999="Recebido"),$X999,IF(OR($X999="Parcial",N($R999)&gt;0),"Parcial",IF($C999="","Sem vencimento",IF($C999&lt;TODAY(),"Vencido",IF($C999=TODAY(),"Vence hoje",IF($C999&lt;=TODAY()+7,"Vence em 7 dias",IF($C999&lt;=TODAY()+30,"Vence em 30 dias","Futuro")))))))))</f>
        <v/>
      </c>
      <c r="Z999" s="24">
        <f>IF($B999="","",MONTH($B999))</f>
        <v/>
      </c>
      <c r="AA999" s="24">
        <f>IF($B999="","",YEAR($B999))</f>
        <v/>
      </c>
      <c r="AB999" s="24">
        <f>IF($B999="","",ISOWEEKNUM($B999))</f>
        <v/>
      </c>
      <c r="AC999" s="17">
        <f>IF($B999="","",CHOOSE(WEEKDAY($B999,2),"Segunda","Terça","Quarta","Quinta","Sexta","Sábado","Domingo"))</f>
        <v/>
      </c>
      <c r="AD999" s="17">
        <f>IF($B999="","",TEXT($B999,"MM/AAAA"))</f>
        <v/>
      </c>
      <c r="AE999" s="18">
        <f>IF(COUNTA($B999:$R999)=0,"",IF($X999="Cancelado",0,ROUND(N($Q999)+N($S999)+N($T999)-N($U999),2)))</f>
        <v/>
      </c>
      <c r="AF999" s="9">
        <f>IF($G999="","",IFERROR(INDEX(LINHAS_DRE_PLANO,MATCH($G999,SUBCATEGORIAS_PLANO,0)),"Não classificado"))</f>
        <v/>
      </c>
      <c r="AG999" s="17">
        <f>IF($G999="","",IFERROR(INDEX(TIPOS_FLUXO_PLANO,MATCH($G999,SUBCATEGORIAS_PLANO,0)),"Não classificado"))</f>
        <v/>
      </c>
      <c r="AH999" s="9">
        <f>IF($G999="","",IFERROR(INDEX(GRUPOS_PLANO,MATCH($G999,SUBCATEGORIAS_PLANO,0)),"Não classificado"))</f>
        <v/>
      </c>
      <c r="AI999" s="24">
        <f>IF(OR($C999="",$X999="Pago",$X999="Recebido",$X999="Cancelado"),"",$C999-TODAY())</f>
        <v/>
      </c>
      <c r="AJ999" s="24">
        <f>IF(OR($C999="",$X999="Pago",$X999="Recebido",$X999="Cancelado"),0,MAX(0,TODAY()-$C999))</f>
        <v/>
      </c>
      <c r="AK999" s="24">
        <f>IF($D999="","",$D999-$B999)</f>
        <v/>
      </c>
      <c r="AL999" s="18">
        <f>IF(OR($D999="",$B999=""),"",ROUND(N($R999)*($D999-$B999),2))</f>
        <v/>
      </c>
      <c r="AM999" s="17">
        <f>IF(AND($E999="Saída",$W999&gt;0,$C999&lt;&gt;""),$C999+ROW()/1000000,"")</f>
        <v/>
      </c>
      <c r="AN999" s="17">
        <f>IF(AND($E999="Entrada",$W999&gt;0,$C999&lt;&gt;""),$C999+ROW()/1000000,"")</f>
        <v/>
      </c>
      <c r="AO999" s="9">
        <f>IF(COUNTA($B999:$R999)=0,"",IF(AND($I999&lt;&gt;"",COUNTIF(CLIENTES_NOMES,$I999)+COUNTIF(CLIENTES_FANTASIA,$I999)+COUNTIF(FORNECEDORES_NOMES,$I999)+COUNTIF(FORNECEDORES_FANTASIA,$I999)=0),"⚠ Cliente/Fornecedor não cadastrado",IF(AND($G999&lt;&gt;"",COUNTIF(SUBCATEGORIAS_PLANO,$G999)=0),"⚠ Subcategoria fora do plano de contas",IF(OR($Q999="",N($Q999)=0),"⚠ Valor previsto não informado",IF(AND(OR($X999="Pago",$X999="Recebido"),$D999=""),"⚠ Status pago/recebido sem data",IF(AND($D999&lt;&gt;"",N($R999)=0),"⚠ Data de pagamento sem valor realizado",IF(AND(N($P999)&gt;1,N($O999)&gt;N($P999)),"⚠ Nº da parcela maior que o total",IF(AND($C999&lt;&gt;"",$B999&lt;&gt;"",$C999&lt;$B999),"⚠ Vencimento anterior à competência","OK"))))))))</f>
        <v/>
      </c>
    </row>
    <row r="1000">
      <c r="A1000" s="14" t="n"/>
      <c r="B1000" s="36" t="n"/>
      <c r="C1000" s="36" t="n"/>
      <c r="D1000" s="36" t="n"/>
      <c r="E1000" s="14" t="n"/>
      <c r="F1000" s="29" t="n"/>
      <c r="G1000" s="29" t="n"/>
      <c r="H1000" s="29" t="n"/>
      <c r="I1000" s="29" t="n"/>
      <c r="J1000" s="29" t="n"/>
      <c r="K1000" s="14" t="n"/>
      <c r="L1000" s="29" t="n"/>
      <c r="M1000" s="14" t="n"/>
      <c r="N1000" s="29" t="n"/>
      <c r="O1000" s="13" t="n"/>
      <c r="P1000" s="13" t="n"/>
      <c r="Q1000" s="35" t="n"/>
      <c r="R1000" s="35" t="n"/>
      <c r="S1000" s="35" t="n"/>
      <c r="T1000" s="35" t="n"/>
      <c r="U1000" s="35" t="n"/>
      <c r="V1000" s="18">
        <f>IF(COUNTA($B1000:$R1000)=0,"",ROUND(N($R1000)+N($S1000)+N($T1000)-N($U1000),2))</f>
        <v/>
      </c>
      <c r="W1000" s="18">
        <f>IF(COUNTA($B1000:$R1000)=0,"",IF(OR($X1000="Pago",$X1000="Recebido",$X1000="Cancelado"),0,ROUND(N($Q1000)+N($S1000)+N($T1000)-N($U1000)-N($R1000),2)))</f>
        <v/>
      </c>
      <c r="X1000" s="14" t="n"/>
      <c r="Y1000" s="17">
        <f>IF(COUNTA($B1000:$R1000)=0,"",IF($X1000="Cancelado","Cancelado",IF(OR($X1000="Pago",$X1000="Recebido"),$X1000,IF(OR($X1000="Parcial",N($R1000)&gt;0),"Parcial",IF($C1000="","Sem vencimento",IF($C1000&lt;TODAY(),"Vencido",IF($C1000=TODAY(),"Vence hoje",IF($C1000&lt;=TODAY()+7,"Vence em 7 dias",IF($C1000&lt;=TODAY()+30,"Vence em 30 dias","Futuro")))))))))</f>
        <v/>
      </c>
      <c r="Z1000" s="24">
        <f>IF($B1000="","",MONTH($B1000))</f>
        <v/>
      </c>
      <c r="AA1000" s="24">
        <f>IF($B1000="","",YEAR($B1000))</f>
        <v/>
      </c>
      <c r="AB1000" s="24">
        <f>IF($B1000="","",ISOWEEKNUM($B1000))</f>
        <v/>
      </c>
      <c r="AC1000" s="17">
        <f>IF($B1000="","",CHOOSE(WEEKDAY($B1000,2),"Segunda","Terça","Quarta","Quinta","Sexta","Sábado","Domingo"))</f>
        <v/>
      </c>
      <c r="AD1000" s="17">
        <f>IF($B1000="","",TEXT($B1000,"MM/AAAA"))</f>
        <v/>
      </c>
      <c r="AE1000" s="18">
        <f>IF(COUNTA($B1000:$R1000)=0,"",IF($X1000="Cancelado",0,ROUND(N($Q1000)+N($S1000)+N($T1000)-N($U1000),2)))</f>
        <v/>
      </c>
      <c r="AF1000" s="9">
        <f>IF($G1000="","",IFERROR(INDEX(LINHAS_DRE_PLANO,MATCH($G1000,SUBCATEGORIAS_PLANO,0)),"Não classificado"))</f>
        <v/>
      </c>
      <c r="AG1000" s="17">
        <f>IF($G1000="","",IFERROR(INDEX(TIPOS_FLUXO_PLANO,MATCH($G1000,SUBCATEGORIAS_PLANO,0)),"Não classificado"))</f>
        <v/>
      </c>
      <c r="AH1000" s="9">
        <f>IF($G1000="","",IFERROR(INDEX(GRUPOS_PLANO,MATCH($G1000,SUBCATEGORIAS_PLANO,0)),"Não classificado"))</f>
        <v/>
      </c>
      <c r="AI1000" s="24">
        <f>IF(OR($C1000="",$X1000="Pago",$X1000="Recebido",$X1000="Cancelado"),"",$C1000-TODAY())</f>
        <v/>
      </c>
      <c r="AJ1000" s="24">
        <f>IF(OR($C1000="",$X1000="Pago",$X1000="Recebido",$X1000="Cancelado"),0,MAX(0,TODAY()-$C1000))</f>
        <v/>
      </c>
      <c r="AK1000" s="24">
        <f>IF($D1000="","",$D1000-$B1000)</f>
        <v/>
      </c>
      <c r="AL1000" s="18">
        <f>IF(OR($D1000="",$B1000=""),"",ROUND(N($R1000)*($D1000-$B1000),2))</f>
        <v/>
      </c>
      <c r="AM1000" s="17">
        <f>IF(AND($E1000="Saída",$W1000&gt;0,$C1000&lt;&gt;""),$C1000+ROW()/1000000,"")</f>
        <v/>
      </c>
      <c r="AN1000" s="17">
        <f>IF(AND($E1000="Entrada",$W1000&gt;0,$C1000&lt;&gt;""),$C1000+ROW()/1000000,"")</f>
        <v/>
      </c>
      <c r="AO1000" s="9">
        <f>IF(COUNTA($B1000:$R1000)=0,"",IF(AND($I1000&lt;&gt;"",COUNTIF(CLIENTES_NOMES,$I1000)+COUNTIF(CLIENTES_FANTASIA,$I1000)+COUNTIF(FORNECEDORES_NOMES,$I1000)+COUNTIF(FORNECEDORES_FANTASIA,$I1000)=0),"⚠ Cliente/Fornecedor não cadastrado",IF(AND($G1000&lt;&gt;"",COUNTIF(SUBCATEGORIAS_PLANO,$G1000)=0),"⚠ Subcategoria fora do plano de contas",IF(OR($Q1000="",N($Q1000)=0),"⚠ Valor previsto não informado",IF(AND(OR($X1000="Pago",$X1000="Recebido"),$D1000=""),"⚠ Status pago/recebido sem data",IF(AND($D1000&lt;&gt;"",N($R1000)=0),"⚠ Data de pagamento sem valor realizado",IF(AND(N($P1000)&gt;1,N($O1000)&gt;N($P1000)),"⚠ Nº da parcela maior que o total",IF(AND($C1000&lt;&gt;"",$B1000&lt;&gt;"",$C1000&lt;$B1000),"⚠ Vencimento anterior à competência","OK"))))))))</f>
        <v/>
      </c>
    </row>
    <row r="1001">
      <c r="A1001" s="14" t="n"/>
      <c r="B1001" s="36" t="n"/>
      <c r="C1001" s="36" t="n"/>
      <c r="D1001" s="36" t="n"/>
      <c r="E1001" s="14" t="n"/>
      <c r="F1001" s="29" t="n"/>
      <c r="G1001" s="29" t="n"/>
      <c r="H1001" s="29" t="n"/>
      <c r="I1001" s="29" t="n"/>
      <c r="J1001" s="29" t="n"/>
      <c r="K1001" s="14" t="n"/>
      <c r="L1001" s="29" t="n"/>
      <c r="M1001" s="14" t="n"/>
      <c r="N1001" s="29" t="n"/>
      <c r="O1001" s="13" t="n"/>
      <c r="P1001" s="13" t="n"/>
      <c r="Q1001" s="35" t="n"/>
      <c r="R1001" s="35" t="n"/>
      <c r="S1001" s="35" t="n"/>
      <c r="T1001" s="35" t="n"/>
      <c r="U1001" s="35" t="n"/>
      <c r="V1001" s="18">
        <f>IF(COUNTA($B1001:$R1001)=0,"",ROUND(N($R1001)+N($S1001)+N($T1001)-N($U1001),2))</f>
        <v/>
      </c>
      <c r="W1001" s="18">
        <f>IF(COUNTA($B1001:$R1001)=0,"",IF(OR($X1001="Pago",$X1001="Recebido",$X1001="Cancelado"),0,ROUND(N($Q1001)+N($S1001)+N($T1001)-N($U1001)-N($R1001),2)))</f>
        <v/>
      </c>
      <c r="X1001" s="14" t="n"/>
      <c r="Y1001" s="17">
        <f>IF(COUNTA($B1001:$R1001)=0,"",IF($X1001="Cancelado","Cancelado",IF(OR($X1001="Pago",$X1001="Recebido"),$X1001,IF(OR($X1001="Parcial",N($R1001)&gt;0),"Parcial",IF($C1001="","Sem vencimento",IF($C1001&lt;TODAY(),"Vencido",IF($C1001=TODAY(),"Vence hoje",IF($C1001&lt;=TODAY()+7,"Vence em 7 dias",IF($C1001&lt;=TODAY()+30,"Vence em 30 dias","Futuro")))))))))</f>
        <v/>
      </c>
      <c r="Z1001" s="24">
        <f>IF($B1001="","",MONTH($B1001))</f>
        <v/>
      </c>
      <c r="AA1001" s="24">
        <f>IF($B1001="","",YEAR($B1001))</f>
        <v/>
      </c>
      <c r="AB1001" s="24">
        <f>IF($B1001="","",ISOWEEKNUM($B1001))</f>
        <v/>
      </c>
      <c r="AC1001" s="17">
        <f>IF($B1001="","",CHOOSE(WEEKDAY($B1001,2),"Segunda","Terça","Quarta","Quinta","Sexta","Sábado","Domingo"))</f>
        <v/>
      </c>
      <c r="AD1001" s="17">
        <f>IF($B1001="","",TEXT($B1001,"MM/AAAA"))</f>
        <v/>
      </c>
      <c r="AE1001" s="18">
        <f>IF(COUNTA($B1001:$R1001)=0,"",IF($X1001="Cancelado",0,ROUND(N($Q1001)+N($S1001)+N($T1001)-N($U1001),2)))</f>
        <v/>
      </c>
      <c r="AF1001" s="9">
        <f>IF($G1001="","",IFERROR(INDEX(LINHAS_DRE_PLANO,MATCH($G1001,SUBCATEGORIAS_PLANO,0)),"Não classificado"))</f>
        <v/>
      </c>
      <c r="AG1001" s="17">
        <f>IF($G1001="","",IFERROR(INDEX(TIPOS_FLUXO_PLANO,MATCH($G1001,SUBCATEGORIAS_PLANO,0)),"Não classificado"))</f>
        <v/>
      </c>
      <c r="AH1001" s="9">
        <f>IF($G1001="","",IFERROR(INDEX(GRUPOS_PLANO,MATCH($G1001,SUBCATEGORIAS_PLANO,0)),"Não classificado"))</f>
        <v/>
      </c>
      <c r="AI1001" s="24">
        <f>IF(OR($C1001="",$X1001="Pago",$X1001="Recebido",$X1001="Cancelado"),"",$C1001-TODAY())</f>
        <v/>
      </c>
      <c r="AJ1001" s="24">
        <f>IF(OR($C1001="",$X1001="Pago",$X1001="Recebido",$X1001="Cancelado"),0,MAX(0,TODAY()-$C1001))</f>
        <v/>
      </c>
      <c r="AK1001" s="24">
        <f>IF($D1001="","",$D1001-$B1001)</f>
        <v/>
      </c>
      <c r="AL1001" s="18">
        <f>IF(OR($D1001="",$B1001=""),"",ROUND(N($R1001)*($D1001-$B1001),2))</f>
        <v/>
      </c>
      <c r="AM1001" s="17">
        <f>IF(AND($E1001="Saída",$W1001&gt;0,$C1001&lt;&gt;""),$C1001+ROW()/1000000,"")</f>
        <v/>
      </c>
      <c r="AN1001" s="17">
        <f>IF(AND($E1001="Entrada",$W1001&gt;0,$C1001&lt;&gt;""),$C1001+ROW()/1000000,"")</f>
        <v/>
      </c>
      <c r="AO1001" s="9">
        <f>IF(COUNTA($B1001:$R1001)=0,"",IF(AND($I1001&lt;&gt;"",COUNTIF(CLIENTES_NOMES,$I1001)+COUNTIF(CLIENTES_FANTASIA,$I1001)+COUNTIF(FORNECEDORES_NOMES,$I1001)+COUNTIF(FORNECEDORES_FANTASIA,$I1001)=0),"⚠ Cliente/Fornecedor não cadastrado",IF(AND($G1001&lt;&gt;"",COUNTIF(SUBCATEGORIAS_PLANO,$G1001)=0),"⚠ Subcategoria fora do plano de contas",IF(OR($Q1001="",N($Q1001)=0),"⚠ Valor previsto não informado",IF(AND(OR($X1001="Pago",$X1001="Recebido"),$D1001=""),"⚠ Status pago/recebido sem data",IF(AND($D1001&lt;&gt;"",N($R1001)=0),"⚠ Data de pagamento sem valor realizado",IF(AND(N($P1001)&gt;1,N($O1001)&gt;N($P1001)),"⚠ Nº da parcela maior que o total",IF(AND($C1001&lt;&gt;"",$B1001&lt;&gt;"",$C1001&lt;$B1001),"⚠ Vencimento anterior à competência","OK"))))))))</f>
        <v/>
      </c>
    </row>
    <row r="1002">
      <c r="A1002" s="14" t="n"/>
      <c r="B1002" s="36" t="n"/>
      <c r="C1002" s="36" t="n"/>
      <c r="D1002" s="36" t="n"/>
      <c r="E1002" s="14" t="n"/>
      <c r="F1002" s="29" t="n"/>
      <c r="G1002" s="29" t="n"/>
      <c r="H1002" s="29" t="n"/>
      <c r="I1002" s="29" t="n"/>
      <c r="J1002" s="29" t="n"/>
      <c r="K1002" s="14" t="n"/>
      <c r="L1002" s="29" t="n"/>
      <c r="M1002" s="14" t="n"/>
      <c r="N1002" s="29" t="n"/>
      <c r="O1002" s="13" t="n"/>
      <c r="P1002" s="13" t="n"/>
      <c r="Q1002" s="35" t="n"/>
      <c r="R1002" s="35" t="n"/>
      <c r="S1002" s="35" t="n"/>
      <c r="T1002" s="35" t="n"/>
      <c r="U1002" s="35" t="n"/>
      <c r="V1002" s="18">
        <f>IF(COUNTA($B1002:$R1002)=0,"",ROUND(N($R1002)+N($S1002)+N($T1002)-N($U1002),2))</f>
        <v/>
      </c>
      <c r="W1002" s="18">
        <f>IF(COUNTA($B1002:$R1002)=0,"",IF(OR($X1002="Pago",$X1002="Recebido",$X1002="Cancelado"),0,ROUND(N($Q1002)+N($S1002)+N($T1002)-N($U1002)-N($R1002),2)))</f>
        <v/>
      </c>
      <c r="X1002" s="14" t="n"/>
      <c r="Y1002" s="17">
        <f>IF(COUNTA($B1002:$R1002)=0,"",IF($X1002="Cancelado","Cancelado",IF(OR($X1002="Pago",$X1002="Recebido"),$X1002,IF(OR($X1002="Parcial",N($R1002)&gt;0),"Parcial",IF($C1002="","Sem vencimento",IF($C1002&lt;TODAY(),"Vencido",IF($C1002=TODAY(),"Vence hoje",IF($C1002&lt;=TODAY()+7,"Vence em 7 dias",IF($C1002&lt;=TODAY()+30,"Vence em 30 dias","Futuro")))))))))</f>
        <v/>
      </c>
      <c r="Z1002" s="24">
        <f>IF($B1002="","",MONTH($B1002))</f>
        <v/>
      </c>
      <c r="AA1002" s="24">
        <f>IF($B1002="","",YEAR($B1002))</f>
        <v/>
      </c>
      <c r="AB1002" s="24">
        <f>IF($B1002="","",ISOWEEKNUM($B1002))</f>
        <v/>
      </c>
      <c r="AC1002" s="17">
        <f>IF($B1002="","",CHOOSE(WEEKDAY($B1002,2),"Segunda","Terça","Quarta","Quinta","Sexta","Sábado","Domingo"))</f>
        <v/>
      </c>
      <c r="AD1002" s="17">
        <f>IF($B1002="","",TEXT($B1002,"MM/AAAA"))</f>
        <v/>
      </c>
      <c r="AE1002" s="18">
        <f>IF(COUNTA($B1002:$R1002)=0,"",IF($X1002="Cancelado",0,ROUND(N($Q1002)+N($S1002)+N($T1002)-N($U1002),2)))</f>
        <v/>
      </c>
      <c r="AF1002" s="9">
        <f>IF($G1002="","",IFERROR(INDEX(LINHAS_DRE_PLANO,MATCH($G1002,SUBCATEGORIAS_PLANO,0)),"Não classificado"))</f>
        <v/>
      </c>
      <c r="AG1002" s="17">
        <f>IF($G1002="","",IFERROR(INDEX(TIPOS_FLUXO_PLANO,MATCH($G1002,SUBCATEGORIAS_PLANO,0)),"Não classificado"))</f>
        <v/>
      </c>
      <c r="AH1002" s="9">
        <f>IF($G1002="","",IFERROR(INDEX(GRUPOS_PLANO,MATCH($G1002,SUBCATEGORIAS_PLANO,0)),"Não classificado"))</f>
        <v/>
      </c>
      <c r="AI1002" s="24">
        <f>IF(OR($C1002="",$X1002="Pago",$X1002="Recebido",$X1002="Cancelado"),"",$C1002-TODAY())</f>
        <v/>
      </c>
      <c r="AJ1002" s="24">
        <f>IF(OR($C1002="",$X1002="Pago",$X1002="Recebido",$X1002="Cancelado"),0,MAX(0,TODAY()-$C1002))</f>
        <v/>
      </c>
      <c r="AK1002" s="24">
        <f>IF($D1002="","",$D1002-$B1002)</f>
        <v/>
      </c>
      <c r="AL1002" s="18">
        <f>IF(OR($D1002="",$B1002=""),"",ROUND(N($R1002)*($D1002-$B1002),2))</f>
        <v/>
      </c>
      <c r="AM1002" s="17">
        <f>IF(AND($E1002="Saída",$W1002&gt;0,$C1002&lt;&gt;""),$C1002+ROW()/1000000,"")</f>
        <v/>
      </c>
      <c r="AN1002" s="17">
        <f>IF(AND($E1002="Entrada",$W1002&gt;0,$C1002&lt;&gt;""),$C1002+ROW()/1000000,"")</f>
        <v/>
      </c>
      <c r="AO1002" s="9">
        <f>IF(COUNTA($B1002:$R1002)=0,"",IF(AND($I1002&lt;&gt;"",COUNTIF(CLIENTES_NOMES,$I1002)+COUNTIF(CLIENTES_FANTASIA,$I1002)+COUNTIF(FORNECEDORES_NOMES,$I1002)+COUNTIF(FORNECEDORES_FANTASIA,$I1002)=0),"⚠ Cliente/Fornecedor não cadastrado",IF(AND($G1002&lt;&gt;"",COUNTIF(SUBCATEGORIAS_PLANO,$G1002)=0),"⚠ Subcategoria fora do plano de contas",IF(OR($Q1002="",N($Q1002)=0),"⚠ Valor previsto não informado",IF(AND(OR($X1002="Pago",$X1002="Recebido"),$D1002=""),"⚠ Status pago/recebido sem data",IF(AND($D1002&lt;&gt;"",N($R1002)=0),"⚠ Data de pagamento sem valor realizado",IF(AND(N($P1002)&gt;1,N($O1002)&gt;N($P1002)),"⚠ Nº da parcela maior que o total",IF(AND($C1002&lt;&gt;"",$B1002&lt;&gt;"",$C1002&lt;$B1002),"⚠ Vencimento anterior à competência","OK"))))))))</f>
        <v/>
      </c>
    </row>
    <row r="1003">
      <c r="A1003" s="14" t="n"/>
      <c r="B1003" s="36" t="n"/>
      <c r="C1003" s="36" t="n"/>
      <c r="D1003" s="36" t="n"/>
      <c r="E1003" s="14" t="n"/>
      <c r="F1003" s="29" t="n"/>
      <c r="G1003" s="29" t="n"/>
      <c r="H1003" s="29" t="n"/>
      <c r="I1003" s="29" t="n"/>
      <c r="J1003" s="29" t="n"/>
      <c r="K1003" s="14" t="n"/>
      <c r="L1003" s="29" t="n"/>
      <c r="M1003" s="14" t="n"/>
      <c r="N1003" s="29" t="n"/>
      <c r="O1003" s="13" t="n"/>
      <c r="P1003" s="13" t="n"/>
      <c r="Q1003" s="35" t="n"/>
      <c r="R1003" s="35" t="n"/>
      <c r="S1003" s="35" t="n"/>
      <c r="T1003" s="35" t="n"/>
      <c r="U1003" s="35" t="n"/>
      <c r="V1003" s="18">
        <f>IF(COUNTA($B1003:$R1003)=0,"",ROUND(N($R1003)+N($S1003)+N($T1003)-N($U1003),2))</f>
        <v/>
      </c>
      <c r="W1003" s="18">
        <f>IF(COUNTA($B1003:$R1003)=0,"",IF(OR($X1003="Pago",$X1003="Recebido",$X1003="Cancelado"),0,ROUND(N($Q1003)+N($S1003)+N($T1003)-N($U1003)-N($R1003),2)))</f>
        <v/>
      </c>
      <c r="X1003" s="14" t="n"/>
      <c r="Y1003" s="17">
        <f>IF(COUNTA($B1003:$R1003)=0,"",IF($X1003="Cancelado","Cancelado",IF(OR($X1003="Pago",$X1003="Recebido"),$X1003,IF(OR($X1003="Parcial",N($R1003)&gt;0),"Parcial",IF($C1003="","Sem vencimento",IF($C1003&lt;TODAY(),"Vencido",IF($C1003=TODAY(),"Vence hoje",IF($C1003&lt;=TODAY()+7,"Vence em 7 dias",IF($C1003&lt;=TODAY()+30,"Vence em 30 dias","Futuro")))))))))</f>
        <v/>
      </c>
      <c r="Z1003" s="24">
        <f>IF($B1003="","",MONTH($B1003))</f>
        <v/>
      </c>
      <c r="AA1003" s="24">
        <f>IF($B1003="","",YEAR($B1003))</f>
        <v/>
      </c>
      <c r="AB1003" s="24">
        <f>IF($B1003="","",ISOWEEKNUM($B1003))</f>
        <v/>
      </c>
      <c r="AC1003" s="17">
        <f>IF($B1003="","",CHOOSE(WEEKDAY($B1003,2),"Segunda","Terça","Quarta","Quinta","Sexta","Sábado","Domingo"))</f>
        <v/>
      </c>
      <c r="AD1003" s="17">
        <f>IF($B1003="","",TEXT($B1003,"MM/AAAA"))</f>
        <v/>
      </c>
      <c r="AE1003" s="18">
        <f>IF(COUNTA($B1003:$R1003)=0,"",IF($X1003="Cancelado",0,ROUND(N($Q1003)+N($S1003)+N($T1003)-N($U1003),2)))</f>
        <v/>
      </c>
      <c r="AF1003" s="9">
        <f>IF($G1003="","",IFERROR(INDEX(LINHAS_DRE_PLANO,MATCH($G1003,SUBCATEGORIAS_PLANO,0)),"Não classificado"))</f>
        <v/>
      </c>
      <c r="AG1003" s="17">
        <f>IF($G1003="","",IFERROR(INDEX(TIPOS_FLUXO_PLANO,MATCH($G1003,SUBCATEGORIAS_PLANO,0)),"Não classificado"))</f>
        <v/>
      </c>
      <c r="AH1003" s="9">
        <f>IF($G1003="","",IFERROR(INDEX(GRUPOS_PLANO,MATCH($G1003,SUBCATEGORIAS_PLANO,0)),"Não classificado"))</f>
        <v/>
      </c>
      <c r="AI1003" s="24">
        <f>IF(OR($C1003="",$X1003="Pago",$X1003="Recebido",$X1003="Cancelado"),"",$C1003-TODAY())</f>
        <v/>
      </c>
      <c r="AJ1003" s="24">
        <f>IF(OR($C1003="",$X1003="Pago",$X1003="Recebido",$X1003="Cancelado"),0,MAX(0,TODAY()-$C1003))</f>
        <v/>
      </c>
      <c r="AK1003" s="24">
        <f>IF($D1003="","",$D1003-$B1003)</f>
        <v/>
      </c>
      <c r="AL1003" s="18">
        <f>IF(OR($D1003="",$B1003=""),"",ROUND(N($R1003)*($D1003-$B1003),2))</f>
        <v/>
      </c>
      <c r="AM1003" s="17">
        <f>IF(AND($E1003="Saída",$W1003&gt;0,$C1003&lt;&gt;""),$C1003+ROW()/1000000,"")</f>
        <v/>
      </c>
      <c r="AN1003" s="17">
        <f>IF(AND($E1003="Entrada",$W1003&gt;0,$C1003&lt;&gt;""),$C1003+ROW()/1000000,"")</f>
        <v/>
      </c>
      <c r="AO1003" s="9">
        <f>IF(COUNTA($B1003:$R1003)=0,"",IF(AND($I1003&lt;&gt;"",COUNTIF(CLIENTES_NOMES,$I1003)+COUNTIF(CLIENTES_FANTASIA,$I1003)+COUNTIF(FORNECEDORES_NOMES,$I1003)+COUNTIF(FORNECEDORES_FANTASIA,$I1003)=0),"⚠ Cliente/Fornecedor não cadastrado",IF(AND($G1003&lt;&gt;"",COUNTIF(SUBCATEGORIAS_PLANO,$G1003)=0),"⚠ Subcategoria fora do plano de contas",IF(OR($Q1003="",N($Q1003)=0),"⚠ Valor previsto não informado",IF(AND(OR($X1003="Pago",$X1003="Recebido"),$D1003=""),"⚠ Status pago/recebido sem data",IF(AND($D1003&lt;&gt;"",N($R1003)=0),"⚠ Data de pagamento sem valor realizado",IF(AND(N($P1003)&gt;1,N($O1003)&gt;N($P1003)),"⚠ Nº da parcela maior que o total",IF(AND($C1003&lt;&gt;"",$B1003&lt;&gt;"",$C1003&lt;$B1003),"⚠ Vencimento anterior à competência","OK"))))))))</f>
        <v/>
      </c>
    </row>
    <row r="1004">
      <c r="A1004" s="14" t="n"/>
      <c r="B1004" s="36" t="n"/>
      <c r="C1004" s="36" t="n"/>
      <c r="D1004" s="36" t="n"/>
      <c r="E1004" s="14" t="n"/>
      <c r="F1004" s="29" t="n"/>
      <c r="G1004" s="29" t="n"/>
      <c r="H1004" s="29" t="n"/>
      <c r="I1004" s="29" t="n"/>
      <c r="J1004" s="29" t="n"/>
      <c r="K1004" s="14" t="n"/>
      <c r="L1004" s="29" t="n"/>
      <c r="M1004" s="14" t="n"/>
      <c r="N1004" s="29" t="n"/>
      <c r="O1004" s="13" t="n"/>
      <c r="P1004" s="13" t="n"/>
      <c r="Q1004" s="35" t="n"/>
      <c r="R1004" s="35" t="n"/>
      <c r="S1004" s="35" t="n"/>
      <c r="T1004" s="35" t="n"/>
      <c r="U1004" s="35" t="n"/>
      <c r="V1004" s="18">
        <f>IF(COUNTA($B1004:$R1004)=0,"",ROUND(N($R1004)+N($S1004)+N($T1004)-N($U1004),2))</f>
        <v/>
      </c>
      <c r="W1004" s="18">
        <f>IF(COUNTA($B1004:$R1004)=0,"",IF(OR($X1004="Pago",$X1004="Recebido",$X1004="Cancelado"),0,ROUND(N($Q1004)+N($S1004)+N($T1004)-N($U1004)-N($R1004),2)))</f>
        <v/>
      </c>
      <c r="X1004" s="14" t="n"/>
      <c r="Y1004" s="17">
        <f>IF(COUNTA($B1004:$R1004)=0,"",IF($X1004="Cancelado","Cancelado",IF(OR($X1004="Pago",$X1004="Recebido"),$X1004,IF(OR($X1004="Parcial",N($R1004)&gt;0),"Parcial",IF($C1004="","Sem vencimento",IF($C1004&lt;TODAY(),"Vencido",IF($C1004=TODAY(),"Vence hoje",IF($C1004&lt;=TODAY()+7,"Vence em 7 dias",IF($C1004&lt;=TODAY()+30,"Vence em 30 dias","Futuro")))))))))</f>
        <v/>
      </c>
      <c r="Z1004" s="24">
        <f>IF($B1004="","",MONTH($B1004))</f>
        <v/>
      </c>
      <c r="AA1004" s="24">
        <f>IF($B1004="","",YEAR($B1004))</f>
        <v/>
      </c>
      <c r="AB1004" s="24">
        <f>IF($B1004="","",ISOWEEKNUM($B1004))</f>
        <v/>
      </c>
      <c r="AC1004" s="17">
        <f>IF($B1004="","",CHOOSE(WEEKDAY($B1004,2),"Segunda","Terça","Quarta","Quinta","Sexta","Sábado","Domingo"))</f>
        <v/>
      </c>
      <c r="AD1004" s="17">
        <f>IF($B1004="","",TEXT($B1004,"MM/AAAA"))</f>
        <v/>
      </c>
      <c r="AE1004" s="18">
        <f>IF(COUNTA($B1004:$R1004)=0,"",IF($X1004="Cancelado",0,ROUND(N($Q1004)+N($S1004)+N($T1004)-N($U1004),2)))</f>
        <v/>
      </c>
      <c r="AF1004" s="9">
        <f>IF($G1004="","",IFERROR(INDEX(LINHAS_DRE_PLANO,MATCH($G1004,SUBCATEGORIAS_PLANO,0)),"Não classificado"))</f>
        <v/>
      </c>
      <c r="AG1004" s="17">
        <f>IF($G1004="","",IFERROR(INDEX(TIPOS_FLUXO_PLANO,MATCH($G1004,SUBCATEGORIAS_PLANO,0)),"Não classificado"))</f>
        <v/>
      </c>
      <c r="AH1004" s="9">
        <f>IF($G1004="","",IFERROR(INDEX(GRUPOS_PLANO,MATCH($G1004,SUBCATEGORIAS_PLANO,0)),"Não classificado"))</f>
        <v/>
      </c>
      <c r="AI1004" s="24">
        <f>IF(OR($C1004="",$X1004="Pago",$X1004="Recebido",$X1004="Cancelado"),"",$C1004-TODAY())</f>
        <v/>
      </c>
      <c r="AJ1004" s="24">
        <f>IF(OR($C1004="",$X1004="Pago",$X1004="Recebido",$X1004="Cancelado"),0,MAX(0,TODAY()-$C1004))</f>
        <v/>
      </c>
      <c r="AK1004" s="24">
        <f>IF($D1004="","",$D1004-$B1004)</f>
        <v/>
      </c>
      <c r="AL1004" s="18">
        <f>IF(OR($D1004="",$B1004=""),"",ROUND(N($R1004)*($D1004-$B1004),2))</f>
        <v/>
      </c>
      <c r="AM1004" s="17">
        <f>IF(AND($E1004="Saída",$W1004&gt;0,$C1004&lt;&gt;""),$C1004+ROW()/1000000,"")</f>
        <v/>
      </c>
      <c r="AN1004" s="17">
        <f>IF(AND($E1004="Entrada",$W1004&gt;0,$C1004&lt;&gt;""),$C1004+ROW()/1000000,"")</f>
        <v/>
      </c>
      <c r="AO1004" s="9">
        <f>IF(COUNTA($B1004:$R1004)=0,"",IF(AND($I1004&lt;&gt;"",COUNTIF(CLIENTES_NOMES,$I1004)+COUNTIF(CLIENTES_FANTASIA,$I1004)+COUNTIF(FORNECEDORES_NOMES,$I1004)+COUNTIF(FORNECEDORES_FANTASIA,$I1004)=0),"⚠ Cliente/Fornecedor não cadastrado",IF(AND($G1004&lt;&gt;"",COUNTIF(SUBCATEGORIAS_PLANO,$G1004)=0),"⚠ Subcategoria fora do plano de contas",IF(OR($Q1004="",N($Q1004)=0),"⚠ Valor previsto não informado",IF(AND(OR($X1004="Pago",$X1004="Recebido"),$D1004=""),"⚠ Status pago/recebido sem data",IF(AND($D1004&lt;&gt;"",N($R1004)=0),"⚠ Data de pagamento sem valor realizado",IF(AND(N($P1004)&gt;1,N($O1004)&gt;N($P1004)),"⚠ Nº da parcela maior que o total",IF(AND($C1004&lt;&gt;"",$B1004&lt;&gt;"",$C1004&lt;$B1004),"⚠ Vencimento anterior à competência","OK"))))))))</f>
        <v/>
      </c>
    </row>
    <row r="1005">
      <c r="A1005" s="14" t="n"/>
      <c r="B1005" s="36" t="n"/>
      <c r="C1005" s="36" t="n"/>
      <c r="D1005" s="36" t="n"/>
      <c r="E1005" s="14" t="n"/>
      <c r="F1005" s="29" t="n"/>
      <c r="G1005" s="29" t="n"/>
      <c r="H1005" s="29" t="n"/>
      <c r="I1005" s="29" t="n"/>
      <c r="J1005" s="29" t="n"/>
      <c r="K1005" s="14" t="n"/>
      <c r="L1005" s="29" t="n"/>
      <c r="M1005" s="14" t="n"/>
      <c r="N1005" s="29" t="n"/>
      <c r="O1005" s="13" t="n"/>
      <c r="P1005" s="13" t="n"/>
      <c r="Q1005" s="35" t="n"/>
      <c r="R1005" s="35" t="n"/>
      <c r="S1005" s="35" t="n"/>
      <c r="T1005" s="35" t="n"/>
      <c r="U1005" s="35" t="n"/>
      <c r="V1005" s="18">
        <f>IF(COUNTA($B1005:$R1005)=0,"",ROUND(N($R1005)+N($S1005)+N($T1005)-N($U1005),2))</f>
        <v/>
      </c>
      <c r="W1005" s="18">
        <f>IF(COUNTA($B1005:$R1005)=0,"",IF(OR($X1005="Pago",$X1005="Recebido",$X1005="Cancelado"),0,ROUND(N($Q1005)+N($S1005)+N($T1005)-N($U1005)-N($R1005),2)))</f>
        <v/>
      </c>
      <c r="X1005" s="14" t="n"/>
      <c r="Y1005" s="17">
        <f>IF(COUNTA($B1005:$R1005)=0,"",IF($X1005="Cancelado","Cancelado",IF(OR($X1005="Pago",$X1005="Recebido"),$X1005,IF(OR($X1005="Parcial",N($R1005)&gt;0),"Parcial",IF($C1005="","Sem vencimento",IF($C1005&lt;TODAY(),"Vencido",IF($C1005=TODAY(),"Vence hoje",IF($C1005&lt;=TODAY()+7,"Vence em 7 dias",IF($C1005&lt;=TODAY()+30,"Vence em 30 dias","Futuro")))))))))</f>
        <v/>
      </c>
      <c r="Z1005" s="24">
        <f>IF($B1005="","",MONTH($B1005))</f>
        <v/>
      </c>
      <c r="AA1005" s="24">
        <f>IF($B1005="","",YEAR($B1005))</f>
        <v/>
      </c>
      <c r="AB1005" s="24">
        <f>IF($B1005="","",ISOWEEKNUM($B1005))</f>
        <v/>
      </c>
      <c r="AC1005" s="17">
        <f>IF($B1005="","",CHOOSE(WEEKDAY($B1005,2),"Segunda","Terça","Quarta","Quinta","Sexta","Sábado","Domingo"))</f>
        <v/>
      </c>
      <c r="AD1005" s="17">
        <f>IF($B1005="","",TEXT($B1005,"MM/AAAA"))</f>
        <v/>
      </c>
      <c r="AE1005" s="18">
        <f>IF(COUNTA($B1005:$R1005)=0,"",IF($X1005="Cancelado",0,ROUND(N($Q1005)+N($S1005)+N($T1005)-N($U1005),2)))</f>
        <v/>
      </c>
      <c r="AF1005" s="9">
        <f>IF($G1005="","",IFERROR(INDEX(LINHAS_DRE_PLANO,MATCH($G1005,SUBCATEGORIAS_PLANO,0)),"Não classificado"))</f>
        <v/>
      </c>
      <c r="AG1005" s="17">
        <f>IF($G1005="","",IFERROR(INDEX(TIPOS_FLUXO_PLANO,MATCH($G1005,SUBCATEGORIAS_PLANO,0)),"Não classificado"))</f>
        <v/>
      </c>
      <c r="AH1005" s="9">
        <f>IF($G1005="","",IFERROR(INDEX(GRUPOS_PLANO,MATCH($G1005,SUBCATEGORIAS_PLANO,0)),"Não classificado"))</f>
        <v/>
      </c>
      <c r="AI1005" s="24">
        <f>IF(OR($C1005="",$X1005="Pago",$X1005="Recebido",$X1005="Cancelado"),"",$C1005-TODAY())</f>
        <v/>
      </c>
      <c r="AJ1005" s="24">
        <f>IF(OR($C1005="",$X1005="Pago",$X1005="Recebido",$X1005="Cancelado"),0,MAX(0,TODAY()-$C1005))</f>
        <v/>
      </c>
      <c r="AK1005" s="24">
        <f>IF($D1005="","",$D1005-$B1005)</f>
        <v/>
      </c>
      <c r="AL1005" s="18">
        <f>IF(OR($D1005="",$B1005=""),"",ROUND(N($R1005)*($D1005-$B1005),2))</f>
        <v/>
      </c>
      <c r="AM1005" s="17">
        <f>IF(AND($E1005="Saída",$W1005&gt;0,$C1005&lt;&gt;""),$C1005+ROW()/1000000,"")</f>
        <v/>
      </c>
      <c r="AN1005" s="17">
        <f>IF(AND($E1005="Entrada",$W1005&gt;0,$C1005&lt;&gt;""),$C1005+ROW()/1000000,"")</f>
        <v/>
      </c>
      <c r="AO1005" s="9">
        <f>IF(COUNTA($B1005:$R1005)=0,"",IF(AND($I1005&lt;&gt;"",COUNTIF(CLIENTES_NOMES,$I1005)+COUNTIF(CLIENTES_FANTASIA,$I1005)+COUNTIF(FORNECEDORES_NOMES,$I1005)+COUNTIF(FORNECEDORES_FANTASIA,$I1005)=0),"⚠ Cliente/Fornecedor não cadastrado",IF(AND($G1005&lt;&gt;"",COUNTIF(SUBCATEGORIAS_PLANO,$G1005)=0),"⚠ Subcategoria fora do plano de contas",IF(OR($Q1005="",N($Q1005)=0),"⚠ Valor previsto não informado",IF(AND(OR($X1005="Pago",$X1005="Recebido"),$D1005=""),"⚠ Status pago/recebido sem data",IF(AND($D1005&lt;&gt;"",N($R1005)=0),"⚠ Data de pagamento sem valor realizado",IF(AND(N($P1005)&gt;1,N($O1005)&gt;N($P1005)),"⚠ Nº da parcela maior que o total",IF(AND($C1005&lt;&gt;"",$B1005&lt;&gt;"",$C1005&lt;$B1005),"⚠ Vencimento anterior à competência","OK"))))))))</f>
        <v/>
      </c>
    </row>
    <row r="1006">
      <c r="A1006" s="14" t="n"/>
      <c r="B1006" s="36" t="n"/>
      <c r="C1006" s="36" t="n"/>
      <c r="D1006" s="36" t="n"/>
      <c r="E1006" s="14" t="n"/>
      <c r="F1006" s="29" t="n"/>
      <c r="G1006" s="29" t="n"/>
      <c r="H1006" s="29" t="n"/>
      <c r="I1006" s="29" t="n"/>
      <c r="J1006" s="29" t="n"/>
      <c r="K1006" s="14" t="n"/>
      <c r="L1006" s="29" t="n"/>
      <c r="M1006" s="14" t="n"/>
      <c r="N1006" s="29" t="n"/>
      <c r="O1006" s="13" t="n"/>
      <c r="P1006" s="13" t="n"/>
      <c r="Q1006" s="35" t="n"/>
      <c r="R1006" s="35" t="n"/>
      <c r="S1006" s="35" t="n"/>
      <c r="T1006" s="35" t="n"/>
      <c r="U1006" s="35" t="n"/>
      <c r="V1006" s="18">
        <f>IF(COUNTA($B1006:$R1006)=0,"",ROUND(N($R1006)+N($S1006)+N($T1006)-N($U1006),2))</f>
        <v/>
      </c>
      <c r="W1006" s="18">
        <f>IF(COUNTA($B1006:$R1006)=0,"",IF(OR($X1006="Pago",$X1006="Recebido",$X1006="Cancelado"),0,ROUND(N($Q1006)+N($S1006)+N($T1006)-N($U1006)-N($R1006),2)))</f>
        <v/>
      </c>
      <c r="X1006" s="14" t="n"/>
      <c r="Y1006" s="17">
        <f>IF(COUNTA($B1006:$R1006)=0,"",IF($X1006="Cancelado","Cancelado",IF(OR($X1006="Pago",$X1006="Recebido"),$X1006,IF(OR($X1006="Parcial",N($R1006)&gt;0),"Parcial",IF($C1006="","Sem vencimento",IF($C1006&lt;TODAY(),"Vencido",IF($C1006=TODAY(),"Vence hoje",IF($C1006&lt;=TODAY()+7,"Vence em 7 dias",IF($C1006&lt;=TODAY()+30,"Vence em 30 dias","Futuro")))))))))</f>
        <v/>
      </c>
      <c r="Z1006" s="24">
        <f>IF($B1006="","",MONTH($B1006))</f>
        <v/>
      </c>
      <c r="AA1006" s="24">
        <f>IF($B1006="","",YEAR($B1006))</f>
        <v/>
      </c>
      <c r="AB1006" s="24">
        <f>IF($B1006="","",ISOWEEKNUM($B1006))</f>
        <v/>
      </c>
      <c r="AC1006" s="17">
        <f>IF($B1006="","",CHOOSE(WEEKDAY($B1006,2),"Segunda","Terça","Quarta","Quinta","Sexta","Sábado","Domingo"))</f>
        <v/>
      </c>
      <c r="AD1006" s="17">
        <f>IF($B1006="","",TEXT($B1006,"MM/AAAA"))</f>
        <v/>
      </c>
      <c r="AE1006" s="18">
        <f>IF(COUNTA($B1006:$R1006)=0,"",IF($X1006="Cancelado",0,ROUND(N($Q1006)+N($S1006)+N($T1006)-N($U1006),2)))</f>
        <v/>
      </c>
      <c r="AF1006" s="9">
        <f>IF($G1006="","",IFERROR(INDEX(LINHAS_DRE_PLANO,MATCH($G1006,SUBCATEGORIAS_PLANO,0)),"Não classificado"))</f>
        <v/>
      </c>
      <c r="AG1006" s="17">
        <f>IF($G1006="","",IFERROR(INDEX(TIPOS_FLUXO_PLANO,MATCH($G1006,SUBCATEGORIAS_PLANO,0)),"Não classificado"))</f>
        <v/>
      </c>
      <c r="AH1006" s="9">
        <f>IF($G1006="","",IFERROR(INDEX(GRUPOS_PLANO,MATCH($G1006,SUBCATEGORIAS_PLANO,0)),"Não classificado"))</f>
        <v/>
      </c>
      <c r="AI1006" s="24">
        <f>IF(OR($C1006="",$X1006="Pago",$X1006="Recebido",$X1006="Cancelado"),"",$C1006-TODAY())</f>
        <v/>
      </c>
      <c r="AJ1006" s="24">
        <f>IF(OR($C1006="",$X1006="Pago",$X1006="Recebido",$X1006="Cancelado"),0,MAX(0,TODAY()-$C1006))</f>
        <v/>
      </c>
      <c r="AK1006" s="24">
        <f>IF($D1006="","",$D1006-$B1006)</f>
        <v/>
      </c>
      <c r="AL1006" s="18">
        <f>IF(OR($D1006="",$B1006=""),"",ROUND(N($R1006)*($D1006-$B1006),2))</f>
        <v/>
      </c>
      <c r="AM1006" s="17">
        <f>IF(AND($E1006="Saída",$W1006&gt;0,$C1006&lt;&gt;""),$C1006+ROW()/1000000,"")</f>
        <v/>
      </c>
      <c r="AN1006" s="17">
        <f>IF(AND($E1006="Entrada",$W1006&gt;0,$C1006&lt;&gt;""),$C1006+ROW()/1000000,"")</f>
        <v/>
      </c>
      <c r="AO1006" s="9">
        <f>IF(COUNTA($B1006:$R1006)=0,"",IF(AND($I1006&lt;&gt;"",COUNTIF(CLIENTES_NOMES,$I1006)+COUNTIF(CLIENTES_FANTASIA,$I1006)+COUNTIF(FORNECEDORES_NOMES,$I1006)+COUNTIF(FORNECEDORES_FANTASIA,$I1006)=0),"⚠ Cliente/Fornecedor não cadastrado",IF(AND($G1006&lt;&gt;"",COUNTIF(SUBCATEGORIAS_PLANO,$G1006)=0),"⚠ Subcategoria fora do plano de contas",IF(OR($Q1006="",N($Q1006)=0),"⚠ Valor previsto não informado",IF(AND(OR($X1006="Pago",$X1006="Recebido"),$D1006=""),"⚠ Status pago/recebido sem data",IF(AND($D1006&lt;&gt;"",N($R1006)=0),"⚠ Data de pagamento sem valor realizado",IF(AND(N($P1006)&gt;1,N($O1006)&gt;N($P1006)),"⚠ Nº da parcela maior que o total",IF(AND($C1006&lt;&gt;"",$B1006&lt;&gt;"",$C1006&lt;$B1006),"⚠ Vencimento anterior à competência","OK"))))))))</f>
        <v/>
      </c>
    </row>
    <row r="1007">
      <c r="A1007" s="14" t="n"/>
      <c r="B1007" s="36" t="n"/>
      <c r="C1007" s="36" t="n"/>
      <c r="D1007" s="36" t="n"/>
      <c r="E1007" s="14" t="n"/>
      <c r="F1007" s="29" t="n"/>
      <c r="G1007" s="29" t="n"/>
      <c r="H1007" s="29" t="n"/>
      <c r="I1007" s="29" t="n"/>
      <c r="J1007" s="29" t="n"/>
      <c r="K1007" s="14" t="n"/>
      <c r="L1007" s="29" t="n"/>
      <c r="M1007" s="14" t="n"/>
      <c r="N1007" s="29" t="n"/>
      <c r="O1007" s="13" t="n"/>
      <c r="P1007" s="13" t="n"/>
      <c r="Q1007" s="35" t="n"/>
      <c r="R1007" s="35" t="n"/>
      <c r="S1007" s="35" t="n"/>
      <c r="T1007" s="35" t="n"/>
      <c r="U1007" s="35" t="n"/>
      <c r="V1007" s="18">
        <f>IF(COUNTA($B1007:$R1007)=0,"",ROUND(N($R1007)+N($S1007)+N($T1007)-N($U1007),2))</f>
        <v/>
      </c>
      <c r="W1007" s="18">
        <f>IF(COUNTA($B1007:$R1007)=0,"",IF(OR($X1007="Pago",$X1007="Recebido",$X1007="Cancelado"),0,ROUND(N($Q1007)+N($S1007)+N($T1007)-N($U1007)-N($R1007),2)))</f>
        <v/>
      </c>
      <c r="X1007" s="14" t="n"/>
      <c r="Y1007" s="17">
        <f>IF(COUNTA($B1007:$R1007)=0,"",IF($X1007="Cancelado","Cancelado",IF(OR($X1007="Pago",$X1007="Recebido"),$X1007,IF(OR($X1007="Parcial",N($R1007)&gt;0),"Parcial",IF($C1007="","Sem vencimento",IF($C1007&lt;TODAY(),"Vencido",IF($C1007=TODAY(),"Vence hoje",IF($C1007&lt;=TODAY()+7,"Vence em 7 dias",IF($C1007&lt;=TODAY()+30,"Vence em 30 dias","Futuro")))))))))</f>
        <v/>
      </c>
      <c r="Z1007" s="24">
        <f>IF($B1007="","",MONTH($B1007))</f>
        <v/>
      </c>
      <c r="AA1007" s="24">
        <f>IF($B1007="","",YEAR($B1007))</f>
        <v/>
      </c>
      <c r="AB1007" s="24">
        <f>IF($B1007="","",ISOWEEKNUM($B1007))</f>
        <v/>
      </c>
      <c r="AC1007" s="17">
        <f>IF($B1007="","",CHOOSE(WEEKDAY($B1007,2),"Segunda","Terça","Quarta","Quinta","Sexta","Sábado","Domingo"))</f>
        <v/>
      </c>
      <c r="AD1007" s="17">
        <f>IF($B1007="","",TEXT($B1007,"MM/AAAA"))</f>
        <v/>
      </c>
      <c r="AE1007" s="18">
        <f>IF(COUNTA($B1007:$R1007)=0,"",IF($X1007="Cancelado",0,ROUND(N($Q1007)+N($S1007)+N($T1007)-N($U1007),2)))</f>
        <v/>
      </c>
      <c r="AF1007" s="9">
        <f>IF($G1007="","",IFERROR(INDEX(LINHAS_DRE_PLANO,MATCH($G1007,SUBCATEGORIAS_PLANO,0)),"Não classificado"))</f>
        <v/>
      </c>
      <c r="AG1007" s="17">
        <f>IF($G1007="","",IFERROR(INDEX(TIPOS_FLUXO_PLANO,MATCH($G1007,SUBCATEGORIAS_PLANO,0)),"Não classificado"))</f>
        <v/>
      </c>
      <c r="AH1007" s="9">
        <f>IF($G1007="","",IFERROR(INDEX(GRUPOS_PLANO,MATCH($G1007,SUBCATEGORIAS_PLANO,0)),"Não classificado"))</f>
        <v/>
      </c>
      <c r="AI1007" s="24">
        <f>IF(OR($C1007="",$X1007="Pago",$X1007="Recebido",$X1007="Cancelado"),"",$C1007-TODAY())</f>
        <v/>
      </c>
      <c r="AJ1007" s="24">
        <f>IF(OR($C1007="",$X1007="Pago",$X1007="Recebido",$X1007="Cancelado"),0,MAX(0,TODAY()-$C1007))</f>
        <v/>
      </c>
      <c r="AK1007" s="24">
        <f>IF($D1007="","",$D1007-$B1007)</f>
        <v/>
      </c>
      <c r="AL1007" s="18">
        <f>IF(OR($D1007="",$B1007=""),"",ROUND(N($R1007)*($D1007-$B1007),2))</f>
        <v/>
      </c>
      <c r="AM1007" s="17">
        <f>IF(AND($E1007="Saída",$W1007&gt;0,$C1007&lt;&gt;""),$C1007+ROW()/1000000,"")</f>
        <v/>
      </c>
      <c r="AN1007" s="17">
        <f>IF(AND($E1007="Entrada",$W1007&gt;0,$C1007&lt;&gt;""),$C1007+ROW()/1000000,"")</f>
        <v/>
      </c>
      <c r="AO1007" s="9">
        <f>IF(COUNTA($B1007:$R1007)=0,"",IF(AND($I1007&lt;&gt;"",COUNTIF(CLIENTES_NOMES,$I1007)+COUNTIF(CLIENTES_FANTASIA,$I1007)+COUNTIF(FORNECEDORES_NOMES,$I1007)+COUNTIF(FORNECEDORES_FANTASIA,$I1007)=0),"⚠ Cliente/Fornecedor não cadastrado",IF(AND($G1007&lt;&gt;"",COUNTIF(SUBCATEGORIAS_PLANO,$G1007)=0),"⚠ Subcategoria fora do plano de contas",IF(OR($Q1007="",N($Q1007)=0),"⚠ Valor previsto não informado",IF(AND(OR($X1007="Pago",$X1007="Recebido"),$D1007=""),"⚠ Status pago/recebido sem data",IF(AND($D1007&lt;&gt;"",N($R1007)=0),"⚠ Data de pagamento sem valor realizado",IF(AND(N($P1007)&gt;1,N($O1007)&gt;N($P1007)),"⚠ Nº da parcela maior que o total",IF(AND($C1007&lt;&gt;"",$B1007&lt;&gt;"",$C1007&lt;$B1007),"⚠ Vencimento anterior à competência","OK"))))))))</f>
        <v/>
      </c>
    </row>
    <row r="1008">
      <c r="A1008" s="14" t="n"/>
      <c r="B1008" s="36" t="n"/>
      <c r="C1008" s="36" t="n"/>
      <c r="D1008" s="36" t="n"/>
      <c r="E1008" s="14" t="n"/>
      <c r="F1008" s="29" t="n"/>
      <c r="G1008" s="29" t="n"/>
      <c r="H1008" s="29" t="n"/>
      <c r="I1008" s="29" t="n"/>
      <c r="J1008" s="29" t="n"/>
      <c r="K1008" s="14" t="n"/>
      <c r="L1008" s="29" t="n"/>
      <c r="M1008" s="14" t="n"/>
      <c r="N1008" s="29" t="n"/>
      <c r="O1008" s="13" t="n"/>
      <c r="P1008" s="13" t="n"/>
      <c r="Q1008" s="35" t="n"/>
      <c r="R1008" s="35" t="n"/>
      <c r="S1008" s="35" t="n"/>
      <c r="T1008" s="35" t="n"/>
      <c r="U1008" s="35" t="n"/>
      <c r="V1008" s="18">
        <f>IF(COUNTA($B1008:$R1008)=0,"",ROUND(N($R1008)+N($S1008)+N($T1008)-N($U1008),2))</f>
        <v/>
      </c>
      <c r="W1008" s="18">
        <f>IF(COUNTA($B1008:$R1008)=0,"",IF(OR($X1008="Pago",$X1008="Recebido",$X1008="Cancelado"),0,ROUND(N($Q1008)+N($S1008)+N($T1008)-N($U1008)-N($R1008),2)))</f>
        <v/>
      </c>
      <c r="X1008" s="14" t="n"/>
      <c r="Y1008" s="17">
        <f>IF(COUNTA($B1008:$R1008)=0,"",IF($X1008="Cancelado","Cancelado",IF(OR($X1008="Pago",$X1008="Recebido"),$X1008,IF(OR($X1008="Parcial",N($R1008)&gt;0),"Parcial",IF($C1008="","Sem vencimento",IF($C1008&lt;TODAY(),"Vencido",IF($C1008=TODAY(),"Vence hoje",IF($C1008&lt;=TODAY()+7,"Vence em 7 dias",IF($C1008&lt;=TODAY()+30,"Vence em 30 dias","Futuro")))))))))</f>
        <v/>
      </c>
      <c r="Z1008" s="24">
        <f>IF($B1008="","",MONTH($B1008))</f>
        <v/>
      </c>
      <c r="AA1008" s="24">
        <f>IF($B1008="","",YEAR($B1008))</f>
        <v/>
      </c>
      <c r="AB1008" s="24">
        <f>IF($B1008="","",ISOWEEKNUM($B1008))</f>
        <v/>
      </c>
      <c r="AC1008" s="17">
        <f>IF($B1008="","",CHOOSE(WEEKDAY($B1008,2),"Segunda","Terça","Quarta","Quinta","Sexta","Sábado","Domingo"))</f>
        <v/>
      </c>
      <c r="AD1008" s="17">
        <f>IF($B1008="","",TEXT($B1008,"MM/AAAA"))</f>
        <v/>
      </c>
      <c r="AE1008" s="18">
        <f>IF(COUNTA($B1008:$R1008)=0,"",IF($X1008="Cancelado",0,ROUND(N($Q1008)+N($S1008)+N($T1008)-N($U1008),2)))</f>
        <v/>
      </c>
      <c r="AF1008" s="9">
        <f>IF($G1008="","",IFERROR(INDEX(LINHAS_DRE_PLANO,MATCH($G1008,SUBCATEGORIAS_PLANO,0)),"Não classificado"))</f>
        <v/>
      </c>
      <c r="AG1008" s="17">
        <f>IF($G1008="","",IFERROR(INDEX(TIPOS_FLUXO_PLANO,MATCH($G1008,SUBCATEGORIAS_PLANO,0)),"Não classificado"))</f>
        <v/>
      </c>
      <c r="AH1008" s="9">
        <f>IF($G1008="","",IFERROR(INDEX(GRUPOS_PLANO,MATCH($G1008,SUBCATEGORIAS_PLANO,0)),"Não classificado"))</f>
        <v/>
      </c>
      <c r="AI1008" s="24">
        <f>IF(OR($C1008="",$X1008="Pago",$X1008="Recebido",$X1008="Cancelado"),"",$C1008-TODAY())</f>
        <v/>
      </c>
      <c r="AJ1008" s="24">
        <f>IF(OR($C1008="",$X1008="Pago",$X1008="Recebido",$X1008="Cancelado"),0,MAX(0,TODAY()-$C1008))</f>
        <v/>
      </c>
      <c r="AK1008" s="24">
        <f>IF($D1008="","",$D1008-$B1008)</f>
        <v/>
      </c>
      <c r="AL1008" s="18">
        <f>IF(OR($D1008="",$B1008=""),"",ROUND(N($R1008)*($D1008-$B1008),2))</f>
        <v/>
      </c>
      <c r="AM1008" s="17">
        <f>IF(AND($E1008="Saída",$W1008&gt;0,$C1008&lt;&gt;""),$C1008+ROW()/1000000,"")</f>
        <v/>
      </c>
      <c r="AN1008" s="17">
        <f>IF(AND($E1008="Entrada",$W1008&gt;0,$C1008&lt;&gt;""),$C1008+ROW()/1000000,"")</f>
        <v/>
      </c>
      <c r="AO1008" s="9">
        <f>IF(COUNTA($B1008:$R1008)=0,"",IF(AND($I1008&lt;&gt;"",COUNTIF(CLIENTES_NOMES,$I1008)+COUNTIF(CLIENTES_FANTASIA,$I1008)+COUNTIF(FORNECEDORES_NOMES,$I1008)+COUNTIF(FORNECEDORES_FANTASIA,$I1008)=0),"⚠ Cliente/Fornecedor não cadastrado",IF(AND($G1008&lt;&gt;"",COUNTIF(SUBCATEGORIAS_PLANO,$G1008)=0),"⚠ Subcategoria fora do plano de contas",IF(OR($Q1008="",N($Q1008)=0),"⚠ Valor previsto não informado",IF(AND(OR($X1008="Pago",$X1008="Recebido"),$D1008=""),"⚠ Status pago/recebido sem data",IF(AND($D1008&lt;&gt;"",N($R1008)=0),"⚠ Data de pagamento sem valor realizado",IF(AND(N($P1008)&gt;1,N($O1008)&gt;N($P1008)),"⚠ Nº da parcela maior que o total",IF(AND($C1008&lt;&gt;"",$B1008&lt;&gt;"",$C1008&lt;$B1008),"⚠ Vencimento anterior à competência","OK"))))))))</f>
        <v/>
      </c>
    </row>
    <row r="1009">
      <c r="A1009" s="14" t="n"/>
      <c r="B1009" s="36" t="n"/>
      <c r="C1009" s="36" t="n"/>
      <c r="D1009" s="36" t="n"/>
      <c r="E1009" s="14" t="n"/>
      <c r="F1009" s="29" t="n"/>
      <c r="G1009" s="29" t="n"/>
      <c r="H1009" s="29" t="n"/>
      <c r="I1009" s="29" t="n"/>
      <c r="J1009" s="29" t="n"/>
      <c r="K1009" s="14" t="n"/>
      <c r="L1009" s="29" t="n"/>
      <c r="M1009" s="14" t="n"/>
      <c r="N1009" s="29" t="n"/>
      <c r="O1009" s="13" t="n"/>
      <c r="P1009" s="13" t="n"/>
      <c r="Q1009" s="35" t="n"/>
      <c r="R1009" s="35" t="n"/>
      <c r="S1009" s="35" t="n"/>
      <c r="T1009" s="35" t="n"/>
      <c r="U1009" s="35" t="n"/>
      <c r="V1009" s="18">
        <f>IF(COUNTA($B1009:$R1009)=0,"",ROUND(N($R1009)+N($S1009)+N($T1009)-N($U1009),2))</f>
        <v/>
      </c>
      <c r="W1009" s="18">
        <f>IF(COUNTA($B1009:$R1009)=0,"",IF(OR($X1009="Pago",$X1009="Recebido",$X1009="Cancelado"),0,ROUND(N($Q1009)+N($S1009)+N($T1009)-N($U1009)-N($R1009),2)))</f>
        <v/>
      </c>
      <c r="X1009" s="14" t="n"/>
      <c r="Y1009" s="17">
        <f>IF(COUNTA($B1009:$R1009)=0,"",IF($X1009="Cancelado","Cancelado",IF(OR($X1009="Pago",$X1009="Recebido"),$X1009,IF(OR($X1009="Parcial",N($R1009)&gt;0),"Parcial",IF($C1009="","Sem vencimento",IF($C1009&lt;TODAY(),"Vencido",IF($C1009=TODAY(),"Vence hoje",IF($C1009&lt;=TODAY()+7,"Vence em 7 dias",IF($C1009&lt;=TODAY()+30,"Vence em 30 dias","Futuro")))))))))</f>
        <v/>
      </c>
      <c r="Z1009" s="24">
        <f>IF($B1009="","",MONTH($B1009))</f>
        <v/>
      </c>
      <c r="AA1009" s="24">
        <f>IF($B1009="","",YEAR($B1009))</f>
        <v/>
      </c>
      <c r="AB1009" s="24">
        <f>IF($B1009="","",ISOWEEKNUM($B1009))</f>
        <v/>
      </c>
      <c r="AC1009" s="17">
        <f>IF($B1009="","",CHOOSE(WEEKDAY($B1009,2),"Segunda","Terça","Quarta","Quinta","Sexta","Sábado","Domingo"))</f>
        <v/>
      </c>
      <c r="AD1009" s="17">
        <f>IF($B1009="","",TEXT($B1009,"MM/AAAA"))</f>
        <v/>
      </c>
      <c r="AE1009" s="18">
        <f>IF(COUNTA($B1009:$R1009)=0,"",IF($X1009="Cancelado",0,ROUND(N($Q1009)+N($S1009)+N($T1009)-N($U1009),2)))</f>
        <v/>
      </c>
      <c r="AF1009" s="9">
        <f>IF($G1009="","",IFERROR(INDEX(LINHAS_DRE_PLANO,MATCH($G1009,SUBCATEGORIAS_PLANO,0)),"Não classificado"))</f>
        <v/>
      </c>
      <c r="AG1009" s="17">
        <f>IF($G1009="","",IFERROR(INDEX(TIPOS_FLUXO_PLANO,MATCH($G1009,SUBCATEGORIAS_PLANO,0)),"Não classificado"))</f>
        <v/>
      </c>
      <c r="AH1009" s="9">
        <f>IF($G1009="","",IFERROR(INDEX(GRUPOS_PLANO,MATCH($G1009,SUBCATEGORIAS_PLANO,0)),"Não classificado"))</f>
        <v/>
      </c>
      <c r="AI1009" s="24">
        <f>IF(OR($C1009="",$X1009="Pago",$X1009="Recebido",$X1009="Cancelado"),"",$C1009-TODAY())</f>
        <v/>
      </c>
      <c r="AJ1009" s="24">
        <f>IF(OR($C1009="",$X1009="Pago",$X1009="Recebido",$X1009="Cancelado"),0,MAX(0,TODAY()-$C1009))</f>
        <v/>
      </c>
      <c r="AK1009" s="24">
        <f>IF($D1009="","",$D1009-$B1009)</f>
        <v/>
      </c>
      <c r="AL1009" s="18">
        <f>IF(OR($D1009="",$B1009=""),"",ROUND(N($R1009)*($D1009-$B1009),2))</f>
        <v/>
      </c>
      <c r="AM1009" s="17">
        <f>IF(AND($E1009="Saída",$W1009&gt;0,$C1009&lt;&gt;""),$C1009+ROW()/1000000,"")</f>
        <v/>
      </c>
      <c r="AN1009" s="17">
        <f>IF(AND($E1009="Entrada",$W1009&gt;0,$C1009&lt;&gt;""),$C1009+ROW()/1000000,"")</f>
        <v/>
      </c>
      <c r="AO1009" s="9">
        <f>IF(COUNTA($B1009:$R1009)=0,"",IF(AND($I1009&lt;&gt;"",COUNTIF(CLIENTES_NOMES,$I1009)+COUNTIF(CLIENTES_FANTASIA,$I1009)+COUNTIF(FORNECEDORES_NOMES,$I1009)+COUNTIF(FORNECEDORES_FANTASIA,$I1009)=0),"⚠ Cliente/Fornecedor não cadastrado",IF(AND($G1009&lt;&gt;"",COUNTIF(SUBCATEGORIAS_PLANO,$G1009)=0),"⚠ Subcategoria fora do plano de contas",IF(OR($Q1009="",N($Q1009)=0),"⚠ Valor previsto não informado",IF(AND(OR($X1009="Pago",$X1009="Recebido"),$D1009=""),"⚠ Status pago/recebido sem data",IF(AND($D1009&lt;&gt;"",N($R1009)=0),"⚠ Data de pagamento sem valor realizado",IF(AND(N($P1009)&gt;1,N($O1009)&gt;N($P1009)),"⚠ Nº da parcela maior que o total",IF(AND($C1009&lt;&gt;"",$B1009&lt;&gt;"",$C1009&lt;$B1009),"⚠ Vencimento anterior à competência","OK"))))))))</f>
        <v/>
      </c>
    </row>
    <row r="1010">
      <c r="A1010" s="14" t="n"/>
      <c r="B1010" s="36" t="n"/>
      <c r="C1010" s="36" t="n"/>
      <c r="D1010" s="36" t="n"/>
      <c r="E1010" s="14" t="n"/>
      <c r="F1010" s="29" t="n"/>
      <c r="G1010" s="29" t="n"/>
      <c r="H1010" s="29" t="n"/>
      <c r="I1010" s="29" t="n"/>
      <c r="J1010" s="29" t="n"/>
      <c r="K1010" s="14" t="n"/>
      <c r="L1010" s="29" t="n"/>
      <c r="M1010" s="14" t="n"/>
      <c r="N1010" s="29" t="n"/>
      <c r="O1010" s="13" t="n"/>
      <c r="P1010" s="13" t="n"/>
      <c r="Q1010" s="35" t="n"/>
      <c r="R1010" s="35" t="n"/>
      <c r="S1010" s="35" t="n"/>
      <c r="T1010" s="35" t="n"/>
      <c r="U1010" s="35" t="n"/>
      <c r="V1010" s="18">
        <f>IF(COUNTA($B1010:$R1010)=0,"",ROUND(N($R1010)+N($S1010)+N($T1010)-N($U1010),2))</f>
        <v/>
      </c>
      <c r="W1010" s="18">
        <f>IF(COUNTA($B1010:$R1010)=0,"",IF(OR($X1010="Pago",$X1010="Recebido",$X1010="Cancelado"),0,ROUND(N($Q1010)+N($S1010)+N($T1010)-N($U1010)-N($R1010),2)))</f>
        <v/>
      </c>
      <c r="X1010" s="14" t="n"/>
      <c r="Y1010" s="17">
        <f>IF(COUNTA($B1010:$R1010)=0,"",IF($X1010="Cancelado","Cancelado",IF(OR($X1010="Pago",$X1010="Recebido"),$X1010,IF(OR($X1010="Parcial",N($R1010)&gt;0),"Parcial",IF($C1010="","Sem vencimento",IF($C1010&lt;TODAY(),"Vencido",IF($C1010=TODAY(),"Vence hoje",IF($C1010&lt;=TODAY()+7,"Vence em 7 dias",IF($C1010&lt;=TODAY()+30,"Vence em 30 dias","Futuro")))))))))</f>
        <v/>
      </c>
      <c r="Z1010" s="24">
        <f>IF($B1010="","",MONTH($B1010))</f>
        <v/>
      </c>
      <c r="AA1010" s="24">
        <f>IF($B1010="","",YEAR($B1010))</f>
        <v/>
      </c>
      <c r="AB1010" s="24">
        <f>IF($B1010="","",ISOWEEKNUM($B1010))</f>
        <v/>
      </c>
      <c r="AC1010" s="17">
        <f>IF($B1010="","",CHOOSE(WEEKDAY($B1010,2),"Segunda","Terça","Quarta","Quinta","Sexta","Sábado","Domingo"))</f>
        <v/>
      </c>
      <c r="AD1010" s="17">
        <f>IF($B1010="","",TEXT($B1010,"MM/AAAA"))</f>
        <v/>
      </c>
      <c r="AE1010" s="18">
        <f>IF(COUNTA($B1010:$R1010)=0,"",IF($X1010="Cancelado",0,ROUND(N($Q1010)+N($S1010)+N($T1010)-N($U1010),2)))</f>
        <v/>
      </c>
      <c r="AF1010" s="9">
        <f>IF($G1010="","",IFERROR(INDEX(LINHAS_DRE_PLANO,MATCH($G1010,SUBCATEGORIAS_PLANO,0)),"Não classificado"))</f>
        <v/>
      </c>
      <c r="AG1010" s="17">
        <f>IF($G1010="","",IFERROR(INDEX(TIPOS_FLUXO_PLANO,MATCH($G1010,SUBCATEGORIAS_PLANO,0)),"Não classificado"))</f>
        <v/>
      </c>
      <c r="AH1010" s="9">
        <f>IF($G1010="","",IFERROR(INDEX(GRUPOS_PLANO,MATCH($G1010,SUBCATEGORIAS_PLANO,0)),"Não classificado"))</f>
        <v/>
      </c>
      <c r="AI1010" s="24">
        <f>IF(OR($C1010="",$X1010="Pago",$X1010="Recebido",$X1010="Cancelado"),"",$C1010-TODAY())</f>
        <v/>
      </c>
      <c r="AJ1010" s="24">
        <f>IF(OR($C1010="",$X1010="Pago",$X1010="Recebido",$X1010="Cancelado"),0,MAX(0,TODAY()-$C1010))</f>
        <v/>
      </c>
      <c r="AK1010" s="24">
        <f>IF($D1010="","",$D1010-$B1010)</f>
        <v/>
      </c>
      <c r="AL1010" s="18">
        <f>IF(OR($D1010="",$B1010=""),"",ROUND(N($R1010)*($D1010-$B1010),2))</f>
        <v/>
      </c>
      <c r="AM1010" s="17">
        <f>IF(AND($E1010="Saída",$W1010&gt;0,$C1010&lt;&gt;""),$C1010+ROW()/1000000,"")</f>
        <v/>
      </c>
      <c r="AN1010" s="17">
        <f>IF(AND($E1010="Entrada",$W1010&gt;0,$C1010&lt;&gt;""),$C1010+ROW()/1000000,"")</f>
        <v/>
      </c>
      <c r="AO1010" s="9">
        <f>IF(COUNTA($B1010:$R1010)=0,"",IF(AND($I1010&lt;&gt;"",COUNTIF(CLIENTES_NOMES,$I1010)+COUNTIF(CLIENTES_FANTASIA,$I1010)+COUNTIF(FORNECEDORES_NOMES,$I1010)+COUNTIF(FORNECEDORES_FANTASIA,$I1010)=0),"⚠ Cliente/Fornecedor não cadastrado",IF(AND($G1010&lt;&gt;"",COUNTIF(SUBCATEGORIAS_PLANO,$G1010)=0),"⚠ Subcategoria fora do plano de contas",IF(OR($Q1010="",N($Q1010)=0),"⚠ Valor previsto não informado",IF(AND(OR($X1010="Pago",$X1010="Recebido"),$D1010=""),"⚠ Status pago/recebido sem data",IF(AND($D1010&lt;&gt;"",N($R1010)=0),"⚠ Data de pagamento sem valor realizado",IF(AND(N($P1010)&gt;1,N($O1010)&gt;N($P1010)),"⚠ Nº da parcela maior que o total",IF(AND($C1010&lt;&gt;"",$B1010&lt;&gt;"",$C1010&lt;$B1010),"⚠ Vencimento anterior à competência","OK"))))))))</f>
        <v/>
      </c>
    </row>
    <row r="1011">
      <c r="A1011" s="14" t="n"/>
      <c r="B1011" s="36" t="n"/>
      <c r="C1011" s="36" t="n"/>
      <c r="D1011" s="36" t="n"/>
      <c r="E1011" s="14" t="n"/>
      <c r="F1011" s="29" t="n"/>
      <c r="G1011" s="29" t="n"/>
      <c r="H1011" s="29" t="n"/>
      <c r="I1011" s="29" t="n"/>
      <c r="J1011" s="29" t="n"/>
      <c r="K1011" s="14" t="n"/>
      <c r="L1011" s="29" t="n"/>
      <c r="M1011" s="14" t="n"/>
      <c r="N1011" s="29" t="n"/>
      <c r="O1011" s="13" t="n"/>
      <c r="P1011" s="13" t="n"/>
      <c r="Q1011" s="35" t="n"/>
      <c r="R1011" s="35" t="n"/>
      <c r="S1011" s="35" t="n"/>
      <c r="T1011" s="35" t="n"/>
      <c r="U1011" s="35" t="n"/>
      <c r="V1011" s="18">
        <f>IF(COUNTA($B1011:$R1011)=0,"",ROUND(N($R1011)+N($S1011)+N($T1011)-N($U1011),2))</f>
        <v/>
      </c>
      <c r="W1011" s="18">
        <f>IF(COUNTA($B1011:$R1011)=0,"",IF(OR($X1011="Pago",$X1011="Recebido",$X1011="Cancelado"),0,ROUND(N($Q1011)+N($S1011)+N($T1011)-N($U1011)-N($R1011),2)))</f>
        <v/>
      </c>
      <c r="X1011" s="14" t="n"/>
      <c r="Y1011" s="17">
        <f>IF(COUNTA($B1011:$R1011)=0,"",IF($X1011="Cancelado","Cancelado",IF(OR($X1011="Pago",$X1011="Recebido"),$X1011,IF(OR($X1011="Parcial",N($R1011)&gt;0),"Parcial",IF($C1011="","Sem vencimento",IF($C1011&lt;TODAY(),"Vencido",IF($C1011=TODAY(),"Vence hoje",IF($C1011&lt;=TODAY()+7,"Vence em 7 dias",IF($C1011&lt;=TODAY()+30,"Vence em 30 dias","Futuro")))))))))</f>
        <v/>
      </c>
      <c r="Z1011" s="24">
        <f>IF($B1011="","",MONTH($B1011))</f>
        <v/>
      </c>
      <c r="AA1011" s="24">
        <f>IF($B1011="","",YEAR($B1011))</f>
        <v/>
      </c>
      <c r="AB1011" s="24">
        <f>IF($B1011="","",ISOWEEKNUM($B1011))</f>
        <v/>
      </c>
      <c r="AC1011" s="17">
        <f>IF($B1011="","",CHOOSE(WEEKDAY($B1011,2),"Segunda","Terça","Quarta","Quinta","Sexta","Sábado","Domingo"))</f>
        <v/>
      </c>
      <c r="AD1011" s="17">
        <f>IF($B1011="","",TEXT($B1011,"MM/AAAA"))</f>
        <v/>
      </c>
      <c r="AE1011" s="18">
        <f>IF(COUNTA($B1011:$R1011)=0,"",IF($X1011="Cancelado",0,ROUND(N($Q1011)+N($S1011)+N($T1011)-N($U1011),2)))</f>
        <v/>
      </c>
      <c r="AF1011" s="9">
        <f>IF($G1011="","",IFERROR(INDEX(LINHAS_DRE_PLANO,MATCH($G1011,SUBCATEGORIAS_PLANO,0)),"Não classificado"))</f>
        <v/>
      </c>
      <c r="AG1011" s="17">
        <f>IF($G1011="","",IFERROR(INDEX(TIPOS_FLUXO_PLANO,MATCH($G1011,SUBCATEGORIAS_PLANO,0)),"Não classificado"))</f>
        <v/>
      </c>
      <c r="AH1011" s="9">
        <f>IF($G1011="","",IFERROR(INDEX(GRUPOS_PLANO,MATCH($G1011,SUBCATEGORIAS_PLANO,0)),"Não classificado"))</f>
        <v/>
      </c>
      <c r="AI1011" s="24">
        <f>IF(OR($C1011="",$X1011="Pago",$X1011="Recebido",$X1011="Cancelado"),"",$C1011-TODAY())</f>
        <v/>
      </c>
      <c r="AJ1011" s="24">
        <f>IF(OR($C1011="",$X1011="Pago",$X1011="Recebido",$X1011="Cancelado"),0,MAX(0,TODAY()-$C1011))</f>
        <v/>
      </c>
      <c r="AK1011" s="24">
        <f>IF($D1011="","",$D1011-$B1011)</f>
        <v/>
      </c>
      <c r="AL1011" s="18">
        <f>IF(OR($D1011="",$B1011=""),"",ROUND(N($R1011)*($D1011-$B1011),2))</f>
        <v/>
      </c>
      <c r="AM1011" s="17">
        <f>IF(AND($E1011="Saída",$W1011&gt;0,$C1011&lt;&gt;""),$C1011+ROW()/1000000,"")</f>
        <v/>
      </c>
      <c r="AN1011" s="17">
        <f>IF(AND($E1011="Entrada",$W1011&gt;0,$C1011&lt;&gt;""),$C1011+ROW()/1000000,"")</f>
        <v/>
      </c>
      <c r="AO1011" s="9">
        <f>IF(COUNTA($B1011:$R1011)=0,"",IF(AND($I1011&lt;&gt;"",COUNTIF(CLIENTES_NOMES,$I1011)+COUNTIF(CLIENTES_FANTASIA,$I1011)+COUNTIF(FORNECEDORES_NOMES,$I1011)+COUNTIF(FORNECEDORES_FANTASIA,$I1011)=0),"⚠ Cliente/Fornecedor não cadastrado",IF(AND($G1011&lt;&gt;"",COUNTIF(SUBCATEGORIAS_PLANO,$G1011)=0),"⚠ Subcategoria fora do plano de contas",IF(OR($Q1011="",N($Q1011)=0),"⚠ Valor previsto não informado",IF(AND(OR($X1011="Pago",$X1011="Recebido"),$D1011=""),"⚠ Status pago/recebido sem data",IF(AND($D1011&lt;&gt;"",N($R1011)=0),"⚠ Data de pagamento sem valor realizado",IF(AND(N($P1011)&gt;1,N($O1011)&gt;N($P1011)),"⚠ Nº da parcela maior que o total",IF(AND($C1011&lt;&gt;"",$B1011&lt;&gt;"",$C1011&lt;$B1011),"⚠ Vencimento anterior à competência","OK"))))))))</f>
        <v/>
      </c>
    </row>
    <row r="1012">
      <c r="A1012" s="14" t="n"/>
      <c r="B1012" s="36" t="n"/>
      <c r="C1012" s="36" t="n"/>
      <c r="D1012" s="36" t="n"/>
      <c r="E1012" s="14" t="n"/>
      <c r="F1012" s="29" t="n"/>
      <c r="G1012" s="29" t="n"/>
      <c r="H1012" s="29" t="n"/>
      <c r="I1012" s="29" t="n"/>
      <c r="J1012" s="29" t="n"/>
      <c r="K1012" s="14" t="n"/>
      <c r="L1012" s="29" t="n"/>
      <c r="M1012" s="14" t="n"/>
      <c r="N1012" s="29" t="n"/>
      <c r="O1012" s="13" t="n"/>
      <c r="P1012" s="13" t="n"/>
      <c r="Q1012" s="35" t="n"/>
      <c r="R1012" s="35" t="n"/>
      <c r="S1012" s="35" t="n"/>
      <c r="T1012" s="35" t="n"/>
      <c r="U1012" s="35" t="n"/>
      <c r="V1012" s="18">
        <f>IF(COUNTA($B1012:$R1012)=0,"",ROUND(N($R1012)+N($S1012)+N($T1012)-N($U1012),2))</f>
        <v/>
      </c>
      <c r="W1012" s="18">
        <f>IF(COUNTA($B1012:$R1012)=0,"",IF(OR($X1012="Pago",$X1012="Recebido",$X1012="Cancelado"),0,ROUND(N($Q1012)+N($S1012)+N($T1012)-N($U1012)-N($R1012),2)))</f>
        <v/>
      </c>
      <c r="X1012" s="14" t="n"/>
      <c r="Y1012" s="17">
        <f>IF(COUNTA($B1012:$R1012)=0,"",IF($X1012="Cancelado","Cancelado",IF(OR($X1012="Pago",$X1012="Recebido"),$X1012,IF(OR($X1012="Parcial",N($R1012)&gt;0),"Parcial",IF($C1012="","Sem vencimento",IF($C1012&lt;TODAY(),"Vencido",IF($C1012=TODAY(),"Vence hoje",IF($C1012&lt;=TODAY()+7,"Vence em 7 dias",IF($C1012&lt;=TODAY()+30,"Vence em 30 dias","Futuro")))))))))</f>
        <v/>
      </c>
      <c r="Z1012" s="24">
        <f>IF($B1012="","",MONTH($B1012))</f>
        <v/>
      </c>
      <c r="AA1012" s="24">
        <f>IF($B1012="","",YEAR($B1012))</f>
        <v/>
      </c>
      <c r="AB1012" s="24">
        <f>IF($B1012="","",ISOWEEKNUM($B1012))</f>
        <v/>
      </c>
      <c r="AC1012" s="17">
        <f>IF($B1012="","",CHOOSE(WEEKDAY($B1012,2),"Segunda","Terça","Quarta","Quinta","Sexta","Sábado","Domingo"))</f>
        <v/>
      </c>
      <c r="AD1012" s="17">
        <f>IF($B1012="","",TEXT($B1012,"MM/AAAA"))</f>
        <v/>
      </c>
      <c r="AE1012" s="18">
        <f>IF(COUNTA($B1012:$R1012)=0,"",IF($X1012="Cancelado",0,ROUND(N($Q1012)+N($S1012)+N($T1012)-N($U1012),2)))</f>
        <v/>
      </c>
      <c r="AF1012" s="9">
        <f>IF($G1012="","",IFERROR(INDEX(LINHAS_DRE_PLANO,MATCH($G1012,SUBCATEGORIAS_PLANO,0)),"Não classificado"))</f>
        <v/>
      </c>
      <c r="AG1012" s="17">
        <f>IF($G1012="","",IFERROR(INDEX(TIPOS_FLUXO_PLANO,MATCH($G1012,SUBCATEGORIAS_PLANO,0)),"Não classificado"))</f>
        <v/>
      </c>
      <c r="AH1012" s="9">
        <f>IF($G1012="","",IFERROR(INDEX(GRUPOS_PLANO,MATCH($G1012,SUBCATEGORIAS_PLANO,0)),"Não classificado"))</f>
        <v/>
      </c>
      <c r="AI1012" s="24">
        <f>IF(OR($C1012="",$X1012="Pago",$X1012="Recebido",$X1012="Cancelado"),"",$C1012-TODAY())</f>
        <v/>
      </c>
      <c r="AJ1012" s="24">
        <f>IF(OR($C1012="",$X1012="Pago",$X1012="Recebido",$X1012="Cancelado"),0,MAX(0,TODAY()-$C1012))</f>
        <v/>
      </c>
      <c r="AK1012" s="24">
        <f>IF($D1012="","",$D1012-$B1012)</f>
        <v/>
      </c>
      <c r="AL1012" s="18">
        <f>IF(OR($D1012="",$B1012=""),"",ROUND(N($R1012)*($D1012-$B1012),2))</f>
        <v/>
      </c>
      <c r="AM1012" s="17">
        <f>IF(AND($E1012="Saída",$W1012&gt;0,$C1012&lt;&gt;""),$C1012+ROW()/1000000,"")</f>
        <v/>
      </c>
      <c r="AN1012" s="17">
        <f>IF(AND($E1012="Entrada",$W1012&gt;0,$C1012&lt;&gt;""),$C1012+ROW()/1000000,"")</f>
        <v/>
      </c>
      <c r="AO1012" s="9">
        <f>IF(COUNTA($B1012:$R1012)=0,"",IF(AND($I1012&lt;&gt;"",COUNTIF(CLIENTES_NOMES,$I1012)+COUNTIF(CLIENTES_FANTASIA,$I1012)+COUNTIF(FORNECEDORES_NOMES,$I1012)+COUNTIF(FORNECEDORES_FANTASIA,$I1012)=0),"⚠ Cliente/Fornecedor não cadastrado",IF(AND($G1012&lt;&gt;"",COUNTIF(SUBCATEGORIAS_PLANO,$G1012)=0),"⚠ Subcategoria fora do plano de contas",IF(OR($Q1012="",N($Q1012)=0),"⚠ Valor previsto não informado",IF(AND(OR($X1012="Pago",$X1012="Recebido"),$D1012=""),"⚠ Status pago/recebido sem data",IF(AND($D1012&lt;&gt;"",N($R1012)=0),"⚠ Data de pagamento sem valor realizado",IF(AND(N($P1012)&gt;1,N($O1012)&gt;N($P1012)),"⚠ Nº da parcela maior que o total",IF(AND($C1012&lt;&gt;"",$B1012&lt;&gt;"",$C1012&lt;$B1012),"⚠ Vencimento anterior à competência","OK"))))))))</f>
        <v/>
      </c>
    </row>
    <row r="1013">
      <c r="A1013" s="14" t="n"/>
      <c r="B1013" s="36" t="n"/>
      <c r="C1013" s="36" t="n"/>
      <c r="D1013" s="36" t="n"/>
      <c r="E1013" s="14" t="n"/>
      <c r="F1013" s="29" t="n"/>
      <c r="G1013" s="29" t="n"/>
      <c r="H1013" s="29" t="n"/>
      <c r="I1013" s="29" t="n"/>
      <c r="J1013" s="29" t="n"/>
      <c r="K1013" s="14" t="n"/>
      <c r="L1013" s="29" t="n"/>
      <c r="M1013" s="14" t="n"/>
      <c r="N1013" s="29" t="n"/>
      <c r="O1013" s="13" t="n"/>
      <c r="P1013" s="13" t="n"/>
      <c r="Q1013" s="35" t="n"/>
      <c r="R1013" s="35" t="n"/>
      <c r="S1013" s="35" t="n"/>
      <c r="T1013" s="35" t="n"/>
      <c r="U1013" s="35" t="n"/>
      <c r="V1013" s="18">
        <f>IF(COUNTA($B1013:$R1013)=0,"",ROUND(N($R1013)+N($S1013)+N($T1013)-N($U1013),2))</f>
        <v/>
      </c>
      <c r="W1013" s="18">
        <f>IF(COUNTA($B1013:$R1013)=0,"",IF(OR($X1013="Pago",$X1013="Recebido",$X1013="Cancelado"),0,ROUND(N($Q1013)+N($S1013)+N($T1013)-N($U1013)-N($R1013),2)))</f>
        <v/>
      </c>
      <c r="X1013" s="14" t="n"/>
      <c r="Y1013" s="17">
        <f>IF(COUNTA($B1013:$R1013)=0,"",IF($X1013="Cancelado","Cancelado",IF(OR($X1013="Pago",$X1013="Recebido"),$X1013,IF(OR($X1013="Parcial",N($R1013)&gt;0),"Parcial",IF($C1013="","Sem vencimento",IF($C1013&lt;TODAY(),"Vencido",IF($C1013=TODAY(),"Vence hoje",IF($C1013&lt;=TODAY()+7,"Vence em 7 dias",IF($C1013&lt;=TODAY()+30,"Vence em 30 dias","Futuro")))))))))</f>
        <v/>
      </c>
      <c r="Z1013" s="24">
        <f>IF($B1013="","",MONTH($B1013))</f>
        <v/>
      </c>
      <c r="AA1013" s="24">
        <f>IF($B1013="","",YEAR($B1013))</f>
        <v/>
      </c>
      <c r="AB1013" s="24">
        <f>IF($B1013="","",ISOWEEKNUM($B1013))</f>
        <v/>
      </c>
      <c r="AC1013" s="17">
        <f>IF($B1013="","",CHOOSE(WEEKDAY($B1013,2),"Segunda","Terça","Quarta","Quinta","Sexta","Sábado","Domingo"))</f>
        <v/>
      </c>
      <c r="AD1013" s="17">
        <f>IF($B1013="","",TEXT($B1013,"MM/AAAA"))</f>
        <v/>
      </c>
      <c r="AE1013" s="18">
        <f>IF(COUNTA($B1013:$R1013)=0,"",IF($X1013="Cancelado",0,ROUND(N($Q1013)+N($S1013)+N($T1013)-N($U1013),2)))</f>
        <v/>
      </c>
      <c r="AF1013" s="9">
        <f>IF($G1013="","",IFERROR(INDEX(LINHAS_DRE_PLANO,MATCH($G1013,SUBCATEGORIAS_PLANO,0)),"Não classificado"))</f>
        <v/>
      </c>
      <c r="AG1013" s="17">
        <f>IF($G1013="","",IFERROR(INDEX(TIPOS_FLUXO_PLANO,MATCH($G1013,SUBCATEGORIAS_PLANO,0)),"Não classificado"))</f>
        <v/>
      </c>
      <c r="AH1013" s="9">
        <f>IF($G1013="","",IFERROR(INDEX(GRUPOS_PLANO,MATCH($G1013,SUBCATEGORIAS_PLANO,0)),"Não classificado"))</f>
        <v/>
      </c>
      <c r="AI1013" s="24">
        <f>IF(OR($C1013="",$X1013="Pago",$X1013="Recebido",$X1013="Cancelado"),"",$C1013-TODAY())</f>
        <v/>
      </c>
      <c r="AJ1013" s="24">
        <f>IF(OR($C1013="",$X1013="Pago",$X1013="Recebido",$X1013="Cancelado"),0,MAX(0,TODAY()-$C1013))</f>
        <v/>
      </c>
      <c r="AK1013" s="24">
        <f>IF($D1013="","",$D1013-$B1013)</f>
        <v/>
      </c>
      <c r="AL1013" s="18">
        <f>IF(OR($D1013="",$B1013=""),"",ROUND(N($R1013)*($D1013-$B1013),2))</f>
        <v/>
      </c>
      <c r="AM1013" s="17">
        <f>IF(AND($E1013="Saída",$W1013&gt;0,$C1013&lt;&gt;""),$C1013+ROW()/1000000,"")</f>
        <v/>
      </c>
      <c r="AN1013" s="17">
        <f>IF(AND($E1013="Entrada",$W1013&gt;0,$C1013&lt;&gt;""),$C1013+ROW()/1000000,"")</f>
        <v/>
      </c>
      <c r="AO1013" s="9">
        <f>IF(COUNTA($B1013:$R1013)=0,"",IF(AND($I1013&lt;&gt;"",COUNTIF(CLIENTES_NOMES,$I1013)+COUNTIF(CLIENTES_FANTASIA,$I1013)+COUNTIF(FORNECEDORES_NOMES,$I1013)+COUNTIF(FORNECEDORES_FANTASIA,$I1013)=0),"⚠ Cliente/Fornecedor não cadastrado",IF(AND($G1013&lt;&gt;"",COUNTIF(SUBCATEGORIAS_PLANO,$G1013)=0),"⚠ Subcategoria fora do plano de contas",IF(OR($Q1013="",N($Q1013)=0),"⚠ Valor previsto não informado",IF(AND(OR($X1013="Pago",$X1013="Recebido"),$D1013=""),"⚠ Status pago/recebido sem data",IF(AND($D1013&lt;&gt;"",N($R1013)=0),"⚠ Data de pagamento sem valor realizado",IF(AND(N($P1013)&gt;1,N($O1013)&gt;N($P1013)),"⚠ Nº da parcela maior que o total",IF(AND($C1013&lt;&gt;"",$B1013&lt;&gt;"",$C1013&lt;$B1013),"⚠ Vencimento anterior à competência","OK"))))))))</f>
        <v/>
      </c>
    </row>
    <row r="1014">
      <c r="A1014" s="14" t="n"/>
      <c r="B1014" s="36" t="n"/>
      <c r="C1014" s="36" t="n"/>
      <c r="D1014" s="36" t="n"/>
      <c r="E1014" s="14" t="n"/>
      <c r="F1014" s="29" t="n"/>
      <c r="G1014" s="29" t="n"/>
      <c r="H1014" s="29" t="n"/>
      <c r="I1014" s="29" t="n"/>
      <c r="J1014" s="29" t="n"/>
      <c r="K1014" s="14" t="n"/>
      <c r="L1014" s="29" t="n"/>
      <c r="M1014" s="14" t="n"/>
      <c r="N1014" s="29" t="n"/>
      <c r="O1014" s="13" t="n"/>
      <c r="P1014" s="13" t="n"/>
      <c r="Q1014" s="35" t="n"/>
      <c r="R1014" s="35" t="n"/>
      <c r="S1014" s="35" t="n"/>
      <c r="T1014" s="35" t="n"/>
      <c r="U1014" s="35" t="n"/>
      <c r="V1014" s="18">
        <f>IF(COUNTA($B1014:$R1014)=0,"",ROUND(N($R1014)+N($S1014)+N($T1014)-N($U1014),2))</f>
        <v/>
      </c>
      <c r="W1014" s="18">
        <f>IF(COUNTA($B1014:$R1014)=0,"",IF(OR($X1014="Pago",$X1014="Recebido",$X1014="Cancelado"),0,ROUND(N($Q1014)+N($S1014)+N($T1014)-N($U1014)-N($R1014),2)))</f>
        <v/>
      </c>
      <c r="X1014" s="14" t="n"/>
      <c r="Y1014" s="17">
        <f>IF(COUNTA($B1014:$R1014)=0,"",IF($X1014="Cancelado","Cancelado",IF(OR($X1014="Pago",$X1014="Recebido"),$X1014,IF(OR($X1014="Parcial",N($R1014)&gt;0),"Parcial",IF($C1014="","Sem vencimento",IF($C1014&lt;TODAY(),"Vencido",IF($C1014=TODAY(),"Vence hoje",IF($C1014&lt;=TODAY()+7,"Vence em 7 dias",IF($C1014&lt;=TODAY()+30,"Vence em 30 dias","Futuro")))))))))</f>
        <v/>
      </c>
      <c r="Z1014" s="24">
        <f>IF($B1014="","",MONTH($B1014))</f>
        <v/>
      </c>
      <c r="AA1014" s="24">
        <f>IF($B1014="","",YEAR($B1014))</f>
        <v/>
      </c>
      <c r="AB1014" s="24">
        <f>IF($B1014="","",ISOWEEKNUM($B1014))</f>
        <v/>
      </c>
      <c r="AC1014" s="17">
        <f>IF($B1014="","",CHOOSE(WEEKDAY($B1014,2),"Segunda","Terça","Quarta","Quinta","Sexta","Sábado","Domingo"))</f>
        <v/>
      </c>
      <c r="AD1014" s="17">
        <f>IF($B1014="","",TEXT($B1014,"MM/AAAA"))</f>
        <v/>
      </c>
      <c r="AE1014" s="18">
        <f>IF(COUNTA($B1014:$R1014)=0,"",IF($X1014="Cancelado",0,ROUND(N($Q1014)+N($S1014)+N($T1014)-N($U1014),2)))</f>
        <v/>
      </c>
      <c r="AF1014" s="9">
        <f>IF($G1014="","",IFERROR(INDEX(LINHAS_DRE_PLANO,MATCH($G1014,SUBCATEGORIAS_PLANO,0)),"Não classificado"))</f>
        <v/>
      </c>
      <c r="AG1014" s="17">
        <f>IF($G1014="","",IFERROR(INDEX(TIPOS_FLUXO_PLANO,MATCH($G1014,SUBCATEGORIAS_PLANO,0)),"Não classificado"))</f>
        <v/>
      </c>
      <c r="AH1014" s="9">
        <f>IF($G1014="","",IFERROR(INDEX(GRUPOS_PLANO,MATCH($G1014,SUBCATEGORIAS_PLANO,0)),"Não classificado"))</f>
        <v/>
      </c>
      <c r="AI1014" s="24">
        <f>IF(OR($C1014="",$X1014="Pago",$X1014="Recebido",$X1014="Cancelado"),"",$C1014-TODAY())</f>
        <v/>
      </c>
      <c r="AJ1014" s="24">
        <f>IF(OR($C1014="",$X1014="Pago",$X1014="Recebido",$X1014="Cancelado"),0,MAX(0,TODAY()-$C1014))</f>
        <v/>
      </c>
      <c r="AK1014" s="24">
        <f>IF($D1014="","",$D1014-$B1014)</f>
        <v/>
      </c>
      <c r="AL1014" s="18">
        <f>IF(OR($D1014="",$B1014=""),"",ROUND(N($R1014)*($D1014-$B1014),2))</f>
        <v/>
      </c>
      <c r="AM1014" s="17">
        <f>IF(AND($E1014="Saída",$W1014&gt;0,$C1014&lt;&gt;""),$C1014+ROW()/1000000,"")</f>
        <v/>
      </c>
      <c r="AN1014" s="17">
        <f>IF(AND($E1014="Entrada",$W1014&gt;0,$C1014&lt;&gt;""),$C1014+ROW()/1000000,"")</f>
        <v/>
      </c>
      <c r="AO1014" s="9">
        <f>IF(COUNTA($B1014:$R1014)=0,"",IF(AND($I1014&lt;&gt;"",COUNTIF(CLIENTES_NOMES,$I1014)+COUNTIF(CLIENTES_FANTASIA,$I1014)+COUNTIF(FORNECEDORES_NOMES,$I1014)+COUNTIF(FORNECEDORES_FANTASIA,$I1014)=0),"⚠ Cliente/Fornecedor não cadastrado",IF(AND($G1014&lt;&gt;"",COUNTIF(SUBCATEGORIAS_PLANO,$G1014)=0),"⚠ Subcategoria fora do plano de contas",IF(OR($Q1014="",N($Q1014)=0),"⚠ Valor previsto não informado",IF(AND(OR($X1014="Pago",$X1014="Recebido"),$D1014=""),"⚠ Status pago/recebido sem data",IF(AND($D1014&lt;&gt;"",N($R1014)=0),"⚠ Data de pagamento sem valor realizado",IF(AND(N($P1014)&gt;1,N($O1014)&gt;N($P1014)),"⚠ Nº da parcela maior que o total",IF(AND($C1014&lt;&gt;"",$B1014&lt;&gt;"",$C1014&lt;$B1014),"⚠ Vencimento anterior à competência","OK"))))))))</f>
        <v/>
      </c>
    </row>
    <row r="1015">
      <c r="A1015" s="14" t="n"/>
      <c r="B1015" s="36" t="n"/>
      <c r="C1015" s="36" t="n"/>
      <c r="D1015" s="36" t="n"/>
      <c r="E1015" s="14" t="n"/>
      <c r="F1015" s="29" t="n"/>
      <c r="G1015" s="29" t="n"/>
      <c r="H1015" s="29" t="n"/>
      <c r="I1015" s="29" t="n"/>
      <c r="J1015" s="29" t="n"/>
      <c r="K1015" s="14" t="n"/>
      <c r="L1015" s="29" t="n"/>
      <c r="M1015" s="14" t="n"/>
      <c r="N1015" s="29" t="n"/>
      <c r="O1015" s="13" t="n"/>
      <c r="P1015" s="13" t="n"/>
      <c r="Q1015" s="35" t="n"/>
      <c r="R1015" s="35" t="n"/>
      <c r="S1015" s="35" t="n"/>
      <c r="T1015" s="35" t="n"/>
      <c r="U1015" s="35" t="n"/>
      <c r="V1015" s="18">
        <f>IF(COUNTA($B1015:$R1015)=0,"",ROUND(N($R1015)+N($S1015)+N($T1015)-N($U1015),2))</f>
        <v/>
      </c>
      <c r="W1015" s="18">
        <f>IF(COUNTA($B1015:$R1015)=0,"",IF(OR($X1015="Pago",$X1015="Recebido",$X1015="Cancelado"),0,ROUND(N($Q1015)+N($S1015)+N($T1015)-N($U1015)-N($R1015),2)))</f>
        <v/>
      </c>
      <c r="X1015" s="14" t="n"/>
      <c r="Y1015" s="17">
        <f>IF(COUNTA($B1015:$R1015)=0,"",IF($X1015="Cancelado","Cancelado",IF(OR($X1015="Pago",$X1015="Recebido"),$X1015,IF(OR($X1015="Parcial",N($R1015)&gt;0),"Parcial",IF($C1015="","Sem vencimento",IF($C1015&lt;TODAY(),"Vencido",IF($C1015=TODAY(),"Vence hoje",IF($C1015&lt;=TODAY()+7,"Vence em 7 dias",IF($C1015&lt;=TODAY()+30,"Vence em 30 dias","Futuro")))))))))</f>
        <v/>
      </c>
      <c r="Z1015" s="24">
        <f>IF($B1015="","",MONTH($B1015))</f>
        <v/>
      </c>
      <c r="AA1015" s="24">
        <f>IF($B1015="","",YEAR($B1015))</f>
        <v/>
      </c>
      <c r="AB1015" s="24">
        <f>IF($B1015="","",ISOWEEKNUM($B1015))</f>
        <v/>
      </c>
      <c r="AC1015" s="17">
        <f>IF($B1015="","",CHOOSE(WEEKDAY($B1015,2),"Segunda","Terça","Quarta","Quinta","Sexta","Sábado","Domingo"))</f>
        <v/>
      </c>
      <c r="AD1015" s="17">
        <f>IF($B1015="","",TEXT($B1015,"MM/AAAA"))</f>
        <v/>
      </c>
      <c r="AE1015" s="18">
        <f>IF(COUNTA($B1015:$R1015)=0,"",IF($X1015="Cancelado",0,ROUND(N($Q1015)+N($S1015)+N($T1015)-N($U1015),2)))</f>
        <v/>
      </c>
      <c r="AF1015" s="9">
        <f>IF($G1015="","",IFERROR(INDEX(LINHAS_DRE_PLANO,MATCH($G1015,SUBCATEGORIAS_PLANO,0)),"Não classificado"))</f>
        <v/>
      </c>
      <c r="AG1015" s="17">
        <f>IF($G1015="","",IFERROR(INDEX(TIPOS_FLUXO_PLANO,MATCH($G1015,SUBCATEGORIAS_PLANO,0)),"Não classificado"))</f>
        <v/>
      </c>
      <c r="AH1015" s="9">
        <f>IF($G1015="","",IFERROR(INDEX(GRUPOS_PLANO,MATCH($G1015,SUBCATEGORIAS_PLANO,0)),"Não classificado"))</f>
        <v/>
      </c>
      <c r="AI1015" s="24">
        <f>IF(OR($C1015="",$X1015="Pago",$X1015="Recebido",$X1015="Cancelado"),"",$C1015-TODAY())</f>
        <v/>
      </c>
      <c r="AJ1015" s="24">
        <f>IF(OR($C1015="",$X1015="Pago",$X1015="Recebido",$X1015="Cancelado"),0,MAX(0,TODAY()-$C1015))</f>
        <v/>
      </c>
      <c r="AK1015" s="24">
        <f>IF($D1015="","",$D1015-$B1015)</f>
        <v/>
      </c>
      <c r="AL1015" s="18">
        <f>IF(OR($D1015="",$B1015=""),"",ROUND(N($R1015)*($D1015-$B1015),2))</f>
        <v/>
      </c>
      <c r="AM1015" s="17">
        <f>IF(AND($E1015="Saída",$W1015&gt;0,$C1015&lt;&gt;""),$C1015+ROW()/1000000,"")</f>
        <v/>
      </c>
      <c r="AN1015" s="17">
        <f>IF(AND($E1015="Entrada",$W1015&gt;0,$C1015&lt;&gt;""),$C1015+ROW()/1000000,"")</f>
        <v/>
      </c>
      <c r="AO1015" s="9">
        <f>IF(COUNTA($B1015:$R1015)=0,"",IF(AND($I1015&lt;&gt;"",COUNTIF(CLIENTES_NOMES,$I1015)+COUNTIF(CLIENTES_FANTASIA,$I1015)+COUNTIF(FORNECEDORES_NOMES,$I1015)+COUNTIF(FORNECEDORES_FANTASIA,$I1015)=0),"⚠ Cliente/Fornecedor não cadastrado",IF(AND($G1015&lt;&gt;"",COUNTIF(SUBCATEGORIAS_PLANO,$G1015)=0),"⚠ Subcategoria fora do plano de contas",IF(OR($Q1015="",N($Q1015)=0),"⚠ Valor previsto não informado",IF(AND(OR($X1015="Pago",$X1015="Recebido"),$D1015=""),"⚠ Status pago/recebido sem data",IF(AND($D1015&lt;&gt;"",N($R1015)=0),"⚠ Data de pagamento sem valor realizado",IF(AND(N($P1015)&gt;1,N($O1015)&gt;N($P1015)),"⚠ Nº da parcela maior que o total",IF(AND($C1015&lt;&gt;"",$B1015&lt;&gt;"",$C1015&lt;$B1015),"⚠ Vencimento anterior à competência","OK"))))))))</f>
        <v/>
      </c>
    </row>
    <row r="1016">
      <c r="A1016" s="14" t="n"/>
      <c r="B1016" s="36" t="n"/>
      <c r="C1016" s="36" t="n"/>
      <c r="D1016" s="36" t="n"/>
      <c r="E1016" s="14" t="n"/>
      <c r="F1016" s="29" t="n"/>
      <c r="G1016" s="29" t="n"/>
      <c r="H1016" s="29" t="n"/>
      <c r="I1016" s="29" t="n"/>
      <c r="J1016" s="29" t="n"/>
      <c r="K1016" s="14" t="n"/>
      <c r="L1016" s="29" t="n"/>
      <c r="M1016" s="14" t="n"/>
      <c r="N1016" s="29" t="n"/>
      <c r="O1016" s="13" t="n"/>
      <c r="P1016" s="13" t="n"/>
      <c r="Q1016" s="35" t="n"/>
      <c r="R1016" s="35" t="n"/>
      <c r="S1016" s="35" t="n"/>
      <c r="T1016" s="35" t="n"/>
      <c r="U1016" s="35" t="n"/>
      <c r="V1016" s="18">
        <f>IF(COUNTA($B1016:$R1016)=0,"",ROUND(N($R1016)+N($S1016)+N($T1016)-N($U1016),2))</f>
        <v/>
      </c>
      <c r="W1016" s="18">
        <f>IF(COUNTA($B1016:$R1016)=0,"",IF(OR($X1016="Pago",$X1016="Recebido",$X1016="Cancelado"),0,ROUND(N($Q1016)+N($S1016)+N($T1016)-N($U1016)-N($R1016),2)))</f>
        <v/>
      </c>
      <c r="X1016" s="14" t="n"/>
      <c r="Y1016" s="17">
        <f>IF(COUNTA($B1016:$R1016)=0,"",IF($X1016="Cancelado","Cancelado",IF(OR($X1016="Pago",$X1016="Recebido"),$X1016,IF(OR($X1016="Parcial",N($R1016)&gt;0),"Parcial",IF($C1016="","Sem vencimento",IF($C1016&lt;TODAY(),"Vencido",IF($C1016=TODAY(),"Vence hoje",IF($C1016&lt;=TODAY()+7,"Vence em 7 dias",IF($C1016&lt;=TODAY()+30,"Vence em 30 dias","Futuro")))))))))</f>
        <v/>
      </c>
      <c r="Z1016" s="24">
        <f>IF($B1016="","",MONTH($B1016))</f>
        <v/>
      </c>
      <c r="AA1016" s="24">
        <f>IF($B1016="","",YEAR($B1016))</f>
        <v/>
      </c>
      <c r="AB1016" s="24">
        <f>IF($B1016="","",ISOWEEKNUM($B1016))</f>
        <v/>
      </c>
      <c r="AC1016" s="17">
        <f>IF($B1016="","",CHOOSE(WEEKDAY($B1016,2),"Segunda","Terça","Quarta","Quinta","Sexta","Sábado","Domingo"))</f>
        <v/>
      </c>
      <c r="AD1016" s="17">
        <f>IF($B1016="","",TEXT($B1016,"MM/AAAA"))</f>
        <v/>
      </c>
      <c r="AE1016" s="18">
        <f>IF(COUNTA($B1016:$R1016)=0,"",IF($X1016="Cancelado",0,ROUND(N($Q1016)+N($S1016)+N($T1016)-N($U1016),2)))</f>
        <v/>
      </c>
      <c r="AF1016" s="9">
        <f>IF($G1016="","",IFERROR(INDEX(LINHAS_DRE_PLANO,MATCH($G1016,SUBCATEGORIAS_PLANO,0)),"Não classificado"))</f>
        <v/>
      </c>
      <c r="AG1016" s="17">
        <f>IF($G1016="","",IFERROR(INDEX(TIPOS_FLUXO_PLANO,MATCH($G1016,SUBCATEGORIAS_PLANO,0)),"Não classificado"))</f>
        <v/>
      </c>
      <c r="AH1016" s="9">
        <f>IF($G1016="","",IFERROR(INDEX(GRUPOS_PLANO,MATCH($G1016,SUBCATEGORIAS_PLANO,0)),"Não classificado"))</f>
        <v/>
      </c>
      <c r="AI1016" s="24">
        <f>IF(OR($C1016="",$X1016="Pago",$X1016="Recebido",$X1016="Cancelado"),"",$C1016-TODAY())</f>
        <v/>
      </c>
      <c r="AJ1016" s="24">
        <f>IF(OR($C1016="",$X1016="Pago",$X1016="Recebido",$X1016="Cancelado"),0,MAX(0,TODAY()-$C1016))</f>
        <v/>
      </c>
      <c r="AK1016" s="24">
        <f>IF($D1016="","",$D1016-$B1016)</f>
        <v/>
      </c>
      <c r="AL1016" s="18">
        <f>IF(OR($D1016="",$B1016=""),"",ROUND(N($R1016)*($D1016-$B1016),2))</f>
        <v/>
      </c>
      <c r="AM1016" s="17">
        <f>IF(AND($E1016="Saída",$W1016&gt;0,$C1016&lt;&gt;""),$C1016+ROW()/1000000,"")</f>
        <v/>
      </c>
      <c r="AN1016" s="17">
        <f>IF(AND($E1016="Entrada",$W1016&gt;0,$C1016&lt;&gt;""),$C1016+ROW()/1000000,"")</f>
        <v/>
      </c>
      <c r="AO1016" s="9">
        <f>IF(COUNTA($B1016:$R1016)=0,"",IF(AND($I1016&lt;&gt;"",COUNTIF(CLIENTES_NOMES,$I1016)+COUNTIF(CLIENTES_FANTASIA,$I1016)+COUNTIF(FORNECEDORES_NOMES,$I1016)+COUNTIF(FORNECEDORES_FANTASIA,$I1016)=0),"⚠ Cliente/Fornecedor não cadastrado",IF(AND($G1016&lt;&gt;"",COUNTIF(SUBCATEGORIAS_PLANO,$G1016)=0),"⚠ Subcategoria fora do plano de contas",IF(OR($Q1016="",N($Q1016)=0),"⚠ Valor previsto não informado",IF(AND(OR($X1016="Pago",$X1016="Recebido"),$D1016=""),"⚠ Status pago/recebido sem data",IF(AND($D1016&lt;&gt;"",N($R1016)=0),"⚠ Data de pagamento sem valor realizado",IF(AND(N($P1016)&gt;1,N($O1016)&gt;N($P1016)),"⚠ Nº da parcela maior que o total",IF(AND($C1016&lt;&gt;"",$B1016&lt;&gt;"",$C1016&lt;$B1016),"⚠ Vencimento anterior à competência","OK"))))))))</f>
        <v/>
      </c>
    </row>
    <row r="1017">
      <c r="A1017" s="14" t="n"/>
      <c r="B1017" s="36" t="n"/>
      <c r="C1017" s="36" t="n"/>
      <c r="D1017" s="36" t="n"/>
      <c r="E1017" s="14" t="n"/>
      <c r="F1017" s="29" t="n"/>
      <c r="G1017" s="29" t="n"/>
      <c r="H1017" s="29" t="n"/>
      <c r="I1017" s="29" t="n"/>
      <c r="J1017" s="29" t="n"/>
      <c r="K1017" s="14" t="n"/>
      <c r="L1017" s="29" t="n"/>
      <c r="M1017" s="14" t="n"/>
      <c r="N1017" s="29" t="n"/>
      <c r="O1017" s="13" t="n"/>
      <c r="P1017" s="13" t="n"/>
      <c r="Q1017" s="35" t="n"/>
      <c r="R1017" s="35" t="n"/>
      <c r="S1017" s="35" t="n"/>
      <c r="T1017" s="35" t="n"/>
      <c r="U1017" s="35" t="n"/>
      <c r="V1017" s="18">
        <f>IF(COUNTA($B1017:$R1017)=0,"",ROUND(N($R1017)+N($S1017)+N($T1017)-N($U1017),2))</f>
        <v/>
      </c>
      <c r="W1017" s="18">
        <f>IF(COUNTA($B1017:$R1017)=0,"",IF(OR($X1017="Pago",$X1017="Recebido",$X1017="Cancelado"),0,ROUND(N($Q1017)+N($S1017)+N($T1017)-N($U1017)-N($R1017),2)))</f>
        <v/>
      </c>
      <c r="X1017" s="14" t="n"/>
      <c r="Y1017" s="17">
        <f>IF(COUNTA($B1017:$R1017)=0,"",IF($X1017="Cancelado","Cancelado",IF(OR($X1017="Pago",$X1017="Recebido"),$X1017,IF(OR($X1017="Parcial",N($R1017)&gt;0),"Parcial",IF($C1017="","Sem vencimento",IF($C1017&lt;TODAY(),"Vencido",IF($C1017=TODAY(),"Vence hoje",IF($C1017&lt;=TODAY()+7,"Vence em 7 dias",IF($C1017&lt;=TODAY()+30,"Vence em 30 dias","Futuro")))))))))</f>
        <v/>
      </c>
      <c r="Z1017" s="24">
        <f>IF($B1017="","",MONTH($B1017))</f>
        <v/>
      </c>
      <c r="AA1017" s="24">
        <f>IF($B1017="","",YEAR($B1017))</f>
        <v/>
      </c>
      <c r="AB1017" s="24">
        <f>IF($B1017="","",ISOWEEKNUM($B1017))</f>
        <v/>
      </c>
      <c r="AC1017" s="17">
        <f>IF($B1017="","",CHOOSE(WEEKDAY($B1017,2),"Segunda","Terça","Quarta","Quinta","Sexta","Sábado","Domingo"))</f>
        <v/>
      </c>
      <c r="AD1017" s="17">
        <f>IF($B1017="","",TEXT($B1017,"MM/AAAA"))</f>
        <v/>
      </c>
      <c r="AE1017" s="18">
        <f>IF(COUNTA($B1017:$R1017)=0,"",IF($X1017="Cancelado",0,ROUND(N($Q1017)+N($S1017)+N($T1017)-N($U1017),2)))</f>
        <v/>
      </c>
      <c r="AF1017" s="9">
        <f>IF($G1017="","",IFERROR(INDEX(LINHAS_DRE_PLANO,MATCH($G1017,SUBCATEGORIAS_PLANO,0)),"Não classificado"))</f>
        <v/>
      </c>
      <c r="AG1017" s="17">
        <f>IF($G1017="","",IFERROR(INDEX(TIPOS_FLUXO_PLANO,MATCH($G1017,SUBCATEGORIAS_PLANO,0)),"Não classificado"))</f>
        <v/>
      </c>
      <c r="AH1017" s="9">
        <f>IF($G1017="","",IFERROR(INDEX(GRUPOS_PLANO,MATCH($G1017,SUBCATEGORIAS_PLANO,0)),"Não classificado"))</f>
        <v/>
      </c>
      <c r="AI1017" s="24">
        <f>IF(OR($C1017="",$X1017="Pago",$X1017="Recebido",$X1017="Cancelado"),"",$C1017-TODAY())</f>
        <v/>
      </c>
      <c r="AJ1017" s="24">
        <f>IF(OR($C1017="",$X1017="Pago",$X1017="Recebido",$X1017="Cancelado"),0,MAX(0,TODAY()-$C1017))</f>
        <v/>
      </c>
      <c r="AK1017" s="24">
        <f>IF($D1017="","",$D1017-$B1017)</f>
        <v/>
      </c>
      <c r="AL1017" s="18">
        <f>IF(OR($D1017="",$B1017=""),"",ROUND(N($R1017)*($D1017-$B1017),2))</f>
        <v/>
      </c>
      <c r="AM1017" s="17">
        <f>IF(AND($E1017="Saída",$W1017&gt;0,$C1017&lt;&gt;""),$C1017+ROW()/1000000,"")</f>
        <v/>
      </c>
      <c r="AN1017" s="17">
        <f>IF(AND($E1017="Entrada",$W1017&gt;0,$C1017&lt;&gt;""),$C1017+ROW()/1000000,"")</f>
        <v/>
      </c>
      <c r="AO1017" s="9">
        <f>IF(COUNTA($B1017:$R1017)=0,"",IF(AND($I1017&lt;&gt;"",COUNTIF(CLIENTES_NOMES,$I1017)+COUNTIF(CLIENTES_FANTASIA,$I1017)+COUNTIF(FORNECEDORES_NOMES,$I1017)+COUNTIF(FORNECEDORES_FANTASIA,$I1017)=0),"⚠ Cliente/Fornecedor não cadastrado",IF(AND($G1017&lt;&gt;"",COUNTIF(SUBCATEGORIAS_PLANO,$G1017)=0),"⚠ Subcategoria fora do plano de contas",IF(OR($Q1017="",N($Q1017)=0),"⚠ Valor previsto não informado",IF(AND(OR($X1017="Pago",$X1017="Recebido"),$D1017=""),"⚠ Status pago/recebido sem data",IF(AND($D1017&lt;&gt;"",N($R1017)=0),"⚠ Data de pagamento sem valor realizado",IF(AND(N($P1017)&gt;1,N($O1017)&gt;N($P1017)),"⚠ Nº da parcela maior que o total",IF(AND($C1017&lt;&gt;"",$B1017&lt;&gt;"",$C1017&lt;$B1017),"⚠ Vencimento anterior à competência","OK"))))))))</f>
        <v/>
      </c>
    </row>
    <row r="1018">
      <c r="A1018" s="14" t="n"/>
      <c r="B1018" s="36" t="n"/>
      <c r="C1018" s="36" t="n"/>
      <c r="D1018" s="36" t="n"/>
      <c r="E1018" s="14" t="n"/>
      <c r="F1018" s="29" t="n"/>
      <c r="G1018" s="29" t="n"/>
      <c r="H1018" s="29" t="n"/>
      <c r="I1018" s="29" t="n"/>
      <c r="J1018" s="29" t="n"/>
      <c r="K1018" s="14" t="n"/>
      <c r="L1018" s="29" t="n"/>
      <c r="M1018" s="14" t="n"/>
      <c r="N1018" s="29" t="n"/>
      <c r="O1018" s="13" t="n"/>
      <c r="P1018" s="13" t="n"/>
      <c r="Q1018" s="35" t="n"/>
      <c r="R1018" s="35" t="n"/>
      <c r="S1018" s="35" t="n"/>
      <c r="T1018" s="35" t="n"/>
      <c r="U1018" s="35" t="n"/>
      <c r="V1018" s="18">
        <f>IF(COUNTA($B1018:$R1018)=0,"",ROUND(N($R1018)+N($S1018)+N($T1018)-N($U1018),2))</f>
        <v/>
      </c>
      <c r="W1018" s="18">
        <f>IF(COUNTA($B1018:$R1018)=0,"",IF(OR($X1018="Pago",$X1018="Recebido",$X1018="Cancelado"),0,ROUND(N($Q1018)+N($S1018)+N($T1018)-N($U1018)-N($R1018),2)))</f>
        <v/>
      </c>
      <c r="X1018" s="14" t="n"/>
      <c r="Y1018" s="17">
        <f>IF(COUNTA($B1018:$R1018)=0,"",IF($X1018="Cancelado","Cancelado",IF(OR($X1018="Pago",$X1018="Recebido"),$X1018,IF(OR($X1018="Parcial",N($R1018)&gt;0),"Parcial",IF($C1018="","Sem vencimento",IF($C1018&lt;TODAY(),"Vencido",IF($C1018=TODAY(),"Vence hoje",IF($C1018&lt;=TODAY()+7,"Vence em 7 dias",IF($C1018&lt;=TODAY()+30,"Vence em 30 dias","Futuro")))))))))</f>
        <v/>
      </c>
      <c r="Z1018" s="24">
        <f>IF($B1018="","",MONTH($B1018))</f>
        <v/>
      </c>
      <c r="AA1018" s="24">
        <f>IF($B1018="","",YEAR($B1018))</f>
        <v/>
      </c>
      <c r="AB1018" s="24">
        <f>IF($B1018="","",ISOWEEKNUM($B1018))</f>
        <v/>
      </c>
      <c r="AC1018" s="17">
        <f>IF($B1018="","",CHOOSE(WEEKDAY($B1018,2),"Segunda","Terça","Quarta","Quinta","Sexta","Sábado","Domingo"))</f>
        <v/>
      </c>
      <c r="AD1018" s="17">
        <f>IF($B1018="","",TEXT($B1018,"MM/AAAA"))</f>
        <v/>
      </c>
      <c r="AE1018" s="18">
        <f>IF(COUNTA($B1018:$R1018)=0,"",IF($X1018="Cancelado",0,ROUND(N($Q1018)+N($S1018)+N($T1018)-N($U1018),2)))</f>
        <v/>
      </c>
      <c r="AF1018" s="9">
        <f>IF($G1018="","",IFERROR(INDEX(LINHAS_DRE_PLANO,MATCH($G1018,SUBCATEGORIAS_PLANO,0)),"Não classificado"))</f>
        <v/>
      </c>
      <c r="AG1018" s="17">
        <f>IF($G1018="","",IFERROR(INDEX(TIPOS_FLUXO_PLANO,MATCH($G1018,SUBCATEGORIAS_PLANO,0)),"Não classificado"))</f>
        <v/>
      </c>
      <c r="AH1018" s="9">
        <f>IF($G1018="","",IFERROR(INDEX(GRUPOS_PLANO,MATCH($G1018,SUBCATEGORIAS_PLANO,0)),"Não classificado"))</f>
        <v/>
      </c>
      <c r="AI1018" s="24">
        <f>IF(OR($C1018="",$X1018="Pago",$X1018="Recebido",$X1018="Cancelado"),"",$C1018-TODAY())</f>
        <v/>
      </c>
      <c r="AJ1018" s="24">
        <f>IF(OR($C1018="",$X1018="Pago",$X1018="Recebido",$X1018="Cancelado"),0,MAX(0,TODAY()-$C1018))</f>
        <v/>
      </c>
      <c r="AK1018" s="24">
        <f>IF($D1018="","",$D1018-$B1018)</f>
        <v/>
      </c>
      <c r="AL1018" s="18">
        <f>IF(OR($D1018="",$B1018=""),"",ROUND(N($R1018)*($D1018-$B1018),2))</f>
        <v/>
      </c>
      <c r="AM1018" s="17">
        <f>IF(AND($E1018="Saída",$W1018&gt;0,$C1018&lt;&gt;""),$C1018+ROW()/1000000,"")</f>
        <v/>
      </c>
      <c r="AN1018" s="17">
        <f>IF(AND($E1018="Entrada",$W1018&gt;0,$C1018&lt;&gt;""),$C1018+ROW()/1000000,"")</f>
        <v/>
      </c>
      <c r="AO1018" s="9">
        <f>IF(COUNTA($B1018:$R1018)=0,"",IF(AND($I1018&lt;&gt;"",COUNTIF(CLIENTES_NOMES,$I1018)+COUNTIF(CLIENTES_FANTASIA,$I1018)+COUNTIF(FORNECEDORES_NOMES,$I1018)+COUNTIF(FORNECEDORES_FANTASIA,$I1018)=0),"⚠ Cliente/Fornecedor não cadastrado",IF(AND($G1018&lt;&gt;"",COUNTIF(SUBCATEGORIAS_PLANO,$G1018)=0),"⚠ Subcategoria fora do plano de contas",IF(OR($Q1018="",N($Q1018)=0),"⚠ Valor previsto não informado",IF(AND(OR($X1018="Pago",$X1018="Recebido"),$D1018=""),"⚠ Status pago/recebido sem data",IF(AND($D1018&lt;&gt;"",N($R1018)=0),"⚠ Data de pagamento sem valor realizado",IF(AND(N($P1018)&gt;1,N($O1018)&gt;N($P1018)),"⚠ Nº da parcela maior que o total",IF(AND($C1018&lt;&gt;"",$B1018&lt;&gt;"",$C1018&lt;$B1018),"⚠ Vencimento anterior à competência","OK"))))))))</f>
        <v/>
      </c>
    </row>
    <row r="1019">
      <c r="A1019" s="14" t="n"/>
      <c r="B1019" s="36" t="n"/>
      <c r="C1019" s="36" t="n"/>
      <c r="D1019" s="36" t="n"/>
      <c r="E1019" s="14" t="n"/>
      <c r="F1019" s="29" t="n"/>
      <c r="G1019" s="29" t="n"/>
      <c r="H1019" s="29" t="n"/>
      <c r="I1019" s="29" t="n"/>
      <c r="J1019" s="29" t="n"/>
      <c r="K1019" s="14" t="n"/>
      <c r="L1019" s="29" t="n"/>
      <c r="M1019" s="14" t="n"/>
      <c r="N1019" s="29" t="n"/>
      <c r="O1019" s="13" t="n"/>
      <c r="P1019" s="13" t="n"/>
      <c r="Q1019" s="35" t="n"/>
      <c r="R1019" s="35" t="n"/>
      <c r="S1019" s="35" t="n"/>
      <c r="T1019" s="35" t="n"/>
      <c r="U1019" s="35" t="n"/>
      <c r="V1019" s="18">
        <f>IF(COUNTA($B1019:$R1019)=0,"",ROUND(N($R1019)+N($S1019)+N($T1019)-N($U1019),2))</f>
        <v/>
      </c>
      <c r="W1019" s="18">
        <f>IF(COUNTA($B1019:$R1019)=0,"",IF(OR($X1019="Pago",$X1019="Recebido",$X1019="Cancelado"),0,ROUND(N($Q1019)+N($S1019)+N($T1019)-N($U1019)-N($R1019),2)))</f>
        <v/>
      </c>
      <c r="X1019" s="14" t="n"/>
      <c r="Y1019" s="17">
        <f>IF(COUNTA($B1019:$R1019)=0,"",IF($X1019="Cancelado","Cancelado",IF(OR($X1019="Pago",$X1019="Recebido"),$X1019,IF(OR($X1019="Parcial",N($R1019)&gt;0),"Parcial",IF($C1019="","Sem vencimento",IF($C1019&lt;TODAY(),"Vencido",IF($C1019=TODAY(),"Vence hoje",IF($C1019&lt;=TODAY()+7,"Vence em 7 dias",IF($C1019&lt;=TODAY()+30,"Vence em 30 dias","Futuro")))))))))</f>
        <v/>
      </c>
      <c r="Z1019" s="24">
        <f>IF($B1019="","",MONTH($B1019))</f>
        <v/>
      </c>
      <c r="AA1019" s="24">
        <f>IF($B1019="","",YEAR($B1019))</f>
        <v/>
      </c>
      <c r="AB1019" s="24">
        <f>IF($B1019="","",ISOWEEKNUM($B1019))</f>
        <v/>
      </c>
      <c r="AC1019" s="17">
        <f>IF($B1019="","",CHOOSE(WEEKDAY($B1019,2),"Segunda","Terça","Quarta","Quinta","Sexta","Sábado","Domingo"))</f>
        <v/>
      </c>
      <c r="AD1019" s="17">
        <f>IF($B1019="","",TEXT($B1019,"MM/AAAA"))</f>
        <v/>
      </c>
      <c r="AE1019" s="18">
        <f>IF(COUNTA($B1019:$R1019)=0,"",IF($X1019="Cancelado",0,ROUND(N($Q1019)+N($S1019)+N($T1019)-N($U1019),2)))</f>
        <v/>
      </c>
      <c r="AF1019" s="9">
        <f>IF($G1019="","",IFERROR(INDEX(LINHAS_DRE_PLANO,MATCH($G1019,SUBCATEGORIAS_PLANO,0)),"Não classificado"))</f>
        <v/>
      </c>
      <c r="AG1019" s="17">
        <f>IF($G1019="","",IFERROR(INDEX(TIPOS_FLUXO_PLANO,MATCH($G1019,SUBCATEGORIAS_PLANO,0)),"Não classificado"))</f>
        <v/>
      </c>
      <c r="AH1019" s="9">
        <f>IF($G1019="","",IFERROR(INDEX(GRUPOS_PLANO,MATCH($G1019,SUBCATEGORIAS_PLANO,0)),"Não classificado"))</f>
        <v/>
      </c>
      <c r="AI1019" s="24">
        <f>IF(OR($C1019="",$X1019="Pago",$X1019="Recebido",$X1019="Cancelado"),"",$C1019-TODAY())</f>
        <v/>
      </c>
      <c r="AJ1019" s="24">
        <f>IF(OR($C1019="",$X1019="Pago",$X1019="Recebido",$X1019="Cancelado"),0,MAX(0,TODAY()-$C1019))</f>
        <v/>
      </c>
      <c r="AK1019" s="24">
        <f>IF($D1019="","",$D1019-$B1019)</f>
        <v/>
      </c>
      <c r="AL1019" s="18">
        <f>IF(OR($D1019="",$B1019=""),"",ROUND(N($R1019)*($D1019-$B1019),2))</f>
        <v/>
      </c>
      <c r="AM1019" s="17">
        <f>IF(AND($E1019="Saída",$W1019&gt;0,$C1019&lt;&gt;""),$C1019+ROW()/1000000,"")</f>
        <v/>
      </c>
      <c r="AN1019" s="17">
        <f>IF(AND($E1019="Entrada",$W1019&gt;0,$C1019&lt;&gt;""),$C1019+ROW()/1000000,"")</f>
        <v/>
      </c>
      <c r="AO1019" s="9">
        <f>IF(COUNTA($B1019:$R1019)=0,"",IF(AND($I1019&lt;&gt;"",COUNTIF(CLIENTES_NOMES,$I1019)+COUNTIF(CLIENTES_FANTASIA,$I1019)+COUNTIF(FORNECEDORES_NOMES,$I1019)+COUNTIF(FORNECEDORES_FANTASIA,$I1019)=0),"⚠ Cliente/Fornecedor não cadastrado",IF(AND($G1019&lt;&gt;"",COUNTIF(SUBCATEGORIAS_PLANO,$G1019)=0),"⚠ Subcategoria fora do plano de contas",IF(OR($Q1019="",N($Q1019)=0),"⚠ Valor previsto não informado",IF(AND(OR($X1019="Pago",$X1019="Recebido"),$D1019=""),"⚠ Status pago/recebido sem data",IF(AND($D1019&lt;&gt;"",N($R1019)=0),"⚠ Data de pagamento sem valor realizado",IF(AND(N($P1019)&gt;1,N($O1019)&gt;N($P1019)),"⚠ Nº da parcela maior que o total",IF(AND($C1019&lt;&gt;"",$B1019&lt;&gt;"",$C1019&lt;$B1019),"⚠ Vencimento anterior à competência","OK"))))))))</f>
        <v/>
      </c>
    </row>
    <row r="1020">
      <c r="A1020" s="14" t="n"/>
      <c r="B1020" s="36" t="n"/>
      <c r="C1020" s="36" t="n"/>
      <c r="D1020" s="36" t="n"/>
      <c r="E1020" s="14" t="n"/>
      <c r="F1020" s="29" t="n"/>
      <c r="G1020" s="29" t="n"/>
      <c r="H1020" s="29" t="n"/>
      <c r="I1020" s="29" t="n"/>
      <c r="J1020" s="29" t="n"/>
      <c r="K1020" s="14" t="n"/>
      <c r="L1020" s="29" t="n"/>
      <c r="M1020" s="14" t="n"/>
      <c r="N1020" s="29" t="n"/>
      <c r="O1020" s="13" t="n"/>
      <c r="P1020" s="13" t="n"/>
      <c r="Q1020" s="35" t="n"/>
      <c r="R1020" s="35" t="n"/>
      <c r="S1020" s="35" t="n"/>
      <c r="T1020" s="35" t="n"/>
      <c r="U1020" s="35" t="n"/>
      <c r="V1020" s="18">
        <f>IF(COUNTA($B1020:$R1020)=0,"",ROUND(N($R1020)+N($S1020)+N($T1020)-N($U1020),2))</f>
        <v/>
      </c>
      <c r="W1020" s="18">
        <f>IF(COUNTA($B1020:$R1020)=0,"",IF(OR($X1020="Pago",$X1020="Recebido",$X1020="Cancelado"),0,ROUND(N($Q1020)+N($S1020)+N($T1020)-N($U1020)-N($R1020),2)))</f>
        <v/>
      </c>
      <c r="X1020" s="14" t="n"/>
      <c r="Y1020" s="17">
        <f>IF(COUNTA($B1020:$R1020)=0,"",IF($X1020="Cancelado","Cancelado",IF(OR($X1020="Pago",$X1020="Recebido"),$X1020,IF(OR($X1020="Parcial",N($R1020)&gt;0),"Parcial",IF($C1020="","Sem vencimento",IF($C1020&lt;TODAY(),"Vencido",IF($C1020=TODAY(),"Vence hoje",IF($C1020&lt;=TODAY()+7,"Vence em 7 dias",IF($C1020&lt;=TODAY()+30,"Vence em 30 dias","Futuro")))))))))</f>
        <v/>
      </c>
      <c r="Z1020" s="24">
        <f>IF($B1020="","",MONTH($B1020))</f>
        <v/>
      </c>
      <c r="AA1020" s="24">
        <f>IF($B1020="","",YEAR($B1020))</f>
        <v/>
      </c>
      <c r="AB1020" s="24">
        <f>IF($B1020="","",ISOWEEKNUM($B1020))</f>
        <v/>
      </c>
      <c r="AC1020" s="17">
        <f>IF($B1020="","",CHOOSE(WEEKDAY($B1020,2),"Segunda","Terça","Quarta","Quinta","Sexta","Sábado","Domingo"))</f>
        <v/>
      </c>
      <c r="AD1020" s="17">
        <f>IF($B1020="","",TEXT($B1020,"MM/AAAA"))</f>
        <v/>
      </c>
      <c r="AE1020" s="18">
        <f>IF(COUNTA($B1020:$R1020)=0,"",IF($X1020="Cancelado",0,ROUND(N($Q1020)+N($S1020)+N($T1020)-N($U1020),2)))</f>
        <v/>
      </c>
      <c r="AF1020" s="9">
        <f>IF($G1020="","",IFERROR(INDEX(LINHAS_DRE_PLANO,MATCH($G1020,SUBCATEGORIAS_PLANO,0)),"Não classificado"))</f>
        <v/>
      </c>
      <c r="AG1020" s="17">
        <f>IF($G1020="","",IFERROR(INDEX(TIPOS_FLUXO_PLANO,MATCH($G1020,SUBCATEGORIAS_PLANO,0)),"Não classificado"))</f>
        <v/>
      </c>
      <c r="AH1020" s="9">
        <f>IF($G1020="","",IFERROR(INDEX(GRUPOS_PLANO,MATCH($G1020,SUBCATEGORIAS_PLANO,0)),"Não classificado"))</f>
        <v/>
      </c>
      <c r="AI1020" s="24">
        <f>IF(OR($C1020="",$X1020="Pago",$X1020="Recebido",$X1020="Cancelado"),"",$C1020-TODAY())</f>
        <v/>
      </c>
      <c r="AJ1020" s="24">
        <f>IF(OR($C1020="",$X1020="Pago",$X1020="Recebido",$X1020="Cancelado"),0,MAX(0,TODAY()-$C1020))</f>
        <v/>
      </c>
      <c r="AK1020" s="24">
        <f>IF($D1020="","",$D1020-$B1020)</f>
        <v/>
      </c>
      <c r="AL1020" s="18">
        <f>IF(OR($D1020="",$B1020=""),"",ROUND(N($R1020)*($D1020-$B1020),2))</f>
        <v/>
      </c>
      <c r="AM1020" s="17">
        <f>IF(AND($E1020="Saída",$W1020&gt;0,$C1020&lt;&gt;""),$C1020+ROW()/1000000,"")</f>
        <v/>
      </c>
      <c r="AN1020" s="17">
        <f>IF(AND($E1020="Entrada",$W1020&gt;0,$C1020&lt;&gt;""),$C1020+ROW()/1000000,"")</f>
        <v/>
      </c>
      <c r="AO1020" s="9">
        <f>IF(COUNTA($B1020:$R1020)=0,"",IF(AND($I1020&lt;&gt;"",COUNTIF(CLIENTES_NOMES,$I1020)+COUNTIF(CLIENTES_FANTASIA,$I1020)+COUNTIF(FORNECEDORES_NOMES,$I1020)+COUNTIF(FORNECEDORES_FANTASIA,$I1020)=0),"⚠ Cliente/Fornecedor não cadastrado",IF(AND($G1020&lt;&gt;"",COUNTIF(SUBCATEGORIAS_PLANO,$G1020)=0),"⚠ Subcategoria fora do plano de contas",IF(OR($Q1020="",N($Q1020)=0),"⚠ Valor previsto não informado",IF(AND(OR($X1020="Pago",$X1020="Recebido"),$D1020=""),"⚠ Status pago/recebido sem data",IF(AND($D1020&lt;&gt;"",N($R1020)=0),"⚠ Data de pagamento sem valor realizado",IF(AND(N($P1020)&gt;1,N($O1020)&gt;N($P1020)),"⚠ Nº da parcela maior que o total",IF(AND($C1020&lt;&gt;"",$B1020&lt;&gt;"",$C1020&lt;$B1020),"⚠ Vencimento anterior à competência","OK"))))))))</f>
        <v/>
      </c>
    </row>
    <row r="1021">
      <c r="A1021" s="14" t="n"/>
      <c r="B1021" s="36" t="n"/>
      <c r="C1021" s="36" t="n"/>
      <c r="D1021" s="36" t="n"/>
      <c r="E1021" s="14" t="n"/>
      <c r="F1021" s="29" t="n"/>
      <c r="G1021" s="29" t="n"/>
      <c r="H1021" s="29" t="n"/>
      <c r="I1021" s="29" t="n"/>
      <c r="J1021" s="29" t="n"/>
      <c r="K1021" s="14" t="n"/>
      <c r="L1021" s="29" t="n"/>
      <c r="M1021" s="14" t="n"/>
      <c r="N1021" s="29" t="n"/>
      <c r="O1021" s="13" t="n"/>
      <c r="P1021" s="13" t="n"/>
      <c r="Q1021" s="35" t="n"/>
      <c r="R1021" s="35" t="n"/>
      <c r="S1021" s="35" t="n"/>
      <c r="T1021" s="35" t="n"/>
      <c r="U1021" s="35" t="n"/>
      <c r="V1021" s="18">
        <f>IF(COUNTA($B1021:$R1021)=0,"",ROUND(N($R1021)+N($S1021)+N($T1021)-N($U1021),2))</f>
        <v/>
      </c>
      <c r="W1021" s="18">
        <f>IF(COUNTA($B1021:$R1021)=0,"",IF(OR($X1021="Pago",$X1021="Recebido",$X1021="Cancelado"),0,ROUND(N($Q1021)+N($S1021)+N($T1021)-N($U1021)-N($R1021),2)))</f>
        <v/>
      </c>
      <c r="X1021" s="14" t="n"/>
      <c r="Y1021" s="17">
        <f>IF(COUNTA($B1021:$R1021)=0,"",IF($X1021="Cancelado","Cancelado",IF(OR($X1021="Pago",$X1021="Recebido"),$X1021,IF(OR($X1021="Parcial",N($R1021)&gt;0),"Parcial",IF($C1021="","Sem vencimento",IF($C1021&lt;TODAY(),"Vencido",IF($C1021=TODAY(),"Vence hoje",IF($C1021&lt;=TODAY()+7,"Vence em 7 dias",IF($C1021&lt;=TODAY()+30,"Vence em 30 dias","Futuro")))))))))</f>
        <v/>
      </c>
      <c r="Z1021" s="24">
        <f>IF($B1021="","",MONTH($B1021))</f>
        <v/>
      </c>
      <c r="AA1021" s="24">
        <f>IF($B1021="","",YEAR($B1021))</f>
        <v/>
      </c>
      <c r="AB1021" s="24">
        <f>IF($B1021="","",ISOWEEKNUM($B1021))</f>
        <v/>
      </c>
      <c r="AC1021" s="17">
        <f>IF($B1021="","",CHOOSE(WEEKDAY($B1021,2),"Segunda","Terça","Quarta","Quinta","Sexta","Sábado","Domingo"))</f>
        <v/>
      </c>
      <c r="AD1021" s="17">
        <f>IF($B1021="","",TEXT($B1021,"MM/AAAA"))</f>
        <v/>
      </c>
      <c r="AE1021" s="18">
        <f>IF(COUNTA($B1021:$R1021)=0,"",IF($X1021="Cancelado",0,ROUND(N($Q1021)+N($S1021)+N($T1021)-N($U1021),2)))</f>
        <v/>
      </c>
      <c r="AF1021" s="9">
        <f>IF($G1021="","",IFERROR(INDEX(LINHAS_DRE_PLANO,MATCH($G1021,SUBCATEGORIAS_PLANO,0)),"Não classificado"))</f>
        <v/>
      </c>
      <c r="AG1021" s="17">
        <f>IF($G1021="","",IFERROR(INDEX(TIPOS_FLUXO_PLANO,MATCH($G1021,SUBCATEGORIAS_PLANO,0)),"Não classificado"))</f>
        <v/>
      </c>
      <c r="AH1021" s="9">
        <f>IF($G1021="","",IFERROR(INDEX(GRUPOS_PLANO,MATCH($G1021,SUBCATEGORIAS_PLANO,0)),"Não classificado"))</f>
        <v/>
      </c>
      <c r="AI1021" s="24">
        <f>IF(OR($C1021="",$X1021="Pago",$X1021="Recebido",$X1021="Cancelado"),"",$C1021-TODAY())</f>
        <v/>
      </c>
      <c r="AJ1021" s="24">
        <f>IF(OR($C1021="",$X1021="Pago",$X1021="Recebido",$X1021="Cancelado"),0,MAX(0,TODAY()-$C1021))</f>
        <v/>
      </c>
      <c r="AK1021" s="24">
        <f>IF($D1021="","",$D1021-$B1021)</f>
        <v/>
      </c>
      <c r="AL1021" s="18">
        <f>IF(OR($D1021="",$B1021=""),"",ROUND(N($R1021)*($D1021-$B1021),2))</f>
        <v/>
      </c>
      <c r="AM1021" s="17">
        <f>IF(AND($E1021="Saída",$W1021&gt;0,$C1021&lt;&gt;""),$C1021+ROW()/1000000,"")</f>
        <v/>
      </c>
      <c r="AN1021" s="17">
        <f>IF(AND($E1021="Entrada",$W1021&gt;0,$C1021&lt;&gt;""),$C1021+ROW()/1000000,"")</f>
        <v/>
      </c>
      <c r="AO1021" s="9">
        <f>IF(COUNTA($B1021:$R1021)=0,"",IF(AND($I1021&lt;&gt;"",COUNTIF(CLIENTES_NOMES,$I1021)+COUNTIF(CLIENTES_FANTASIA,$I1021)+COUNTIF(FORNECEDORES_NOMES,$I1021)+COUNTIF(FORNECEDORES_FANTASIA,$I1021)=0),"⚠ Cliente/Fornecedor não cadastrado",IF(AND($G1021&lt;&gt;"",COUNTIF(SUBCATEGORIAS_PLANO,$G1021)=0),"⚠ Subcategoria fora do plano de contas",IF(OR($Q1021="",N($Q1021)=0),"⚠ Valor previsto não informado",IF(AND(OR($X1021="Pago",$X1021="Recebido"),$D1021=""),"⚠ Status pago/recebido sem data",IF(AND($D1021&lt;&gt;"",N($R1021)=0),"⚠ Data de pagamento sem valor realizado",IF(AND(N($P1021)&gt;1,N($O1021)&gt;N($P1021)),"⚠ Nº da parcela maior que o total",IF(AND($C1021&lt;&gt;"",$B1021&lt;&gt;"",$C1021&lt;$B1021),"⚠ Vencimento anterior à competência","OK"))))))))</f>
        <v/>
      </c>
    </row>
    <row r="1022">
      <c r="A1022" s="14" t="n"/>
      <c r="B1022" s="36" t="n"/>
      <c r="C1022" s="36" t="n"/>
      <c r="D1022" s="36" t="n"/>
      <c r="E1022" s="14" t="n"/>
      <c r="F1022" s="29" t="n"/>
      <c r="G1022" s="29" t="n"/>
      <c r="H1022" s="29" t="n"/>
      <c r="I1022" s="29" t="n"/>
      <c r="J1022" s="29" t="n"/>
      <c r="K1022" s="14" t="n"/>
      <c r="L1022" s="29" t="n"/>
      <c r="M1022" s="14" t="n"/>
      <c r="N1022" s="29" t="n"/>
      <c r="O1022" s="13" t="n"/>
      <c r="P1022" s="13" t="n"/>
      <c r="Q1022" s="35" t="n"/>
      <c r="R1022" s="35" t="n"/>
      <c r="S1022" s="35" t="n"/>
      <c r="T1022" s="35" t="n"/>
      <c r="U1022" s="35" t="n"/>
      <c r="V1022" s="18">
        <f>IF(COUNTA($B1022:$R1022)=0,"",ROUND(N($R1022)+N($S1022)+N($T1022)-N($U1022),2))</f>
        <v/>
      </c>
      <c r="W1022" s="18">
        <f>IF(COUNTA($B1022:$R1022)=0,"",IF(OR($X1022="Pago",$X1022="Recebido",$X1022="Cancelado"),0,ROUND(N($Q1022)+N($S1022)+N($T1022)-N($U1022)-N($R1022),2)))</f>
        <v/>
      </c>
      <c r="X1022" s="14" t="n"/>
      <c r="Y1022" s="17">
        <f>IF(COUNTA($B1022:$R1022)=0,"",IF($X1022="Cancelado","Cancelado",IF(OR($X1022="Pago",$X1022="Recebido"),$X1022,IF(OR($X1022="Parcial",N($R1022)&gt;0),"Parcial",IF($C1022="","Sem vencimento",IF($C1022&lt;TODAY(),"Vencido",IF($C1022=TODAY(),"Vence hoje",IF($C1022&lt;=TODAY()+7,"Vence em 7 dias",IF($C1022&lt;=TODAY()+30,"Vence em 30 dias","Futuro")))))))))</f>
        <v/>
      </c>
      <c r="Z1022" s="24">
        <f>IF($B1022="","",MONTH($B1022))</f>
        <v/>
      </c>
      <c r="AA1022" s="24">
        <f>IF($B1022="","",YEAR($B1022))</f>
        <v/>
      </c>
      <c r="AB1022" s="24">
        <f>IF($B1022="","",ISOWEEKNUM($B1022))</f>
        <v/>
      </c>
      <c r="AC1022" s="17">
        <f>IF($B1022="","",CHOOSE(WEEKDAY($B1022,2),"Segunda","Terça","Quarta","Quinta","Sexta","Sábado","Domingo"))</f>
        <v/>
      </c>
      <c r="AD1022" s="17">
        <f>IF($B1022="","",TEXT($B1022,"MM/AAAA"))</f>
        <v/>
      </c>
      <c r="AE1022" s="18">
        <f>IF(COUNTA($B1022:$R1022)=0,"",IF($X1022="Cancelado",0,ROUND(N($Q1022)+N($S1022)+N($T1022)-N($U1022),2)))</f>
        <v/>
      </c>
      <c r="AF1022" s="9">
        <f>IF($G1022="","",IFERROR(INDEX(LINHAS_DRE_PLANO,MATCH($G1022,SUBCATEGORIAS_PLANO,0)),"Não classificado"))</f>
        <v/>
      </c>
      <c r="AG1022" s="17">
        <f>IF($G1022="","",IFERROR(INDEX(TIPOS_FLUXO_PLANO,MATCH($G1022,SUBCATEGORIAS_PLANO,0)),"Não classificado"))</f>
        <v/>
      </c>
      <c r="AH1022" s="9">
        <f>IF($G1022="","",IFERROR(INDEX(GRUPOS_PLANO,MATCH($G1022,SUBCATEGORIAS_PLANO,0)),"Não classificado"))</f>
        <v/>
      </c>
      <c r="AI1022" s="24">
        <f>IF(OR($C1022="",$X1022="Pago",$X1022="Recebido",$X1022="Cancelado"),"",$C1022-TODAY())</f>
        <v/>
      </c>
      <c r="AJ1022" s="24">
        <f>IF(OR($C1022="",$X1022="Pago",$X1022="Recebido",$X1022="Cancelado"),0,MAX(0,TODAY()-$C1022))</f>
        <v/>
      </c>
      <c r="AK1022" s="24">
        <f>IF($D1022="","",$D1022-$B1022)</f>
        <v/>
      </c>
      <c r="AL1022" s="18">
        <f>IF(OR($D1022="",$B1022=""),"",ROUND(N($R1022)*($D1022-$B1022),2))</f>
        <v/>
      </c>
      <c r="AM1022" s="17">
        <f>IF(AND($E1022="Saída",$W1022&gt;0,$C1022&lt;&gt;""),$C1022+ROW()/1000000,"")</f>
        <v/>
      </c>
      <c r="AN1022" s="17">
        <f>IF(AND($E1022="Entrada",$W1022&gt;0,$C1022&lt;&gt;""),$C1022+ROW()/1000000,"")</f>
        <v/>
      </c>
      <c r="AO1022" s="9">
        <f>IF(COUNTA($B1022:$R1022)=0,"",IF(AND($I1022&lt;&gt;"",COUNTIF(CLIENTES_NOMES,$I1022)+COUNTIF(CLIENTES_FANTASIA,$I1022)+COUNTIF(FORNECEDORES_NOMES,$I1022)+COUNTIF(FORNECEDORES_FANTASIA,$I1022)=0),"⚠ Cliente/Fornecedor não cadastrado",IF(AND($G1022&lt;&gt;"",COUNTIF(SUBCATEGORIAS_PLANO,$G1022)=0),"⚠ Subcategoria fora do plano de contas",IF(OR($Q1022="",N($Q1022)=0),"⚠ Valor previsto não informado",IF(AND(OR($X1022="Pago",$X1022="Recebido"),$D1022=""),"⚠ Status pago/recebido sem data",IF(AND($D1022&lt;&gt;"",N($R1022)=0),"⚠ Data de pagamento sem valor realizado",IF(AND(N($P1022)&gt;1,N($O1022)&gt;N($P1022)),"⚠ Nº da parcela maior que o total",IF(AND($C1022&lt;&gt;"",$B1022&lt;&gt;"",$C1022&lt;$B1022),"⚠ Vencimento anterior à competência","OK"))))))))</f>
        <v/>
      </c>
    </row>
    <row r="1023">
      <c r="A1023" s="14" t="n"/>
      <c r="B1023" s="36" t="n"/>
      <c r="C1023" s="36" t="n"/>
      <c r="D1023" s="36" t="n"/>
      <c r="E1023" s="14" t="n"/>
      <c r="F1023" s="29" t="n"/>
      <c r="G1023" s="29" t="n"/>
      <c r="H1023" s="29" t="n"/>
      <c r="I1023" s="29" t="n"/>
      <c r="J1023" s="29" t="n"/>
      <c r="K1023" s="14" t="n"/>
      <c r="L1023" s="29" t="n"/>
      <c r="M1023" s="14" t="n"/>
      <c r="N1023" s="29" t="n"/>
      <c r="O1023" s="13" t="n"/>
      <c r="P1023" s="13" t="n"/>
      <c r="Q1023" s="35" t="n"/>
      <c r="R1023" s="35" t="n"/>
      <c r="S1023" s="35" t="n"/>
      <c r="T1023" s="35" t="n"/>
      <c r="U1023" s="35" t="n"/>
      <c r="V1023" s="18">
        <f>IF(COUNTA($B1023:$R1023)=0,"",ROUND(N($R1023)+N($S1023)+N($T1023)-N($U1023),2))</f>
        <v/>
      </c>
      <c r="W1023" s="18">
        <f>IF(COUNTA($B1023:$R1023)=0,"",IF(OR($X1023="Pago",$X1023="Recebido",$X1023="Cancelado"),0,ROUND(N($Q1023)+N($S1023)+N($T1023)-N($U1023)-N($R1023),2)))</f>
        <v/>
      </c>
      <c r="X1023" s="14" t="n"/>
      <c r="Y1023" s="17">
        <f>IF(COUNTA($B1023:$R1023)=0,"",IF($X1023="Cancelado","Cancelado",IF(OR($X1023="Pago",$X1023="Recebido"),$X1023,IF(OR($X1023="Parcial",N($R1023)&gt;0),"Parcial",IF($C1023="","Sem vencimento",IF($C1023&lt;TODAY(),"Vencido",IF($C1023=TODAY(),"Vence hoje",IF($C1023&lt;=TODAY()+7,"Vence em 7 dias",IF($C1023&lt;=TODAY()+30,"Vence em 30 dias","Futuro")))))))))</f>
        <v/>
      </c>
      <c r="Z1023" s="24">
        <f>IF($B1023="","",MONTH($B1023))</f>
        <v/>
      </c>
      <c r="AA1023" s="24">
        <f>IF($B1023="","",YEAR($B1023))</f>
        <v/>
      </c>
      <c r="AB1023" s="24">
        <f>IF($B1023="","",ISOWEEKNUM($B1023))</f>
        <v/>
      </c>
      <c r="AC1023" s="17">
        <f>IF($B1023="","",CHOOSE(WEEKDAY($B1023,2),"Segunda","Terça","Quarta","Quinta","Sexta","Sábado","Domingo"))</f>
        <v/>
      </c>
      <c r="AD1023" s="17">
        <f>IF($B1023="","",TEXT($B1023,"MM/AAAA"))</f>
        <v/>
      </c>
      <c r="AE1023" s="18">
        <f>IF(COUNTA($B1023:$R1023)=0,"",IF($X1023="Cancelado",0,ROUND(N($Q1023)+N($S1023)+N($T1023)-N($U1023),2)))</f>
        <v/>
      </c>
      <c r="AF1023" s="9">
        <f>IF($G1023="","",IFERROR(INDEX(LINHAS_DRE_PLANO,MATCH($G1023,SUBCATEGORIAS_PLANO,0)),"Não classificado"))</f>
        <v/>
      </c>
      <c r="AG1023" s="17">
        <f>IF($G1023="","",IFERROR(INDEX(TIPOS_FLUXO_PLANO,MATCH($G1023,SUBCATEGORIAS_PLANO,0)),"Não classificado"))</f>
        <v/>
      </c>
      <c r="AH1023" s="9">
        <f>IF($G1023="","",IFERROR(INDEX(GRUPOS_PLANO,MATCH($G1023,SUBCATEGORIAS_PLANO,0)),"Não classificado"))</f>
        <v/>
      </c>
      <c r="AI1023" s="24">
        <f>IF(OR($C1023="",$X1023="Pago",$X1023="Recebido",$X1023="Cancelado"),"",$C1023-TODAY())</f>
        <v/>
      </c>
      <c r="AJ1023" s="24">
        <f>IF(OR($C1023="",$X1023="Pago",$X1023="Recebido",$X1023="Cancelado"),0,MAX(0,TODAY()-$C1023))</f>
        <v/>
      </c>
      <c r="AK1023" s="24">
        <f>IF($D1023="","",$D1023-$B1023)</f>
        <v/>
      </c>
      <c r="AL1023" s="18">
        <f>IF(OR($D1023="",$B1023=""),"",ROUND(N($R1023)*($D1023-$B1023),2))</f>
        <v/>
      </c>
      <c r="AM1023" s="17">
        <f>IF(AND($E1023="Saída",$W1023&gt;0,$C1023&lt;&gt;""),$C1023+ROW()/1000000,"")</f>
        <v/>
      </c>
      <c r="AN1023" s="17">
        <f>IF(AND($E1023="Entrada",$W1023&gt;0,$C1023&lt;&gt;""),$C1023+ROW()/1000000,"")</f>
        <v/>
      </c>
      <c r="AO1023" s="9">
        <f>IF(COUNTA($B1023:$R1023)=0,"",IF(AND($I1023&lt;&gt;"",COUNTIF(CLIENTES_NOMES,$I1023)+COUNTIF(CLIENTES_FANTASIA,$I1023)+COUNTIF(FORNECEDORES_NOMES,$I1023)+COUNTIF(FORNECEDORES_FANTASIA,$I1023)=0),"⚠ Cliente/Fornecedor não cadastrado",IF(AND($G1023&lt;&gt;"",COUNTIF(SUBCATEGORIAS_PLANO,$G1023)=0),"⚠ Subcategoria fora do plano de contas",IF(OR($Q1023="",N($Q1023)=0),"⚠ Valor previsto não informado",IF(AND(OR($X1023="Pago",$X1023="Recebido"),$D1023=""),"⚠ Status pago/recebido sem data",IF(AND($D1023&lt;&gt;"",N($R1023)=0),"⚠ Data de pagamento sem valor realizado",IF(AND(N($P1023)&gt;1,N($O1023)&gt;N($P1023)),"⚠ Nº da parcela maior que o total",IF(AND($C1023&lt;&gt;"",$B1023&lt;&gt;"",$C1023&lt;$B1023),"⚠ Vencimento anterior à competência","OK"))))))))</f>
        <v/>
      </c>
    </row>
    <row r="1024">
      <c r="A1024" s="14" t="n"/>
      <c r="B1024" s="36" t="n"/>
      <c r="C1024" s="36" t="n"/>
      <c r="D1024" s="36" t="n"/>
      <c r="E1024" s="14" t="n"/>
      <c r="F1024" s="29" t="n"/>
      <c r="G1024" s="29" t="n"/>
      <c r="H1024" s="29" t="n"/>
      <c r="I1024" s="29" t="n"/>
      <c r="J1024" s="29" t="n"/>
      <c r="K1024" s="14" t="n"/>
      <c r="L1024" s="29" t="n"/>
      <c r="M1024" s="14" t="n"/>
      <c r="N1024" s="29" t="n"/>
      <c r="O1024" s="13" t="n"/>
      <c r="P1024" s="13" t="n"/>
      <c r="Q1024" s="35" t="n"/>
      <c r="R1024" s="35" t="n"/>
      <c r="S1024" s="35" t="n"/>
      <c r="T1024" s="35" t="n"/>
      <c r="U1024" s="35" t="n"/>
      <c r="V1024" s="18">
        <f>IF(COUNTA($B1024:$R1024)=0,"",ROUND(N($R1024)+N($S1024)+N($T1024)-N($U1024),2))</f>
        <v/>
      </c>
      <c r="W1024" s="18">
        <f>IF(COUNTA($B1024:$R1024)=0,"",IF(OR($X1024="Pago",$X1024="Recebido",$X1024="Cancelado"),0,ROUND(N($Q1024)+N($S1024)+N($T1024)-N($U1024)-N($R1024),2)))</f>
        <v/>
      </c>
      <c r="X1024" s="14" t="n"/>
      <c r="Y1024" s="17">
        <f>IF(COUNTA($B1024:$R1024)=0,"",IF($X1024="Cancelado","Cancelado",IF(OR($X1024="Pago",$X1024="Recebido"),$X1024,IF(OR($X1024="Parcial",N($R1024)&gt;0),"Parcial",IF($C1024="","Sem vencimento",IF($C1024&lt;TODAY(),"Vencido",IF($C1024=TODAY(),"Vence hoje",IF($C1024&lt;=TODAY()+7,"Vence em 7 dias",IF($C1024&lt;=TODAY()+30,"Vence em 30 dias","Futuro")))))))))</f>
        <v/>
      </c>
      <c r="Z1024" s="24">
        <f>IF($B1024="","",MONTH($B1024))</f>
        <v/>
      </c>
      <c r="AA1024" s="24">
        <f>IF($B1024="","",YEAR($B1024))</f>
        <v/>
      </c>
      <c r="AB1024" s="24">
        <f>IF($B1024="","",ISOWEEKNUM($B1024))</f>
        <v/>
      </c>
      <c r="AC1024" s="17">
        <f>IF($B1024="","",CHOOSE(WEEKDAY($B1024,2),"Segunda","Terça","Quarta","Quinta","Sexta","Sábado","Domingo"))</f>
        <v/>
      </c>
      <c r="AD1024" s="17">
        <f>IF($B1024="","",TEXT($B1024,"MM/AAAA"))</f>
        <v/>
      </c>
      <c r="AE1024" s="18">
        <f>IF(COUNTA($B1024:$R1024)=0,"",IF($X1024="Cancelado",0,ROUND(N($Q1024)+N($S1024)+N($T1024)-N($U1024),2)))</f>
        <v/>
      </c>
      <c r="AF1024" s="9">
        <f>IF($G1024="","",IFERROR(INDEX(LINHAS_DRE_PLANO,MATCH($G1024,SUBCATEGORIAS_PLANO,0)),"Não classificado"))</f>
        <v/>
      </c>
      <c r="AG1024" s="17">
        <f>IF($G1024="","",IFERROR(INDEX(TIPOS_FLUXO_PLANO,MATCH($G1024,SUBCATEGORIAS_PLANO,0)),"Não classificado"))</f>
        <v/>
      </c>
      <c r="AH1024" s="9">
        <f>IF($G1024="","",IFERROR(INDEX(GRUPOS_PLANO,MATCH($G1024,SUBCATEGORIAS_PLANO,0)),"Não classificado"))</f>
        <v/>
      </c>
      <c r="AI1024" s="24">
        <f>IF(OR($C1024="",$X1024="Pago",$X1024="Recebido",$X1024="Cancelado"),"",$C1024-TODAY())</f>
        <v/>
      </c>
      <c r="AJ1024" s="24">
        <f>IF(OR($C1024="",$X1024="Pago",$X1024="Recebido",$X1024="Cancelado"),0,MAX(0,TODAY()-$C1024))</f>
        <v/>
      </c>
      <c r="AK1024" s="24">
        <f>IF($D1024="","",$D1024-$B1024)</f>
        <v/>
      </c>
      <c r="AL1024" s="18">
        <f>IF(OR($D1024="",$B1024=""),"",ROUND(N($R1024)*($D1024-$B1024),2))</f>
        <v/>
      </c>
      <c r="AM1024" s="17">
        <f>IF(AND($E1024="Saída",$W1024&gt;0,$C1024&lt;&gt;""),$C1024+ROW()/1000000,"")</f>
        <v/>
      </c>
      <c r="AN1024" s="17">
        <f>IF(AND($E1024="Entrada",$W1024&gt;0,$C1024&lt;&gt;""),$C1024+ROW()/1000000,"")</f>
        <v/>
      </c>
      <c r="AO1024" s="9">
        <f>IF(COUNTA($B1024:$R1024)=0,"",IF(AND($I1024&lt;&gt;"",COUNTIF(CLIENTES_NOMES,$I1024)+COUNTIF(CLIENTES_FANTASIA,$I1024)+COUNTIF(FORNECEDORES_NOMES,$I1024)+COUNTIF(FORNECEDORES_FANTASIA,$I1024)=0),"⚠ Cliente/Fornecedor não cadastrado",IF(AND($G1024&lt;&gt;"",COUNTIF(SUBCATEGORIAS_PLANO,$G1024)=0),"⚠ Subcategoria fora do plano de contas",IF(OR($Q1024="",N($Q1024)=0),"⚠ Valor previsto não informado",IF(AND(OR($X1024="Pago",$X1024="Recebido"),$D1024=""),"⚠ Status pago/recebido sem data",IF(AND($D1024&lt;&gt;"",N($R1024)=0),"⚠ Data de pagamento sem valor realizado",IF(AND(N($P1024)&gt;1,N($O1024)&gt;N($P1024)),"⚠ Nº da parcela maior que o total",IF(AND($C1024&lt;&gt;"",$B1024&lt;&gt;"",$C1024&lt;$B1024),"⚠ Vencimento anterior à competência","OK"))))))))</f>
        <v/>
      </c>
    </row>
    <row r="1025">
      <c r="A1025" s="14" t="n"/>
      <c r="B1025" s="36" t="n"/>
      <c r="C1025" s="36" t="n"/>
      <c r="D1025" s="36" t="n"/>
      <c r="E1025" s="14" t="n"/>
      <c r="F1025" s="29" t="n"/>
      <c r="G1025" s="29" t="n"/>
      <c r="H1025" s="29" t="n"/>
      <c r="I1025" s="29" t="n"/>
      <c r="J1025" s="29" t="n"/>
      <c r="K1025" s="14" t="n"/>
      <c r="L1025" s="29" t="n"/>
      <c r="M1025" s="14" t="n"/>
      <c r="N1025" s="29" t="n"/>
      <c r="O1025" s="13" t="n"/>
      <c r="P1025" s="13" t="n"/>
      <c r="Q1025" s="35" t="n"/>
      <c r="R1025" s="35" t="n"/>
      <c r="S1025" s="35" t="n"/>
      <c r="T1025" s="35" t="n"/>
      <c r="U1025" s="35" t="n"/>
      <c r="V1025" s="18">
        <f>IF(COUNTA($B1025:$R1025)=0,"",ROUND(N($R1025)+N($S1025)+N($T1025)-N($U1025),2))</f>
        <v/>
      </c>
      <c r="W1025" s="18">
        <f>IF(COUNTA($B1025:$R1025)=0,"",IF(OR($X1025="Pago",$X1025="Recebido",$X1025="Cancelado"),0,ROUND(N($Q1025)+N($S1025)+N($T1025)-N($U1025)-N($R1025),2)))</f>
        <v/>
      </c>
      <c r="X1025" s="14" t="n"/>
      <c r="Y1025" s="17">
        <f>IF(COUNTA($B1025:$R1025)=0,"",IF($X1025="Cancelado","Cancelado",IF(OR($X1025="Pago",$X1025="Recebido"),$X1025,IF(OR($X1025="Parcial",N($R1025)&gt;0),"Parcial",IF($C1025="","Sem vencimento",IF($C1025&lt;TODAY(),"Vencido",IF($C1025=TODAY(),"Vence hoje",IF($C1025&lt;=TODAY()+7,"Vence em 7 dias",IF($C1025&lt;=TODAY()+30,"Vence em 30 dias","Futuro")))))))))</f>
        <v/>
      </c>
      <c r="Z1025" s="24">
        <f>IF($B1025="","",MONTH($B1025))</f>
        <v/>
      </c>
      <c r="AA1025" s="24">
        <f>IF($B1025="","",YEAR($B1025))</f>
        <v/>
      </c>
      <c r="AB1025" s="24">
        <f>IF($B1025="","",ISOWEEKNUM($B1025))</f>
        <v/>
      </c>
      <c r="AC1025" s="17">
        <f>IF($B1025="","",CHOOSE(WEEKDAY($B1025,2),"Segunda","Terça","Quarta","Quinta","Sexta","Sábado","Domingo"))</f>
        <v/>
      </c>
      <c r="AD1025" s="17">
        <f>IF($B1025="","",TEXT($B1025,"MM/AAAA"))</f>
        <v/>
      </c>
      <c r="AE1025" s="18">
        <f>IF(COUNTA($B1025:$R1025)=0,"",IF($X1025="Cancelado",0,ROUND(N($Q1025)+N($S1025)+N($T1025)-N($U1025),2)))</f>
        <v/>
      </c>
      <c r="AF1025" s="9">
        <f>IF($G1025="","",IFERROR(INDEX(LINHAS_DRE_PLANO,MATCH($G1025,SUBCATEGORIAS_PLANO,0)),"Não classificado"))</f>
        <v/>
      </c>
      <c r="AG1025" s="17">
        <f>IF($G1025="","",IFERROR(INDEX(TIPOS_FLUXO_PLANO,MATCH($G1025,SUBCATEGORIAS_PLANO,0)),"Não classificado"))</f>
        <v/>
      </c>
      <c r="AH1025" s="9">
        <f>IF($G1025="","",IFERROR(INDEX(GRUPOS_PLANO,MATCH($G1025,SUBCATEGORIAS_PLANO,0)),"Não classificado"))</f>
        <v/>
      </c>
      <c r="AI1025" s="24">
        <f>IF(OR($C1025="",$X1025="Pago",$X1025="Recebido",$X1025="Cancelado"),"",$C1025-TODAY())</f>
        <v/>
      </c>
      <c r="AJ1025" s="24">
        <f>IF(OR($C1025="",$X1025="Pago",$X1025="Recebido",$X1025="Cancelado"),0,MAX(0,TODAY()-$C1025))</f>
        <v/>
      </c>
      <c r="AK1025" s="24">
        <f>IF($D1025="","",$D1025-$B1025)</f>
        <v/>
      </c>
      <c r="AL1025" s="18">
        <f>IF(OR($D1025="",$B1025=""),"",ROUND(N($R1025)*($D1025-$B1025),2))</f>
        <v/>
      </c>
      <c r="AM1025" s="17">
        <f>IF(AND($E1025="Saída",$W1025&gt;0,$C1025&lt;&gt;""),$C1025+ROW()/1000000,"")</f>
        <v/>
      </c>
      <c r="AN1025" s="17">
        <f>IF(AND($E1025="Entrada",$W1025&gt;0,$C1025&lt;&gt;""),$C1025+ROW()/1000000,"")</f>
        <v/>
      </c>
      <c r="AO1025" s="9">
        <f>IF(COUNTA($B1025:$R1025)=0,"",IF(AND($I1025&lt;&gt;"",COUNTIF(CLIENTES_NOMES,$I1025)+COUNTIF(CLIENTES_FANTASIA,$I1025)+COUNTIF(FORNECEDORES_NOMES,$I1025)+COUNTIF(FORNECEDORES_FANTASIA,$I1025)=0),"⚠ Cliente/Fornecedor não cadastrado",IF(AND($G1025&lt;&gt;"",COUNTIF(SUBCATEGORIAS_PLANO,$G1025)=0),"⚠ Subcategoria fora do plano de contas",IF(OR($Q1025="",N($Q1025)=0),"⚠ Valor previsto não informado",IF(AND(OR($X1025="Pago",$X1025="Recebido"),$D1025=""),"⚠ Status pago/recebido sem data",IF(AND($D1025&lt;&gt;"",N($R1025)=0),"⚠ Data de pagamento sem valor realizado",IF(AND(N($P1025)&gt;1,N($O1025)&gt;N($P1025)),"⚠ Nº da parcela maior que o total",IF(AND($C1025&lt;&gt;"",$B1025&lt;&gt;"",$C1025&lt;$B1025),"⚠ Vencimento anterior à competência","OK"))))))))</f>
        <v/>
      </c>
    </row>
    <row r="1026">
      <c r="A1026" s="14" t="n"/>
      <c r="B1026" s="36" t="n"/>
      <c r="C1026" s="36" t="n"/>
      <c r="D1026" s="36" t="n"/>
      <c r="E1026" s="14" t="n"/>
      <c r="F1026" s="29" t="n"/>
      <c r="G1026" s="29" t="n"/>
      <c r="H1026" s="29" t="n"/>
      <c r="I1026" s="29" t="n"/>
      <c r="J1026" s="29" t="n"/>
      <c r="K1026" s="14" t="n"/>
      <c r="L1026" s="29" t="n"/>
      <c r="M1026" s="14" t="n"/>
      <c r="N1026" s="29" t="n"/>
      <c r="O1026" s="13" t="n"/>
      <c r="P1026" s="13" t="n"/>
      <c r="Q1026" s="35" t="n"/>
      <c r="R1026" s="35" t="n"/>
      <c r="S1026" s="35" t="n"/>
      <c r="T1026" s="35" t="n"/>
      <c r="U1026" s="35" t="n"/>
      <c r="V1026" s="18">
        <f>IF(COUNTA($B1026:$R1026)=0,"",ROUND(N($R1026)+N($S1026)+N($T1026)-N($U1026),2))</f>
        <v/>
      </c>
      <c r="W1026" s="18">
        <f>IF(COUNTA($B1026:$R1026)=0,"",IF(OR($X1026="Pago",$X1026="Recebido",$X1026="Cancelado"),0,ROUND(N($Q1026)+N($S1026)+N($T1026)-N($U1026)-N($R1026),2)))</f>
        <v/>
      </c>
      <c r="X1026" s="14" t="n"/>
      <c r="Y1026" s="17">
        <f>IF(COUNTA($B1026:$R1026)=0,"",IF($X1026="Cancelado","Cancelado",IF(OR($X1026="Pago",$X1026="Recebido"),$X1026,IF(OR($X1026="Parcial",N($R1026)&gt;0),"Parcial",IF($C1026="","Sem vencimento",IF($C1026&lt;TODAY(),"Vencido",IF($C1026=TODAY(),"Vence hoje",IF($C1026&lt;=TODAY()+7,"Vence em 7 dias",IF($C1026&lt;=TODAY()+30,"Vence em 30 dias","Futuro")))))))))</f>
        <v/>
      </c>
      <c r="Z1026" s="24">
        <f>IF($B1026="","",MONTH($B1026))</f>
        <v/>
      </c>
      <c r="AA1026" s="24">
        <f>IF($B1026="","",YEAR($B1026))</f>
        <v/>
      </c>
      <c r="AB1026" s="24">
        <f>IF($B1026="","",ISOWEEKNUM($B1026))</f>
        <v/>
      </c>
      <c r="AC1026" s="17">
        <f>IF($B1026="","",CHOOSE(WEEKDAY($B1026,2),"Segunda","Terça","Quarta","Quinta","Sexta","Sábado","Domingo"))</f>
        <v/>
      </c>
      <c r="AD1026" s="17">
        <f>IF($B1026="","",TEXT($B1026,"MM/AAAA"))</f>
        <v/>
      </c>
      <c r="AE1026" s="18">
        <f>IF(COUNTA($B1026:$R1026)=0,"",IF($X1026="Cancelado",0,ROUND(N($Q1026)+N($S1026)+N($T1026)-N($U1026),2)))</f>
        <v/>
      </c>
      <c r="AF1026" s="9">
        <f>IF($G1026="","",IFERROR(INDEX(LINHAS_DRE_PLANO,MATCH($G1026,SUBCATEGORIAS_PLANO,0)),"Não classificado"))</f>
        <v/>
      </c>
      <c r="AG1026" s="17">
        <f>IF($G1026="","",IFERROR(INDEX(TIPOS_FLUXO_PLANO,MATCH($G1026,SUBCATEGORIAS_PLANO,0)),"Não classificado"))</f>
        <v/>
      </c>
      <c r="AH1026" s="9">
        <f>IF($G1026="","",IFERROR(INDEX(GRUPOS_PLANO,MATCH($G1026,SUBCATEGORIAS_PLANO,0)),"Não classificado"))</f>
        <v/>
      </c>
      <c r="AI1026" s="24">
        <f>IF(OR($C1026="",$X1026="Pago",$X1026="Recebido",$X1026="Cancelado"),"",$C1026-TODAY())</f>
        <v/>
      </c>
      <c r="AJ1026" s="24">
        <f>IF(OR($C1026="",$X1026="Pago",$X1026="Recebido",$X1026="Cancelado"),0,MAX(0,TODAY()-$C1026))</f>
        <v/>
      </c>
      <c r="AK1026" s="24">
        <f>IF($D1026="","",$D1026-$B1026)</f>
        <v/>
      </c>
      <c r="AL1026" s="18">
        <f>IF(OR($D1026="",$B1026=""),"",ROUND(N($R1026)*($D1026-$B1026),2))</f>
        <v/>
      </c>
      <c r="AM1026" s="17">
        <f>IF(AND($E1026="Saída",$W1026&gt;0,$C1026&lt;&gt;""),$C1026+ROW()/1000000,"")</f>
        <v/>
      </c>
      <c r="AN1026" s="17">
        <f>IF(AND($E1026="Entrada",$W1026&gt;0,$C1026&lt;&gt;""),$C1026+ROW()/1000000,"")</f>
        <v/>
      </c>
      <c r="AO1026" s="9">
        <f>IF(COUNTA($B1026:$R1026)=0,"",IF(AND($I1026&lt;&gt;"",COUNTIF(CLIENTES_NOMES,$I1026)+COUNTIF(CLIENTES_FANTASIA,$I1026)+COUNTIF(FORNECEDORES_NOMES,$I1026)+COUNTIF(FORNECEDORES_FANTASIA,$I1026)=0),"⚠ Cliente/Fornecedor não cadastrado",IF(AND($G1026&lt;&gt;"",COUNTIF(SUBCATEGORIAS_PLANO,$G1026)=0),"⚠ Subcategoria fora do plano de contas",IF(OR($Q1026="",N($Q1026)=0),"⚠ Valor previsto não informado",IF(AND(OR($X1026="Pago",$X1026="Recebido"),$D1026=""),"⚠ Status pago/recebido sem data",IF(AND($D1026&lt;&gt;"",N($R1026)=0),"⚠ Data de pagamento sem valor realizado",IF(AND(N($P1026)&gt;1,N($O1026)&gt;N($P1026)),"⚠ Nº da parcela maior que o total",IF(AND($C1026&lt;&gt;"",$B1026&lt;&gt;"",$C1026&lt;$B1026),"⚠ Vencimento anterior à competência","OK"))))))))</f>
        <v/>
      </c>
    </row>
    <row r="1027">
      <c r="A1027" s="14" t="n"/>
      <c r="B1027" s="36" t="n"/>
      <c r="C1027" s="36" t="n"/>
      <c r="D1027" s="36" t="n"/>
      <c r="E1027" s="14" t="n"/>
      <c r="F1027" s="29" t="n"/>
      <c r="G1027" s="29" t="n"/>
      <c r="H1027" s="29" t="n"/>
      <c r="I1027" s="29" t="n"/>
      <c r="J1027" s="29" t="n"/>
      <c r="K1027" s="14" t="n"/>
      <c r="L1027" s="29" t="n"/>
      <c r="M1027" s="14" t="n"/>
      <c r="N1027" s="29" t="n"/>
      <c r="O1027" s="13" t="n"/>
      <c r="P1027" s="13" t="n"/>
      <c r="Q1027" s="35" t="n"/>
      <c r="R1027" s="35" t="n"/>
      <c r="S1027" s="35" t="n"/>
      <c r="T1027" s="35" t="n"/>
      <c r="U1027" s="35" t="n"/>
      <c r="V1027" s="18">
        <f>IF(COUNTA($B1027:$R1027)=0,"",ROUND(N($R1027)+N($S1027)+N($T1027)-N($U1027),2))</f>
        <v/>
      </c>
      <c r="W1027" s="18">
        <f>IF(COUNTA($B1027:$R1027)=0,"",IF(OR($X1027="Pago",$X1027="Recebido",$X1027="Cancelado"),0,ROUND(N($Q1027)+N($S1027)+N($T1027)-N($U1027)-N($R1027),2)))</f>
        <v/>
      </c>
      <c r="X1027" s="14" t="n"/>
      <c r="Y1027" s="17">
        <f>IF(COUNTA($B1027:$R1027)=0,"",IF($X1027="Cancelado","Cancelado",IF(OR($X1027="Pago",$X1027="Recebido"),$X1027,IF(OR($X1027="Parcial",N($R1027)&gt;0),"Parcial",IF($C1027="","Sem vencimento",IF($C1027&lt;TODAY(),"Vencido",IF($C1027=TODAY(),"Vence hoje",IF($C1027&lt;=TODAY()+7,"Vence em 7 dias",IF($C1027&lt;=TODAY()+30,"Vence em 30 dias","Futuro")))))))))</f>
        <v/>
      </c>
      <c r="Z1027" s="24">
        <f>IF($B1027="","",MONTH($B1027))</f>
        <v/>
      </c>
      <c r="AA1027" s="24">
        <f>IF($B1027="","",YEAR($B1027))</f>
        <v/>
      </c>
      <c r="AB1027" s="24">
        <f>IF($B1027="","",ISOWEEKNUM($B1027))</f>
        <v/>
      </c>
      <c r="AC1027" s="17">
        <f>IF($B1027="","",CHOOSE(WEEKDAY($B1027,2),"Segunda","Terça","Quarta","Quinta","Sexta","Sábado","Domingo"))</f>
        <v/>
      </c>
      <c r="AD1027" s="17">
        <f>IF($B1027="","",TEXT($B1027,"MM/AAAA"))</f>
        <v/>
      </c>
      <c r="AE1027" s="18">
        <f>IF(COUNTA($B1027:$R1027)=0,"",IF($X1027="Cancelado",0,ROUND(N($Q1027)+N($S1027)+N($T1027)-N($U1027),2)))</f>
        <v/>
      </c>
      <c r="AF1027" s="9">
        <f>IF($G1027="","",IFERROR(INDEX(LINHAS_DRE_PLANO,MATCH($G1027,SUBCATEGORIAS_PLANO,0)),"Não classificado"))</f>
        <v/>
      </c>
      <c r="AG1027" s="17">
        <f>IF($G1027="","",IFERROR(INDEX(TIPOS_FLUXO_PLANO,MATCH($G1027,SUBCATEGORIAS_PLANO,0)),"Não classificado"))</f>
        <v/>
      </c>
      <c r="AH1027" s="9">
        <f>IF($G1027="","",IFERROR(INDEX(GRUPOS_PLANO,MATCH($G1027,SUBCATEGORIAS_PLANO,0)),"Não classificado"))</f>
        <v/>
      </c>
      <c r="AI1027" s="24">
        <f>IF(OR($C1027="",$X1027="Pago",$X1027="Recebido",$X1027="Cancelado"),"",$C1027-TODAY())</f>
        <v/>
      </c>
      <c r="AJ1027" s="24">
        <f>IF(OR($C1027="",$X1027="Pago",$X1027="Recebido",$X1027="Cancelado"),0,MAX(0,TODAY()-$C1027))</f>
        <v/>
      </c>
      <c r="AK1027" s="24">
        <f>IF($D1027="","",$D1027-$B1027)</f>
        <v/>
      </c>
      <c r="AL1027" s="18">
        <f>IF(OR($D1027="",$B1027=""),"",ROUND(N($R1027)*($D1027-$B1027),2))</f>
        <v/>
      </c>
      <c r="AM1027" s="17">
        <f>IF(AND($E1027="Saída",$W1027&gt;0,$C1027&lt;&gt;""),$C1027+ROW()/1000000,"")</f>
        <v/>
      </c>
      <c r="AN1027" s="17">
        <f>IF(AND($E1027="Entrada",$W1027&gt;0,$C1027&lt;&gt;""),$C1027+ROW()/1000000,"")</f>
        <v/>
      </c>
      <c r="AO1027" s="9">
        <f>IF(COUNTA($B1027:$R1027)=0,"",IF(AND($I1027&lt;&gt;"",COUNTIF(CLIENTES_NOMES,$I1027)+COUNTIF(CLIENTES_FANTASIA,$I1027)+COUNTIF(FORNECEDORES_NOMES,$I1027)+COUNTIF(FORNECEDORES_FANTASIA,$I1027)=0),"⚠ Cliente/Fornecedor não cadastrado",IF(AND($G1027&lt;&gt;"",COUNTIF(SUBCATEGORIAS_PLANO,$G1027)=0),"⚠ Subcategoria fora do plano de contas",IF(OR($Q1027="",N($Q1027)=0),"⚠ Valor previsto não informado",IF(AND(OR($X1027="Pago",$X1027="Recebido"),$D1027=""),"⚠ Status pago/recebido sem data",IF(AND($D1027&lt;&gt;"",N($R1027)=0),"⚠ Data de pagamento sem valor realizado",IF(AND(N($P1027)&gt;1,N($O1027)&gt;N($P1027)),"⚠ Nº da parcela maior que o total",IF(AND($C1027&lt;&gt;"",$B1027&lt;&gt;"",$C1027&lt;$B1027),"⚠ Vencimento anterior à competência","OK"))))))))</f>
        <v/>
      </c>
    </row>
    <row r="1028">
      <c r="A1028" s="14" t="n"/>
      <c r="B1028" s="36" t="n"/>
      <c r="C1028" s="36" t="n"/>
      <c r="D1028" s="36" t="n"/>
      <c r="E1028" s="14" t="n"/>
      <c r="F1028" s="29" t="n"/>
      <c r="G1028" s="29" t="n"/>
      <c r="H1028" s="29" t="n"/>
      <c r="I1028" s="29" t="n"/>
      <c r="J1028" s="29" t="n"/>
      <c r="K1028" s="14" t="n"/>
      <c r="L1028" s="29" t="n"/>
      <c r="M1028" s="14" t="n"/>
      <c r="N1028" s="29" t="n"/>
      <c r="O1028" s="13" t="n"/>
      <c r="P1028" s="13" t="n"/>
      <c r="Q1028" s="35" t="n"/>
      <c r="R1028" s="35" t="n"/>
      <c r="S1028" s="35" t="n"/>
      <c r="T1028" s="35" t="n"/>
      <c r="U1028" s="35" t="n"/>
      <c r="V1028" s="18">
        <f>IF(COUNTA($B1028:$R1028)=0,"",ROUND(N($R1028)+N($S1028)+N($T1028)-N($U1028),2))</f>
        <v/>
      </c>
      <c r="W1028" s="18">
        <f>IF(COUNTA($B1028:$R1028)=0,"",IF(OR($X1028="Pago",$X1028="Recebido",$X1028="Cancelado"),0,ROUND(N($Q1028)+N($S1028)+N($T1028)-N($U1028)-N($R1028),2)))</f>
        <v/>
      </c>
      <c r="X1028" s="14" t="n"/>
      <c r="Y1028" s="17">
        <f>IF(COUNTA($B1028:$R1028)=0,"",IF($X1028="Cancelado","Cancelado",IF(OR($X1028="Pago",$X1028="Recebido"),$X1028,IF(OR($X1028="Parcial",N($R1028)&gt;0),"Parcial",IF($C1028="","Sem vencimento",IF($C1028&lt;TODAY(),"Vencido",IF($C1028=TODAY(),"Vence hoje",IF($C1028&lt;=TODAY()+7,"Vence em 7 dias",IF($C1028&lt;=TODAY()+30,"Vence em 30 dias","Futuro")))))))))</f>
        <v/>
      </c>
      <c r="Z1028" s="24">
        <f>IF($B1028="","",MONTH($B1028))</f>
        <v/>
      </c>
      <c r="AA1028" s="24">
        <f>IF($B1028="","",YEAR($B1028))</f>
        <v/>
      </c>
      <c r="AB1028" s="24">
        <f>IF($B1028="","",ISOWEEKNUM($B1028))</f>
        <v/>
      </c>
      <c r="AC1028" s="17">
        <f>IF($B1028="","",CHOOSE(WEEKDAY($B1028,2),"Segunda","Terça","Quarta","Quinta","Sexta","Sábado","Domingo"))</f>
        <v/>
      </c>
      <c r="AD1028" s="17">
        <f>IF($B1028="","",TEXT($B1028,"MM/AAAA"))</f>
        <v/>
      </c>
      <c r="AE1028" s="18">
        <f>IF(COUNTA($B1028:$R1028)=0,"",IF($X1028="Cancelado",0,ROUND(N($Q1028)+N($S1028)+N($T1028)-N($U1028),2)))</f>
        <v/>
      </c>
      <c r="AF1028" s="9">
        <f>IF($G1028="","",IFERROR(INDEX(LINHAS_DRE_PLANO,MATCH($G1028,SUBCATEGORIAS_PLANO,0)),"Não classificado"))</f>
        <v/>
      </c>
      <c r="AG1028" s="17">
        <f>IF($G1028="","",IFERROR(INDEX(TIPOS_FLUXO_PLANO,MATCH($G1028,SUBCATEGORIAS_PLANO,0)),"Não classificado"))</f>
        <v/>
      </c>
      <c r="AH1028" s="9">
        <f>IF($G1028="","",IFERROR(INDEX(GRUPOS_PLANO,MATCH($G1028,SUBCATEGORIAS_PLANO,0)),"Não classificado"))</f>
        <v/>
      </c>
      <c r="AI1028" s="24">
        <f>IF(OR($C1028="",$X1028="Pago",$X1028="Recebido",$X1028="Cancelado"),"",$C1028-TODAY())</f>
        <v/>
      </c>
      <c r="AJ1028" s="24">
        <f>IF(OR($C1028="",$X1028="Pago",$X1028="Recebido",$X1028="Cancelado"),0,MAX(0,TODAY()-$C1028))</f>
        <v/>
      </c>
      <c r="AK1028" s="24">
        <f>IF($D1028="","",$D1028-$B1028)</f>
        <v/>
      </c>
      <c r="AL1028" s="18">
        <f>IF(OR($D1028="",$B1028=""),"",ROUND(N($R1028)*($D1028-$B1028),2))</f>
        <v/>
      </c>
      <c r="AM1028" s="17">
        <f>IF(AND($E1028="Saída",$W1028&gt;0,$C1028&lt;&gt;""),$C1028+ROW()/1000000,"")</f>
        <v/>
      </c>
      <c r="AN1028" s="17">
        <f>IF(AND($E1028="Entrada",$W1028&gt;0,$C1028&lt;&gt;""),$C1028+ROW()/1000000,"")</f>
        <v/>
      </c>
      <c r="AO1028" s="9">
        <f>IF(COUNTA($B1028:$R1028)=0,"",IF(AND($I1028&lt;&gt;"",COUNTIF(CLIENTES_NOMES,$I1028)+COUNTIF(CLIENTES_FANTASIA,$I1028)+COUNTIF(FORNECEDORES_NOMES,$I1028)+COUNTIF(FORNECEDORES_FANTASIA,$I1028)=0),"⚠ Cliente/Fornecedor não cadastrado",IF(AND($G1028&lt;&gt;"",COUNTIF(SUBCATEGORIAS_PLANO,$G1028)=0),"⚠ Subcategoria fora do plano de contas",IF(OR($Q1028="",N($Q1028)=0),"⚠ Valor previsto não informado",IF(AND(OR($X1028="Pago",$X1028="Recebido"),$D1028=""),"⚠ Status pago/recebido sem data",IF(AND($D1028&lt;&gt;"",N($R1028)=0),"⚠ Data de pagamento sem valor realizado",IF(AND(N($P1028)&gt;1,N($O1028)&gt;N($P1028)),"⚠ Nº da parcela maior que o total",IF(AND($C1028&lt;&gt;"",$B1028&lt;&gt;"",$C1028&lt;$B1028),"⚠ Vencimento anterior à competência","OK"))))))))</f>
        <v/>
      </c>
    </row>
    <row r="1029">
      <c r="A1029" s="14" t="n"/>
      <c r="B1029" s="36" t="n"/>
      <c r="C1029" s="36" t="n"/>
      <c r="D1029" s="36" t="n"/>
      <c r="E1029" s="14" t="n"/>
      <c r="F1029" s="29" t="n"/>
      <c r="G1029" s="29" t="n"/>
      <c r="H1029" s="29" t="n"/>
      <c r="I1029" s="29" t="n"/>
      <c r="J1029" s="29" t="n"/>
      <c r="K1029" s="14" t="n"/>
      <c r="L1029" s="29" t="n"/>
      <c r="M1029" s="14" t="n"/>
      <c r="N1029" s="29" t="n"/>
      <c r="O1029" s="13" t="n"/>
      <c r="P1029" s="13" t="n"/>
      <c r="Q1029" s="35" t="n"/>
      <c r="R1029" s="35" t="n"/>
      <c r="S1029" s="35" t="n"/>
      <c r="T1029" s="35" t="n"/>
      <c r="U1029" s="35" t="n"/>
      <c r="V1029" s="18">
        <f>IF(COUNTA($B1029:$R1029)=0,"",ROUND(N($R1029)+N($S1029)+N($T1029)-N($U1029),2))</f>
        <v/>
      </c>
      <c r="W1029" s="18">
        <f>IF(COUNTA($B1029:$R1029)=0,"",IF(OR($X1029="Pago",$X1029="Recebido",$X1029="Cancelado"),0,ROUND(N($Q1029)+N($S1029)+N($T1029)-N($U1029)-N($R1029),2)))</f>
        <v/>
      </c>
      <c r="X1029" s="14" t="n"/>
      <c r="Y1029" s="17">
        <f>IF(COUNTA($B1029:$R1029)=0,"",IF($X1029="Cancelado","Cancelado",IF(OR($X1029="Pago",$X1029="Recebido"),$X1029,IF(OR($X1029="Parcial",N($R1029)&gt;0),"Parcial",IF($C1029="","Sem vencimento",IF($C1029&lt;TODAY(),"Vencido",IF($C1029=TODAY(),"Vence hoje",IF($C1029&lt;=TODAY()+7,"Vence em 7 dias",IF($C1029&lt;=TODAY()+30,"Vence em 30 dias","Futuro")))))))))</f>
        <v/>
      </c>
      <c r="Z1029" s="24">
        <f>IF($B1029="","",MONTH($B1029))</f>
        <v/>
      </c>
      <c r="AA1029" s="24">
        <f>IF($B1029="","",YEAR($B1029))</f>
        <v/>
      </c>
      <c r="AB1029" s="24">
        <f>IF($B1029="","",ISOWEEKNUM($B1029))</f>
        <v/>
      </c>
      <c r="AC1029" s="17">
        <f>IF($B1029="","",CHOOSE(WEEKDAY($B1029,2),"Segunda","Terça","Quarta","Quinta","Sexta","Sábado","Domingo"))</f>
        <v/>
      </c>
      <c r="AD1029" s="17">
        <f>IF($B1029="","",TEXT($B1029,"MM/AAAA"))</f>
        <v/>
      </c>
      <c r="AE1029" s="18">
        <f>IF(COUNTA($B1029:$R1029)=0,"",IF($X1029="Cancelado",0,ROUND(N($Q1029)+N($S1029)+N($T1029)-N($U1029),2)))</f>
        <v/>
      </c>
      <c r="AF1029" s="9">
        <f>IF($G1029="","",IFERROR(INDEX(LINHAS_DRE_PLANO,MATCH($G1029,SUBCATEGORIAS_PLANO,0)),"Não classificado"))</f>
        <v/>
      </c>
      <c r="AG1029" s="17">
        <f>IF($G1029="","",IFERROR(INDEX(TIPOS_FLUXO_PLANO,MATCH($G1029,SUBCATEGORIAS_PLANO,0)),"Não classificado"))</f>
        <v/>
      </c>
      <c r="AH1029" s="9">
        <f>IF($G1029="","",IFERROR(INDEX(GRUPOS_PLANO,MATCH($G1029,SUBCATEGORIAS_PLANO,0)),"Não classificado"))</f>
        <v/>
      </c>
      <c r="AI1029" s="24">
        <f>IF(OR($C1029="",$X1029="Pago",$X1029="Recebido",$X1029="Cancelado"),"",$C1029-TODAY())</f>
        <v/>
      </c>
      <c r="AJ1029" s="24">
        <f>IF(OR($C1029="",$X1029="Pago",$X1029="Recebido",$X1029="Cancelado"),0,MAX(0,TODAY()-$C1029))</f>
        <v/>
      </c>
      <c r="AK1029" s="24">
        <f>IF($D1029="","",$D1029-$B1029)</f>
        <v/>
      </c>
      <c r="AL1029" s="18">
        <f>IF(OR($D1029="",$B1029=""),"",ROUND(N($R1029)*($D1029-$B1029),2))</f>
        <v/>
      </c>
      <c r="AM1029" s="17">
        <f>IF(AND($E1029="Saída",$W1029&gt;0,$C1029&lt;&gt;""),$C1029+ROW()/1000000,"")</f>
        <v/>
      </c>
      <c r="AN1029" s="17">
        <f>IF(AND($E1029="Entrada",$W1029&gt;0,$C1029&lt;&gt;""),$C1029+ROW()/1000000,"")</f>
        <v/>
      </c>
      <c r="AO1029" s="9">
        <f>IF(COUNTA($B1029:$R1029)=0,"",IF(AND($I1029&lt;&gt;"",COUNTIF(CLIENTES_NOMES,$I1029)+COUNTIF(CLIENTES_FANTASIA,$I1029)+COUNTIF(FORNECEDORES_NOMES,$I1029)+COUNTIF(FORNECEDORES_FANTASIA,$I1029)=0),"⚠ Cliente/Fornecedor não cadastrado",IF(AND($G1029&lt;&gt;"",COUNTIF(SUBCATEGORIAS_PLANO,$G1029)=0),"⚠ Subcategoria fora do plano de contas",IF(OR($Q1029="",N($Q1029)=0),"⚠ Valor previsto não informado",IF(AND(OR($X1029="Pago",$X1029="Recebido"),$D1029=""),"⚠ Status pago/recebido sem data",IF(AND($D1029&lt;&gt;"",N($R1029)=0),"⚠ Data de pagamento sem valor realizado",IF(AND(N($P1029)&gt;1,N($O1029)&gt;N($P1029)),"⚠ Nº da parcela maior que o total",IF(AND($C1029&lt;&gt;"",$B1029&lt;&gt;"",$C1029&lt;$B1029),"⚠ Vencimento anterior à competência","OK"))))))))</f>
        <v/>
      </c>
    </row>
    <row r="1030">
      <c r="A1030" s="14" t="n"/>
      <c r="B1030" s="36" t="n"/>
      <c r="C1030" s="36" t="n"/>
      <c r="D1030" s="36" t="n"/>
      <c r="E1030" s="14" t="n"/>
      <c r="F1030" s="29" t="n"/>
      <c r="G1030" s="29" t="n"/>
      <c r="H1030" s="29" t="n"/>
      <c r="I1030" s="29" t="n"/>
      <c r="J1030" s="29" t="n"/>
      <c r="K1030" s="14" t="n"/>
      <c r="L1030" s="29" t="n"/>
      <c r="M1030" s="14" t="n"/>
      <c r="N1030" s="29" t="n"/>
      <c r="O1030" s="13" t="n"/>
      <c r="P1030" s="13" t="n"/>
      <c r="Q1030" s="35" t="n"/>
      <c r="R1030" s="35" t="n"/>
      <c r="S1030" s="35" t="n"/>
      <c r="T1030" s="35" t="n"/>
      <c r="U1030" s="35" t="n"/>
      <c r="V1030" s="18">
        <f>IF(COUNTA($B1030:$R1030)=0,"",ROUND(N($R1030)+N($S1030)+N($T1030)-N($U1030),2))</f>
        <v/>
      </c>
      <c r="W1030" s="18">
        <f>IF(COUNTA($B1030:$R1030)=0,"",IF(OR($X1030="Pago",$X1030="Recebido",$X1030="Cancelado"),0,ROUND(N($Q1030)+N($S1030)+N($T1030)-N($U1030)-N($R1030),2)))</f>
        <v/>
      </c>
      <c r="X1030" s="14" t="n"/>
      <c r="Y1030" s="17">
        <f>IF(COUNTA($B1030:$R1030)=0,"",IF($X1030="Cancelado","Cancelado",IF(OR($X1030="Pago",$X1030="Recebido"),$X1030,IF(OR($X1030="Parcial",N($R1030)&gt;0),"Parcial",IF($C1030="","Sem vencimento",IF($C1030&lt;TODAY(),"Vencido",IF($C1030=TODAY(),"Vence hoje",IF($C1030&lt;=TODAY()+7,"Vence em 7 dias",IF($C1030&lt;=TODAY()+30,"Vence em 30 dias","Futuro")))))))))</f>
        <v/>
      </c>
      <c r="Z1030" s="24">
        <f>IF($B1030="","",MONTH($B1030))</f>
        <v/>
      </c>
      <c r="AA1030" s="24">
        <f>IF($B1030="","",YEAR($B1030))</f>
        <v/>
      </c>
      <c r="AB1030" s="24">
        <f>IF($B1030="","",ISOWEEKNUM($B1030))</f>
        <v/>
      </c>
      <c r="AC1030" s="17">
        <f>IF($B1030="","",CHOOSE(WEEKDAY($B1030,2),"Segunda","Terça","Quarta","Quinta","Sexta","Sábado","Domingo"))</f>
        <v/>
      </c>
      <c r="AD1030" s="17">
        <f>IF($B1030="","",TEXT($B1030,"MM/AAAA"))</f>
        <v/>
      </c>
      <c r="AE1030" s="18">
        <f>IF(COUNTA($B1030:$R1030)=0,"",IF($X1030="Cancelado",0,ROUND(N($Q1030)+N($S1030)+N($T1030)-N($U1030),2)))</f>
        <v/>
      </c>
      <c r="AF1030" s="9">
        <f>IF($G1030="","",IFERROR(INDEX(LINHAS_DRE_PLANO,MATCH($G1030,SUBCATEGORIAS_PLANO,0)),"Não classificado"))</f>
        <v/>
      </c>
      <c r="AG1030" s="17">
        <f>IF($G1030="","",IFERROR(INDEX(TIPOS_FLUXO_PLANO,MATCH($G1030,SUBCATEGORIAS_PLANO,0)),"Não classificado"))</f>
        <v/>
      </c>
      <c r="AH1030" s="9">
        <f>IF($G1030="","",IFERROR(INDEX(GRUPOS_PLANO,MATCH($G1030,SUBCATEGORIAS_PLANO,0)),"Não classificado"))</f>
        <v/>
      </c>
      <c r="AI1030" s="24">
        <f>IF(OR($C1030="",$X1030="Pago",$X1030="Recebido",$X1030="Cancelado"),"",$C1030-TODAY())</f>
        <v/>
      </c>
      <c r="AJ1030" s="24">
        <f>IF(OR($C1030="",$X1030="Pago",$X1030="Recebido",$X1030="Cancelado"),0,MAX(0,TODAY()-$C1030))</f>
        <v/>
      </c>
      <c r="AK1030" s="24">
        <f>IF($D1030="","",$D1030-$B1030)</f>
        <v/>
      </c>
      <c r="AL1030" s="18">
        <f>IF(OR($D1030="",$B1030=""),"",ROUND(N($R1030)*($D1030-$B1030),2))</f>
        <v/>
      </c>
      <c r="AM1030" s="17">
        <f>IF(AND($E1030="Saída",$W1030&gt;0,$C1030&lt;&gt;""),$C1030+ROW()/1000000,"")</f>
        <v/>
      </c>
      <c r="AN1030" s="17">
        <f>IF(AND($E1030="Entrada",$W1030&gt;0,$C1030&lt;&gt;""),$C1030+ROW()/1000000,"")</f>
        <v/>
      </c>
      <c r="AO1030" s="9">
        <f>IF(COUNTA($B1030:$R1030)=0,"",IF(AND($I1030&lt;&gt;"",COUNTIF(CLIENTES_NOMES,$I1030)+COUNTIF(CLIENTES_FANTASIA,$I1030)+COUNTIF(FORNECEDORES_NOMES,$I1030)+COUNTIF(FORNECEDORES_FANTASIA,$I1030)=0),"⚠ Cliente/Fornecedor não cadastrado",IF(AND($G1030&lt;&gt;"",COUNTIF(SUBCATEGORIAS_PLANO,$G1030)=0),"⚠ Subcategoria fora do plano de contas",IF(OR($Q1030="",N($Q1030)=0),"⚠ Valor previsto não informado",IF(AND(OR($X1030="Pago",$X1030="Recebido"),$D1030=""),"⚠ Status pago/recebido sem data",IF(AND($D1030&lt;&gt;"",N($R1030)=0),"⚠ Data de pagamento sem valor realizado",IF(AND(N($P1030)&gt;1,N($O1030)&gt;N($P1030)),"⚠ Nº da parcela maior que o total",IF(AND($C1030&lt;&gt;"",$B1030&lt;&gt;"",$C1030&lt;$B1030),"⚠ Vencimento anterior à competência","OK"))))))))</f>
        <v/>
      </c>
    </row>
    <row r="1031">
      <c r="A1031" s="14" t="n"/>
      <c r="B1031" s="36" t="n"/>
      <c r="C1031" s="36" t="n"/>
      <c r="D1031" s="36" t="n"/>
      <c r="E1031" s="14" t="n"/>
      <c r="F1031" s="29" t="n"/>
      <c r="G1031" s="29" t="n"/>
      <c r="H1031" s="29" t="n"/>
      <c r="I1031" s="29" t="n"/>
      <c r="J1031" s="29" t="n"/>
      <c r="K1031" s="14" t="n"/>
      <c r="L1031" s="29" t="n"/>
      <c r="M1031" s="14" t="n"/>
      <c r="N1031" s="29" t="n"/>
      <c r="O1031" s="13" t="n"/>
      <c r="P1031" s="13" t="n"/>
      <c r="Q1031" s="35" t="n"/>
      <c r="R1031" s="35" t="n"/>
      <c r="S1031" s="35" t="n"/>
      <c r="T1031" s="35" t="n"/>
      <c r="U1031" s="35" t="n"/>
      <c r="V1031" s="18">
        <f>IF(COUNTA($B1031:$R1031)=0,"",ROUND(N($R1031)+N($S1031)+N($T1031)-N($U1031),2))</f>
        <v/>
      </c>
      <c r="W1031" s="18">
        <f>IF(COUNTA($B1031:$R1031)=0,"",IF(OR($X1031="Pago",$X1031="Recebido",$X1031="Cancelado"),0,ROUND(N($Q1031)+N($S1031)+N($T1031)-N($U1031)-N($R1031),2)))</f>
        <v/>
      </c>
      <c r="X1031" s="14" t="n"/>
      <c r="Y1031" s="17">
        <f>IF(COUNTA($B1031:$R1031)=0,"",IF($X1031="Cancelado","Cancelado",IF(OR($X1031="Pago",$X1031="Recebido"),$X1031,IF(OR($X1031="Parcial",N($R1031)&gt;0),"Parcial",IF($C1031="","Sem vencimento",IF($C1031&lt;TODAY(),"Vencido",IF($C1031=TODAY(),"Vence hoje",IF($C1031&lt;=TODAY()+7,"Vence em 7 dias",IF($C1031&lt;=TODAY()+30,"Vence em 30 dias","Futuro")))))))))</f>
        <v/>
      </c>
      <c r="Z1031" s="24">
        <f>IF($B1031="","",MONTH($B1031))</f>
        <v/>
      </c>
      <c r="AA1031" s="24">
        <f>IF($B1031="","",YEAR($B1031))</f>
        <v/>
      </c>
      <c r="AB1031" s="24">
        <f>IF($B1031="","",ISOWEEKNUM($B1031))</f>
        <v/>
      </c>
      <c r="AC1031" s="17">
        <f>IF($B1031="","",CHOOSE(WEEKDAY($B1031,2),"Segunda","Terça","Quarta","Quinta","Sexta","Sábado","Domingo"))</f>
        <v/>
      </c>
      <c r="AD1031" s="17">
        <f>IF($B1031="","",TEXT($B1031,"MM/AAAA"))</f>
        <v/>
      </c>
      <c r="AE1031" s="18">
        <f>IF(COUNTA($B1031:$R1031)=0,"",IF($X1031="Cancelado",0,ROUND(N($Q1031)+N($S1031)+N($T1031)-N($U1031),2)))</f>
        <v/>
      </c>
      <c r="AF1031" s="9">
        <f>IF($G1031="","",IFERROR(INDEX(LINHAS_DRE_PLANO,MATCH($G1031,SUBCATEGORIAS_PLANO,0)),"Não classificado"))</f>
        <v/>
      </c>
      <c r="AG1031" s="17">
        <f>IF($G1031="","",IFERROR(INDEX(TIPOS_FLUXO_PLANO,MATCH($G1031,SUBCATEGORIAS_PLANO,0)),"Não classificado"))</f>
        <v/>
      </c>
      <c r="AH1031" s="9">
        <f>IF($G1031="","",IFERROR(INDEX(GRUPOS_PLANO,MATCH($G1031,SUBCATEGORIAS_PLANO,0)),"Não classificado"))</f>
        <v/>
      </c>
      <c r="AI1031" s="24">
        <f>IF(OR($C1031="",$X1031="Pago",$X1031="Recebido",$X1031="Cancelado"),"",$C1031-TODAY())</f>
        <v/>
      </c>
      <c r="AJ1031" s="24">
        <f>IF(OR($C1031="",$X1031="Pago",$X1031="Recebido",$X1031="Cancelado"),0,MAX(0,TODAY()-$C1031))</f>
        <v/>
      </c>
      <c r="AK1031" s="24">
        <f>IF($D1031="","",$D1031-$B1031)</f>
        <v/>
      </c>
      <c r="AL1031" s="18">
        <f>IF(OR($D1031="",$B1031=""),"",ROUND(N($R1031)*($D1031-$B1031),2))</f>
        <v/>
      </c>
      <c r="AM1031" s="17">
        <f>IF(AND($E1031="Saída",$W1031&gt;0,$C1031&lt;&gt;""),$C1031+ROW()/1000000,"")</f>
        <v/>
      </c>
      <c r="AN1031" s="17">
        <f>IF(AND($E1031="Entrada",$W1031&gt;0,$C1031&lt;&gt;""),$C1031+ROW()/1000000,"")</f>
        <v/>
      </c>
      <c r="AO1031" s="9">
        <f>IF(COUNTA($B1031:$R1031)=0,"",IF(AND($I1031&lt;&gt;"",COUNTIF(CLIENTES_NOMES,$I1031)+COUNTIF(CLIENTES_FANTASIA,$I1031)+COUNTIF(FORNECEDORES_NOMES,$I1031)+COUNTIF(FORNECEDORES_FANTASIA,$I1031)=0),"⚠ Cliente/Fornecedor não cadastrado",IF(AND($G1031&lt;&gt;"",COUNTIF(SUBCATEGORIAS_PLANO,$G1031)=0),"⚠ Subcategoria fora do plano de contas",IF(OR($Q1031="",N($Q1031)=0),"⚠ Valor previsto não informado",IF(AND(OR($X1031="Pago",$X1031="Recebido"),$D1031=""),"⚠ Status pago/recebido sem data",IF(AND($D1031&lt;&gt;"",N($R1031)=0),"⚠ Data de pagamento sem valor realizado",IF(AND(N($P1031)&gt;1,N($O1031)&gt;N($P1031)),"⚠ Nº da parcela maior que o total",IF(AND($C1031&lt;&gt;"",$B1031&lt;&gt;"",$C1031&lt;$B1031),"⚠ Vencimento anterior à competência","OK"))))))))</f>
        <v/>
      </c>
    </row>
    <row r="1032">
      <c r="A1032" s="14" t="n"/>
      <c r="B1032" s="36" t="n"/>
      <c r="C1032" s="36" t="n"/>
      <c r="D1032" s="36" t="n"/>
      <c r="E1032" s="14" t="n"/>
      <c r="F1032" s="29" t="n"/>
      <c r="G1032" s="29" t="n"/>
      <c r="H1032" s="29" t="n"/>
      <c r="I1032" s="29" t="n"/>
      <c r="J1032" s="29" t="n"/>
      <c r="K1032" s="14" t="n"/>
      <c r="L1032" s="29" t="n"/>
      <c r="M1032" s="14" t="n"/>
      <c r="N1032" s="29" t="n"/>
      <c r="O1032" s="13" t="n"/>
      <c r="P1032" s="13" t="n"/>
      <c r="Q1032" s="35" t="n"/>
      <c r="R1032" s="35" t="n"/>
      <c r="S1032" s="35" t="n"/>
      <c r="T1032" s="35" t="n"/>
      <c r="U1032" s="35" t="n"/>
      <c r="V1032" s="18">
        <f>IF(COUNTA($B1032:$R1032)=0,"",ROUND(N($R1032)+N($S1032)+N($T1032)-N($U1032),2))</f>
        <v/>
      </c>
      <c r="W1032" s="18">
        <f>IF(COUNTA($B1032:$R1032)=0,"",IF(OR($X1032="Pago",$X1032="Recebido",$X1032="Cancelado"),0,ROUND(N($Q1032)+N($S1032)+N($T1032)-N($U1032)-N($R1032),2)))</f>
        <v/>
      </c>
      <c r="X1032" s="14" t="n"/>
      <c r="Y1032" s="17">
        <f>IF(COUNTA($B1032:$R1032)=0,"",IF($X1032="Cancelado","Cancelado",IF(OR($X1032="Pago",$X1032="Recebido"),$X1032,IF(OR($X1032="Parcial",N($R1032)&gt;0),"Parcial",IF($C1032="","Sem vencimento",IF($C1032&lt;TODAY(),"Vencido",IF($C1032=TODAY(),"Vence hoje",IF($C1032&lt;=TODAY()+7,"Vence em 7 dias",IF($C1032&lt;=TODAY()+30,"Vence em 30 dias","Futuro")))))))))</f>
        <v/>
      </c>
      <c r="Z1032" s="24">
        <f>IF($B1032="","",MONTH($B1032))</f>
        <v/>
      </c>
      <c r="AA1032" s="24">
        <f>IF($B1032="","",YEAR($B1032))</f>
        <v/>
      </c>
      <c r="AB1032" s="24">
        <f>IF($B1032="","",ISOWEEKNUM($B1032))</f>
        <v/>
      </c>
      <c r="AC1032" s="17">
        <f>IF($B1032="","",CHOOSE(WEEKDAY($B1032,2),"Segunda","Terça","Quarta","Quinta","Sexta","Sábado","Domingo"))</f>
        <v/>
      </c>
      <c r="AD1032" s="17">
        <f>IF($B1032="","",TEXT($B1032,"MM/AAAA"))</f>
        <v/>
      </c>
      <c r="AE1032" s="18">
        <f>IF(COUNTA($B1032:$R1032)=0,"",IF($X1032="Cancelado",0,ROUND(N($Q1032)+N($S1032)+N($T1032)-N($U1032),2)))</f>
        <v/>
      </c>
      <c r="AF1032" s="9">
        <f>IF($G1032="","",IFERROR(INDEX(LINHAS_DRE_PLANO,MATCH($G1032,SUBCATEGORIAS_PLANO,0)),"Não classificado"))</f>
        <v/>
      </c>
      <c r="AG1032" s="17">
        <f>IF($G1032="","",IFERROR(INDEX(TIPOS_FLUXO_PLANO,MATCH($G1032,SUBCATEGORIAS_PLANO,0)),"Não classificado"))</f>
        <v/>
      </c>
      <c r="AH1032" s="9">
        <f>IF($G1032="","",IFERROR(INDEX(GRUPOS_PLANO,MATCH($G1032,SUBCATEGORIAS_PLANO,0)),"Não classificado"))</f>
        <v/>
      </c>
      <c r="AI1032" s="24">
        <f>IF(OR($C1032="",$X1032="Pago",$X1032="Recebido",$X1032="Cancelado"),"",$C1032-TODAY())</f>
        <v/>
      </c>
      <c r="AJ1032" s="24">
        <f>IF(OR($C1032="",$X1032="Pago",$X1032="Recebido",$X1032="Cancelado"),0,MAX(0,TODAY()-$C1032))</f>
        <v/>
      </c>
      <c r="AK1032" s="24">
        <f>IF($D1032="","",$D1032-$B1032)</f>
        <v/>
      </c>
      <c r="AL1032" s="18">
        <f>IF(OR($D1032="",$B1032=""),"",ROUND(N($R1032)*($D1032-$B1032),2))</f>
        <v/>
      </c>
      <c r="AM1032" s="17">
        <f>IF(AND($E1032="Saída",$W1032&gt;0,$C1032&lt;&gt;""),$C1032+ROW()/1000000,"")</f>
        <v/>
      </c>
      <c r="AN1032" s="17">
        <f>IF(AND($E1032="Entrada",$W1032&gt;0,$C1032&lt;&gt;""),$C1032+ROW()/1000000,"")</f>
        <v/>
      </c>
      <c r="AO1032" s="9">
        <f>IF(COUNTA($B1032:$R1032)=0,"",IF(AND($I1032&lt;&gt;"",COUNTIF(CLIENTES_NOMES,$I1032)+COUNTIF(CLIENTES_FANTASIA,$I1032)+COUNTIF(FORNECEDORES_NOMES,$I1032)+COUNTIF(FORNECEDORES_FANTASIA,$I1032)=0),"⚠ Cliente/Fornecedor não cadastrado",IF(AND($G1032&lt;&gt;"",COUNTIF(SUBCATEGORIAS_PLANO,$G1032)=0),"⚠ Subcategoria fora do plano de contas",IF(OR($Q1032="",N($Q1032)=0),"⚠ Valor previsto não informado",IF(AND(OR($X1032="Pago",$X1032="Recebido"),$D1032=""),"⚠ Status pago/recebido sem data",IF(AND($D1032&lt;&gt;"",N($R1032)=0),"⚠ Data de pagamento sem valor realizado",IF(AND(N($P1032)&gt;1,N($O1032)&gt;N($P1032)),"⚠ Nº da parcela maior que o total",IF(AND($C1032&lt;&gt;"",$B1032&lt;&gt;"",$C1032&lt;$B1032),"⚠ Vencimento anterior à competência","OK"))))))))</f>
        <v/>
      </c>
    </row>
    <row r="1033">
      <c r="A1033" s="14" t="n"/>
      <c r="B1033" s="36" t="n"/>
      <c r="C1033" s="36" t="n"/>
      <c r="D1033" s="36" t="n"/>
      <c r="E1033" s="14" t="n"/>
      <c r="F1033" s="29" t="n"/>
      <c r="G1033" s="29" t="n"/>
      <c r="H1033" s="29" t="n"/>
      <c r="I1033" s="29" t="n"/>
      <c r="J1033" s="29" t="n"/>
      <c r="K1033" s="14" t="n"/>
      <c r="L1033" s="29" t="n"/>
      <c r="M1033" s="14" t="n"/>
      <c r="N1033" s="29" t="n"/>
      <c r="O1033" s="13" t="n"/>
      <c r="P1033" s="13" t="n"/>
      <c r="Q1033" s="35" t="n"/>
      <c r="R1033" s="35" t="n"/>
      <c r="S1033" s="35" t="n"/>
      <c r="T1033" s="35" t="n"/>
      <c r="U1033" s="35" t="n"/>
      <c r="V1033" s="18">
        <f>IF(COUNTA($B1033:$R1033)=0,"",ROUND(N($R1033)+N($S1033)+N($T1033)-N($U1033),2))</f>
        <v/>
      </c>
      <c r="W1033" s="18">
        <f>IF(COUNTA($B1033:$R1033)=0,"",IF(OR($X1033="Pago",$X1033="Recebido",$X1033="Cancelado"),0,ROUND(N($Q1033)+N($S1033)+N($T1033)-N($U1033)-N($R1033),2)))</f>
        <v/>
      </c>
      <c r="X1033" s="14" t="n"/>
      <c r="Y1033" s="17">
        <f>IF(COUNTA($B1033:$R1033)=0,"",IF($X1033="Cancelado","Cancelado",IF(OR($X1033="Pago",$X1033="Recebido"),$X1033,IF(OR($X1033="Parcial",N($R1033)&gt;0),"Parcial",IF($C1033="","Sem vencimento",IF($C1033&lt;TODAY(),"Vencido",IF($C1033=TODAY(),"Vence hoje",IF($C1033&lt;=TODAY()+7,"Vence em 7 dias",IF($C1033&lt;=TODAY()+30,"Vence em 30 dias","Futuro")))))))))</f>
        <v/>
      </c>
      <c r="Z1033" s="24">
        <f>IF($B1033="","",MONTH($B1033))</f>
        <v/>
      </c>
      <c r="AA1033" s="24">
        <f>IF($B1033="","",YEAR($B1033))</f>
        <v/>
      </c>
      <c r="AB1033" s="24">
        <f>IF($B1033="","",ISOWEEKNUM($B1033))</f>
        <v/>
      </c>
      <c r="AC1033" s="17">
        <f>IF($B1033="","",CHOOSE(WEEKDAY($B1033,2),"Segunda","Terça","Quarta","Quinta","Sexta","Sábado","Domingo"))</f>
        <v/>
      </c>
      <c r="AD1033" s="17">
        <f>IF($B1033="","",TEXT($B1033,"MM/AAAA"))</f>
        <v/>
      </c>
      <c r="AE1033" s="18">
        <f>IF(COUNTA($B1033:$R1033)=0,"",IF($X1033="Cancelado",0,ROUND(N($Q1033)+N($S1033)+N($T1033)-N($U1033),2)))</f>
        <v/>
      </c>
      <c r="AF1033" s="9">
        <f>IF($G1033="","",IFERROR(INDEX(LINHAS_DRE_PLANO,MATCH($G1033,SUBCATEGORIAS_PLANO,0)),"Não classificado"))</f>
        <v/>
      </c>
      <c r="AG1033" s="17">
        <f>IF($G1033="","",IFERROR(INDEX(TIPOS_FLUXO_PLANO,MATCH($G1033,SUBCATEGORIAS_PLANO,0)),"Não classificado"))</f>
        <v/>
      </c>
      <c r="AH1033" s="9">
        <f>IF($G1033="","",IFERROR(INDEX(GRUPOS_PLANO,MATCH($G1033,SUBCATEGORIAS_PLANO,0)),"Não classificado"))</f>
        <v/>
      </c>
      <c r="AI1033" s="24">
        <f>IF(OR($C1033="",$X1033="Pago",$X1033="Recebido",$X1033="Cancelado"),"",$C1033-TODAY())</f>
        <v/>
      </c>
      <c r="AJ1033" s="24">
        <f>IF(OR($C1033="",$X1033="Pago",$X1033="Recebido",$X1033="Cancelado"),0,MAX(0,TODAY()-$C1033))</f>
        <v/>
      </c>
      <c r="AK1033" s="24">
        <f>IF($D1033="","",$D1033-$B1033)</f>
        <v/>
      </c>
      <c r="AL1033" s="18">
        <f>IF(OR($D1033="",$B1033=""),"",ROUND(N($R1033)*($D1033-$B1033),2))</f>
        <v/>
      </c>
      <c r="AM1033" s="17">
        <f>IF(AND($E1033="Saída",$W1033&gt;0,$C1033&lt;&gt;""),$C1033+ROW()/1000000,"")</f>
        <v/>
      </c>
      <c r="AN1033" s="17">
        <f>IF(AND($E1033="Entrada",$W1033&gt;0,$C1033&lt;&gt;""),$C1033+ROW()/1000000,"")</f>
        <v/>
      </c>
      <c r="AO1033" s="9">
        <f>IF(COUNTA($B1033:$R1033)=0,"",IF(AND($I1033&lt;&gt;"",COUNTIF(CLIENTES_NOMES,$I1033)+COUNTIF(CLIENTES_FANTASIA,$I1033)+COUNTIF(FORNECEDORES_NOMES,$I1033)+COUNTIF(FORNECEDORES_FANTASIA,$I1033)=0),"⚠ Cliente/Fornecedor não cadastrado",IF(AND($G1033&lt;&gt;"",COUNTIF(SUBCATEGORIAS_PLANO,$G1033)=0),"⚠ Subcategoria fora do plano de contas",IF(OR($Q1033="",N($Q1033)=0),"⚠ Valor previsto não informado",IF(AND(OR($X1033="Pago",$X1033="Recebido"),$D1033=""),"⚠ Status pago/recebido sem data",IF(AND($D1033&lt;&gt;"",N($R1033)=0),"⚠ Data de pagamento sem valor realizado",IF(AND(N($P1033)&gt;1,N($O1033)&gt;N($P1033)),"⚠ Nº da parcela maior que o total",IF(AND($C1033&lt;&gt;"",$B1033&lt;&gt;"",$C1033&lt;$B1033),"⚠ Vencimento anterior à competência","OK"))))))))</f>
        <v/>
      </c>
    </row>
    <row r="1034">
      <c r="A1034" s="14" t="n"/>
      <c r="B1034" s="36" t="n"/>
      <c r="C1034" s="36" t="n"/>
      <c r="D1034" s="36" t="n"/>
      <c r="E1034" s="14" t="n"/>
      <c r="F1034" s="29" t="n"/>
      <c r="G1034" s="29" t="n"/>
      <c r="H1034" s="29" t="n"/>
      <c r="I1034" s="29" t="n"/>
      <c r="J1034" s="29" t="n"/>
      <c r="K1034" s="14" t="n"/>
      <c r="L1034" s="29" t="n"/>
      <c r="M1034" s="14" t="n"/>
      <c r="N1034" s="29" t="n"/>
      <c r="O1034" s="13" t="n"/>
      <c r="P1034" s="13" t="n"/>
      <c r="Q1034" s="35" t="n"/>
      <c r="R1034" s="35" t="n"/>
      <c r="S1034" s="35" t="n"/>
      <c r="T1034" s="35" t="n"/>
      <c r="U1034" s="35" t="n"/>
      <c r="V1034" s="18">
        <f>IF(COUNTA($B1034:$R1034)=0,"",ROUND(N($R1034)+N($S1034)+N($T1034)-N($U1034),2))</f>
        <v/>
      </c>
      <c r="W1034" s="18">
        <f>IF(COUNTA($B1034:$R1034)=0,"",IF(OR($X1034="Pago",$X1034="Recebido",$X1034="Cancelado"),0,ROUND(N($Q1034)+N($S1034)+N($T1034)-N($U1034)-N($R1034),2)))</f>
        <v/>
      </c>
      <c r="X1034" s="14" t="n"/>
      <c r="Y1034" s="17">
        <f>IF(COUNTA($B1034:$R1034)=0,"",IF($X1034="Cancelado","Cancelado",IF(OR($X1034="Pago",$X1034="Recebido"),$X1034,IF(OR($X1034="Parcial",N($R1034)&gt;0),"Parcial",IF($C1034="","Sem vencimento",IF($C1034&lt;TODAY(),"Vencido",IF($C1034=TODAY(),"Vence hoje",IF($C1034&lt;=TODAY()+7,"Vence em 7 dias",IF($C1034&lt;=TODAY()+30,"Vence em 30 dias","Futuro")))))))))</f>
        <v/>
      </c>
      <c r="Z1034" s="24">
        <f>IF($B1034="","",MONTH($B1034))</f>
        <v/>
      </c>
      <c r="AA1034" s="24">
        <f>IF($B1034="","",YEAR($B1034))</f>
        <v/>
      </c>
      <c r="AB1034" s="24">
        <f>IF($B1034="","",ISOWEEKNUM($B1034))</f>
        <v/>
      </c>
      <c r="AC1034" s="17">
        <f>IF($B1034="","",CHOOSE(WEEKDAY($B1034,2),"Segunda","Terça","Quarta","Quinta","Sexta","Sábado","Domingo"))</f>
        <v/>
      </c>
      <c r="AD1034" s="17">
        <f>IF($B1034="","",TEXT($B1034,"MM/AAAA"))</f>
        <v/>
      </c>
      <c r="AE1034" s="18">
        <f>IF(COUNTA($B1034:$R1034)=0,"",IF($X1034="Cancelado",0,ROUND(N($Q1034)+N($S1034)+N($T1034)-N($U1034),2)))</f>
        <v/>
      </c>
      <c r="AF1034" s="9">
        <f>IF($G1034="","",IFERROR(INDEX(LINHAS_DRE_PLANO,MATCH($G1034,SUBCATEGORIAS_PLANO,0)),"Não classificado"))</f>
        <v/>
      </c>
      <c r="AG1034" s="17">
        <f>IF($G1034="","",IFERROR(INDEX(TIPOS_FLUXO_PLANO,MATCH($G1034,SUBCATEGORIAS_PLANO,0)),"Não classificado"))</f>
        <v/>
      </c>
      <c r="AH1034" s="9">
        <f>IF($G1034="","",IFERROR(INDEX(GRUPOS_PLANO,MATCH($G1034,SUBCATEGORIAS_PLANO,0)),"Não classificado"))</f>
        <v/>
      </c>
      <c r="AI1034" s="24">
        <f>IF(OR($C1034="",$X1034="Pago",$X1034="Recebido",$X1034="Cancelado"),"",$C1034-TODAY())</f>
        <v/>
      </c>
      <c r="AJ1034" s="24">
        <f>IF(OR($C1034="",$X1034="Pago",$X1034="Recebido",$X1034="Cancelado"),0,MAX(0,TODAY()-$C1034))</f>
        <v/>
      </c>
      <c r="AK1034" s="24">
        <f>IF($D1034="","",$D1034-$B1034)</f>
        <v/>
      </c>
      <c r="AL1034" s="18">
        <f>IF(OR($D1034="",$B1034=""),"",ROUND(N($R1034)*($D1034-$B1034),2))</f>
        <v/>
      </c>
      <c r="AM1034" s="17">
        <f>IF(AND($E1034="Saída",$W1034&gt;0,$C1034&lt;&gt;""),$C1034+ROW()/1000000,"")</f>
        <v/>
      </c>
      <c r="AN1034" s="17">
        <f>IF(AND($E1034="Entrada",$W1034&gt;0,$C1034&lt;&gt;""),$C1034+ROW()/1000000,"")</f>
        <v/>
      </c>
      <c r="AO1034" s="9">
        <f>IF(COUNTA($B1034:$R1034)=0,"",IF(AND($I1034&lt;&gt;"",COUNTIF(CLIENTES_NOMES,$I1034)+COUNTIF(CLIENTES_FANTASIA,$I1034)+COUNTIF(FORNECEDORES_NOMES,$I1034)+COUNTIF(FORNECEDORES_FANTASIA,$I1034)=0),"⚠ Cliente/Fornecedor não cadastrado",IF(AND($G1034&lt;&gt;"",COUNTIF(SUBCATEGORIAS_PLANO,$G1034)=0),"⚠ Subcategoria fora do plano de contas",IF(OR($Q1034="",N($Q1034)=0),"⚠ Valor previsto não informado",IF(AND(OR($X1034="Pago",$X1034="Recebido"),$D1034=""),"⚠ Status pago/recebido sem data",IF(AND($D1034&lt;&gt;"",N($R1034)=0),"⚠ Data de pagamento sem valor realizado",IF(AND(N($P1034)&gt;1,N($O1034)&gt;N($P1034)),"⚠ Nº da parcela maior que o total",IF(AND($C1034&lt;&gt;"",$B1034&lt;&gt;"",$C1034&lt;$B1034),"⚠ Vencimento anterior à competência","OK"))))))))</f>
        <v/>
      </c>
    </row>
    <row r="1035">
      <c r="A1035" s="14" t="n"/>
      <c r="B1035" s="36" t="n"/>
      <c r="C1035" s="36" t="n"/>
      <c r="D1035" s="36" t="n"/>
      <c r="E1035" s="14" t="n"/>
      <c r="F1035" s="29" t="n"/>
      <c r="G1035" s="29" t="n"/>
      <c r="H1035" s="29" t="n"/>
      <c r="I1035" s="29" t="n"/>
      <c r="J1035" s="29" t="n"/>
      <c r="K1035" s="14" t="n"/>
      <c r="L1035" s="29" t="n"/>
      <c r="M1035" s="14" t="n"/>
      <c r="N1035" s="29" t="n"/>
      <c r="O1035" s="13" t="n"/>
      <c r="P1035" s="13" t="n"/>
      <c r="Q1035" s="35" t="n"/>
      <c r="R1035" s="35" t="n"/>
      <c r="S1035" s="35" t="n"/>
      <c r="T1035" s="35" t="n"/>
      <c r="U1035" s="35" t="n"/>
      <c r="V1035" s="18">
        <f>IF(COUNTA($B1035:$R1035)=0,"",ROUND(N($R1035)+N($S1035)+N($T1035)-N($U1035),2))</f>
        <v/>
      </c>
      <c r="W1035" s="18">
        <f>IF(COUNTA($B1035:$R1035)=0,"",IF(OR($X1035="Pago",$X1035="Recebido",$X1035="Cancelado"),0,ROUND(N($Q1035)+N($S1035)+N($T1035)-N($U1035)-N($R1035),2)))</f>
        <v/>
      </c>
      <c r="X1035" s="14" t="n"/>
      <c r="Y1035" s="17">
        <f>IF(COUNTA($B1035:$R1035)=0,"",IF($X1035="Cancelado","Cancelado",IF(OR($X1035="Pago",$X1035="Recebido"),$X1035,IF(OR($X1035="Parcial",N($R1035)&gt;0),"Parcial",IF($C1035="","Sem vencimento",IF($C1035&lt;TODAY(),"Vencido",IF($C1035=TODAY(),"Vence hoje",IF($C1035&lt;=TODAY()+7,"Vence em 7 dias",IF($C1035&lt;=TODAY()+30,"Vence em 30 dias","Futuro")))))))))</f>
        <v/>
      </c>
      <c r="Z1035" s="24">
        <f>IF($B1035="","",MONTH($B1035))</f>
        <v/>
      </c>
      <c r="AA1035" s="24">
        <f>IF($B1035="","",YEAR($B1035))</f>
        <v/>
      </c>
      <c r="AB1035" s="24">
        <f>IF($B1035="","",ISOWEEKNUM($B1035))</f>
        <v/>
      </c>
      <c r="AC1035" s="17">
        <f>IF($B1035="","",CHOOSE(WEEKDAY($B1035,2),"Segunda","Terça","Quarta","Quinta","Sexta","Sábado","Domingo"))</f>
        <v/>
      </c>
      <c r="AD1035" s="17">
        <f>IF($B1035="","",TEXT($B1035,"MM/AAAA"))</f>
        <v/>
      </c>
      <c r="AE1035" s="18">
        <f>IF(COUNTA($B1035:$R1035)=0,"",IF($X1035="Cancelado",0,ROUND(N($Q1035)+N($S1035)+N($T1035)-N($U1035),2)))</f>
        <v/>
      </c>
      <c r="AF1035" s="9">
        <f>IF($G1035="","",IFERROR(INDEX(LINHAS_DRE_PLANO,MATCH($G1035,SUBCATEGORIAS_PLANO,0)),"Não classificado"))</f>
        <v/>
      </c>
      <c r="AG1035" s="17">
        <f>IF($G1035="","",IFERROR(INDEX(TIPOS_FLUXO_PLANO,MATCH($G1035,SUBCATEGORIAS_PLANO,0)),"Não classificado"))</f>
        <v/>
      </c>
      <c r="AH1035" s="9">
        <f>IF($G1035="","",IFERROR(INDEX(GRUPOS_PLANO,MATCH($G1035,SUBCATEGORIAS_PLANO,0)),"Não classificado"))</f>
        <v/>
      </c>
      <c r="AI1035" s="24">
        <f>IF(OR($C1035="",$X1035="Pago",$X1035="Recebido",$X1035="Cancelado"),"",$C1035-TODAY())</f>
        <v/>
      </c>
      <c r="AJ1035" s="24">
        <f>IF(OR($C1035="",$X1035="Pago",$X1035="Recebido",$X1035="Cancelado"),0,MAX(0,TODAY()-$C1035))</f>
        <v/>
      </c>
      <c r="AK1035" s="24">
        <f>IF($D1035="","",$D1035-$B1035)</f>
        <v/>
      </c>
      <c r="AL1035" s="18">
        <f>IF(OR($D1035="",$B1035=""),"",ROUND(N($R1035)*($D1035-$B1035),2))</f>
        <v/>
      </c>
      <c r="AM1035" s="17">
        <f>IF(AND($E1035="Saída",$W1035&gt;0,$C1035&lt;&gt;""),$C1035+ROW()/1000000,"")</f>
        <v/>
      </c>
      <c r="AN1035" s="17">
        <f>IF(AND($E1035="Entrada",$W1035&gt;0,$C1035&lt;&gt;""),$C1035+ROW()/1000000,"")</f>
        <v/>
      </c>
      <c r="AO1035" s="9">
        <f>IF(COUNTA($B1035:$R1035)=0,"",IF(AND($I1035&lt;&gt;"",COUNTIF(CLIENTES_NOMES,$I1035)+COUNTIF(CLIENTES_FANTASIA,$I1035)+COUNTIF(FORNECEDORES_NOMES,$I1035)+COUNTIF(FORNECEDORES_FANTASIA,$I1035)=0),"⚠ Cliente/Fornecedor não cadastrado",IF(AND($G1035&lt;&gt;"",COUNTIF(SUBCATEGORIAS_PLANO,$G1035)=0),"⚠ Subcategoria fora do plano de contas",IF(OR($Q1035="",N($Q1035)=0),"⚠ Valor previsto não informado",IF(AND(OR($X1035="Pago",$X1035="Recebido"),$D1035=""),"⚠ Status pago/recebido sem data",IF(AND($D1035&lt;&gt;"",N($R1035)=0),"⚠ Data de pagamento sem valor realizado",IF(AND(N($P1035)&gt;1,N($O1035)&gt;N($P1035)),"⚠ Nº da parcela maior que o total",IF(AND($C1035&lt;&gt;"",$B1035&lt;&gt;"",$C1035&lt;$B1035),"⚠ Vencimento anterior à competência","OK"))))))))</f>
        <v/>
      </c>
    </row>
    <row r="1036">
      <c r="A1036" s="14" t="n"/>
      <c r="B1036" s="36" t="n"/>
      <c r="C1036" s="36" t="n"/>
      <c r="D1036" s="36" t="n"/>
      <c r="E1036" s="14" t="n"/>
      <c r="F1036" s="29" t="n"/>
      <c r="G1036" s="29" t="n"/>
      <c r="H1036" s="29" t="n"/>
      <c r="I1036" s="29" t="n"/>
      <c r="J1036" s="29" t="n"/>
      <c r="K1036" s="14" t="n"/>
      <c r="L1036" s="29" t="n"/>
      <c r="M1036" s="14" t="n"/>
      <c r="N1036" s="29" t="n"/>
      <c r="O1036" s="13" t="n"/>
      <c r="P1036" s="13" t="n"/>
      <c r="Q1036" s="35" t="n"/>
      <c r="R1036" s="35" t="n"/>
      <c r="S1036" s="35" t="n"/>
      <c r="T1036" s="35" t="n"/>
      <c r="U1036" s="35" t="n"/>
      <c r="V1036" s="18">
        <f>IF(COUNTA($B1036:$R1036)=0,"",ROUND(N($R1036)+N($S1036)+N($T1036)-N($U1036),2))</f>
        <v/>
      </c>
      <c r="W1036" s="18">
        <f>IF(COUNTA($B1036:$R1036)=0,"",IF(OR($X1036="Pago",$X1036="Recebido",$X1036="Cancelado"),0,ROUND(N($Q1036)+N($S1036)+N($T1036)-N($U1036)-N($R1036),2)))</f>
        <v/>
      </c>
      <c r="X1036" s="14" t="n"/>
      <c r="Y1036" s="17">
        <f>IF(COUNTA($B1036:$R1036)=0,"",IF($X1036="Cancelado","Cancelado",IF(OR($X1036="Pago",$X1036="Recebido"),$X1036,IF(OR($X1036="Parcial",N($R1036)&gt;0),"Parcial",IF($C1036="","Sem vencimento",IF($C1036&lt;TODAY(),"Vencido",IF($C1036=TODAY(),"Vence hoje",IF($C1036&lt;=TODAY()+7,"Vence em 7 dias",IF($C1036&lt;=TODAY()+30,"Vence em 30 dias","Futuro")))))))))</f>
        <v/>
      </c>
      <c r="Z1036" s="24">
        <f>IF($B1036="","",MONTH($B1036))</f>
        <v/>
      </c>
      <c r="AA1036" s="24">
        <f>IF($B1036="","",YEAR($B1036))</f>
        <v/>
      </c>
      <c r="AB1036" s="24">
        <f>IF($B1036="","",ISOWEEKNUM($B1036))</f>
        <v/>
      </c>
      <c r="AC1036" s="17">
        <f>IF($B1036="","",CHOOSE(WEEKDAY($B1036,2),"Segunda","Terça","Quarta","Quinta","Sexta","Sábado","Domingo"))</f>
        <v/>
      </c>
      <c r="AD1036" s="17">
        <f>IF($B1036="","",TEXT($B1036,"MM/AAAA"))</f>
        <v/>
      </c>
      <c r="AE1036" s="18">
        <f>IF(COUNTA($B1036:$R1036)=0,"",IF($X1036="Cancelado",0,ROUND(N($Q1036)+N($S1036)+N($T1036)-N($U1036),2)))</f>
        <v/>
      </c>
      <c r="AF1036" s="9">
        <f>IF($G1036="","",IFERROR(INDEX(LINHAS_DRE_PLANO,MATCH($G1036,SUBCATEGORIAS_PLANO,0)),"Não classificado"))</f>
        <v/>
      </c>
      <c r="AG1036" s="17">
        <f>IF($G1036="","",IFERROR(INDEX(TIPOS_FLUXO_PLANO,MATCH($G1036,SUBCATEGORIAS_PLANO,0)),"Não classificado"))</f>
        <v/>
      </c>
      <c r="AH1036" s="9">
        <f>IF($G1036="","",IFERROR(INDEX(GRUPOS_PLANO,MATCH($G1036,SUBCATEGORIAS_PLANO,0)),"Não classificado"))</f>
        <v/>
      </c>
      <c r="AI1036" s="24">
        <f>IF(OR($C1036="",$X1036="Pago",$X1036="Recebido",$X1036="Cancelado"),"",$C1036-TODAY())</f>
        <v/>
      </c>
      <c r="AJ1036" s="24">
        <f>IF(OR($C1036="",$X1036="Pago",$X1036="Recebido",$X1036="Cancelado"),0,MAX(0,TODAY()-$C1036))</f>
        <v/>
      </c>
      <c r="AK1036" s="24">
        <f>IF($D1036="","",$D1036-$B1036)</f>
        <v/>
      </c>
      <c r="AL1036" s="18">
        <f>IF(OR($D1036="",$B1036=""),"",ROUND(N($R1036)*($D1036-$B1036),2))</f>
        <v/>
      </c>
      <c r="AM1036" s="17">
        <f>IF(AND($E1036="Saída",$W1036&gt;0,$C1036&lt;&gt;""),$C1036+ROW()/1000000,"")</f>
        <v/>
      </c>
      <c r="AN1036" s="17">
        <f>IF(AND($E1036="Entrada",$W1036&gt;0,$C1036&lt;&gt;""),$C1036+ROW()/1000000,"")</f>
        <v/>
      </c>
      <c r="AO1036" s="9">
        <f>IF(COUNTA($B1036:$R1036)=0,"",IF(AND($I1036&lt;&gt;"",COUNTIF(CLIENTES_NOMES,$I1036)+COUNTIF(CLIENTES_FANTASIA,$I1036)+COUNTIF(FORNECEDORES_NOMES,$I1036)+COUNTIF(FORNECEDORES_FANTASIA,$I1036)=0),"⚠ Cliente/Fornecedor não cadastrado",IF(AND($G1036&lt;&gt;"",COUNTIF(SUBCATEGORIAS_PLANO,$G1036)=0),"⚠ Subcategoria fora do plano de contas",IF(OR($Q1036="",N($Q1036)=0),"⚠ Valor previsto não informado",IF(AND(OR($X1036="Pago",$X1036="Recebido"),$D1036=""),"⚠ Status pago/recebido sem data",IF(AND($D1036&lt;&gt;"",N($R1036)=0),"⚠ Data de pagamento sem valor realizado",IF(AND(N($P1036)&gt;1,N($O1036)&gt;N($P1036)),"⚠ Nº da parcela maior que o total",IF(AND($C1036&lt;&gt;"",$B1036&lt;&gt;"",$C1036&lt;$B1036),"⚠ Vencimento anterior à competência","OK"))))))))</f>
        <v/>
      </c>
    </row>
    <row r="1037">
      <c r="A1037" s="14" t="n"/>
      <c r="B1037" s="36" t="n"/>
      <c r="C1037" s="36" t="n"/>
      <c r="D1037" s="36" t="n"/>
      <c r="E1037" s="14" t="n"/>
      <c r="F1037" s="29" t="n"/>
      <c r="G1037" s="29" t="n"/>
      <c r="H1037" s="29" t="n"/>
      <c r="I1037" s="29" t="n"/>
      <c r="J1037" s="29" t="n"/>
      <c r="K1037" s="14" t="n"/>
      <c r="L1037" s="29" t="n"/>
      <c r="M1037" s="14" t="n"/>
      <c r="N1037" s="29" t="n"/>
      <c r="O1037" s="13" t="n"/>
      <c r="P1037" s="13" t="n"/>
      <c r="Q1037" s="35" t="n"/>
      <c r="R1037" s="35" t="n"/>
      <c r="S1037" s="35" t="n"/>
      <c r="T1037" s="35" t="n"/>
      <c r="U1037" s="35" t="n"/>
      <c r="V1037" s="18">
        <f>IF(COUNTA($B1037:$R1037)=0,"",ROUND(N($R1037)+N($S1037)+N($T1037)-N($U1037),2))</f>
        <v/>
      </c>
      <c r="W1037" s="18">
        <f>IF(COUNTA($B1037:$R1037)=0,"",IF(OR($X1037="Pago",$X1037="Recebido",$X1037="Cancelado"),0,ROUND(N($Q1037)+N($S1037)+N($T1037)-N($U1037)-N($R1037),2)))</f>
        <v/>
      </c>
      <c r="X1037" s="14" t="n"/>
      <c r="Y1037" s="17">
        <f>IF(COUNTA($B1037:$R1037)=0,"",IF($X1037="Cancelado","Cancelado",IF(OR($X1037="Pago",$X1037="Recebido"),$X1037,IF(OR($X1037="Parcial",N($R1037)&gt;0),"Parcial",IF($C1037="","Sem vencimento",IF($C1037&lt;TODAY(),"Vencido",IF($C1037=TODAY(),"Vence hoje",IF($C1037&lt;=TODAY()+7,"Vence em 7 dias",IF($C1037&lt;=TODAY()+30,"Vence em 30 dias","Futuro")))))))))</f>
        <v/>
      </c>
      <c r="Z1037" s="24">
        <f>IF($B1037="","",MONTH($B1037))</f>
        <v/>
      </c>
      <c r="AA1037" s="24">
        <f>IF($B1037="","",YEAR($B1037))</f>
        <v/>
      </c>
      <c r="AB1037" s="24">
        <f>IF($B1037="","",ISOWEEKNUM($B1037))</f>
        <v/>
      </c>
      <c r="AC1037" s="17">
        <f>IF($B1037="","",CHOOSE(WEEKDAY($B1037,2),"Segunda","Terça","Quarta","Quinta","Sexta","Sábado","Domingo"))</f>
        <v/>
      </c>
      <c r="AD1037" s="17">
        <f>IF($B1037="","",TEXT($B1037,"MM/AAAA"))</f>
        <v/>
      </c>
      <c r="AE1037" s="18">
        <f>IF(COUNTA($B1037:$R1037)=0,"",IF($X1037="Cancelado",0,ROUND(N($Q1037)+N($S1037)+N($T1037)-N($U1037),2)))</f>
        <v/>
      </c>
      <c r="AF1037" s="9">
        <f>IF($G1037="","",IFERROR(INDEX(LINHAS_DRE_PLANO,MATCH($G1037,SUBCATEGORIAS_PLANO,0)),"Não classificado"))</f>
        <v/>
      </c>
      <c r="AG1037" s="17">
        <f>IF($G1037="","",IFERROR(INDEX(TIPOS_FLUXO_PLANO,MATCH($G1037,SUBCATEGORIAS_PLANO,0)),"Não classificado"))</f>
        <v/>
      </c>
      <c r="AH1037" s="9">
        <f>IF($G1037="","",IFERROR(INDEX(GRUPOS_PLANO,MATCH($G1037,SUBCATEGORIAS_PLANO,0)),"Não classificado"))</f>
        <v/>
      </c>
      <c r="AI1037" s="24">
        <f>IF(OR($C1037="",$X1037="Pago",$X1037="Recebido",$X1037="Cancelado"),"",$C1037-TODAY())</f>
        <v/>
      </c>
      <c r="AJ1037" s="24">
        <f>IF(OR($C1037="",$X1037="Pago",$X1037="Recebido",$X1037="Cancelado"),0,MAX(0,TODAY()-$C1037))</f>
        <v/>
      </c>
      <c r="AK1037" s="24">
        <f>IF($D1037="","",$D1037-$B1037)</f>
        <v/>
      </c>
      <c r="AL1037" s="18">
        <f>IF(OR($D1037="",$B1037=""),"",ROUND(N($R1037)*($D1037-$B1037),2))</f>
        <v/>
      </c>
      <c r="AM1037" s="17">
        <f>IF(AND($E1037="Saída",$W1037&gt;0,$C1037&lt;&gt;""),$C1037+ROW()/1000000,"")</f>
        <v/>
      </c>
      <c r="AN1037" s="17">
        <f>IF(AND($E1037="Entrada",$W1037&gt;0,$C1037&lt;&gt;""),$C1037+ROW()/1000000,"")</f>
        <v/>
      </c>
      <c r="AO1037" s="9">
        <f>IF(COUNTA($B1037:$R1037)=0,"",IF(AND($I1037&lt;&gt;"",COUNTIF(CLIENTES_NOMES,$I1037)+COUNTIF(CLIENTES_FANTASIA,$I1037)+COUNTIF(FORNECEDORES_NOMES,$I1037)+COUNTIF(FORNECEDORES_FANTASIA,$I1037)=0),"⚠ Cliente/Fornecedor não cadastrado",IF(AND($G1037&lt;&gt;"",COUNTIF(SUBCATEGORIAS_PLANO,$G1037)=0),"⚠ Subcategoria fora do plano de contas",IF(OR($Q1037="",N($Q1037)=0),"⚠ Valor previsto não informado",IF(AND(OR($X1037="Pago",$X1037="Recebido"),$D1037=""),"⚠ Status pago/recebido sem data",IF(AND($D1037&lt;&gt;"",N($R1037)=0),"⚠ Data de pagamento sem valor realizado",IF(AND(N($P1037)&gt;1,N($O1037)&gt;N($P1037)),"⚠ Nº da parcela maior que o total",IF(AND($C1037&lt;&gt;"",$B1037&lt;&gt;"",$C1037&lt;$B1037),"⚠ Vencimento anterior à competência","OK"))))))))</f>
        <v/>
      </c>
    </row>
    <row r="1038">
      <c r="A1038" s="14" t="n"/>
      <c r="B1038" s="36" t="n"/>
      <c r="C1038" s="36" t="n"/>
      <c r="D1038" s="36" t="n"/>
      <c r="E1038" s="14" t="n"/>
      <c r="F1038" s="29" t="n"/>
      <c r="G1038" s="29" t="n"/>
      <c r="H1038" s="29" t="n"/>
      <c r="I1038" s="29" t="n"/>
      <c r="J1038" s="29" t="n"/>
      <c r="K1038" s="14" t="n"/>
      <c r="L1038" s="29" t="n"/>
      <c r="M1038" s="14" t="n"/>
      <c r="N1038" s="29" t="n"/>
      <c r="O1038" s="13" t="n"/>
      <c r="P1038" s="13" t="n"/>
      <c r="Q1038" s="35" t="n"/>
      <c r="R1038" s="35" t="n"/>
      <c r="S1038" s="35" t="n"/>
      <c r="T1038" s="35" t="n"/>
      <c r="U1038" s="35" t="n"/>
      <c r="V1038" s="18">
        <f>IF(COUNTA($B1038:$R1038)=0,"",ROUND(N($R1038)+N($S1038)+N($T1038)-N($U1038),2))</f>
        <v/>
      </c>
      <c r="W1038" s="18">
        <f>IF(COUNTA($B1038:$R1038)=0,"",IF(OR($X1038="Pago",$X1038="Recebido",$X1038="Cancelado"),0,ROUND(N($Q1038)+N($S1038)+N($T1038)-N($U1038)-N($R1038),2)))</f>
        <v/>
      </c>
      <c r="X1038" s="14" t="n"/>
      <c r="Y1038" s="17">
        <f>IF(COUNTA($B1038:$R1038)=0,"",IF($X1038="Cancelado","Cancelado",IF(OR($X1038="Pago",$X1038="Recebido"),$X1038,IF(OR($X1038="Parcial",N($R1038)&gt;0),"Parcial",IF($C1038="","Sem vencimento",IF($C1038&lt;TODAY(),"Vencido",IF($C1038=TODAY(),"Vence hoje",IF($C1038&lt;=TODAY()+7,"Vence em 7 dias",IF($C1038&lt;=TODAY()+30,"Vence em 30 dias","Futuro")))))))))</f>
        <v/>
      </c>
      <c r="Z1038" s="24">
        <f>IF($B1038="","",MONTH($B1038))</f>
        <v/>
      </c>
      <c r="AA1038" s="24">
        <f>IF($B1038="","",YEAR($B1038))</f>
        <v/>
      </c>
      <c r="AB1038" s="24">
        <f>IF($B1038="","",ISOWEEKNUM($B1038))</f>
        <v/>
      </c>
      <c r="AC1038" s="17">
        <f>IF($B1038="","",CHOOSE(WEEKDAY($B1038,2),"Segunda","Terça","Quarta","Quinta","Sexta","Sábado","Domingo"))</f>
        <v/>
      </c>
      <c r="AD1038" s="17">
        <f>IF($B1038="","",TEXT($B1038,"MM/AAAA"))</f>
        <v/>
      </c>
      <c r="AE1038" s="18">
        <f>IF(COUNTA($B1038:$R1038)=0,"",IF($X1038="Cancelado",0,ROUND(N($Q1038)+N($S1038)+N($T1038)-N($U1038),2)))</f>
        <v/>
      </c>
      <c r="AF1038" s="9">
        <f>IF($G1038="","",IFERROR(INDEX(LINHAS_DRE_PLANO,MATCH($G1038,SUBCATEGORIAS_PLANO,0)),"Não classificado"))</f>
        <v/>
      </c>
      <c r="AG1038" s="17">
        <f>IF($G1038="","",IFERROR(INDEX(TIPOS_FLUXO_PLANO,MATCH($G1038,SUBCATEGORIAS_PLANO,0)),"Não classificado"))</f>
        <v/>
      </c>
      <c r="AH1038" s="9">
        <f>IF($G1038="","",IFERROR(INDEX(GRUPOS_PLANO,MATCH($G1038,SUBCATEGORIAS_PLANO,0)),"Não classificado"))</f>
        <v/>
      </c>
      <c r="AI1038" s="24">
        <f>IF(OR($C1038="",$X1038="Pago",$X1038="Recebido",$X1038="Cancelado"),"",$C1038-TODAY())</f>
        <v/>
      </c>
      <c r="AJ1038" s="24">
        <f>IF(OR($C1038="",$X1038="Pago",$X1038="Recebido",$X1038="Cancelado"),0,MAX(0,TODAY()-$C1038))</f>
        <v/>
      </c>
      <c r="AK1038" s="24">
        <f>IF($D1038="","",$D1038-$B1038)</f>
        <v/>
      </c>
      <c r="AL1038" s="18">
        <f>IF(OR($D1038="",$B1038=""),"",ROUND(N($R1038)*($D1038-$B1038),2))</f>
        <v/>
      </c>
      <c r="AM1038" s="17">
        <f>IF(AND($E1038="Saída",$W1038&gt;0,$C1038&lt;&gt;""),$C1038+ROW()/1000000,"")</f>
        <v/>
      </c>
      <c r="AN1038" s="17">
        <f>IF(AND($E1038="Entrada",$W1038&gt;0,$C1038&lt;&gt;""),$C1038+ROW()/1000000,"")</f>
        <v/>
      </c>
      <c r="AO1038" s="9">
        <f>IF(COUNTA($B1038:$R1038)=0,"",IF(AND($I1038&lt;&gt;"",COUNTIF(CLIENTES_NOMES,$I1038)+COUNTIF(CLIENTES_FANTASIA,$I1038)+COUNTIF(FORNECEDORES_NOMES,$I1038)+COUNTIF(FORNECEDORES_FANTASIA,$I1038)=0),"⚠ Cliente/Fornecedor não cadastrado",IF(AND($G1038&lt;&gt;"",COUNTIF(SUBCATEGORIAS_PLANO,$G1038)=0),"⚠ Subcategoria fora do plano de contas",IF(OR($Q1038="",N($Q1038)=0),"⚠ Valor previsto não informado",IF(AND(OR($X1038="Pago",$X1038="Recebido"),$D1038=""),"⚠ Status pago/recebido sem data",IF(AND($D1038&lt;&gt;"",N($R1038)=0),"⚠ Data de pagamento sem valor realizado",IF(AND(N($P1038)&gt;1,N($O1038)&gt;N($P1038)),"⚠ Nº da parcela maior que o total",IF(AND($C1038&lt;&gt;"",$B1038&lt;&gt;"",$C1038&lt;$B1038),"⚠ Vencimento anterior à competência","OK"))))))))</f>
        <v/>
      </c>
    </row>
    <row r="1039">
      <c r="A1039" s="14" t="n"/>
      <c r="B1039" s="36" t="n"/>
      <c r="C1039" s="36" t="n"/>
      <c r="D1039" s="36" t="n"/>
      <c r="E1039" s="14" t="n"/>
      <c r="F1039" s="29" t="n"/>
      <c r="G1039" s="29" t="n"/>
      <c r="H1039" s="29" t="n"/>
      <c r="I1039" s="29" t="n"/>
      <c r="J1039" s="29" t="n"/>
      <c r="K1039" s="14" t="n"/>
      <c r="L1039" s="29" t="n"/>
      <c r="M1039" s="14" t="n"/>
      <c r="N1039" s="29" t="n"/>
      <c r="O1039" s="13" t="n"/>
      <c r="P1039" s="13" t="n"/>
      <c r="Q1039" s="35" t="n"/>
      <c r="R1039" s="35" t="n"/>
      <c r="S1039" s="35" t="n"/>
      <c r="T1039" s="35" t="n"/>
      <c r="U1039" s="35" t="n"/>
      <c r="V1039" s="18">
        <f>IF(COUNTA($B1039:$R1039)=0,"",ROUND(N($R1039)+N($S1039)+N($T1039)-N($U1039),2))</f>
        <v/>
      </c>
      <c r="W1039" s="18">
        <f>IF(COUNTA($B1039:$R1039)=0,"",IF(OR($X1039="Pago",$X1039="Recebido",$X1039="Cancelado"),0,ROUND(N($Q1039)+N($S1039)+N($T1039)-N($U1039)-N($R1039),2)))</f>
        <v/>
      </c>
      <c r="X1039" s="14" t="n"/>
      <c r="Y1039" s="17">
        <f>IF(COUNTA($B1039:$R1039)=0,"",IF($X1039="Cancelado","Cancelado",IF(OR($X1039="Pago",$X1039="Recebido"),$X1039,IF(OR($X1039="Parcial",N($R1039)&gt;0),"Parcial",IF($C1039="","Sem vencimento",IF($C1039&lt;TODAY(),"Vencido",IF($C1039=TODAY(),"Vence hoje",IF($C1039&lt;=TODAY()+7,"Vence em 7 dias",IF($C1039&lt;=TODAY()+30,"Vence em 30 dias","Futuro")))))))))</f>
        <v/>
      </c>
      <c r="Z1039" s="24">
        <f>IF($B1039="","",MONTH($B1039))</f>
        <v/>
      </c>
      <c r="AA1039" s="24">
        <f>IF($B1039="","",YEAR($B1039))</f>
        <v/>
      </c>
      <c r="AB1039" s="24">
        <f>IF($B1039="","",ISOWEEKNUM($B1039))</f>
        <v/>
      </c>
      <c r="AC1039" s="17">
        <f>IF($B1039="","",CHOOSE(WEEKDAY($B1039,2),"Segunda","Terça","Quarta","Quinta","Sexta","Sábado","Domingo"))</f>
        <v/>
      </c>
      <c r="AD1039" s="17">
        <f>IF($B1039="","",TEXT($B1039,"MM/AAAA"))</f>
        <v/>
      </c>
      <c r="AE1039" s="18">
        <f>IF(COUNTA($B1039:$R1039)=0,"",IF($X1039="Cancelado",0,ROUND(N($Q1039)+N($S1039)+N($T1039)-N($U1039),2)))</f>
        <v/>
      </c>
      <c r="AF1039" s="9">
        <f>IF($G1039="","",IFERROR(INDEX(LINHAS_DRE_PLANO,MATCH($G1039,SUBCATEGORIAS_PLANO,0)),"Não classificado"))</f>
        <v/>
      </c>
      <c r="AG1039" s="17">
        <f>IF($G1039="","",IFERROR(INDEX(TIPOS_FLUXO_PLANO,MATCH($G1039,SUBCATEGORIAS_PLANO,0)),"Não classificado"))</f>
        <v/>
      </c>
      <c r="AH1039" s="9">
        <f>IF($G1039="","",IFERROR(INDEX(GRUPOS_PLANO,MATCH($G1039,SUBCATEGORIAS_PLANO,0)),"Não classificado"))</f>
        <v/>
      </c>
      <c r="AI1039" s="24">
        <f>IF(OR($C1039="",$X1039="Pago",$X1039="Recebido",$X1039="Cancelado"),"",$C1039-TODAY())</f>
        <v/>
      </c>
      <c r="AJ1039" s="24">
        <f>IF(OR($C1039="",$X1039="Pago",$X1039="Recebido",$X1039="Cancelado"),0,MAX(0,TODAY()-$C1039))</f>
        <v/>
      </c>
      <c r="AK1039" s="24">
        <f>IF($D1039="","",$D1039-$B1039)</f>
        <v/>
      </c>
      <c r="AL1039" s="18">
        <f>IF(OR($D1039="",$B1039=""),"",ROUND(N($R1039)*($D1039-$B1039),2))</f>
        <v/>
      </c>
      <c r="AM1039" s="17">
        <f>IF(AND($E1039="Saída",$W1039&gt;0,$C1039&lt;&gt;""),$C1039+ROW()/1000000,"")</f>
        <v/>
      </c>
      <c r="AN1039" s="17">
        <f>IF(AND($E1039="Entrada",$W1039&gt;0,$C1039&lt;&gt;""),$C1039+ROW()/1000000,"")</f>
        <v/>
      </c>
      <c r="AO1039" s="9">
        <f>IF(COUNTA($B1039:$R1039)=0,"",IF(AND($I1039&lt;&gt;"",COUNTIF(CLIENTES_NOMES,$I1039)+COUNTIF(CLIENTES_FANTASIA,$I1039)+COUNTIF(FORNECEDORES_NOMES,$I1039)+COUNTIF(FORNECEDORES_FANTASIA,$I1039)=0),"⚠ Cliente/Fornecedor não cadastrado",IF(AND($G1039&lt;&gt;"",COUNTIF(SUBCATEGORIAS_PLANO,$G1039)=0),"⚠ Subcategoria fora do plano de contas",IF(OR($Q1039="",N($Q1039)=0),"⚠ Valor previsto não informado",IF(AND(OR($X1039="Pago",$X1039="Recebido"),$D1039=""),"⚠ Status pago/recebido sem data",IF(AND($D1039&lt;&gt;"",N($R1039)=0),"⚠ Data de pagamento sem valor realizado",IF(AND(N($P1039)&gt;1,N($O1039)&gt;N($P1039)),"⚠ Nº da parcela maior que o total",IF(AND($C1039&lt;&gt;"",$B1039&lt;&gt;"",$C1039&lt;$B1039),"⚠ Vencimento anterior à competência","OK"))))))))</f>
        <v/>
      </c>
    </row>
    <row r="1040">
      <c r="A1040" s="14" t="n"/>
      <c r="B1040" s="36" t="n"/>
      <c r="C1040" s="36" t="n"/>
      <c r="D1040" s="36" t="n"/>
      <c r="E1040" s="14" t="n"/>
      <c r="F1040" s="29" t="n"/>
      <c r="G1040" s="29" t="n"/>
      <c r="H1040" s="29" t="n"/>
      <c r="I1040" s="29" t="n"/>
      <c r="J1040" s="29" t="n"/>
      <c r="K1040" s="14" t="n"/>
      <c r="L1040" s="29" t="n"/>
      <c r="M1040" s="14" t="n"/>
      <c r="N1040" s="29" t="n"/>
      <c r="O1040" s="13" t="n"/>
      <c r="P1040" s="13" t="n"/>
      <c r="Q1040" s="35" t="n"/>
      <c r="R1040" s="35" t="n"/>
      <c r="S1040" s="35" t="n"/>
      <c r="T1040" s="35" t="n"/>
      <c r="U1040" s="35" t="n"/>
      <c r="V1040" s="18">
        <f>IF(COUNTA($B1040:$R1040)=0,"",ROUND(N($R1040)+N($S1040)+N($T1040)-N($U1040),2))</f>
        <v/>
      </c>
      <c r="W1040" s="18">
        <f>IF(COUNTA($B1040:$R1040)=0,"",IF(OR($X1040="Pago",$X1040="Recebido",$X1040="Cancelado"),0,ROUND(N($Q1040)+N($S1040)+N($T1040)-N($U1040)-N($R1040),2)))</f>
        <v/>
      </c>
      <c r="X1040" s="14" t="n"/>
      <c r="Y1040" s="17">
        <f>IF(COUNTA($B1040:$R1040)=0,"",IF($X1040="Cancelado","Cancelado",IF(OR($X1040="Pago",$X1040="Recebido"),$X1040,IF(OR($X1040="Parcial",N($R1040)&gt;0),"Parcial",IF($C1040="","Sem vencimento",IF($C1040&lt;TODAY(),"Vencido",IF($C1040=TODAY(),"Vence hoje",IF($C1040&lt;=TODAY()+7,"Vence em 7 dias",IF($C1040&lt;=TODAY()+30,"Vence em 30 dias","Futuro")))))))))</f>
        <v/>
      </c>
      <c r="Z1040" s="24">
        <f>IF($B1040="","",MONTH($B1040))</f>
        <v/>
      </c>
      <c r="AA1040" s="24">
        <f>IF($B1040="","",YEAR($B1040))</f>
        <v/>
      </c>
      <c r="AB1040" s="24">
        <f>IF($B1040="","",ISOWEEKNUM($B1040))</f>
        <v/>
      </c>
      <c r="AC1040" s="17">
        <f>IF($B1040="","",CHOOSE(WEEKDAY($B1040,2),"Segunda","Terça","Quarta","Quinta","Sexta","Sábado","Domingo"))</f>
        <v/>
      </c>
      <c r="AD1040" s="17">
        <f>IF($B1040="","",TEXT($B1040,"MM/AAAA"))</f>
        <v/>
      </c>
      <c r="AE1040" s="18">
        <f>IF(COUNTA($B1040:$R1040)=0,"",IF($X1040="Cancelado",0,ROUND(N($Q1040)+N($S1040)+N($T1040)-N($U1040),2)))</f>
        <v/>
      </c>
      <c r="AF1040" s="9">
        <f>IF($G1040="","",IFERROR(INDEX(LINHAS_DRE_PLANO,MATCH($G1040,SUBCATEGORIAS_PLANO,0)),"Não classificado"))</f>
        <v/>
      </c>
      <c r="AG1040" s="17">
        <f>IF($G1040="","",IFERROR(INDEX(TIPOS_FLUXO_PLANO,MATCH($G1040,SUBCATEGORIAS_PLANO,0)),"Não classificado"))</f>
        <v/>
      </c>
      <c r="AH1040" s="9">
        <f>IF($G1040="","",IFERROR(INDEX(GRUPOS_PLANO,MATCH($G1040,SUBCATEGORIAS_PLANO,0)),"Não classificado"))</f>
        <v/>
      </c>
      <c r="AI1040" s="24">
        <f>IF(OR($C1040="",$X1040="Pago",$X1040="Recebido",$X1040="Cancelado"),"",$C1040-TODAY())</f>
        <v/>
      </c>
      <c r="AJ1040" s="24">
        <f>IF(OR($C1040="",$X1040="Pago",$X1040="Recebido",$X1040="Cancelado"),0,MAX(0,TODAY()-$C1040))</f>
        <v/>
      </c>
      <c r="AK1040" s="24">
        <f>IF($D1040="","",$D1040-$B1040)</f>
        <v/>
      </c>
      <c r="AL1040" s="18">
        <f>IF(OR($D1040="",$B1040=""),"",ROUND(N($R1040)*($D1040-$B1040),2))</f>
        <v/>
      </c>
      <c r="AM1040" s="17">
        <f>IF(AND($E1040="Saída",$W1040&gt;0,$C1040&lt;&gt;""),$C1040+ROW()/1000000,"")</f>
        <v/>
      </c>
      <c r="AN1040" s="17">
        <f>IF(AND($E1040="Entrada",$W1040&gt;0,$C1040&lt;&gt;""),$C1040+ROW()/1000000,"")</f>
        <v/>
      </c>
      <c r="AO1040" s="9">
        <f>IF(COUNTA($B1040:$R1040)=0,"",IF(AND($I1040&lt;&gt;"",COUNTIF(CLIENTES_NOMES,$I1040)+COUNTIF(CLIENTES_FANTASIA,$I1040)+COUNTIF(FORNECEDORES_NOMES,$I1040)+COUNTIF(FORNECEDORES_FANTASIA,$I1040)=0),"⚠ Cliente/Fornecedor não cadastrado",IF(AND($G1040&lt;&gt;"",COUNTIF(SUBCATEGORIAS_PLANO,$G1040)=0),"⚠ Subcategoria fora do plano de contas",IF(OR($Q1040="",N($Q1040)=0),"⚠ Valor previsto não informado",IF(AND(OR($X1040="Pago",$X1040="Recebido"),$D1040=""),"⚠ Status pago/recebido sem data",IF(AND($D1040&lt;&gt;"",N($R1040)=0),"⚠ Data de pagamento sem valor realizado",IF(AND(N($P1040)&gt;1,N($O1040)&gt;N($P1040)),"⚠ Nº da parcela maior que o total",IF(AND($C1040&lt;&gt;"",$B1040&lt;&gt;"",$C1040&lt;$B1040),"⚠ Vencimento anterior à competência","OK"))))))))</f>
        <v/>
      </c>
    </row>
    <row r="1041">
      <c r="A1041" s="14" t="n"/>
      <c r="B1041" s="36" t="n"/>
      <c r="C1041" s="36" t="n"/>
      <c r="D1041" s="36" t="n"/>
      <c r="E1041" s="14" t="n"/>
      <c r="F1041" s="29" t="n"/>
      <c r="G1041" s="29" t="n"/>
      <c r="H1041" s="29" t="n"/>
      <c r="I1041" s="29" t="n"/>
      <c r="J1041" s="29" t="n"/>
      <c r="K1041" s="14" t="n"/>
      <c r="L1041" s="29" t="n"/>
      <c r="M1041" s="14" t="n"/>
      <c r="N1041" s="29" t="n"/>
      <c r="O1041" s="13" t="n"/>
      <c r="P1041" s="13" t="n"/>
      <c r="Q1041" s="35" t="n"/>
      <c r="R1041" s="35" t="n"/>
      <c r="S1041" s="35" t="n"/>
      <c r="T1041" s="35" t="n"/>
      <c r="U1041" s="35" t="n"/>
      <c r="V1041" s="18">
        <f>IF(COUNTA($B1041:$R1041)=0,"",ROUND(N($R1041)+N($S1041)+N($T1041)-N($U1041),2))</f>
        <v/>
      </c>
      <c r="W1041" s="18">
        <f>IF(COUNTA($B1041:$R1041)=0,"",IF(OR($X1041="Pago",$X1041="Recebido",$X1041="Cancelado"),0,ROUND(N($Q1041)+N($S1041)+N($T1041)-N($U1041)-N($R1041),2)))</f>
        <v/>
      </c>
      <c r="X1041" s="14" t="n"/>
      <c r="Y1041" s="17">
        <f>IF(COUNTA($B1041:$R1041)=0,"",IF($X1041="Cancelado","Cancelado",IF(OR($X1041="Pago",$X1041="Recebido"),$X1041,IF(OR($X1041="Parcial",N($R1041)&gt;0),"Parcial",IF($C1041="","Sem vencimento",IF($C1041&lt;TODAY(),"Vencido",IF($C1041=TODAY(),"Vence hoje",IF($C1041&lt;=TODAY()+7,"Vence em 7 dias",IF($C1041&lt;=TODAY()+30,"Vence em 30 dias","Futuro")))))))))</f>
        <v/>
      </c>
      <c r="Z1041" s="24">
        <f>IF($B1041="","",MONTH($B1041))</f>
        <v/>
      </c>
      <c r="AA1041" s="24">
        <f>IF($B1041="","",YEAR($B1041))</f>
        <v/>
      </c>
      <c r="AB1041" s="24">
        <f>IF($B1041="","",ISOWEEKNUM($B1041))</f>
        <v/>
      </c>
      <c r="AC1041" s="17">
        <f>IF($B1041="","",CHOOSE(WEEKDAY($B1041,2),"Segunda","Terça","Quarta","Quinta","Sexta","Sábado","Domingo"))</f>
        <v/>
      </c>
      <c r="AD1041" s="17">
        <f>IF($B1041="","",TEXT($B1041,"MM/AAAA"))</f>
        <v/>
      </c>
      <c r="AE1041" s="18">
        <f>IF(COUNTA($B1041:$R1041)=0,"",IF($X1041="Cancelado",0,ROUND(N($Q1041)+N($S1041)+N($T1041)-N($U1041),2)))</f>
        <v/>
      </c>
      <c r="AF1041" s="9">
        <f>IF($G1041="","",IFERROR(INDEX(LINHAS_DRE_PLANO,MATCH($G1041,SUBCATEGORIAS_PLANO,0)),"Não classificado"))</f>
        <v/>
      </c>
      <c r="AG1041" s="17">
        <f>IF($G1041="","",IFERROR(INDEX(TIPOS_FLUXO_PLANO,MATCH($G1041,SUBCATEGORIAS_PLANO,0)),"Não classificado"))</f>
        <v/>
      </c>
      <c r="AH1041" s="9">
        <f>IF($G1041="","",IFERROR(INDEX(GRUPOS_PLANO,MATCH($G1041,SUBCATEGORIAS_PLANO,0)),"Não classificado"))</f>
        <v/>
      </c>
      <c r="AI1041" s="24">
        <f>IF(OR($C1041="",$X1041="Pago",$X1041="Recebido",$X1041="Cancelado"),"",$C1041-TODAY())</f>
        <v/>
      </c>
      <c r="AJ1041" s="24">
        <f>IF(OR($C1041="",$X1041="Pago",$X1041="Recebido",$X1041="Cancelado"),0,MAX(0,TODAY()-$C1041))</f>
        <v/>
      </c>
      <c r="AK1041" s="24">
        <f>IF($D1041="","",$D1041-$B1041)</f>
        <v/>
      </c>
      <c r="AL1041" s="18">
        <f>IF(OR($D1041="",$B1041=""),"",ROUND(N($R1041)*($D1041-$B1041),2))</f>
        <v/>
      </c>
      <c r="AM1041" s="17">
        <f>IF(AND($E1041="Saída",$W1041&gt;0,$C1041&lt;&gt;""),$C1041+ROW()/1000000,"")</f>
        <v/>
      </c>
      <c r="AN1041" s="17">
        <f>IF(AND($E1041="Entrada",$W1041&gt;0,$C1041&lt;&gt;""),$C1041+ROW()/1000000,"")</f>
        <v/>
      </c>
      <c r="AO1041" s="9">
        <f>IF(COUNTA($B1041:$R1041)=0,"",IF(AND($I1041&lt;&gt;"",COUNTIF(CLIENTES_NOMES,$I1041)+COUNTIF(CLIENTES_FANTASIA,$I1041)+COUNTIF(FORNECEDORES_NOMES,$I1041)+COUNTIF(FORNECEDORES_FANTASIA,$I1041)=0),"⚠ Cliente/Fornecedor não cadastrado",IF(AND($G1041&lt;&gt;"",COUNTIF(SUBCATEGORIAS_PLANO,$G1041)=0),"⚠ Subcategoria fora do plano de contas",IF(OR($Q1041="",N($Q1041)=0),"⚠ Valor previsto não informado",IF(AND(OR($X1041="Pago",$X1041="Recebido"),$D1041=""),"⚠ Status pago/recebido sem data",IF(AND($D1041&lt;&gt;"",N($R1041)=0),"⚠ Data de pagamento sem valor realizado",IF(AND(N($P1041)&gt;1,N($O1041)&gt;N($P1041)),"⚠ Nº da parcela maior que o total",IF(AND($C1041&lt;&gt;"",$B1041&lt;&gt;"",$C1041&lt;$B1041),"⚠ Vencimento anterior à competência","OK"))))))))</f>
        <v/>
      </c>
    </row>
    <row r="1042">
      <c r="A1042" s="14" t="n"/>
      <c r="B1042" s="36" t="n"/>
      <c r="C1042" s="36" t="n"/>
      <c r="D1042" s="36" t="n"/>
      <c r="E1042" s="14" t="n"/>
      <c r="F1042" s="29" t="n"/>
      <c r="G1042" s="29" t="n"/>
      <c r="H1042" s="29" t="n"/>
      <c r="I1042" s="29" t="n"/>
      <c r="J1042" s="29" t="n"/>
      <c r="K1042" s="14" t="n"/>
      <c r="L1042" s="29" t="n"/>
      <c r="M1042" s="14" t="n"/>
      <c r="N1042" s="29" t="n"/>
      <c r="O1042" s="13" t="n"/>
      <c r="P1042" s="13" t="n"/>
      <c r="Q1042" s="35" t="n"/>
      <c r="R1042" s="35" t="n"/>
      <c r="S1042" s="35" t="n"/>
      <c r="T1042" s="35" t="n"/>
      <c r="U1042" s="35" t="n"/>
      <c r="V1042" s="18">
        <f>IF(COUNTA($B1042:$R1042)=0,"",ROUND(N($R1042)+N($S1042)+N($T1042)-N($U1042),2))</f>
        <v/>
      </c>
      <c r="W1042" s="18">
        <f>IF(COUNTA($B1042:$R1042)=0,"",IF(OR($X1042="Pago",$X1042="Recebido",$X1042="Cancelado"),0,ROUND(N($Q1042)+N($S1042)+N($T1042)-N($U1042)-N($R1042),2)))</f>
        <v/>
      </c>
      <c r="X1042" s="14" t="n"/>
      <c r="Y1042" s="17">
        <f>IF(COUNTA($B1042:$R1042)=0,"",IF($X1042="Cancelado","Cancelado",IF(OR($X1042="Pago",$X1042="Recebido"),$X1042,IF(OR($X1042="Parcial",N($R1042)&gt;0),"Parcial",IF($C1042="","Sem vencimento",IF($C1042&lt;TODAY(),"Vencido",IF($C1042=TODAY(),"Vence hoje",IF($C1042&lt;=TODAY()+7,"Vence em 7 dias",IF($C1042&lt;=TODAY()+30,"Vence em 30 dias","Futuro")))))))))</f>
        <v/>
      </c>
      <c r="Z1042" s="24">
        <f>IF($B1042="","",MONTH($B1042))</f>
        <v/>
      </c>
      <c r="AA1042" s="24">
        <f>IF($B1042="","",YEAR($B1042))</f>
        <v/>
      </c>
      <c r="AB1042" s="24">
        <f>IF($B1042="","",ISOWEEKNUM($B1042))</f>
        <v/>
      </c>
      <c r="AC1042" s="17">
        <f>IF($B1042="","",CHOOSE(WEEKDAY($B1042,2),"Segunda","Terça","Quarta","Quinta","Sexta","Sábado","Domingo"))</f>
        <v/>
      </c>
      <c r="AD1042" s="17">
        <f>IF($B1042="","",TEXT($B1042,"MM/AAAA"))</f>
        <v/>
      </c>
      <c r="AE1042" s="18">
        <f>IF(COUNTA($B1042:$R1042)=0,"",IF($X1042="Cancelado",0,ROUND(N($Q1042)+N($S1042)+N($T1042)-N($U1042),2)))</f>
        <v/>
      </c>
      <c r="AF1042" s="9">
        <f>IF($G1042="","",IFERROR(INDEX(LINHAS_DRE_PLANO,MATCH($G1042,SUBCATEGORIAS_PLANO,0)),"Não classificado"))</f>
        <v/>
      </c>
      <c r="AG1042" s="17">
        <f>IF($G1042="","",IFERROR(INDEX(TIPOS_FLUXO_PLANO,MATCH($G1042,SUBCATEGORIAS_PLANO,0)),"Não classificado"))</f>
        <v/>
      </c>
      <c r="AH1042" s="9">
        <f>IF($G1042="","",IFERROR(INDEX(GRUPOS_PLANO,MATCH($G1042,SUBCATEGORIAS_PLANO,0)),"Não classificado"))</f>
        <v/>
      </c>
      <c r="AI1042" s="24">
        <f>IF(OR($C1042="",$X1042="Pago",$X1042="Recebido",$X1042="Cancelado"),"",$C1042-TODAY())</f>
        <v/>
      </c>
      <c r="AJ1042" s="24">
        <f>IF(OR($C1042="",$X1042="Pago",$X1042="Recebido",$X1042="Cancelado"),0,MAX(0,TODAY()-$C1042))</f>
        <v/>
      </c>
      <c r="AK1042" s="24">
        <f>IF($D1042="","",$D1042-$B1042)</f>
        <v/>
      </c>
      <c r="AL1042" s="18">
        <f>IF(OR($D1042="",$B1042=""),"",ROUND(N($R1042)*($D1042-$B1042),2))</f>
        <v/>
      </c>
      <c r="AM1042" s="17">
        <f>IF(AND($E1042="Saída",$W1042&gt;0,$C1042&lt;&gt;""),$C1042+ROW()/1000000,"")</f>
        <v/>
      </c>
      <c r="AN1042" s="17">
        <f>IF(AND($E1042="Entrada",$W1042&gt;0,$C1042&lt;&gt;""),$C1042+ROW()/1000000,"")</f>
        <v/>
      </c>
      <c r="AO1042" s="9">
        <f>IF(COUNTA($B1042:$R1042)=0,"",IF(AND($I1042&lt;&gt;"",COUNTIF(CLIENTES_NOMES,$I1042)+COUNTIF(CLIENTES_FANTASIA,$I1042)+COUNTIF(FORNECEDORES_NOMES,$I1042)+COUNTIF(FORNECEDORES_FANTASIA,$I1042)=0),"⚠ Cliente/Fornecedor não cadastrado",IF(AND($G1042&lt;&gt;"",COUNTIF(SUBCATEGORIAS_PLANO,$G1042)=0),"⚠ Subcategoria fora do plano de contas",IF(OR($Q1042="",N($Q1042)=0),"⚠ Valor previsto não informado",IF(AND(OR($X1042="Pago",$X1042="Recebido"),$D1042=""),"⚠ Status pago/recebido sem data",IF(AND($D1042&lt;&gt;"",N($R1042)=0),"⚠ Data de pagamento sem valor realizado",IF(AND(N($P1042)&gt;1,N($O1042)&gt;N($P1042)),"⚠ Nº da parcela maior que o total",IF(AND($C1042&lt;&gt;"",$B1042&lt;&gt;"",$C1042&lt;$B1042),"⚠ Vencimento anterior à competência","OK"))))))))</f>
        <v/>
      </c>
    </row>
    <row r="1043">
      <c r="A1043" s="14" t="n"/>
      <c r="B1043" s="36" t="n"/>
      <c r="C1043" s="36" t="n"/>
      <c r="D1043" s="36" t="n"/>
      <c r="E1043" s="14" t="n"/>
      <c r="F1043" s="29" t="n"/>
      <c r="G1043" s="29" t="n"/>
      <c r="H1043" s="29" t="n"/>
      <c r="I1043" s="29" t="n"/>
      <c r="J1043" s="29" t="n"/>
      <c r="K1043" s="14" t="n"/>
      <c r="L1043" s="29" t="n"/>
      <c r="M1043" s="14" t="n"/>
      <c r="N1043" s="29" t="n"/>
      <c r="O1043" s="13" t="n"/>
      <c r="P1043" s="13" t="n"/>
      <c r="Q1043" s="35" t="n"/>
      <c r="R1043" s="35" t="n"/>
      <c r="S1043" s="35" t="n"/>
      <c r="T1043" s="35" t="n"/>
      <c r="U1043" s="35" t="n"/>
      <c r="V1043" s="18">
        <f>IF(COUNTA($B1043:$R1043)=0,"",ROUND(N($R1043)+N($S1043)+N($T1043)-N($U1043),2))</f>
        <v/>
      </c>
      <c r="W1043" s="18">
        <f>IF(COUNTA($B1043:$R1043)=0,"",IF(OR($X1043="Pago",$X1043="Recebido",$X1043="Cancelado"),0,ROUND(N($Q1043)+N($S1043)+N($T1043)-N($U1043)-N($R1043),2)))</f>
        <v/>
      </c>
      <c r="X1043" s="14" t="n"/>
      <c r="Y1043" s="17">
        <f>IF(COUNTA($B1043:$R1043)=0,"",IF($X1043="Cancelado","Cancelado",IF(OR($X1043="Pago",$X1043="Recebido"),$X1043,IF(OR($X1043="Parcial",N($R1043)&gt;0),"Parcial",IF($C1043="","Sem vencimento",IF($C1043&lt;TODAY(),"Vencido",IF($C1043=TODAY(),"Vence hoje",IF($C1043&lt;=TODAY()+7,"Vence em 7 dias",IF($C1043&lt;=TODAY()+30,"Vence em 30 dias","Futuro")))))))))</f>
        <v/>
      </c>
      <c r="Z1043" s="24">
        <f>IF($B1043="","",MONTH($B1043))</f>
        <v/>
      </c>
      <c r="AA1043" s="24">
        <f>IF($B1043="","",YEAR($B1043))</f>
        <v/>
      </c>
      <c r="AB1043" s="24">
        <f>IF($B1043="","",ISOWEEKNUM($B1043))</f>
        <v/>
      </c>
      <c r="AC1043" s="17">
        <f>IF($B1043="","",CHOOSE(WEEKDAY($B1043,2),"Segunda","Terça","Quarta","Quinta","Sexta","Sábado","Domingo"))</f>
        <v/>
      </c>
      <c r="AD1043" s="17">
        <f>IF($B1043="","",TEXT($B1043,"MM/AAAA"))</f>
        <v/>
      </c>
      <c r="AE1043" s="18">
        <f>IF(COUNTA($B1043:$R1043)=0,"",IF($X1043="Cancelado",0,ROUND(N($Q1043)+N($S1043)+N($T1043)-N($U1043),2)))</f>
        <v/>
      </c>
      <c r="AF1043" s="9">
        <f>IF($G1043="","",IFERROR(INDEX(LINHAS_DRE_PLANO,MATCH($G1043,SUBCATEGORIAS_PLANO,0)),"Não classificado"))</f>
        <v/>
      </c>
      <c r="AG1043" s="17">
        <f>IF($G1043="","",IFERROR(INDEX(TIPOS_FLUXO_PLANO,MATCH($G1043,SUBCATEGORIAS_PLANO,0)),"Não classificado"))</f>
        <v/>
      </c>
      <c r="AH1043" s="9">
        <f>IF($G1043="","",IFERROR(INDEX(GRUPOS_PLANO,MATCH($G1043,SUBCATEGORIAS_PLANO,0)),"Não classificado"))</f>
        <v/>
      </c>
      <c r="AI1043" s="24">
        <f>IF(OR($C1043="",$X1043="Pago",$X1043="Recebido",$X1043="Cancelado"),"",$C1043-TODAY())</f>
        <v/>
      </c>
      <c r="AJ1043" s="24">
        <f>IF(OR($C1043="",$X1043="Pago",$X1043="Recebido",$X1043="Cancelado"),0,MAX(0,TODAY()-$C1043))</f>
        <v/>
      </c>
      <c r="AK1043" s="24">
        <f>IF($D1043="","",$D1043-$B1043)</f>
        <v/>
      </c>
      <c r="AL1043" s="18">
        <f>IF(OR($D1043="",$B1043=""),"",ROUND(N($R1043)*($D1043-$B1043),2))</f>
        <v/>
      </c>
      <c r="AM1043" s="17">
        <f>IF(AND($E1043="Saída",$W1043&gt;0,$C1043&lt;&gt;""),$C1043+ROW()/1000000,"")</f>
        <v/>
      </c>
      <c r="AN1043" s="17">
        <f>IF(AND($E1043="Entrada",$W1043&gt;0,$C1043&lt;&gt;""),$C1043+ROW()/1000000,"")</f>
        <v/>
      </c>
      <c r="AO1043" s="9">
        <f>IF(COUNTA($B1043:$R1043)=0,"",IF(AND($I1043&lt;&gt;"",COUNTIF(CLIENTES_NOMES,$I1043)+COUNTIF(CLIENTES_FANTASIA,$I1043)+COUNTIF(FORNECEDORES_NOMES,$I1043)+COUNTIF(FORNECEDORES_FANTASIA,$I1043)=0),"⚠ Cliente/Fornecedor não cadastrado",IF(AND($G1043&lt;&gt;"",COUNTIF(SUBCATEGORIAS_PLANO,$G1043)=0),"⚠ Subcategoria fora do plano de contas",IF(OR($Q1043="",N($Q1043)=0),"⚠ Valor previsto não informado",IF(AND(OR($X1043="Pago",$X1043="Recebido"),$D1043=""),"⚠ Status pago/recebido sem data",IF(AND($D1043&lt;&gt;"",N($R1043)=0),"⚠ Data de pagamento sem valor realizado",IF(AND(N($P1043)&gt;1,N($O1043)&gt;N($P1043)),"⚠ Nº da parcela maior que o total",IF(AND($C1043&lt;&gt;"",$B1043&lt;&gt;"",$C1043&lt;$B1043),"⚠ Vencimento anterior à competência","OK"))))))))</f>
        <v/>
      </c>
    </row>
    <row r="1044">
      <c r="A1044" s="14" t="n"/>
      <c r="B1044" s="36" t="n"/>
      <c r="C1044" s="36" t="n"/>
      <c r="D1044" s="36" t="n"/>
      <c r="E1044" s="14" t="n"/>
      <c r="F1044" s="29" t="n"/>
      <c r="G1044" s="29" t="n"/>
      <c r="H1044" s="29" t="n"/>
      <c r="I1044" s="29" t="n"/>
      <c r="J1044" s="29" t="n"/>
      <c r="K1044" s="14" t="n"/>
      <c r="L1044" s="29" t="n"/>
      <c r="M1044" s="14" t="n"/>
      <c r="N1044" s="29" t="n"/>
      <c r="O1044" s="13" t="n"/>
      <c r="P1044" s="13" t="n"/>
      <c r="Q1044" s="35" t="n"/>
      <c r="R1044" s="35" t="n"/>
      <c r="S1044" s="35" t="n"/>
      <c r="T1044" s="35" t="n"/>
      <c r="U1044" s="35" t="n"/>
      <c r="V1044" s="18">
        <f>IF(COUNTA($B1044:$R1044)=0,"",ROUND(N($R1044)+N($S1044)+N($T1044)-N($U1044),2))</f>
        <v/>
      </c>
      <c r="W1044" s="18">
        <f>IF(COUNTA($B1044:$R1044)=0,"",IF(OR($X1044="Pago",$X1044="Recebido",$X1044="Cancelado"),0,ROUND(N($Q1044)+N($S1044)+N($T1044)-N($U1044)-N($R1044),2)))</f>
        <v/>
      </c>
      <c r="X1044" s="14" t="n"/>
      <c r="Y1044" s="17">
        <f>IF(COUNTA($B1044:$R1044)=0,"",IF($X1044="Cancelado","Cancelado",IF(OR($X1044="Pago",$X1044="Recebido"),$X1044,IF(OR($X1044="Parcial",N($R1044)&gt;0),"Parcial",IF($C1044="","Sem vencimento",IF($C1044&lt;TODAY(),"Vencido",IF($C1044=TODAY(),"Vence hoje",IF($C1044&lt;=TODAY()+7,"Vence em 7 dias",IF($C1044&lt;=TODAY()+30,"Vence em 30 dias","Futuro")))))))))</f>
        <v/>
      </c>
      <c r="Z1044" s="24">
        <f>IF($B1044="","",MONTH($B1044))</f>
        <v/>
      </c>
      <c r="AA1044" s="24">
        <f>IF($B1044="","",YEAR($B1044))</f>
        <v/>
      </c>
      <c r="AB1044" s="24">
        <f>IF($B1044="","",ISOWEEKNUM($B1044))</f>
        <v/>
      </c>
      <c r="AC1044" s="17">
        <f>IF($B1044="","",CHOOSE(WEEKDAY($B1044,2),"Segunda","Terça","Quarta","Quinta","Sexta","Sábado","Domingo"))</f>
        <v/>
      </c>
      <c r="AD1044" s="17">
        <f>IF($B1044="","",TEXT($B1044,"MM/AAAA"))</f>
        <v/>
      </c>
      <c r="AE1044" s="18">
        <f>IF(COUNTA($B1044:$R1044)=0,"",IF($X1044="Cancelado",0,ROUND(N($Q1044)+N($S1044)+N($T1044)-N($U1044),2)))</f>
        <v/>
      </c>
      <c r="AF1044" s="9">
        <f>IF($G1044="","",IFERROR(INDEX(LINHAS_DRE_PLANO,MATCH($G1044,SUBCATEGORIAS_PLANO,0)),"Não classificado"))</f>
        <v/>
      </c>
      <c r="AG1044" s="17">
        <f>IF($G1044="","",IFERROR(INDEX(TIPOS_FLUXO_PLANO,MATCH($G1044,SUBCATEGORIAS_PLANO,0)),"Não classificado"))</f>
        <v/>
      </c>
      <c r="AH1044" s="9">
        <f>IF($G1044="","",IFERROR(INDEX(GRUPOS_PLANO,MATCH($G1044,SUBCATEGORIAS_PLANO,0)),"Não classificado"))</f>
        <v/>
      </c>
      <c r="AI1044" s="24">
        <f>IF(OR($C1044="",$X1044="Pago",$X1044="Recebido",$X1044="Cancelado"),"",$C1044-TODAY())</f>
        <v/>
      </c>
      <c r="AJ1044" s="24">
        <f>IF(OR($C1044="",$X1044="Pago",$X1044="Recebido",$X1044="Cancelado"),0,MAX(0,TODAY()-$C1044))</f>
        <v/>
      </c>
      <c r="AK1044" s="24">
        <f>IF($D1044="","",$D1044-$B1044)</f>
        <v/>
      </c>
      <c r="AL1044" s="18">
        <f>IF(OR($D1044="",$B1044=""),"",ROUND(N($R1044)*($D1044-$B1044),2))</f>
        <v/>
      </c>
      <c r="AM1044" s="17">
        <f>IF(AND($E1044="Saída",$W1044&gt;0,$C1044&lt;&gt;""),$C1044+ROW()/1000000,"")</f>
        <v/>
      </c>
      <c r="AN1044" s="17">
        <f>IF(AND($E1044="Entrada",$W1044&gt;0,$C1044&lt;&gt;""),$C1044+ROW()/1000000,"")</f>
        <v/>
      </c>
      <c r="AO1044" s="9">
        <f>IF(COUNTA($B1044:$R1044)=0,"",IF(AND($I1044&lt;&gt;"",COUNTIF(CLIENTES_NOMES,$I1044)+COUNTIF(CLIENTES_FANTASIA,$I1044)+COUNTIF(FORNECEDORES_NOMES,$I1044)+COUNTIF(FORNECEDORES_FANTASIA,$I1044)=0),"⚠ Cliente/Fornecedor não cadastrado",IF(AND($G1044&lt;&gt;"",COUNTIF(SUBCATEGORIAS_PLANO,$G1044)=0),"⚠ Subcategoria fora do plano de contas",IF(OR($Q1044="",N($Q1044)=0),"⚠ Valor previsto não informado",IF(AND(OR($X1044="Pago",$X1044="Recebido"),$D1044=""),"⚠ Status pago/recebido sem data",IF(AND($D1044&lt;&gt;"",N($R1044)=0),"⚠ Data de pagamento sem valor realizado",IF(AND(N($P1044)&gt;1,N($O1044)&gt;N($P1044)),"⚠ Nº da parcela maior que o total",IF(AND($C1044&lt;&gt;"",$B1044&lt;&gt;"",$C1044&lt;$B1044),"⚠ Vencimento anterior à competência","OK"))))))))</f>
        <v/>
      </c>
    </row>
    <row r="1045">
      <c r="A1045" s="14" t="n"/>
      <c r="B1045" s="36" t="n"/>
      <c r="C1045" s="36" t="n"/>
      <c r="D1045" s="36" t="n"/>
      <c r="E1045" s="14" t="n"/>
      <c r="F1045" s="29" t="n"/>
      <c r="G1045" s="29" t="n"/>
      <c r="H1045" s="29" t="n"/>
      <c r="I1045" s="29" t="n"/>
      <c r="J1045" s="29" t="n"/>
      <c r="K1045" s="14" t="n"/>
      <c r="L1045" s="29" t="n"/>
      <c r="M1045" s="14" t="n"/>
      <c r="N1045" s="29" t="n"/>
      <c r="O1045" s="13" t="n"/>
      <c r="P1045" s="13" t="n"/>
      <c r="Q1045" s="35" t="n"/>
      <c r="R1045" s="35" t="n"/>
      <c r="S1045" s="35" t="n"/>
      <c r="T1045" s="35" t="n"/>
      <c r="U1045" s="35" t="n"/>
      <c r="V1045" s="18">
        <f>IF(COUNTA($B1045:$R1045)=0,"",ROUND(N($R1045)+N($S1045)+N($T1045)-N($U1045),2))</f>
        <v/>
      </c>
      <c r="W1045" s="18">
        <f>IF(COUNTA($B1045:$R1045)=0,"",IF(OR($X1045="Pago",$X1045="Recebido",$X1045="Cancelado"),0,ROUND(N($Q1045)+N($S1045)+N($T1045)-N($U1045)-N($R1045),2)))</f>
        <v/>
      </c>
      <c r="X1045" s="14" t="n"/>
      <c r="Y1045" s="17">
        <f>IF(COUNTA($B1045:$R1045)=0,"",IF($X1045="Cancelado","Cancelado",IF(OR($X1045="Pago",$X1045="Recebido"),$X1045,IF(OR($X1045="Parcial",N($R1045)&gt;0),"Parcial",IF($C1045="","Sem vencimento",IF($C1045&lt;TODAY(),"Vencido",IF($C1045=TODAY(),"Vence hoje",IF($C1045&lt;=TODAY()+7,"Vence em 7 dias",IF($C1045&lt;=TODAY()+30,"Vence em 30 dias","Futuro")))))))))</f>
        <v/>
      </c>
      <c r="Z1045" s="24">
        <f>IF($B1045="","",MONTH($B1045))</f>
        <v/>
      </c>
      <c r="AA1045" s="24">
        <f>IF($B1045="","",YEAR($B1045))</f>
        <v/>
      </c>
      <c r="AB1045" s="24">
        <f>IF($B1045="","",ISOWEEKNUM($B1045))</f>
        <v/>
      </c>
      <c r="AC1045" s="17">
        <f>IF($B1045="","",CHOOSE(WEEKDAY($B1045,2),"Segunda","Terça","Quarta","Quinta","Sexta","Sábado","Domingo"))</f>
        <v/>
      </c>
      <c r="AD1045" s="17">
        <f>IF($B1045="","",TEXT($B1045,"MM/AAAA"))</f>
        <v/>
      </c>
      <c r="AE1045" s="18">
        <f>IF(COUNTA($B1045:$R1045)=0,"",IF($X1045="Cancelado",0,ROUND(N($Q1045)+N($S1045)+N($T1045)-N($U1045),2)))</f>
        <v/>
      </c>
      <c r="AF1045" s="9">
        <f>IF($G1045="","",IFERROR(INDEX(LINHAS_DRE_PLANO,MATCH($G1045,SUBCATEGORIAS_PLANO,0)),"Não classificado"))</f>
        <v/>
      </c>
      <c r="AG1045" s="17">
        <f>IF($G1045="","",IFERROR(INDEX(TIPOS_FLUXO_PLANO,MATCH($G1045,SUBCATEGORIAS_PLANO,0)),"Não classificado"))</f>
        <v/>
      </c>
      <c r="AH1045" s="9">
        <f>IF($G1045="","",IFERROR(INDEX(GRUPOS_PLANO,MATCH($G1045,SUBCATEGORIAS_PLANO,0)),"Não classificado"))</f>
        <v/>
      </c>
      <c r="AI1045" s="24">
        <f>IF(OR($C1045="",$X1045="Pago",$X1045="Recebido",$X1045="Cancelado"),"",$C1045-TODAY())</f>
        <v/>
      </c>
      <c r="AJ1045" s="24">
        <f>IF(OR($C1045="",$X1045="Pago",$X1045="Recebido",$X1045="Cancelado"),0,MAX(0,TODAY()-$C1045))</f>
        <v/>
      </c>
      <c r="AK1045" s="24">
        <f>IF($D1045="","",$D1045-$B1045)</f>
        <v/>
      </c>
      <c r="AL1045" s="18">
        <f>IF(OR($D1045="",$B1045=""),"",ROUND(N($R1045)*($D1045-$B1045),2))</f>
        <v/>
      </c>
      <c r="AM1045" s="17">
        <f>IF(AND($E1045="Saída",$W1045&gt;0,$C1045&lt;&gt;""),$C1045+ROW()/1000000,"")</f>
        <v/>
      </c>
      <c r="AN1045" s="17">
        <f>IF(AND($E1045="Entrada",$W1045&gt;0,$C1045&lt;&gt;""),$C1045+ROW()/1000000,"")</f>
        <v/>
      </c>
      <c r="AO1045" s="9">
        <f>IF(COUNTA($B1045:$R1045)=0,"",IF(AND($I1045&lt;&gt;"",COUNTIF(CLIENTES_NOMES,$I1045)+COUNTIF(CLIENTES_FANTASIA,$I1045)+COUNTIF(FORNECEDORES_NOMES,$I1045)+COUNTIF(FORNECEDORES_FANTASIA,$I1045)=0),"⚠ Cliente/Fornecedor não cadastrado",IF(AND($G1045&lt;&gt;"",COUNTIF(SUBCATEGORIAS_PLANO,$G1045)=0),"⚠ Subcategoria fora do plano de contas",IF(OR($Q1045="",N($Q1045)=0),"⚠ Valor previsto não informado",IF(AND(OR($X1045="Pago",$X1045="Recebido"),$D1045=""),"⚠ Status pago/recebido sem data",IF(AND($D1045&lt;&gt;"",N($R1045)=0),"⚠ Data de pagamento sem valor realizado",IF(AND(N($P1045)&gt;1,N($O1045)&gt;N($P1045)),"⚠ Nº da parcela maior que o total",IF(AND($C1045&lt;&gt;"",$B1045&lt;&gt;"",$C1045&lt;$B1045),"⚠ Vencimento anterior à competência","OK"))))))))</f>
        <v/>
      </c>
    </row>
    <row r="1046">
      <c r="A1046" s="14" t="n"/>
      <c r="B1046" s="36" t="n"/>
      <c r="C1046" s="36" t="n"/>
      <c r="D1046" s="36" t="n"/>
      <c r="E1046" s="14" t="n"/>
      <c r="F1046" s="29" t="n"/>
      <c r="G1046" s="29" t="n"/>
      <c r="H1046" s="29" t="n"/>
      <c r="I1046" s="29" t="n"/>
      <c r="J1046" s="29" t="n"/>
      <c r="K1046" s="14" t="n"/>
      <c r="L1046" s="29" t="n"/>
      <c r="M1046" s="14" t="n"/>
      <c r="N1046" s="29" t="n"/>
      <c r="O1046" s="13" t="n"/>
      <c r="P1046" s="13" t="n"/>
      <c r="Q1046" s="35" t="n"/>
      <c r="R1046" s="35" t="n"/>
      <c r="S1046" s="35" t="n"/>
      <c r="T1046" s="35" t="n"/>
      <c r="U1046" s="35" t="n"/>
      <c r="V1046" s="18">
        <f>IF(COUNTA($B1046:$R1046)=0,"",ROUND(N($R1046)+N($S1046)+N($T1046)-N($U1046),2))</f>
        <v/>
      </c>
      <c r="W1046" s="18">
        <f>IF(COUNTA($B1046:$R1046)=0,"",IF(OR($X1046="Pago",$X1046="Recebido",$X1046="Cancelado"),0,ROUND(N($Q1046)+N($S1046)+N($T1046)-N($U1046)-N($R1046),2)))</f>
        <v/>
      </c>
      <c r="X1046" s="14" t="n"/>
      <c r="Y1046" s="17">
        <f>IF(COUNTA($B1046:$R1046)=0,"",IF($X1046="Cancelado","Cancelado",IF(OR($X1046="Pago",$X1046="Recebido"),$X1046,IF(OR($X1046="Parcial",N($R1046)&gt;0),"Parcial",IF($C1046="","Sem vencimento",IF($C1046&lt;TODAY(),"Vencido",IF($C1046=TODAY(),"Vence hoje",IF($C1046&lt;=TODAY()+7,"Vence em 7 dias",IF($C1046&lt;=TODAY()+30,"Vence em 30 dias","Futuro")))))))))</f>
        <v/>
      </c>
      <c r="Z1046" s="24">
        <f>IF($B1046="","",MONTH($B1046))</f>
        <v/>
      </c>
      <c r="AA1046" s="24">
        <f>IF($B1046="","",YEAR($B1046))</f>
        <v/>
      </c>
      <c r="AB1046" s="24">
        <f>IF($B1046="","",ISOWEEKNUM($B1046))</f>
        <v/>
      </c>
      <c r="AC1046" s="17">
        <f>IF($B1046="","",CHOOSE(WEEKDAY($B1046,2),"Segunda","Terça","Quarta","Quinta","Sexta","Sábado","Domingo"))</f>
        <v/>
      </c>
      <c r="AD1046" s="17">
        <f>IF($B1046="","",TEXT($B1046,"MM/AAAA"))</f>
        <v/>
      </c>
      <c r="AE1046" s="18">
        <f>IF(COUNTA($B1046:$R1046)=0,"",IF($X1046="Cancelado",0,ROUND(N($Q1046)+N($S1046)+N($T1046)-N($U1046),2)))</f>
        <v/>
      </c>
      <c r="AF1046" s="9">
        <f>IF($G1046="","",IFERROR(INDEX(LINHAS_DRE_PLANO,MATCH($G1046,SUBCATEGORIAS_PLANO,0)),"Não classificado"))</f>
        <v/>
      </c>
      <c r="AG1046" s="17">
        <f>IF($G1046="","",IFERROR(INDEX(TIPOS_FLUXO_PLANO,MATCH($G1046,SUBCATEGORIAS_PLANO,0)),"Não classificado"))</f>
        <v/>
      </c>
      <c r="AH1046" s="9">
        <f>IF($G1046="","",IFERROR(INDEX(GRUPOS_PLANO,MATCH($G1046,SUBCATEGORIAS_PLANO,0)),"Não classificado"))</f>
        <v/>
      </c>
      <c r="AI1046" s="24">
        <f>IF(OR($C1046="",$X1046="Pago",$X1046="Recebido",$X1046="Cancelado"),"",$C1046-TODAY())</f>
        <v/>
      </c>
      <c r="AJ1046" s="24">
        <f>IF(OR($C1046="",$X1046="Pago",$X1046="Recebido",$X1046="Cancelado"),0,MAX(0,TODAY()-$C1046))</f>
        <v/>
      </c>
      <c r="AK1046" s="24">
        <f>IF($D1046="","",$D1046-$B1046)</f>
        <v/>
      </c>
      <c r="AL1046" s="18">
        <f>IF(OR($D1046="",$B1046=""),"",ROUND(N($R1046)*($D1046-$B1046),2))</f>
        <v/>
      </c>
      <c r="AM1046" s="17">
        <f>IF(AND($E1046="Saída",$W1046&gt;0,$C1046&lt;&gt;""),$C1046+ROW()/1000000,"")</f>
        <v/>
      </c>
      <c r="AN1046" s="17">
        <f>IF(AND($E1046="Entrada",$W1046&gt;0,$C1046&lt;&gt;""),$C1046+ROW()/1000000,"")</f>
        <v/>
      </c>
      <c r="AO1046" s="9">
        <f>IF(COUNTA($B1046:$R1046)=0,"",IF(AND($I1046&lt;&gt;"",COUNTIF(CLIENTES_NOMES,$I1046)+COUNTIF(CLIENTES_FANTASIA,$I1046)+COUNTIF(FORNECEDORES_NOMES,$I1046)+COUNTIF(FORNECEDORES_FANTASIA,$I1046)=0),"⚠ Cliente/Fornecedor não cadastrado",IF(AND($G1046&lt;&gt;"",COUNTIF(SUBCATEGORIAS_PLANO,$G1046)=0),"⚠ Subcategoria fora do plano de contas",IF(OR($Q1046="",N($Q1046)=0),"⚠ Valor previsto não informado",IF(AND(OR($X1046="Pago",$X1046="Recebido"),$D1046=""),"⚠ Status pago/recebido sem data",IF(AND($D1046&lt;&gt;"",N($R1046)=0),"⚠ Data de pagamento sem valor realizado",IF(AND(N($P1046)&gt;1,N($O1046)&gt;N($P1046)),"⚠ Nº da parcela maior que o total",IF(AND($C1046&lt;&gt;"",$B1046&lt;&gt;"",$C1046&lt;$B1046),"⚠ Vencimento anterior à competência","OK"))))))))</f>
        <v/>
      </c>
    </row>
    <row r="1047">
      <c r="A1047" s="14" t="n"/>
      <c r="B1047" s="36" t="n"/>
      <c r="C1047" s="36" t="n"/>
      <c r="D1047" s="36" t="n"/>
      <c r="E1047" s="14" t="n"/>
      <c r="F1047" s="29" t="n"/>
      <c r="G1047" s="29" t="n"/>
      <c r="H1047" s="29" t="n"/>
      <c r="I1047" s="29" t="n"/>
      <c r="J1047" s="29" t="n"/>
      <c r="K1047" s="14" t="n"/>
      <c r="L1047" s="29" t="n"/>
      <c r="M1047" s="14" t="n"/>
      <c r="N1047" s="29" t="n"/>
      <c r="O1047" s="13" t="n"/>
      <c r="P1047" s="13" t="n"/>
      <c r="Q1047" s="35" t="n"/>
      <c r="R1047" s="35" t="n"/>
      <c r="S1047" s="35" t="n"/>
      <c r="T1047" s="35" t="n"/>
      <c r="U1047" s="35" t="n"/>
      <c r="V1047" s="18">
        <f>IF(COUNTA($B1047:$R1047)=0,"",ROUND(N($R1047)+N($S1047)+N($T1047)-N($U1047),2))</f>
        <v/>
      </c>
      <c r="W1047" s="18">
        <f>IF(COUNTA($B1047:$R1047)=0,"",IF(OR($X1047="Pago",$X1047="Recebido",$X1047="Cancelado"),0,ROUND(N($Q1047)+N($S1047)+N($T1047)-N($U1047)-N($R1047),2)))</f>
        <v/>
      </c>
      <c r="X1047" s="14" t="n"/>
      <c r="Y1047" s="17">
        <f>IF(COUNTA($B1047:$R1047)=0,"",IF($X1047="Cancelado","Cancelado",IF(OR($X1047="Pago",$X1047="Recebido"),$X1047,IF(OR($X1047="Parcial",N($R1047)&gt;0),"Parcial",IF($C1047="","Sem vencimento",IF($C1047&lt;TODAY(),"Vencido",IF($C1047=TODAY(),"Vence hoje",IF($C1047&lt;=TODAY()+7,"Vence em 7 dias",IF($C1047&lt;=TODAY()+30,"Vence em 30 dias","Futuro")))))))))</f>
        <v/>
      </c>
      <c r="Z1047" s="24">
        <f>IF($B1047="","",MONTH($B1047))</f>
        <v/>
      </c>
      <c r="AA1047" s="24">
        <f>IF($B1047="","",YEAR($B1047))</f>
        <v/>
      </c>
      <c r="AB1047" s="24">
        <f>IF($B1047="","",ISOWEEKNUM($B1047))</f>
        <v/>
      </c>
      <c r="AC1047" s="17">
        <f>IF($B1047="","",CHOOSE(WEEKDAY($B1047,2),"Segunda","Terça","Quarta","Quinta","Sexta","Sábado","Domingo"))</f>
        <v/>
      </c>
      <c r="AD1047" s="17">
        <f>IF($B1047="","",TEXT($B1047,"MM/AAAA"))</f>
        <v/>
      </c>
      <c r="AE1047" s="18">
        <f>IF(COUNTA($B1047:$R1047)=0,"",IF($X1047="Cancelado",0,ROUND(N($Q1047)+N($S1047)+N($T1047)-N($U1047),2)))</f>
        <v/>
      </c>
      <c r="AF1047" s="9">
        <f>IF($G1047="","",IFERROR(INDEX(LINHAS_DRE_PLANO,MATCH($G1047,SUBCATEGORIAS_PLANO,0)),"Não classificado"))</f>
        <v/>
      </c>
      <c r="AG1047" s="17">
        <f>IF($G1047="","",IFERROR(INDEX(TIPOS_FLUXO_PLANO,MATCH($G1047,SUBCATEGORIAS_PLANO,0)),"Não classificado"))</f>
        <v/>
      </c>
      <c r="AH1047" s="9">
        <f>IF($G1047="","",IFERROR(INDEX(GRUPOS_PLANO,MATCH($G1047,SUBCATEGORIAS_PLANO,0)),"Não classificado"))</f>
        <v/>
      </c>
      <c r="AI1047" s="24">
        <f>IF(OR($C1047="",$X1047="Pago",$X1047="Recebido",$X1047="Cancelado"),"",$C1047-TODAY())</f>
        <v/>
      </c>
      <c r="AJ1047" s="24">
        <f>IF(OR($C1047="",$X1047="Pago",$X1047="Recebido",$X1047="Cancelado"),0,MAX(0,TODAY()-$C1047))</f>
        <v/>
      </c>
      <c r="AK1047" s="24">
        <f>IF($D1047="","",$D1047-$B1047)</f>
        <v/>
      </c>
      <c r="AL1047" s="18">
        <f>IF(OR($D1047="",$B1047=""),"",ROUND(N($R1047)*($D1047-$B1047),2))</f>
        <v/>
      </c>
      <c r="AM1047" s="17">
        <f>IF(AND($E1047="Saída",$W1047&gt;0,$C1047&lt;&gt;""),$C1047+ROW()/1000000,"")</f>
        <v/>
      </c>
      <c r="AN1047" s="17">
        <f>IF(AND($E1047="Entrada",$W1047&gt;0,$C1047&lt;&gt;""),$C1047+ROW()/1000000,"")</f>
        <v/>
      </c>
      <c r="AO1047" s="9">
        <f>IF(COUNTA($B1047:$R1047)=0,"",IF(AND($I1047&lt;&gt;"",COUNTIF(CLIENTES_NOMES,$I1047)+COUNTIF(CLIENTES_FANTASIA,$I1047)+COUNTIF(FORNECEDORES_NOMES,$I1047)+COUNTIF(FORNECEDORES_FANTASIA,$I1047)=0),"⚠ Cliente/Fornecedor não cadastrado",IF(AND($G1047&lt;&gt;"",COUNTIF(SUBCATEGORIAS_PLANO,$G1047)=0),"⚠ Subcategoria fora do plano de contas",IF(OR($Q1047="",N($Q1047)=0),"⚠ Valor previsto não informado",IF(AND(OR($X1047="Pago",$X1047="Recebido"),$D1047=""),"⚠ Status pago/recebido sem data",IF(AND($D1047&lt;&gt;"",N($R1047)=0),"⚠ Data de pagamento sem valor realizado",IF(AND(N($P1047)&gt;1,N($O1047)&gt;N($P1047)),"⚠ Nº da parcela maior que o total",IF(AND($C1047&lt;&gt;"",$B1047&lt;&gt;"",$C1047&lt;$B1047),"⚠ Vencimento anterior à competência","OK"))))))))</f>
        <v/>
      </c>
    </row>
    <row r="1048">
      <c r="A1048" s="14" t="n"/>
      <c r="B1048" s="36" t="n"/>
      <c r="C1048" s="36" t="n"/>
      <c r="D1048" s="36" t="n"/>
      <c r="E1048" s="14" t="n"/>
      <c r="F1048" s="29" t="n"/>
      <c r="G1048" s="29" t="n"/>
      <c r="H1048" s="29" t="n"/>
      <c r="I1048" s="29" t="n"/>
      <c r="J1048" s="29" t="n"/>
      <c r="K1048" s="14" t="n"/>
      <c r="L1048" s="29" t="n"/>
      <c r="M1048" s="14" t="n"/>
      <c r="N1048" s="29" t="n"/>
      <c r="O1048" s="13" t="n"/>
      <c r="P1048" s="13" t="n"/>
      <c r="Q1048" s="35" t="n"/>
      <c r="R1048" s="35" t="n"/>
      <c r="S1048" s="35" t="n"/>
      <c r="T1048" s="35" t="n"/>
      <c r="U1048" s="35" t="n"/>
      <c r="V1048" s="18">
        <f>IF(COUNTA($B1048:$R1048)=0,"",ROUND(N($R1048)+N($S1048)+N($T1048)-N($U1048),2))</f>
        <v/>
      </c>
      <c r="W1048" s="18">
        <f>IF(COUNTA($B1048:$R1048)=0,"",IF(OR($X1048="Pago",$X1048="Recebido",$X1048="Cancelado"),0,ROUND(N($Q1048)+N($S1048)+N($T1048)-N($U1048)-N($R1048),2)))</f>
        <v/>
      </c>
      <c r="X1048" s="14" t="n"/>
      <c r="Y1048" s="17">
        <f>IF(COUNTA($B1048:$R1048)=0,"",IF($X1048="Cancelado","Cancelado",IF(OR($X1048="Pago",$X1048="Recebido"),$X1048,IF(OR($X1048="Parcial",N($R1048)&gt;0),"Parcial",IF($C1048="","Sem vencimento",IF($C1048&lt;TODAY(),"Vencido",IF($C1048=TODAY(),"Vence hoje",IF($C1048&lt;=TODAY()+7,"Vence em 7 dias",IF($C1048&lt;=TODAY()+30,"Vence em 30 dias","Futuro")))))))))</f>
        <v/>
      </c>
      <c r="Z1048" s="24">
        <f>IF($B1048="","",MONTH($B1048))</f>
        <v/>
      </c>
      <c r="AA1048" s="24">
        <f>IF($B1048="","",YEAR($B1048))</f>
        <v/>
      </c>
      <c r="AB1048" s="24">
        <f>IF($B1048="","",ISOWEEKNUM($B1048))</f>
        <v/>
      </c>
      <c r="AC1048" s="17">
        <f>IF($B1048="","",CHOOSE(WEEKDAY($B1048,2),"Segunda","Terça","Quarta","Quinta","Sexta","Sábado","Domingo"))</f>
        <v/>
      </c>
      <c r="AD1048" s="17">
        <f>IF($B1048="","",TEXT($B1048,"MM/AAAA"))</f>
        <v/>
      </c>
      <c r="AE1048" s="18">
        <f>IF(COUNTA($B1048:$R1048)=0,"",IF($X1048="Cancelado",0,ROUND(N($Q1048)+N($S1048)+N($T1048)-N($U1048),2)))</f>
        <v/>
      </c>
      <c r="AF1048" s="9">
        <f>IF($G1048="","",IFERROR(INDEX(LINHAS_DRE_PLANO,MATCH($G1048,SUBCATEGORIAS_PLANO,0)),"Não classificado"))</f>
        <v/>
      </c>
      <c r="AG1048" s="17">
        <f>IF($G1048="","",IFERROR(INDEX(TIPOS_FLUXO_PLANO,MATCH($G1048,SUBCATEGORIAS_PLANO,0)),"Não classificado"))</f>
        <v/>
      </c>
      <c r="AH1048" s="9">
        <f>IF($G1048="","",IFERROR(INDEX(GRUPOS_PLANO,MATCH($G1048,SUBCATEGORIAS_PLANO,0)),"Não classificado"))</f>
        <v/>
      </c>
      <c r="AI1048" s="24">
        <f>IF(OR($C1048="",$X1048="Pago",$X1048="Recebido",$X1048="Cancelado"),"",$C1048-TODAY())</f>
        <v/>
      </c>
      <c r="AJ1048" s="24">
        <f>IF(OR($C1048="",$X1048="Pago",$X1048="Recebido",$X1048="Cancelado"),0,MAX(0,TODAY()-$C1048))</f>
        <v/>
      </c>
      <c r="AK1048" s="24">
        <f>IF($D1048="","",$D1048-$B1048)</f>
        <v/>
      </c>
      <c r="AL1048" s="18">
        <f>IF(OR($D1048="",$B1048=""),"",ROUND(N($R1048)*($D1048-$B1048),2))</f>
        <v/>
      </c>
      <c r="AM1048" s="17">
        <f>IF(AND($E1048="Saída",$W1048&gt;0,$C1048&lt;&gt;""),$C1048+ROW()/1000000,"")</f>
        <v/>
      </c>
      <c r="AN1048" s="17">
        <f>IF(AND($E1048="Entrada",$W1048&gt;0,$C1048&lt;&gt;""),$C1048+ROW()/1000000,"")</f>
        <v/>
      </c>
      <c r="AO1048" s="9">
        <f>IF(COUNTA($B1048:$R1048)=0,"",IF(AND($I1048&lt;&gt;"",COUNTIF(CLIENTES_NOMES,$I1048)+COUNTIF(CLIENTES_FANTASIA,$I1048)+COUNTIF(FORNECEDORES_NOMES,$I1048)+COUNTIF(FORNECEDORES_FANTASIA,$I1048)=0),"⚠ Cliente/Fornecedor não cadastrado",IF(AND($G1048&lt;&gt;"",COUNTIF(SUBCATEGORIAS_PLANO,$G1048)=0),"⚠ Subcategoria fora do plano de contas",IF(OR($Q1048="",N($Q1048)=0),"⚠ Valor previsto não informado",IF(AND(OR($X1048="Pago",$X1048="Recebido"),$D1048=""),"⚠ Status pago/recebido sem data",IF(AND($D1048&lt;&gt;"",N($R1048)=0),"⚠ Data de pagamento sem valor realizado",IF(AND(N($P1048)&gt;1,N($O1048)&gt;N($P1048)),"⚠ Nº da parcela maior que o total",IF(AND($C1048&lt;&gt;"",$B1048&lt;&gt;"",$C1048&lt;$B1048),"⚠ Vencimento anterior à competência","OK"))))))))</f>
        <v/>
      </c>
    </row>
    <row r="1049">
      <c r="A1049" s="14" t="n"/>
      <c r="B1049" s="36" t="n"/>
      <c r="C1049" s="36" t="n"/>
      <c r="D1049" s="36" t="n"/>
      <c r="E1049" s="14" t="n"/>
      <c r="F1049" s="29" t="n"/>
      <c r="G1049" s="29" t="n"/>
      <c r="H1049" s="29" t="n"/>
      <c r="I1049" s="29" t="n"/>
      <c r="J1049" s="29" t="n"/>
      <c r="K1049" s="14" t="n"/>
      <c r="L1049" s="29" t="n"/>
      <c r="M1049" s="14" t="n"/>
      <c r="N1049" s="29" t="n"/>
      <c r="O1049" s="13" t="n"/>
      <c r="P1049" s="13" t="n"/>
      <c r="Q1049" s="35" t="n"/>
      <c r="R1049" s="35" t="n"/>
      <c r="S1049" s="35" t="n"/>
      <c r="T1049" s="35" t="n"/>
      <c r="U1049" s="35" t="n"/>
      <c r="V1049" s="18">
        <f>IF(COUNTA($B1049:$R1049)=0,"",ROUND(N($R1049)+N($S1049)+N($T1049)-N($U1049),2))</f>
        <v/>
      </c>
      <c r="W1049" s="18">
        <f>IF(COUNTA($B1049:$R1049)=0,"",IF(OR($X1049="Pago",$X1049="Recebido",$X1049="Cancelado"),0,ROUND(N($Q1049)+N($S1049)+N($T1049)-N($U1049)-N($R1049),2)))</f>
        <v/>
      </c>
      <c r="X1049" s="14" t="n"/>
      <c r="Y1049" s="17">
        <f>IF(COUNTA($B1049:$R1049)=0,"",IF($X1049="Cancelado","Cancelado",IF(OR($X1049="Pago",$X1049="Recebido"),$X1049,IF(OR($X1049="Parcial",N($R1049)&gt;0),"Parcial",IF($C1049="","Sem vencimento",IF($C1049&lt;TODAY(),"Vencido",IF($C1049=TODAY(),"Vence hoje",IF($C1049&lt;=TODAY()+7,"Vence em 7 dias",IF($C1049&lt;=TODAY()+30,"Vence em 30 dias","Futuro")))))))))</f>
        <v/>
      </c>
      <c r="Z1049" s="24">
        <f>IF($B1049="","",MONTH($B1049))</f>
        <v/>
      </c>
      <c r="AA1049" s="24">
        <f>IF($B1049="","",YEAR($B1049))</f>
        <v/>
      </c>
      <c r="AB1049" s="24">
        <f>IF($B1049="","",ISOWEEKNUM($B1049))</f>
        <v/>
      </c>
      <c r="AC1049" s="17">
        <f>IF($B1049="","",CHOOSE(WEEKDAY($B1049,2),"Segunda","Terça","Quarta","Quinta","Sexta","Sábado","Domingo"))</f>
        <v/>
      </c>
      <c r="AD1049" s="17">
        <f>IF($B1049="","",TEXT($B1049,"MM/AAAA"))</f>
        <v/>
      </c>
      <c r="AE1049" s="18">
        <f>IF(COUNTA($B1049:$R1049)=0,"",IF($X1049="Cancelado",0,ROUND(N($Q1049)+N($S1049)+N($T1049)-N($U1049),2)))</f>
        <v/>
      </c>
      <c r="AF1049" s="9">
        <f>IF($G1049="","",IFERROR(INDEX(LINHAS_DRE_PLANO,MATCH($G1049,SUBCATEGORIAS_PLANO,0)),"Não classificado"))</f>
        <v/>
      </c>
      <c r="AG1049" s="17">
        <f>IF($G1049="","",IFERROR(INDEX(TIPOS_FLUXO_PLANO,MATCH($G1049,SUBCATEGORIAS_PLANO,0)),"Não classificado"))</f>
        <v/>
      </c>
      <c r="AH1049" s="9">
        <f>IF($G1049="","",IFERROR(INDEX(GRUPOS_PLANO,MATCH($G1049,SUBCATEGORIAS_PLANO,0)),"Não classificado"))</f>
        <v/>
      </c>
      <c r="AI1049" s="24">
        <f>IF(OR($C1049="",$X1049="Pago",$X1049="Recebido",$X1049="Cancelado"),"",$C1049-TODAY())</f>
        <v/>
      </c>
      <c r="AJ1049" s="24">
        <f>IF(OR($C1049="",$X1049="Pago",$X1049="Recebido",$X1049="Cancelado"),0,MAX(0,TODAY()-$C1049))</f>
        <v/>
      </c>
      <c r="AK1049" s="24">
        <f>IF($D1049="","",$D1049-$B1049)</f>
        <v/>
      </c>
      <c r="AL1049" s="18">
        <f>IF(OR($D1049="",$B1049=""),"",ROUND(N($R1049)*($D1049-$B1049),2))</f>
        <v/>
      </c>
      <c r="AM1049" s="17">
        <f>IF(AND($E1049="Saída",$W1049&gt;0,$C1049&lt;&gt;""),$C1049+ROW()/1000000,"")</f>
        <v/>
      </c>
      <c r="AN1049" s="17">
        <f>IF(AND($E1049="Entrada",$W1049&gt;0,$C1049&lt;&gt;""),$C1049+ROW()/1000000,"")</f>
        <v/>
      </c>
      <c r="AO1049" s="9">
        <f>IF(COUNTA($B1049:$R1049)=0,"",IF(AND($I1049&lt;&gt;"",COUNTIF(CLIENTES_NOMES,$I1049)+COUNTIF(CLIENTES_FANTASIA,$I1049)+COUNTIF(FORNECEDORES_NOMES,$I1049)+COUNTIF(FORNECEDORES_FANTASIA,$I1049)=0),"⚠ Cliente/Fornecedor não cadastrado",IF(AND($G1049&lt;&gt;"",COUNTIF(SUBCATEGORIAS_PLANO,$G1049)=0),"⚠ Subcategoria fora do plano de contas",IF(OR($Q1049="",N($Q1049)=0),"⚠ Valor previsto não informado",IF(AND(OR($X1049="Pago",$X1049="Recebido"),$D1049=""),"⚠ Status pago/recebido sem data",IF(AND($D1049&lt;&gt;"",N($R1049)=0),"⚠ Data de pagamento sem valor realizado",IF(AND(N($P1049)&gt;1,N($O1049)&gt;N($P1049)),"⚠ Nº da parcela maior que o total",IF(AND($C1049&lt;&gt;"",$B1049&lt;&gt;"",$C1049&lt;$B1049),"⚠ Vencimento anterior à competência","OK"))))))))</f>
        <v/>
      </c>
    </row>
    <row r="1050">
      <c r="A1050" s="14" t="n"/>
      <c r="B1050" s="36" t="n"/>
      <c r="C1050" s="36" t="n"/>
      <c r="D1050" s="36" t="n"/>
      <c r="E1050" s="14" t="n"/>
      <c r="F1050" s="29" t="n"/>
      <c r="G1050" s="29" t="n"/>
      <c r="H1050" s="29" t="n"/>
      <c r="I1050" s="29" t="n"/>
      <c r="J1050" s="29" t="n"/>
      <c r="K1050" s="14" t="n"/>
      <c r="L1050" s="29" t="n"/>
      <c r="M1050" s="14" t="n"/>
      <c r="N1050" s="29" t="n"/>
      <c r="O1050" s="13" t="n"/>
      <c r="P1050" s="13" t="n"/>
      <c r="Q1050" s="35" t="n"/>
      <c r="R1050" s="35" t="n"/>
      <c r="S1050" s="35" t="n"/>
      <c r="T1050" s="35" t="n"/>
      <c r="U1050" s="35" t="n"/>
      <c r="V1050" s="18">
        <f>IF(COUNTA($B1050:$R1050)=0,"",ROUND(N($R1050)+N($S1050)+N($T1050)-N($U1050),2))</f>
        <v/>
      </c>
      <c r="W1050" s="18">
        <f>IF(COUNTA($B1050:$R1050)=0,"",IF(OR($X1050="Pago",$X1050="Recebido",$X1050="Cancelado"),0,ROUND(N($Q1050)+N($S1050)+N($T1050)-N($U1050)-N($R1050),2)))</f>
        <v/>
      </c>
      <c r="X1050" s="14" t="n"/>
      <c r="Y1050" s="17">
        <f>IF(COUNTA($B1050:$R1050)=0,"",IF($X1050="Cancelado","Cancelado",IF(OR($X1050="Pago",$X1050="Recebido"),$X1050,IF(OR($X1050="Parcial",N($R1050)&gt;0),"Parcial",IF($C1050="","Sem vencimento",IF($C1050&lt;TODAY(),"Vencido",IF($C1050=TODAY(),"Vence hoje",IF($C1050&lt;=TODAY()+7,"Vence em 7 dias",IF($C1050&lt;=TODAY()+30,"Vence em 30 dias","Futuro")))))))))</f>
        <v/>
      </c>
      <c r="Z1050" s="24">
        <f>IF($B1050="","",MONTH($B1050))</f>
        <v/>
      </c>
      <c r="AA1050" s="24">
        <f>IF($B1050="","",YEAR($B1050))</f>
        <v/>
      </c>
      <c r="AB1050" s="24">
        <f>IF($B1050="","",ISOWEEKNUM($B1050))</f>
        <v/>
      </c>
      <c r="AC1050" s="17">
        <f>IF($B1050="","",CHOOSE(WEEKDAY($B1050,2),"Segunda","Terça","Quarta","Quinta","Sexta","Sábado","Domingo"))</f>
        <v/>
      </c>
      <c r="AD1050" s="17">
        <f>IF($B1050="","",TEXT($B1050,"MM/AAAA"))</f>
        <v/>
      </c>
      <c r="AE1050" s="18">
        <f>IF(COUNTA($B1050:$R1050)=0,"",IF($X1050="Cancelado",0,ROUND(N($Q1050)+N($S1050)+N($T1050)-N($U1050),2)))</f>
        <v/>
      </c>
      <c r="AF1050" s="9">
        <f>IF($G1050="","",IFERROR(INDEX(LINHAS_DRE_PLANO,MATCH($G1050,SUBCATEGORIAS_PLANO,0)),"Não classificado"))</f>
        <v/>
      </c>
      <c r="AG1050" s="17">
        <f>IF($G1050="","",IFERROR(INDEX(TIPOS_FLUXO_PLANO,MATCH($G1050,SUBCATEGORIAS_PLANO,0)),"Não classificado"))</f>
        <v/>
      </c>
      <c r="AH1050" s="9">
        <f>IF($G1050="","",IFERROR(INDEX(GRUPOS_PLANO,MATCH($G1050,SUBCATEGORIAS_PLANO,0)),"Não classificado"))</f>
        <v/>
      </c>
      <c r="AI1050" s="24">
        <f>IF(OR($C1050="",$X1050="Pago",$X1050="Recebido",$X1050="Cancelado"),"",$C1050-TODAY())</f>
        <v/>
      </c>
      <c r="AJ1050" s="24">
        <f>IF(OR($C1050="",$X1050="Pago",$X1050="Recebido",$X1050="Cancelado"),0,MAX(0,TODAY()-$C1050))</f>
        <v/>
      </c>
      <c r="AK1050" s="24">
        <f>IF($D1050="","",$D1050-$B1050)</f>
        <v/>
      </c>
      <c r="AL1050" s="18">
        <f>IF(OR($D1050="",$B1050=""),"",ROUND(N($R1050)*($D1050-$B1050),2))</f>
        <v/>
      </c>
      <c r="AM1050" s="17">
        <f>IF(AND($E1050="Saída",$W1050&gt;0,$C1050&lt;&gt;""),$C1050+ROW()/1000000,"")</f>
        <v/>
      </c>
      <c r="AN1050" s="17">
        <f>IF(AND($E1050="Entrada",$W1050&gt;0,$C1050&lt;&gt;""),$C1050+ROW()/1000000,"")</f>
        <v/>
      </c>
      <c r="AO1050" s="9">
        <f>IF(COUNTA($B1050:$R1050)=0,"",IF(AND($I1050&lt;&gt;"",COUNTIF(CLIENTES_NOMES,$I1050)+COUNTIF(CLIENTES_FANTASIA,$I1050)+COUNTIF(FORNECEDORES_NOMES,$I1050)+COUNTIF(FORNECEDORES_FANTASIA,$I1050)=0),"⚠ Cliente/Fornecedor não cadastrado",IF(AND($G1050&lt;&gt;"",COUNTIF(SUBCATEGORIAS_PLANO,$G1050)=0),"⚠ Subcategoria fora do plano de contas",IF(OR($Q1050="",N($Q1050)=0),"⚠ Valor previsto não informado",IF(AND(OR($X1050="Pago",$X1050="Recebido"),$D1050=""),"⚠ Status pago/recebido sem data",IF(AND($D1050&lt;&gt;"",N($R1050)=0),"⚠ Data de pagamento sem valor realizado",IF(AND(N($P1050)&gt;1,N($O1050)&gt;N($P1050)),"⚠ Nº da parcela maior que o total",IF(AND($C1050&lt;&gt;"",$B1050&lt;&gt;"",$C1050&lt;$B1050),"⚠ Vencimento anterior à competência","OK"))))))))</f>
        <v/>
      </c>
    </row>
    <row r="1051">
      <c r="A1051" s="14" t="n"/>
      <c r="B1051" s="36" t="n"/>
      <c r="C1051" s="36" t="n"/>
      <c r="D1051" s="36" t="n"/>
      <c r="E1051" s="14" t="n"/>
      <c r="F1051" s="29" t="n"/>
      <c r="G1051" s="29" t="n"/>
      <c r="H1051" s="29" t="n"/>
      <c r="I1051" s="29" t="n"/>
      <c r="J1051" s="29" t="n"/>
      <c r="K1051" s="14" t="n"/>
      <c r="L1051" s="29" t="n"/>
      <c r="M1051" s="14" t="n"/>
      <c r="N1051" s="29" t="n"/>
      <c r="O1051" s="13" t="n"/>
      <c r="P1051" s="13" t="n"/>
      <c r="Q1051" s="35" t="n"/>
      <c r="R1051" s="35" t="n"/>
      <c r="S1051" s="35" t="n"/>
      <c r="T1051" s="35" t="n"/>
      <c r="U1051" s="35" t="n"/>
      <c r="V1051" s="18">
        <f>IF(COUNTA($B1051:$R1051)=0,"",ROUND(N($R1051)+N($S1051)+N($T1051)-N($U1051),2))</f>
        <v/>
      </c>
      <c r="W1051" s="18">
        <f>IF(COUNTA($B1051:$R1051)=0,"",IF(OR($X1051="Pago",$X1051="Recebido",$X1051="Cancelado"),0,ROUND(N($Q1051)+N($S1051)+N($T1051)-N($U1051)-N($R1051),2)))</f>
        <v/>
      </c>
      <c r="X1051" s="14" t="n"/>
      <c r="Y1051" s="17">
        <f>IF(COUNTA($B1051:$R1051)=0,"",IF($X1051="Cancelado","Cancelado",IF(OR($X1051="Pago",$X1051="Recebido"),$X1051,IF(OR($X1051="Parcial",N($R1051)&gt;0),"Parcial",IF($C1051="","Sem vencimento",IF($C1051&lt;TODAY(),"Vencido",IF($C1051=TODAY(),"Vence hoje",IF($C1051&lt;=TODAY()+7,"Vence em 7 dias",IF($C1051&lt;=TODAY()+30,"Vence em 30 dias","Futuro")))))))))</f>
        <v/>
      </c>
      <c r="Z1051" s="24">
        <f>IF($B1051="","",MONTH($B1051))</f>
        <v/>
      </c>
      <c r="AA1051" s="24">
        <f>IF($B1051="","",YEAR($B1051))</f>
        <v/>
      </c>
      <c r="AB1051" s="24">
        <f>IF($B1051="","",ISOWEEKNUM($B1051))</f>
        <v/>
      </c>
      <c r="AC1051" s="17">
        <f>IF($B1051="","",CHOOSE(WEEKDAY($B1051,2),"Segunda","Terça","Quarta","Quinta","Sexta","Sábado","Domingo"))</f>
        <v/>
      </c>
      <c r="AD1051" s="17">
        <f>IF($B1051="","",TEXT($B1051,"MM/AAAA"))</f>
        <v/>
      </c>
      <c r="AE1051" s="18">
        <f>IF(COUNTA($B1051:$R1051)=0,"",IF($X1051="Cancelado",0,ROUND(N($Q1051)+N($S1051)+N($T1051)-N($U1051),2)))</f>
        <v/>
      </c>
      <c r="AF1051" s="9">
        <f>IF($G1051="","",IFERROR(INDEX(LINHAS_DRE_PLANO,MATCH($G1051,SUBCATEGORIAS_PLANO,0)),"Não classificado"))</f>
        <v/>
      </c>
      <c r="AG1051" s="17">
        <f>IF($G1051="","",IFERROR(INDEX(TIPOS_FLUXO_PLANO,MATCH($G1051,SUBCATEGORIAS_PLANO,0)),"Não classificado"))</f>
        <v/>
      </c>
      <c r="AH1051" s="9">
        <f>IF($G1051="","",IFERROR(INDEX(GRUPOS_PLANO,MATCH($G1051,SUBCATEGORIAS_PLANO,0)),"Não classificado"))</f>
        <v/>
      </c>
      <c r="AI1051" s="24">
        <f>IF(OR($C1051="",$X1051="Pago",$X1051="Recebido",$X1051="Cancelado"),"",$C1051-TODAY())</f>
        <v/>
      </c>
      <c r="AJ1051" s="24">
        <f>IF(OR($C1051="",$X1051="Pago",$X1051="Recebido",$X1051="Cancelado"),0,MAX(0,TODAY()-$C1051))</f>
        <v/>
      </c>
      <c r="AK1051" s="24">
        <f>IF($D1051="","",$D1051-$B1051)</f>
        <v/>
      </c>
      <c r="AL1051" s="18">
        <f>IF(OR($D1051="",$B1051=""),"",ROUND(N($R1051)*($D1051-$B1051),2))</f>
        <v/>
      </c>
      <c r="AM1051" s="17">
        <f>IF(AND($E1051="Saída",$W1051&gt;0,$C1051&lt;&gt;""),$C1051+ROW()/1000000,"")</f>
        <v/>
      </c>
      <c r="AN1051" s="17">
        <f>IF(AND($E1051="Entrada",$W1051&gt;0,$C1051&lt;&gt;""),$C1051+ROW()/1000000,"")</f>
        <v/>
      </c>
      <c r="AO1051" s="9">
        <f>IF(COUNTA($B1051:$R1051)=0,"",IF(AND($I1051&lt;&gt;"",COUNTIF(CLIENTES_NOMES,$I1051)+COUNTIF(CLIENTES_FANTASIA,$I1051)+COUNTIF(FORNECEDORES_NOMES,$I1051)+COUNTIF(FORNECEDORES_FANTASIA,$I1051)=0),"⚠ Cliente/Fornecedor não cadastrado",IF(AND($G1051&lt;&gt;"",COUNTIF(SUBCATEGORIAS_PLANO,$G1051)=0),"⚠ Subcategoria fora do plano de contas",IF(OR($Q1051="",N($Q1051)=0),"⚠ Valor previsto não informado",IF(AND(OR($X1051="Pago",$X1051="Recebido"),$D1051=""),"⚠ Status pago/recebido sem data",IF(AND($D1051&lt;&gt;"",N($R1051)=0),"⚠ Data de pagamento sem valor realizado",IF(AND(N($P1051)&gt;1,N($O1051)&gt;N($P1051)),"⚠ Nº da parcela maior que o total",IF(AND($C1051&lt;&gt;"",$B1051&lt;&gt;"",$C1051&lt;$B1051),"⚠ Vencimento anterior à competência","OK"))))))))</f>
        <v/>
      </c>
    </row>
    <row r="1052">
      <c r="A1052" s="14" t="n"/>
      <c r="B1052" s="36" t="n"/>
      <c r="C1052" s="36" t="n"/>
      <c r="D1052" s="36" t="n"/>
      <c r="E1052" s="14" t="n"/>
      <c r="F1052" s="29" t="n"/>
      <c r="G1052" s="29" t="n"/>
      <c r="H1052" s="29" t="n"/>
      <c r="I1052" s="29" t="n"/>
      <c r="J1052" s="29" t="n"/>
      <c r="K1052" s="14" t="n"/>
      <c r="L1052" s="29" t="n"/>
      <c r="M1052" s="14" t="n"/>
      <c r="N1052" s="29" t="n"/>
      <c r="O1052" s="13" t="n"/>
      <c r="P1052" s="13" t="n"/>
      <c r="Q1052" s="35" t="n"/>
      <c r="R1052" s="35" t="n"/>
      <c r="S1052" s="35" t="n"/>
      <c r="T1052" s="35" t="n"/>
      <c r="U1052" s="35" t="n"/>
      <c r="V1052" s="18">
        <f>IF(COUNTA($B1052:$R1052)=0,"",ROUND(N($R1052)+N($S1052)+N($T1052)-N($U1052),2))</f>
        <v/>
      </c>
      <c r="W1052" s="18">
        <f>IF(COUNTA($B1052:$R1052)=0,"",IF(OR($X1052="Pago",$X1052="Recebido",$X1052="Cancelado"),0,ROUND(N($Q1052)+N($S1052)+N($T1052)-N($U1052)-N($R1052),2)))</f>
        <v/>
      </c>
      <c r="X1052" s="14" t="n"/>
      <c r="Y1052" s="17">
        <f>IF(COUNTA($B1052:$R1052)=0,"",IF($X1052="Cancelado","Cancelado",IF(OR($X1052="Pago",$X1052="Recebido"),$X1052,IF(OR($X1052="Parcial",N($R1052)&gt;0),"Parcial",IF($C1052="","Sem vencimento",IF($C1052&lt;TODAY(),"Vencido",IF($C1052=TODAY(),"Vence hoje",IF($C1052&lt;=TODAY()+7,"Vence em 7 dias",IF($C1052&lt;=TODAY()+30,"Vence em 30 dias","Futuro")))))))))</f>
        <v/>
      </c>
      <c r="Z1052" s="24">
        <f>IF($B1052="","",MONTH($B1052))</f>
        <v/>
      </c>
      <c r="AA1052" s="24">
        <f>IF($B1052="","",YEAR($B1052))</f>
        <v/>
      </c>
      <c r="AB1052" s="24">
        <f>IF($B1052="","",ISOWEEKNUM($B1052))</f>
        <v/>
      </c>
      <c r="AC1052" s="17">
        <f>IF($B1052="","",CHOOSE(WEEKDAY($B1052,2),"Segunda","Terça","Quarta","Quinta","Sexta","Sábado","Domingo"))</f>
        <v/>
      </c>
      <c r="AD1052" s="17">
        <f>IF($B1052="","",TEXT($B1052,"MM/AAAA"))</f>
        <v/>
      </c>
      <c r="AE1052" s="18">
        <f>IF(COUNTA($B1052:$R1052)=0,"",IF($X1052="Cancelado",0,ROUND(N($Q1052)+N($S1052)+N($T1052)-N($U1052),2)))</f>
        <v/>
      </c>
      <c r="AF1052" s="9">
        <f>IF($G1052="","",IFERROR(INDEX(LINHAS_DRE_PLANO,MATCH($G1052,SUBCATEGORIAS_PLANO,0)),"Não classificado"))</f>
        <v/>
      </c>
      <c r="AG1052" s="17">
        <f>IF($G1052="","",IFERROR(INDEX(TIPOS_FLUXO_PLANO,MATCH($G1052,SUBCATEGORIAS_PLANO,0)),"Não classificado"))</f>
        <v/>
      </c>
      <c r="AH1052" s="9">
        <f>IF($G1052="","",IFERROR(INDEX(GRUPOS_PLANO,MATCH($G1052,SUBCATEGORIAS_PLANO,0)),"Não classificado"))</f>
        <v/>
      </c>
      <c r="AI1052" s="24">
        <f>IF(OR($C1052="",$X1052="Pago",$X1052="Recebido",$X1052="Cancelado"),"",$C1052-TODAY())</f>
        <v/>
      </c>
      <c r="AJ1052" s="24">
        <f>IF(OR($C1052="",$X1052="Pago",$X1052="Recebido",$X1052="Cancelado"),0,MAX(0,TODAY()-$C1052))</f>
        <v/>
      </c>
      <c r="AK1052" s="24">
        <f>IF($D1052="","",$D1052-$B1052)</f>
        <v/>
      </c>
      <c r="AL1052" s="18">
        <f>IF(OR($D1052="",$B1052=""),"",ROUND(N($R1052)*($D1052-$B1052),2))</f>
        <v/>
      </c>
      <c r="AM1052" s="17">
        <f>IF(AND($E1052="Saída",$W1052&gt;0,$C1052&lt;&gt;""),$C1052+ROW()/1000000,"")</f>
        <v/>
      </c>
      <c r="AN1052" s="17">
        <f>IF(AND($E1052="Entrada",$W1052&gt;0,$C1052&lt;&gt;""),$C1052+ROW()/1000000,"")</f>
        <v/>
      </c>
      <c r="AO1052" s="9">
        <f>IF(COUNTA($B1052:$R1052)=0,"",IF(AND($I1052&lt;&gt;"",COUNTIF(CLIENTES_NOMES,$I1052)+COUNTIF(CLIENTES_FANTASIA,$I1052)+COUNTIF(FORNECEDORES_NOMES,$I1052)+COUNTIF(FORNECEDORES_FANTASIA,$I1052)=0),"⚠ Cliente/Fornecedor não cadastrado",IF(AND($G1052&lt;&gt;"",COUNTIF(SUBCATEGORIAS_PLANO,$G1052)=0),"⚠ Subcategoria fora do plano de contas",IF(OR($Q1052="",N($Q1052)=0),"⚠ Valor previsto não informado",IF(AND(OR($X1052="Pago",$X1052="Recebido"),$D1052=""),"⚠ Status pago/recebido sem data",IF(AND($D1052&lt;&gt;"",N($R1052)=0),"⚠ Data de pagamento sem valor realizado",IF(AND(N($P1052)&gt;1,N($O1052)&gt;N($P1052)),"⚠ Nº da parcela maior que o total",IF(AND($C1052&lt;&gt;"",$B1052&lt;&gt;"",$C1052&lt;$B1052),"⚠ Vencimento anterior à competência","OK"))))))))</f>
        <v/>
      </c>
    </row>
    <row r="1053">
      <c r="A1053" s="14" t="n"/>
      <c r="B1053" s="36" t="n"/>
      <c r="C1053" s="36" t="n"/>
      <c r="D1053" s="36" t="n"/>
      <c r="E1053" s="14" t="n"/>
      <c r="F1053" s="29" t="n"/>
      <c r="G1053" s="29" t="n"/>
      <c r="H1053" s="29" t="n"/>
      <c r="I1053" s="29" t="n"/>
      <c r="J1053" s="29" t="n"/>
      <c r="K1053" s="14" t="n"/>
      <c r="L1053" s="29" t="n"/>
      <c r="M1053" s="14" t="n"/>
      <c r="N1053" s="29" t="n"/>
      <c r="O1053" s="13" t="n"/>
      <c r="P1053" s="13" t="n"/>
      <c r="Q1053" s="35" t="n"/>
      <c r="R1053" s="35" t="n"/>
      <c r="S1053" s="35" t="n"/>
      <c r="T1053" s="35" t="n"/>
      <c r="U1053" s="35" t="n"/>
      <c r="V1053" s="18">
        <f>IF(COUNTA($B1053:$R1053)=0,"",ROUND(N($R1053)+N($S1053)+N($T1053)-N($U1053),2))</f>
        <v/>
      </c>
      <c r="W1053" s="18">
        <f>IF(COUNTA($B1053:$R1053)=0,"",IF(OR($X1053="Pago",$X1053="Recebido",$X1053="Cancelado"),0,ROUND(N($Q1053)+N($S1053)+N($T1053)-N($U1053)-N($R1053),2)))</f>
        <v/>
      </c>
      <c r="X1053" s="14" t="n"/>
      <c r="Y1053" s="17">
        <f>IF(COUNTA($B1053:$R1053)=0,"",IF($X1053="Cancelado","Cancelado",IF(OR($X1053="Pago",$X1053="Recebido"),$X1053,IF(OR($X1053="Parcial",N($R1053)&gt;0),"Parcial",IF($C1053="","Sem vencimento",IF($C1053&lt;TODAY(),"Vencido",IF($C1053=TODAY(),"Vence hoje",IF($C1053&lt;=TODAY()+7,"Vence em 7 dias",IF($C1053&lt;=TODAY()+30,"Vence em 30 dias","Futuro")))))))))</f>
        <v/>
      </c>
      <c r="Z1053" s="24">
        <f>IF($B1053="","",MONTH($B1053))</f>
        <v/>
      </c>
      <c r="AA1053" s="24">
        <f>IF($B1053="","",YEAR($B1053))</f>
        <v/>
      </c>
      <c r="AB1053" s="24">
        <f>IF($B1053="","",ISOWEEKNUM($B1053))</f>
        <v/>
      </c>
      <c r="AC1053" s="17">
        <f>IF($B1053="","",CHOOSE(WEEKDAY($B1053,2),"Segunda","Terça","Quarta","Quinta","Sexta","Sábado","Domingo"))</f>
        <v/>
      </c>
      <c r="AD1053" s="17">
        <f>IF($B1053="","",TEXT($B1053,"MM/AAAA"))</f>
        <v/>
      </c>
      <c r="AE1053" s="18">
        <f>IF(COUNTA($B1053:$R1053)=0,"",IF($X1053="Cancelado",0,ROUND(N($Q1053)+N($S1053)+N($T1053)-N($U1053),2)))</f>
        <v/>
      </c>
      <c r="AF1053" s="9">
        <f>IF($G1053="","",IFERROR(INDEX(LINHAS_DRE_PLANO,MATCH($G1053,SUBCATEGORIAS_PLANO,0)),"Não classificado"))</f>
        <v/>
      </c>
      <c r="AG1053" s="17">
        <f>IF($G1053="","",IFERROR(INDEX(TIPOS_FLUXO_PLANO,MATCH($G1053,SUBCATEGORIAS_PLANO,0)),"Não classificado"))</f>
        <v/>
      </c>
      <c r="AH1053" s="9">
        <f>IF($G1053="","",IFERROR(INDEX(GRUPOS_PLANO,MATCH($G1053,SUBCATEGORIAS_PLANO,0)),"Não classificado"))</f>
        <v/>
      </c>
      <c r="AI1053" s="24">
        <f>IF(OR($C1053="",$X1053="Pago",$X1053="Recebido",$X1053="Cancelado"),"",$C1053-TODAY())</f>
        <v/>
      </c>
      <c r="AJ1053" s="24">
        <f>IF(OR($C1053="",$X1053="Pago",$X1053="Recebido",$X1053="Cancelado"),0,MAX(0,TODAY()-$C1053))</f>
        <v/>
      </c>
      <c r="AK1053" s="24">
        <f>IF($D1053="","",$D1053-$B1053)</f>
        <v/>
      </c>
      <c r="AL1053" s="18">
        <f>IF(OR($D1053="",$B1053=""),"",ROUND(N($R1053)*($D1053-$B1053),2))</f>
        <v/>
      </c>
      <c r="AM1053" s="17">
        <f>IF(AND($E1053="Saída",$W1053&gt;0,$C1053&lt;&gt;""),$C1053+ROW()/1000000,"")</f>
        <v/>
      </c>
      <c r="AN1053" s="17">
        <f>IF(AND($E1053="Entrada",$W1053&gt;0,$C1053&lt;&gt;""),$C1053+ROW()/1000000,"")</f>
        <v/>
      </c>
      <c r="AO1053" s="9">
        <f>IF(COUNTA($B1053:$R1053)=0,"",IF(AND($I1053&lt;&gt;"",COUNTIF(CLIENTES_NOMES,$I1053)+COUNTIF(CLIENTES_FANTASIA,$I1053)+COUNTIF(FORNECEDORES_NOMES,$I1053)+COUNTIF(FORNECEDORES_FANTASIA,$I1053)=0),"⚠ Cliente/Fornecedor não cadastrado",IF(AND($G1053&lt;&gt;"",COUNTIF(SUBCATEGORIAS_PLANO,$G1053)=0),"⚠ Subcategoria fora do plano de contas",IF(OR($Q1053="",N($Q1053)=0),"⚠ Valor previsto não informado",IF(AND(OR($X1053="Pago",$X1053="Recebido"),$D1053=""),"⚠ Status pago/recebido sem data",IF(AND($D1053&lt;&gt;"",N($R1053)=0),"⚠ Data de pagamento sem valor realizado",IF(AND(N($P1053)&gt;1,N($O1053)&gt;N($P1053)),"⚠ Nº da parcela maior que o total",IF(AND($C1053&lt;&gt;"",$B1053&lt;&gt;"",$C1053&lt;$B1053),"⚠ Vencimento anterior à competência","OK"))))))))</f>
        <v/>
      </c>
    </row>
    <row r="1054">
      <c r="A1054" s="14" t="n"/>
      <c r="B1054" s="36" t="n"/>
      <c r="C1054" s="36" t="n"/>
      <c r="D1054" s="36" t="n"/>
      <c r="E1054" s="14" t="n"/>
      <c r="F1054" s="29" t="n"/>
      <c r="G1054" s="29" t="n"/>
      <c r="H1054" s="29" t="n"/>
      <c r="I1054" s="29" t="n"/>
      <c r="J1054" s="29" t="n"/>
      <c r="K1054" s="14" t="n"/>
      <c r="L1054" s="29" t="n"/>
      <c r="M1054" s="14" t="n"/>
      <c r="N1054" s="29" t="n"/>
      <c r="O1054" s="13" t="n"/>
      <c r="P1054" s="13" t="n"/>
      <c r="Q1054" s="35" t="n"/>
      <c r="R1054" s="35" t="n"/>
      <c r="S1054" s="35" t="n"/>
      <c r="T1054" s="35" t="n"/>
      <c r="U1054" s="35" t="n"/>
      <c r="V1054" s="18">
        <f>IF(COUNTA($B1054:$R1054)=0,"",ROUND(N($R1054)+N($S1054)+N($T1054)-N($U1054),2))</f>
        <v/>
      </c>
      <c r="W1054" s="18">
        <f>IF(COUNTA($B1054:$R1054)=0,"",IF(OR($X1054="Pago",$X1054="Recebido",$X1054="Cancelado"),0,ROUND(N($Q1054)+N($S1054)+N($T1054)-N($U1054)-N($R1054),2)))</f>
        <v/>
      </c>
      <c r="X1054" s="14" t="n"/>
      <c r="Y1054" s="17">
        <f>IF(COUNTA($B1054:$R1054)=0,"",IF($X1054="Cancelado","Cancelado",IF(OR($X1054="Pago",$X1054="Recebido"),$X1054,IF(OR($X1054="Parcial",N($R1054)&gt;0),"Parcial",IF($C1054="","Sem vencimento",IF($C1054&lt;TODAY(),"Vencido",IF($C1054=TODAY(),"Vence hoje",IF($C1054&lt;=TODAY()+7,"Vence em 7 dias",IF($C1054&lt;=TODAY()+30,"Vence em 30 dias","Futuro")))))))))</f>
        <v/>
      </c>
      <c r="Z1054" s="24">
        <f>IF($B1054="","",MONTH($B1054))</f>
        <v/>
      </c>
      <c r="AA1054" s="24">
        <f>IF($B1054="","",YEAR($B1054))</f>
        <v/>
      </c>
      <c r="AB1054" s="24">
        <f>IF($B1054="","",ISOWEEKNUM($B1054))</f>
        <v/>
      </c>
      <c r="AC1054" s="17">
        <f>IF($B1054="","",CHOOSE(WEEKDAY($B1054,2),"Segunda","Terça","Quarta","Quinta","Sexta","Sábado","Domingo"))</f>
        <v/>
      </c>
      <c r="AD1054" s="17">
        <f>IF($B1054="","",TEXT($B1054,"MM/AAAA"))</f>
        <v/>
      </c>
      <c r="AE1054" s="18">
        <f>IF(COUNTA($B1054:$R1054)=0,"",IF($X1054="Cancelado",0,ROUND(N($Q1054)+N($S1054)+N($T1054)-N($U1054),2)))</f>
        <v/>
      </c>
      <c r="AF1054" s="9">
        <f>IF($G1054="","",IFERROR(INDEX(LINHAS_DRE_PLANO,MATCH($G1054,SUBCATEGORIAS_PLANO,0)),"Não classificado"))</f>
        <v/>
      </c>
      <c r="AG1054" s="17">
        <f>IF($G1054="","",IFERROR(INDEX(TIPOS_FLUXO_PLANO,MATCH($G1054,SUBCATEGORIAS_PLANO,0)),"Não classificado"))</f>
        <v/>
      </c>
      <c r="AH1054" s="9">
        <f>IF($G1054="","",IFERROR(INDEX(GRUPOS_PLANO,MATCH($G1054,SUBCATEGORIAS_PLANO,0)),"Não classificado"))</f>
        <v/>
      </c>
      <c r="AI1054" s="24">
        <f>IF(OR($C1054="",$X1054="Pago",$X1054="Recebido",$X1054="Cancelado"),"",$C1054-TODAY())</f>
        <v/>
      </c>
      <c r="AJ1054" s="24">
        <f>IF(OR($C1054="",$X1054="Pago",$X1054="Recebido",$X1054="Cancelado"),0,MAX(0,TODAY()-$C1054))</f>
        <v/>
      </c>
      <c r="AK1054" s="24">
        <f>IF($D1054="","",$D1054-$B1054)</f>
        <v/>
      </c>
      <c r="AL1054" s="18">
        <f>IF(OR($D1054="",$B1054=""),"",ROUND(N($R1054)*($D1054-$B1054),2))</f>
        <v/>
      </c>
      <c r="AM1054" s="17">
        <f>IF(AND($E1054="Saída",$W1054&gt;0,$C1054&lt;&gt;""),$C1054+ROW()/1000000,"")</f>
        <v/>
      </c>
      <c r="AN1054" s="17">
        <f>IF(AND($E1054="Entrada",$W1054&gt;0,$C1054&lt;&gt;""),$C1054+ROW()/1000000,"")</f>
        <v/>
      </c>
      <c r="AO1054" s="9">
        <f>IF(COUNTA($B1054:$R1054)=0,"",IF(AND($I1054&lt;&gt;"",COUNTIF(CLIENTES_NOMES,$I1054)+COUNTIF(CLIENTES_FANTASIA,$I1054)+COUNTIF(FORNECEDORES_NOMES,$I1054)+COUNTIF(FORNECEDORES_FANTASIA,$I1054)=0),"⚠ Cliente/Fornecedor não cadastrado",IF(AND($G1054&lt;&gt;"",COUNTIF(SUBCATEGORIAS_PLANO,$G1054)=0),"⚠ Subcategoria fora do plano de contas",IF(OR($Q1054="",N($Q1054)=0),"⚠ Valor previsto não informado",IF(AND(OR($X1054="Pago",$X1054="Recebido"),$D1054=""),"⚠ Status pago/recebido sem data",IF(AND($D1054&lt;&gt;"",N($R1054)=0),"⚠ Data de pagamento sem valor realizado",IF(AND(N($P1054)&gt;1,N($O1054)&gt;N($P1054)),"⚠ Nº da parcela maior que o total",IF(AND($C1054&lt;&gt;"",$B1054&lt;&gt;"",$C1054&lt;$B1054),"⚠ Vencimento anterior à competência","OK"))))))))</f>
        <v/>
      </c>
    </row>
    <row r="1055">
      <c r="A1055" s="14" t="n"/>
      <c r="B1055" s="36" t="n"/>
      <c r="C1055" s="36" t="n"/>
      <c r="D1055" s="36" t="n"/>
      <c r="E1055" s="14" t="n"/>
      <c r="F1055" s="29" t="n"/>
      <c r="G1055" s="29" t="n"/>
      <c r="H1055" s="29" t="n"/>
      <c r="I1055" s="29" t="n"/>
      <c r="J1055" s="29" t="n"/>
      <c r="K1055" s="14" t="n"/>
      <c r="L1055" s="29" t="n"/>
      <c r="M1055" s="14" t="n"/>
      <c r="N1055" s="29" t="n"/>
      <c r="O1055" s="13" t="n"/>
      <c r="P1055" s="13" t="n"/>
      <c r="Q1055" s="35" t="n"/>
      <c r="R1055" s="35" t="n"/>
      <c r="S1055" s="35" t="n"/>
      <c r="T1055" s="35" t="n"/>
      <c r="U1055" s="35" t="n"/>
      <c r="V1055" s="18">
        <f>IF(COUNTA($B1055:$R1055)=0,"",ROUND(N($R1055)+N($S1055)+N($T1055)-N($U1055),2))</f>
        <v/>
      </c>
      <c r="W1055" s="18">
        <f>IF(COUNTA($B1055:$R1055)=0,"",IF(OR($X1055="Pago",$X1055="Recebido",$X1055="Cancelado"),0,ROUND(N($Q1055)+N($S1055)+N($T1055)-N($U1055)-N($R1055),2)))</f>
        <v/>
      </c>
      <c r="X1055" s="14" t="n"/>
      <c r="Y1055" s="17">
        <f>IF(COUNTA($B1055:$R1055)=0,"",IF($X1055="Cancelado","Cancelado",IF(OR($X1055="Pago",$X1055="Recebido"),$X1055,IF(OR($X1055="Parcial",N($R1055)&gt;0),"Parcial",IF($C1055="","Sem vencimento",IF($C1055&lt;TODAY(),"Vencido",IF($C1055=TODAY(),"Vence hoje",IF($C1055&lt;=TODAY()+7,"Vence em 7 dias",IF($C1055&lt;=TODAY()+30,"Vence em 30 dias","Futuro")))))))))</f>
        <v/>
      </c>
      <c r="Z1055" s="24">
        <f>IF($B1055="","",MONTH($B1055))</f>
        <v/>
      </c>
      <c r="AA1055" s="24">
        <f>IF($B1055="","",YEAR($B1055))</f>
        <v/>
      </c>
      <c r="AB1055" s="24">
        <f>IF($B1055="","",ISOWEEKNUM($B1055))</f>
        <v/>
      </c>
      <c r="AC1055" s="17">
        <f>IF($B1055="","",CHOOSE(WEEKDAY($B1055,2),"Segunda","Terça","Quarta","Quinta","Sexta","Sábado","Domingo"))</f>
        <v/>
      </c>
      <c r="AD1055" s="17">
        <f>IF($B1055="","",TEXT($B1055,"MM/AAAA"))</f>
        <v/>
      </c>
      <c r="AE1055" s="18">
        <f>IF(COUNTA($B1055:$R1055)=0,"",IF($X1055="Cancelado",0,ROUND(N($Q1055)+N($S1055)+N($T1055)-N($U1055),2)))</f>
        <v/>
      </c>
      <c r="AF1055" s="9">
        <f>IF($G1055="","",IFERROR(INDEX(LINHAS_DRE_PLANO,MATCH($G1055,SUBCATEGORIAS_PLANO,0)),"Não classificado"))</f>
        <v/>
      </c>
      <c r="AG1055" s="17">
        <f>IF($G1055="","",IFERROR(INDEX(TIPOS_FLUXO_PLANO,MATCH($G1055,SUBCATEGORIAS_PLANO,0)),"Não classificado"))</f>
        <v/>
      </c>
      <c r="AH1055" s="9">
        <f>IF($G1055="","",IFERROR(INDEX(GRUPOS_PLANO,MATCH($G1055,SUBCATEGORIAS_PLANO,0)),"Não classificado"))</f>
        <v/>
      </c>
      <c r="AI1055" s="24">
        <f>IF(OR($C1055="",$X1055="Pago",$X1055="Recebido",$X1055="Cancelado"),"",$C1055-TODAY())</f>
        <v/>
      </c>
      <c r="AJ1055" s="24">
        <f>IF(OR($C1055="",$X1055="Pago",$X1055="Recebido",$X1055="Cancelado"),0,MAX(0,TODAY()-$C1055))</f>
        <v/>
      </c>
      <c r="AK1055" s="24">
        <f>IF($D1055="","",$D1055-$B1055)</f>
        <v/>
      </c>
      <c r="AL1055" s="18">
        <f>IF(OR($D1055="",$B1055=""),"",ROUND(N($R1055)*($D1055-$B1055),2))</f>
        <v/>
      </c>
      <c r="AM1055" s="17">
        <f>IF(AND($E1055="Saída",$W1055&gt;0,$C1055&lt;&gt;""),$C1055+ROW()/1000000,"")</f>
        <v/>
      </c>
      <c r="AN1055" s="17">
        <f>IF(AND($E1055="Entrada",$W1055&gt;0,$C1055&lt;&gt;""),$C1055+ROW()/1000000,"")</f>
        <v/>
      </c>
      <c r="AO1055" s="9">
        <f>IF(COUNTA($B1055:$R1055)=0,"",IF(AND($I1055&lt;&gt;"",COUNTIF(CLIENTES_NOMES,$I1055)+COUNTIF(CLIENTES_FANTASIA,$I1055)+COUNTIF(FORNECEDORES_NOMES,$I1055)+COUNTIF(FORNECEDORES_FANTASIA,$I1055)=0),"⚠ Cliente/Fornecedor não cadastrado",IF(AND($G1055&lt;&gt;"",COUNTIF(SUBCATEGORIAS_PLANO,$G1055)=0),"⚠ Subcategoria fora do plano de contas",IF(OR($Q1055="",N($Q1055)=0),"⚠ Valor previsto não informado",IF(AND(OR($X1055="Pago",$X1055="Recebido"),$D1055=""),"⚠ Status pago/recebido sem data",IF(AND($D1055&lt;&gt;"",N($R1055)=0),"⚠ Data de pagamento sem valor realizado",IF(AND(N($P1055)&gt;1,N($O1055)&gt;N($P1055)),"⚠ Nº da parcela maior que o total",IF(AND($C1055&lt;&gt;"",$B1055&lt;&gt;"",$C1055&lt;$B1055),"⚠ Vencimento anterior à competência","OK"))))))))</f>
        <v/>
      </c>
    </row>
    <row r="1056">
      <c r="A1056" s="14" t="n"/>
      <c r="B1056" s="36" t="n"/>
      <c r="C1056" s="36" t="n"/>
      <c r="D1056" s="36" t="n"/>
      <c r="E1056" s="14" t="n"/>
      <c r="F1056" s="29" t="n"/>
      <c r="G1056" s="29" t="n"/>
      <c r="H1056" s="29" t="n"/>
      <c r="I1056" s="29" t="n"/>
      <c r="J1056" s="29" t="n"/>
      <c r="K1056" s="14" t="n"/>
      <c r="L1056" s="29" t="n"/>
      <c r="M1056" s="14" t="n"/>
      <c r="N1056" s="29" t="n"/>
      <c r="O1056" s="13" t="n"/>
      <c r="P1056" s="13" t="n"/>
      <c r="Q1056" s="35" t="n"/>
      <c r="R1056" s="35" t="n"/>
      <c r="S1056" s="35" t="n"/>
      <c r="T1056" s="35" t="n"/>
      <c r="U1056" s="35" t="n"/>
      <c r="V1056" s="18">
        <f>IF(COUNTA($B1056:$R1056)=0,"",ROUND(N($R1056)+N($S1056)+N($T1056)-N($U1056),2))</f>
        <v/>
      </c>
      <c r="W1056" s="18">
        <f>IF(COUNTA($B1056:$R1056)=0,"",IF(OR($X1056="Pago",$X1056="Recebido",$X1056="Cancelado"),0,ROUND(N($Q1056)+N($S1056)+N($T1056)-N($U1056)-N($R1056),2)))</f>
        <v/>
      </c>
      <c r="X1056" s="14" t="n"/>
      <c r="Y1056" s="17">
        <f>IF(COUNTA($B1056:$R1056)=0,"",IF($X1056="Cancelado","Cancelado",IF(OR($X1056="Pago",$X1056="Recebido"),$X1056,IF(OR($X1056="Parcial",N($R1056)&gt;0),"Parcial",IF($C1056="","Sem vencimento",IF($C1056&lt;TODAY(),"Vencido",IF($C1056=TODAY(),"Vence hoje",IF($C1056&lt;=TODAY()+7,"Vence em 7 dias",IF($C1056&lt;=TODAY()+30,"Vence em 30 dias","Futuro")))))))))</f>
        <v/>
      </c>
      <c r="Z1056" s="24">
        <f>IF($B1056="","",MONTH($B1056))</f>
        <v/>
      </c>
      <c r="AA1056" s="24">
        <f>IF($B1056="","",YEAR($B1056))</f>
        <v/>
      </c>
      <c r="AB1056" s="24">
        <f>IF($B1056="","",ISOWEEKNUM($B1056))</f>
        <v/>
      </c>
      <c r="AC1056" s="17">
        <f>IF($B1056="","",CHOOSE(WEEKDAY($B1056,2),"Segunda","Terça","Quarta","Quinta","Sexta","Sábado","Domingo"))</f>
        <v/>
      </c>
      <c r="AD1056" s="17">
        <f>IF($B1056="","",TEXT($B1056,"MM/AAAA"))</f>
        <v/>
      </c>
      <c r="AE1056" s="18">
        <f>IF(COUNTA($B1056:$R1056)=0,"",IF($X1056="Cancelado",0,ROUND(N($Q1056)+N($S1056)+N($T1056)-N($U1056),2)))</f>
        <v/>
      </c>
      <c r="AF1056" s="9">
        <f>IF($G1056="","",IFERROR(INDEX(LINHAS_DRE_PLANO,MATCH($G1056,SUBCATEGORIAS_PLANO,0)),"Não classificado"))</f>
        <v/>
      </c>
      <c r="AG1056" s="17">
        <f>IF($G1056="","",IFERROR(INDEX(TIPOS_FLUXO_PLANO,MATCH($G1056,SUBCATEGORIAS_PLANO,0)),"Não classificado"))</f>
        <v/>
      </c>
      <c r="AH1056" s="9">
        <f>IF($G1056="","",IFERROR(INDEX(GRUPOS_PLANO,MATCH($G1056,SUBCATEGORIAS_PLANO,0)),"Não classificado"))</f>
        <v/>
      </c>
      <c r="AI1056" s="24">
        <f>IF(OR($C1056="",$X1056="Pago",$X1056="Recebido",$X1056="Cancelado"),"",$C1056-TODAY())</f>
        <v/>
      </c>
      <c r="AJ1056" s="24">
        <f>IF(OR($C1056="",$X1056="Pago",$X1056="Recebido",$X1056="Cancelado"),0,MAX(0,TODAY()-$C1056))</f>
        <v/>
      </c>
      <c r="AK1056" s="24">
        <f>IF($D1056="","",$D1056-$B1056)</f>
        <v/>
      </c>
      <c r="AL1056" s="18">
        <f>IF(OR($D1056="",$B1056=""),"",ROUND(N($R1056)*($D1056-$B1056),2))</f>
        <v/>
      </c>
      <c r="AM1056" s="17">
        <f>IF(AND($E1056="Saída",$W1056&gt;0,$C1056&lt;&gt;""),$C1056+ROW()/1000000,"")</f>
        <v/>
      </c>
      <c r="AN1056" s="17">
        <f>IF(AND($E1056="Entrada",$W1056&gt;0,$C1056&lt;&gt;""),$C1056+ROW()/1000000,"")</f>
        <v/>
      </c>
      <c r="AO1056" s="9">
        <f>IF(COUNTA($B1056:$R1056)=0,"",IF(AND($I1056&lt;&gt;"",COUNTIF(CLIENTES_NOMES,$I1056)+COUNTIF(CLIENTES_FANTASIA,$I1056)+COUNTIF(FORNECEDORES_NOMES,$I1056)+COUNTIF(FORNECEDORES_FANTASIA,$I1056)=0),"⚠ Cliente/Fornecedor não cadastrado",IF(AND($G1056&lt;&gt;"",COUNTIF(SUBCATEGORIAS_PLANO,$G1056)=0),"⚠ Subcategoria fora do plano de contas",IF(OR($Q1056="",N($Q1056)=0),"⚠ Valor previsto não informado",IF(AND(OR($X1056="Pago",$X1056="Recebido"),$D1056=""),"⚠ Status pago/recebido sem data",IF(AND($D1056&lt;&gt;"",N($R1056)=0),"⚠ Data de pagamento sem valor realizado",IF(AND(N($P1056)&gt;1,N($O1056)&gt;N($P1056)),"⚠ Nº da parcela maior que o total",IF(AND($C1056&lt;&gt;"",$B1056&lt;&gt;"",$C1056&lt;$B1056),"⚠ Vencimento anterior à competência","OK"))))))))</f>
        <v/>
      </c>
    </row>
    <row r="1057">
      <c r="A1057" s="14" t="n"/>
      <c r="B1057" s="36" t="n"/>
      <c r="C1057" s="36" t="n"/>
      <c r="D1057" s="36" t="n"/>
      <c r="E1057" s="14" t="n"/>
      <c r="F1057" s="29" t="n"/>
      <c r="G1057" s="29" t="n"/>
      <c r="H1057" s="29" t="n"/>
      <c r="I1057" s="29" t="n"/>
      <c r="J1057" s="29" t="n"/>
      <c r="K1057" s="14" t="n"/>
      <c r="L1057" s="29" t="n"/>
      <c r="M1057" s="14" t="n"/>
      <c r="N1057" s="29" t="n"/>
      <c r="O1057" s="13" t="n"/>
      <c r="P1057" s="13" t="n"/>
      <c r="Q1057" s="35" t="n"/>
      <c r="R1057" s="35" t="n"/>
      <c r="S1057" s="35" t="n"/>
      <c r="T1057" s="35" t="n"/>
      <c r="U1057" s="35" t="n"/>
      <c r="V1057" s="18">
        <f>IF(COUNTA($B1057:$R1057)=0,"",ROUND(N($R1057)+N($S1057)+N($T1057)-N($U1057),2))</f>
        <v/>
      </c>
      <c r="W1057" s="18">
        <f>IF(COUNTA($B1057:$R1057)=0,"",IF(OR($X1057="Pago",$X1057="Recebido",$X1057="Cancelado"),0,ROUND(N($Q1057)+N($S1057)+N($T1057)-N($U1057)-N($R1057),2)))</f>
        <v/>
      </c>
      <c r="X1057" s="14" t="n"/>
      <c r="Y1057" s="17">
        <f>IF(COUNTA($B1057:$R1057)=0,"",IF($X1057="Cancelado","Cancelado",IF(OR($X1057="Pago",$X1057="Recebido"),$X1057,IF(OR($X1057="Parcial",N($R1057)&gt;0),"Parcial",IF($C1057="","Sem vencimento",IF($C1057&lt;TODAY(),"Vencido",IF($C1057=TODAY(),"Vence hoje",IF($C1057&lt;=TODAY()+7,"Vence em 7 dias",IF($C1057&lt;=TODAY()+30,"Vence em 30 dias","Futuro")))))))))</f>
        <v/>
      </c>
      <c r="Z1057" s="24">
        <f>IF($B1057="","",MONTH($B1057))</f>
        <v/>
      </c>
      <c r="AA1057" s="24">
        <f>IF($B1057="","",YEAR($B1057))</f>
        <v/>
      </c>
      <c r="AB1057" s="24">
        <f>IF($B1057="","",ISOWEEKNUM($B1057))</f>
        <v/>
      </c>
      <c r="AC1057" s="17">
        <f>IF($B1057="","",CHOOSE(WEEKDAY($B1057,2),"Segunda","Terça","Quarta","Quinta","Sexta","Sábado","Domingo"))</f>
        <v/>
      </c>
      <c r="AD1057" s="17">
        <f>IF($B1057="","",TEXT($B1057,"MM/AAAA"))</f>
        <v/>
      </c>
      <c r="AE1057" s="18">
        <f>IF(COUNTA($B1057:$R1057)=0,"",IF($X1057="Cancelado",0,ROUND(N($Q1057)+N($S1057)+N($T1057)-N($U1057),2)))</f>
        <v/>
      </c>
      <c r="AF1057" s="9">
        <f>IF($G1057="","",IFERROR(INDEX(LINHAS_DRE_PLANO,MATCH($G1057,SUBCATEGORIAS_PLANO,0)),"Não classificado"))</f>
        <v/>
      </c>
      <c r="AG1057" s="17">
        <f>IF($G1057="","",IFERROR(INDEX(TIPOS_FLUXO_PLANO,MATCH($G1057,SUBCATEGORIAS_PLANO,0)),"Não classificado"))</f>
        <v/>
      </c>
      <c r="AH1057" s="9">
        <f>IF($G1057="","",IFERROR(INDEX(GRUPOS_PLANO,MATCH($G1057,SUBCATEGORIAS_PLANO,0)),"Não classificado"))</f>
        <v/>
      </c>
      <c r="AI1057" s="24">
        <f>IF(OR($C1057="",$X1057="Pago",$X1057="Recebido",$X1057="Cancelado"),"",$C1057-TODAY())</f>
        <v/>
      </c>
      <c r="AJ1057" s="24">
        <f>IF(OR($C1057="",$X1057="Pago",$X1057="Recebido",$X1057="Cancelado"),0,MAX(0,TODAY()-$C1057))</f>
        <v/>
      </c>
      <c r="AK1057" s="24">
        <f>IF($D1057="","",$D1057-$B1057)</f>
        <v/>
      </c>
      <c r="AL1057" s="18">
        <f>IF(OR($D1057="",$B1057=""),"",ROUND(N($R1057)*($D1057-$B1057),2))</f>
        <v/>
      </c>
      <c r="AM1057" s="17">
        <f>IF(AND($E1057="Saída",$W1057&gt;0,$C1057&lt;&gt;""),$C1057+ROW()/1000000,"")</f>
        <v/>
      </c>
      <c r="AN1057" s="17">
        <f>IF(AND($E1057="Entrada",$W1057&gt;0,$C1057&lt;&gt;""),$C1057+ROW()/1000000,"")</f>
        <v/>
      </c>
      <c r="AO1057" s="9">
        <f>IF(COUNTA($B1057:$R1057)=0,"",IF(AND($I1057&lt;&gt;"",COUNTIF(CLIENTES_NOMES,$I1057)+COUNTIF(CLIENTES_FANTASIA,$I1057)+COUNTIF(FORNECEDORES_NOMES,$I1057)+COUNTIF(FORNECEDORES_FANTASIA,$I1057)=0),"⚠ Cliente/Fornecedor não cadastrado",IF(AND($G1057&lt;&gt;"",COUNTIF(SUBCATEGORIAS_PLANO,$G1057)=0),"⚠ Subcategoria fora do plano de contas",IF(OR($Q1057="",N($Q1057)=0),"⚠ Valor previsto não informado",IF(AND(OR($X1057="Pago",$X1057="Recebido"),$D1057=""),"⚠ Status pago/recebido sem data",IF(AND($D1057&lt;&gt;"",N($R1057)=0),"⚠ Data de pagamento sem valor realizado",IF(AND(N($P1057)&gt;1,N($O1057)&gt;N($P1057)),"⚠ Nº da parcela maior que o total",IF(AND($C1057&lt;&gt;"",$B1057&lt;&gt;"",$C1057&lt;$B1057),"⚠ Vencimento anterior à competência","OK"))))))))</f>
        <v/>
      </c>
    </row>
    <row r="1058">
      <c r="A1058" s="14" t="n"/>
      <c r="B1058" s="36" t="n"/>
      <c r="C1058" s="36" t="n"/>
      <c r="D1058" s="36" t="n"/>
      <c r="E1058" s="14" t="n"/>
      <c r="F1058" s="29" t="n"/>
      <c r="G1058" s="29" t="n"/>
      <c r="H1058" s="29" t="n"/>
      <c r="I1058" s="29" t="n"/>
      <c r="J1058" s="29" t="n"/>
      <c r="K1058" s="14" t="n"/>
      <c r="L1058" s="29" t="n"/>
      <c r="M1058" s="14" t="n"/>
      <c r="N1058" s="29" t="n"/>
      <c r="O1058" s="13" t="n"/>
      <c r="P1058" s="13" t="n"/>
      <c r="Q1058" s="35" t="n"/>
      <c r="R1058" s="35" t="n"/>
      <c r="S1058" s="35" t="n"/>
      <c r="T1058" s="35" t="n"/>
      <c r="U1058" s="35" t="n"/>
      <c r="V1058" s="18">
        <f>IF(COUNTA($B1058:$R1058)=0,"",ROUND(N($R1058)+N($S1058)+N($T1058)-N($U1058),2))</f>
        <v/>
      </c>
      <c r="W1058" s="18">
        <f>IF(COUNTA($B1058:$R1058)=0,"",IF(OR($X1058="Pago",$X1058="Recebido",$X1058="Cancelado"),0,ROUND(N($Q1058)+N($S1058)+N($T1058)-N($U1058)-N($R1058),2)))</f>
        <v/>
      </c>
      <c r="X1058" s="14" t="n"/>
      <c r="Y1058" s="17">
        <f>IF(COUNTA($B1058:$R1058)=0,"",IF($X1058="Cancelado","Cancelado",IF(OR($X1058="Pago",$X1058="Recebido"),$X1058,IF(OR($X1058="Parcial",N($R1058)&gt;0),"Parcial",IF($C1058="","Sem vencimento",IF($C1058&lt;TODAY(),"Vencido",IF($C1058=TODAY(),"Vence hoje",IF($C1058&lt;=TODAY()+7,"Vence em 7 dias",IF($C1058&lt;=TODAY()+30,"Vence em 30 dias","Futuro")))))))))</f>
        <v/>
      </c>
      <c r="Z1058" s="24">
        <f>IF($B1058="","",MONTH($B1058))</f>
        <v/>
      </c>
      <c r="AA1058" s="24">
        <f>IF($B1058="","",YEAR($B1058))</f>
        <v/>
      </c>
      <c r="AB1058" s="24">
        <f>IF($B1058="","",ISOWEEKNUM($B1058))</f>
        <v/>
      </c>
      <c r="AC1058" s="17">
        <f>IF($B1058="","",CHOOSE(WEEKDAY($B1058,2),"Segunda","Terça","Quarta","Quinta","Sexta","Sábado","Domingo"))</f>
        <v/>
      </c>
      <c r="AD1058" s="17">
        <f>IF($B1058="","",TEXT($B1058,"MM/AAAA"))</f>
        <v/>
      </c>
      <c r="AE1058" s="18">
        <f>IF(COUNTA($B1058:$R1058)=0,"",IF($X1058="Cancelado",0,ROUND(N($Q1058)+N($S1058)+N($T1058)-N($U1058),2)))</f>
        <v/>
      </c>
      <c r="AF1058" s="9">
        <f>IF($G1058="","",IFERROR(INDEX(LINHAS_DRE_PLANO,MATCH($G1058,SUBCATEGORIAS_PLANO,0)),"Não classificado"))</f>
        <v/>
      </c>
      <c r="AG1058" s="17">
        <f>IF($G1058="","",IFERROR(INDEX(TIPOS_FLUXO_PLANO,MATCH($G1058,SUBCATEGORIAS_PLANO,0)),"Não classificado"))</f>
        <v/>
      </c>
      <c r="AH1058" s="9">
        <f>IF($G1058="","",IFERROR(INDEX(GRUPOS_PLANO,MATCH($G1058,SUBCATEGORIAS_PLANO,0)),"Não classificado"))</f>
        <v/>
      </c>
      <c r="AI1058" s="24">
        <f>IF(OR($C1058="",$X1058="Pago",$X1058="Recebido",$X1058="Cancelado"),"",$C1058-TODAY())</f>
        <v/>
      </c>
      <c r="AJ1058" s="24">
        <f>IF(OR($C1058="",$X1058="Pago",$X1058="Recebido",$X1058="Cancelado"),0,MAX(0,TODAY()-$C1058))</f>
        <v/>
      </c>
      <c r="AK1058" s="24">
        <f>IF($D1058="","",$D1058-$B1058)</f>
        <v/>
      </c>
      <c r="AL1058" s="18">
        <f>IF(OR($D1058="",$B1058=""),"",ROUND(N($R1058)*($D1058-$B1058),2))</f>
        <v/>
      </c>
      <c r="AM1058" s="17">
        <f>IF(AND($E1058="Saída",$W1058&gt;0,$C1058&lt;&gt;""),$C1058+ROW()/1000000,"")</f>
        <v/>
      </c>
      <c r="AN1058" s="17">
        <f>IF(AND($E1058="Entrada",$W1058&gt;0,$C1058&lt;&gt;""),$C1058+ROW()/1000000,"")</f>
        <v/>
      </c>
      <c r="AO1058" s="9">
        <f>IF(COUNTA($B1058:$R1058)=0,"",IF(AND($I1058&lt;&gt;"",COUNTIF(CLIENTES_NOMES,$I1058)+COUNTIF(CLIENTES_FANTASIA,$I1058)+COUNTIF(FORNECEDORES_NOMES,$I1058)+COUNTIF(FORNECEDORES_FANTASIA,$I1058)=0),"⚠ Cliente/Fornecedor não cadastrado",IF(AND($G1058&lt;&gt;"",COUNTIF(SUBCATEGORIAS_PLANO,$G1058)=0),"⚠ Subcategoria fora do plano de contas",IF(OR($Q1058="",N($Q1058)=0),"⚠ Valor previsto não informado",IF(AND(OR($X1058="Pago",$X1058="Recebido"),$D1058=""),"⚠ Status pago/recebido sem data",IF(AND($D1058&lt;&gt;"",N($R1058)=0),"⚠ Data de pagamento sem valor realizado",IF(AND(N($P1058)&gt;1,N($O1058)&gt;N($P1058)),"⚠ Nº da parcela maior que o total",IF(AND($C1058&lt;&gt;"",$B1058&lt;&gt;"",$C1058&lt;$B1058),"⚠ Vencimento anterior à competência","OK"))))))))</f>
        <v/>
      </c>
    </row>
    <row r="1059">
      <c r="A1059" s="14" t="n"/>
      <c r="B1059" s="36" t="n"/>
      <c r="C1059" s="36" t="n"/>
      <c r="D1059" s="36" t="n"/>
      <c r="E1059" s="14" t="n"/>
      <c r="F1059" s="29" t="n"/>
      <c r="G1059" s="29" t="n"/>
      <c r="H1059" s="29" t="n"/>
      <c r="I1059" s="29" t="n"/>
      <c r="J1059" s="29" t="n"/>
      <c r="K1059" s="14" t="n"/>
      <c r="L1059" s="29" t="n"/>
      <c r="M1059" s="14" t="n"/>
      <c r="N1059" s="29" t="n"/>
      <c r="O1059" s="13" t="n"/>
      <c r="P1059" s="13" t="n"/>
      <c r="Q1059" s="35" t="n"/>
      <c r="R1059" s="35" t="n"/>
      <c r="S1059" s="35" t="n"/>
      <c r="T1059" s="35" t="n"/>
      <c r="U1059" s="35" t="n"/>
      <c r="V1059" s="18">
        <f>IF(COUNTA($B1059:$R1059)=0,"",ROUND(N($R1059)+N($S1059)+N($T1059)-N($U1059),2))</f>
        <v/>
      </c>
      <c r="W1059" s="18">
        <f>IF(COUNTA($B1059:$R1059)=0,"",IF(OR($X1059="Pago",$X1059="Recebido",$X1059="Cancelado"),0,ROUND(N($Q1059)+N($S1059)+N($T1059)-N($U1059)-N($R1059),2)))</f>
        <v/>
      </c>
      <c r="X1059" s="14" t="n"/>
      <c r="Y1059" s="17">
        <f>IF(COUNTA($B1059:$R1059)=0,"",IF($X1059="Cancelado","Cancelado",IF(OR($X1059="Pago",$X1059="Recebido"),$X1059,IF(OR($X1059="Parcial",N($R1059)&gt;0),"Parcial",IF($C1059="","Sem vencimento",IF($C1059&lt;TODAY(),"Vencido",IF($C1059=TODAY(),"Vence hoje",IF($C1059&lt;=TODAY()+7,"Vence em 7 dias",IF($C1059&lt;=TODAY()+30,"Vence em 30 dias","Futuro")))))))))</f>
        <v/>
      </c>
      <c r="Z1059" s="24">
        <f>IF($B1059="","",MONTH($B1059))</f>
        <v/>
      </c>
      <c r="AA1059" s="24">
        <f>IF($B1059="","",YEAR($B1059))</f>
        <v/>
      </c>
      <c r="AB1059" s="24">
        <f>IF($B1059="","",ISOWEEKNUM($B1059))</f>
        <v/>
      </c>
      <c r="AC1059" s="17">
        <f>IF($B1059="","",CHOOSE(WEEKDAY($B1059,2),"Segunda","Terça","Quarta","Quinta","Sexta","Sábado","Domingo"))</f>
        <v/>
      </c>
      <c r="AD1059" s="17">
        <f>IF($B1059="","",TEXT($B1059,"MM/AAAA"))</f>
        <v/>
      </c>
      <c r="AE1059" s="18">
        <f>IF(COUNTA($B1059:$R1059)=0,"",IF($X1059="Cancelado",0,ROUND(N($Q1059)+N($S1059)+N($T1059)-N($U1059),2)))</f>
        <v/>
      </c>
      <c r="AF1059" s="9">
        <f>IF($G1059="","",IFERROR(INDEX(LINHAS_DRE_PLANO,MATCH($G1059,SUBCATEGORIAS_PLANO,0)),"Não classificado"))</f>
        <v/>
      </c>
      <c r="AG1059" s="17">
        <f>IF($G1059="","",IFERROR(INDEX(TIPOS_FLUXO_PLANO,MATCH($G1059,SUBCATEGORIAS_PLANO,0)),"Não classificado"))</f>
        <v/>
      </c>
      <c r="AH1059" s="9">
        <f>IF($G1059="","",IFERROR(INDEX(GRUPOS_PLANO,MATCH($G1059,SUBCATEGORIAS_PLANO,0)),"Não classificado"))</f>
        <v/>
      </c>
      <c r="AI1059" s="24">
        <f>IF(OR($C1059="",$X1059="Pago",$X1059="Recebido",$X1059="Cancelado"),"",$C1059-TODAY())</f>
        <v/>
      </c>
      <c r="AJ1059" s="24">
        <f>IF(OR($C1059="",$X1059="Pago",$X1059="Recebido",$X1059="Cancelado"),0,MAX(0,TODAY()-$C1059))</f>
        <v/>
      </c>
      <c r="AK1059" s="24">
        <f>IF($D1059="","",$D1059-$B1059)</f>
        <v/>
      </c>
      <c r="AL1059" s="18">
        <f>IF(OR($D1059="",$B1059=""),"",ROUND(N($R1059)*($D1059-$B1059),2))</f>
        <v/>
      </c>
      <c r="AM1059" s="17">
        <f>IF(AND($E1059="Saída",$W1059&gt;0,$C1059&lt;&gt;""),$C1059+ROW()/1000000,"")</f>
        <v/>
      </c>
      <c r="AN1059" s="17">
        <f>IF(AND($E1059="Entrada",$W1059&gt;0,$C1059&lt;&gt;""),$C1059+ROW()/1000000,"")</f>
        <v/>
      </c>
      <c r="AO1059" s="9">
        <f>IF(COUNTA($B1059:$R1059)=0,"",IF(AND($I1059&lt;&gt;"",COUNTIF(CLIENTES_NOMES,$I1059)+COUNTIF(CLIENTES_FANTASIA,$I1059)+COUNTIF(FORNECEDORES_NOMES,$I1059)+COUNTIF(FORNECEDORES_FANTASIA,$I1059)=0),"⚠ Cliente/Fornecedor não cadastrado",IF(AND($G1059&lt;&gt;"",COUNTIF(SUBCATEGORIAS_PLANO,$G1059)=0),"⚠ Subcategoria fora do plano de contas",IF(OR($Q1059="",N($Q1059)=0),"⚠ Valor previsto não informado",IF(AND(OR($X1059="Pago",$X1059="Recebido"),$D1059=""),"⚠ Status pago/recebido sem data",IF(AND($D1059&lt;&gt;"",N($R1059)=0),"⚠ Data de pagamento sem valor realizado",IF(AND(N($P1059)&gt;1,N($O1059)&gt;N($P1059)),"⚠ Nº da parcela maior que o total",IF(AND($C1059&lt;&gt;"",$B1059&lt;&gt;"",$C1059&lt;$B1059),"⚠ Vencimento anterior à competência","OK"))))))))</f>
        <v/>
      </c>
    </row>
    <row r="1060">
      <c r="A1060" s="14" t="n"/>
      <c r="B1060" s="36" t="n"/>
      <c r="C1060" s="36" t="n"/>
      <c r="D1060" s="36" t="n"/>
      <c r="E1060" s="14" t="n"/>
      <c r="F1060" s="29" t="n"/>
      <c r="G1060" s="29" t="n"/>
      <c r="H1060" s="29" t="n"/>
      <c r="I1060" s="29" t="n"/>
      <c r="J1060" s="29" t="n"/>
      <c r="K1060" s="14" t="n"/>
      <c r="L1060" s="29" t="n"/>
      <c r="M1060" s="14" t="n"/>
      <c r="N1060" s="29" t="n"/>
      <c r="O1060" s="13" t="n"/>
      <c r="P1060" s="13" t="n"/>
      <c r="Q1060" s="35" t="n"/>
      <c r="R1060" s="35" t="n"/>
      <c r="S1060" s="35" t="n"/>
      <c r="T1060" s="35" t="n"/>
      <c r="U1060" s="35" t="n"/>
      <c r="V1060" s="18">
        <f>IF(COUNTA($B1060:$R1060)=0,"",ROUND(N($R1060)+N($S1060)+N($T1060)-N($U1060),2))</f>
        <v/>
      </c>
      <c r="W1060" s="18">
        <f>IF(COUNTA($B1060:$R1060)=0,"",IF(OR($X1060="Pago",$X1060="Recebido",$X1060="Cancelado"),0,ROUND(N($Q1060)+N($S1060)+N($T1060)-N($U1060)-N($R1060),2)))</f>
        <v/>
      </c>
      <c r="X1060" s="14" t="n"/>
      <c r="Y1060" s="17">
        <f>IF(COUNTA($B1060:$R1060)=0,"",IF($X1060="Cancelado","Cancelado",IF(OR($X1060="Pago",$X1060="Recebido"),$X1060,IF(OR($X1060="Parcial",N($R1060)&gt;0),"Parcial",IF($C1060="","Sem vencimento",IF($C1060&lt;TODAY(),"Vencido",IF($C1060=TODAY(),"Vence hoje",IF($C1060&lt;=TODAY()+7,"Vence em 7 dias",IF($C1060&lt;=TODAY()+30,"Vence em 30 dias","Futuro")))))))))</f>
        <v/>
      </c>
      <c r="Z1060" s="24">
        <f>IF($B1060="","",MONTH($B1060))</f>
        <v/>
      </c>
      <c r="AA1060" s="24">
        <f>IF($B1060="","",YEAR($B1060))</f>
        <v/>
      </c>
      <c r="AB1060" s="24">
        <f>IF($B1060="","",ISOWEEKNUM($B1060))</f>
        <v/>
      </c>
      <c r="AC1060" s="17">
        <f>IF($B1060="","",CHOOSE(WEEKDAY($B1060,2),"Segunda","Terça","Quarta","Quinta","Sexta","Sábado","Domingo"))</f>
        <v/>
      </c>
      <c r="AD1060" s="17">
        <f>IF($B1060="","",TEXT($B1060,"MM/AAAA"))</f>
        <v/>
      </c>
      <c r="AE1060" s="18">
        <f>IF(COUNTA($B1060:$R1060)=0,"",IF($X1060="Cancelado",0,ROUND(N($Q1060)+N($S1060)+N($T1060)-N($U1060),2)))</f>
        <v/>
      </c>
      <c r="AF1060" s="9">
        <f>IF($G1060="","",IFERROR(INDEX(LINHAS_DRE_PLANO,MATCH($G1060,SUBCATEGORIAS_PLANO,0)),"Não classificado"))</f>
        <v/>
      </c>
      <c r="AG1060" s="17">
        <f>IF($G1060="","",IFERROR(INDEX(TIPOS_FLUXO_PLANO,MATCH($G1060,SUBCATEGORIAS_PLANO,0)),"Não classificado"))</f>
        <v/>
      </c>
      <c r="AH1060" s="9">
        <f>IF($G1060="","",IFERROR(INDEX(GRUPOS_PLANO,MATCH($G1060,SUBCATEGORIAS_PLANO,0)),"Não classificado"))</f>
        <v/>
      </c>
      <c r="AI1060" s="24">
        <f>IF(OR($C1060="",$X1060="Pago",$X1060="Recebido",$X1060="Cancelado"),"",$C1060-TODAY())</f>
        <v/>
      </c>
      <c r="AJ1060" s="24">
        <f>IF(OR($C1060="",$X1060="Pago",$X1060="Recebido",$X1060="Cancelado"),0,MAX(0,TODAY()-$C1060))</f>
        <v/>
      </c>
      <c r="AK1060" s="24">
        <f>IF($D1060="","",$D1060-$B1060)</f>
        <v/>
      </c>
      <c r="AL1060" s="18">
        <f>IF(OR($D1060="",$B1060=""),"",ROUND(N($R1060)*($D1060-$B1060),2))</f>
        <v/>
      </c>
      <c r="AM1060" s="17">
        <f>IF(AND($E1060="Saída",$W1060&gt;0,$C1060&lt;&gt;""),$C1060+ROW()/1000000,"")</f>
        <v/>
      </c>
      <c r="AN1060" s="17">
        <f>IF(AND($E1060="Entrada",$W1060&gt;0,$C1060&lt;&gt;""),$C1060+ROW()/1000000,"")</f>
        <v/>
      </c>
      <c r="AO1060" s="9">
        <f>IF(COUNTA($B1060:$R1060)=0,"",IF(AND($I1060&lt;&gt;"",COUNTIF(CLIENTES_NOMES,$I1060)+COUNTIF(CLIENTES_FANTASIA,$I1060)+COUNTIF(FORNECEDORES_NOMES,$I1060)+COUNTIF(FORNECEDORES_FANTASIA,$I1060)=0),"⚠ Cliente/Fornecedor não cadastrado",IF(AND($G1060&lt;&gt;"",COUNTIF(SUBCATEGORIAS_PLANO,$G1060)=0),"⚠ Subcategoria fora do plano de contas",IF(OR($Q1060="",N($Q1060)=0),"⚠ Valor previsto não informado",IF(AND(OR($X1060="Pago",$X1060="Recebido"),$D1060=""),"⚠ Status pago/recebido sem data",IF(AND($D1060&lt;&gt;"",N($R1060)=0),"⚠ Data de pagamento sem valor realizado",IF(AND(N($P1060)&gt;1,N($O1060)&gt;N($P1060)),"⚠ Nº da parcela maior que o total",IF(AND($C1060&lt;&gt;"",$B1060&lt;&gt;"",$C1060&lt;$B1060),"⚠ Vencimento anterior à competência","OK"))))))))</f>
        <v/>
      </c>
    </row>
    <row r="1061">
      <c r="A1061" s="14" t="n"/>
      <c r="B1061" s="36" t="n"/>
      <c r="C1061" s="36" t="n"/>
      <c r="D1061" s="36" t="n"/>
      <c r="E1061" s="14" t="n"/>
      <c r="F1061" s="29" t="n"/>
      <c r="G1061" s="29" t="n"/>
      <c r="H1061" s="29" t="n"/>
      <c r="I1061" s="29" t="n"/>
      <c r="J1061" s="29" t="n"/>
      <c r="K1061" s="14" t="n"/>
      <c r="L1061" s="29" t="n"/>
      <c r="M1061" s="14" t="n"/>
      <c r="N1061" s="29" t="n"/>
      <c r="O1061" s="13" t="n"/>
      <c r="P1061" s="13" t="n"/>
      <c r="Q1061" s="35" t="n"/>
      <c r="R1061" s="35" t="n"/>
      <c r="S1061" s="35" t="n"/>
      <c r="T1061" s="35" t="n"/>
      <c r="U1061" s="35" t="n"/>
      <c r="V1061" s="18">
        <f>IF(COUNTA($B1061:$R1061)=0,"",ROUND(N($R1061)+N($S1061)+N($T1061)-N($U1061),2))</f>
        <v/>
      </c>
      <c r="W1061" s="18">
        <f>IF(COUNTA($B1061:$R1061)=0,"",IF(OR($X1061="Pago",$X1061="Recebido",$X1061="Cancelado"),0,ROUND(N($Q1061)+N($S1061)+N($T1061)-N($U1061)-N($R1061),2)))</f>
        <v/>
      </c>
      <c r="X1061" s="14" t="n"/>
      <c r="Y1061" s="17">
        <f>IF(COUNTA($B1061:$R1061)=0,"",IF($X1061="Cancelado","Cancelado",IF(OR($X1061="Pago",$X1061="Recebido"),$X1061,IF(OR($X1061="Parcial",N($R1061)&gt;0),"Parcial",IF($C1061="","Sem vencimento",IF($C1061&lt;TODAY(),"Vencido",IF($C1061=TODAY(),"Vence hoje",IF($C1061&lt;=TODAY()+7,"Vence em 7 dias",IF($C1061&lt;=TODAY()+30,"Vence em 30 dias","Futuro")))))))))</f>
        <v/>
      </c>
      <c r="Z1061" s="24">
        <f>IF($B1061="","",MONTH($B1061))</f>
        <v/>
      </c>
      <c r="AA1061" s="24">
        <f>IF($B1061="","",YEAR($B1061))</f>
        <v/>
      </c>
      <c r="AB1061" s="24">
        <f>IF($B1061="","",ISOWEEKNUM($B1061))</f>
        <v/>
      </c>
      <c r="AC1061" s="17">
        <f>IF($B1061="","",CHOOSE(WEEKDAY($B1061,2),"Segunda","Terça","Quarta","Quinta","Sexta","Sábado","Domingo"))</f>
        <v/>
      </c>
      <c r="AD1061" s="17">
        <f>IF($B1061="","",TEXT($B1061,"MM/AAAA"))</f>
        <v/>
      </c>
      <c r="AE1061" s="18">
        <f>IF(COUNTA($B1061:$R1061)=0,"",IF($X1061="Cancelado",0,ROUND(N($Q1061)+N($S1061)+N($T1061)-N($U1061),2)))</f>
        <v/>
      </c>
      <c r="AF1061" s="9">
        <f>IF($G1061="","",IFERROR(INDEX(LINHAS_DRE_PLANO,MATCH($G1061,SUBCATEGORIAS_PLANO,0)),"Não classificado"))</f>
        <v/>
      </c>
      <c r="AG1061" s="17">
        <f>IF($G1061="","",IFERROR(INDEX(TIPOS_FLUXO_PLANO,MATCH($G1061,SUBCATEGORIAS_PLANO,0)),"Não classificado"))</f>
        <v/>
      </c>
      <c r="AH1061" s="9">
        <f>IF($G1061="","",IFERROR(INDEX(GRUPOS_PLANO,MATCH($G1061,SUBCATEGORIAS_PLANO,0)),"Não classificado"))</f>
        <v/>
      </c>
      <c r="AI1061" s="24">
        <f>IF(OR($C1061="",$X1061="Pago",$X1061="Recebido",$X1061="Cancelado"),"",$C1061-TODAY())</f>
        <v/>
      </c>
      <c r="AJ1061" s="24">
        <f>IF(OR($C1061="",$X1061="Pago",$X1061="Recebido",$X1061="Cancelado"),0,MAX(0,TODAY()-$C1061))</f>
        <v/>
      </c>
      <c r="AK1061" s="24">
        <f>IF($D1061="","",$D1061-$B1061)</f>
        <v/>
      </c>
      <c r="AL1061" s="18">
        <f>IF(OR($D1061="",$B1061=""),"",ROUND(N($R1061)*($D1061-$B1061),2))</f>
        <v/>
      </c>
      <c r="AM1061" s="17">
        <f>IF(AND($E1061="Saída",$W1061&gt;0,$C1061&lt;&gt;""),$C1061+ROW()/1000000,"")</f>
        <v/>
      </c>
      <c r="AN1061" s="17">
        <f>IF(AND($E1061="Entrada",$W1061&gt;0,$C1061&lt;&gt;""),$C1061+ROW()/1000000,"")</f>
        <v/>
      </c>
      <c r="AO1061" s="9">
        <f>IF(COUNTA($B1061:$R1061)=0,"",IF(AND($I1061&lt;&gt;"",COUNTIF(CLIENTES_NOMES,$I1061)+COUNTIF(CLIENTES_FANTASIA,$I1061)+COUNTIF(FORNECEDORES_NOMES,$I1061)+COUNTIF(FORNECEDORES_FANTASIA,$I1061)=0),"⚠ Cliente/Fornecedor não cadastrado",IF(AND($G1061&lt;&gt;"",COUNTIF(SUBCATEGORIAS_PLANO,$G1061)=0),"⚠ Subcategoria fora do plano de contas",IF(OR($Q1061="",N($Q1061)=0),"⚠ Valor previsto não informado",IF(AND(OR($X1061="Pago",$X1061="Recebido"),$D1061=""),"⚠ Status pago/recebido sem data",IF(AND($D1061&lt;&gt;"",N($R1061)=0),"⚠ Data de pagamento sem valor realizado",IF(AND(N($P1061)&gt;1,N($O1061)&gt;N($P1061)),"⚠ Nº da parcela maior que o total",IF(AND($C1061&lt;&gt;"",$B1061&lt;&gt;"",$C1061&lt;$B1061),"⚠ Vencimento anterior à competência","OK"))))))))</f>
        <v/>
      </c>
    </row>
    <row r="1062">
      <c r="A1062" s="14" t="n"/>
      <c r="B1062" s="36" t="n"/>
      <c r="C1062" s="36" t="n"/>
      <c r="D1062" s="36" t="n"/>
      <c r="E1062" s="14" t="n"/>
      <c r="F1062" s="29" t="n"/>
      <c r="G1062" s="29" t="n"/>
      <c r="H1062" s="29" t="n"/>
      <c r="I1062" s="29" t="n"/>
      <c r="J1062" s="29" t="n"/>
      <c r="K1062" s="14" t="n"/>
      <c r="L1062" s="29" t="n"/>
      <c r="M1062" s="14" t="n"/>
      <c r="N1062" s="29" t="n"/>
      <c r="O1062" s="13" t="n"/>
      <c r="P1062" s="13" t="n"/>
      <c r="Q1062" s="35" t="n"/>
      <c r="R1062" s="35" t="n"/>
      <c r="S1062" s="35" t="n"/>
      <c r="T1062" s="35" t="n"/>
      <c r="U1062" s="35" t="n"/>
      <c r="V1062" s="18">
        <f>IF(COUNTA($B1062:$R1062)=0,"",ROUND(N($R1062)+N($S1062)+N($T1062)-N($U1062),2))</f>
        <v/>
      </c>
      <c r="W1062" s="18">
        <f>IF(COUNTA($B1062:$R1062)=0,"",IF(OR($X1062="Pago",$X1062="Recebido",$X1062="Cancelado"),0,ROUND(N($Q1062)+N($S1062)+N($T1062)-N($U1062)-N($R1062),2)))</f>
        <v/>
      </c>
      <c r="X1062" s="14" t="n"/>
      <c r="Y1062" s="17">
        <f>IF(COUNTA($B1062:$R1062)=0,"",IF($X1062="Cancelado","Cancelado",IF(OR($X1062="Pago",$X1062="Recebido"),$X1062,IF(OR($X1062="Parcial",N($R1062)&gt;0),"Parcial",IF($C1062="","Sem vencimento",IF($C1062&lt;TODAY(),"Vencido",IF($C1062=TODAY(),"Vence hoje",IF($C1062&lt;=TODAY()+7,"Vence em 7 dias",IF($C1062&lt;=TODAY()+30,"Vence em 30 dias","Futuro")))))))))</f>
        <v/>
      </c>
      <c r="Z1062" s="24">
        <f>IF($B1062="","",MONTH($B1062))</f>
        <v/>
      </c>
      <c r="AA1062" s="24">
        <f>IF($B1062="","",YEAR($B1062))</f>
        <v/>
      </c>
      <c r="AB1062" s="24">
        <f>IF($B1062="","",ISOWEEKNUM($B1062))</f>
        <v/>
      </c>
      <c r="AC1062" s="17">
        <f>IF($B1062="","",CHOOSE(WEEKDAY($B1062,2),"Segunda","Terça","Quarta","Quinta","Sexta","Sábado","Domingo"))</f>
        <v/>
      </c>
      <c r="AD1062" s="17">
        <f>IF($B1062="","",TEXT($B1062,"MM/AAAA"))</f>
        <v/>
      </c>
      <c r="AE1062" s="18">
        <f>IF(COUNTA($B1062:$R1062)=0,"",IF($X1062="Cancelado",0,ROUND(N($Q1062)+N($S1062)+N($T1062)-N($U1062),2)))</f>
        <v/>
      </c>
      <c r="AF1062" s="9">
        <f>IF($G1062="","",IFERROR(INDEX(LINHAS_DRE_PLANO,MATCH($G1062,SUBCATEGORIAS_PLANO,0)),"Não classificado"))</f>
        <v/>
      </c>
      <c r="AG1062" s="17">
        <f>IF($G1062="","",IFERROR(INDEX(TIPOS_FLUXO_PLANO,MATCH($G1062,SUBCATEGORIAS_PLANO,0)),"Não classificado"))</f>
        <v/>
      </c>
      <c r="AH1062" s="9">
        <f>IF($G1062="","",IFERROR(INDEX(GRUPOS_PLANO,MATCH($G1062,SUBCATEGORIAS_PLANO,0)),"Não classificado"))</f>
        <v/>
      </c>
      <c r="AI1062" s="24">
        <f>IF(OR($C1062="",$X1062="Pago",$X1062="Recebido",$X1062="Cancelado"),"",$C1062-TODAY())</f>
        <v/>
      </c>
      <c r="AJ1062" s="24">
        <f>IF(OR($C1062="",$X1062="Pago",$X1062="Recebido",$X1062="Cancelado"),0,MAX(0,TODAY()-$C1062))</f>
        <v/>
      </c>
      <c r="AK1062" s="24">
        <f>IF($D1062="","",$D1062-$B1062)</f>
        <v/>
      </c>
      <c r="AL1062" s="18">
        <f>IF(OR($D1062="",$B1062=""),"",ROUND(N($R1062)*($D1062-$B1062),2))</f>
        <v/>
      </c>
      <c r="AM1062" s="17">
        <f>IF(AND($E1062="Saída",$W1062&gt;0,$C1062&lt;&gt;""),$C1062+ROW()/1000000,"")</f>
        <v/>
      </c>
      <c r="AN1062" s="17">
        <f>IF(AND($E1062="Entrada",$W1062&gt;0,$C1062&lt;&gt;""),$C1062+ROW()/1000000,"")</f>
        <v/>
      </c>
      <c r="AO1062" s="9">
        <f>IF(COUNTA($B1062:$R1062)=0,"",IF(AND($I1062&lt;&gt;"",COUNTIF(CLIENTES_NOMES,$I1062)+COUNTIF(CLIENTES_FANTASIA,$I1062)+COUNTIF(FORNECEDORES_NOMES,$I1062)+COUNTIF(FORNECEDORES_FANTASIA,$I1062)=0),"⚠ Cliente/Fornecedor não cadastrado",IF(AND($G1062&lt;&gt;"",COUNTIF(SUBCATEGORIAS_PLANO,$G1062)=0),"⚠ Subcategoria fora do plano de contas",IF(OR($Q1062="",N($Q1062)=0),"⚠ Valor previsto não informado",IF(AND(OR($X1062="Pago",$X1062="Recebido"),$D1062=""),"⚠ Status pago/recebido sem data",IF(AND($D1062&lt;&gt;"",N($R1062)=0),"⚠ Data de pagamento sem valor realizado",IF(AND(N($P1062)&gt;1,N($O1062)&gt;N($P1062)),"⚠ Nº da parcela maior que o total",IF(AND($C1062&lt;&gt;"",$B1062&lt;&gt;"",$C1062&lt;$B1062),"⚠ Vencimento anterior à competência","OK"))))))))</f>
        <v/>
      </c>
    </row>
    <row r="1063">
      <c r="A1063" s="14" t="n"/>
      <c r="B1063" s="36" t="n"/>
      <c r="C1063" s="36" t="n"/>
      <c r="D1063" s="36" t="n"/>
      <c r="E1063" s="14" t="n"/>
      <c r="F1063" s="29" t="n"/>
      <c r="G1063" s="29" t="n"/>
      <c r="H1063" s="29" t="n"/>
      <c r="I1063" s="29" t="n"/>
      <c r="J1063" s="29" t="n"/>
      <c r="K1063" s="14" t="n"/>
      <c r="L1063" s="29" t="n"/>
      <c r="M1063" s="14" t="n"/>
      <c r="N1063" s="29" t="n"/>
      <c r="O1063" s="13" t="n"/>
      <c r="P1063" s="13" t="n"/>
      <c r="Q1063" s="35" t="n"/>
      <c r="R1063" s="35" t="n"/>
      <c r="S1063" s="35" t="n"/>
      <c r="T1063" s="35" t="n"/>
      <c r="U1063" s="35" t="n"/>
      <c r="V1063" s="18">
        <f>IF(COUNTA($B1063:$R1063)=0,"",ROUND(N($R1063)+N($S1063)+N($T1063)-N($U1063),2))</f>
        <v/>
      </c>
      <c r="W1063" s="18">
        <f>IF(COUNTA($B1063:$R1063)=0,"",IF(OR($X1063="Pago",$X1063="Recebido",$X1063="Cancelado"),0,ROUND(N($Q1063)+N($S1063)+N($T1063)-N($U1063)-N($R1063),2)))</f>
        <v/>
      </c>
      <c r="X1063" s="14" t="n"/>
      <c r="Y1063" s="17">
        <f>IF(COUNTA($B1063:$R1063)=0,"",IF($X1063="Cancelado","Cancelado",IF(OR($X1063="Pago",$X1063="Recebido"),$X1063,IF(OR($X1063="Parcial",N($R1063)&gt;0),"Parcial",IF($C1063="","Sem vencimento",IF($C1063&lt;TODAY(),"Vencido",IF($C1063=TODAY(),"Vence hoje",IF($C1063&lt;=TODAY()+7,"Vence em 7 dias",IF($C1063&lt;=TODAY()+30,"Vence em 30 dias","Futuro")))))))))</f>
        <v/>
      </c>
      <c r="Z1063" s="24">
        <f>IF($B1063="","",MONTH($B1063))</f>
        <v/>
      </c>
      <c r="AA1063" s="24">
        <f>IF($B1063="","",YEAR($B1063))</f>
        <v/>
      </c>
      <c r="AB1063" s="24">
        <f>IF($B1063="","",ISOWEEKNUM($B1063))</f>
        <v/>
      </c>
      <c r="AC1063" s="17">
        <f>IF($B1063="","",CHOOSE(WEEKDAY($B1063,2),"Segunda","Terça","Quarta","Quinta","Sexta","Sábado","Domingo"))</f>
        <v/>
      </c>
      <c r="AD1063" s="17">
        <f>IF($B1063="","",TEXT($B1063,"MM/AAAA"))</f>
        <v/>
      </c>
      <c r="AE1063" s="18">
        <f>IF(COUNTA($B1063:$R1063)=0,"",IF($X1063="Cancelado",0,ROUND(N($Q1063)+N($S1063)+N($T1063)-N($U1063),2)))</f>
        <v/>
      </c>
      <c r="AF1063" s="9">
        <f>IF($G1063="","",IFERROR(INDEX(LINHAS_DRE_PLANO,MATCH($G1063,SUBCATEGORIAS_PLANO,0)),"Não classificado"))</f>
        <v/>
      </c>
      <c r="AG1063" s="17">
        <f>IF($G1063="","",IFERROR(INDEX(TIPOS_FLUXO_PLANO,MATCH($G1063,SUBCATEGORIAS_PLANO,0)),"Não classificado"))</f>
        <v/>
      </c>
      <c r="AH1063" s="9">
        <f>IF($G1063="","",IFERROR(INDEX(GRUPOS_PLANO,MATCH($G1063,SUBCATEGORIAS_PLANO,0)),"Não classificado"))</f>
        <v/>
      </c>
      <c r="AI1063" s="24">
        <f>IF(OR($C1063="",$X1063="Pago",$X1063="Recebido",$X1063="Cancelado"),"",$C1063-TODAY())</f>
        <v/>
      </c>
      <c r="AJ1063" s="24">
        <f>IF(OR($C1063="",$X1063="Pago",$X1063="Recebido",$X1063="Cancelado"),0,MAX(0,TODAY()-$C1063))</f>
        <v/>
      </c>
      <c r="AK1063" s="24">
        <f>IF($D1063="","",$D1063-$B1063)</f>
        <v/>
      </c>
      <c r="AL1063" s="18">
        <f>IF(OR($D1063="",$B1063=""),"",ROUND(N($R1063)*($D1063-$B1063),2))</f>
        <v/>
      </c>
      <c r="AM1063" s="17">
        <f>IF(AND($E1063="Saída",$W1063&gt;0,$C1063&lt;&gt;""),$C1063+ROW()/1000000,"")</f>
        <v/>
      </c>
      <c r="AN1063" s="17">
        <f>IF(AND($E1063="Entrada",$W1063&gt;0,$C1063&lt;&gt;""),$C1063+ROW()/1000000,"")</f>
        <v/>
      </c>
      <c r="AO1063" s="9">
        <f>IF(COUNTA($B1063:$R1063)=0,"",IF(AND($I1063&lt;&gt;"",COUNTIF(CLIENTES_NOMES,$I1063)+COUNTIF(CLIENTES_FANTASIA,$I1063)+COUNTIF(FORNECEDORES_NOMES,$I1063)+COUNTIF(FORNECEDORES_FANTASIA,$I1063)=0),"⚠ Cliente/Fornecedor não cadastrado",IF(AND($G1063&lt;&gt;"",COUNTIF(SUBCATEGORIAS_PLANO,$G1063)=0),"⚠ Subcategoria fora do plano de contas",IF(OR($Q1063="",N($Q1063)=0),"⚠ Valor previsto não informado",IF(AND(OR($X1063="Pago",$X1063="Recebido"),$D1063=""),"⚠ Status pago/recebido sem data",IF(AND($D1063&lt;&gt;"",N($R1063)=0),"⚠ Data de pagamento sem valor realizado",IF(AND(N($P1063)&gt;1,N($O1063)&gt;N($P1063)),"⚠ Nº da parcela maior que o total",IF(AND($C1063&lt;&gt;"",$B1063&lt;&gt;"",$C1063&lt;$B1063),"⚠ Vencimento anterior à competência","OK"))))))))</f>
        <v/>
      </c>
    </row>
    <row r="1064">
      <c r="A1064" s="14" t="n"/>
      <c r="B1064" s="36" t="n"/>
      <c r="C1064" s="36" t="n"/>
      <c r="D1064" s="36" t="n"/>
      <c r="E1064" s="14" t="n"/>
      <c r="F1064" s="29" t="n"/>
      <c r="G1064" s="29" t="n"/>
      <c r="H1064" s="29" t="n"/>
      <c r="I1064" s="29" t="n"/>
      <c r="J1064" s="29" t="n"/>
      <c r="K1064" s="14" t="n"/>
      <c r="L1064" s="29" t="n"/>
      <c r="M1064" s="14" t="n"/>
      <c r="N1064" s="29" t="n"/>
      <c r="O1064" s="13" t="n"/>
      <c r="P1064" s="13" t="n"/>
      <c r="Q1064" s="35" t="n"/>
      <c r="R1064" s="35" t="n"/>
      <c r="S1064" s="35" t="n"/>
      <c r="T1064" s="35" t="n"/>
      <c r="U1064" s="35" t="n"/>
      <c r="V1064" s="18">
        <f>IF(COUNTA($B1064:$R1064)=0,"",ROUND(N($R1064)+N($S1064)+N($T1064)-N($U1064),2))</f>
        <v/>
      </c>
      <c r="W1064" s="18">
        <f>IF(COUNTA($B1064:$R1064)=0,"",IF(OR($X1064="Pago",$X1064="Recebido",$X1064="Cancelado"),0,ROUND(N($Q1064)+N($S1064)+N($T1064)-N($U1064)-N($R1064),2)))</f>
        <v/>
      </c>
      <c r="X1064" s="14" t="n"/>
      <c r="Y1064" s="17">
        <f>IF(COUNTA($B1064:$R1064)=0,"",IF($X1064="Cancelado","Cancelado",IF(OR($X1064="Pago",$X1064="Recebido"),$X1064,IF(OR($X1064="Parcial",N($R1064)&gt;0),"Parcial",IF($C1064="","Sem vencimento",IF($C1064&lt;TODAY(),"Vencido",IF($C1064=TODAY(),"Vence hoje",IF($C1064&lt;=TODAY()+7,"Vence em 7 dias",IF($C1064&lt;=TODAY()+30,"Vence em 30 dias","Futuro")))))))))</f>
        <v/>
      </c>
      <c r="Z1064" s="24">
        <f>IF($B1064="","",MONTH($B1064))</f>
        <v/>
      </c>
      <c r="AA1064" s="24">
        <f>IF($B1064="","",YEAR($B1064))</f>
        <v/>
      </c>
      <c r="AB1064" s="24">
        <f>IF($B1064="","",ISOWEEKNUM($B1064))</f>
        <v/>
      </c>
      <c r="AC1064" s="17">
        <f>IF($B1064="","",CHOOSE(WEEKDAY($B1064,2),"Segunda","Terça","Quarta","Quinta","Sexta","Sábado","Domingo"))</f>
        <v/>
      </c>
      <c r="AD1064" s="17">
        <f>IF($B1064="","",TEXT($B1064,"MM/AAAA"))</f>
        <v/>
      </c>
      <c r="AE1064" s="18">
        <f>IF(COUNTA($B1064:$R1064)=0,"",IF($X1064="Cancelado",0,ROUND(N($Q1064)+N($S1064)+N($T1064)-N($U1064),2)))</f>
        <v/>
      </c>
      <c r="AF1064" s="9">
        <f>IF($G1064="","",IFERROR(INDEX(LINHAS_DRE_PLANO,MATCH($G1064,SUBCATEGORIAS_PLANO,0)),"Não classificado"))</f>
        <v/>
      </c>
      <c r="AG1064" s="17">
        <f>IF($G1064="","",IFERROR(INDEX(TIPOS_FLUXO_PLANO,MATCH($G1064,SUBCATEGORIAS_PLANO,0)),"Não classificado"))</f>
        <v/>
      </c>
      <c r="AH1064" s="9">
        <f>IF($G1064="","",IFERROR(INDEX(GRUPOS_PLANO,MATCH($G1064,SUBCATEGORIAS_PLANO,0)),"Não classificado"))</f>
        <v/>
      </c>
      <c r="AI1064" s="24">
        <f>IF(OR($C1064="",$X1064="Pago",$X1064="Recebido",$X1064="Cancelado"),"",$C1064-TODAY())</f>
        <v/>
      </c>
      <c r="AJ1064" s="24">
        <f>IF(OR($C1064="",$X1064="Pago",$X1064="Recebido",$X1064="Cancelado"),0,MAX(0,TODAY()-$C1064))</f>
        <v/>
      </c>
      <c r="AK1064" s="24">
        <f>IF($D1064="","",$D1064-$B1064)</f>
        <v/>
      </c>
      <c r="AL1064" s="18">
        <f>IF(OR($D1064="",$B1064=""),"",ROUND(N($R1064)*($D1064-$B1064),2))</f>
        <v/>
      </c>
      <c r="AM1064" s="17">
        <f>IF(AND($E1064="Saída",$W1064&gt;0,$C1064&lt;&gt;""),$C1064+ROW()/1000000,"")</f>
        <v/>
      </c>
      <c r="AN1064" s="17">
        <f>IF(AND($E1064="Entrada",$W1064&gt;0,$C1064&lt;&gt;""),$C1064+ROW()/1000000,"")</f>
        <v/>
      </c>
      <c r="AO1064" s="9">
        <f>IF(COUNTA($B1064:$R1064)=0,"",IF(AND($I1064&lt;&gt;"",COUNTIF(CLIENTES_NOMES,$I1064)+COUNTIF(CLIENTES_FANTASIA,$I1064)+COUNTIF(FORNECEDORES_NOMES,$I1064)+COUNTIF(FORNECEDORES_FANTASIA,$I1064)=0),"⚠ Cliente/Fornecedor não cadastrado",IF(AND($G1064&lt;&gt;"",COUNTIF(SUBCATEGORIAS_PLANO,$G1064)=0),"⚠ Subcategoria fora do plano de contas",IF(OR($Q1064="",N($Q1064)=0),"⚠ Valor previsto não informado",IF(AND(OR($X1064="Pago",$X1064="Recebido"),$D1064=""),"⚠ Status pago/recebido sem data",IF(AND($D1064&lt;&gt;"",N($R1064)=0),"⚠ Data de pagamento sem valor realizado",IF(AND(N($P1064)&gt;1,N($O1064)&gt;N($P1064)),"⚠ Nº da parcela maior que o total",IF(AND($C1064&lt;&gt;"",$B1064&lt;&gt;"",$C1064&lt;$B1064),"⚠ Vencimento anterior à competência","OK"))))))))</f>
        <v/>
      </c>
    </row>
    <row r="1065">
      <c r="A1065" s="14" t="n"/>
      <c r="B1065" s="36" t="n"/>
      <c r="C1065" s="36" t="n"/>
      <c r="D1065" s="36" t="n"/>
      <c r="E1065" s="14" t="n"/>
      <c r="F1065" s="29" t="n"/>
      <c r="G1065" s="29" t="n"/>
      <c r="H1065" s="29" t="n"/>
      <c r="I1065" s="29" t="n"/>
      <c r="J1065" s="29" t="n"/>
      <c r="K1065" s="14" t="n"/>
      <c r="L1065" s="29" t="n"/>
      <c r="M1065" s="14" t="n"/>
      <c r="N1065" s="29" t="n"/>
      <c r="O1065" s="13" t="n"/>
      <c r="P1065" s="13" t="n"/>
      <c r="Q1065" s="35" t="n"/>
      <c r="R1065" s="35" t="n"/>
      <c r="S1065" s="35" t="n"/>
      <c r="T1065" s="35" t="n"/>
      <c r="U1065" s="35" t="n"/>
      <c r="V1065" s="18">
        <f>IF(COUNTA($B1065:$R1065)=0,"",ROUND(N($R1065)+N($S1065)+N($T1065)-N($U1065),2))</f>
        <v/>
      </c>
      <c r="W1065" s="18">
        <f>IF(COUNTA($B1065:$R1065)=0,"",IF(OR($X1065="Pago",$X1065="Recebido",$X1065="Cancelado"),0,ROUND(N($Q1065)+N($S1065)+N($T1065)-N($U1065)-N($R1065),2)))</f>
        <v/>
      </c>
      <c r="X1065" s="14" t="n"/>
      <c r="Y1065" s="17">
        <f>IF(COUNTA($B1065:$R1065)=0,"",IF($X1065="Cancelado","Cancelado",IF(OR($X1065="Pago",$X1065="Recebido"),$X1065,IF(OR($X1065="Parcial",N($R1065)&gt;0),"Parcial",IF($C1065="","Sem vencimento",IF($C1065&lt;TODAY(),"Vencido",IF($C1065=TODAY(),"Vence hoje",IF($C1065&lt;=TODAY()+7,"Vence em 7 dias",IF($C1065&lt;=TODAY()+30,"Vence em 30 dias","Futuro")))))))))</f>
        <v/>
      </c>
      <c r="Z1065" s="24">
        <f>IF($B1065="","",MONTH($B1065))</f>
        <v/>
      </c>
      <c r="AA1065" s="24">
        <f>IF($B1065="","",YEAR($B1065))</f>
        <v/>
      </c>
      <c r="AB1065" s="24">
        <f>IF($B1065="","",ISOWEEKNUM($B1065))</f>
        <v/>
      </c>
      <c r="AC1065" s="17">
        <f>IF($B1065="","",CHOOSE(WEEKDAY($B1065,2),"Segunda","Terça","Quarta","Quinta","Sexta","Sábado","Domingo"))</f>
        <v/>
      </c>
      <c r="AD1065" s="17">
        <f>IF($B1065="","",TEXT($B1065,"MM/AAAA"))</f>
        <v/>
      </c>
      <c r="AE1065" s="18">
        <f>IF(COUNTA($B1065:$R1065)=0,"",IF($X1065="Cancelado",0,ROUND(N($Q1065)+N($S1065)+N($T1065)-N($U1065),2)))</f>
        <v/>
      </c>
      <c r="AF1065" s="9">
        <f>IF($G1065="","",IFERROR(INDEX(LINHAS_DRE_PLANO,MATCH($G1065,SUBCATEGORIAS_PLANO,0)),"Não classificado"))</f>
        <v/>
      </c>
      <c r="AG1065" s="17">
        <f>IF($G1065="","",IFERROR(INDEX(TIPOS_FLUXO_PLANO,MATCH($G1065,SUBCATEGORIAS_PLANO,0)),"Não classificado"))</f>
        <v/>
      </c>
      <c r="AH1065" s="9">
        <f>IF($G1065="","",IFERROR(INDEX(GRUPOS_PLANO,MATCH($G1065,SUBCATEGORIAS_PLANO,0)),"Não classificado"))</f>
        <v/>
      </c>
      <c r="AI1065" s="24">
        <f>IF(OR($C1065="",$X1065="Pago",$X1065="Recebido",$X1065="Cancelado"),"",$C1065-TODAY())</f>
        <v/>
      </c>
      <c r="AJ1065" s="24">
        <f>IF(OR($C1065="",$X1065="Pago",$X1065="Recebido",$X1065="Cancelado"),0,MAX(0,TODAY()-$C1065))</f>
        <v/>
      </c>
      <c r="AK1065" s="24">
        <f>IF($D1065="","",$D1065-$B1065)</f>
        <v/>
      </c>
      <c r="AL1065" s="18">
        <f>IF(OR($D1065="",$B1065=""),"",ROUND(N($R1065)*($D1065-$B1065),2))</f>
        <v/>
      </c>
      <c r="AM1065" s="17">
        <f>IF(AND($E1065="Saída",$W1065&gt;0,$C1065&lt;&gt;""),$C1065+ROW()/1000000,"")</f>
        <v/>
      </c>
      <c r="AN1065" s="17">
        <f>IF(AND($E1065="Entrada",$W1065&gt;0,$C1065&lt;&gt;""),$C1065+ROW()/1000000,"")</f>
        <v/>
      </c>
      <c r="AO1065" s="9">
        <f>IF(COUNTA($B1065:$R1065)=0,"",IF(AND($I1065&lt;&gt;"",COUNTIF(CLIENTES_NOMES,$I1065)+COUNTIF(CLIENTES_FANTASIA,$I1065)+COUNTIF(FORNECEDORES_NOMES,$I1065)+COUNTIF(FORNECEDORES_FANTASIA,$I1065)=0),"⚠ Cliente/Fornecedor não cadastrado",IF(AND($G1065&lt;&gt;"",COUNTIF(SUBCATEGORIAS_PLANO,$G1065)=0),"⚠ Subcategoria fora do plano de contas",IF(OR($Q1065="",N($Q1065)=0),"⚠ Valor previsto não informado",IF(AND(OR($X1065="Pago",$X1065="Recebido"),$D1065=""),"⚠ Status pago/recebido sem data",IF(AND($D1065&lt;&gt;"",N($R1065)=0),"⚠ Data de pagamento sem valor realizado",IF(AND(N($P1065)&gt;1,N($O1065)&gt;N($P1065)),"⚠ Nº da parcela maior que o total",IF(AND($C1065&lt;&gt;"",$B1065&lt;&gt;"",$C1065&lt;$B1065),"⚠ Vencimento anterior à competência","OK"))))))))</f>
        <v/>
      </c>
    </row>
    <row r="1066">
      <c r="A1066" s="14" t="n"/>
      <c r="B1066" s="36" t="n"/>
      <c r="C1066" s="36" t="n"/>
      <c r="D1066" s="36" t="n"/>
      <c r="E1066" s="14" t="n"/>
      <c r="F1066" s="29" t="n"/>
      <c r="G1066" s="29" t="n"/>
      <c r="H1066" s="29" t="n"/>
      <c r="I1066" s="29" t="n"/>
      <c r="J1066" s="29" t="n"/>
      <c r="K1066" s="14" t="n"/>
      <c r="L1066" s="29" t="n"/>
      <c r="M1066" s="14" t="n"/>
      <c r="N1066" s="29" t="n"/>
      <c r="O1066" s="13" t="n"/>
      <c r="P1066" s="13" t="n"/>
      <c r="Q1066" s="35" t="n"/>
      <c r="R1066" s="35" t="n"/>
      <c r="S1066" s="35" t="n"/>
      <c r="T1066" s="35" t="n"/>
      <c r="U1066" s="35" t="n"/>
      <c r="V1066" s="18">
        <f>IF(COUNTA($B1066:$R1066)=0,"",ROUND(N($R1066)+N($S1066)+N($T1066)-N($U1066),2))</f>
        <v/>
      </c>
      <c r="W1066" s="18">
        <f>IF(COUNTA($B1066:$R1066)=0,"",IF(OR($X1066="Pago",$X1066="Recebido",$X1066="Cancelado"),0,ROUND(N($Q1066)+N($S1066)+N($T1066)-N($U1066)-N($R1066),2)))</f>
        <v/>
      </c>
      <c r="X1066" s="14" t="n"/>
      <c r="Y1066" s="17">
        <f>IF(COUNTA($B1066:$R1066)=0,"",IF($X1066="Cancelado","Cancelado",IF(OR($X1066="Pago",$X1066="Recebido"),$X1066,IF(OR($X1066="Parcial",N($R1066)&gt;0),"Parcial",IF($C1066="","Sem vencimento",IF($C1066&lt;TODAY(),"Vencido",IF($C1066=TODAY(),"Vence hoje",IF($C1066&lt;=TODAY()+7,"Vence em 7 dias",IF($C1066&lt;=TODAY()+30,"Vence em 30 dias","Futuro")))))))))</f>
        <v/>
      </c>
      <c r="Z1066" s="24">
        <f>IF($B1066="","",MONTH($B1066))</f>
        <v/>
      </c>
      <c r="AA1066" s="24">
        <f>IF($B1066="","",YEAR($B1066))</f>
        <v/>
      </c>
      <c r="AB1066" s="24">
        <f>IF($B1066="","",ISOWEEKNUM($B1066))</f>
        <v/>
      </c>
      <c r="AC1066" s="17">
        <f>IF($B1066="","",CHOOSE(WEEKDAY($B1066,2),"Segunda","Terça","Quarta","Quinta","Sexta","Sábado","Domingo"))</f>
        <v/>
      </c>
      <c r="AD1066" s="17">
        <f>IF($B1066="","",TEXT($B1066,"MM/AAAA"))</f>
        <v/>
      </c>
      <c r="AE1066" s="18">
        <f>IF(COUNTA($B1066:$R1066)=0,"",IF($X1066="Cancelado",0,ROUND(N($Q1066)+N($S1066)+N($T1066)-N($U1066),2)))</f>
        <v/>
      </c>
      <c r="AF1066" s="9">
        <f>IF($G1066="","",IFERROR(INDEX(LINHAS_DRE_PLANO,MATCH($G1066,SUBCATEGORIAS_PLANO,0)),"Não classificado"))</f>
        <v/>
      </c>
      <c r="AG1066" s="17">
        <f>IF($G1066="","",IFERROR(INDEX(TIPOS_FLUXO_PLANO,MATCH($G1066,SUBCATEGORIAS_PLANO,0)),"Não classificado"))</f>
        <v/>
      </c>
      <c r="AH1066" s="9">
        <f>IF($G1066="","",IFERROR(INDEX(GRUPOS_PLANO,MATCH($G1066,SUBCATEGORIAS_PLANO,0)),"Não classificado"))</f>
        <v/>
      </c>
      <c r="AI1066" s="24">
        <f>IF(OR($C1066="",$X1066="Pago",$X1066="Recebido",$X1066="Cancelado"),"",$C1066-TODAY())</f>
        <v/>
      </c>
      <c r="AJ1066" s="24">
        <f>IF(OR($C1066="",$X1066="Pago",$X1066="Recebido",$X1066="Cancelado"),0,MAX(0,TODAY()-$C1066))</f>
        <v/>
      </c>
      <c r="AK1066" s="24">
        <f>IF($D1066="","",$D1066-$B1066)</f>
        <v/>
      </c>
      <c r="AL1066" s="18">
        <f>IF(OR($D1066="",$B1066=""),"",ROUND(N($R1066)*($D1066-$B1066),2))</f>
        <v/>
      </c>
      <c r="AM1066" s="17">
        <f>IF(AND($E1066="Saída",$W1066&gt;0,$C1066&lt;&gt;""),$C1066+ROW()/1000000,"")</f>
        <v/>
      </c>
      <c r="AN1066" s="17">
        <f>IF(AND($E1066="Entrada",$W1066&gt;0,$C1066&lt;&gt;""),$C1066+ROW()/1000000,"")</f>
        <v/>
      </c>
      <c r="AO1066" s="9">
        <f>IF(COUNTA($B1066:$R1066)=0,"",IF(AND($I1066&lt;&gt;"",COUNTIF(CLIENTES_NOMES,$I1066)+COUNTIF(CLIENTES_FANTASIA,$I1066)+COUNTIF(FORNECEDORES_NOMES,$I1066)+COUNTIF(FORNECEDORES_FANTASIA,$I1066)=0),"⚠ Cliente/Fornecedor não cadastrado",IF(AND($G1066&lt;&gt;"",COUNTIF(SUBCATEGORIAS_PLANO,$G1066)=0),"⚠ Subcategoria fora do plano de contas",IF(OR($Q1066="",N($Q1066)=0),"⚠ Valor previsto não informado",IF(AND(OR($X1066="Pago",$X1066="Recebido"),$D1066=""),"⚠ Status pago/recebido sem data",IF(AND($D1066&lt;&gt;"",N($R1066)=0),"⚠ Data de pagamento sem valor realizado",IF(AND(N($P1066)&gt;1,N($O1066)&gt;N($P1066)),"⚠ Nº da parcela maior que o total",IF(AND($C1066&lt;&gt;"",$B1066&lt;&gt;"",$C1066&lt;$B1066),"⚠ Vencimento anterior à competência","OK"))))))))</f>
        <v/>
      </c>
    </row>
    <row r="1067">
      <c r="A1067" s="14" t="n"/>
      <c r="B1067" s="36" t="n"/>
      <c r="C1067" s="36" t="n"/>
      <c r="D1067" s="36" t="n"/>
      <c r="E1067" s="14" t="n"/>
      <c r="F1067" s="29" t="n"/>
      <c r="G1067" s="29" t="n"/>
      <c r="H1067" s="29" t="n"/>
      <c r="I1067" s="29" t="n"/>
      <c r="J1067" s="29" t="n"/>
      <c r="K1067" s="14" t="n"/>
      <c r="L1067" s="29" t="n"/>
      <c r="M1067" s="14" t="n"/>
      <c r="N1067" s="29" t="n"/>
      <c r="O1067" s="13" t="n"/>
      <c r="P1067" s="13" t="n"/>
      <c r="Q1067" s="35" t="n"/>
      <c r="R1067" s="35" t="n"/>
      <c r="S1067" s="35" t="n"/>
      <c r="T1067" s="35" t="n"/>
      <c r="U1067" s="35" t="n"/>
      <c r="V1067" s="18">
        <f>IF(COUNTA($B1067:$R1067)=0,"",ROUND(N($R1067)+N($S1067)+N($T1067)-N($U1067),2))</f>
        <v/>
      </c>
      <c r="W1067" s="18">
        <f>IF(COUNTA($B1067:$R1067)=0,"",IF(OR($X1067="Pago",$X1067="Recebido",$X1067="Cancelado"),0,ROUND(N($Q1067)+N($S1067)+N($T1067)-N($U1067)-N($R1067),2)))</f>
        <v/>
      </c>
      <c r="X1067" s="14" t="n"/>
      <c r="Y1067" s="17">
        <f>IF(COUNTA($B1067:$R1067)=0,"",IF($X1067="Cancelado","Cancelado",IF(OR($X1067="Pago",$X1067="Recebido"),$X1067,IF(OR($X1067="Parcial",N($R1067)&gt;0),"Parcial",IF($C1067="","Sem vencimento",IF($C1067&lt;TODAY(),"Vencido",IF($C1067=TODAY(),"Vence hoje",IF($C1067&lt;=TODAY()+7,"Vence em 7 dias",IF($C1067&lt;=TODAY()+30,"Vence em 30 dias","Futuro")))))))))</f>
        <v/>
      </c>
      <c r="Z1067" s="24">
        <f>IF($B1067="","",MONTH($B1067))</f>
        <v/>
      </c>
      <c r="AA1067" s="24">
        <f>IF($B1067="","",YEAR($B1067))</f>
        <v/>
      </c>
      <c r="AB1067" s="24">
        <f>IF($B1067="","",ISOWEEKNUM($B1067))</f>
        <v/>
      </c>
      <c r="AC1067" s="17">
        <f>IF($B1067="","",CHOOSE(WEEKDAY($B1067,2),"Segunda","Terça","Quarta","Quinta","Sexta","Sábado","Domingo"))</f>
        <v/>
      </c>
      <c r="AD1067" s="17">
        <f>IF($B1067="","",TEXT($B1067,"MM/AAAA"))</f>
        <v/>
      </c>
      <c r="AE1067" s="18">
        <f>IF(COUNTA($B1067:$R1067)=0,"",IF($X1067="Cancelado",0,ROUND(N($Q1067)+N($S1067)+N($T1067)-N($U1067),2)))</f>
        <v/>
      </c>
      <c r="AF1067" s="9">
        <f>IF($G1067="","",IFERROR(INDEX(LINHAS_DRE_PLANO,MATCH($G1067,SUBCATEGORIAS_PLANO,0)),"Não classificado"))</f>
        <v/>
      </c>
      <c r="AG1067" s="17">
        <f>IF($G1067="","",IFERROR(INDEX(TIPOS_FLUXO_PLANO,MATCH($G1067,SUBCATEGORIAS_PLANO,0)),"Não classificado"))</f>
        <v/>
      </c>
      <c r="AH1067" s="9">
        <f>IF($G1067="","",IFERROR(INDEX(GRUPOS_PLANO,MATCH($G1067,SUBCATEGORIAS_PLANO,0)),"Não classificado"))</f>
        <v/>
      </c>
      <c r="AI1067" s="24">
        <f>IF(OR($C1067="",$X1067="Pago",$X1067="Recebido",$X1067="Cancelado"),"",$C1067-TODAY())</f>
        <v/>
      </c>
      <c r="AJ1067" s="24">
        <f>IF(OR($C1067="",$X1067="Pago",$X1067="Recebido",$X1067="Cancelado"),0,MAX(0,TODAY()-$C1067))</f>
        <v/>
      </c>
      <c r="AK1067" s="24">
        <f>IF($D1067="","",$D1067-$B1067)</f>
        <v/>
      </c>
      <c r="AL1067" s="18">
        <f>IF(OR($D1067="",$B1067=""),"",ROUND(N($R1067)*($D1067-$B1067),2))</f>
        <v/>
      </c>
      <c r="AM1067" s="17">
        <f>IF(AND($E1067="Saída",$W1067&gt;0,$C1067&lt;&gt;""),$C1067+ROW()/1000000,"")</f>
        <v/>
      </c>
      <c r="AN1067" s="17">
        <f>IF(AND($E1067="Entrada",$W1067&gt;0,$C1067&lt;&gt;""),$C1067+ROW()/1000000,"")</f>
        <v/>
      </c>
      <c r="AO1067" s="9">
        <f>IF(COUNTA($B1067:$R1067)=0,"",IF(AND($I1067&lt;&gt;"",COUNTIF(CLIENTES_NOMES,$I1067)+COUNTIF(CLIENTES_FANTASIA,$I1067)+COUNTIF(FORNECEDORES_NOMES,$I1067)+COUNTIF(FORNECEDORES_FANTASIA,$I1067)=0),"⚠ Cliente/Fornecedor não cadastrado",IF(AND($G1067&lt;&gt;"",COUNTIF(SUBCATEGORIAS_PLANO,$G1067)=0),"⚠ Subcategoria fora do plano de contas",IF(OR($Q1067="",N($Q1067)=0),"⚠ Valor previsto não informado",IF(AND(OR($X1067="Pago",$X1067="Recebido"),$D1067=""),"⚠ Status pago/recebido sem data",IF(AND($D1067&lt;&gt;"",N($R1067)=0),"⚠ Data de pagamento sem valor realizado",IF(AND(N($P1067)&gt;1,N($O1067)&gt;N($P1067)),"⚠ Nº da parcela maior que o total",IF(AND($C1067&lt;&gt;"",$B1067&lt;&gt;"",$C1067&lt;$B1067),"⚠ Vencimento anterior à competência","OK"))))))))</f>
        <v/>
      </c>
    </row>
    <row r="1068">
      <c r="A1068" s="14" t="n"/>
      <c r="B1068" s="36" t="n"/>
      <c r="C1068" s="36" t="n"/>
      <c r="D1068" s="36" t="n"/>
      <c r="E1068" s="14" t="n"/>
      <c r="F1068" s="29" t="n"/>
      <c r="G1068" s="29" t="n"/>
      <c r="H1068" s="29" t="n"/>
      <c r="I1068" s="29" t="n"/>
      <c r="J1068" s="29" t="n"/>
      <c r="K1068" s="14" t="n"/>
      <c r="L1068" s="29" t="n"/>
      <c r="M1068" s="14" t="n"/>
      <c r="N1068" s="29" t="n"/>
      <c r="O1068" s="13" t="n"/>
      <c r="P1068" s="13" t="n"/>
      <c r="Q1068" s="35" t="n"/>
      <c r="R1068" s="35" t="n"/>
      <c r="S1068" s="35" t="n"/>
      <c r="T1068" s="35" t="n"/>
      <c r="U1068" s="35" t="n"/>
      <c r="V1068" s="18">
        <f>IF(COUNTA($B1068:$R1068)=0,"",ROUND(N($R1068)+N($S1068)+N($T1068)-N($U1068),2))</f>
        <v/>
      </c>
      <c r="W1068" s="18">
        <f>IF(COUNTA($B1068:$R1068)=0,"",IF(OR($X1068="Pago",$X1068="Recebido",$X1068="Cancelado"),0,ROUND(N($Q1068)+N($S1068)+N($T1068)-N($U1068)-N($R1068),2)))</f>
        <v/>
      </c>
      <c r="X1068" s="14" t="n"/>
      <c r="Y1068" s="17">
        <f>IF(COUNTA($B1068:$R1068)=0,"",IF($X1068="Cancelado","Cancelado",IF(OR($X1068="Pago",$X1068="Recebido"),$X1068,IF(OR($X1068="Parcial",N($R1068)&gt;0),"Parcial",IF($C1068="","Sem vencimento",IF($C1068&lt;TODAY(),"Vencido",IF($C1068=TODAY(),"Vence hoje",IF($C1068&lt;=TODAY()+7,"Vence em 7 dias",IF($C1068&lt;=TODAY()+30,"Vence em 30 dias","Futuro")))))))))</f>
        <v/>
      </c>
      <c r="Z1068" s="24">
        <f>IF($B1068="","",MONTH($B1068))</f>
        <v/>
      </c>
      <c r="AA1068" s="24">
        <f>IF($B1068="","",YEAR($B1068))</f>
        <v/>
      </c>
      <c r="AB1068" s="24">
        <f>IF($B1068="","",ISOWEEKNUM($B1068))</f>
        <v/>
      </c>
      <c r="AC1068" s="17">
        <f>IF($B1068="","",CHOOSE(WEEKDAY($B1068,2),"Segunda","Terça","Quarta","Quinta","Sexta","Sábado","Domingo"))</f>
        <v/>
      </c>
      <c r="AD1068" s="17">
        <f>IF($B1068="","",TEXT($B1068,"MM/AAAA"))</f>
        <v/>
      </c>
      <c r="AE1068" s="18">
        <f>IF(COUNTA($B1068:$R1068)=0,"",IF($X1068="Cancelado",0,ROUND(N($Q1068)+N($S1068)+N($T1068)-N($U1068),2)))</f>
        <v/>
      </c>
      <c r="AF1068" s="9">
        <f>IF($G1068="","",IFERROR(INDEX(LINHAS_DRE_PLANO,MATCH($G1068,SUBCATEGORIAS_PLANO,0)),"Não classificado"))</f>
        <v/>
      </c>
      <c r="AG1068" s="17">
        <f>IF($G1068="","",IFERROR(INDEX(TIPOS_FLUXO_PLANO,MATCH($G1068,SUBCATEGORIAS_PLANO,0)),"Não classificado"))</f>
        <v/>
      </c>
      <c r="AH1068" s="9">
        <f>IF($G1068="","",IFERROR(INDEX(GRUPOS_PLANO,MATCH($G1068,SUBCATEGORIAS_PLANO,0)),"Não classificado"))</f>
        <v/>
      </c>
      <c r="AI1068" s="24">
        <f>IF(OR($C1068="",$X1068="Pago",$X1068="Recebido",$X1068="Cancelado"),"",$C1068-TODAY())</f>
        <v/>
      </c>
      <c r="AJ1068" s="24">
        <f>IF(OR($C1068="",$X1068="Pago",$X1068="Recebido",$X1068="Cancelado"),0,MAX(0,TODAY()-$C1068))</f>
        <v/>
      </c>
      <c r="AK1068" s="24">
        <f>IF($D1068="","",$D1068-$B1068)</f>
        <v/>
      </c>
      <c r="AL1068" s="18">
        <f>IF(OR($D1068="",$B1068=""),"",ROUND(N($R1068)*($D1068-$B1068),2))</f>
        <v/>
      </c>
      <c r="AM1068" s="17">
        <f>IF(AND($E1068="Saída",$W1068&gt;0,$C1068&lt;&gt;""),$C1068+ROW()/1000000,"")</f>
        <v/>
      </c>
      <c r="AN1068" s="17">
        <f>IF(AND($E1068="Entrada",$W1068&gt;0,$C1068&lt;&gt;""),$C1068+ROW()/1000000,"")</f>
        <v/>
      </c>
      <c r="AO1068" s="9">
        <f>IF(COUNTA($B1068:$R1068)=0,"",IF(AND($I1068&lt;&gt;"",COUNTIF(CLIENTES_NOMES,$I1068)+COUNTIF(CLIENTES_FANTASIA,$I1068)+COUNTIF(FORNECEDORES_NOMES,$I1068)+COUNTIF(FORNECEDORES_FANTASIA,$I1068)=0),"⚠ Cliente/Fornecedor não cadastrado",IF(AND($G1068&lt;&gt;"",COUNTIF(SUBCATEGORIAS_PLANO,$G1068)=0),"⚠ Subcategoria fora do plano de contas",IF(OR($Q1068="",N($Q1068)=0),"⚠ Valor previsto não informado",IF(AND(OR($X1068="Pago",$X1068="Recebido"),$D1068=""),"⚠ Status pago/recebido sem data",IF(AND($D1068&lt;&gt;"",N($R1068)=0),"⚠ Data de pagamento sem valor realizado",IF(AND(N($P1068)&gt;1,N($O1068)&gt;N($P1068)),"⚠ Nº da parcela maior que o total",IF(AND($C1068&lt;&gt;"",$B1068&lt;&gt;"",$C1068&lt;$B1068),"⚠ Vencimento anterior à competência","OK"))))))))</f>
        <v/>
      </c>
    </row>
    <row r="1069">
      <c r="A1069" s="14" t="n"/>
      <c r="B1069" s="36" t="n"/>
      <c r="C1069" s="36" t="n"/>
      <c r="D1069" s="36" t="n"/>
      <c r="E1069" s="14" t="n"/>
      <c r="F1069" s="29" t="n"/>
      <c r="G1069" s="29" t="n"/>
      <c r="H1069" s="29" t="n"/>
      <c r="I1069" s="29" t="n"/>
      <c r="J1069" s="29" t="n"/>
      <c r="K1069" s="14" t="n"/>
      <c r="L1069" s="29" t="n"/>
      <c r="M1069" s="14" t="n"/>
      <c r="N1069" s="29" t="n"/>
      <c r="O1069" s="13" t="n"/>
      <c r="P1069" s="13" t="n"/>
      <c r="Q1069" s="35" t="n"/>
      <c r="R1069" s="35" t="n"/>
      <c r="S1069" s="35" t="n"/>
      <c r="T1069" s="35" t="n"/>
      <c r="U1069" s="35" t="n"/>
      <c r="V1069" s="18">
        <f>IF(COUNTA($B1069:$R1069)=0,"",ROUND(N($R1069)+N($S1069)+N($T1069)-N($U1069),2))</f>
        <v/>
      </c>
      <c r="W1069" s="18">
        <f>IF(COUNTA($B1069:$R1069)=0,"",IF(OR($X1069="Pago",$X1069="Recebido",$X1069="Cancelado"),0,ROUND(N($Q1069)+N($S1069)+N($T1069)-N($U1069)-N($R1069),2)))</f>
        <v/>
      </c>
      <c r="X1069" s="14" t="n"/>
      <c r="Y1069" s="17">
        <f>IF(COUNTA($B1069:$R1069)=0,"",IF($X1069="Cancelado","Cancelado",IF(OR($X1069="Pago",$X1069="Recebido"),$X1069,IF(OR($X1069="Parcial",N($R1069)&gt;0),"Parcial",IF($C1069="","Sem vencimento",IF($C1069&lt;TODAY(),"Vencido",IF($C1069=TODAY(),"Vence hoje",IF($C1069&lt;=TODAY()+7,"Vence em 7 dias",IF($C1069&lt;=TODAY()+30,"Vence em 30 dias","Futuro")))))))))</f>
        <v/>
      </c>
      <c r="Z1069" s="24">
        <f>IF($B1069="","",MONTH($B1069))</f>
        <v/>
      </c>
      <c r="AA1069" s="24">
        <f>IF($B1069="","",YEAR($B1069))</f>
        <v/>
      </c>
      <c r="AB1069" s="24">
        <f>IF($B1069="","",ISOWEEKNUM($B1069))</f>
        <v/>
      </c>
      <c r="AC1069" s="17">
        <f>IF($B1069="","",CHOOSE(WEEKDAY($B1069,2),"Segunda","Terça","Quarta","Quinta","Sexta","Sábado","Domingo"))</f>
        <v/>
      </c>
      <c r="AD1069" s="17">
        <f>IF($B1069="","",TEXT($B1069,"MM/AAAA"))</f>
        <v/>
      </c>
      <c r="AE1069" s="18">
        <f>IF(COUNTA($B1069:$R1069)=0,"",IF($X1069="Cancelado",0,ROUND(N($Q1069)+N($S1069)+N($T1069)-N($U1069),2)))</f>
        <v/>
      </c>
      <c r="AF1069" s="9">
        <f>IF($G1069="","",IFERROR(INDEX(LINHAS_DRE_PLANO,MATCH($G1069,SUBCATEGORIAS_PLANO,0)),"Não classificado"))</f>
        <v/>
      </c>
      <c r="AG1069" s="17">
        <f>IF($G1069="","",IFERROR(INDEX(TIPOS_FLUXO_PLANO,MATCH($G1069,SUBCATEGORIAS_PLANO,0)),"Não classificado"))</f>
        <v/>
      </c>
      <c r="AH1069" s="9">
        <f>IF($G1069="","",IFERROR(INDEX(GRUPOS_PLANO,MATCH($G1069,SUBCATEGORIAS_PLANO,0)),"Não classificado"))</f>
        <v/>
      </c>
      <c r="AI1069" s="24">
        <f>IF(OR($C1069="",$X1069="Pago",$X1069="Recebido",$X1069="Cancelado"),"",$C1069-TODAY())</f>
        <v/>
      </c>
      <c r="AJ1069" s="24">
        <f>IF(OR($C1069="",$X1069="Pago",$X1069="Recebido",$X1069="Cancelado"),0,MAX(0,TODAY()-$C1069))</f>
        <v/>
      </c>
      <c r="AK1069" s="24">
        <f>IF($D1069="","",$D1069-$B1069)</f>
        <v/>
      </c>
      <c r="AL1069" s="18">
        <f>IF(OR($D1069="",$B1069=""),"",ROUND(N($R1069)*($D1069-$B1069),2))</f>
        <v/>
      </c>
      <c r="AM1069" s="17">
        <f>IF(AND($E1069="Saída",$W1069&gt;0,$C1069&lt;&gt;""),$C1069+ROW()/1000000,"")</f>
        <v/>
      </c>
      <c r="AN1069" s="17">
        <f>IF(AND($E1069="Entrada",$W1069&gt;0,$C1069&lt;&gt;""),$C1069+ROW()/1000000,"")</f>
        <v/>
      </c>
      <c r="AO1069" s="9">
        <f>IF(COUNTA($B1069:$R1069)=0,"",IF(AND($I1069&lt;&gt;"",COUNTIF(CLIENTES_NOMES,$I1069)+COUNTIF(CLIENTES_FANTASIA,$I1069)+COUNTIF(FORNECEDORES_NOMES,$I1069)+COUNTIF(FORNECEDORES_FANTASIA,$I1069)=0),"⚠ Cliente/Fornecedor não cadastrado",IF(AND($G1069&lt;&gt;"",COUNTIF(SUBCATEGORIAS_PLANO,$G1069)=0),"⚠ Subcategoria fora do plano de contas",IF(OR($Q1069="",N($Q1069)=0),"⚠ Valor previsto não informado",IF(AND(OR($X1069="Pago",$X1069="Recebido"),$D1069=""),"⚠ Status pago/recebido sem data",IF(AND($D1069&lt;&gt;"",N($R1069)=0),"⚠ Data de pagamento sem valor realizado",IF(AND(N($P1069)&gt;1,N($O1069)&gt;N($P1069)),"⚠ Nº da parcela maior que o total",IF(AND($C1069&lt;&gt;"",$B1069&lt;&gt;"",$C1069&lt;$B1069),"⚠ Vencimento anterior à competência","OK"))))))))</f>
        <v/>
      </c>
    </row>
    <row r="1070">
      <c r="A1070" s="14" t="n"/>
      <c r="B1070" s="36" t="n"/>
      <c r="C1070" s="36" t="n"/>
      <c r="D1070" s="36" t="n"/>
      <c r="E1070" s="14" t="n"/>
      <c r="F1070" s="29" t="n"/>
      <c r="G1070" s="29" t="n"/>
      <c r="H1070" s="29" t="n"/>
      <c r="I1070" s="29" t="n"/>
      <c r="J1070" s="29" t="n"/>
      <c r="K1070" s="14" t="n"/>
      <c r="L1070" s="29" t="n"/>
      <c r="M1070" s="14" t="n"/>
      <c r="N1070" s="29" t="n"/>
      <c r="O1070" s="13" t="n"/>
      <c r="P1070" s="13" t="n"/>
      <c r="Q1070" s="35" t="n"/>
      <c r="R1070" s="35" t="n"/>
      <c r="S1070" s="35" t="n"/>
      <c r="T1070" s="35" t="n"/>
      <c r="U1070" s="35" t="n"/>
      <c r="V1070" s="18">
        <f>IF(COUNTA($B1070:$R1070)=0,"",ROUND(N($R1070)+N($S1070)+N($T1070)-N($U1070),2))</f>
        <v/>
      </c>
      <c r="W1070" s="18">
        <f>IF(COUNTA($B1070:$R1070)=0,"",IF(OR($X1070="Pago",$X1070="Recebido",$X1070="Cancelado"),0,ROUND(N($Q1070)+N($S1070)+N($T1070)-N($U1070)-N($R1070),2)))</f>
        <v/>
      </c>
      <c r="X1070" s="14" t="n"/>
      <c r="Y1070" s="17">
        <f>IF(COUNTA($B1070:$R1070)=0,"",IF($X1070="Cancelado","Cancelado",IF(OR($X1070="Pago",$X1070="Recebido"),$X1070,IF(OR($X1070="Parcial",N($R1070)&gt;0),"Parcial",IF($C1070="","Sem vencimento",IF($C1070&lt;TODAY(),"Vencido",IF($C1070=TODAY(),"Vence hoje",IF($C1070&lt;=TODAY()+7,"Vence em 7 dias",IF($C1070&lt;=TODAY()+30,"Vence em 30 dias","Futuro")))))))))</f>
        <v/>
      </c>
      <c r="Z1070" s="24">
        <f>IF($B1070="","",MONTH($B1070))</f>
        <v/>
      </c>
      <c r="AA1070" s="24">
        <f>IF($B1070="","",YEAR($B1070))</f>
        <v/>
      </c>
      <c r="AB1070" s="24">
        <f>IF($B1070="","",ISOWEEKNUM($B1070))</f>
        <v/>
      </c>
      <c r="AC1070" s="17">
        <f>IF($B1070="","",CHOOSE(WEEKDAY($B1070,2),"Segunda","Terça","Quarta","Quinta","Sexta","Sábado","Domingo"))</f>
        <v/>
      </c>
      <c r="AD1070" s="17">
        <f>IF($B1070="","",TEXT($B1070,"MM/AAAA"))</f>
        <v/>
      </c>
      <c r="AE1070" s="18">
        <f>IF(COUNTA($B1070:$R1070)=0,"",IF($X1070="Cancelado",0,ROUND(N($Q1070)+N($S1070)+N($T1070)-N($U1070),2)))</f>
        <v/>
      </c>
      <c r="AF1070" s="9">
        <f>IF($G1070="","",IFERROR(INDEX(LINHAS_DRE_PLANO,MATCH($G1070,SUBCATEGORIAS_PLANO,0)),"Não classificado"))</f>
        <v/>
      </c>
      <c r="AG1070" s="17">
        <f>IF($G1070="","",IFERROR(INDEX(TIPOS_FLUXO_PLANO,MATCH($G1070,SUBCATEGORIAS_PLANO,0)),"Não classificado"))</f>
        <v/>
      </c>
      <c r="AH1070" s="9">
        <f>IF($G1070="","",IFERROR(INDEX(GRUPOS_PLANO,MATCH($G1070,SUBCATEGORIAS_PLANO,0)),"Não classificado"))</f>
        <v/>
      </c>
      <c r="AI1070" s="24">
        <f>IF(OR($C1070="",$X1070="Pago",$X1070="Recebido",$X1070="Cancelado"),"",$C1070-TODAY())</f>
        <v/>
      </c>
      <c r="AJ1070" s="24">
        <f>IF(OR($C1070="",$X1070="Pago",$X1070="Recebido",$X1070="Cancelado"),0,MAX(0,TODAY()-$C1070))</f>
        <v/>
      </c>
      <c r="AK1070" s="24">
        <f>IF($D1070="","",$D1070-$B1070)</f>
        <v/>
      </c>
      <c r="AL1070" s="18">
        <f>IF(OR($D1070="",$B1070=""),"",ROUND(N($R1070)*($D1070-$B1070),2))</f>
        <v/>
      </c>
      <c r="AM1070" s="17">
        <f>IF(AND($E1070="Saída",$W1070&gt;0,$C1070&lt;&gt;""),$C1070+ROW()/1000000,"")</f>
        <v/>
      </c>
      <c r="AN1070" s="17">
        <f>IF(AND($E1070="Entrada",$W1070&gt;0,$C1070&lt;&gt;""),$C1070+ROW()/1000000,"")</f>
        <v/>
      </c>
      <c r="AO1070" s="9">
        <f>IF(COUNTA($B1070:$R1070)=0,"",IF(AND($I1070&lt;&gt;"",COUNTIF(CLIENTES_NOMES,$I1070)+COUNTIF(CLIENTES_FANTASIA,$I1070)+COUNTIF(FORNECEDORES_NOMES,$I1070)+COUNTIF(FORNECEDORES_FANTASIA,$I1070)=0),"⚠ Cliente/Fornecedor não cadastrado",IF(AND($G1070&lt;&gt;"",COUNTIF(SUBCATEGORIAS_PLANO,$G1070)=0),"⚠ Subcategoria fora do plano de contas",IF(OR($Q1070="",N($Q1070)=0),"⚠ Valor previsto não informado",IF(AND(OR($X1070="Pago",$X1070="Recebido"),$D1070=""),"⚠ Status pago/recebido sem data",IF(AND($D1070&lt;&gt;"",N($R1070)=0),"⚠ Data de pagamento sem valor realizado",IF(AND(N($P1070)&gt;1,N($O1070)&gt;N($P1070)),"⚠ Nº da parcela maior que o total",IF(AND($C1070&lt;&gt;"",$B1070&lt;&gt;"",$C1070&lt;$B1070),"⚠ Vencimento anterior à competência","OK"))))))))</f>
        <v/>
      </c>
    </row>
    <row r="1071">
      <c r="A1071" s="14" t="n"/>
      <c r="B1071" s="36" t="n"/>
      <c r="C1071" s="36" t="n"/>
      <c r="D1071" s="36" t="n"/>
      <c r="E1071" s="14" t="n"/>
      <c r="F1071" s="29" t="n"/>
      <c r="G1071" s="29" t="n"/>
      <c r="H1071" s="29" t="n"/>
      <c r="I1071" s="29" t="n"/>
      <c r="J1071" s="29" t="n"/>
      <c r="K1071" s="14" t="n"/>
      <c r="L1071" s="29" t="n"/>
      <c r="M1071" s="14" t="n"/>
      <c r="N1071" s="29" t="n"/>
      <c r="O1071" s="13" t="n"/>
      <c r="P1071" s="13" t="n"/>
      <c r="Q1071" s="35" t="n"/>
      <c r="R1071" s="35" t="n"/>
      <c r="S1071" s="35" t="n"/>
      <c r="T1071" s="35" t="n"/>
      <c r="U1071" s="35" t="n"/>
      <c r="V1071" s="18">
        <f>IF(COUNTA($B1071:$R1071)=0,"",ROUND(N($R1071)+N($S1071)+N($T1071)-N($U1071),2))</f>
        <v/>
      </c>
      <c r="W1071" s="18">
        <f>IF(COUNTA($B1071:$R1071)=0,"",IF(OR($X1071="Pago",$X1071="Recebido",$X1071="Cancelado"),0,ROUND(N($Q1071)+N($S1071)+N($T1071)-N($U1071)-N($R1071),2)))</f>
        <v/>
      </c>
      <c r="X1071" s="14" t="n"/>
      <c r="Y1071" s="17">
        <f>IF(COUNTA($B1071:$R1071)=0,"",IF($X1071="Cancelado","Cancelado",IF(OR($X1071="Pago",$X1071="Recebido"),$X1071,IF(OR($X1071="Parcial",N($R1071)&gt;0),"Parcial",IF($C1071="","Sem vencimento",IF($C1071&lt;TODAY(),"Vencido",IF($C1071=TODAY(),"Vence hoje",IF($C1071&lt;=TODAY()+7,"Vence em 7 dias",IF($C1071&lt;=TODAY()+30,"Vence em 30 dias","Futuro")))))))))</f>
        <v/>
      </c>
      <c r="Z1071" s="24">
        <f>IF($B1071="","",MONTH($B1071))</f>
        <v/>
      </c>
      <c r="AA1071" s="24">
        <f>IF($B1071="","",YEAR($B1071))</f>
        <v/>
      </c>
      <c r="AB1071" s="24">
        <f>IF($B1071="","",ISOWEEKNUM($B1071))</f>
        <v/>
      </c>
      <c r="AC1071" s="17">
        <f>IF($B1071="","",CHOOSE(WEEKDAY($B1071,2),"Segunda","Terça","Quarta","Quinta","Sexta","Sábado","Domingo"))</f>
        <v/>
      </c>
      <c r="AD1071" s="17">
        <f>IF($B1071="","",TEXT($B1071,"MM/AAAA"))</f>
        <v/>
      </c>
      <c r="AE1071" s="18">
        <f>IF(COUNTA($B1071:$R1071)=0,"",IF($X1071="Cancelado",0,ROUND(N($Q1071)+N($S1071)+N($T1071)-N($U1071),2)))</f>
        <v/>
      </c>
      <c r="AF1071" s="9">
        <f>IF($G1071="","",IFERROR(INDEX(LINHAS_DRE_PLANO,MATCH($G1071,SUBCATEGORIAS_PLANO,0)),"Não classificado"))</f>
        <v/>
      </c>
      <c r="AG1071" s="17">
        <f>IF($G1071="","",IFERROR(INDEX(TIPOS_FLUXO_PLANO,MATCH($G1071,SUBCATEGORIAS_PLANO,0)),"Não classificado"))</f>
        <v/>
      </c>
      <c r="AH1071" s="9">
        <f>IF($G1071="","",IFERROR(INDEX(GRUPOS_PLANO,MATCH($G1071,SUBCATEGORIAS_PLANO,0)),"Não classificado"))</f>
        <v/>
      </c>
      <c r="AI1071" s="24">
        <f>IF(OR($C1071="",$X1071="Pago",$X1071="Recebido",$X1071="Cancelado"),"",$C1071-TODAY())</f>
        <v/>
      </c>
      <c r="AJ1071" s="24">
        <f>IF(OR($C1071="",$X1071="Pago",$X1071="Recebido",$X1071="Cancelado"),0,MAX(0,TODAY()-$C1071))</f>
        <v/>
      </c>
      <c r="AK1071" s="24">
        <f>IF($D1071="","",$D1071-$B1071)</f>
        <v/>
      </c>
      <c r="AL1071" s="18">
        <f>IF(OR($D1071="",$B1071=""),"",ROUND(N($R1071)*($D1071-$B1071),2))</f>
        <v/>
      </c>
      <c r="AM1071" s="17">
        <f>IF(AND($E1071="Saída",$W1071&gt;0,$C1071&lt;&gt;""),$C1071+ROW()/1000000,"")</f>
        <v/>
      </c>
      <c r="AN1071" s="17">
        <f>IF(AND($E1071="Entrada",$W1071&gt;0,$C1071&lt;&gt;""),$C1071+ROW()/1000000,"")</f>
        <v/>
      </c>
      <c r="AO1071" s="9">
        <f>IF(COUNTA($B1071:$R1071)=0,"",IF(AND($I1071&lt;&gt;"",COUNTIF(CLIENTES_NOMES,$I1071)+COUNTIF(CLIENTES_FANTASIA,$I1071)+COUNTIF(FORNECEDORES_NOMES,$I1071)+COUNTIF(FORNECEDORES_FANTASIA,$I1071)=0),"⚠ Cliente/Fornecedor não cadastrado",IF(AND($G1071&lt;&gt;"",COUNTIF(SUBCATEGORIAS_PLANO,$G1071)=0),"⚠ Subcategoria fora do plano de contas",IF(OR($Q1071="",N($Q1071)=0),"⚠ Valor previsto não informado",IF(AND(OR($X1071="Pago",$X1071="Recebido"),$D1071=""),"⚠ Status pago/recebido sem data",IF(AND($D1071&lt;&gt;"",N($R1071)=0),"⚠ Data de pagamento sem valor realizado",IF(AND(N($P1071)&gt;1,N($O1071)&gt;N($P1071)),"⚠ Nº da parcela maior que o total",IF(AND($C1071&lt;&gt;"",$B1071&lt;&gt;"",$C1071&lt;$B1071),"⚠ Vencimento anterior à competência","OK"))))))))</f>
        <v/>
      </c>
    </row>
    <row r="1072">
      <c r="A1072" s="14" t="n"/>
      <c r="B1072" s="36" t="n"/>
      <c r="C1072" s="36" t="n"/>
      <c r="D1072" s="36" t="n"/>
      <c r="E1072" s="14" t="n"/>
      <c r="F1072" s="29" t="n"/>
      <c r="G1072" s="29" t="n"/>
      <c r="H1072" s="29" t="n"/>
      <c r="I1072" s="29" t="n"/>
      <c r="J1072" s="29" t="n"/>
      <c r="K1072" s="14" t="n"/>
      <c r="L1072" s="29" t="n"/>
      <c r="M1072" s="14" t="n"/>
      <c r="N1072" s="29" t="n"/>
      <c r="O1072" s="13" t="n"/>
      <c r="P1072" s="13" t="n"/>
      <c r="Q1072" s="35" t="n"/>
      <c r="R1072" s="35" t="n"/>
      <c r="S1072" s="35" t="n"/>
      <c r="T1072" s="35" t="n"/>
      <c r="U1072" s="35" t="n"/>
      <c r="V1072" s="18">
        <f>IF(COUNTA($B1072:$R1072)=0,"",ROUND(N($R1072)+N($S1072)+N($T1072)-N($U1072),2))</f>
        <v/>
      </c>
      <c r="W1072" s="18">
        <f>IF(COUNTA($B1072:$R1072)=0,"",IF(OR($X1072="Pago",$X1072="Recebido",$X1072="Cancelado"),0,ROUND(N($Q1072)+N($S1072)+N($T1072)-N($U1072)-N($R1072),2)))</f>
        <v/>
      </c>
      <c r="X1072" s="14" t="n"/>
      <c r="Y1072" s="17">
        <f>IF(COUNTA($B1072:$R1072)=0,"",IF($X1072="Cancelado","Cancelado",IF(OR($X1072="Pago",$X1072="Recebido"),$X1072,IF(OR($X1072="Parcial",N($R1072)&gt;0),"Parcial",IF($C1072="","Sem vencimento",IF($C1072&lt;TODAY(),"Vencido",IF($C1072=TODAY(),"Vence hoje",IF($C1072&lt;=TODAY()+7,"Vence em 7 dias",IF($C1072&lt;=TODAY()+30,"Vence em 30 dias","Futuro")))))))))</f>
        <v/>
      </c>
      <c r="Z1072" s="24">
        <f>IF($B1072="","",MONTH($B1072))</f>
        <v/>
      </c>
      <c r="AA1072" s="24">
        <f>IF($B1072="","",YEAR($B1072))</f>
        <v/>
      </c>
      <c r="AB1072" s="24">
        <f>IF($B1072="","",ISOWEEKNUM($B1072))</f>
        <v/>
      </c>
      <c r="AC1072" s="17">
        <f>IF($B1072="","",CHOOSE(WEEKDAY($B1072,2),"Segunda","Terça","Quarta","Quinta","Sexta","Sábado","Domingo"))</f>
        <v/>
      </c>
      <c r="AD1072" s="17">
        <f>IF($B1072="","",TEXT($B1072,"MM/AAAA"))</f>
        <v/>
      </c>
      <c r="AE1072" s="18">
        <f>IF(COUNTA($B1072:$R1072)=0,"",IF($X1072="Cancelado",0,ROUND(N($Q1072)+N($S1072)+N($T1072)-N($U1072),2)))</f>
        <v/>
      </c>
      <c r="AF1072" s="9">
        <f>IF($G1072="","",IFERROR(INDEX(LINHAS_DRE_PLANO,MATCH($G1072,SUBCATEGORIAS_PLANO,0)),"Não classificado"))</f>
        <v/>
      </c>
      <c r="AG1072" s="17">
        <f>IF($G1072="","",IFERROR(INDEX(TIPOS_FLUXO_PLANO,MATCH($G1072,SUBCATEGORIAS_PLANO,0)),"Não classificado"))</f>
        <v/>
      </c>
      <c r="AH1072" s="9">
        <f>IF($G1072="","",IFERROR(INDEX(GRUPOS_PLANO,MATCH($G1072,SUBCATEGORIAS_PLANO,0)),"Não classificado"))</f>
        <v/>
      </c>
      <c r="AI1072" s="24">
        <f>IF(OR($C1072="",$X1072="Pago",$X1072="Recebido",$X1072="Cancelado"),"",$C1072-TODAY())</f>
        <v/>
      </c>
      <c r="AJ1072" s="24">
        <f>IF(OR($C1072="",$X1072="Pago",$X1072="Recebido",$X1072="Cancelado"),0,MAX(0,TODAY()-$C1072))</f>
        <v/>
      </c>
      <c r="AK1072" s="24">
        <f>IF($D1072="","",$D1072-$B1072)</f>
        <v/>
      </c>
      <c r="AL1072" s="18">
        <f>IF(OR($D1072="",$B1072=""),"",ROUND(N($R1072)*($D1072-$B1072),2))</f>
        <v/>
      </c>
      <c r="AM1072" s="17">
        <f>IF(AND($E1072="Saída",$W1072&gt;0,$C1072&lt;&gt;""),$C1072+ROW()/1000000,"")</f>
        <v/>
      </c>
      <c r="AN1072" s="17">
        <f>IF(AND($E1072="Entrada",$W1072&gt;0,$C1072&lt;&gt;""),$C1072+ROW()/1000000,"")</f>
        <v/>
      </c>
      <c r="AO1072" s="9">
        <f>IF(COUNTA($B1072:$R1072)=0,"",IF(AND($I1072&lt;&gt;"",COUNTIF(CLIENTES_NOMES,$I1072)+COUNTIF(CLIENTES_FANTASIA,$I1072)+COUNTIF(FORNECEDORES_NOMES,$I1072)+COUNTIF(FORNECEDORES_FANTASIA,$I1072)=0),"⚠ Cliente/Fornecedor não cadastrado",IF(AND($G1072&lt;&gt;"",COUNTIF(SUBCATEGORIAS_PLANO,$G1072)=0),"⚠ Subcategoria fora do plano de contas",IF(OR($Q1072="",N($Q1072)=0),"⚠ Valor previsto não informado",IF(AND(OR($X1072="Pago",$X1072="Recebido"),$D1072=""),"⚠ Status pago/recebido sem data",IF(AND($D1072&lt;&gt;"",N($R1072)=0),"⚠ Data de pagamento sem valor realizado",IF(AND(N($P1072)&gt;1,N($O1072)&gt;N($P1072)),"⚠ Nº da parcela maior que o total",IF(AND($C1072&lt;&gt;"",$B1072&lt;&gt;"",$C1072&lt;$B1072),"⚠ Vencimento anterior à competência","OK"))))))))</f>
        <v/>
      </c>
    </row>
    <row r="1073">
      <c r="A1073" s="14" t="n"/>
      <c r="B1073" s="36" t="n"/>
      <c r="C1073" s="36" t="n"/>
      <c r="D1073" s="36" t="n"/>
      <c r="E1073" s="14" t="n"/>
      <c r="F1073" s="29" t="n"/>
      <c r="G1073" s="29" t="n"/>
      <c r="H1073" s="29" t="n"/>
      <c r="I1073" s="29" t="n"/>
      <c r="J1073" s="29" t="n"/>
      <c r="K1073" s="14" t="n"/>
      <c r="L1073" s="29" t="n"/>
      <c r="M1073" s="14" t="n"/>
      <c r="N1073" s="29" t="n"/>
      <c r="O1073" s="13" t="n"/>
      <c r="P1073" s="13" t="n"/>
      <c r="Q1073" s="35" t="n"/>
      <c r="R1073" s="35" t="n"/>
      <c r="S1073" s="35" t="n"/>
      <c r="T1073" s="35" t="n"/>
      <c r="U1073" s="35" t="n"/>
      <c r="V1073" s="18">
        <f>IF(COUNTA($B1073:$R1073)=0,"",ROUND(N($R1073)+N($S1073)+N($T1073)-N($U1073),2))</f>
        <v/>
      </c>
      <c r="W1073" s="18">
        <f>IF(COUNTA($B1073:$R1073)=0,"",IF(OR($X1073="Pago",$X1073="Recebido",$X1073="Cancelado"),0,ROUND(N($Q1073)+N($S1073)+N($T1073)-N($U1073)-N($R1073),2)))</f>
        <v/>
      </c>
      <c r="X1073" s="14" t="n"/>
      <c r="Y1073" s="17">
        <f>IF(COUNTA($B1073:$R1073)=0,"",IF($X1073="Cancelado","Cancelado",IF(OR($X1073="Pago",$X1073="Recebido"),$X1073,IF(OR($X1073="Parcial",N($R1073)&gt;0),"Parcial",IF($C1073="","Sem vencimento",IF($C1073&lt;TODAY(),"Vencido",IF($C1073=TODAY(),"Vence hoje",IF($C1073&lt;=TODAY()+7,"Vence em 7 dias",IF($C1073&lt;=TODAY()+30,"Vence em 30 dias","Futuro")))))))))</f>
        <v/>
      </c>
      <c r="Z1073" s="24">
        <f>IF($B1073="","",MONTH($B1073))</f>
        <v/>
      </c>
      <c r="AA1073" s="24">
        <f>IF($B1073="","",YEAR($B1073))</f>
        <v/>
      </c>
      <c r="AB1073" s="24">
        <f>IF($B1073="","",ISOWEEKNUM($B1073))</f>
        <v/>
      </c>
      <c r="AC1073" s="17">
        <f>IF($B1073="","",CHOOSE(WEEKDAY($B1073,2),"Segunda","Terça","Quarta","Quinta","Sexta","Sábado","Domingo"))</f>
        <v/>
      </c>
      <c r="AD1073" s="17">
        <f>IF($B1073="","",TEXT($B1073,"MM/AAAA"))</f>
        <v/>
      </c>
      <c r="AE1073" s="18">
        <f>IF(COUNTA($B1073:$R1073)=0,"",IF($X1073="Cancelado",0,ROUND(N($Q1073)+N($S1073)+N($T1073)-N($U1073),2)))</f>
        <v/>
      </c>
      <c r="AF1073" s="9">
        <f>IF($G1073="","",IFERROR(INDEX(LINHAS_DRE_PLANO,MATCH($G1073,SUBCATEGORIAS_PLANO,0)),"Não classificado"))</f>
        <v/>
      </c>
      <c r="AG1073" s="17">
        <f>IF($G1073="","",IFERROR(INDEX(TIPOS_FLUXO_PLANO,MATCH($G1073,SUBCATEGORIAS_PLANO,0)),"Não classificado"))</f>
        <v/>
      </c>
      <c r="AH1073" s="9">
        <f>IF($G1073="","",IFERROR(INDEX(GRUPOS_PLANO,MATCH($G1073,SUBCATEGORIAS_PLANO,0)),"Não classificado"))</f>
        <v/>
      </c>
      <c r="AI1073" s="24">
        <f>IF(OR($C1073="",$X1073="Pago",$X1073="Recebido",$X1073="Cancelado"),"",$C1073-TODAY())</f>
        <v/>
      </c>
      <c r="AJ1073" s="24">
        <f>IF(OR($C1073="",$X1073="Pago",$X1073="Recebido",$X1073="Cancelado"),0,MAX(0,TODAY()-$C1073))</f>
        <v/>
      </c>
      <c r="AK1073" s="24">
        <f>IF($D1073="","",$D1073-$B1073)</f>
        <v/>
      </c>
      <c r="AL1073" s="18">
        <f>IF(OR($D1073="",$B1073=""),"",ROUND(N($R1073)*($D1073-$B1073),2))</f>
        <v/>
      </c>
      <c r="AM1073" s="17">
        <f>IF(AND($E1073="Saída",$W1073&gt;0,$C1073&lt;&gt;""),$C1073+ROW()/1000000,"")</f>
        <v/>
      </c>
      <c r="AN1073" s="17">
        <f>IF(AND($E1073="Entrada",$W1073&gt;0,$C1073&lt;&gt;""),$C1073+ROW()/1000000,"")</f>
        <v/>
      </c>
      <c r="AO1073" s="9">
        <f>IF(COUNTA($B1073:$R1073)=0,"",IF(AND($I1073&lt;&gt;"",COUNTIF(CLIENTES_NOMES,$I1073)+COUNTIF(CLIENTES_FANTASIA,$I1073)+COUNTIF(FORNECEDORES_NOMES,$I1073)+COUNTIF(FORNECEDORES_FANTASIA,$I1073)=0),"⚠ Cliente/Fornecedor não cadastrado",IF(AND($G1073&lt;&gt;"",COUNTIF(SUBCATEGORIAS_PLANO,$G1073)=0),"⚠ Subcategoria fora do plano de contas",IF(OR($Q1073="",N($Q1073)=0),"⚠ Valor previsto não informado",IF(AND(OR($X1073="Pago",$X1073="Recebido"),$D1073=""),"⚠ Status pago/recebido sem data",IF(AND($D1073&lt;&gt;"",N($R1073)=0),"⚠ Data de pagamento sem valor realizado",IF(AND(N($P1073)&gt;1,N($O1073)&gt;N($P1073)),"⚠ Nº da parcela maior que o total",IF(AND($C1073&lt;&gt;"",$B1073&lt;&gt;"",$C1073&lt;$B1073),"⚠ Vencimento anterior à competência","OK"))))))))</f>
        <v/>
      </c>
    </row>
    <row r="1074">
      <c r="A1074" s="14" t="n"/>
      <c r="B1074" s="36" t="n"/>
      <c r="C1074" s="36" t="n"/>
      <c r="D1074" s="36" t="n"/>
      <c r="E1074" s="14" t="n"/>
      <c r="F1074" s="29" t="n"/>
      <c r="G1074" s="29" t="n"/>
      <c r="H1074" s="29" t="n"/>
      <c r="I1074" s="29" t="n"/>
      <c r="J1074" s="29" t="n"/>
      <c r="K1074" s="14" t="n"/>
      <c r="L1074" s="29" t="n"/>
      <c r="M1074" s="14" t="n"/>
      <c r="N1074" s="29" t="n"/>
      <c r="O1074" s="13" t="n"/>
      <c r="P1074" s="13" t="n"/>
      <c r="Q1074" s="35" t="n"/>
      <c r="R1074" s="35" t="n"/>
      <c r="S1074" s="35" t="n"/>
      <c r="T1074" s="35" t="n"/>
      <c r="U1074" s="35" t="n"/>
      <c r="V1074" s="18">
        <f>IF(COUNTA($B1074:$R1074)=0,"",ROUND(N($R1074)+N($S1074)+N($T1074)-N($U1074),2))</f>
        <v/>
      </c>
      <c r="W1074" s="18">
        <f>IF(COUNTA($B1074:$R1074)=0,"",IF(OR($X1074="Pago",$X1074="Recebido",$X1074="Cancelado"),0,ROUND(N($Q1074)+N($S1074)+N($T1074)-N($U1074)-N($R1074),2)))</f>
        <v/>
      </c>
      <c r="X1074" s="14" t="n"/>
      <c r="Y1074" s="17">
        <f>IF(COUNTA($B1074:$R1074)=0,"",IF($X1074="Cancelado","Cancelado",IF(OR($X1074="Pago",$X1074="Recebido"),$X1074,IF(OR($X1074="Parcial",N($R1074)&gt;0),"Parcial",IF($C1074="","Sem vencimento",IF($C1074&lt;TODAY(),"Vencido",IF($C1074=TODAY(),"Vence hoje",IF($C1074&lt;=TODAY()+7,"Vence em 7 dias",IF($C1074&lt;=TODAY()+30,"Vence em 30 dias","Futuro")))))))))</f>
        <v/>
      </c>
      <c r="Z1074" s="24">
        <f>IF($B1074="","",MONTH($B1074))</f>
        <v/>
      </c>
      <c r="AA1074" s="24">
        <f>IF($B1074="","",YEAR($B1074))</f>
        <v/>
      </c>
      <c r="AB1074" s="24">
        <f>IF($B1074="","",ISOWEEKNUM($B1074))</f>
        <v/>
      </c>
      <c r="AC1074" s="17">
        <f>IF($B1074="","",CHOOSE(WEEKDAY($B1074,2),"Segunda","Terça","Quarta","Quinta","Sexta","Sábado","Domingo"))</f>
        <v/>
      </c>
      <c r="AD1074" s="17">
        <f>IF($B1074="","",TEXT($B1074,"MM/AAAA"))</f>
        <v/>
      </c>
      <c r="AE1074" s="18">
        <f>IF(COUNTA($B1074:$R1074)=0,"",IF($X1074="Cancelado",0,ROUND(N($Q1074)+N($S1074)+N($T1074)-N($U1074),2)))</f>
        <v/>
      </c>
      <c r="AF1074" s="9">
        <f>IF($G1074="","",IFERROR(INDEX(LINHAS_DRE_PLANO,MATCH($G1074,SUBCATEGORIAS_PLANO,0)),"Não classificado"))</f>
        <v/>
      </c>
      <c r="AG1074" s="17">
        <f>IF($G1074="","",IFERROR(INDEX(TIPOS_FLUXO_PLANO,MATCH($G1074,SUBCATEGORIAS_PLANO,0)),"Não classificado"))</f>
        <v/>
      </c>
      <c r="AH1074" s="9">
        <f>IF($G1074="","",IFERROR(INDEX(GRUPOS_PLANO,MATCH($G1074,SUBCATEGORIAS_PLANO,0)),"Não classificado"))</f>
        <v/>
      </c>
      <c r="AI1074" s="24">
        <f>IF(OR($C1074="",$X1074="Pago",$X1074="Recebido",$X1074="Cancelado"),"",$C1074-TODAY())</f>
        <v/>
      </c>
      <c r="AJ1074" s="24">
        <f>IF(OR($C1074="",$X1074="Pago",$X1074="Recebido",$X1074="Cancelado"),0,MAX(0,TODAY()-$C1074))</f>
        <v/>
      </c>
      <c r="AK1074" s="24">
        <f>IF($D1074="","",$D1074-$B1074)</f>
        <v/>
      </c>
      <c r="AL1074" s="18">
        <f>IF(OR($D1074="",$B1074=""),"",ROUND(N($R1074)*($D1074-$B1074),2))</f>
        <v/>
      </c>
      <c r="AM1074" s="17">
        <f>IF(AND($E1074="Saída",$W1074&gt;0,$C1074&lt;&gt;""),$C1074+ROW()/1000000,"")</f>
        <v/>
      </c>
      <c r="AN1074" s="17">
        <f>IF(AND($E1074="Entrada",$W1074&gt;0,$C1074&lt;&gt;""),$C1074+ROW()/1000000,"")</f>
        <v/>
      </c>
      <c r="AO1074" s="9">
        <f>IF(COUNTA($B1074:$R1074)=0,"",IF(AND($I1074&lt;&gt;"",COUNTIF(CLIENTES_NOMES,$I1074)+COUNTIF(CLIENTES_FANTASIA,$I1074)+COUNTIF(FORNECEDORES_NOMES,$I1074)+COUNTIF(FORNECEDORES_FANTASIA,$I1074)=0),"⚠ Cliente/Fornecedor não cadastrado",IF(AND($G1074&lt;&gt;"",COUNTIF(SUBCATEGORIAS_PLANO,$G1074)=0),"⚠ Subcategoria fora do plano de contas",IF(OR($Q1074="",N($Q1074)=0),"⚠ Valor previsto não informado",IF(AND(OR($X1074="Pago",$X1074="Recebido"),$D1074=""),"⚠ Status pago/recebido sem data",IF(AND($D1074&lt;&gt;"",N($R1074)=0),"⚠ Data de pagamento sem valor realizado",IF(AND(N($P1074)&gt;1,N($O1074)&gt;N($P1074)),"⚠ Nº da parcela maior que o total",IF(AND($C1074&lt;&gt;"",$B1074&lt;&gt;"",$C1074&lt;$B1074),"⚠ Vencimento anterior à competência","OK"))))))))</f>
        <v/>
      </c>
    </row>
    <row r="1075">
      <c r="A1075" s="14" t="n"/>
      <c r="B1075" s="36" t="n"/>
      <c r="C1075" s="36" t="n"/>
      <c r="D1075" s="36" t="n"/>
      <c r="E1075" s="14" t="n"/>
      <c r="F1075" s="29" t="n"/>
      <c r="G1075" s="29" t="n"/>
      <c r="H1075" s="29" t="n"/>
      <c r="I1075" s="29" t="n"/>
      <c r="J1075" s="29" t="n"/>
      <c r="K1075" s="14" t="n"/>
      <c r="L1075" s="29" t="n"/>
      <c r="M1075" s="14" t="n"/>
      <c r="N1075" s="29" t="n"/>
      <c r="O1075" s="13" t="n"/>
      <c r="P1075" s="13" t="n"/>
      <c r="Q1075" s="35" t="n"/>
      <c r="R1075" s="35" t="n"/>
      <c r="S1075" s="35" t="n"/>
      <c r="T1075" s="35" t="n"/>
      <c r="U1075" s="35" t="n"/>
      <c r="V1075" s="18">
        <f>IF(COUNTA($B1075:$R1075)=0,"",ROUND(N($R1075)+N($S1075)+N($T1075)-N($U1075),2))</f>
        <v/>
      </c>
      <c r="W1075" s="18">
        <f>IF(COUNTA($B1075:$R1075)=0,"",IF(OR($X1075="Pago",$X1075="Recebido",$X1075="Cancelado"),0,ROUND(N($Q1075)+N($S1075)+N($T1075)-N($U1075)-N($R1075),2)))</f>
        <v/>
      </c>
      <c r="X1075" s="14" t="n"/>
      <c r="Y1075" s="17">
        <f>IF(COUNTA($B1075:$R1075)=0,"",IF($X1075="Cancelado","Cancelado",IF(OR($X1075="Pago",$X1075="Recebido"),$X1075,IF(OR($X1075="Parcial",N($R1075)&gt;0),"Parcial",IF($C1075="","Sem vencimento",IF($C1075&lt;TODAY(),"Vencido",IF($C1075=TODAY(),"Vence hoje",IF($C1075&lt;=TODAY()+7,"Vence em 7 dias",IF($C1075&lt;=TODAY()+30,"Vence em 30 dias","Futuro")))))))))</f>
        <v/>
      </c>
      <c r="Z1075" s="24">
        <f>IF($B1075="","",MONTH($B1075))</f>
        <v/>
      </c>
      <c r="AA1075" s="24">
        <f>IF($B1075="","",YEAR($B1075))</f>
        <v/>
      </c>
      <c r="AB1075" s="24">
        <f>IF($B1075="","",ISOWEEKNUM($B1075))</f>
        <v/>
      </c>
      <c r="AC1075" s="17">
        <f>IF($B1075="","",CHOOSE(WEEKDAY($B1075,2),"Segunda","Terça","Quarta","Quinta","Sexta","Sábado","Domingo"))</f>
        <v/>
      </c>
      <c r="AD1075" s="17">
        <f>IF($B1075="","",TEXT($B1075,"MM/AAAA"))</f>
        <v/>
      </c>
      <c r="AE1075" s="18">
        <f>IF(COUNTA($B1075:$R1075)=0,"",IF($X1075="Cancelado",0,ROUND(N($Q1075)+N($S1075)+N($T1075)-N($U1075),2)))</f>
        <v/>
      </c>
      <c r="AF1075" s="9">
        <f>IF($G1075="","",IFERROR(INDEX(LINHAS_DRE_PLANO,MATCH($G1075,SUBCATEGORIAS_PLANO,0)),"Não classificado"))</f>
        <v/>
      </c>
      <c r="AG1075" s="17">
        <f>IF($G1075="","",IFERROR(INDEX(TIPOS_FLUXO_PLANO,MATCH($G1075,SUBCATEGORIAS_PLANO,0)),"Não classificado"))</f>
        <v/>
      </c>
      <c r="AH1075" s="9">
        <f>IF($G1075="","",IFERROR(INDEX(GRUPOS_PLANO,MATCH($G1075,SUBCATEGORIAS_PLANO,0)),"Não classificado"))</f>
        <v/>
      </c>
      <c r="AI1075" s="24">
        <f>IF(OR($C1075="",$X1075="Pago",$X1075="Recebido",$X1075="Cancelado"),"",$C1075-TODAY())</f>
        <v/>
      </c>
      <c r="AJ1075" s="24">
        <f>IF(OR($C1075="",$X1075="Pago",$X1075="Recebido",$X1075="Cancelado"),0,MAX(0,TODAY()-$C1075))</f>
        <v/>
      </c>
      <c r="AK1075" s="24">
        <f>IF($D1075="","",$D1075-$B1075)</f>
        <v/>
      </c>
      <c r="AL1075" s="18">
        <f>IF(OR($D1075="",$B1075=""),"",ROUND(N($R1075)*($D1075-$B1075),2))</f>
        <v/>
      </c>
      <c r="AM1075" s="17">
        <f>IF(AND($E1075="Saída",$W1075&gt;0,$C1075&lt;&gt;""),$C1075+ROW()/1000000,"")</f>
        <v/>
      </c>
      <c r="AN1075" s="17">
        <f>IF(AND($E1075="Entrada",$W1075&gt;0,$C1075&lt;&gt;""),$C1075+ROW()/1000000,"")</f>
        <v/>
      </c>
      <c r="AO1075" s="9">
        <f>IF(COUNTA($B1075:$R1075)=0,"",IF(AND($I1075&lt;&gt;"",COUNTIF(CLIENTES_NOMES,$I1075)+COUNTIF(CLIENTES_FANTASIA,$I1075)+COUNTIF(FORNECEDORES_NOMES,$I1075)+COUNTIF(FORNECEDORES_FANTASIA,$I1075)=0),"⚠ Cliente/Fornecedor não cadastrado",IF(AND($G1075&lt;&gt;"",COUNTIF(SUBCATEGORIAS_PLANO,$G1075)=0),"⚠ Subcategoria fora do plano de contas",IF(OR($Q1075="",N($Q1075)=0),"⚠ Valor previsto não informado",IF(AND(OR($X1075="Pago",$X1075="Recebido"),$D1075=""),"⚠ Status pago/recebido sem data",IF(AND($D1075&lt;&gt;"",N($R1075)=0),"⚠ Data de pagamento sem valor realizado",IF(AND(N($P1075)&gt;1,N($O1075)&gt;N($P1075)),"⚠ Nº da parcela maior que o total",IF(AND($C1075&lt;&gt;"",$B1075&lt;&gt;"",$C1075&lt;$B1075),"⚠ Vencimento anterior à competência","OK"))))))))</f>
        <v/>
      </c>
    </row>
    <row r="1076">
      <c r="A1076" s="14" t="n"/>
      <c r="B1076" s="36" t="n"/>
      <c r="C1076" s="36" t="n"/>
      <c r="D1076" s="36" t="n"/>
      <c r="E1076" s="14" t="n"/>
      <c r="F1076" s="29" t="n"/>
      <c r="G1076" s="29" t="n"/>
      <c r="H1076" s="29" t="n"/>
      <c r="I1076" s="29" t="n"/>
      <c r="J1076" s="29" t="n"/>
      <c r="K1076" s="14" t="n"/>
      <c r="L1076" s="29" t="n"/>
      <c r="M1076" s="14" t="n"/>
      <c r="N1076" s="29" t="n"/>
      <c r="O1076" s="13" t="n"/>
      <c r="P1076" s="13" t="n"/>
      <c r="Q1076" s="35" t="n"/>
      <c r="R1076" s="35" t="n"/>
      <c r="S1076" s="35" t="n"/>
      <c r="T1076" s="35" t="n"/>
      <c r="U1076" s="35" t="n"/>
      <c r="V1076" s="18">
        <f>IF(COUNTA($B1076:$R1076)=0,"",ROUND(N($R1076)+N($S1076)+N($T1076)-N($U1076),2))</f>
        <v/>
      </c>
      <c r="W1076" s="18">
        <f>IF(COUNTA($B1076:$R1076)=0,"",IF(OR($X1076="Pago",$X1076="Recebido",$X1076="Cancelado"),0,ROUND(N($Q1076)+N($S1076)+N($T1076)-N($U1076)-N($R1076),2)))</f>
        <v/>
      </c>
      <c r="X1076" s="14" t="n"/>
      <c r="Y1076" s="17">
        <f>IF(COUNTA($B1076:$R1076)=0,"",IF($X1076="Cancelado","Cancelado",IF(OR($X1076="Pago",$X1076="Recebido"),$X1076,IF(OR($X1076="Parcial",N($R1076)&gt;0),"Parcial",IF($C1076="","Sem vencimento",IF($C1076&lt;TODAY(),"Vencido",IF($C1076=TODAY(),"Vence hoje",IF($C1076&lt;=TODAY()+7,"Vence em 7 dias",IF($C1076&lt;=TODAY()+30,"Vence em 30 dias","Futuro")))))))))</f>
        <v/>
      </c>
      <c r="Z1076" s="24">
        <f>IF($B1076="","",MONTH($B1076))</f>
        <v/>
      </c>
      <c r="AA1076" s="24">
        <f>IF($B1076="","",YEAR($B1076))</f>
        <v/>
      </c>
      <c r="AB1076" s="24">
        <f>IF($B1076="","",ISOWEEKNUM($B1076))</f>
        <v/>
      </c>
      <c r="AC1076" s="17">
        <f>IF($B1076="","",CHOOSE(WEEKDAY($B1076,2),"Segunda","Terça","Quarta","Quinta","Sexta","Sábado","Domingo"))</f>
        <v/>
      </c>
      <c r="AD1076" s="17">
        <f>IF($B1076="","",TEXT($B1076,"MM/AAAA"))</f>
        <v/>
      </c>
      <c r="AE1076" s="18">
        <f>IF(COUNTA($B1076:$R1076)=0,"",IF($X1076="Cancelado",0,ROUND(N($Q1076)+N($S1076)+N($T1076)-N($U1076),2)))</f>
        <v/>
      </c>
      <c r="AF1076" s="9">
        <f>IF($G1076="","",IFERROR(INDEX(LINHAS_DRE_PLANO,MATCH($G1076,SUBCATEGORIAS_PLANO,0)),"Não classificado"))</f>
        <v/>
      </c>
      <c r="AG1076" s="17">
        <f>IF($G1076="","",IFERROR(INDEX(TIPOS_FLUXO_PLANO,MATCH($G1076,SUBCATEGORIAS_PLANO,0)),"Não classificado"))</f>
        <v/>
      </c>
      <c r="AH1076" s="9">
        <f>IF($G1076="","",IFERROR(INDEX(GRUPOS_PLANO,MATCH($G1076,SUBCATEGORIAS_PLANO,0)),"Não classificado"))</f>
        <v/>
      </c>
      <c r="AI1076" s="24">
        <f>IF(OR($C1076="",$X1076="Pago",$X1076="Recebido",$X1076="Cancelado"),"",$C1076-TODAY())</f>
        <v/>
      </c>
      <c r="AJ1076" s="24">
        <f>IF(OR($C1076="",$X1076="Pago",$X1076="Recebido",$X1076="Cancelado"),0,MAX(0,TODAY()-$C1076))</f>
        <v/>
      </c>
      <c r="AK1076" s="24">
        <f>IF($D1076="","",$D1076-$B1076)</f>
        <v/>
      </c>
      <c r="AL1076" s="18">
        <f>IF(OR($D1076="",$B1076=""),"",ROUND(N($R1076)*($D1076-$B1076),2))</f>
        <v/>
      </c>
      <c r="AM1076" s="17">
        <f>IF(AND($E1076="Saída",$W1076&gt;0,$C1076&lt;&gt;""),$C1076+ROW()/1000000,"")</f>
        <v/>
      </c>
      <c r="AN1076" s="17">
        <f>IF(AND($E1076="Entrada",$W1076&gt;0,$C1076&lt;&gt;""),$C1076+ROW()/1000000,"")</f>
        <v/>
      </c>
      <c r="AO1076" s="9">
        <f>IF(COUNTA($B1076:$R1076)=0,"",IF(AND($I1076&lt;&gt;"",COUNTIF(CLIENTES_NOMES,$I1076)+COUNTIF(CLIENTES_FANTASIA,$I1076)+COUNTIF(FORNECEDORES_NOMES,$I1076)+COUNTIF(FORNECEDORES_FANTASIA,$I1076)=0),"⚠ Cliente/Fornecedor não cadastrado",IF(AND($G1076&lt;&gt;"",COUNTIF(SUBCATEGORIAS_PLANO,$G1076)=0),"⚠ Subcategoria fora do plano de contas",IF(OR($Q1076="",N($Q1076)=0),"⚠ Valor previsto não informado",IF(AND(OR($X1076="Pago",$X1076="Recebido"),$D1076=""),"⚠ Status pago/recebido sem data",IF(AND($D1076&lt;&gt;"",N($R1076)=0),"⚠ Data de pagamento sem valor realizado",IF(AND(N($P1076)&gt;1,N($O1076)&gt;N($P1076)),"⚠ Nº da parcela maior que o total",IF(AND($C1076&lt;&gt;"",$B1076&lt;&gt;"",$C1076&lt;$B1076),"⚠ Vencimento anterior à competência","OK"))))))))</f>
        <v/>
      </c>
    </row>
    <row r="1077">
      <c r="A1077" s="14" t="n"/>
      <c r="B1077" s="36" t="n"/>
      <c r="C1077" s="36" t="n"/>
      <c r="D1077" s="36" t="n"/>
      <c r="E1077" s="14" t="n"/>
      <c r="F1077" s="29" t="n"/>
      <c r="G1077" s="29" t="n"/>
      <c r="H1077" s="29" t="n"/>
      <c r="I1077" s="29" t="n"/>
      <c r="J1077" s="29" t="n"/>
      <c r="K1077" s="14" t="n"/>
      <c r="L1077" s="29" t="n"/>
      <c r="M1077" s="14" t="n"/>
      <c r="N1077" s="29" t="n"/>
      <c r="O1077" s="13" t="n"/>
      <c r="P1077" s="13" t="n"/>
      <c r="Q1077" s="35" t="n"/>
      <c r="R1077" s="35" t="n"/>
      <c r="S1077" s="35" t="n"/>
      <c r="T1077" s="35" t="n"/>
      <c r="U1077" s="35" t="n"/>
      <c r="V1077" s="18">
        <f>IF(COUNTA($B1077:$R1077)=0,"",ROUND(N($R1077)+N($S1077)+N($T1077)-N($U1077),2))</f>
        <v/>
      </c>
      <c r="W1077" s="18">
        <f>IF(COUNTA($B1077:$R1077)=0,"",IF(OR($X1077="Pago",$X1077="Recebido",$X1077="Cancelado"),0,ROUND(N($Q1077)+N($S1077)+N($T1077)-N($U1077)-N($R1077),2)))</f>
        <v/>
      </c>
      <c r="X1077" s="14" t="n"/>
      <c r="Y1077" s="17">
        <f>IF(COUNTA($B1077:$R1077)=0,"",IF($X1077="Cancelado","Cancelado",IF(OR($X1077="Pago",$X1077="Recebido"),$X1077,IF(OR($X1077="Parcial",N($R1077)&gt;0),"Parcial",IF($C1077="","Sem vencimento",IF($C1077&lt;TODAY(),"Vencido",IF($C1077=TODAY(),"Vence hoje",IF($C1077&lt;=TODAY()+7,"Vence em 7 dias",IF($C1077&lt;=TODAY()+30,"Vence em 30 dias","Futuro")))))))))</f>
        <v/>
      </c>
      <c r="Z1077" s="24">
        <f>IF($B1077="","",MONTH($B1077))</f>
        <v/>
      </c>
      <c r="AA1077" s="24">
        <f>IF($B1077="","",YEAR($B1077))</f>
        <v/>
      </c>
      <c r="AB1077" s="24">
        <f>IF($B1077="","",ISOWEEKNUM($B1077))</f>
        <v/>
      </c>
      <c r="AC1077" s="17">
        <f>IF($B1077="","",CHOOSE(WEEKDAY($B1077,2),"Segunda","Terça","Quarta","Quinta","Sexta","Sábado","Domingo"))</f>
        <v/>
      </c>
      <c r="AD1077" s="17">
        <f>IF($B1077="","",TEXT($B1077,"MM/AAAA"))</f>
        <v/>
      </c>
      <c r="AE1077" s="18">
        <f>IF(COUNTA($B1077:$R1077)=0,"",IF($X1077="Cancelado",0,ROUND(N($Q1077)+N($S1077)+N($T1077)-N($U1077),2)))</f>
        <v/>
      </c>
      <c r="AF1077" s="9">
        <f>IF($G1077="","",IFERROR(INDEX(LINHAS_DRE_PLANO,MATCH($G1077,SUBCATEGORIAS_PLANO,0)),"Não classificado"))</f>
        <v/>
      </c>
      <c r="AG1077" s="17">
        <f>IF($G1077="","",IFERROR(INDEX(TIPOS_FLUXO_PLANO,MATCH($G1077,SUBCATEGORIAS_PLANO,0)),"Não classificado"))</f>
        <v/>
      </c>
      <c r="AH1077" s="9">
        <f>IF($G1077="","",IFERROR(INDEX(GRUPOS_PLANO,MATCH($G1077,SUBCATEGORIAS_PLANO,0)),"Não classificado"))</f>
        <v/>
      </c>
      <c r="AI1077" s="24">
        <f>IF(OR($C1077="",$X1077="Pago",$X1077="Recebido",$X1077="Cancelado"),"",$C1077-TODAY())</f>
        <v/>
      </c>
      <c r="AJ1077" s="24">
        <f>IF(OR($C1077="",$X1077="Pago",$X1077="Recebido",$X1077="Cancelado"),0,MAX(0,TODAY()-$C1077))</f>
        <v/>
      </c>
      <c r="AK1077" s="24">
        <f>IF($D1077="","",$D1077-$B1077)</f>
        <v/>
      </c>
      <c r="AL1077" s="18">
        <f>IF(OR($D1077="",$B1077=""),"",ROUND(N($R1077)*($D1077-$B1077),2))</f>
        <v/>
      </c>
      <c r="AM1077" s="17">
        <f>IF(AND($E1077="Saída",$W1077&gt;0,$C1077&lt;&gt;""),$C1077+ROW()/1000000,"")</f>
        <v/>
      </c>
      <c r="AN1077" s="17">
        <f>IF(AND($E1077="Entrada",$W1077&gt;0,$C1077&lt;&gt;""),$C1077+ROW()/1000000,"")</f>
        <v/>
      </c>
      <c r="AO1077" s="9">
        <f>IF(COUNTA($B1077:$R1077)=0,"",IF(AND($I1077&lt;&gt;"",COUNTIF(CLIENTES_NOMES,$I1077)+COUNTIF(CLIENTES_FANTASIA,$I1077)+COUNTIF(FORNECEDORES_NOMES,$I1077)+COUNTIF(FORNECEDORES_FANTASIA,$I1077)=0),"⚠ Cliente/Fornecedor não cadastrado",IF(AND($G1077&lt;&gt;"",COUNTIF(SUBCATEGORIAS_PLANO,$G1077)=0),"⚠ Subcategoria fora do plano de contas",IF(OR($Q1077="",N($Q1077)=0),"⚠ Valor previsto não informado",IF(AND(OR($X1077="Pago",$X1077="Recebido"),$D1077=""),"⚠ Status pago/recebido sem data",IF(AND($D1077&lt;&gt;"",N($R1077)=0),"⚠ Data de pagamento sem valor realizado",IF(AND(N($P1077)&gt;1,N($O1077)&gt;N($P1077)),"⚠ Nº da parcela maior que o total",IF(AND($C1077&lt;&gt;"",$B1077&lt;&gt;"",$C1077&lt;$B1077),"⚠ Vencimento anterior à competência","OK"))))))))</f>
        <v/>
      </c>
    </row>
    <row r="1078">
      <c r="A1078" s="14" t="n"/>
      <c r="B1078" s="36" t="n"/>
      <c r="C1078" s="36" t="n"/>
      <c r="D1078" s="36" t="n"/>
      <c r="E1078" s="14" t="n"/>
      <c r="F1078" s="29" t="n"/>
      <c r="G1078" s="29" t="n"/>
      <c r="H1078" s="29" t="n"/>
      <c r="I1078" s="29" t="n"/>
      <c r="J1078" s="29" t="n"/>
      <c r="K1078" s="14" t="n"/>
      <c r="L1078" s="29" t="n"/>
      <c r="M1078" s="14" t="n"/>
      <c r="N1078" s="29" t="n"/>
      <c r="O1078" s="13" t="n"/>
      <c r="P1078" s="13" t="n"/>
      <c r="Q1078" s="35" t="n"/>
      <c r="R1078" s="35" t="n"/>
      <c r="S1078" s="35" t="n"/>
      <c r="T1078" s="35" t="n"/>
      <c r="U1078" s="35" t="n"/>
      <c r="V1078" s="18">
        <f>IF(COUNTA($B1078:$R1078)=0,"",ROUND(N($R1078)+N($S1078)+N($T1078)-N($U1078),2))</f>
        <v/>
      </c>
      <c r="W1078" s="18">
        <f>IF(COUNTA($B1078:$R1078)=0,"",IF(OR($X1078="Pago",$X1078="Recebido",$X1078="Cancelado"),0,ROUND(N($Q1078)+N($S1078)+N($T1078)-N($U1078)-N($R1078),2)))</f>
        <v/>
      </c>
      <c r="X1078" s="14" t="n"/>
      <c r="Y1078" s="17">
        <f>IF(COUNTA($B1078:$R1078)=0,"",IF($X1078="Cancelado","Cancelado",IF(OR($X1078="Pago",$X1078="Recebido"),$X1078,IF(OR($X1078="Parcial",N($R1078)&gt;0),"Parcial",IF($C1078="","Sem vencimento",IF($C1078&lt;TODAY(),"Vencido",IF($C1078=TODAY(),"Vence hoje",IF($C1078&lt;=TODAY()+7,"Vence em 7 dias",IF($C1078&lt;=TODAY()+30,"Vence em 30 dias","Futuro")))))))))</f>
        <v/>
      </c>
      <c r="Z1078" s="24">
        <f>IF($B1078="","",MONTH($B1078))</f>
        <v/>
      </c>
      <c r="AA1078" s="24">
        <f>IF($B1078="","",YEAR($B1078))</f>
        <v/>
      </c>
      <c r="AB1078" s="24">
        <f>IF($B1078="","",ISOWEEKNUM($B1078))</f>
        <v/>
      </c>
      <c r="AC1078" s="17">
        <f>IF($B1078="","",CHOOSE(WEEKDAY($B1078,2),"Segunda","Terça","Quarta","Quinta","Sexta","Sábado","Domingo"))</f>
        <v/>
      </c>
      <c r="AD1078" s="17">
        <f>IF($B1078="","",TEXT($B1078,"MM/AAAA"))</f>
        <v/>
      </c>
      <c r="AE1078" s="18">
        <f>IF(COUNTA($B1078:$R1078)=0,"",IF($X1078="Cancelado",0,ROUND(N($Q1078)+N($S1078)+N($T1078)-N($U1078),2)))</f>
        <v/>
      </c>
      <c r="AF1078" s="9">
        <f>IF($G1078="","",IFERROR(INDEX(LINHAS_DRE_PLANO,MATCH($G1078,SUBCATEGORIAS_PLANO,0)),"Não classificado"))</f>
        <v/>
      </c>
      <c r="AG1078" s="17">
        <f>IF($G1078="","",IFERROR(INDEX(TIPOS_FLUXO_PLANO,MATCH($G1078,SUBCATEGORIAS_PLANO,0)),"Não classificado"))</f>
        <v/>
      </c>
      <c r="AH1078" s="9">
        <f>IF($G1078="","",IFERROR(INDEX(GRUPOS_PLANO,MATCH($G1078,SUBCATEGORIAS_PLANO,0)),"Não classificado"))</f>
        <v/>
      </c>
      <c r="AI1078" s="24">
        <f>IF(OR($C1078="",$X1078="Pago",$X1078="Recebido",$X1078="Cancelado"),"",$C1078-TODAY())</f>
        <v/>
      </c>
      <c r="AJ1078" s="24">
        <f>IF(OR($C1078="",$X1078="Pago",$X1078="Recebido",$X1078="Cancelado"),0,MAX(0,TODAY()-$C1078))</f>
        <v/>
      </c>
      <c r="AK1078" s="24">
        <f>IF($D1078="","",$D1078-$B1078)</f>
        <v/>
      </c>
      <c r="AL1078" s="18">
        <f>IF(OR($D1078="",$B1078=""),"",ROUND(N($R1078)*($D1078-$B1078),2))</f>
        <v/>
      </c>
      <c r="AM1078" s="17">
        <f>IF(AND($E1078="Saída",$W1078&gt;0,$C1078&lt;&gt;""),$C1078+ROW()/1000000,"")</f>
        <v/>
      </c>
      <c r="AN1078" s="17">
        <f>IF(AND($E1078="Entrada",$W1078&gt;0,$C1078&lt;&gt;""),$C1078+ROW()/1000000,"")</f>
        <v/>
      </c>
      <c r="AO1078" s="9">
        <f>IF(COUNTA($B1078:$R1078)=0,"",IF(AND($I1078&lt;&gt;"",COUNTIF(CLIENTES_NOMES,$I1078)+COUNTIF(CLIENTES_FANTASIA,$I1078)+COUNTIF(FORNECEDORES_NOMES,$I1078)+COUNTIF(FORNECEDORES_FANTASIA,$I1078)=0),"⚠ Cliente/Fornecedor não cadastrado",IF(AND($G1078&lt;&gt;"",COUNTIF(SUBCATEGORIAS_PLANO,$G1078)=0),"⚠ Subcategoria fora do plano de contas",IF(OR($Q1078="",N($Q1078)=0),"⚠ Valor previsto não informado",IF(AND(OR($X1078="Pago",$X1078="Recebido"),$D1078=""),"⚠ Status pago/recebido sem data",IF(AND($D1078&lt;&gt;"",N($R1078)=0),"⚠ Data de pagamento sem valor realizado",IF(AND(N($P1078)&gt;1,N($O1078)&gt;N($P1078)),"⚠ Nº da parcela maior que o total",IF(AND($C1078&lt;&gt;"",$B1078&lt;&gt;"",$C1078&lt;$B1078),"⚠ Vencimento anterior à competência","OK"))))))))</f>
        <v/>
      </c>
    </row>
    <row r="1079">
      <c r="A1079" s="14" t="n"/>
      <c r="B1079" s="36" t="n"/>
      <c r="C1079" s="36" t="n"/>
      <c r="D1079" s="36" t="n"/>
      <c r="E1079" s="14" t="n"/>
      <c r="F1079" s="29" t="n"/>
      <c r="G1079" s="29" t="n"/>
      <c r="H1079" s="29" t="n"/>
      <c r="I1079" s="29" t="n"/>
      <c r="J1079" s="29" t="n"/>
      <c r="K1079" s="14" t="n"/>
      <c r="L1079" s="29" t="n"/>
      <c r="M1079" s="14" t="n"/>
      <c r="N1079" s="29" t="n"/>
      <c r="O1079" s="13" t="n"/>
      <c r="P1079" s="13" t="n"/>
      <c r="Q1079" s="35" t="n"/>
      <c r="R1079" s="35" t="n"/>
      <c r="S1079" s="35" t="n"/>
      <c r="T1079" s="35" t="n"/>
      <c r="U1079" s="35" t="n"/>
      <c r="V1079" s="18">
        <f>IF(COUNTA($B1079:$R1079)=0,"",ROUND(N($R1079)+N($S1079)+N($T1079)-N($U1079),2))</f>
        <v/>
      </c>
      <c r="W1079" s="18">
        <f>IF(COUNTA($B1079:$R1079)=0,"",IF(OR($X1079="Pago",$X1079="Recebido",$X1079="Cancelado"),0,ROUND(N($Q1079)+N($S1079)+N($T1079)-N($U1079)-N($R1079),2)))</f>
        <v/>
      </c>
      <c r="X1079" s="14" t="n"/>
      <c r="Y1079" s="17">
        <f>IF(COUNTA($B1079:$R1079)=0,"",IF($X1079="Cancelado","Cancelado",IF(OR($X1079="Pago",$X1079="Recebido"),$X1079,IF(OR($X1079="Parcial",N($R1079)&gt;0),"Parcial",IF($C1079="","Sem vencimento",IF($C1079&lt;TODAY(),"Vencido",IF($C1079=TODAY(),"Vence hoje",IF($C1079&lt;=TODAY()+7,"Vence em 7 dias",IF($C1079&lt;=TODAY()+30,"Vence em 30 dias","Futuro")))))))))</f>
        <v/>
      </c>
      <c r="Z1079" s="24">
        <f>IF($B1079="","",MONTH($B1079))</f>
        <v/>
      </c>
      <c r="AA1079" s="24">
        <f>IF($B1079="","",YEAR($B1079))</f>
        <v/>
      </c>
      <c r="AB1079" s="24">
        <f>IF($B1079="","",ISOWEEKNUM($B1079))</f>
        <v/>
      </c>
      <c r="AC1079" s="17">
        <f>IF($B1079="","",CHOOSE(WEEKDAY($B1079,2),"Segunda","Terça","Quarta","Quinta","Sexta","Sábado","Domingo"))</f>
        <v/>
      </c>
      <c r="AD1079" s="17">
        <f>IF($B1079="","",TEXT($B1079,"MM/AAAA"))</f>
        <v/>
      </c>
      <c r="AE1079" s="18">
        <f>IF(COUNTA($B1079:$R1079)=0,"",IF($X1079="Cancelado",0,ROUND(N($Q1079)+N($S1079)+N($T1079)-N($U1079),2)))</f>
        <v/>
      </c>
      <c r="AF1079" s="9">
        <f>IF($G1079="","",IFERROR(INDEX(LINHAS_DRE_PLANO,MATCH($G1079,SUBCATEGORIAS_PLANO,0)),"Não classificado"))</f>
        <v/>
      </c>
      <c r="AG1079" s="17">
        <f>IF($G1079="","",IFERROR(INDEX(TIPOS_FLUXO_PLANO,MATCH($G1079,SUBCATEGORIAS_PLANO,0)),"Não classificado"))</f>
        <v/>
      </c>
      <c r="AH1079" s="9">
        <f>IF($G1079="","",IFERROR(INDEX(GRUPOS_PLANO,MATCH($G1079,SUBCATEGORIAS_PLANO,0)),"Não classificado"))</f>
        <v/>
      </c>
      <c r="AI1079" s="24">
        <f>IF(OR($C1079="",$X1079="Pago",$X1079="Recebido",$X1079="Cancelado"),"",$C1079-TODAY())</f>
        <v/>
      </c>
      <c r="AJ1079" s="24">
        <f>IF(OR($C1079="",$X1079="Pago",$X1079="Recebido",$X1079="Cancelado"),0,MAX(0,TODAY()-$C1079))</f>
        <v/>
      </c>
      <c r="AK1079" s="24">
        <f>IF($D1079="","",$D1079-$B1079)</f>
        <v/>
      </c>
      <c r="AL1079" s="18">
        <f>IF(OR($D1079="",$B1079=""),"",ROUND(N($R1079)*($D1079-$B1079),2))</f>
        <v/>
      </c>
      <c r="AM1079" s="17">
        <f>IF(AND($E1079="Saída",$W1079&gt;0,$C1079&lt;&gt;""),$C1079+ROW()/1000000,"")</f>
        <v/>
      </c>
      <c r="AN1079" s="17">
        <f>IF(AND($E1079="Entrada",$W1079&gt;0,$C1079&lt;&gt;""),$C1079+ROW()/1000000,"")</f>
        <v/>
      </c>
      <c r="AO1079" s="9">
        <f>IF(COUNTA($B1079:$R1079)=0,"",IF(AND($I1079&lt;&gt;"",COUNTIF(CLIENTES_NOMES,$I1079)+COUNTIF(CLIENTES_FANTASIA,$I1079)+COUNTIF(FORNECEDORES_NOMES,$I1079)+COUNTIF(FORNECEDORES_FANTASIA,$I1079)=0),"⚠ Cliente/Fornecedor não cadastrado",IF(AND($G1079&lt;&gt;"",COUNTIF(SUBCATEGORIAS_PLANO,$G1079)=0),"⚠ Subcategoria fora do plano de contas",IF(OR($Q1079="",N($Q1079)=0),"⚠ Valor previsto não informado",IF(AND(OR($X1079="Pago",$X1079="Recebido"),$D1079=""),"⚠ Status pago/recebido sem data",IF(AND($D1079&lt;&gt;"",N($R1079)=0),"⚠ Data de pagamento sem valor realizado",IF(AND(N($P1079)&gt;1,N($O1079)&gt;N($P1079)),"⚠ Nº da parcela maior que o total",IF(AND($C1079&lt;&gt;"",$B1079&lt;&gt;"",$C1079&lt;$B1079),"⚠ Vencimento anterior à competência","OK"))))))))</f>
        <v/>
      </c>
    </row>
    <row r="1080">
      <c r="A1080" s="14" t="n"/>
      <c r="B1080" s="36" t="n"/>
      <c r="C1080" s="36" t="n"/>
      <c r="D1080" s="36" t="n"/>
      <c r="E1080" s="14" t="n"/>
      <c r="F1080" s="29" t="n"/>
      <c r="G1080" s="29" t="n"/>
      <c r="H1080" s="29" t="n"/>
      <c r="I1080" s="29" t="n"/>
      <c r="J1080" s="29" t="n"/>
      <c r="K1080" s="14" t="n"/>
      <c r="L1080" s="29" t="n"/>
      <c r="M1080" s="14" t="n"/>
      <c r="N1080" s="29" t="n"/>
      <c r="O1080" s="13" t="n"/>
      <c r="P1080" s="13" t="n"/>
      <c r="Q1080" s="35" t="n"/>
      <c r="R1080" s="35" t="n"/>
      <c r="S1080" s="35" t="n"/>
      <c r="T1080" s="35" t="n"/>
      <c r="U1080" s="35" t="n"/>
      <c r="V1080" s="18">
        <f>IF(COUNTA($B1080:$R1080)=0,"",ROUND(N($R1080)+N($S1080)+N($T1080)-N($U1080),2))</f>
        <v/>
      </c>
      <c r="W1080" s="18">
        <f>IF(COUNTA($B1080:$R1080)=0,"",IF(OR($X1080="Pago",$X1080="Recebido",$X1080="Cancelado"),0,ROUND(N($Q1080)+N($S1080)+N($T1080)-N($U1080)-N($R1080),2)))</f>
        <v/>
      </c>
      <c r="X1080" s="14" t="n"/>
      <c r="Y1080" s="17">
        <f>IF(COUNTA($B1080:$R1080)=0,"",IF($X1080="Cancelado","Cancelado",IF(OR($X1080="Pago",$X1080="Recebido"),$X1080,IF(OR($X1080="Parcial",N($R1080)&gt;0),"Parcial",IF($C1080="","Sem vencimento",IF($C1080&lt;TODAY(),"Vencido",IF($C1080=TODAY(),"Vence hoje",IF($C1080&lt;=TODAY()+7,"Vence em 7 dias",IF($C1080&lt;=TODAY()+30,"Vence em 30 dias","Futuro")))))))))</f>
        <v/>
      </c>
      <c r="Z1080" s="24">
        <f>IF($B1080="","",MONTH($B1080))</f>
        <v/>
      </c>
      <c r="AA1080" s="24">
        <f>IF($B1080="","",YEAR($B1080))</f>
        <v/>
      </c>
      <c r="AB1080" s="24">
        <f>IF($B1080="","",ISOWEEKNUM($B1080))</f>
        <v/>
      </c>
      <c r="AC1080" s="17">
        <f>IF($B1080="","",CHOOSE(WEEKDAY($B1080,2),"Segunda","Terça","Quarta","Quinta","Sexta","Sábado","Domingo"))</f>
        <v/>
      </c>
      <c r="AD1080" s="17">
        <f>IF($B1080="","",TEXT($B1080,"MM/AAAA"))</f>
        <v/>
      </c>
      <c r="AE1080" s="18">
        <f>IF(COUNTA($B1080:$R1080)=0,"",IF($X1080="Cancelado",0,ROUND(N($Q1080)+N($S1080)+N($T1080)-N($U1080),2)))</f>
        <v/>
      </c>
      <c r="AF1080" s="9">
        <f>IF($G1080="","",IFERROR(INDEX(LINHAS_DRE_PLANO,MATCH($G1080,SUBCATEGORIAS_PLANO,0)),"Não classificado"))</f>
        <v/>
      </c>
      <c r="AG1080" s="17">
        <f>IF($G1080="","",IFERROR(INDEX(TIPOS_FLUXO_PLANO,MATCH($G1080,SUBCATEGORIAS_PLANO,0)),"Não classificado"))</f>
        <v/>
      </c>
      <c r="AH1080" s="9">
        <f>IF($G1080="","",IFERROR(INDEX(GRUPOS_PLANO,MATCH($G1080,SUBCATEGORIAS_PLANO,0)),"Não classificado"))</f>
        <v/>
      </c>
      <c r="AI1080" s="24">
        <f>IF(OR($C1080="",$X1080="Pago",$X1080="Recebido",$X1080="Cancelado"),"",$C1080-TODAY())</f>
        <v/>
      </c>
      <c r="AJ1080" s="24">
        <f>IF(OR($C1080="",$X1080="Pago",$X1080="Recebido",$X1080="Cancelado"),0,MAX(0,TODAY()-$C1080))</f>
        <v/>
      </c>
      <c r="AK1080" s="24">
        <f>IF($D1080="","",$D1080-$B1080)</f>
        <v/>
      </c>
      <c r="AL1080" s="18">
        <f>IF(OR($D1080="",$B1080=""),"",ROUND(N($R1080)*($D1080-$B1080),2))</f>
        <v/>
      </c>
      <c r="AM1080" s="17">
        <f>IF(AND($E1080="Saída",$W1080&gt;0,$C1080&lt;&gt;""),$C1080+ROW()/1000000,"")</f>
        <v/>
      </c>
      <c r="AN1080" s="17">
        <f>IF(AND($E1080="Entrada",$W1080&gt;0,$C1080&lt;&gt;""),$C1080+ROW()/1000000,"")</f>
        <v/>
      </c>
      <c r="AO1080" s="9">
        <f>IF(COUNTA($B1080:$R1080)=0,"",IF(AND($I1080&lt;&gt;"",COUNTIF(CLIENTES_NOMES,$I1080)+COUNTIF(CLIENTES_FANTASIA,$I1080)+COUNTIF(FORNECEDORES_NOMES,$I1080)+COUNTIF(FORNECEDORES_FANTASIA,$I1080)=0),"⚠ Cliente/Fornecedor não cadastrado",IF(AND($G1080&lt;&gt;"",COUNTIF(SUBCATEGORIAS_PLANO,$G1080)=0),"⚠ Subcategoria fora do plano de contas",IF(OR($Q1080="",N($Q1080)=0),"⚠ Valor previsto não informado",IF(AND(OR($X1080="Pago",$X1080="Recebido"),$D1080=""),"⚠ Status pago/recebido sem data",IF(AND($D1080&lt;&gt;"",N($R1080)=0),"⚠ Data de pagamento sem valor realizado",IF(AND(N($P1080)&gt;1,N($O1080)&gt;N($P1080)),"⚠ Nº da parcela maior que o total",IF(AND($C1080&lt;&gt;"",$B1080&lt;&gt;"",$C1080&lt;$B1080),"⚠ Vencimento anterior à competência","OK"))))))))</f>
        <v/>
      </c>
    </row>
    <row r="1081">
      <c r="A1081" s="14" t="n"/>
      <c r="B1081" s="36" t="n"/>
      <c r="C1081" s="36" t="n"/>
      <c r="D1081" s="36" t="n"/>
      <c r="E1081" s="14" t="n"/>
      <c r="F1081" s="29" t="n"/>
      <c r="G1081" s="29" t="n"/>
      <c r="H1081" s="29" t="n"/>
      <c r="I1081" s="29" t="n"/>
      <c r="J1081" s="29" t="n"/>
      <c r="K1081" s="14" t="n"/>
      <c r="L1081" s="29" t="n"/>
      <c r="M1081" s="14" t="n"/>
      <c r="N1081" s="29" t="n"/>
      <c r="O1081" s="13" t="n"/>
      <c r="P1081" s="13" t="n"/>
      <c r="Q1081" s="35" t="n"/>
      <c r="R1081" s="35" t="n"/>
      <c r="S1081" s="35" t="n"/>
      <c r="T1081" s="35" t="n"/>
      <c r="U1081" s="35" t="n"/>
      <c r="V1081" s="18">
        <f>IF(COUNTA($B1081:$R1081)=0,"",ROUND(N($R1081)+N($S1081)+N($T1081)-N($U1081),2))</f>
        <v/>
      </c>
      <c r="W1081" s="18">
        <f>IF(COUNTA($B1081:$R1081)=0,"",IF(OR($X1081="Pago",$X1081="Recebido",$X1081="Cancelado"),0,ROUND(N($Q1081)+N($S1081)+N($T1081)-N($U1081)-N($R1081),2)))</f>
        <v/>
      </c>
      <c r="X1081" s="14" t="n"/>
      <c r="Y1081" s="17">
        <f>IF(COUNTA($B1081:$R1081)=0,"",IF($X1081="Cancelado","Cancelado",IF(OR($X1081="Pago",$X1081="Recebido"),$X1081,IF(OR($X1081="Parcial",N($R1081)&gt;0),"Parcial",IF($C1081="","Sem vencimento",IF($C1081&lt;TODAY(),"Vencido",IF($C1081=TODAY(),"Vence hoje",IF($C1081&lt;=TODAY()+7,"Vence em 7 dias",IF($C1081&lt;=TODAY()+30,"Vence em 30 dias","Futuro")))))))))</f>
        <v/>
      </c>
      <c r="Z1081" s="24">
        <f>IF($B1081="","",MONTH($B1081))</f>
        <v/>
      </c>
      <c r="AA1081" s="24">
        <f>IF($B1081="","",YEAR($B1081))</f>
        <v/>
      </c>
      <c r="AB1081" s="24">
        <f>IF($B1081="","",ISOWEEKNUM($B1081))</f>
        <v/>
      </c>
      <c r="AC1081" s="17">
        <f>IF($B1081="","",CHOOSE(WEEKDAY($B1081,2),"Segunda","Terça","Quarta","Quinta","Sexta","Sábado","Domingo"))</f>
        <v/>
      </c>
      <c r="AD1081" s="17">
        <f>IF($B1081="","",TEXT($B1081,"MM/AAAA"))</f>
        <v/>
      </c>
      <c r="AE1081" s="18">
        <f>IF(COUNTA($B1081:$R1081)=0,"",IF($X1081="Cancelado",0,ROUND(N($Q1081)+N($S1081)+N($T1081)-N($U1081),2)))</f>
        <v/>
      </c>
      <c r="AF1081" s="9">
        <f>IF($G1081="","",IFERROR(INDEX(LINHAS_DRE_PLANO,MATCH($G1081,SUBCATEGORIAS_PLANO,0)),"Não classificado"))</f>
        <v/>
      </c>
      <c r="AG1081" s="17">
        <f>IF($G1081="","",IFERROR(INDEX(TIPOS_FLUXO_PLANO,MATCH($G1081,SUBCATEGORIAS_PLANO,0)),"Não classificado"))</f>
        <v/>
      </c>
      <c r="AH1081" s="9">
        <f>IF($G1081="","",IFERROR(INDEX(GRUPOS_PLANO,MATCH($G1081,SUBCATEGORIAS_PLANO,0)),"Não classificado"))</f>
        <v/>
      </c>
      <c r="AI1081" s="24">
        <f>IF(OR($C1081="",$X1081="Pago",$X1081="Recebido",$X1081="Cancelado"),"",$C1081-TODAY())</f>
        <v/>
      </c>
      <c r="AJ1081" s="24">
        <f>IF(OR($C1081="",$X1081="Pago",$X1081="Recebido",$X1081="Cancelado"),0,MAX(0,TODAY()-$C1081))</f>
        <v/>
      </c>
      <c r="AK1081" s="24">
        <f>IF($D1081="","",$D1081-$B1081)</f>
        <v/>
      </c>
      <c r="AL1081" s="18">
        <f>IF(OR($D1081="",$B1081=""),"",ROUND(N($R1081)*($D1081-$B1081),2))</f>
        <v/>
      </c>
      <c r="AM1081" s="17">
        <f>IF(AND($E1081="Saída",$W1081&gt;0,$C1081&lt;&gt;""),$C1081+ROW()/1000000,"")</f>
        <v/>
      </c>
      <c r="AN1081" s="17">
        <f>IF(AND($E1081="Entrada",$W1081&gt;0,$C1081&lt;&gt;""),$C1081+ROW()/1000000,"")</f>
        <v/>
      </c>
      <c r="AO1081" s="9">
        <f>IF(COUNTA($B1081:$R1081)=0,"",IF(AND($I1081&lt;&gt;"",COUNTIF(CLIENTES_NOMES,$I1081)+COUNTIF(CLIENTES_FANTASIA,$I1081)+COUNTIF(FORNECEDORES_NOMES,$I1081)+COUNTIF(FORNECEDORES_FANTASIA,$I1081)=0),"⚠ Cliente/Fornecedor não cadastrado",IF(AND($G1081&lt;&gt;"",COUNTIF(SUBCATEGORIAS_PLANO,$G1081)=0),"⚠ Subcategoria fora do plano de contas",IF(OR($Q1081="",N($Q1081)=0),"⚠ Valor previsto não informado",IF(AND(OR($X1081="Pago",$X1081="Recebido"),$D1081=""),"⚠ Status pago/recebido sem data",IF(AND($D1081&lt;&gt;"",N($R1081)=0),"⚠ Data de pagamento sem valor realizado",IF(AND(N($P1081)&gt;1,N($O1081)&gt;N($P1081)),"⚠ Nº da parcela maior que o total",IF(AND($C1081&lt;&gt;"",$B1081&lt;&gt;"",$C1081&lt;$B1081),"⚠ Vencimento anterior à competência","OK"))))))))</f>
        <v/>
      </c>
    </row>
    <row r="1082">
      <c r="A1082" s="14" t="n"/>
      <c r="B1082" s="36" t="n"/>
      <c r="C1082" s="36" t="n"/>
      <c r="D1082" s="36" t="n"/>
      <c r="E1082" s="14" t="n"/>
      <c r="F1082" s="29" t="n"/>
      <c r="G1082" s="29" t="n"/>
      <c r="H1082" s="29" t="n"/>
      <c r="I1082" s="29" t="n"/>
      <c r="J1082" s="29" t="n"/>
      <c r="K1082" s="14" t="n"/>
      <c r="L1082" s="29" t="n"/>
      <c r="M1082" s="14" t="n"/>
      <c r="N1082" s="29" t="n"/>
      <c r="O1082" s="13" t="n"/>
      <c r="P1082" s="13" t="n"/>
      <c r="Q1082" s="35" t="n"/>
      <c r="R1082" s="35" t="n"/>
      <c r="S1082" s="35" t="n"/>
      <c r="T1082" s="35" t="n"/>
      <c r="U1082" s="35" t="n"/>
      <c r="V1082" s="18">
        <f>IF(COUNTA($B1082:$R1082)=0,"",ROUND(N($R1082)+N($S1082)+N($T1082)-N($U1082),2))</f>
        <v/>
      </c>
      <c r="W1082" s="18">
        <f>IF(COUNTA($B1082:$R1082)=0,"",IF(OR($X1082="Pago",$X1082="Recebido",$X1082="Cancelado"),0,ROUND(N($Q1082)+N($S1082)+N($T1082)-N($U1082)-N($R1082),2)))</f>
        <v/>
      </c>
      <c r="X1082" s="14" t="n"/>
      <c r="Y1082" s="17">
        <f>IF(COUNTA($B1082:$R1082)=0,"",IF($X1082="Cancelado","Cancelado",IF(OR($X1082="Pago",$X1082="Recebido"),$X1082,IF(OR($X1082="Parcial",N($R1082)&gt;0),"Parcial",IF($C1082="","Sem vencimento",IF($C1082&lt;TODAY(),"Vencido",IF($C1082=TODAY(),"Vence hoje",IF($C1082&lt;=TODAY()+7,"Vence em 7 dias",IF($C1082&lt;=TODAY()+30,"Vence em 30 dias","Futuro")))))))))</f>
        <v/>
      </c>
      <c r="Z1082" s="24">
        <f>IF($B1082="","",MONTH($B1082))</f>
        <v/>
      </c>
      <c r="AA1082" s="24">
        <f>IF($B1082="","",YEAR($B1082))</f>
        <v/>
      </c>
      <c r="AB1082" s="24">
        <f>IF($B1082="","",ISOWEEKNUM($B1082))</f>
        <v/>
      </c>
      <c r="AC1082" s="17">
        <f>IF($B1082="","",CHOOSE(WEEKDAY($B1082,2),"Segunda","Terça","Quarta","Quinta","Sexta","Sábado","Domingo"))</f>
        <v/>
      </c>
      <c r="AD1082" s="17">
        <f>IF($B1082="","",TEXT($B1082,"MM/AAAA"))</f>
        <v/>
      </c>
      <c r="AE1082" s="18">
        <f>IF(COUNTA($B1082:$R1082)=0,"",IF($X1082="Cancelado",0,ROUND(N($Q1082)+N($S1082)+N($T1082)-N($U1082),2)))</f>
        <v/>
      </c>
      <c r="AF1082" s="9">
        <f>IF($G1082="","",IFERROR(INDEX(LINHAS_DRE_PLANO,MATCH($G1082,SUBCATEGORIAS_PLANO,0)),"Não classificado"))</f>
        <v/>
      </c>
      <c r="AG1082" s="17">
        <f>IF($G1082="","",IFERROR(INDEX(TIPOS_FLUXO_PLANO,MATCH($G1082,SUBCATEGORIAS_PLANO,0)),"Não classificado"))</f>
        <v/>
      </c>
      <c r="AH1082" s="9">
        <f>IF($G1082="","",IFERROR(INDEX(GRUPOS_PLANO,MATCH($G1082,SUBCATEGORIAS_PLANO,0)),"Não classificado"))</f>
        <v/>
      </c>
      <c r="AI1082" s="24">
        <f>IF(OR($C1082="",$X1082="Pago",$X1082="Recebido",$X1082="Cancelado"),"",$C1082-TODAY())</f>
        <v/>
      </c>
      <c r="AJ1082" s="24">
        <f>IF(OR($C1082="",$X1082="Pago",$X1082="Recebido",$X1082="Cancelado"),0,MAX(0,TODAY()-$C1082))</f>
        <v/>
      </c>
      <c r="AK1082" s="24">
        <f>IF($D1082="","",$D1082-$B1082)</f>
        <v/>
      </c>
      <c r="AL1082" s="18">
        <f>IF(OR($D1082="",$B1082=""),"",ROUND(N($R1082)*($D1082-$B1082),2))</f>
        <v/>
      </c>
      <c r="AM1082" s="17">
        <f>IF(AND($E1082="Saída",$W1082&gt;0,$C1082&lt;&gt;""),$C1082+ROW()/1000000,"")</f>
        <v/>
      </c>
      <c r="AN1082" s="17">
        <f>IF(AND($E1082="Entrada",$W1082&gt;0,$C1082&lt;&gt;""),$C1082+ROW()/1000000,"")</f>
        <v/>
      </c>
      <c r="AO1082" s="9">
        <f>IF(COUNTA($B1082:$R1082)=0,"",IF(AND($I1082&lt;&gt;"",COUNTIF(CLIENTES_NOMES,$I1082)+COUNTIF(CLIENTES_FANTASIA,$I1082)+COUNTIF(FORNECEDORES_NOMES,$I1082)+COUNTIF(FORNECEDORES_FANTASIA,$I1082)=0),"⚠ Cliente/Fornecedor não cadastrado",IF(AND($G1082&lt;&gt;"",COUNTIF(SUBCATEGORIAS_PLANO,$G1082)=0),"⚠ Subcategoria fora do plano de contas",IF(OR($Q1082="",N($Q1082)=0),"⚠ Valor previsto não informado",IF(AND(OR($X1082="Pago",$X1082="Recebido"),$D1082=""),"⚠ Status pago/recebido sem data",IF(AND($D1082&lt;&gt;"",N($R1082)=0),"⚠ Data de pagamento sem valor realizado",IF(AND(N($P1082)&gt;1,N($O1082)&gt;N($P1082)),"⚠ Nº da parcela maior que o total",IF(AND($C1082&lt;&gt;"",$B1082&lt;&gt;"",$C1082&lt;$B1082),"⚠ Vencimento anterior à competência","OK"))))))))</f>
        <v/>
      </c>
    </row>
    <row r="1083">
      <c r="A1083" s="14" t="n"/>
      <c r="B1083" s="36" t="n"/>
      <c r="C1083" s="36" t="n"/>
      <c r="D1083" s="36" t="n"/>
      <c r="E1083" s="14" t="n"/>
      <c r="F1083" s="29" t="n"/>
      <c r="G1083" s="29" t="n"/>
      <c r="H1083" s="29" t="n"/>
      <c r="I1083" s="29" t="n"/>
      <c r="J1083" s="29" t="n"/>
      <c r="K1083" s="14" t="n"/>
      <c r="L1083" s="29" t="n"/>
      <c r="M1083" s="14" t="n"/>
      <c r="N1083" s="29" t="n"/>
      <c r="O1083" s="13" t="n"/>
      <c r="P1083" s="13" t="n"/>
      <c r="Q1083" s="35" t="n"/>
      <c r="R1083" s="35" t="n"/>
      <c r="S1083" s="35" t="n"/>
      <c r="T1083" s="35" t="n"/>
      <c r="U1083" s="35" t="n"/>
      <c r="V1083" s="18">
        <f>IF(COUNTA($B1083:$R1083)=0,"",ROUND(N($R1083)+N($S1083)+N($T1083)-N($U1083),2))</f>
        <v/>
      </c>
      <c r="W1083" s="18">
        <f>IF(COUNTA($B1083:$R1083)=0,"",IF(OR($X1083="Pago",$X1083="Recebido",$X1083="Cancelado"),0,ROUND(N($Q1083)+N($S1083)+N($T1083)-N($U1083)-N($R1083),2)))</f>
        <v/>
      </c>
      <c r="X1083" s="14" t="n"/>
      <c r="Y1083" s="17">
        <f>IF(COUNTA($B1083:$R1083)=0,"",IF($X1083="Cancelado","Cancelado",IF(OR($X1083="Pago",$X1083="Recebido"),$X1083,IF(OR($X1083="Parcial",N($R1083)&gt;0),"Parcial",IF($C1083="","Sem vencimento",IF($C1083&lt;TODAY(),"Vencido",IF($C1083=TODAY(),"Vence hoje",IF($C1083&lt;=TODAY()+7,"Vence em 7 dias",IF($C1083&lt;=TODAY()+30,"Vence em 30 dias","Futuro")))))))))</f>
        <v/>
      </c>
      <c r="Z1083" s="24">
        <f>IF($B1083="","",MONTH($B1083))</f>
        <v/>
      </c>
      <c r="AA1083" s="24">
        <f>IF($B1083="","",YEAR($B1083))</f>
        <v/>
      </c>
      <c r="AB1083" s="24">
        <f>IF($B1083="","",ISOWEEKNUM($B1083))</f>
        <v/>
      </c>
      <c r="AC1083" s="17">
        <f>IF($B1083="","",CHOOSE(WEEKDAY($B1083,2),"Segunda","Terça","Quarta","Quinta","Sexta","Sábado","Domingo"))</f>
        <v/>
      </c>
      <c r="AD1083" s="17">
        <f>IF($B1083="","",TEXT($B1083,"MM/AAAA"))</f>
        <v/>
      </c>
      <c r="AE1083" s="18">
        <f>IF(COUNTA($B1083:$R1083)=0,"",IF($X1083="Cancelado",0,ROUND(N($Q1083)+N($S1083)+N($T1083)-N($U1083),2)))</f>
        <v/>
      </c>
      <c r="AF1083" s="9">
        <f>IF($G1083="","",IFERROR(INDEX(LINHAS_DRE_PLANO,MATCH($G1083,SUBCATEGORIAS_PLANO,0)),"Não classificado"))</f>
        <v/>
      </c>
      <c r="AG1083" s="17">
        <f>IF($G1083="","",IFERROR(INDEX(TIPOS_FLUXO_PLANO,MATCH($G1083,SUBCATEGORIAS_PLANO,0)),"Não classificado"))</f>
        <v/>
      </c>
      <c r="AH1083" s="9">
        <f>IF($G1083="","",IFERROR(INDEX(GRUPOS_PLANO,MATCH($G1083,SUBCATEGORIAS_PLANO,0)),"Não classificado"))</f>
        <v/>
      </c>
      <c r="AI1083" s="24">
        <f>IF(OR($C1083="",$X1083="Pago",$X1083="Recebido",$X1083="Cancelado"),"",$C1083-TODAY())</f>
        <v/>
      </c>
      <c r="AJ1083" s="24">
        <f>IF(OR($C1083="",$X1083="Pago",$X1083="Recebido",$X1083="Cancelado"),0,MAX(0,TODAY()-$C1083))</f>
        <v/>
      </c>
      <c r="AK1083" s="24">
        <f>IF($D1083="","",$D1083-$B1083)</f>
        <v/>
      </c>
      <c r="AL1083" s="18">
        <f>IF(OR($D1083="",$B1083=""),"",ROUND(N($R1083)*($D1083-$B1083),2))</f>
        <v/>
      </c>
      <c r="AM1083" s="17">
        <f>IF(AND($E1083="Saída",$W1083&gt;0,$C1083&lt;&gt;""),$C1083+ROW()/1000000,"")</f>
        <v/>
      </c>
      <c r="AN1083" s="17">
        <f>IF(AND($E1083="Entrada",$W1083&gt;0,$C1083&lt;&gt;""),$C1083+ROW()/1000000,"")</f>
        <v/>
      </c>
      <c r="AO1083" s="9">
        <f>IF(COUNTA($B1083:$R1083)=0,"",IF(AND($I1083&lt;&gt;"",COUNTIF(CLIENTES_NOMES,$I1083)+COUNTIF(CLIENTES_FANTASIA,$I1083)+COUNTIF(FORNECEDORES_NOMES,$I1083)+COUNTIF(FORNECEDORES_FANTASIA,$I1083)=0),"⚠ Cliente/Fornecedor não cadastrado",IF(AND($G1083&lt;&gt;"",COUNTIF(SUBCATEGORIAS_PLANO,$G1083)=0),"⚠ Subcategoria fora do plano de contas",IF(OR($Q1083="",N($Q1083)=0),"⚠ Valor previsto não informado",IF(AND(OR($X1083="Pago",$X1083="Recebido"),$D1083=""),"⚠ Status pago/recebido sem data",IF(AND($D1083&lt;&gt;"",N($R1083)=0),"⚠ Data de pagamento sem valor realizado",IF(AND(N($P1083)&gt;1,N($O1083)&gt;N($P1083)),"⚠ Nº da parcela maior que o total",IF(AND($C1083&lt;&gt;"",$B1083&lt;&gt;"",$C1083&lt;$B1083),"⚠ Vencimento anterior à competência","OK"))))))))</f>
        <v/>
      </c>
    </row>
    <row r="1084">
      <c r="A1084" s="14" t="n"/>
      <c r="B1084" s="36" t="n"/>
      <c r="C1084" s="36" t="n"/>
      <c r="D1084" s="36" t="n"/>
      <c r="E1084" s="14" t="n"/>
      <c r="F1084" s="29" t="n"/>
      <c r="G1084" s="29" t="n"/>
      <c r="H1084" s="29" t="n"/>
      <c r="I1084" s="29" t="n"/>
      <c r="J1084" s="29" t="n"/>
      <c r="K1084" s="14" t="n"/>
      <c r="L1084" s="29" t="n"/>
      <c r="M1084" s="14" t="n"/>
      <c r="N1084" s="29" t="n"/>
      <c r="O1084" s="13" t="n"/>
      <c r="P1084" s="13" t="n"/>
      <c r="Q1084" s="35" t="n"/>
      <c r="R1084" s="35" t="n"/>
      <c r="S1084" s="35" t="n"/>
      <c r="T1084" s="35" t="n"/>
      <c r="U1084" s="35" t="n"/>
      <c r="V1084" s="18">
        <f>IF(COUNTA($B1084:$R1084)=0,"",ROUND(N($R1084)+N($S1084)+N($T1084)-N($U1084),2))</f>
        <v/>
      </c>
      <c r="W1084" s="18">
        <f>IF(COUNTA($B1084:$R1084)=0,"",IF(OR($X1084="Pago",$X1084="Recebido",$X1084="Cancelado"),0,ROUND(N($Q1084)+N($S1084)+N($T1084)-N($U1084)-N($R1084),2)))</f>
        <v/>
      </c>
      <c r="X1084" s="14" t="n"/>
      <c r="Y1084" s="17">
        <f>IF(COUNTA($B1084:$R1084)=0,"",IF($X1084="Cancelado","Cancelado",IF(OR($X1084="Pago",$X1084="Recebido"),$X1084,IF(OR($X1084="Parcial",N($R1084)&gt;0),"Parcial",IF($C1084="","Sem vencimento",IF($C1084&lt;TODAY(),"Vencido",IF($C1084=TODAY(),"Vence hoje",IF($C1084&lt;=TODAY()+7,"Vence em 7 dias",IF($C1084&lt;=TODAY()+30,"Vence em 30 dias","Futuro")))))))))</f>
        <v/>
      </c>
      <c r="Z1084" s="24">
        <f>IF($B1084="","",MONTH($B1084))</f>
        <v/>
      </c>
      <c r="AA1084" s="24">
        <f>IF($B1084="","",YEAR($B1084))</f>
        <v/>
      </c>
      <c r="AB1084" s="24">
        <f>IF($B1084="","",ISOWEEKNUM($B1084))</f>
        <v/>
      </c>
      <c r="AC1084" s="17">
        <f>IF($B1084="","",CHOOSE(WEEKDAY($B1084,2),"Segunda","Terça","Quarta","Quinta","Sexta","Sábado","Domingo"))</f>
        <v/>
      </c>
      <c r="AD1084" s="17">
        <f>IF($B1084="","",TEXT($B1084,"MM/AAAA"))</f>
        <v/>
      </c>
      <c r="AE1084" s="18">
        <f>IF(COUNTA($B1084:$R1084)=0,"",IF($X1084="Cancelado",0,ROUND(N($Q1084)+N($S1084)+N($T1084)-N($U1084),2)))</f>
        <v/>
      </c>
      <c r="AF1084" s="9">
        <f>IF($G1084="","",IFERROR(INDEX(LINHAS_DRE_PLANO,MATCH($G1084,SUBCATEGORIAS_PLANO,0)),"Não classificado"))</f>
        <v/>
      </c>
      <c r="AG1084" s="17">
        <f>IF($G1084="","",IFERROR(INDEX(TIPOS_FLUXO_PLANO,MATCH($G1084,SUBCATEGORIAS_PLANO,0)),"Não classificado"))</f>
        <v/>
      </c>
      <c r="AH1084" s="9">
        <f>IF($G1084="","",IFERROR(INDEX(GRUPOS_PLANO,MATCH($G1084,SUBCATEGORIAS_PLANO,0)),"Não classificado"))</f>
        <v/>
      </c>
      <c r="AI1084" s="24">
        <f>IF(OR($C1084="",$X1084="Pago",$X1084="Recebido",$X1084="Cancelado"),"",$C1084-TODAY())</f>
        <v/>
      </c>
      <c r="AJ1084" s="24">
        <f>IF(OR($C1084="",$X1084="Pago",$X1084="Recebido",$X1084="Cancelado"),0,MAX(0,TODAY()-$C1084))</f>
        <v/>
      </c>
      <c r="AK1084" s="24">
        <f>IF($D1084="","",$D1084-$B1084)</f>
        <v/>
      </c>
      <c r="AL1084" s="18">
        <f>IF(OR($D1084="",$B1084=""),"",ROUND(N($R1084)*($D1084-$B1084),2))</f>
        <v/>
      </c>
      <c r="AM1084" s="17">
        <f>IF(AND($E1084="Saída",$W1084&gt;0,$C1084&lt;&gt;""),$C1084+ROW()/1000000,"")</f>
        <v/>
      </c>
      <c r="AN1084" s="17">
        <f>IF(AND($E1084="Entrada",$W1084&gt;0,$C1084&lt;&gt;""),$C1084+ROW()/1000000,"")</f>
        <v/>
      </c>
      <c r="AO1084" s="9">
        <f>IF(COUNTA($B1084:$R1084)=0,"",IF(AND($I1084&lt;&gt;"",COUNTIF(CLIENTES_NOMES,$I1084)+COUNTIF(CLIENTES_FANTASIA,$I1084)+COUNTIF(FORNECEDORES_NOMES,$I1084)+COUNTIF(FORNECEDORES_FANTASIA,$I1084)=0),"⚠ Cliente/Fornecedor não cadastrado",IF(AND($G1084&lt;&gt;"",COUNTIF(SUBCATEGORIAS_PLANO,$G1084)=0),"⚠ Subcategoria fora do plano de contas",IF(OR($Q1084="",N($Q1084)=0),"⚠ Valor previsto não informado",IF(AND(OR($X1084="Pago",$X1084="Recebido"),$D1084=""),"⚠ Status pago/recebido sem data",IF(AND($D1084&lt;&gt;"",N($R1084)=0),"⚠ Data de pagamento sem valor realizado",IF(AND(N($P1084)&gt;1,N($O1084)&gt;N($P1084)),"⚠ Nº da parcela maior que o total",IF(AND($C1084&lt;&gt;"",$B1084&lt;&gt;"",$C1084&lt;$B1084),"⚠ Vencimento anterior à competência","OK"))))))))</f>
        <v/>
      </c>
    </row>
    <row r="1085">
      <c r="A1085" s="14" t="n"/>
      <c r="B1085" s="36" t="n"/>
      <c r="C1085" s="36" t="n"/>
      <c r="D1085" s="36" t="n"/>
      <c r="E1085" s="14" t="n"/>
      <c r="F1085" s="29" t="n"/>
      <c r="G1085" s="29" t="n"/>
      <c r="H1085" s="29" t="n"/>
      <c r="I1085" s="29" t="n"/>
      <c r="J1085" s="29" t="n"/>
      <c r="K1085" s="14" t="n"/>
      <c r="L1085" s="29" t="n"/>
      <c r="M1085" s="14" t="n"/>
      <c r="N1085" s="29" t="n"/>
      <c r="O1085" s="13" t="n"/>
      <c r="P1085" s="13" t="n"/>
      <c r="Q1085" s="35" t="n"/>
      <c r="R1085" s="35" t="n"/>
      <c r="S1085" s="35" t="n"/>
      <c r="T1085" s="35" t="n"/>
      <c r="U1085" s="35" t="n"/>
      <c r="V1085" s="18">
        <f>IF(COUNTA($B1085:$R1085)=0,"",ROUND(N($R1085)+N($S1085)+N($T1085)-N($U1085),2))</f>
        <v/>
      </c>
      <c r="W1085" s="18">
        <f>IF(COUNTA($B1085:$R1085)=0,"",IF(OR($X1085="Pago",$X1085="Recebido",$X1085="Cancelado"),0,ROUND(N($Q1085)+N($S1085)+N($T1085)-N($U1085)-N($R1085),2)))</f>
        <v/>
      </c>
      <c r="X1085" s="14" t="n"/>
      <c r="Y1085" s="17">
        <f>IF(COUNTA($B1085:$R1085)=0,"",IF($X1085="Cancelado","Cancelado",IF(OR($X1085="Pago",$X1085="Recebido"),$X1085,IF(OR($X1085="Parcial",N($R1085)&gt;0),"Parcial",IF($C1085="","Sem vencimento",IF($C1085&lt;TODAY(),"Vencido",IF($C1085=TODAY(),"Vence hoje",IF($C1085&lt;=TODAY()+7,"Vence em 7 dias",IF($C1085&lt;=TODAY()+30,"Vence em 30 dias","Futuro")))))))))</f>
        <v/>
      </c>
      <c r="Z1085" s="24">
        <f>IF($B1085="","",MONTH($B1085))</f>
        <v/>
      </c>
      <c r="AA1085" s="24">
        <f>IF($B1085="","",YEAR($B1085))</f>
        <v/>
      </c>
      <c r="AB1085" s="24">
        <f>IF($B1085="","",ISOWEEKNUM($B1085))</f>
        <v/>
      </c>
      <c r="AC1085" s="17">
        <f>IF($B1085="","",CHOOSE(WEEKDAY($B1085,2),"Segunda","Terça","Quarta","Quinta","Sexta","Sábado","Domingo"))</f>
        <v/>
      </c>
      <c r="AD1085" s="17">
        <f>IF($B1085="","",TEXT($B1085,"MM/AAAA"))</f>
        <v/>
      </c>
      <c r="AE1085" s="18">
        <f>IF(COUNTA($B1085:$R1085)=0,"",IF($X1085="Cancelado",0,ROUND(N($Q1085)+N($S1085)+N($T1085)-N($U1085),2)))</f>
        <v/>
      </c>
      <c r="AF1085" s="9">
        <f>IF($G1085="","",IFERROR(INDEX(LINHAS_DRE_PLANO,MATCH($G1085,SUBCATEGORIAS_PLANO,0)),"Não classificado"))</f>
        <v/>
      </c>
      <c r="AG1085" s="17">
        <f>IF($G1085="","",IFERROR(INDEX(TIPOS_FLUXO_PLANO,MATCH($G1085,SUBCATEGORIAS_PLANO,0)),"Não classificado"))</f>
        <v/>
      </c>
      <c r="AH1085" s="9">
        <f>IF($G1085="","",IFERROR(INDEX(GRUPOS_PLANO,MATCH($G1085,SUBCATEGORIAS_PLANO,0)),"Não classificado"))</f>
        <v/>
      </c>
      <c r="AI1085" s="24">
        <f>IF(OR($C1085="",$X1085="Pago",$X1085="Recebido",$X1085="Cancelado"),"",$C1085-TODAY())</f>
        <v/>
      </c>
      <c r="AJ1085" s="24">
        <f>IF(OR($C1085="",$X1085="Pago",$X1085="Recebido",$X1085="Cancelado"),0,MAX(0,TODAY()-$C1085))</f>
        <v/>
      </c>
      <c r="AK1085" s="24">
        <f>IF($D1085="","",$D1085-$B1085)</f>
        <v/>
      </c>
      <c r="AL1085" s="18">
        <f>IF(OR($D1085="",$B1085=""),"",ROUND(N($R1085)*($D1085-$B1085),2))</f>
        <v/>
      </c>
      <c r="AM1085" s="17">
        <f>IF(AND($E1085="Saída",$W1085&gt;0,$C1085&lt;&gt;""),$C1085+ROW()/1000000,"")</f>
        <v/>
      </c>
      <c r="AN1085" s="17">
        <f>IF(AND($E1085="Entrada",$W1085&gt;0,$C1085&lt;&gt;""),$C1085+ROW()/1000000,"")</f>
        <v/>
      </c>
      <c r="AO1085" s="9">
        <f>IF(COUNTA($B1085:$R1085)=0,"",IF(AND($I1085&lt;&gt;"",COUNTIF(CLIENTES_NOMES,$I1085)+COUNTIF(CLIENTES_FANTASIA,$I1085)+COUNTIF(FORNECEDORES_NOMES,$I1085)+COUNTIF(FORNECEDORES_FANTASIA,$I1085)=0),"⚠ Cliente/Fornecedor não cadastrado",IF(AND($G1085&lt;&gt;"",COUNTIF(SUBCATEGORIAS_PLANO,$G1085)=0),"⚠ Subcategoria fora do plano de contas",IF(OR($Q1085="",N($Q1085)=0),"⚠ Valor previsto não informado",IF(AND(OR($X1085="Pago",$X1085="Recebido"),$D1085=""),"⚠ Status pago/recebido sem data",IF(AND($D1085&lt;&gt;"",N($R1085)=0),"⚠ Data de pagamento sem valor realizado",IF(AND(N($P1085)&gt;1,N($O1085)&gt;N($P1085)),"⚠ Nº da parcela maior que o total",IF(AND($C1085&lt;&gt;"",$B1085&lt;&gt;"",$C1085&lt;$B1085),"⚠ Vencimento anterior à competência","OK"))))))))</f>
        <v/>
      </c>
    </row>
    <row r="1086">
      <c r="A1086" s="14" t="n"/>
      <c r="B1086" s="36" t="n"/>
      <c r="C1086" s="36" t="n"/>
      <c r="D1086" s="36" t="n"/>
      <c r="E1086" s="14" t="n"/>
      <c r="F1086" s="29" t="n"/>
      <c r="G1086" s="29" t="n"/>
      <c r="H1086" s="29" t="n"/>
      <c r="I1086" s="29" t="n"/>
      <c r="J1086" s="29" t="n"/>
      <c r="K1086" s="14" t="n"/>
      <c r="L1086" s="29" t="n"/>
      <c r="M1086" s="14" t="n"/>
      <c r="N1086" s="29" t="n"/>
      <c r="O1086" s="13" t="n"/>
      <c r="P1086" s="13" t="n"/>
      <c r="Q1086" s="35" t="n"/>
      <c r="R1086" s="35" t="n"/>
      <c r="S1086" s="35" t="n"/>
      <c r="T1086" s="35" t="n"/>
      <c r="U1086" s="35" t="n"/>
      <c r="V1086" s="18">
        <f>IF(COUNTA($B1086:$R1086)=0,"",ROUND(N($R1086)+N($S1086)+N($T1086)-N($U1086),2))</f>
        <v/>
      </c>
      <c r="W1086" s="18">
        <f>IF(COUNTA($B1086:$R1086)=0,"",IF(OR($X1086="Pago",$X1086="Recebido",$X1086="Cancelado"),0,ROUND(N($Q1086)+N($S1086)+N($T1086)-N($U1086)-N($R1086),2)))</f>
        <v/>
      </c>
      <c r="X1086" s="14" t="n"/>
      <c r="Y1086" s="17">
        <f>IF(COUNTA($B1086:$R1086)=0,"",IF($X1086="Cancelado","Cancelado",IF(OR($X1086="Pago",$X1086="Recebido"),$X1086,IF(OR($X1086="Parcial",N($R1086)&gt;0),"Parcial",IF($C1086="","Sem vencimento",IF($C1086&lt;TODAY(),"Vencido",IF($C1086=TODAY(),"Vence hoje",IF($C1086&lt;=TODAY()+7,"Vence em 7 dias",IF($C1086&lt;=TODAY()+30,"Vence em 30 dias","Futuro")))))))))</f>
        <v/>
      </c>
      <c r="Z1086" s="24">
        <f>IF($B1086="","",MONTH($B1086))</f>
        <v/>
      </c>
      <c r="AA1086" s="24">
        <f>IF($B1086="","",YEAR($B1086))</f>
        <v/>
      </c>
      <c r="AB1086" s="24">
        <f>IF($B1086="","",ISOWEEKNUM($B1086))</f>
        <v/>
      </c>
      <c r="AC1086" s="17">
        <f>IF($B1086="","",CHOOSE(WEEKDAY($B1086,2),"Segunda","Terça","Quarta","Quinta","Sexta","Sábado","Domingo"))</f>
        <v/>
      </c>
      <c r="AD1086" s="17">
        <f>IF($B1086="","",TEXT($B1086,"MM/AAAA"))</f>
        <v/>
      </c>
      <c r="AE1086" s="18">
        <f>IF(COUNTA($B1086:$R1086)=0,"",IF($X1086="Cancelado",0,ROUND(N($Q1086)+N($S1086)+N($T1086)-N($U1086),2)))</f>
        <v/>
      </c>
      <c r="AF1086" s="9">
        <f>IF($G1086="","",IFERROR(INDEX(LINHAS_DRE_PLANO,MATCH($G1086,SUBCATEGORIAS_PLANO,0)),"Não classificado"))</f>
        <v/>
      </c>
      <c r="AG1086" s="17">
        <f>IF($G1086="","",IFERROR(INDEX(TIPOS_FLUXO_PLANO,MATCH($G1086,SUBCATEGORIAS_PLANO,0)),"Não classificado"))</f>
        <v/>
      </c>
      <c r="AH1086" s="9">
        <f>IF($G1086="","",IFERROR(INDEX(GRUPOS_PLANO,MATCH($G1086,SUBCATEGORIAS_PLANO,0)),"Não classificado"))</f>
        <v/>
      </c>
      <c r="AI1086" s="24">
        <f>IF(OR($C1086="",$X1086="Pago",$X1086="Recebido",$X1086="Cancelado"),"",$C1086-TODAY())</f>
        <v/>
      </c>
      <c r="AJ1086" s="24">
        <f>IF(OR($C1086="",$X1086="Pago",$X1086="Recebido",$X1086="Cancelado"),0,MAX(0,TODAY()-$C1086))</f>
        <v/>
      </c>
      <c r="AK1086" s="24">
        <f>IF($D1086="","",$D1086-$B1086)</f>
        <v/>
      </c>
      <c r="AL1086" s="18">
        <f>IF(OR($D1086="",$B1086=""),"",ROUND(N($R1086)*($D1086-$B1086),2))</f>
        <v/>
      </c>
      <c r="AM1086" s="17">
        <f>IF(AND($E1086="Saída",$W1086&gt;0,$C1086&lt;&gt;""),$C1086+ROW()/1000000,"")</f>
        <v/>
      </c>
      <c r="AN1086" s="17">
        <f>IF(AND($E1086="Entrada",$W1086&gt;0,$C1086&lt;&gt;""),$C1086+ROW()/1000000,"")</f>
        <v/>
      </c>
      <c r="AO1086" s="9">
        <f>IF(COUNTA($B1086:$R1086)=0,"",IF(AND($I1086&lt;&gt;"",COUNTIF(CLIENTES_NOMES,$I1086)+COUNTIF(CLIENTES_FANTASIA,$I1086)+COUNTIF(FORNECEDORES_NOMES,$I1086)+COUNTIF(FORNECEDORES_FANTASIA,$I1086)=0),"⚠ Cliente/Fornecedor não cadastrado",IF(AND($G1086&lt;&gt;"",COUNTIF(SUBCATEGORIAS_PLANO,$G1086)=0),"⚠ Subcategoria fora do plano de contas",IF(OR($Q1086="",N($Q1086)=0),"⚠ Valor previsto não informado",IF(AND(OR($X1086="Pago",$X1086="Recebido"),$D1086=""),"⚠ Status pago/recebido sem data",IF(AND($D1086&lt;&gt;"",N($R1086)=0),"⚠ Data de pagamento sem valor realizado",IF(AND(N($P1086)&gt;1,N($O1086)&gt;N($P1086)),"⚠ Nº da parcela maior que o total",IF(AND($C1086&lt;&gt;"",$B1086&lt;&gt;"",$C1086&lt;$B1086),"⚠ Vencimento anterior à competência","OK"))))))))</f>
        <v/>
      </c>
    </row>
    <row r="1087">
      <c r="A1087" s="14" t="n"/>
      <c r="B1087" s="36" t="n"/>
      <c r="C1087" s="36" t="n"/>
      <c r="D1087" s="36" t="n"/>
      <c r="E1087" s="14" t="n"/>
      <c r="F1087" s="29" t="n"/>
      <c r="G1087" s="29" t="n"/>
      <c r="H1087" s="29" t="n"/>
      <c r="I1087" s="29" t="n"/>
      <c r="J1087" s="29" t="n"/>
      <c r="K1087" s="14" t="n"/>
      <c r="L1087" s="29" t="n"/>
      <c r="M1087" s="14" t="n"/>
      <c r="N1087" s="29" t="n"/>
      <c r="O1087" s="13" t="n"/>
      <c r="P1087" s="13" t="n"/>
      <c r="Q1087" s="35" t="n"/>
      <c r="R1087" s="35" t="n"/>
      <c r="S1087" s="35" t="n"/>
      <c r="T1087" s="35" t="n"/>
      <c r="U1087" s="35" t="n"/>
      <c r="V1087" s="18">
        <f>IF(COUNTA($B1087:$R1087)=0,"",ROUND(N($R1087)+N($S1087)+N($T1087)-N($U1087),2))</f>
        <v/>
      </c>
      <c r="W1087" s="18">
        <f>IF(COUNTA($B1087:$R1087)=0,"",IF(OR($X1087="Pago",$X1087="Recebido",$X1087="Cancelado"),0,ROUND(N($Q1087)+N($S1087)+N($T1087)-N($U1087)-N($R1087),2)))</f>
        <v/>
      </c>
      <c r="X1087" s="14" t="n"/>
      <c r="Y1087" s="17">
        <f>IF(COUNTA($B1087:$R1087)=0,"",IF($X1087="Cancelado","Cancelado",IF(OR($X1087="Pago",$X1087="Recebido"),$X1087,IF(OR($X1087="Parcial",N($R1087)&gt;0),"Parcial",IF($C1087="","Sem vencimento",IF($C1087&lt;TODAY(),"Vencido",IF($C1087=TODAY(),"Vence hoje",IF($C1087&lt;=TODAY()+7,"Vence em 7 dias",IF($C1087&lt;=TODAY()+30,"Vence em 30 dias","Futuro")))))))))</f>
        <v/>
      </c>
      <c r="Z1087" s="24">
        <f>IF($B1087="","",MONTH($B1087))</f>
        <v/>
      </c>
      <c r="AA1087" s="24">
        <f>IF($B1087="","",YEAR($B1087))</f>
        <v/>
      </c>
      <c r="AB1087" s="24">
        <f>IF($B1087="","",ISOWEEKNUM($B1087))</f>
        <v/>
      </c>
      <c r="AC1087" s="17">
        <f>IF($B1087="","",CHOOSE(WEEKDAY($B1087,2),"Segunda","Terça","Quarta","Quinta","Sexta","Sábado","Domingo"))</f>
        <v/>
      </c>
      <c r="AD1087" s="17">
        <f>IF($B1087="","",TEXT($B1087,"MM/AAAA"))</f>
        <v/>
      </c>
      <c r="AE1087" s="18">
        <f>IF(COUNTA($B1087:$R1087)=0,"",IF($X1087="Cancelado",0,ROUND(N($Q1087)+N($S1087)+N($T1087)-N($U1087),2)))</f>
        <v/>
      </c>
      <c r="AF1087" s="9">
        <f>IF($G1087="","",IFERROR(INDEX(LINHAS_DRE_PLANO,MATCH($G1087,SUBCATEGORIAS_PLANO,0)),"Não classificado"))</f>
        <v/>
      </c>
      <c r="AG1087" s="17">
        <f>IF($G1087="","",IFERROR(INDEX(TIPOS_FLUXO_PLANO,MATCH($G1087,SUBCATEGORIAS_PLANO,0)),"Não classificado"))</f>
        <v/>
      </c>
      <c r="AH1087" s="9">
        <f>IF($G1087="","",IFERROR(INDEX(GRUPOS_PLANO,MATCH($G1087,SUBCATEGORIAS_PLANO,0)),"Não classificado"))</f>
        <v/>
      </c>
      <c r="AI1087" s="24">
        <f>IF(OR($C1087="",$X1087="Pago",$X1087="Recebido",$X1087="Cancelado"),"",$C1087-TODAY())</f>
        <v/>
      </c>
      <c r="AJ1087" s="24">
        <f>IF(OR($C1087="",$X1087="Pago",$X1087="Recebido",$X1087="Cancelado"),0,MAX(0,TODAY()-$C1087))</f>
        <v/>
      </c>
      <c r="AK1087" s="24">
        <f>IF($D1087="","",$D1087-$B1087)</f>
        <v/>
      </c>
      <c r="AL1087" s="18">
        <f>IF(OR($D1087="",$B1087=""),"",ROUND(N($R1087)*($D1087-$B1087),2))</f>
        <v/>
      </c>
      <c r="AM1087" s="17">
        <f>IF(AND($E1087="Saída",$W1087&gt;0,$C1087&lt;&gt;""),$C1087+ROW()/1000000,"")</f>
        <v/>
      </c>
      <c r="AN1087" s="17">
        <f>IF(AND($E1087="Entrada",$W1087&gt;0,$C1087&lt;&gt;""),$C1087+ROW()/1000000,"")</f>
        <v/>
      </c>
      <c r="AO1087" s="9">
        <f>IF(COUNTA($B1087:$R1087)=0,"",IF(AND($I1087&lt;&gt;"",COUNTIF(CLIENTES_NOMES,$I1087)+COUNTIF(CLIENTES_FANTASIA,$I1087)+COUNTIF(FORNECEDORES_NOMES,$I1087)+COUNTIF(FORNECEDORES_FANTASIA,$I1087)=0),"⚠ Cliente/Fornecedor não cadastrado",IF(AND($G1087&lt;&gt;"",COUNTIF(SUBCATEGORIAS_PLANO,$G1087)=0),"⚠ Subcategoria fora do plano de contas",IF(OR($Q1087="",N($Q1087)=0),"⚠ Valor previsto não informado",IF(AND(OR($X1087="Pago",$X1087="Recebido"),$D1087=""),"⚠ Status pago/recebido sem data",IF(AND($D1087&lt;&gt;"",N($R1087)=0),"⚠ Data de pagamento sem valor realizado",IF(AND(N($P1087)&gt;1,N($O1087)&gt;N($P1087)),"⚠ Nº da parcela maior que o total",IF(AND($C1087&lt;&gt;"",$B1087&lt;&gt;"",$C1087&lt;$B1087),"⚠ Vencimento anterior à competência","OK"))))))))</f>
        <v/>
      </c>
    </row>
    <row r="1088">
      <c r="A1088" s="14" t="n"/>
      <c r="B1088" s="36" t="n"/>
      <c r="C1088" s="36" t="n"/>
      <c r="D1088" s="36" t="n"/>
      <c r="E1088" s="14" t="n"/>
      <c r="F1088" s="29" t="n"/>
      <c r="G1088" s="29" t="n"/>
      <c r="H1088" s="29" t="n"/>
      <c r="I1088" s="29" t="n"/>
      <c r="J1088" s="29" t="n"/>
      <c r="K1088" s="14" t="n"/>
      <c r="L1088" s="29" t="n"/>
      <c r="M1088" s="14" t="n"/>
      <c r="N1088" s="29" t="n"/>
      <c r="O1088" s="13" t="n"/>
      <c r="P1088" s="13" t="n"/>
      <c r="Q1088" s="35" t="n"/>
      <c r="R1088" s="35" t="n"/>
      <c r="S1088" s="35" t="n"/>
      <c r="T1088" s="35" t="n"/>
      <c r="U1088" s="35" t="n"/>
      <c r="V1088" s="18">
        <f>IF(COUNTA($B1088:$R1088)=0,"",ROUND(N($R1088)+N($S1088)+N($T1088)-N($U1088),2))</f>
        <v/>
      </c>
      <c r="W1088" s="18">
        <f>IF(COUNTA($B1088:$R1088)=0,"",IF(OR($X1088="Pago",$X1088="Recebido",$X1088="Cancelado"),0,ROUND(N($Q1088)+N($S1088)+N($T1088)-N($U1088)-N($R1088),2)))</f>
        <v/>
      </c>
      <c r="X1088" s="14" t="n"/>
      <c r="Y1088" s="17">
        <f>IF(COUNTA($B1088:$R1088)=0,"",IF($X1088="Cancelado","Cancelado",IF(OR($X1088="Pago",$X1088="Recebido"),$X1088,IF(OR($X1088="Parcial",N($R1088)&gt;0),"Parcial",IF($C1088="","Sem vencimento",IF($C1088&lt;TODAY(),"Vencido",IF($C1088=TODAY(),"Vence hoje",IF($C1088&lt;=TODAY()+7,"Vence em 7 dias",IF($C1088&lt;=TODAY()+30,"Vence em 30 dias","Futuro")))))))))</f>
        <v/>
      </c>
      <c r="Z1088" s="24">
        <f>IF($B1088="","",MONTH($B1088))</f>
        <v/>
      </c>
      <c r="AA1088" s="24">
        <f>IF($B1088="","",YEAR($B1088))</f>
        <v/>
      </c>
      <c r="AB1088" s="24">
        <f>IF($B1088="","",ISOWEEKNUM($B1088))</f>
        <v/>
      </c>
      <c r="AC1088" s="17">
        <f>IF($B1088="","",CHOOSE(WEEKDAY($B1088,2),"Segunda","Terça","Quarta","Quinta","Sexta","Sábado","Domingo"))</f>
        <v/>
      </c>
      <c r="AD1088" s="17">
        <f>IF($B1088="","",TEXT($B1088,"MM/AAAA"))</f>
        <v/>
      </c>
      <c r="AE1088" s="18">
        <f>IF(COUNTA($B1088:$R1088)=0,"",IF($X1088="Cancelado",0,ROUND(N($Q1088)+N($S1088)+N($T1088)-N($U1088),2)))</f>
        <v/>
      </c>
      <c r="AF1088" s="9">
        <f>IF($G1088="","",IFERROR(INDEX(LINHAS_DRE_PLANO,MATCH($G1088,SUBCATEGORIAS_PLANO,0)),"Não classificado"))</f>
        <v/>
      </c>
      <c r="AG1088" s="17">
        <f>IF($G1088="","",IFERROR(INDEX(TIPOS_FLUXO_PLANO,MATCH($G1088,SUBCATEGORIAS_PLANO,0)),"Não classificado"))</f>
        <v/>
      </c>
      <c r="AH1088" s="9">
        <f>IF($G1088="","",IFERROR(INDEX(GRUPOS_PLANO,MATCH($G1088,SUBCATEGORIAS_PLANO,0)),"Não classificado"))</f>
        <v/>
      </c>
      <c r="AI1088" s="24">
        <f>IF(OR($C1088="",$X1088="Pago",$X1088="Recebido",$X1088="Cancelado"),"",$C1088-TODAY())</f>
        <v/>
      </c>
      <c r="AJ1088" s="24">
        <f>IF(OR($C1088="",$X1088="Pago",$X1088="Recebido",$X1088="Cancelado"),0,MAX(0,TODAY()-$C1088))</f>
        <v/>
      </c>
      <c r="AK1088" s="24">
        <f>IF($D1088="","",$D1088-$B1088)</f>
        <v/>
      </c>
      <c r="AL1088" s="18">
        <f>IF(OR($D1088="",$B1088=""),"",ROUND(N($R1088)*($D1088-$B1088),2))</f>
        <v/>
      </c>
      <c r="AM1088" s="17">
        <f>IF(AND($E1088="Saída",$W1088&gt;0,$C1088&lt;&gt;""),$C1088+ROW()/1000000,"")</f>
        <v/>
      </c>
      <c r="AN1088" s="17">
        <f>IF(AND($E1088="Entrada",$W1088&gt;0,$C1088&lt;&gt;""),$C1088+ROW()/1000000,"")</f>
        <v/>
      </c>
      <c r="AO1088" s="9">
        <f>IF(COUNTA($B1088:$R1088)=0,"",IF(AND($I1088&lt;&gt;"",COUNTIF(CLIENTES_NOMES,$I1088)+COUNTIF(CLIENTES_FANTASIA,$I1088)+COUNTIF(FORNECEDORES_NOMES,$I1088)+COUNTIF(FORNECEDORES_FANTASIA,$I1088)=0),"⚠ Cliente/Fornecedor não cadastrado",IF(AND($G1088&lt;&gt;"",COUNTIF(SUBCATEGORIAS_PLANO,$G1088)=0),"⚠ Subcategoria fora do plano de contas",IF(OR($Q1088="",N($Q1088)=0),"⚠ Valor previsto não informado",IF(AND(OR($X1088="Pago",$X1088="Recebido"),$D1088=""),"⚠ Status pago/recebido sem data",IF(AND($D1088&lt;&gt;"",N($R1088)=0),"⚠ Data de pagamento sem valor realizado",IF(AND(N($P1088)&gt;1,N($O1088)&gt;N($P1088)),"⚠ Nº da parcela maior que o total",IF(AND($C1088&lt;&gt;"",$B1088&lt;&gt;"",$C1088&lt;$B1088),"⚠ Vencimento anterior à competência","OK"))))))))</f>
        <v/>
      </c>
    </row>
    <row r="1089">
      <c r="A1089" s="14" t="n"/>
      <c r="B1089" s="36" t="n"/>
      <c r="C1089" s="36" t="n"/>
      <c r="D1089" s="36" t="n"/>
      <c r="E1089" s="14" t="n"/>
      <c r="F1089" s="29" t="n"/>
      <c r="G1089" s="29" t="n"/>
      <c r="H1089" s="29" t="n"/>
      <c r="I1089" s="29" t="n"/>
      <c r="J1089" s="29" t="n"/>
      <c r="K1089" s="14" t="n"/>
      <c r="L1089" s="29" t="n"/>
      <c r="M1089" s="14" t="n"/>
      <c r="N1089" s="29" t="n"/>
      <c r="O1089" s="13" t="n"/>
      <c r="P1089" s="13" t="n"/>
      <c r="Q1089" s="35" t="n"/>
      <c r="R1089" s="35" t="n"/>
      <c r="S1089" s="35" t="n"/>
      <c r="T1089" s="35" t="n"/>
      <c r="U1089" s="35" t="n"/>
      <c r="V1089" s="18">
        <f>IF(COUNTA($B1089:$R1089)=0,"",ROUND(N($R1089)+N($S1089)+N($T1089)-N($U1089),2))</f>
        <v/>
      </c>
      <c r="W1089" s="18">
        <f>IF(COUNTA($B1089:$R1089)=0,"",IF(OR($X1089="Pago",$X1089="Recebido",$X1089="Cancelado"),0,ROUND(N($Q1089)+N($S1089)+N($T1089)-N($U1089)-N($R1089),2)))</f>
        <v/>
      </c>
      <c r="X1089" s="14" t="n"/>
      <c r="Y1089" s="17">
        <f>IF(COUNTA($B1089:$R1089)=0,"",IF($X1089="Cancelado","Cancelado",IF(OR($X1089="Pago",$X1089="Recebido"),$X1089,IF(OR($X1089="Parcial",N($R1089)&gt;0),"Parcial",IF($C1089="","Sem vencimento",IF($C1089&lt;TODAY(),"Vencido",IF($C1089=TODAY(),"Vence hoje",IF($C1089&lt;=TODAY()+7,"Vence em 7 dias",IF($C1089&lt;=TODAY()+30,"Vence em 30 dias","Futuro")))))))))</f>
        <v/>
      </c>
      <c r="Z1089" s="24">
        <f>IF($B1089="","",MONTH($B1089))</f>
        <v/>
      </c>
      <c r="AA1089" s="24">
        <f>IF($B1089="","",YEAR($B1089))</f>
        <v/>
      </c>
      <c r="AB1089" s="24">
        <f>IF($B1089="","",ISOWEEKNUM($B1089))</f>
        <v/>
      </c>
      <c r="AC1089" s="17">
        <f>IF($B1089="","",CHOOSE(WEEKDAY($B1089,2),"Segunda","Terça","Quarta","Quinta","Sexta","Sábado","Domingo"))</f>
        <v/>
      </c>
      <c r="AD1089" s="17">
        <f>IF($B1089="","",TEXT($B1089,"MM/AAAA"))</f>
        <v/>
      </c>
      <c r="AE1089" s="18">
        <f>IF(COUNTA($B1089:$R1089)=0,"",IF($X1089="Cancelado",0,ROUND(N($Q1089)+N($S1089)+N($T1089)-N($U1089),2)))</f>
        <v/>
      </c>
      <c r="AF1089" s="9">
        <f>IF($G1089="","",IFERROR(INDEX(LINHAS_DRE_PLANO,MATCH($G1089,SUBCATEGORIAS_PLANO,0)),"Não classificado"))</f>
        <v/>
      </c>
      <c r="AG1089" s="17">
        <f>IF($G1089="","",IFERROR(INDEX(TIPOS_FLUXO_PLANO,MATCH($G1089,SUBCATEGORIAS_PLANO,0)),"Não classificado"))</f>
        <v/>
      </c>
      <c r="AH1089" s="9">
        <f>IF($G1089="","",IFERROR(INDEX(GRUPOS_PLANO,MATCH($G1089,SUBCATEGORIAS_PLANO,0)),"Não classificado"))</f>
        <v/>
      </c>
      <c r="AI1089" s="24">
        <f>IF(OR($C1089="",$X1089="Pago",$X1089="Recebido",$X1089="Cancelado"),"",$C1089-TODAY())</f>
        <v/>
      </c>
      <c r="AJ1089" s="24">
        <f>IF(OR($C1089="",$X1089="Pago",$X1089="Recebido",$X1089="Cancelado"),0,MAX(0,TODAY()-$C1089))</f>
        <v/>
      </c>
      <c r="AK1089" s="24">
        <f>IF($D1089="","",$D1089-$B1089)</f>
        <v/>
      </c>
      <c r="AL1089" s="18">
        <f>IF(OR($D1089="",$B1089=""),"",ROUND(N($R1089)*($D1089-$B1089),2))</f>
        <v/>
      </c>
      <c r="AM1089" s="17">
        <f>IF(AND($E1089="Saída",$W1089&gt;0,$C1089&lt;&gt;""),$C1089+ROW()/1000000,"")</f>
        <v/>
      </c>
      <c r="AN1089" s="17">
        <f>IF(AND($E1089="Entrada",$W1089&gt;0,$C1089&lt;&gt;""),$C1089+ROW()/1000000,"")</f>
        <v/>
      </c>
      <c r="AO1089" s="9">
        <f>IF(COUNTA($B1089:$R1089)=0,"",IF(AND($I1089&lt;&gt;"",COUNTIF(CLIENTES_NOMES,$I1089)+COUNTIF(CLIENTES_FANTASIA,$I1089)+COUNTIF(FORNECEDORES_NOMES,$I1089)+COUNTIF(FORNECEDORES_FANTASIA,$I1089)=0),"⚠ Cliente/Fornecedor não cadastrado",IF(AND($G1089&lt;&gt;"",COUNTIF(SUBCATEGORIAS_PLANO,$G1089)=0),"⚠ Subcategoria fora do plano de contas",IF(OR($Q1089="",N($Q1089)=0),"⚠ Valor previsto não informado",IF(AND(OR($X1089="Pago",$X1089="Recebido"),$D1089=""),"⚠ Status pago/recebido sem data",IF(AND($D1089&lt;&gt;"",N($R1089)=0),"⚠ Data de pagamento sem valor realizado",IF(AND(N($P1089)&gt;1,N($O1089)&gt;N($P1089)),"⚠ Nº da parcela maior que o total",IF(AND($C1089&lt;&gt;"",$B1089&lt;&gt;"",$C1089&lt;$B1089),"⚠ Vencimento anterior à competência","OK"))))))))</f>
        <v/>
      </c>
    </row>
    <row r="1090">
      <c r="A1090" s="14" t="n"/>
      <c r="B1090" s="36" t="n"/>
      <c r="C1090" s="36" t="n"/>
      <c r="D1090" s="36" t="n"/>
      <c r="E1090" s="14" t="n"/>
      <c r="F1090" s="29" t="n"/>
      <c r="G1090" s="29" t="n"/>
      <c r="H1090" s="29" t="n"/>
      <c r="I1090" s="29" t="n"/>
      <c r="J1090" s="29" t="n"/>
      <c r="K1090" s="14" t="n"/>
      <c r="L1090" s="29" t="n"/>
      <c r="M1090" s="14" t="n"/>
      <c r="N1090" s="29" t="n"/>
      <c r="O1090" s="13" t="n"/>
      <c r="P1090" s="13" t="n"/>
      <c r="Q1090" s="35" t="n"/>
      <c r="R1090" s="35" t="n"/>
      <c r="S1090" s="35" t="n"/>
      <c r="T1090" s="35" t="n"/>
      <c r="U1090" s="35" t="n"/>
      <c r="V1090" s="18">
        <f>IF(COUNTA($B1090:$R1090)=0,"",ROUND(N($R1090)+N($S1090)+N($T1090)-N($U1090),2))</f>
        <v/>
      </c>
      <c r="W1090" s="18">
        <f>IF(COUNTA($B1090:$R1090)=0,"",IF(OR($X1090="Pago",$X1090="Recebido",$X1090="Cancelado"),0,ROUND(N($Q1090)+N($S1090)+N($T1090)-N($U1090)-N($R1090),2)))</f>
        <v/>
      </c>
      <c r="X1090" s="14" t="n"/>
      <c r="Y1090" s="17">
        <f>IF(COUNTA($B1090:$R1090)=0,"",IF($X1090="Cancelado","Cancelado",IF(OR($X1090="Pago",$X1090="Recebido"),$X1090,IF(OR($X1090="Parcial",N($R1090)&gt;0),"Parcial",IF($C1090="","Sem vencimento",IF($C1090&lt;TODAY(),"Vencido",IF($C1090=TODAY(),"Vence hoje",IF($C1090&lt;=TODAY()+7,"Vence em 7 dias",IF($C1090&lt;=TODAY()+30,"Vence em 30 dias","Futuro")))))))))</f>
        <v/>
      </c>
      <c r="Z1090" s="24">
        <f>IF($B1090="","",MONTH($B1090))</f>
        <v/>
      </c>
      <c r="AA1090" s="24">
        <f>IF($B1090="","",YEAR($B1090))</f>
        <v/>
      </c>
      <c r="AB1090" s="24">
        <f>IF($B1090="","",ISOWEEKNUM($B1090))</f>
        <v/>
      </c>
      <c r="AC1090" s="17">
        <f>IF($B1090="","",CHOOSE(WEEKDAY($B1090,2),"Segunda","Terça","Quarta","Quinta","Sexta","Sábado","Domingo"))</f>
        <v/>
      </c>
      <c r="AD1090" s="17">
        <f>IF($B1090="","",TEXT($B1090,"MM/AAAA"))</f>
        <v/>
      </c>
      <c r="AE1090" s="18">
        <f>IF(COUNTA($B1090:$R1090)=0,"",IF($X1090="Cancelado",0,ROUND(N($Q1090)+N($S1090)+N($T1090)-N($U1090),2)))</f>
        <v/>
      </c>
      <c r="AF1090" s="9">
        <f>IF($G1090="","",IFERROR(INDEX(LINHAS_DRE_PLANO,MATCH($G1090,SUBCATEGORIAS_PLANO,0)),"Não classificado"))</f>
        <v/>
      </c>
      <c r="AG1090" s="17">
        <f>IF($G1090="","",IFERROR(INDEX(TIPOS_FLUXO_PLANO,MATCH($G1090,SUBCATEGORIAS_PLANO,0)),"Não classificado"))</f>
        <v/>
      </c>
      <c r="AH1090" s="9">
        <f>IF($G1090="","",IFERROR(INDEX(GRUPOS_PLANO,MATCH($G1090,SUBCATEGORIAS_PLANO,0)),"Não classificado"))</f>
        <v/>
      </c>
      <c r="AI1090" s="24">
        <f>IF(OR($C1090="",$X1090="Pago",$X1090="Recebido",$X1090="Cancelado"),"",$C1090-TODAY())</f>
        <v/>
      </c>
      <c r="AJ1090" s="24">
        <f>IF(OR($C1090="",$X1090="Pago",$X1090="Recebido",$X1090="Cancelado"),0,MAX(0,TODAY()-$C1090))</f>
        <v/>
      </c>
      <c r="AK1090" s="24">
        <f>IF($D1090="","",$D1090-$B1090)</f>
        <v/>
      </c>
      <c r="AL1090" s="18">
        <f>IF(OR($D1090="",$B1090=""),"",ROUND(N($R1090)*($D1090-$B1090),2))</f>
        <v/>
      </c>
      <c r="AM1090" s="17">
        <f>IF(AND($E1090="Saída",$W1090&gt;0,$C1090&lt;&gt;""),$C1090+ROW()/1000000,"")</f>
        <v/>
      </c>
      <c r="AN1090" s="17">
        <f>IF(AND($E1090="Entrada",$W1090&gt;0,$C1090&lt;&gt;""),$C1090+ROW()/1000000,"")</f>
        <v/>
      </c>
      <c r="AO1090" s="9">
        <f>IF(COUNTA($B1090:$R1090)=0,"",IF(AND($I1090&lt;&gt;"",COUNTIF(CLIENTES_NOMES,$I1090)+COUNTIF(CLIENTES_FANTASIA,$I1090)+COUNTIF(FORNECEDORES_NOMES,$I1090)+COUNTIF(FORNECEDORES_FANTASIA,$I1090)=0),"⚠ Cliente/Fornecedor não cadastrado",IF(AND($G1090&lt;&gt;"",COUNTIF(SUBCATEGORIAS_PLANO,$G1090)=0),"⚠ Subcategoria fora do plano de contas",IF(OR($Q1090="",N($Q1090)=0),"⚠ Valor previsto não informado",IF(AND(OR($X1090="Pago",$X1090="Recebido"),$D1090=""),"⚠ Status pago/recebido sem data",IF(AND($D1090&lt;&gt;"",N($R1090)=0),"⚠ Data de pagamento sem valor realizado",IF(AND(N($P1090)&gt;1,N($O1090)&gt;N($P1090)),"⚠ Nº da parcela maior que o total",IF(AND($C1090&lt;&gt;"",$B1090&lt;&gt;"",$C1090&lt;$B1090),"⚠ Vencimento anterior à competência","OK"))))))))</f>
        <v/>
      </c>
    </row>
    <row r="1091">
      <c r="A1091" s="14" t="n"/>
      <c r="B1091" s="36" t="n"/>
      <c r="C1091" s="36" t="n"/>
      <c r="D1091" s="36" t="n"/>
      <c r="E1091" s="14" t="n"/>
      <c r="F1091" s="29" t="n"/>
      <c r="G1091" s="29" t="n"/>
      <c r="H1091" s="29" t="n"/>
      <c r="I1091" s="29" t="n"/>
      <c r="J1091" s="29" t="n"/>
      <c r="K1091" s="14" t="n"/>
      <c r="L1091" s="29" t="n"/>
      <c r="M1091" s="14" t="n"/>
      <c r="N1091" s="29" t="n"/>
      <c r="O1091" s="13" t="n"/>
      <c r="P1091" s="13" t="n"/>
      <c r="Q1091" s="35" t="n"/>
      <c r="R1091" s="35" t="n"/>
      <c r="S1091" s="35" t="n"/>
      <c r="T1091" s="35" t="n"/>
      <c r="U1091" s="35" t="n"/>
      <c r="V1091" s="18">
        <f>IF(COUNTA($B1091:$R1091)=0,"",ROUND(N($R1091)+N($S1091)+N($T1091)-N($U1091),2))</f>
        <v/>
      </c>
      <c r="W1091" s="18">
        <f>IF(COUNTA($B1091:$R1091)=0,"",IF(OR($X1091="Pago",$X1091="Recebido",$X1091="Cancelado"),0,ROUND(N($Q1091)+N($S1091)+N($T1091)-N($U1091)-N($R1091),2)))</f>
        <v/>
      </c>
      <c r="X1091" s="14" t="n"/>
      <c r="Y1091" s="17">
        <f>IF(COUNTA($B1091:$R1091)=0,"",IF($X1091="Cancelado","Cancelado",IF(OR($X1091="Pago",$X1091="Recebido"),$X1091,IF(OR($X1091="Parcial",N($R1091)&gt;0),"Parcial",IF($C1091="","Sem vencimento",IF($C1091&lt;TODAY(),"Vencido",IF($C1091=TODAY(),"Vence hoje",IF($C1091&lt;=TODAY()+7,"Vence em 7 dias",IF($C1091&lt;=TODAY()+30,"Vence em 30 dias","Futuro")))))))))</f>
        <v/>
      </c>
      <c r="Z1091" s="24">
        <f>IF($B1091="","",MONTH($B1091))</f>
        <v/>
      </c>
      <c r="AA1091" s="24">
        <f>IF($B1091="","",YEAR($B1091))</f>
        <v/>
      </c>
      <c r="AB1091" s="24">
        <f>IF($B1091="","",ISOWEEKNUM($B1091))</f>
        <v/>
      </c>
      <c r="AC1091" s="17">
        <f>IF($B1091="","",CHOOSE(WEEKDAY($B1091,2),"Segunda","Terça","Quarta","Quinta","Sexta","Sábado","Domingo"))</f>
        <v/>
      </c>
      <c r="AD1091" s="17">
        <f>IF($B1091="","",TEXT($B1091,"MM/AAAA"))</f>
        <v/>
      </c>
      <c r="AE1091" s="18">
        <f>IF(COUNTA($B1091:$R1091)=0,"",IF($X1091="Cancelado",0,ROUND(N($Q1091)+N($S1091)+N($T1091)-N($U1091),2)))</f>
        <v/>
      </c>
      <c r="AF1091" s="9">
        <f>IF($G1091="","",IFERROR(INDEX(LINHAS_DRE_PLANO,MATCH($G1091,SUBCATEGORIAS_PLANO,0)),"Não classificado"))</f>
        <v/>
      </c>
      <c r="AG1091" s="17">
        <f>IF($G1091="","",IFERROR(INDEX(TIPOS_FLUXO_PLANO,MATCH($G1091,SUBCATEGORIAS_PLANO,0)),"Não classificado"))</f>
        <v/>
      </c>
      <c r="AH1091" s="9">
        <f>IF($G1091="","",IFERROR(INDEX(GRUPOS_PLANO,MATCH($G1091,SUBCATEGORIAS_PLANO,0)),"Não classificado"))</f>
        <v/>
      </c>
      <c r="AI1091" s="24">
        <f>IF(OR($C1091="",$X1091="Pago",$X1091="Recebido",$X1091="Cancelado"),"",$C1091-TODAY())</f>
        <v/>
      </c>
      <c r="AJ1091" s="24">
        <f>IF(OR($C1091="",$X1091="Pago",$X1091="Recebido",$X1091="Cancelado"),0,MAX(0,TODAY()-$C1091))</f>
        <v/>
      </c>
      <c r="AK1091" s="24">
        <f>IF($D1091="","",$D1091-$B1091)</f>
        <v/>
      </c>
      <c r="AL1091" s="18">
        <f>IF(OR($D1091="",$B1091=""),"",ROUND(N($R1091)*($D1091-$B1091),2))</f>
        <v/>
      </c>
      <c r="AM1091" s="17">
        <f>IF(AND($E1091="Saída",$W1091&gt;0,$C1091&lt;&gt;""),$C1091+ROW()/1000000,"")</f>
        <v/>
      </c>
      <c r="AN1091" s="17">
        <f>IF(AND($E1091="Entrada",$W1091&gt;0,$C1091&lt;&gt;""),$C1091+ROW()/1000000,"")</f>
        <v/>
      </c>
      <c r="AO1091" s="9">
        <f>IF(COUNTA($B1091:$R1091)=0,"",IF(AND($I1091&lt;&gt;"",COUNTIF(CLIENTES_NOMES,$I1091)+COUNTIF(CLIENTES_FANTASIA,$I1091)+COUNTIF(FORNECEDORES_NOMES,$I1091)+COUNTIF(FORNECEDORES_FANTASIA,$I1091)=0),"⚠ Cliente/Fornecedor não cadastrado",IF(AND($G1091&lt;&gt;"",COUNTIF(SUBCATEGORIAS_PLANO,$G1091)=0),"⚠ Subcategoria fora do plano de contas",IF(OR($Q1091="",N($Q1091)=0),"⚠ Valor previsto não informado",IF(AND(OR($X1091="Pago",$X1091="Recebido"),$D1091=""),"⚠ Status pago/recebido sem data",IF(AND($D1091&lt;&gt;"",N($R1091)=0),"⚠ Data de pagamento sem valor realizado",IF(AND(N($P1091)&gt;1,N($O1091)&gt;N($P1091)),"⚠ Nº da parcela maior que o total",IF(AND($C1091&lt;&gt;"",$B1091&lt;&gt;"",$C1091&lt;$B1091),"⚠ Vencimento anterior à competência","OK"))))))))</f>
        <v/>
      </c>
    </row>
    <row r="1092">
      <c r="A1092" s="14" t="n"/>
      <c r="B1092" s="36" t="n"/>
      <c r="C1092" s="36" t="n"/>
      <c r="D1092" s="36" t="n"/>
      <c r="E1092" s="14" t="n"/>
      <c r="F1092" s="29" t="n"/>
      <c r="G1092" s="29" t="n"/>
      <c r="H1092" s="29" t="n"/>
      <c r="I1092" s="29" t="n"/>
      <c r="J1092" s="29" t="n"/>
      <c r="K1092" s="14" t="n"/>
      <c r="L1092" s="29" t="n"/>
      <c r="M1092" s="14" t="n"/>
      <c r="N1092" s="29" t="n"/>
      <c r="O1092" s="13" t="n"/>
      <c r="P1092" s="13" t="n"/>
      <c r="Q1092" s="35" t="n"/>
      <c r="R1092" s="35" t="n"/>
      <c r="S1092" s="35" t="n"/>
      <c r="T1092" s="35" t="n"/>
      <c r="U1092" s="35" t="n"/>
      <c r="V1092" s="18">
        <f>IF(COUNTA($B1092:$R1092)=0,"",ROUND(N($R1092)+N($S1092)+N($T1092)-N($U1092),2))</f>
        <v/>
      </c>
      <c r="W1092" s="18">
        <f>IF(COUNTA($B1092:$R1092)=0,"",IF(OR($X1092="Pago",$X1092="Recebido",$X1092="Cancelado"),0,ROUND(N($Q1092)+N($S1092)+N($T1092)-N($U1092)-N($R1092),2)))</f>
        <v/>
      </c>
      <c r="X1092" s="14" t="n"/>
      <c r="Y1092" s="17">
        <f>IF(COUNTA($B1092:$R1092)=0,"",IF($X1092="Cancelado","Cancelado",IF(OR($X1092="Pago",$X1092="Recebido"),$X1092,IF(OR($X1092="Parcial",N($R1092)&gt;0),"Parcial",IF($C1092="","Sem vencimento",IF($C1092&lt;TODAY(),"Vencido",IF($C1092=TODAY(),"Vence hoje",IF($C1092&lt;=TODAY()+7,"Vence em 7 dias",IF($C1092&lt;=TODAY()+30,"Vence em 30 dias","Futuro")))))))))</f>
        <v/>
      </c>
      <c r="Z1092" s="24">
        <f>IF($B1092="","",MONTH($B1092))</f>
        <v/>
      </c>
      <c r="AA1092" s="24">
        <f>IF($B1092="","",YEAR($B1092))</f>
        <v/>
      </c>
      <c r="AB1092" s="24">
        <f>IF($B1092="","",ISOWEEKNUM($B1092))</f>
        <v/>
      </c>
      <c r="AC1092" s="17">
        <f>IF($B1092="","",CHOOSE(WEEKDAY($B1092,2),"Segunda","Terça","Quarta","Quinta","Sexta","Sábado","Domingo"))</f>
        <v/>
      </c>
      <c r="AD1092" s="17">
        <f>IF($B1092="","",TEXT($B1092,"MM/AAAA"))</f>
        <v/>
      </c>
      <c r="AE1092" s="18">
        <f>IF(COUNTA($B1092:$R1092)=0,"",IF($X1092="Cancelado",0,ROUND(N($Q1092)+N($S1092)+N($T1092)-N($U1092),2)))</f>
        <v/>
      </c>
      <c r="AF1092" s="9">
        <f>IF($G1092="","",IFERROR(INDEX(LINHAS_DRE_PLANO,MATCH($G1092,SUBCATEGORIAS_PLANO,0)),"Não classificado"))</f>
        <v/>
      </c>
      <c r="AG1092" s="17">
        <f>IF($G1092="","",IFERROR(INDEX(TIPOS_FLUXO_PLANO,MATCH($G1092,SUBCATEGORIAS_PLANO,0)),"Não classificado"))</f>
        <v/>
      </c>
      <c r="AH1092" s="9">
        <f>IF($G1092="","",IFERROR(INDEX(GRUPOS_PLANO,MATCH($G1092,SUBCATEGORIAS_PLANO,0)),"Não classificado"))</f>
        <v/>
      </c>
      <c r="AI1092" s="24">
        <f>IF(OR($C1092="",$X1092="Pago",$X1092="Recebido",$X1092="Cancelado"),"",$C1092-TODAY())</f>
        <v/>
      </c>
      <c r="AJ1092" s="24">
        <f>IF(OR($C1092="",$X1092="Pago",$X1092="Recebido",$X1092="Cancelado"),0,MAX(0,TODAY()-$C1092))</f>
        <v/>
      </c>
      <c r="AK1092" s="24">
        <f>IF($D1092="","",$D1092-$B1092)</f>
        <v/>
      </c>
      <c r="AL1092" s="18">
        <f>IF(OR($D1092="",$B1092=""),"",ROUND(N($R1092)*($D1092-$B1092),2))</f>
        <v/>
      </c>
      <c r="AM1092" s="17">
        <f>IF(AND($E1092="Saída",$W1092&gt;0,$C1092&lt;&gt;""),$C1092+ROW()/1000000,"")</f>
        <v/>
      </c>
      <c r="AN1092" s="17">
        <f>IF(AND($E1092="Entrada",$W1092&gt;0,$C1092&lt;&gt;""),$C1092+ROW()/1000000,"")</f>
        <v/>
      </c>
      <c r="AO1092" s="9">
        <f>IF(COUNTA($B1092:$R1092)=0,"",IF(AND($I1092&lt;&gt;"",COUNTIF(CLIENTES_NOMES,$I1092)+COUNTIF(CLIENTES_FANTASIA,$I1092)+COUNTIF(FORNECEDORES_NOMES,$I1092)+COUNTIF(FORNECEDORES_FANTASIA,$I1092)=0),"⚠ Cliente/Fornecedor não cadastrado",IF(AND($G1092&lt;&gt;"",COUNTIF(SUBCATEGORIAS_PLANO,$G1092)=0),"⚠ Subcategoria fora do plano de contas",IF(OR($Q1092="",N($Q1092)=0),"⚠ Valor previsto não informado",IF(AND(OR($X1092="Pago",$X1092="Recebido"),$D1092=""),"⚠ Status pago/recebido sem data",IF(AND($D1092&lt;&gt;"",N($R1092)=0),"⚠ Data de pagamento sem valor realizado",IF(AND(N($P1092)&gt;1,N($O1092)&gt;N($P1092)),"⚠ Nº da parcela maior que o total",IF(AND($C1092&lt;&gt;"",$B1092&lt;&gt;"",$C1092&lt;$B1092),"⚠ Vencimento anterior à competência","OK"))))))))</f>
        <v/>
      </c>
    </row>
    <row r="1093">
      <c r="A1093" s="14" t="n"/>
      <c r="B1093" s="36" t="n"/>
      <c r="C1093" s="36" t="n"/>
      <c r="D1093" s="36" t="n"/>
      <c r="E1093" s="14" t="n"/>
      <c r="F1093" s="29" t="n"/>
      <c r="G1093" s="29" t="n"/>
      <c r="H1093" s="29" t="n"/>
      <c r="I1093" s="29" t="n"/>
      <c r="J1093" s="29" t="n"/>
      <c r="K1093" s="14" t="n"/>
      <c r="L1093" s="29" t="n"/>
      <c r="M1093" s="14" t="n"/>
      <c r="N1093" s="29" t="n"/>
      <c r="O1093" s="13" t="n"/>
      <c r="P1093" s="13" t="n"/>
      <c r="Q1093" s="35" t="n"/>
      <c r="R1093" s="35" t="n"/>
      <c r="S1093" s="35" t="n"/>
      <c r="T1093" s="35" t="n"/>
      <c r="U1093" s="35" t="n"/>
      <c r="V1093" s="18">
        <f>IF(COUNTA($B1093:$R1093)=0,"",ROUND(N($R1093)+N($S1093)+N($T1093)-N($U1093),2))</f>
        <v/>
      </c>
      <c r="W1093" s="18">
        <f>IF(COUNTA($B1093:$R1093)=0,"",IF(OR($X1093="Pago",$X1093="Recebido",$X1093="Cancelado"),0,ROUND(N($Q1093)+N($S1093)+N($T1093)-N($U1093)-N($R1093),2)))</f>
        <v/>
      </c>
      <c r="X1093" s="14" t="n"/>
      <c r="Y1093" s="17">
        <f>IF(COUNTA($B1093:$R1093)=0,"",IF($X1093="Cancelado","Cancelado",IF(OR($X1093="Pago",$X1093="Recebido"),$X1093,IF(OR($X1093="Parcial",N($R1093)&gt;0),"Parcial",IF($C1093="","Sem vencimento",IF($C1093&lt;TODAY(),"Vencido",IF($C1093=TODAY(),"Vence hoje",IF($C1093&lt;=TODAY()+7,"Vence em 7 dias",IF($C1093&lt;=TODAY()+30,"Vence em 30 dias","Futuro")))))))))</f>
        <v/>
      </c>
      <c r="Z1093" s="24">
        <f>IF($B1093="","",MONTH($B1093))</f>
        <v/>
      </c>
      <c r="AA1093" s="24">
        <f>IF($B1093="","",YEAR($B1093))</f>
        <v/>
      </c>
      <c r="AB1093" s="24">
        <f>IF($B1093="","",ISOWEEKNUM($B1093))</f>
        <v/>
      </c>
      <c r="AC1093" s="17">
        <f>IF($B1093="","",CHOOSE(WEEKDAY($B1093,2),"Segunda","Terça","Quarta","Quinta","Sexta","Sábado","Domingo"))</f>
        <v/>
      </c>
      <c r="AD1093" s="17">
        <f>IF($B1093="","",TEXT($B1093,"MM/AAAA"))</f>
        <v/>
      </c>
      <c r="AE1093" s="18">
        <f>IF(COUNTA($B1093:$R1093)=0,"",IF($X1093="Cancelado",0,ROUND(N($Q1093)+N($S1093)+N($T1093)-N($U1093),2)))</f>
        <v/>
      </c>
      <c r="AF1093" s="9">
        <f>IF($G1093="","",IFERROR(INDEX(LINHAS_DRE_PLANO,MATCH($G1093,SUBCATEGORIAS_PLANO,0)),"Não classificado"))</f>
        <v/>
      </c>
      <c r="AG1093" s="17">
        <f>IF($G1093="","",IFERROR(INDEX(TIPOS_FLUXO_PLANO,MATCH($G1093,SUBCATEGORIAS_PLANO,0)),"Não classificado"))</f>
        <v/>
      </c>
      <c r="AH1093" s="9">
        <f>IF($G1093="","",IFERROR(INDEX(GRUPOS_PLANO,MATCH($G1093,SUBCATEGORIAS_PLANO,0)),"Não classificado"))</f>
        <v/>
      </c>
      <c r="AI1093" s="24">
        <f>IF(OR($C1093="",$X1093="Pago",$X1093="Recebido",$X1093="Cancelado"),"",$C1093-TODAY())</f>
        <v/>
      </c>
      <c r="AJ1093" s="24">
        <f>IF(OR($C1093="",$X1093="Pago",$X1093="Recebido",$X1093="Cancelado"),0,MAX(0,TODAY()-$C1093))</f>
        <v/>
      </c>
      <c r="AK1093" s="24">
        <f>IF($D1093="","",$D1093-$B1093)</f>
        <v/>
      </c>
      <c r="AL1093" s="18">
        <f>IF(OR($D1093="",$B1093=""),"",ROUND(N($R1093)*($D1093-$B1093),2))</f>
        <v/>
      </c>
      <c r="AM1093" s="17">
        <f>IF(AND($E1093="Saída",$W1093&gt;0,$C1093&lt;&gt;""),$C1093+ROW()/1000000,"")</f>
        <v/>
      </c>
      <c r="AN1093" s="17">
        <f>IF(AND($E1093="Entrada",$W1093&gt;0,$C1093&lt;&gt;""),$C1093+ROW()/1000000,"")</f>
        <v/>
      </c>
      <c r="AO1093" s="9">
        <f>IF(COUNTA($B1093:$R1093)=0,"",IF(AND($I1093&lt;&gt;"",COUNTIF(CLIENTES_NOMES,$I1093)+COUNTIF(CLIENTES_FANTASIA,$I1093)+COUNTIF(FORNECEDORES_NOMES,$I1093)+COUNTIF(FORNECEDORES_FANTASIA,$I1093)=0),"⚠ Cliente/Fornecedor não cadastrado",IF(AND($G1093&lt;&gt;"",COUNTIF(SUBCATEGORIAS_PLANO,$G1093)=0),"⚠ Subcategoria fora do plano de contas",IF(OR($Q1093="",N($Q1093)=0),"⚠ Valor previsto não informado",IF(AND(OR($X1093="Pago",$X1093="Recebido"),$D1093=""),"⚠ Status pago/recebido sem data",IF(AND($D1093&lt;&gt;"",N($R1093)=0),"⚠ Data de pagamento sem valor realizado",IF(AND(N($P1093)&gt;1,N($O1093)&gt;N($P1093)),"⚠ Nº da parcela maior que o total",IF(AND($C1093&lt;&gt;"",$B1093&lt;&gt;"",$C1093&lt;$B1093),"⚠ Vencimento anterior à competência","OK"))))))))</f>
        <v/>
      </c>
    </row>
    <row r="1094">
      <c r="A1094" s="14" t="n"/>
      <c r="B1094" s="36" t="n"/>
      <c r="C1094" s="36" t="n"/>
      <c r="D1094" s="36" t="n"/>
      <c r="E1094" s="14" t="n"/>
      <c r="F1094" s="29" t="n"/>
      <c r="G1094" s="29" t="n"/>
      <c r="H1094" s="29" t="n"/>
      <c r="I1094" s="29" t="n"/>
      <c r="J1094" s="29" t="n"/>
      <c r="K1094" s="14" t="n"/>
      <c r="L1094" s="29" t="n"/>
      <c r="M1094" s="14" t="n"/>
      <c r="N1094" s="29" t="n"/>
      <c r="O1094" s="13" t="n"/>
      <c r="P1094" s="13" t="n"/>
      <c r="Q1094" s="35" t="n"/>
      <c r="R1094" s="35" t="n"/>
      <c r="S1094" s="35" t="n"/>
      <c r="T1094" s="35" t="n"/>
      <c r="U1094" s="35" t="n"/>
      <c r="V1094" s="18">
        <f>IF(COUNTA($B1094:$R1094)=0,"",ROUND(N($R1094)+N($S1094)+N($T1094)-N($U1094),2))</f>
        <v/>
      </c>
      <c r="W1094" s="18">
        <f>IF(COUNTA($B1094:$R1094)=0,"",IF(OR($X1094="Pago",$X1094="Recebido",$X1094="Cancelado"),0,ROUND(N($Q1094)+N($S1094)+N($T1094)-N($U1094)-N($R1094),2)))</f>
        <v/>
      </c>
      <c r="X1094" s="14" t="n"/>
      <c r="Y1094" s="17">
        <f>IF(COUNTA($B1094:$R1094)=0,"",IF($X1094="Cancelado","Cancelado",IF(OR($X1094="Pago",$X1094="Recebido"),$X1094,IF(OR($X1094="Parcial",N($R1094)&gt;0),"Parcial",IF($C1094="","Sem vencimento",IF($C1094&lt;TODAY(),"Vencido",IF($C1094=TODAY(),"Vence hoje",IF($C1094&lt;=TODAY()+7,"Vence em 7 dias",IF($C1094&lt;=TODAY()+30,"Vence em 30 dias","Futuro")))))))))</f>
        <v/>
      </c>
      <c r="Z1094" s="24">
        <f>IF($B1094="","",MONTH($B1094))</f>
        <v/>
      </c>
      <c r="AA1094" s="24">
        <f>IF($B1094="","",YEAR($B1094))</f>
        <v/>
      </c>
      <c r="AB1094" s="24">
        <f>IF($B1094="","",ISOWEEKNUM($B1094))</f>
        <v/>
      </c>
      <c r="AC1094" s="17">
        <f>IF($B1094="","",CHOOSE(WEEKDAY($B1094,2),"Segunda","Terça","Quarta","Quinta","Sexta","Sábado","Domingo"))</f>
        <v/>
      </c>
      <c r="AD1094" s="17">
        <f>IF($B1094="","",TEXT($B1094,"MM/AAAA"))</f>
        <v/>
      </c>
      <c r="AE1094" s="18">
        <f>IF(COUNTA($B1094:$R1094)=0,"",IF($X1094="Cancelado",0,ROUND(N($Q1094)+N($S1094)+N($T1094)-N($U1094),2)))</f>
        <v/>
      </c>
      <c r="AF1094" s="9">
        <f>IF($G1094="","",IFERROR(INDEX(LINHAS_DRE_PLANO,MATCH($G1094,SUBCATEGORIAS_PLANO,0)),"Não classificado"))</f>
        <v/>
      </c>
      <c r="AG1094" s="17">
        <f>IF($G1094="","",IFERROR(INDEX(TIPOS_FLUXO_PLANO,MATCH($G1094,SUBCATEGORIAS_PLANO,0)),"Não classificado"))</f>
        <v/>
      </c>
      <c r="AH1094" s="9">
        <f>IF($G1094="","",IFERROR(INDEX(GRUPOS_PLANO,MATCH($G1094,SUBCATEGORIAS_PLANO,0)),"Não classificado"))</f>
        <v/>
      </c>
      <c r="AI1094" s="24">
        <f>IF(OR($C1094="",$X1094="Pago",$X1094="Recebido",$X1094="Cancelado"),"",$C1094-TODAY())</f>
        <v/>
      </c>
      <c r="AJ1094" s="24">
        <f>IF(OR($C1094="",$X1094="Pago",$X1094="Recebido",$X1094="Cancelado"),0,MAX(0,TODAY()-$C1094))</f>
        <v/>
      </c>
      <c r="AK1094" s="24">
        <f>IF($D1094="","",$D1094-$B1094)</f>
        <v/>
      </c>
      <c r="AL1094" s="18">
        <f>IF(OR($D1094="",$B1094=""),"",ROUND(N($R1094)*($D1094-$B1094),2))</f>
        <v/>
      </c>
      <c r="AM1094" s="17">
        <f>IF(AND($E1094="Saída",$W1094&gt;0,$C1094&lt;&gt;""),$C1094+ROW()/1000000,"")</f>
        <v/>
      </c>
      <c r="AN1094" s="17">
        <f>IF(AND($E1094="Entrada",$W1094&gt;0,$C1094&lt;&gt;""),$C1094+ROW()/1000000,"")</f>
        <v/>
      </c>
      <c r="AO1094" s="9">
        <f>IF(COUNTA($B1094:$R1094)=0,"",IF(AND($I1094&lt;&gt;"",COUNTIF(CLIENTES_NOMES,$I1094)+COUNTIF(CLIENTES_FANTASIA,$I1094)+COUNTIF(FORNECEDORES_NOMES,$I1094)+COUNTIF(FORNECEDORES_FANTASIA,$I1094)=0),"⚠ Cliente/Fornecedor não cadastrado",IF(AND($G1094&lt;&gt;"",COUNTIF(SUBCATEGORIAS_PLANO,$G1094)=0),"⚠ Subcategoria fora do plano de contas",IF(OR($Q1094="",N($Q1094)=0),"⚠ Valor previsto não informado",IF(AND(OR($X1094="Pago",$X1094="Recebido"),$D1094=""),"⚠ Status pago/recebido sem data",IF(AND($D1094&lt;&gt;"",N($R1094)=0),"⚠ Data de pagamento sem valor realizado",IF(AND(N($P1094)&gt;1,N($O1094)&gt;N($P1094)),"⚠ Nº da parcela maior que o total",IF(AND($C1094&lt;&gt;"",$B1094&lt;&gt;"",$C1094&lt;$B1094),"⚠ Vencimento anterior à competência","OK"))))))))</f>
        <v/>
      </c>
    </row>
    <row r="1095">
      <c r="A1095" s="14" t="n"/>
      <c r="B1095" s="36" t="n"/>
      <c r="C1095" s="36" t="n"/>
      <c r="D1095" s="36" t="n"/>
      <c r="E1095" s="14" t="n"/>
      <c r="F1095" s="29" t="n"/>
      <c r="G1095" s="29" t="n"/>
      <c r="H1095" s="29" t="n"/>
      <c r="I1095" s="29" t="n"/>
      <c r="J1095" s="29" t="n"/>
      <c r="K1095" s="14" t="n"/>
      <c r="L1095" s="29" t="n"/>
      <c r="M1095" s="14" t="n"/>
      <c r="N1095" s="29" t="n"/>
      <c r="O1095" s="13" t="n"/>
      <c r="P1095" s="13" t="n"/>
      <c r="Q1095" s="35" t="n"/>
      <c r="R1095" s="35" t="n"/>
      <c r="S1095" s="35" t="n"/>
      <c r="T1095" s="35" t="n"/>
      <c r="U1095" s="35" t="n"/>
      <c r="V1095" s="18">
        <f>IF(COUNTA($B1095:$R1095)=0,"",ROUND(N($R1095)+N($S1095)+N($T1095)-N($U1095),2))</f>
        <v/>
      </c>
      <c r="W1095" s="18">
        <f>IF(COUNTA($B1095:$R1095)=0,"",IF(OR($X1095="Pago",$X1095="Recebido",$X1095="Cancelado"),0,ROUND(N($Q1095)+N($S1095)+N($T1095)-N($U1095)-N($R1095),2)))</f>
        <v/>
      </c>
      <c r="X1095" s="14" t="n"/>
      <c r="Y1095" s="17">
        <f>IF(COUNTA($B1095:$R1095)=0,"",IF($X1095="Cancelado","Cancelado",IF(OR($X1095="Pago",$X1095="Recebido"),$X1095,IF(OR($X1095="Parcial",N($R1095)&gt;0),"Parcial",IF($C1095="","Sem vencimento",IF($C1095&lt;TODAY(),"Vencido",IF($C1095=TODAY(),"Vence hoje",IF($C1095&lt;=TODAY()+7,"Vence em 7 dias",IF($C1095&lt;=TODAY()+30,"Vence em 30 dias","Futuro")))))))))</f>
        <v/>
      </c>
      <c r="Z1095" s="24">
        <f>IF($B1095="","",MONTH($B1095))</f>
        <v/>
      </c>
      <c r="AA1095" s="24">
        <f>IF($B1095="","",YEAR($B1095))</f>
        <v/>
      </c>
      <c r="AB1095" s="24">
        <f>IF($B1095="","",ISOWEEKNUM($B1095))</f>
        <v/>
      </c>
      <c r="AC1095" s="17">
        <f>IF($B1095="","",CHOOSE(WEEKDAY($B1095,2),"Segunda","Terça","Quarta","Quinta","Sexta","Sábado","Domingo"))</f>
        <v/>
      </c>
      <c r="AD1095" s="17">
        <f>IF($B1095="","",TEXT($B1095,"MM/AAAA"))</f>
        <v/>
      </c>
      <c r="AE1095" s="18">
        <f>IF(COUNTA($B1095:$R1095)=0,"",IF($X1095="Cancelado",0,ROUND(N($Q1095)+N($S1095)+N($T1095)-N($U1095),2)))</f>
        <v/>
      </c>
      <c r="AF1095" s="9">
        <f>IF($G1095="","",IFERROR(INDEX(LINHAS_DRE_PLANO,MATCH($G1095,SUBCATEGORIAS_PLANO,0)),"Não classificado"))</f>
        <v/>
      </c>
      <c r="AG1095" s="17">
        <f>IF($G1095="","",IFERROR(INDEX(TIPOS_FLUXO_PLANO,MATCH($G1095,SUBCATEGORIAS_PLANO,0)),"Não classificado"))</f>
        <v/>
      </c>
      <c r="AH1095" s="9">
        <f>IF($G1095="","",IFERROR(INDEX(GRUPOS_PLANO,MATCH($G1095,SUBCATEGORIAS_PLANO,0)),"Não classificado"))</f>
        <v/>
      </c>
      <c r="AI1095" s="24">
        <f>IF(OR($C1095="",$X1095="Pago",$X1095="Recebido",$X1095="Cancelado"),"",$C1095-TODAY())</f>
        <v/>
      </c>
      <c r="AJ1095" s="24">
        <f>IF(OR($C1095="",$X1095="Pago",$X1095="Recebido",$X1095="Cancelado"),0,MAX(0,TODAY()-$C1095))</f>
        <v/>
      </c>
      <c r="AK1095" s="24">
        <f>IF($D1095="","",$D1095-$B1095)</f>
        <v/>
      </c>
      <c r="AL1095" s="18">
        <f>IF(OR($D1095="",$B1095=""),"",ROUND(N($R1095)*($D1095-$B1095),2))</f>
        <v/>
      </c>
      <c r="AM1095" s="17">
        <f>IF(AND($E1095="Saída",$W1095&gt;0,$C1095&lt;&gt;""),$C1095+ROW()/1000000,"")</f>
        <v/>
      </c>
      <c r="AN1095" s="17">
        <f>IF(AND($E1095="Entrada",$W1095&gt;0,$C1095&lt;&gt;""),$C1095+ROW()/1000000,"")</f>
        <v/>
      </c>
      <c r="AO1095" s="9">
        <f>IF(COUNTA($B1095:$R1095)=0,"",IF(AND($I1095&lt;&gt;"",COUNTIF(CLIENTES_NOMES,$I1095)+COUNTIF(CLIENTES_FANTASIA,$I1095)+COUNTIF(FORNECEDORES_NOMES,$I1095)+COUNTIF(FORNECEDORES_FANTASIA,$I1095)=0),"⚠ Cliente/Fornecedor não cadastrado",IF(AND($G1095&lt;&gt;"",COUNTIF(SUBCATEGORIAS_PLANO,$G1095)=0),"⚠ Subcategoria fora do plano de contas",IF(OR($Q1095="",N($Q1095)=0),"⚠ Valor previsto não informado",IF(AND(OR($X1095="Pago",$X1095="Recebido"),$D1095=""),"⚠ Status pago/recebido sem data",IF(AND($D1095&lt;&gt;"",N($R1095)=0),"⚠ Data de pagamento sem valor realizado",IF(AND(N($P1095)&gt;1,N($O1095)&gt;N($P1095)),"⚠ Nº da parcela maior que o total",IF(AND($C1095&lt;&gt;"",$B1095&lt;&gt;"",$C1095&lt;$B1095),"⚠ Vencimento anterior à competência","OK"))))))))</f>
        <v/>
      </c>
    </row>
    <row r="1096">
      <c r="A1096" s="14" t="n"/>
      <c r="B1096" s="36" t="n"/>
      <c r="C1096" s="36" t="n"/>
      <c r="D1096" s="36" t="n"/>
      <c r="E1096" s="14" t="n"/>
      <c r="F1096" s="29" t="n"/>
      <c r="G1096" s="29" t="n"/>
      <c r="H1096" s="29" t="n"/>
      <c r="I1096" s="29" t="n"/>
      <c r="J1096" s="29" t="n"/>
      <c r="K1096" s="14" t="n"/>
      <c r="L1096" s="29" t="n"/>
      <c r="M1096" s="14" t="n"/>
      <c r="N1096" s="29" t="n"/>
      <c r="O1096" s="13" t="n"/>
      <c r="P1096" s="13" t="n"/>
      <c r="Q1096" s="35" t="n"/>
      <c r="R1096" s="35" t="n"/>
      <c r="S1096" s="35" t="n"/>
      <c r="T1096" s="35" t="n"/>
      <c r="U1096" s="35" t="n"/>
      <c r="V1096" s="18">
        <f>IF(COUNTA($B1096:$R1096)=0,"",ROUND(N($R1096)+N($S1096)+N($T1096)-N($U1096),2))</f>
        <v/>
      </c>
      <c r="W1096" s="18">
        <f>IF(COUNTA($B1096:$R1096)=0,"",IF(OR($X1096="Pago",$X1096="Recebido",$X1096="Cancelado"),0,ROUND(N($Q1096)+N($S1096)+N($T1096)-N($U1096)-N($R1096),2)))</f>
        <v/>
      </c>
      <c r="X1096" s="14" t="n"/>
      <c r="Y1096" s="17">
        <f>IF(COUNTA($B1096:$R1096)=0,"",IF($X1096="Cancelado","Cancelado",IF(OR($X1096="Pago",$X1096="Recebido"),$X1096,IF(OR($X1096="Parcial",N($R1096)&gt;0),"Parcial",IF($C1096="","Sem vencimento",IF($C1096&lt;TODAY(),"Vencido",IF($C1096=TODAY(),"Vence hoje",IF($C1096&lt;=TODAY()+7,"Vence em 7 dias",IF($C1096&lt;=TODAY()+30,"Vence em 30 dias","Futuro")))))))))</f>
        <v/>
      </c>
      <c r="Z1096" s="24">
        <f>IF($B1096="","",MONTH($B1096))</f>
        <v/>
      </c>
      <c r="AA1096" s="24">
        <f>IF($B1096="","",YEAR($B1096))</f>
        <v/>
      </c>
      <c r="AB1096" s="24">
        <f>IF($B1096="","",ISOWEEKNUM($B1096))</f>
        <v/>
      </c>
      <c r="AC1096" s="17">
        <f>IF($B1096="","",CHOOSE(WEEKDAY($B1096,2),"Segunda","Terça","Quarta","Quinta","Sexta","Sábado","Domingo"))</f>
        <v/>
      </c>
      <c r="AD1096" s="17">
        <f>IF($B1096="","",TEXT($B1096,"MM/AAAA"))</f>
        <v/>
      </c>
      <c r="AE1096" s="18">
        <f>IF(COUNTA($B1096:$R1096)=0,"",IF($X1096="Cancelado",0,ROUND(N($Q1096)+N($S1096)+N($T1096)-N($U1096),2)))</f>
        <v/>
      </c>
      <c r="AF1096" s="9">
        <f>IF($G1096="","",IFERROR(INDEX(LINHAS_DRE_PLANO,MATCH($G1096,SUBCATEGORIAS_PLANO,0)),"Não classificado"))</f>
        <v/>
      </c>
      <c r="AG1096" s="17">
        <f>IF($G1096="","",IFERROR(INDEX(TIPOS_FLUXO_PLANO,MATCH($G1096,SUBCATEGORIAS_PLANO,0)),"Não classificado"))</f>
        <v/>
      </c>
      <c r="AH1096" s="9">
        <f>IF($G1096="","",IFERROR(INDEX(GRUPOS_PLANO,MATCH($G1096,SUBCATEGORIAS_PLANO,0)),"Não classificado"))</f>
        <v/>
      </c>
      <c r="AI1096" s="24">
        <f>IF(OR($C1096="",$X1096="Pago",$X1096="Recebido",$X1096="Cancelado"),"",$C1096-TODAY())</f>
        <v/>
      </c>
      <c r="AJ1096" s="24">
        <f>IF(OR($C1096="",$X1096="Pago",$X1096="Recebido",$X1096="Cancelado"),0,MAX(0,TODAY()-$C1096))</f>
        <v/>
      </c>
      <c r="AK1096" s="24">
        <f>IF($D1096="","",$D1096-$B1096)</f>
        <v/>
      </c>
      <c r="AL1096" s="18">
        <f>IF(OR($D1096="",$B1096=""),"",ROUND(N($R1096)*($D1096-$B1096),2))</f>
        <v/>
      </c>
      <c r="AM1096" s="17">
        <f>IF(AND($E1096="Saída",$W1096&gt;0,$C1096&lt;&gt;""),$C1096+ROW()/1000000,"")</f>
        <v/>
      </c>
      <c r="AN1096" s="17">
        <f>IF(AND($E1096="Entrada",$W1096&gt;0,$C1096&lt;&gt;""),$C1096+ROW()/1000000,"")</f>
        <v/>
      </c>
      <c r="AO1096" s="9">
        <f>IF(COUNTA($B1096:$R1096)=0,"",IF(AND($I1096&lt;&gt;"",COUNTIF(CLIENTES_NOMES,$I1096)+COUNTIF(CLIENTES_FANTASIA,$I1096)+COUNTIF(FORNECEDORES_NOMES,$I1096)+COUNTIF(FORNECEDORES_FANTASIA,$I1096)=0),"⚠ Cliente/Fornecedor não cadastrado",IF(AND($G1096&lt;&gt;"",COUNTIF(SUBCATEGORIAS_PLANO,$G1096)=0),"⚠ Subcategoria fora do plano de contas",IF(OR($Q1096="",N($Q1096)=0),"⚠ Valor previsto não informado",IF(AND(OR($X1096="Pago",$X1096="Recebido"),$D1096=""),"⚠ Status pago/recebido sem data",IF(AND($D1096&lt;&gt;"",N($R1096)=0),"⚠ Data de pagamento sem valor realizado",IF(AND(N($P1096)&gt;1,N($O1096)&gt;N($P1096)),"⚠ Nº da parcela maior que o total",IF(AND($C1096&lt;&gt;"",$B1096&lt;&gt;"",$C1096&lt;$B1096),"⚠ Vencimento anterior à competência","OK"))))))))</f>
        <v/>
      </c>
    </row>
    <row r="1097">
      <c r="A1097" s="14" t="n"/>
      <c r="B1097" s="36" t="n"/>
      <c r="C1097" s="36" t="n"/>
      <c r="D1097" s="36" t="n"/>
      <c r="E1097" s="14" t="n"/>
      <c r="F1097" s="29" t="n"/>
      <c r="G1097" s="29" t="n"/>
      <c r="H1097" s="29" t="n"/>
      <c r="I1097" s="29" t="n"/>
      <c r="J1097" s="29" t="n"/>
      <c r="K1097" s="14" t="n"/>
      <c r="L1097" s="29" t="n"/>
      <c r="M1097" s="14" t="n"/>
      <c r="N1097" s="29" t="n"/>
      <c r="O1097" s="13" t="n"/>
      <c r="P1097" s="13" t="n"/>
      <c r="Q1097" s="35" t="n"/>
      <c r="R1097" s="35" t="n"/>
      <c r="S1097" s="35" t="n"/>
      <c r="T1097" s="35" t="n"/>
      <c r="U1097" s="35" t="n"/>
      <c r="V1097" s="18">
        <f>IF(COUNTA($B1097:$R1097)=0,"",ROUND(N($R1097)+N($S1097)+N($T1097)-N($U1097),2))</f>
        <v/>
      </c>
      <c r="W1097" s="18">
        <f>IF(COUNTA($B1097:$R1097)=0,"",IF(OR($X1097="Pago",$X1097="Recebido",$X1097="Cancelado"),0,ROUND(N($Q1097)+N($S1097)+N($T1097)-N($U1097)-N($R1097),2)))</f>
        <v/>
      </c>
      <c r="X1097" s="14" t="n"/>
      <c r="Y1097" s="17">
        <f>IF(COUNTA($B1097:$R1097)=0,"",IF($X1097="Cancelado","Cancelado",IF(OR($X1097="Pago",$X1097="Recebido"),$X1097,IF(OR($X1097="Parcial",N($R1097)&gt;0),"Parcial",IF($C1097="","Sem vencimento",IF($C1097&lt;TODAY(),"Vencido",IF($C1097=TODAY(),"Vence hoje",IF($C1097&lt;=TODAY()+7,"Vence em 7 dias",IF($C1097&lt;=TODAY()+30,"Vence em 30 dias","Futuro")))))))))</f>
        <v/>
      </c>
      <c r="Z1097" s="24">
        <f>IF($B1097="","",MONTH($B1097))</f>
        <v/>
      </c>
      <c r="AA1097" s="24">
        <f>IF($B1097="","",YEAR($B1097))</f>
        <v/>
      </c>
      <c r="AB1097" s="24">
        <f>IF($B1097="","",ISOWEEKNUM($B1097))</f>
        <v/>
      </c>
      <c r="AC1097" s="17">
        <f>IF($B1097="","",CHOOSE(WEEKDAY($B1097,2),"Segunda","Terça","Quarta","Quinta","Sexta","Sábado","Domingo"))</f>
        <v/>
      </c>
      <c r="AD1097" s="17">
        <f>IF($B1097="","",TEXT($B1097,"MM/AAAA"))</f>
        <v/>
      </c>
      <c r="AE1097" s="18">
        <f>IF(COUNTA($B1097:$R1097)=0,"",IF($X1097="Cancelado",0,ROUND(N($Q1097)+N($S1097)+N($T1097)-N($U1097),2)))</f>
        <v/>
      </c>
      <c r="AF1097" s="9">
        <f>IF($G1097="","",IFERROR(INDEX(LINHAS_DRE_PLANO,MATCH($G1097,SUBCATEGORIAS_PLANO,0)),"Não classificado"))</f>
        <v/>
      </c>
      <c r="AG1097" s="17">
        <f>IF($G1097="","",IFERROR(INDEX(TIPOS_FLUXO_PLANO,MATCH($G1097,SUBCATEGORIAS_PLANO,0)),"Não classificado"))</f>
        <v/>
      </c>
      <c r="AH1097" s="9">
        <f>IF($G1097="","",IFERROR(INDEX(GRUPOS_PLANO,MATCH($G1097,SUBCATEGORIAS_PLANO,0)),"Não classificado"))</f>
        <v/>
      </c>
      <c r="AI1097" s="24">
        <f>IF(OR($C1097="",$X1097="Pago",$X1097="Recebido",$X1097="Cancelado"),"",$C1097-TODAY())</f>
        <v/>
      </c>
      <c r="AJ1097" s="24">
        <f>IF(OR($C1097="",$X1097="Pago",$X1097="Recebido",$X1097="Cancelado"),0,MAX(0,TODAY()-$C1097))</f>
        <v/>
      </c>
      <c r="AK1097" s="24">
        <f>IF($D1097="","",$D1097-$B1097)</f>
        <v/>
      </c>
      <c r="AL1097" s="18">
        <f>IF(OR($D1097="",$B1097=""),"",ROUND(N($R1097)*($D1097-$B1097),2))</f>
        <v/>
      </c>
      <c r="AM1097" s="17">
        <f>IF(AND($E1097="Saída",$W1097&gt;0,$C1097&lt;&gt;""),$C1097+ROW()/1000000,"")</f>
        <v/>
      </c>
      <c r="AN1097" s="17">
        <f>IF(AND($E1097="Entrada",$W1097&gt;0,$C1097&lt;&gt;""),$C1097+ROW()/1000000,"")</f>
        <v/>
      </c>
      <c r="AO1097" s="9">
        <f>IF(COUNTA($B1097:$R1097)=0,"",IF(AND($I1097&lt;&gt;"",COUNTIF(CLIENTES_NOMES,$I1097)+COUNTIF(CLIENTES_FANTASIA,$I1097)+COUNTIF(FORNECEDORES_NOMES,$I1097)+COUNTIF(FORNECEDORES_FANTASIA,$I1097)=0),"⚠ Cliente/Fornecedor não cadastrado",IF(AND($G1097&lt;&gt;"",COUNTIF(SUBCATEGORIAS_PLANO,$G1097)=0),"⚠ Subcategoria fora do plano de contas",IF(OR($Q1097="",N($Q1097)=0),"⚠ Valor previsto não informado",IF(AND(OR($X1097="Pago",$X1097="Recebido"),$D1097=""),"⚠ Status pago/recebido sem data",IF(AND($D1097&lt;&gt;"",N($R1097)=0),"⚠ Data de pagamento sem valor realizado",IF(AND(N($P1097)&gt;1,N($O1097)&gt;N($P1097)),"⚠ Nº da parcela maior que o total",IF(AND($C1097&lt;&gt;"",$B1097&lt;&gt;"",$C1097&lt;$B1097),"⚠ Vencimento anterior à competência","OK"))))))))</f>
        <v/>
      </c>
    </row>
    <row r="1098">
      <c r="A1098" s="14" t="n"/>
      <c r="B1098" s="36" t="n"/>
      <c r="C1098" s="36" t="n"/>
      <c r="D1098" s="36" t="n"/>
      <c r="E1098" s="14" t="n"/>
      <c r="F1098" s="29" t="n"/>
      <c r="G1098" s="29" t="n"/>
      <c r="H1098" s="29" t="n"/>
      <c r="I1098" s="29" t="n"/>
      <c r="J1098" s="29" t="n"/>
      <c r="K1098" s="14" t="n"/>
      <c r="L1098" s="29" t="n"/>
      <c r="M1098" s="14" t="n"/>
      <c r="N1098" s="29" t="n"/>
      <c r="O1098" s="13" t="n"/>
      <c r="P1098" s="13" t="n"/>
      <c r="Q1098" s="35" t="n"/>
      <c r="R1098" s="35" t="n"/>
      <c r="S1098" s="35" t="n"/>
      <c r="T1098" s="35" t="n"/>
      <c r="U1098" s="35" t="n"/>
      <c r="V1098" s="18">
        <f>IF(COUNTA($B1098:$R1098)=0,"",ROUND(N($R1098)+N($S1098)+N($T1098)-N($U1098),2))</f>
        <v/>
      </c>
      <c r="W1098" s="18">
        <f>IF(COUNTA($B1098:$R1098)=0,"",IF(OR($X1098="Pago",$X1098="Recebido",$X1098="Cancelado"),0,ROUND(N($Q1098)+N($S1098)+N($T1098)-N($U1098)-N($R1098),2)))</f>
        <v/>
      </c>
      <c r="X1098" s="14" t="n"/>
      <c r="Y1098" s="17">
        <f>IF(COUNTA($B1098:$R1098)=0,"",IF($X1098="Cancelado","Cancelado",IF(OR($X1098="Pago",$X1098="Recebido"),$X1098,IF(OR($X1098="Parcial",N($R1098)&gt;0),"Parcial",IF($C1098="","Sem vencimento",IF($C1098&lt;TODAY(),"Vencido",IF($C1098=TODAY(),"Vence hoje",IF($C1098&lt;=TODAY()+7,"Vence em 7 dias",IF($C1098&lt;=TODAY()+30,"Vence em 30 dias","Futuro")))))))))</f>
        <v/>
      </c>
      <c r="Z1098" s="24">
        <f>IF($B1098="","",MONTH($B1098))</f>
        <v/>
      </c>
      <c r="AA1098" s="24">
        <f>IF($B1098="","",YEAR($B1098))</f>
        <v/>
      </c>
      <c r="AB1098" s="24">
        <f>IF($B1098="","",ISOWEEKNUM($B1098))</f>
        <v/>
      </c>
      <c r="AC1098" s="17">
        <f>IF($B1098="","",CHOOSE(WEEKDAY($B1098,2),"Segunda","Terça","Quarta","Quinta","Sexta","Sábado","Domingo"))</f>
        <v/>
      </c>
      <c r="AD1098" s="17">
        <f>IF($B1098="","",TEXT($B1098,"MM/AAAA"))</f>
        <v/>
      </c>
      <c r="AE1098" s="18">
        <f>IF(COUNTA($B1098:$R1098)=0,"",IF($X1098="Cancelado",0,ROUND(N($Q1098)+N($S1098)+N($T1098)-N($U1098),2)))</f>
        <v/>
      </c>
      <c r="AF1098" s="9">
        <f>IF($G1098="","",IFERROR(INDEX(LINHAS_DRE_PLANO,MATCH($G1098,SUBCATEGORIAS_PLANO,0)),"Não classificado"))</f>
        <v/>
      </c>
      <c r="AG1098" s="17">
        <f>IF($G1098="","",IFERROR(INDEX(TIPOS_FLUXO_PLANO,MATCH($G1098,SUBCATEGORIAS_PLANO,0)),"Não classificado"))</f>
        <v/>
      </c>
      <c r="AH1098" s="9">
        <f>IF($G1098="","",IFERROR(INDEX(GRUPOS_PLANO,MATCH($G1098,SUBCATEGORIAS_PLANO,0)),"Não classificado"))</f>
        <v/>
      </c>
      <c r="AI1098" s="24">
        <f>IF(OR($C1098="",$X1098="Pago",$X1098="Recebido",$X1098="Cancelado"),"",$C1098-TODAY())</f>
        <v/>
      </c>
      <c r="AJ1098" s="24">
        <f>IF(OR($C1098="",$X1098="Pago",$X1098="Recebido",$X1098="Cancelado"),0,MAX(0,TODAY()-$C1098))</f>
        <v/>
      </c>
      <c r="AK1098" s="24">
        <f>IF($D1098="","",$D1098-$B1098)</f>
        <v/>
      </c>
      <c r="AL1098" s="18">
        <f>IF(OR($D1098="",$B1098=""),"",ROUND(N($R1098)*($D1098-$B1098),2))</f>
        <v/>
      </c>
      <c r="AM1098" s="17">
        <f>IF(AND($E1098="Saída",$W1098&gt;0,$C1098&lt;&gt;""),$C1098+ROW()/1000000,"")</f>
        <v/>
      </c>
      <c r="AN1098" s="17">
        <f>IF(AND($E1098="Entrada",$W1098&gt;0,$C1098&lt;&gt;""),$C1098+ROW()/1000000,"")</f>
        <v/>
      </c>
      <c r="AO1098" s="9">
        <f>IF(COUNTA($B1098:$R1098)=0,"",IF(AND($I1098&lt;&gt;"",COUNTIF(CLIENTES_NOMES,$I1098)+COUNTIF(CLIENTES_FANTASIA,$I1098)+COUNTIF(FORNECEDORES_NOMES,$I1098)+COUNTIF(FORNECEDORES_FANTASIA,$I1098)=0),"⚠ Cliente/Fornecedor não cadastrado",IF(AND($G1098&lt;&gt;"",COUNTIF(SUBCATEGORIAS_PLANO,$G1098)=0),"⚠ Subcategoria fora do plano de contas",IF(OR($Q1098="",N($Q1098)=0),"⚠ Valor previsto não informado",IF(AND(OR($X1098="Pago",$X1098="Recebido"),$D1098=""),"⚠ Status pago/recebido sem data",IF(AND($D1098&lt;&gt;"",N($R1098)=0),"⚠ Data de pagamento sem valor realizado",IF(AND(N($P1098)&gt;1,N($O1098)&gt;N($P1098)),"⚠ Nº da parcela maior que o total",IF(AND($C1098&lt;&gt;"",$B1098&lt;&gt;"",$C1098&lt;$B1098),"⚠ Vencimento anterior à competência","OK"))))))))</f>
        <v/>
      </c>
    </row>
    <row r="1099">
      <c r="A1099" s="14" t="n"/>
      <c r="B1099" s="36" t="n"/>
      <c r="C1099" s="36" t="n"/>
      <c r="D1099" s="36" t="n"/>
      <c r="E1099" s="14" t="n"/>
      <c r="F1099" s="29" t="n"/>
      <c r="G1099" s="29" t="n"/>
      <c r="H1099" s="29" t="n"/>
      <c r="I1099" s="29" t="n"/>
      <c r="J1099" s="29" t="n"/>
      <c r="K1099" s="14" t="n"/>
      <c r="L1099" s="29" t="n"/>
      <c r="M1099" s="14" t="n"/>
      <c r="N1099" s="29" t="n"/>
      <c r="O1099" s="13" t="n"/>
      <c r="P1099" s="13" t="n"/>
      <c r="Q1099" s="35" t="n"/>
      <c r="R1099" s="35" t="n"/>
      <c r="S1099" s="35" t="n"/>
      <c r="T1099" s="35" t="n"/>
      <c r="U1099" s="35" t="n"/>
      <c r="V1099" s="18">
        <f>IF(COUNTA($B1099:$R1099)=0,"",ROUND(N($R1099)+N($S1099)+N($T1099)-N($U1099),2))</f>
        <v/>
      </c>
      <c r="W1099" s="18">
        <f>IF(COUNTA($B1099:$R1099)=0,"",IF(OR($X1099="Pago",$X1099="Recebido",$X1099="Cancelado"),0,ROUND(N($Q1099)+N($S1099)+N($T1099)-N($U1099)-N($R1099),2)))</f>
        <v/>
      </c>
      <c r="X1099" s="14" t="n"/>
      <c r="Y1099" s="17">
        <f>IF(COUNTA($B1099:$R1099)=0,"",IF($X1099="Cancelado","Cancelado",IF(OR($X1099="Pago",$X1099="Recebido"),$X1099,IF(OR($X1099="Parcial",N($R1099)&gt;0),"Parcial",IF($C1099="","Sem vencimento",IF($C1099&lt;TODAY(),"Vencido",IF($C1099=TODAY(),"Vence hoje",IF($C1099&lt;=TODAY()+7,"Vence em 7 dias",IF($C1099&lt;=TODAY()+30,"Vence em 30 dias","Futuro")))))))))</f>
        <v/>
      </c>
      <c r="Z1099" s="24">
        <f>IF($B1099="","",MONTH($B1099))</f>
        <v/>
      </c>
      <c r="AA1099" s="24">
        <f>IF($B1099="","",YEAR($B1099))</f>
        <v/>
      </c>
      <c r="AB1099" s="24">
        <f>IF($B1099="","",ISOWEEKNUM($B1099))</f>
        <v/>
      </c>
      <c r="AC1099" s="17">
        <f>IF($B1099="","",CHOOSE(WEEKDAY($B1099,2),"Segunda","Terça","Quarta","Quinta","Sexta","Sábado","Domingo"))</f>
        <v/>
      </c>
      <c r="AD1099" s="17">
        <f>IF($B1099="","",TEXT($B1099,"MM/AAAA"))</f>
        <v/>
      </c>
      <c r="AE1099" s="18">
        <f>IF(COUNTA($B1099:$R1099)=0,"",IF($X1099="Cancelado",0,ROUND(N($Q1099)+N($S1099)+N($T1099)-N($U1099),2)))</f>
        <v/>
      </c>
      <c r="AF1099" s="9">
        <f>IF($G1099="","",IFERROR(INDEX(LINHAS_DRE_PLANO,MATCH($G1099,SUBCATEGORIAS_PLANO,0)),"Não classificado"))</f>
        <v/>
      </c>
      <c r="AG1099" s="17">
        <f>IF($G1099="","",IFERROR(INDEX(TIPOS_FLUXO_PLANO,MATCH($G1099,SUBCATEGORIAS_PLANO,0)),"Não classificado"))</f>
        <v/>
      </c>
      <c r="AH1099" s="9">
        <f>IF($G1099="","",IFERROR(INDEX(GRUPOS_PLANO,MATCH($G1099,SUBCATEGORIAS_PLANO,0)),"Não classificado"))</f>
        <v/>
      </c>
      <c r="AI1099" s="24">
        <f>IF(OR($C1099="",$X1099="Pago",$X1099="Recebido",$X1099="Cancelado"),"",$C1099-TODAY())</f>
        <v/>
      </c>
      <c r="AJ1099" s="24">
        <f>IF(OR($C1099="",$X1099="Pago",$X1099="Recebido",$X1099="Cancelado"),0,MAX(0,TODAY()-$C1099))</f>
        <v/>
      </c>
      <c r="AK1099" s="24">
        <f>IF($D1099="","",$D1099-$B1099)</f>
        <v/>
      </c>
      <c r="AL1099" s="18">
        <f>IF(OR($D1099="",$B1099=""),"",ROUND(N($R1099)*($D1099-$B1099),2))</f>
        <v/>
      </c>
      <c r="AM1099" s="17">
        <f>IF(AND($E1099="Saída",$W1099&gt;0,$C1099&lt;&gt;""),$C1099+ROW()/1000000,"")</f>
        <v/>
      </c>
      <c r="AN1099" s="17">
        <f>IF(AND($E1099="Entrada",$W1099&gt;0,$C1099&lt;&gt;""),$C1099+ROW()/1000000,"")</f>
        <v/>
      </c>
      <c r="AO1099" s="9">
        <f>IF(COUNTA($B1099:$R1099)=0,"",IF(AND($I1099&lt;&gt;"",COUNTIF(CLIENTES_NOMES,$I1099)+COUNTIF(CLIENTES_FANTASIA,$I1099)+COUNTIF(FORNECEDORES_NOMES,$I1099)+COUNTIF(FORNECEDORES_FANTASIA,$I1099)=0),"⚠ Cliente/Fornecedor não cadastrado",IF(AND($G1099&lt;&gt;"",COUNTIF(SUBCATEGORIAS_PLANO,$G1099)=0),"⚠ Subcategoria fora do plano de contas",IF(OR($Q1099="",N($Q1099)=0),"⚠ Valor previsto não informado",IF(AND(OR($X1099="Pago",$X1099="Recebido"),$D1099=""),"⚠ Status pago/recebido sem data",IF(AND($D1099&lt;&gt;"",N($R1099)=0),"⚠ Data de pagamento sem valor realizado",IF(AND(N($P1099)&gt;1,N($O1099)&gt;N($P1099)),"⚠ Nº da parcela maior que o total",IF(AND($C1099&lt;&gt;"",$B1099&lt;&gt;"",$C1099&lt;$B1099),"⚠ Vencimento anterior à competência","OK"))))))))</f>
        <v/>
      </c>
    </row>
    <row r="1100">
      <c r="A1100" s="14" t="n"/>
      <c r="B1100" s="36" t="n"/>
      <c r="C1100" s="36" t="n"/>
      <c r="D1100" s="36" t="n"/>
      <c r="E1100" s="14" t="n"/>
      <c r="F1100" s="29" t="n"/>
      <c r="G1100" s="29" t="n"/>
      <c r="H1100" s="29" t="n"/>
      <c r="I1100" s="29" t="n"/>
      <c r="J1100" s="29" t="n"/>
      <c r="K1100" s="14" t="n"/>
      <c r="L1100" s="29" t="n"/>
      <c r="M1100" s="14" t="n"/>
      <c r="N1100" s="29" t="n"/>
      <c r="O1100" s="13" t="n"/>
      <c r="P1100" s="13" t="n"/>
      <c r="Q1100" s="35" t="n"/>
      <c r="R1100" s="35" t="n"/>
      <c r="S1100" s="35" t="n"/>
      <c r="T1100" s="35" t="n"/>
      <c r="U1100" s="35" t="n"/>
      <c r="V1100" s="18">
        <f>IF(COUNTA($B1100:$R1100)=0,"",ROUND(N($R1100)+N($S1100)+N($T1100)-N($U1100),2))</f>
        <v/>
      </c>
      <c r="W1100" s="18">
        <f>IF(COUNTA($B1100:$R1100)=0,"",IF(OR($X1100="Pago",$X1100="Recebido",$X1100="Cancelado"),0,ROUND(N($Q1100)+N($S1100)+N($T1100)-N($U1100)-N($R1100),2)))</f>
        <v/>
      </c>
      <c r="X1100" s="14" t="n"/>
      <c r="Y1100" s="17">
        <f>IF(COUNTA($B1100:$R1100)=0,"",IF($X1100="Cancelado","Cancelado",IF(OR($X1100="Pago",$X1100="Recebido"),$X1100,IF(OR($X1100="Parcial",N($R1100)&gt;0),"Parcial",IF($C1100="","Sem vencimento",IF($C1100&lt;TODAY(),"Vencido",IF($C1100=TODAY(),"Vence hoje",IF($C1100&lt;=TODAY()+7,"Vence em 7 dias",IF($C1100&lt;=TODAY()+30,"Vence em 30 dias","Futuro")))))))))</f>
        <v/>
      </c>
      <c r="Z1100" s="24">
        <f>IF($B1100="","",MONTH($B1100))</f>
        <v/>
      </c>
      <c r="AA1100" s="24">
        <f>IF($B1100="","",YEAR($B1100))</f>
        <v/>
      </c>
      <c r="AB1100" s="24">
        <f>IF($B1100="","",ISOWEEKNUM($B1100))</f>
        <v/>
      </c>
      <c r="AC1100" s="17">
        <f>IF($B1100="","",CHOOSE(WEEKDAY($B1100,2),"Segunda","Terça","Quarta","Quinta","Sexta","Sábado","Domingo"))</f>
        <v/>
      </c>
      <c r="AD1100" s="17">
        <f>IF($B1100="","",TEXT($B1100,"MM/AAAA"))</f>
        <v/>
      </c>
      <c r="AE1100" s="18">
        <f>IF(COUNTA($B1100:$R1100)=0,"",IF($X1100="Cancelado",0,ROUND(N($Q1100)+N($S1100)+N($T1100)-N($U1100),2)))</f>
        <v/>
      </c>
      <c r="AF1100" s="9">
        <f>IF($G1100="","",IFERROR(INDEX(LINHAS_DRE_PLANO,MATCH($G1100,SUBCATEGORIAS_PLANO,0)),"Não classificado"))</f>
        <v/>
      </c>
      <c r="AG1100" s="17">
        <f>IF($G1100="","",IFERROR(INDEX(TIPOS_FLUXO_PLANO,MATCH($G1100,SUBCATEGORIAS_PLANO,0)),"Não classificado"))</f>
        <v/>
      </c>
      <c r="AH1100" s="9">
        <f>IF($G1100="","",IFERROR(INDEX(GRUPOS_PLANO,MATCH($G1100,SUBCATEGORIAS_PLANO,0)),"Não classificado"))</f>
        <v/>
      </c>
      <c r="AI1100" s="24">
        <f>IF(OR($C1100="",$X1100="Pago",$X1100="Recebido",$X1100="Cancelado"),"",$C1100-TODAY())</f>
        <v/>
      </c>
      <c r="AJ1100" s="24">
        <f>IF(OR($C1100="",$X1100="Pago",$X1100="Recebido",$X1100="Cancelado"),0,MAX(0,TODAY()-$C1100))</f>
        <v/>
      </c>
      <c r="AK1100" s="24">
        <f>IF($D1100="","",$D1100-$B1100)</f>
        <v/>
      </c>
      <c r="AL1100" s="18">
        <f>IF(OR($D1100="",$B1100=""),"",ROUND(N($R1100)*($D1100-$B1100),2))</f>
        <v/>
      </c>
      <c r="AM1100" s="17">
        <f>IF(AND($E1100="Saída",$W1100&gt;0,$C1100&lt;&gt;""),$C1100+ROW()/1000000,"")</f>
        <v/>
      </c>
      <c r="AN1100" s="17">
        <f>IF(AND($E1100="Entrada",$W1100&gt;0,$C1100&lt;&gt;""),$C1100+ROW()/1000000,"")</f>
        <v/>
      </c>
      <c r="AO1100" s="9">
        <f>IF(COUNTA($B1100:$R1100)=0,"",IF(AND($I1100&lt;&gt;"",COUNTIF(CLIENTES_NOMES,$I1100)+COUNTIF(CLIENTES_FANTASIA,$I1100)+COUNTIF(FORNECEDORES_NOMES,$I1100)+COUNTIF(FORNECEDORES_FANTASIA,$I1100)=0),"⚠ Cliente/Fornecedor não cadastrado",IF(AND($G1100&lt;&gt;"",COUNTIF(SUBCATEGORIAS_PLANO,$G1100)=0),"⚠ Subcategoria fora do plano de contas",IF(OR($Q1100="",N($Q1100)=0),"⚠ Valor previsto não informado",IF(AND(OR($X1100="Pago",$X1100="Recebido"),$D1100=""),"⚠ Status pago/recebido sem data",IF(AND($D1100&lt;&gt;"",N($R1100)=0),"⚠ Data de pagamento sem valor realizado",IF(AND(N($P1100)&gt;1,N($O1100)&gt;N($P1100)),"⚠ Nº da parcela maior que o total",IF(AND($C1100&lt;&gt;"",$B1100&lt;&gt;"",$C1100&lt;$B1100),"⚠ Vencimento anterior à competência","OK"))))))))</f>
        <v/>
      </c>
    </row>
    <row r="1101">
      <c r="A1101" s="14" t="n"/>
      <c r="B1101" s="36" t="n"/>
      <c r="C1101" s="36" t="n"/>
      <c r="D1101" s="36" t="n"/>
      <c r="E1101" s="14" t="n"/>
      <c r="F1101" s="29" t="n"/>
      <c r="G1101" s="29" t="n"/>
      <c r="H1101" s="29" t="n"/>
      <c r="I1101" s="29" t="n"/>
      <c r="J1101" s="29" t="n"/>
      <c r="K1101" s="14" t="n"/>
      <c r="L1101" s="29" t="n"/>
      <c r="M1101" s="14" t="n"/>
      <c r="N1101" s="29" t="n"/>
      <c r="O1101" s="13" t="n"/>
      <c r="P1101" s="13" t="n"/>
      <c r="Q1101" s="35" t="n"/>
      <c r="R1101" s="35" t="n"/>
      <c r="S1101" s="35" t="n"/>
      <c r="T1101" s="35" t="n"/>
      <c r="U1101" s="35" t="n"/>
      <c r="V1101" s="18">
        <f>IF(COUNTA($B1101:$R1101)=0,"",ROUND(N($R1101)+N($S1101)+N($T1101)-N($U1101),2))</f>
        <v/>
      </c>
      <c r="W1101" s="18">
        <f>IF(COUNTA($B1101:$R1101)=0,"",IF(OR($X1101="Pago",$X1101="Recebido",$X1101="Cancelado"),0,ROUND(N($Q1101)+N($S1101)+N($T1101)-N($U1101)-N($R1101),2)))</f>
        <v/>
      </c>
      <c r="X1101" s="14" t="n"/>
      <c r="Y1101" s="17">
        <f>IF(COUNTA($B1101:$R1101)=0,"",IF($X1101="Cancelado","Cancelado",IF(OR($X1101="Pago",$X1101="Recebido"),$X1101,IF(OR($X1101="Parcial",N($R1101)&gt;0),"Parcial",IF($C1101="","Sem vencimento",IF($C1101&lt;TODAY(),"Vencido",IF($C1101=TODAY(),"Vence hoje",IF($C1101&lt;=TODAY()+7,"Vence em 7 dias",IF($C1101&lt;=TODAY()+30,"Vence em 30 dias","Futuro")))))))))</f>
        <v/>
      </c>
      <c r="Z1101" s="24">
        <f>IF($B1101="","",MONTH($B1101))</f>
        <v/>
      </c>
      <c r="AA1101" s="24">
        <f>IF($B1101="","",YEAR($B1101))</f>
        <v/>
      </c>
      <c r="AB1101" s="24">
        <f>IF($B1101="","",ISOWEEKNUM($B1101))</f>
        <v/>
      </c>
      <c r="AC1101" s="17">
        <f>IF($B1101="","",CHOOSE(WEEKDAY($B1101,2),"Segunda","Terça","Quarta","Quinta","Sexta","Sábado","Domingo"))</f>
        <v/>
      </c>
      <c r="AD1101" s="17">
        <f>IF($B1101="","",TEXT($B1101,"MM/AAAA"))</f>
        <v/>
      </c>
      <c r="AE1101" s="18">
        <f>IF(COUNTA($B1101:$R1101)=0,"",IF($X1101="Cancelado",0,ROUND(N($Q1101)+N($S1101)+N($T1101)-N($U1101),2)))</f>
        <v/>
      </c>
      <c r="AF1101" s="9">
        <f>IF($G1101="","",IFERROR(INDEX(LINHAS_DRE_PLANO,MATCH($G1101,SUBCATEGORIAS_PLANO,0)),"Não classificado"))</f>
        <v/>
      </c>
      <c r="AG1101" s="17">
        <f>IF($G1101="","",IFERROR(INDEX(TIPOS_FLUXO_PLANO,MATCH($G1101,SUBCATEGORIAS_PLANO,0)),"Não classificado"))</f>
        <v/>
      </c>
      <c r="AH1101" s="9">
        <f>IF($G1101="","",IFERROR(INDEX(GRUPOS_PLANO,MATCH($G1101,SUBCATEGORIAS_PLANO,0)),"Não classificado"))</f>
        <v/>
      </c>
      <c r="AI1101" s="24">
        <f>IF(OR($C1101="",$X1101="Pago",$X1101="Recebido",$X1101="Cancelado"),"",$C1101-TODAY())</f>
        <v/>
      </c>
      <c r="AJ1101" s="24">
        <f>IF(OR($C1101="",$X1101="Pago",$X1101="Recebido",$X1101="Cancelado"),0,MAX(0,TODAY()-$C1101))</f>
        <v/>
      </c>
      <c r="AK1101" s="24">
        <f>IF($D1101="","",$D1101-$B1101)</f>
        <v/>
      </c>
      <c r="AL1101" s="18">
        <f>IF(OR($D1101="",$B1101=""),"",ROUND(N($R1101)*($D1101-$B1101),2))</f>
        <v/>
      </c>
      <c r="AM1101" s="17">
        <f>IF(AND($E1101="Saída",$W1101&gt;0,$C1101&lt;&gt;""),$C1101+ROW()/1000000,"")</f>
        <v/>
      </c>
      <c r="AN1101" s="17">
        <f>IF(AND($E1101="Entrada",$W1101&gt;0,$C1101&lt;&gt;""),$C1101+ROW()/1000000,"")</f>
        <v/>
      </c>
      <c r="AO1101" s="9">
        <f>IF(COUNTA($B1101:$R1101)=0,"",IF(AND($I1101&lt;&gt;"",COUNTIF(CLIENTES_NOMES,$I1101)+COUNTIF(CLIENTES_FANTASIA,$I1101)+COUNTIF(FORNECEDORES_NOMES,$I1101)+COUNTIF(FORNECEDORES_FANTASIA,$I1101)=0),"⚠ Cliente/Fornecedor não cadastrado",IF(AND($G1101&lt;&gt;"",COUNTIF(SUBCATEGORIAS_PLANO,$G1101)=0),"⚠ Subcategoria fora do plano de contas",IF(OR($Q1101="",N($Q1101)=0),"⚠ Valor previsto não informado",IF(AND(OR($X1101="Pago",$X1101="Recebido"),$D1101=""),"⚠ Status pago/recebido sem data",IF(AND($D1101&lt;&gt;"",N($R1101)=0),"⚠ Data de pagamento sem valor realizado",IF(AND(N($P1101)&gt;1,N($O1101)&gt;N($P1101)),"⚠ Nº da parcela maior que o total",IF(AND($C1101&lt;&gt;"",$B1101&lt;&gt;"",$C1101&lt;$B1101),"⚠ Vencimento anterior à competência","OK"))))))))</f>
        <v/>
      </c>
    </row>
    <row r="1102">
      <c r="A1102" s="14" t="n"/>
      <c r="B1102" s="36" t="n"/>
      <c r="C1102" s="36" t="n"/>
      <c r="D1102" s="36" t="n"/>
      <c r="E1102" s="14" t="n"/>
      <c r="F1102" s="29" t="n"/>
      <c r="G1102" s="29" t="n"/>
      <c r="H1102" s="29" t="n"/>
      <c r="I1102" s="29" t="n"/>
      <c r="J1102" s="29" t="n"/>
      <c r="K1102" s="14" t="n"/>
      <c r="L1102" s="29" t="n"/>
      <c r="M1102" s="14" t="n"/>
      <c r="N1102" s="29" t="n"/>
      <c r="O1102" s="13" t="n"/>
      <c r="P1102" s="13" t="n"/>
      <c r="Q1102" s="35" t="n"/>
      <c r="R1102" s="35" t="n"/>
      <c r="S1102" s="35" t="n"/>
      <c r="T1102" s="35" t="n"/>
      <c r="U1102" s="35" t="n"/>
      <c r="V1102" s="18">
        <f>IF(COUNTA($B1102:$R1102)=0,"",ROUND(N($R1102)+N($S1102)+N($T1102)-N($U1102),2))</f>
        <v/>
      </c>
      <c r="W1102" s="18">
        <f>IF(COUNTA($B1102:$R1102)=0,"",IF(OR($X1102="Pago",$X1102="Recebido",$X1102="Cancelado"),0,ROUND(N($Q1102)+N($S1102)+N($T1102)-N($U1102)-N($R1102),2)))</f>
        <v/>
      </c>
      <c r="X1102" s="14" t="n"/>
      <c r="Y1102" s="17">
        <f>IF(COUNTA($B1102:$R1102)=0,"",IF($X1102="Cancelado","Cancelado",IF(OR($X1102="Pago",$X1102="Recebido"),$X1102,IF(OR($X1102="Parcial",N($R1102)&gt;0),"Parcial",IF($C1102="","Sem vencimento",IF($C1102&lt;TODAY(),"Vencido",IF($C1102=TODAY(),"Vence hoje",IF($C1102&lt;=TODAY()+7,"Vence em 7 dias",IF($C1102&lt;=TODAY()+30,"Vence em 30 dias","Futuro")))))))))</f>
        <v/>
      </c>
      <c r="Z1102" s="24">
        <f>IF($B1102="","",MONTH($B1102))</f>
        <v/>
      </c>
      <c r="AA1102" s="24">
        <f>IF($B1102="","",YEAR($B1102))</f>
        <v/>
      </c>
      <c r="AB1102" s="24">
        <f>IF($B1102="","",ISOWEEKNUM($B1102))</f>
        <v/>
      </c>
      <c r="AC1102" s="17">
        <f>IF($B1102="","",CHOOSE(WEEKDAY($B1102,2),"Segunda","Terça","Quarta","Quinta","Sexta","Sábado","Domingo"))</f>
        <v/>
      </c>
      <c r="AD1102" s="17">
        <f>IF($B1102="","",TEXT($B1102,"MM/AAAA"))</f>
        <v/>
      </c>
      <c r="AE1102" s="18">
        <f>IF(COUNTA($B1102:$R1102)=0,"",IF($X1102="Cancelado",0,ROUND(N($Q1102)+N($S1102)+N($T1102)-N($U1102),2)))</f>
        <v/>
      </c>
      <c r="AF1102" s="9">
        <f>IF($G1102="","",IFERROR(INDEX(LINHAS_DRE_PLANO,MATCH($G1102,SUBCATEGORIAS_PLANO,0)),"Não classificado"))</f>
        <v/>
      </c>
      <c r="AG1102" s="17">
        <f>IF($G1102="","",IFERROR(INDEX(TIPOS_FLUXO_PLANO,MATCH($G1102,SUBCATEGORIAS_PLANO,0)),"Não classificado"))</f>
        <v/>
      </c>
      <c r="AH1102" s="9">
        <f>IF($G1102="","",IFERROR(INDEX(GRUPOS_PLANO,MATCH($G1102,SUBCATEGORIAS_PLANO,0)),"Não classificado"))</f>
        <v/>
      </c>
      <c r="AI1102" s="24">
        <f>IF(OR($C1102="",$X1102="Pago",$X1102="Recebido",$X1102="Cancelado"),"",$C1102-TODAY())</f>
        <v/>
      </c>
      <c r="AJ1102" s="24">
        <f>IF(OR($C1102="",$X1102="Pago",$X1102="Recebido",$X1102="Cancelado"),0,MAX(0,TODAY()-$C1102))</f>
        <v/>
      </c>
      <c r="AK1102" s="24">
        <f>IF($D1102="","",$D1102-$B1102)</f>
        <v/>
      </c>
      <c r="AL1102" s="18">
        <f>IF(OR($D1102="",$B1102=""),"",ROUND(N($R1102)*($D1102-$B1102),2))</f>
        <v/>
      </c>
      <c r="AM1102" s="17">
        <f>IF(AND($E1102="Saída",$W1102&gt;0,$C1102&lt;&gt;""),$C1102+ROW()/1000000,"")</f>
        <v/>
      </c>
      <c r="AN1102" s="17">
        <f>IF(AND($E1102="Entrada",$W1102&gt;0,$C1102&lt;&gt;""),$C1102+ROW()/1000000,"")</f>
        <v/>
      </c>
      <c r="AO1102" s="9">
        <f>IF(COUNTA($B1102:$R1102)=0,"",IF(AND($I1102&lt;&gt;"",COUNTIF(CLIENTES_NOMES,$I1102)+COUNTIF(CLIENTES_FANTASIA,$I1102)+COUNTIF(FORNECEDORES_NOMES,$I1102)+COUNTIF(FORNECEDORES_FANTASIA,$I1102)=0),"⚠ Cliente/Fornecedor não cadastrado",IF(AND($G1102&lt;&gt;"",COUNTIF(SUBCATEGORIAS_PLANO,$G1102)=0),"⚠ Subcategoria fora do plano de contas",IF(OR($Q1102="",N($Q1102)=0),"⚠ Valor previsto não informado",IF(AND(OR($X1102="Pago",$X1102="Recebido"),$D1102=""),"⚠ Status pago/recebido sem data",IF(AND($D1102&lt;&gt;"",N($R1102)=0),"⚠ Data de pagamento sem valor realizado",IF(AND(N($P1102)&gt;1,N($O1102)&gt;N($P1102)),"⚠ Nº da parcela maior que o total",IF(AND($C1102&lt;&gt;"",$B1102&lt;&gt;"",$C1102&lt;$B1102),"⚠ Vencimento anterior à competência","OK"))))))))</f>
        <v/>
      </c>
    </row>
    <row r="1103">
      <c r="A1103" s="14" t="n"/>
      <c r="B1103" s="36" t="n"/>
      <c r="C1103" s="36" t="n"/>
      <c r="D1103" s="36" t="n"/>
      <c r="E1103" s="14" t="n"/>
      <c r="F1103" s="29" t="n"/>
      <c r="G1103" s="29" t="n"/>
      <c r="H1103" s="29" t="n"/>
      <c r="I1103" s="29" t="n"/>
      <c r="J1103" s="29" t="n"/>
      <c r="K1103" s="14" t="n"/>
      <c r="L1103" s="29" t="n"/>
      <c r="M1103" s="14" t="n"/>
      <c r="N1103" s="29" t="n"/>
      <c r="O1103" s="13" t="n"/>
      <c r="P1103" s="13" t="n"/>
      <c r="Q1103" s="35" t="n"/>
      <c r="R1103" s="35" t="n"/>
      <c r="S1103" s="35" t="n"/>
      <c r="T1103" s="35" t="n"/>
      <c r="U1103" s="35" t="n"/>
      <c r="V1103" s="18">
        <f>IF(COUNTA($B1103:$R1103)=0,"",ROUND(N($R1103)+N($S1103)+N($T1103)-N($U1103),2))</f>
        <v/>
      </c>
      <c r="W1103" s="18">
        <f>IF(COUNTA($B1103:$R1103)=0,"",IF(OR($X1103="Pago",$X1103="Recebido",$X1103="Cancelado"),0,ROUND(N($Q1103)+N($S1103)+N($T1103)-N($U1103)-N($R1103),2)))</f>
        <v/>
      </c>
      <c r="X1103" s="14" t="n"/>
      <c r="Y1103" s="17">
        <f>IF(COUNTA($B1103:$R1103)=0,"",IF($X1103="Cancelado","Cancelado",IF(OR($X1103="Pago",$X1103="Recebido"),$X1103,IF(OR($X1103="Parcial",N($R1103)&gt;0),"Parcial",IF($C1103="","Sem vencimento",IF($C1103&lt;TODAY(),"Vencido",IF($C1103=TODAY(),"Vence hoje",IF($C1103&lt;=TODAY()+7,"Vence em 7 dias",IF($C1103&lt;=TODAY()+30,"Vence em 30 dias","Futuro")))))))))</f>
        <v/>
      </c>
      <c r="Z1103" s="24">
        <f>IF($B1103="","",MONTH($B1103))</f>
        <v/>
      </c>
      <c r="AA1103" s="24">
        <f>IF($B1103="","",YEAR($B1103))</f>
        <v/>
      </c>
      <c r="AB1103" s="24">
        <f>IF($B1103="","",ISOWEEKNUM($B1103))</f>
        <v/>
      </c>
      <c r="AC1103" s="17">
        <f>IF($B1103="","",CHOOSE(WEEKDAY($B1103,2),"Segunda","Terça","Quarta","Quinta","Sexta","Sábado","Domingo"))</f>
        <v/>
      </c>
      <c r="AD1103" s="17">
        <f>IF($B1103="","",TEXT($B1103,"MM/AAAA"))</f>
        <v/>
      </c>
      <c r="AE1103" s="18">
        <f>IF(COUNTA($B1103:$R1103)=0,"",IF($X1103="Cancelado",0,ROUND(N($Q1103)+N($S1103)+N($T1103)-N($U1103),2)))</f>
        <v/>
      </c>
      <c r="AF1103" s="9">
        <f>IF($G1103="","",IFERROR(INDEX(LINHAS_DRE_PLANO,MATCH($G1103,SUBCATEGORIAS_PLANO,0)),"Não classificado"))</f>
        <v/>
      </c>
      <c r="AG1103" s="17">
        <f>IF($G1103="","",IFERROR(INDEX(TIPOS_FLUXO_PLANO,MATCH($G1103,SUBCATEGORIAS_PLANO,0)),"Não classificado"))</f>
        <v/>
      </c>
      <c r="AH1103" s="9">
        <f>IF($G1103="","",IFERROR(INDEX(GRUPOS_PLANO,MATCH($G1103,SUBCATEGORIAS_PLANO,0)),"Não classificado"))</f>
        <v/>
      </c>
      <c r="AI1103" s="24">
        <f>IF(OR($C1103="",$X1103="Pago",$X1103="Recebido",$X1103="Cancelado"),"",$C1103-TODAY())</f>
        <v/>
      </c>
      <c r="AJ1103" s="24">
        <f>IF(OR($C1103="",$X1103="Pago",$X1103="Recebido",$X1103="Cancelado"),0,MAX(0,TODAY()-$C1103))</f>
        <v/>
      </c>
      <c r="AK1103" s="24">
        <f>IF($D1103="","",$D1103-$B1103)</f>
        <v/>
      </c>
      <c r="AL1103" s="18">
        <f>IF(OR($D1103="",$B1103=""),"",ROUND(N($R1103)*($D1103-$B1103),2))</f>
        <v/>
      </c>
      <c r="AM1103" s="17">
        <f>IF(AND($E1103="Saída",$W1103&gt;0,$C1103&lt;&gt;""),$C1103+ROW()/1000000,"")</f>
        <v/>
      </c>
      <c r="AN1103" s="17">
        <f>IF(AND($E1103="Entrada",$W1103&gt;0,$C1103&lt;&gt;""),$C1103+ROW()/1000000,"")</f>
        <v/>
      </c>
      <c r="AO1103" s="9">
        <f>IF(COUNTA($B1103:$R1103)=0,"",IF(AND($I1103&lt;&gt;"",COUNTIF(CLIENTES_NOMES,$I1103)+COUNTIF(CLIENTES_FANTASIA,$I1103)+COUNTIF(FORNECEDORES_NOMES,$I1103)+COUNTIF(FORNECEDORES_FANTASIA,$I1103)=0),"⚠ Cliente/Fornecedor não cadastrado",IF(AND($G1103&lt;&gt;"",COUNTIF(SUBCATEGORIAS_PLANO,$G1103)=0),"⚠ Subcategoria fora do plano de contas",IF(OR($Q1103="",N($Q1103)=0),"⚠ Valor previsto não informado",IF(AND(OR($X1103="Pago",$X1103="Recebido"),$D1103=""),"⚠ Status pago/recebido sem data",IF(AND($D1103&lt;&gt;"",N($R1103)=0),"⚠ Data de pagamento sem valor realizado",IF(AND(N($P1103)&gt;1,N($O1103)&gt;N($P1103)),"⚠ Nº da parcela maior que o total",IF(AND($C1103&lt;&gt;"",$B1103&lt;&gt;"",$C1103&lt;$B1103),"⚠ Vencimento anterior à competência","OK"))))))))</f>
        <v/>
      </c>
    </row>
    <row r="1104">
      <c r="A1104" s="14" t="n"/>
      <c r="B1104" s="36" t="n"/>
      <c r="C1104" s="36" t="n"/>
      <c r="D1104" s="36" t="n"/>
      <c r="E1104" s="14" t="n"/>
      <c r="F1104" s="29" t="n"/>
      <c r="G1104" s="29" t="n"/>
      <c r="H1104" s="29" t="n"/>
      <c r="I1104" s="29" t="n"/>
      <c r="J1104" s="29" t="n"/>
      <c r="K1104" s="14" t="n"/>
      <c r="L1104" s="29" t="n"/>
      <c r="M1104" s="14" t="n"/>
      <c r="N1104" s="29" t="n"/>
      <c r="O1104" s="13" t="n"/>
      <c r="P1104" s="13" t="n"/>
      <c r="Q1104" s="35" t="n"/>
      <c r="R1104" s="35" t="n"/>
      <c r="S1104" s="35" t="n"/>
      <c r="T1104" s="35" t="n"/>
      <c r="U1104" s="35" t="n"/>
      <c r="V1104" s="18">
        <f>IF(COUNTA($B1104:$R1104)=0,"",ROUND(N($R1104)+N($S1104)+N($T1104)-N($U1104),2))</f>
        <v/>
      </c>
      <c r="W1104" s="18">
        <f>IF(COUNTA($B1104:$R1104)=0,"",IF(OR($X1104="Pago",$X1104="Recebido",$X1104="Cancelado"),0,ROUND(N($Q1104)+N($S1104)+N($T1104)-N($U1104)-N($R1104),2)))</f>
        <v/>
      </c>
      <c r="X1104" s="14" t="n"/>
      <c r="Y1104" s="17">
        <f>IF(COUNTA($B1104:$R1104)=0,"",IF($X1104="Cancelado","Cancelado",IF(OR($X1104="Pago",$X1104="Recebido"),$X1104,IF(OR($X1104="Parcial",N($R1104)&gt;0),"Parcial",IF($C1104="","Sem vencimento",IF($C1104&lt;TODAY(),"Vencido",IF($C1104=TODAY(),"Vence hoje",IF($C1104&lt;=TODAY()+7,"Vence em 7 dias",IF($C1104&lt;=TODAY()+30,"Vence em 30 dias","Futuro")))))))))</f>
        <v/>
      </c>
      <c r="Z1104" s="24">
        <f>IF($B1104="","",MONTH($B1104))</f>
        <v/>
      </c>
      <c r="AA1104" s="24">
        <f>IF($B1104="","",YEAR($B1104))</f>
        <v/>
      </c>
      <c r="AB1104" s="24">
        <f>IF($B1104="","",ISOWEEKNUM($B1104))</f>
        <v/>
      </c>
      <c r="AC1104" s="17">
        <f>IF($B1104="","",CHOOSE(WEEKDAY($B1104,2),"Segunda","Terça","Quarta","Quinta","Sexta","Sábado","Domingo"))</f>
        <v/>
      </c>
      <c r="AD1104" s="17">
        <f>IF($B1104="","",TEXT($B1104,"MM/AAAA"))</f>
        <v/>
      </c>
      <c r="AE1104" s="18">
        <f>IF(COUNTA($B1104:$R1104)=0,"",IF($X1104="Cancelado",0,ROUND(N($Q1104)+N($S1104)+N($T1104)-N($U1104),2)))</f>
        <v/>
      </c>
      <c r="AF1104" s="9">
        <f>IF($G1104="","",IFERROR(INDEX(LINHAS_DRE_PLANO,MATCH($G1104,SUBCATEGORIAS_PLANO,0)),"Não classificado"))</f>
        <v/>
      </c>
      <c r="AG1104" s="17">
        <f>IF($G1104="","",IFERROR(INDEX(TIPOS_FLUXO_PLANO,MATCH($G1104,SUBCATEGORIAS_PLANO,0)),"Não classificado"))</f>
        <v/>
      </c>
      <c r="AH1104" s="9">
        <f>IF($G1104="","",IFERROR(INDEX(GRUPOS_PLANO,MATCH($G1104,SUBCATEGORIAS_PLANO,0)),"Não classificado"))</f>
        <v/>
      </c>
      <c r="AI1104" s="24">
        <f>IF(OR($C1104="",$X1104="Pago",$X1104="Recebido",$X1104="Cancelado"),"",$C1104-TODAY())</f>
        <v/>
      </c>
      <c r="AJ1104" s="24">
        <f>IF(OR($C1104="",$X1104="Pago",$X1104="Recebido",$X1104="Cancelado"),0,MAX(0,TODAY()-$C1104))</f>
        <v/>
      </c>
      <c r="AK1104" s="24">
        <f>IF($D1104="","",$D1104-$B1104)</f>
        <v/>
      </c>
      <c r="AL1104" s="18">
        <f>IF(OR($D1104="",$B1104=""),"",ROUND(N($R1104)*($D1104-$B1104),2))</f>
        <v/>
      </c>
      <c r="AM1104" s="17">
        <f>IF(AND($E1104="Saída",$W1104&gt;0,$C1104&lt;&gt;""),$C1104+ROW()/1000000,"")</f>
        <v/>
      </c>
      <c r="AN1104" s="17">
        <f>IF(AND($E1104="Entrada",$W1104&gt;0,$C1104&lt;&gt;""),$C1104+ROW()/1000000,"")</f>
        <v/>
      </c>
      <c r="AO1104" s="9">
        <f>IF(COUNTA($B1104:$R1104)=0,"",IF(AND($I1104&lt;&gt;"",COUNTIF(CLIENTES_NOMES,$I1104)+COUNTIF(CLIENTES_FANTASIA,$I1104)+COUNTIF(FORNECEDORES_NOMES,$I1104)+COUNTIF(FORNECEDORES_FANTASIA,$I1104)=0),"⚠ Cliente/Fornecedor não cadastrado",IF(AND($G1104&lt;&gt;"",COUNTIF(SUBCATEGORIAS_PLANO,$G1104)=0),"⚠ Subcategoria fora do plano de contas",IF(OR($Q1104="",N($Q1104)=0),"⚠ Valor previsto não informado",IF(AND(OR($X1104="Pago",$X1104="Recebido"),$D1104=""),"⚠ Status pago/recebido sem data",IF(AND($D1104&lt;&gt;"",N($R1104)=0),"⚠ Data de pagamento sem valor realizado",IF(AND(N($P1104)&gt;1,N($O1104)&gt;N($P1104)),"⚠ Nº da parcela maior que o total",IF(AND($C1104&lt;&gt;"",$B1104&lt;&gt;"",$C1104&lt;$B1104),"⚠ Vencimento anterior à competência","OK"))))))))</f>
        <v/>
      </c>
    </row>
    <row r="1105">
      <c r="A1105" s="14" t="n"/>
      <c r="B1105" s="36" t="n"/>
      <c r="C1105" s="36" t="n"/>
      <c r="D1105" s="36" t="n"/>
      <c r="E1105" s="14" t="n"/>
      <c r="F1105" s="29" t="n"/>
      <c r="G1105" s="29" t="n"/>
      <c r="H1105" s="29" t="n"/>
      <c r="I1105" s="29" t="n"/>
      <c r="J1105" s="29" t="n"/>
      <c r="K1105" s="14" t="n"/>
      <c r="L1105" s="29" t="n"/>
      <c r="M1105" s="14" t="n"/>
      <c r="N1105" s="29" t="n"/>
      <c r="O1105" s="13" t="n"/>
      <c r="P1105" s="13" t="n"/>
      <c r="Q1105" s="35" t="n"/>
      <c r="R1105" s="35" t="n"/>
      <c r="S1105" s="35" t="n"/>
      <c r="T1105" s="35" t="n"/>
      <c r="U1105" s="35" t="n"/>
      <c r="V1105" s="18">
        <f>IF(COUNTA($B1105:$R1105)=0,"",ROUND(N($R1105)+N($S1105)+N($T1105)-N($U1105),2))</f>
        <v/>
      </c>
      <c r="W1105" s="18">
        <f>IF(COUNTA($B1105:$R1105)=0,"",IF(OR($X1105="Pago",$X1105="Recebido",$X1105="Cancelado"),0,ROUND(N($Q1105)+N($S1105)+N($T1105)-N($U1105)-N($R1105),2)))</f>
        <v/>
      </c>
      <c r="X1105" s="14" t="n"/>
      <c r="Y1105" s="17">
        <f>IF(COUNTA($B1105:$R1105)=0,"",IF($X1105="Cancelado","Cancelado",IF(OR($X1105="Pago",$X1105="Recebido"),$X1105,IF(OR($X1105="Parcial",N($R1105)&gt;0),"Parcial",IF($C1105="","Sem vencimento",IF($C1105&lt;TODAY(),"Vencido",IF($C1105=TODAY(),"Vence hoje",IF($C1105&lt;=TODAY()+7,"Vence em 7 dias",IF($C1105&lt;=TODAY()+30,"Vence em 30 dias","Futuro")))))))))</f>
        <v/>
      </c>
      <c r="Z1105" s="24">
        <f>IF($B1105="","",MONTH($B1105))</f>
        <v/>
      </c>
      <c r="AA1105" s="24">
        <f>IF($B1105="","",YEAR($B1105))</f>
        <v/>
      </c>
      <c r="AB1105" s="24">
        <f>IF($B1105="","",ISOWEEKNUM($B1105))</f>
        <v/>
      </c>
      <c r="AC1105" s="17">
        <f>IF($B1105="","",CHOOSE(WEEKDAY($B1105,2),"Segunda","Terça","Quarta","Quinta","Sexta","Sábado","Domingo"))</f>
        <v/>
      </c>
      <c r="AD1105" s="17">
        <f>IF($B1105="","",TEXT($B1105,"MM/AAAA"))</f>
        <v/>
      </c>
      <c r="AE1105" s="18">
        <f>IF(COUNTA($B1105:$R1105)=0,"",IF($X1105="Cancelado",0,ROUND(N($Q1105)+N($S1105)+N($T1105)-N($U1105),2)))</f>
        <v/>
      </c>
      <c r="AF1105" s="9">
        <f>IF($G1105="","",IFERROR(INDEX(LINHAS_DRE_PLANO,MATCH($G1105,SUBCATEGORIAS_PLANO,0)),"Não classificado"))</f>
        <v/>
      </c>
      <c r="AG1105" s="17">
        <f>IF($G1105="","",IFERROR(INDEX(TIPOS_FLUXO_PLANO,MATCH($G1105,SUBCATEGORIAS_PLANO,0)),"Não classificado"))</f>
        <v/>
      </c>
      <c r="AH1105" s="9">
        <f>IF($G1105="","",IFERROR(INDEX(GRUPOS_PLANO,MATCH($G1105,SUBCATEGORIAS_PLANO,0)),"Não classificado"))</f>
        <v/>
      </c>
      <c r="AI1105" s="24">
        <f>IF(OR($C1105="",$X1105="Pago",$X1105="Recebido",$X1105="Cancelado"),"",$C1105-TODAY())</f>
        <v/>
      </c>
      <c r="AJ1105" s="24">
        <f>IF(OR($C1105="",$X1105="Pago",$X1105="Recebido",$X1105="Cancelado"),0,MAX(0,TODAY()-$C1105))</f>
        <v/>
      </c>
      <c r="AK1105" s="24">
        <f>IF($D1105="","",$D1105-$B1105)</f>
        <v/>
      </c>
      <c r="AL1105" s="18">
        <f>IF(OR($D1105="",$B1105=""),"",ROUND(N($R1105)*($D1105-$B1105),2))</f>
        <v/>
      </c>
      <c r="AM1105" s="17">
        <f>IF(AND($E1105="Saída",$W1105&gt;0,$C1105&lt;&gt;""),$C1105+ROW()/1000000,"")</f>
        <v/>
      </c>
      <c r="AN1105" s="17">
        <f>IF(AND($E1105="Entrada",$W1105&gt;0,$C1105&lt;&gt;""),$C1105+ROW()/1000000,"")</f>
        <v/>
      </c>
      <c r="AO1105" s="9">
        <f>IF(COUNTA($B1105:$R1105)=0,"",IF(AND($I1105&lt;&gt;"",COUNTIF(CLIENTES_NOMES,$I1105)+COUNTIF(CLIENTES_FANTASIA,$I1105)+COUNTIF(FORNECEDORES_NOMES,$I1105)+COUNTIF(FORNECEDORES_FANTASIA,$I1105)=0),"⚠ Cliente/Fornecedor não cadastrado",IF(AND($G1105&lt;&gt;"",COUNTIF(SUBCATEGORIAS_PLANO,$G1105)=0),"⚠ Subcategoria fora do plano de contas",IF(OR($Q1105="",N($Q1105)=0),"⚠ Valor previsto não informado",IF(AND(OR($X1105="Pago",$X1105="Recebido"),$D1105=""),"⚠ Status pago/recebido sem data",IF(AND($D1105&lt;&gt;"",N($R1105)=0),"⚠ Data de pagamento sem valor realizado",IF(AND(N($P1105)&gt;1,N($O1105)&gt;N($P1105)),"⚠ Nº da parcela maior que o total",IF(AND($C1105&lt;&gt;"",$B1105&lt;&gt;"",$C1105&lt;$B1105),"⚠ Vencimento anterior à competência","OK"))))))))</f>
        <v/>
      </c>
    </row>
    <row r="1106">
      <c r="A1106" s="14" t="n"/>
      <c r="B1106" s="36" t="n"/>
      <c r="C1106" s="36" t="n"/>
      <c r="D1106" s="36" t="n"/>
      <c r="E1106" s="14" t="n"/>
      <c r="F1106" s="29" t="n"/>
      <c r="G1106" s="29" t="n"/>
      <c r="H1106" s="29" t="n"/>
      <c r="I1106" s="29" t="n"/>
      <c r="J1106" s="29" t="n"/>
      <c r="K1106" s="14" t="n"/>
      <c r="L1106" s="29" t="n"/>
      <c r="M1106" s="14" t="n"/>
      <c r="N1106" s="29" t="n"/>
      <c r="O1106" s="13" t="n"/>
      <c r="P1106" s="13" t="n"/>
      <c r="Q1106" s="35" t="n"/>
      <c r="R1106" s="35" t="n"/>
      <c r="S1106" s="35" t="n"/>
      <c r="T1106" s="35" t="n"/>
      <c r="U1106" s="35" t="n"/>
      <c r="V1106" s="18">
        <f>IF(COUNTA($B1106:$R1106)=0,"",ROUND(N($R1106)+N($S1106)+N($T1106)-N($U1106),2))</f>
        <v/>
      </c>
      <c r="W1106" s="18">
        <f>IF(COUNTA($B1106:$R1106)=0,"",IF(OR($X1106="Pago",$X1106="Recebido",$X1106="Cancelado"),0,ROUND(N($Q1106)+N($S1106)+N($T1106)-N($U1106)-N($R1106),2)))</f>
        <v/>
      </c>
      <c r="X1106" s="14" t="n"/>
      <c r="Y1106" s="17">
        <f>IF(COUNTA($B1106:$R1106)=0,"",IF($X1106="Cancelado","Cancelado",IF(OR($X1106="Pago",$X1106="Recebido"),$X1106,IF(OR($X1106="Parcial",N($R1106)&gt;0),"Parcial",IF($C1106="","Sem vencimento",IF($C1106&lt;TODAY(),"Vencido",IF($C1106=TODAY(),"Vence hoje",IF($C1106&lt;=TODAY()+7,"Vence em 7 dias",IF($C1106&lt;=TODAY()+30,"Vence em 30 dias","Futuro")))))))))</f>
        <v/>
      </c>
      <c r="Z1106" s="24">
        <f>IF($B1106="","",MONTH($B1106))</f>
        <v/>
      </c>
      <c r="AA1106" s="24">
        <f>IF($B1106="","",YEAR($B1106))</f>
        <v/>
      </c>
      <c r="AB1106" s="24">
        <f>IF($B1106="","",ISOWEEKNUM($B1106))</f>
        <v/>
      </c>
      <c r="AC1106" s="17">
        <f>IF($B1106="","",CHOOSE(WEEKDAY($B1106,2),"Segunda","Terça","Quarta","Quinta","Sexta","Sábado","Domingo"))</f>
        <v/>
      </c>
      <c r="AD1106" s="17">
        <f>IF($B1106="","",TEXT($B1106,"MM/AAAA"))</f>
        <v/>
      </c>
      <c r="AE1106" s="18">
        <f>IF(COUNTA($B1106:$R1106)=0,"",IF($X1106="Cancelado",0,ROUND(N($Q1106)+N($S1106)+N($T1106)-N($U1106),2)))</f>
        <v/>
      </c>
      <c r="AF1106" s="9">
        <f>IF($G1106="","",IFERROR(INDEX(LINHAS_DRE_PLANO,MATCH($G1106,SUBCATEGORIAS_PLANO,0)),"Não classificado"))</f>
        <v/>
      </c>
      <c r="AG1106" s="17">
        <f>IF($G1106="","",IFERROR(INDEX(TIPOS_FLUXO_PLANO,MATCH($G1106,SUBCATEGORIAS_PLANO,0)),"Não classificado"))</f>
        <v/>
      </c>
      <c r="AH1106" s="9">
        <f>IF($G1106="","",IFERROR(INDEX(GRUPOS_PLANO,MATCH($G1106,SUBCATEGORIAS_PLANO,0)),"Não classificado"))</f>
        <v/>
      </c>
      <c r="AI1106" s="24">
        <f>IF(OR($C1106="",$X1106="Pago",$X1106="Recebido",$X1106="Cancelado"),"",$C1106-TODAY())</f>
        <v/>
      </c>
      <c r="AJ1106" s="24">
        <f>IF(OR($C1106="",$X1106="Pago",$X1106="Recebido",$X1106="Cancelado"),0,MAX(0,TODAY()-$C1106))</f>
        <v/>
      </c>
      <c r="AK1106" s="24">
        <f>IF($D1106="","",$D1106-$B1106)</f>
        <v/>
      </c>
      <c r="AL1106" s="18">
        <f>IF(OR($D1106="",$B1106=""),"",ROUND(N($R1106)*($D1106-$B1106),2))</f>
        <v/>
      </c>
      <c r="AM1106" s="17">
        <f>IF(AND($E1106="Saída",$W1106&gt;0,$C1106&lt;&gt;""),$C1106+ROW()/1000000,"")</f>
        <v/>
      </c>
      <c r="AN1106" s="17">
        <f>IF(AND($E1106="Entrada",$W1106&gt;0,$C1106&lt;&gt;""),$C1106+ROW()/1000000,"")</f>
        <v/>
      </c>
      <c r="AO1106" s="9">
        <f>IF(COUNTA($B1106:$R1106)=0,"",IF(AND($I1106&lt;&gt;"",COUNTIF(CLIENTES_NOMES,$I1106)+COUNTIF(CLIENTES_FANTASIA,$I1106)+COUNTIF(FORNECEDORES_NOMES,$I1106)+COUNTIF(FORNECEDORES_FANTASIA,$I1106)=0),"⚠ Cliente/Fornecedor não cadastrado",IF(AND($G1106&lt;&gt;"",COUNTIF(SUBCATEGORIAS_PLANO,$G1106)=0),"⚠ Subcategoria fora do plano de contas",IF(OR($Q1106="",N($Q1106)=0),"⚠ Valor previsto não informado",IF(AND(OR($X1106="Pago",$X1106="Recebido"),$D1106=""),"⚠ Status pago/recebido sem data",IF(AND($D1106&lt;&gt;"",N($R1106)=0),"⚠ Data de pagamento sem valor realizado",IF(AND(N($P1106)&gt;1,N($O1106)&gt;N($P1106)),"⚠ Nº da parcela maior que o total",IF(AND($C1106&lt;&gt;"",$B1106&lt;&gt;"",$C1106&lt;$B1106),"⚠ Vencimento anterior à competência","OK"))))))))</f>
        <v/>
      </c>
    </row>
    <row r="1107">
      <c r="A1107" s="14" t="n"/>
      <c r="B1107" s="36" t="n"/>
      <c r="C1107" s="36" t="n"/>
      <c r="D1107" s="36" t="n"/>
      <c r="E1107" s="14" t="n"/>
      <c r="F1107" s="29" t="n"/>
      <c r="G1107" s="29" t="n"/>
      <c r="H1107" s="29" t="n"/>
      <c r="I1107" s="29" t="n"/>
      <c r="J1107" s="29" t="n"/>
      <c r="K1107" s="14" t="n"/>
      <c r="L1107" s="29" t="n"/>
      <c r="M1107" s="14" t="n"/>
      <c r="N1107" s="29" t="n"/>
      <c r="O1107" s="13" t="n"/>
      <c r="P1107" s="13" t="n"/>
      <c r="Q1107" s="35" t="n"/>
      <c r="R1107" s="35" t="n"/>
      <c r="S1107" s="35" t="n"/>
      <c r="T1107" s="35" t="n"/>
      <c r="U1107" s="35" t="n"/>
      <c r="V1107" s="18">
        <f>IF(COUNTA($B1107:$R1107)=0,"",ROUND(N($R1107)+N($S1107)+N($T1107)-N($U1107),2))</f>
        <v/>
      </c>
      <c r="W1107" s="18">
        <f>IF(COUNTA($B1107:$R1107)=0,"",IF(OR($X1107="Pago",$X1107="Recebido",$X1107="Cancelado"),0,ROUND(N($Q1107)+N($S1107)+N($T1107)-N($U1107)-N($R1107),2)))</f>
        <v/>
      </c>
      <c r="X1107" s="14" t="n"/>
      <c r="Y1107" s="17">
        <f>IF(COUNTA($B1107:$R1107)=0,"",IF($X1107="Cancelado","Cancelado",IF(OR($X1107="Pago",$X1107="Recebido"),$X1107,IF(OR($X1107="Parcial",N($R1107)&gt;0),"Parcial",IF($C1107="","Sem vencimento",IF($C1107&lt;TODAY(),"Vencido",IF($C1107=TODAY(),"Vence hoje",IF($C1107&lt;=TODAY()+7,"Vence em 7 dias",IF($C1107&lt;=TODAY()+30,"Vence em 30 dias","Futuro")))))))))</f>
        <v/>
      </c>
      <c r="Z1107" s="24">
        <f>IF($B1107="","",MONTH($B1107))</f>
        <v/>
      </c>
      <c r="AA1107" s="24">
        <f>IF($B1107="","",YEAR($B1107))</f>
        <v/>
      </c>
      <c r="AB1107" s="24">
        <f>IF($B1107="","",ISOWEEKNUM($B1107))</f>
        <v/>
      </c>
      <c r="AC1107" s="17">
        <f>IF($B1107="","",CHOOSE(WEEKDAY($B1107,2),"Segunda","Terça","Quarta","Quinta","Sexta","Sábado","Domingo"))</f>
        <v/>
      </c>
      <c r="AD1107" s="17">
        <f>IF($B1107="","",TEXT($B1107,"MM/AAAA"))</f>
        <v/>
      </c>
      <c r="AE1107" s="18">
        <f>IF(COUNTA($B1107:$R1107)=0,"",IF($X1107="Cancelado",0,ROUND(N($Q1107)+N($S1107)+N($T1107)-N($U1107),2)))</f>
        <v/>
      </c>
      <c r="AF1107" s="9">
        <f>IF($G1107="","",IFERROR(INDEX(LINHAS_DRE_PLANO,MATCH($G1107,SUBCATEGORIAS_PLANO,0)),"Não classificado"))</f>
        <v/>
      </c>
      <c r="AG1107" s="17">
        <f>IF($G1107="","",IFERROR(INDEX(TIPOS_FLUXO_PLANO,MATCH($G1107,SUBCATEGORIAS_PLANO,0)),"Não classificado"))</f>
        <v/>
      </c>
      <c r="AH1107" s="9">
        <f>IF($G1107="","",IFERROR(INDEX(GRUPOS_PLANO,MATCH($G1107,SUBCATEGORIAS_PLANO,0)),"Não classificado"))</f>
        <v/>
      </c>
      <c r="AI1107" s="24">
        <f>IF(OR($C1107="",$X1107="Pago",$X1107="Recebido",$X1107="Cancelado"),"",$C1107-TODAY())</f>
        <v/>
      </c>
      <c r="AJ1107" s="24">
        <f>IF(OR($C1107="",$X1107="Pago",$X1107="Recebido",$X1107="Cancelado"),0,MAX(0,TODAY()-$C1107))</f>
        <v/>
      </c>
      <c r="AK1107" s="24">
        <f>IF($D1107="","",$D1107-$B1107)</f>
        <v/>
      </c>
      <c r="AL1107" s="18">
        <f>IF(OR($D1107="",$B1107=""),"",ROUND(N($R1107)*($D1107-$B1107),2))</f>
        <v/>
      </c>
      <c r="AM1107" s="17">
        <f>IF(AND($E1107="Saída",$W1107&gt;0,$C1107&lt;&gt;""),$C1107+ROW()/1000000,"")</f>
        <v/>
      </c>
      <c r="AN1107" s="17">
        <f>IF(AND($E1107="Entrada",$W1107&gt;0,$C1107&lt;&gt;""),$C1107+ROW()/1000000,"")</f>
        <v/>
      </c>
      <c r="AO1107" s="9">
        <f>IF(COUNTA($B1107:$R1107)=0,"",IF(AND($I1107&lt;&gt;"",COUNTIF(CLIENTES_NOMES,$I1107)+COUNTIF(CLIENTES_FANTASIA,$I1107)+COUNTIF(FORNECEDORES_NOMES,$I1107)+COUNTIF(FORNECEDORES_FANTASIA,$I1107)=0),"⚠ Cliente/Fornecedor não cadastrado",IF(AND($G1107&lt;&gt;"",COUNTIF(SUBCATEGORIAS_PLANO,$G1107)=0),"⚠ Subcategoria fora do plano de contas",IF(OR($Q1107="",N($Q1107)=0),"⚠ Valor previsto não informado",IF(AND(OR($X1107="Pago",$X1107="Recebido"),$D1107=""),"⚠ Status pago/recebido sem data",IF(AND($D1107&lt;&gt;"",N($R1107)=0),"⚠ Data de pagamento sem valor realizado",IF(AND(N($P1107)&gt;1,N($O1107)&gt;N($P1107)),"⚠ Nº da parcela maior que o total",IF(AND($C1107&lt;&gt;"",$B1107&lt;&gt;"",$C1107&lt;$B1107),"⚠ Vencimento anterior à competência","OK"))))))))</f>
        <v/>
      </c>
    </row>
    <row r="1108">
      <c r="A1108" s="14" t="n"/>
      <c r="B1108" s="36" t="n"/>
      <c r="C1108" s="36" t="n"/>
      <c r="D1108" s="36" t="n"/>
      <c r="E1108" s="14" t="n"/>
      <c r="F1108" s="29" t="n"/>
      <c r="G1108" s="29" t="n"/>
      <c r="H1108" s="29" t="n"/>
      <c r="I1108" s="29" t="n"/>
      <c r="J1108" s="29" t="n"/>
      <c r="K1108" s="14" t="n"/>
      <c r="L1108" s="29" t="n"/>
      <c r="M1108" s="14" t="n"/>
      <c r="N1108" s="29" t="n"/>
      <c r="O1108" s="13" t="n"/>
      <c r="P1108" s="13" t="n"/>
      <c r="Q1108" s="35" t="n"/>
      <c r="R1108" s="35" t="n"/>
      <c r="S1108" s="35" t="n"/>
      <c r="T1108" s="35" t="n"/>
      <c r="U1108" s="35" t="n"/>
      <c r="V1108" s="18">
        <f>IF(COUNTA($B1108:$R1108)=0,"",ROUND(N($R1108)+N($S1108)+N($T1108)-N($U1108),2))</f>
        <v/>
      </c>
      <c r="W1108" s="18">
        <f>IF(COUNTA($B1108:$R1108)=0,"",IF(OR($X1108="Pago",$X1108="Recebido",$X1108="Cancelado"),0,ROUND(N($Q1108)+N($S1108)+N($T1108)-N($U1108)-N($R1108),2)))</f>
        <v/>
      </c>
      <c r="X1108" s="14" t="n"/>
      <c r="Y1108" s="17">
        <f>IF(COUNTA($B1108:$R1108)=0,"",IF($X1108="Cancelado","Cancelado",IF(OR($X1108="Pago",$X1108="Recebido"),$X1108,IF(OR($X1108="Parcial",N($R1108)&gt;0),"Parcial",IF($C1108="","Sem vencimento",IF($C1108&lt;TODAY(),"Vencido",IF($C1108=TODAY(),"Vence hoje",IF($C1108&lt;=TODAY()+7,"Vence em 7 dias",IF($C1108&lt;=TODAY()+30,"Vence em 30 dias","Futuro")))))))))</f>
        <v/>
      </c>
      <c r="Z1108" s="24">
        <f>IF($B1108="","",MONTH($B1108))</f>
        <v/>
      </c>
      <c r="AA1108" s="24">
        <f>IF($B1108="","",YEAR($B1108))</f>
        <v/>
      </c>
      <c r="AB1108" s="24">
        <f>IF($B1108="","",ISOWEEKNUM($B1108))</f>
        <v/>
      </c>
      <c r="AC1108" s="17">
        <f>IF($B1108="","",CHOOSE(WEEKDAY($B1108,2),"Segunda","Terça","Quarta","Quinta","Sexta","Sábado","Domingo"))</f>
        <v/>
      </c>
      <c r="AD1108" s="17">
        <f>IF($B1108="","",TEXT($B1108,"MM/AAAA"))</f>
        <v/>
      </c>
      <c r="AE1108" s="18">
        <f>IF(COUNTA($B1108:$R1108)=0,"",IF($X1108="Cancelado",0,ROUND(N($Q1108)+N($S1108)+N($T1108)-N($U1108),2)))</f>
        <v/>
      </c>
      <c r="AF1108" s="9">
        <f>IF($G1108="","",IFERROR(INDEX(LINHAS_DRE_PLANO,MATCH($G1108,SUBCATEGORIAS_PLANO,0)),"Não classificado"))</f>
        <v/>
      </c>
      <c r="AG1108" s="17">
        <f>IF($G1108="","",IFERROR(INDEX(TIPOS_FLUXO_PLANO,MATCH($G1108,SUBCATEGORIAS_PLANO,0)),"Não classificado"))</f>
        <v/>
      </c>
      <c r="AH1108" s="9">
        <f>IF($G1108="","",IFERROR(INDEX(GRUPOS_PLANO,MATCH($G1108,SUBCATEGORIAS_PLANO,0)),"Não classificado"))</f>
        <v/>
      </c>
      <c r="AI1108" s="24">
        <f>IF(OR($C1108="",$X1108="Pago",$X1108="Recebido",$X1108="Cancelado"),"",$C1108-TODAY())</f>
        <v/>
      </c>
      <c r="AJ1108" s="24">
        <f>IF(OR($C1108="",$X1108="Pago",$X1108="Recebido",$X1108="Cancelado"),0,MAX(0,TODAY()-$C1108))</f>
        <v/>
      </c>
      <c r="AK1108" s="24">
        <f>IF($D1108="","",$D1108-$B1108)</f>
        <v/>
      </c>
      <c r="AL1108" s="18">
        <f>IF(OR($D1108="",$B1108=""),"",ROUND(N($R1108)*($D1108-$B1108),2))</f>
        <v/>
      </c>
      <c r="AM1108" s="17">
        <f>IF(AND($E1108="Saída",$W1108&gt;0,$C1108&lt;&gt;""),$C1108+ROW()/1000000,"")</f>
        <v/>
      </c>
      <c r="AN1108" s="17">
        <f>IF(AND($E1108="Entrada",$W1108&gt;0,$C1108&lt;&gt;""),$C1108+ROW()/1000000,"")</f>
        <v/>
      </c>
      <c r="AO1108" s="9">
        <f>IF(COUNTA($B1108:$R1108)=0,"",IF(AND($I1108&lt;&gt;"",COUNTIF(CLIENTES_NOMES,$I1108)+COUNTIF(CLIENTES_FANTASIA,$I1108)+COUNTIF(FORNECEDORES_NOMES,$I1108)+COUNTIF(FORNECEDORES_FANTASIA,$I1108)=0),"⚠ Cliente/Fornecedor não cadastrado",IF(AND($G1108&lt;&gt;"",COUNTIF(SUBCATEGORIAS_PLANO,$G1108)=0),"⚠ Subcategoria fora do plano de contas",IF(OR($Q1108="",N($Q1108)=0),"⚠ Valor previsto não informado",IF(AND(OR($X1108="Pago",$X1108="Recebido"),$D1108=""),"⚠ Status pago/recebido sem data",IF(AND($D1108&lt;&gt;"",N($R1108)=0),"⚠ Data de pagamento sem valor realizado",IF(AND(N($P1108)&gt;1,N($O1108)&gt;N($P1108)),"⚠ Nº da parcela maior que o total",IF(AND($C1108&lt;&gt;"",$B1108&lt;&gt;"",$C1108&lt;$B1108),"⚠ Vencimento anterior à competência","OK"))))))))</f>
        <v/>
      </c>
    </row>
    <row r="1109">
      <c r="A1109" s="14" t="n"/>
      <c r="B1109" s="36" t="n"/>
      <c r="C1109" s="36" t="n"/>
      <c r="D1109" s="36" t="n"/>
      <c r="E1109" s="14" t="n"/>
      <c r="F1109" s="29" t="n"/>
      <c r="G1109" s="29" t="n"/>
      <c r="H1109" s="29" t="n"/>
      <c r="I1109" s="29" t="n"/>
      <c r="J1109" s="29" t="n"/>
      <c r="K1109" s="14" t="n"/>
      <c r="L1109" s="29" t="n"/>
      <c r="M1109" s="14" t="n"/>
      <c r="N1109" s="29" t="n"/>
      <c r="O1109" s="13" t="n"/>
      <c r="P1109" s="13" t="n"/>
      <c r="Q1109" s="35" t="n"/>
      <c r="R1109" s="35" t="n"/>
      <c r="S1109" s="35" t="n"/>
      <c r="T1109" s="35" t="n"/>
      <c r="U1109" s="35" t="n"/>
      <c r="V1109" s="18">
        <f>IF(COUNTA($B1109:$R1109)=0,"",ROUND(N($R1109)+N($S1109)+N($T1109)-N($U1109),2))</f>
        <v/>
      </c>
      <c r="W1109" s="18">
        <f>IF(COUNTA($B1109:$R1109)=0,"",IF(OR($X1109="Pago",$X1109="Recebido",$X1109="Cancelado"),0,ROUND(N($Q1109)+N($S1109)+N($T1109)-N($U1109)-N($R1109),2)))</f>
        <v/>
      </c>
      <c r="X1109" s="14" t="n"/>
      <c r="Y1109" s="17">
        <f>IF(COUNTA($B1109:$R1109)=0,"",IF($X1109="Cancelado","Cancelado",IF(OR($X1109="Pago",$X1109="Recebido"),$X1109,IF(OR($X1109="Parcial",N($R1109)&gt;0),"Parcial",IF($C1109="","Sem vencimento",IF($C1109&lt;TODAY(),"Vencido",IF($C1109=TODAY(),"Vence hoje",IF($C1109&lt;=TODAY()+7,"Vence em 7 dias",IF($C1109&lt;=TODAY()+30,"Vence em 30 dias","Futuro")))))))))</f>
        <v/>
      </c>
      <c r="Z1109" s="24">
        <f>IF($B1109="","",MONTH($B1109))</f>
        <v/>
      </c>
      <c r="AA1109" s="24">
        <f>IF($B1109="","",YEAR($B1109))</f>
        <v/>
      </c>
      <c r="AB1109" s="24">
        <f>IF($B1109="","",ISOWEEKNUM($B1109))</f>
        <v/>
      </c>
      <c r="AC1109" s="17">
        <f>IF($B1109="","",CHOOSE(WEEKDAY($B1109,2),"Segunda","Terça","Quarta","Quinta","Sexta","Sábado","Domingo"))</f>
        <v/>
      </c>
      <c r="AD1109" s="17">
        <f>IF($B1109="","",TEXT($B1109,"MM/AAAA"))</f>
        <v/>
      </c>
      <c r="AE1109" s="18">
        <f>IF(COUNTA($B1109:$R1109)=0,"",IF($X1109="Cancelado",0,ROUND(N($Q1109)+N($S1109)+N($T1109)-N($U1109),2)))</f>
        <v/>
      </c>
      <c r="AF1109" s="9">
        <f>IF($G1109="","",IFERROR(INDEX(LINHAS_DRE_PLANO,MATCH($G1109,SUBCATEGORIAS_PLANO,0)),"Não classificado"))</f>
        <v/>
      </c>
      <c r="AG1109" s="17">
        <f>IF($G1109="","",IFERROR(INDEX(TIPOS_FLUXO_PLANO,MATCH($G1109,SUBCATEGORIAS_PLANO,0)),"Não classificado"))</f>
        <v/>
      </c>
      <c r="AH1109" s="9">
        <f>IF($G1109="","",IFERROR(INDEX(GRUPOS_PLANO,MATCH($G1109,SUBCATEGORIAS_PLANO,0)),"Não classificado"))</f>
        <v/>
      </c>
      <c r="AI1109" s="24">
        <f>IF(OR($C1109="",$X1109="Pago",$X1109="Recebido",$X1109="Cancelado"),"",$C1109-TODAY())</f>
        <v/>
      </c>
      <c r="AJ1109" s="24">
        <f>IF(OR($C1109="",$X1109="Pago",$X1109="Recebido",$X1109="Cancelado"),0,MAX(0,TODAY()-$C1109))</f>
        <v/>
      </c>
      <c r="AK1109" s="24">
        <f>IF($D1109="","",$D1109-$B1109)</f>
        <v/>
      </c>
      <c r="AL1109" s="18">
        <f>IF(OR($D1109="",$B1109=""),"",ROUND(N($R1109)*($D1109-$B1109),2))</f>
        <v/>
      </c>
      <c r="AM1109" s="17">
        <f>IF(AND($E1109="Saída",$W1109&gt;0,$C1109&lt;&gt;""),$C1109+ROW()/1000000,"")</f>
        <v/>
      </c>
      <c r="AN1109" s="17">
        <f>IF(AND($E1109="Entrada",$W1109&gt;0,$C1109&lt;&gt;""),$C1109+ROW()/1000000,"")</f>
        <v/>
      </c>
      <c r="AO1109" s="9">
        <f>IF(COUNTA($B1109:$R1109)=0,"",IF(AND($I1109&lt;&gt;"",COUNTIF(CLIENTES_NOMES,$I1109)+COUNTIF(CLIENTES_FANTASIA,$I1109)+COUNTIF(FORNECEDORES_NOMES,$I1109)+COUNTIF(FORNECEDORES_FANTASIA,$I1109)=0),"⚠ Cliente/Fornecedor não cadastrado",IF(AND($G1109&lt;&gt;"",COUNTIF(SUBCATEGORIAS_PLANO,$G1109)=0),"⚠ Subcategoria fora do plano de contas",IF(OR($Q1109="",N($Q1109)=0),"⚠ Valor previsto não informado",IF(AND(OR($X1109="Pago",$X1109="Recebido"),$D1109=""),"⚠ Status pago/recebido sem data",IF(AND($D1109&lt;&gt;"",N($R1109)=0),"⚠ Data de pagamento sem valor realizado",IF(AND(N($P1109)&gt;1,N($O1109)&gt;N($P1109)),"⚠ Nº da parcela maior que o total",IF(AND($C1109&lt;&gt;"",$B1109&lt;&gt;"",$C1109&lt;$B1109),"⚠ Vencimento anterior à competência","OK"))))))))</f>
        <v/>
      </c>
    </row>
    <row r="1110">
      <c r="A1110" s="14" t="n"/>
      <c r="B1110" s="36" t="n"/>
      <c r="C1110" s="36" t="n"/>
      <c r="D1110" s="36" t="n"/>
      <c r="E1110" s="14" t="n"/>
      <c r="F1110" s="29" t="n"/>
      <c r="G1110" s="29" t="n"/>
      <c r="H1110" s="29" t="n"/>
      <c r="I1110" s="29" t="n"/>
      <c r="J1110" s="29" t="n"/>
      <c r="K1110" s="14" t="n"/>
      <c r="L1110" s="29" t="n"/>
      <c r="M1110" s="14" t="n"/>
      <c r="N1110" s="29" t="n"/>
      <c r="O1110" s="13" t="n"/>
      <c r="P1110" s="13" t="n"/>
      <c r="Q1110" s="35" t="n"/>
      <c r="R1110" s="35" t="n"/>
      <c r="S1110" s="35" t="n"/>
      <c r="T1110" s="35" t="n"/>
      <c r="U1110" s="35" t="n"/>
      <c r="V1110" s="18">
        <f>IF(COUNTA($B1110:$R1110)=0,"",ROUND(N($R1110)+N($S1110)+N($T1110)-N($U1110),2))</f>
        <v/>
      </c>
      <c r="W1110" s="18">
        <f>IF(COUNTA($B1110:$R1110)=0,"",IF(OR($X1110="Pago",$X1110="Recebido",$X1110="Cancelado"),0,ROUND(N($Q1110)+N($S1110)+N($T1110)-N($U1110)-N($R1110),2)))</f>
        <v/>
      </c>
      <c r="X1110" s="14" t="n"/>
      <c r="Y1110" s="17">
        <f>IF(COUNTA($B1110:$R1110)=0,"",IF($X1110="Cancelado","Cancelado",IF(OR($X1110="Pago",$X1110="Recebido"),$X1110,IF(OR($X1110="Parcial",N($R1110)&gt;0),"Parcial",IF($C1110="","Sem vencimento",IF($C1110&lt;TODAY(),"Vencido",IF($C1110=TODAY(),"Vence hoje",IF($C1110&lt;=TODAY()+7,"Vence em 7 dias",IF($C1110&lt;=TODAY()+30,"Vence em 30 dias","Futuro")))))))))</f>
        <v/>
      </c>
      <c r="Z1110" s="24">
        <f>IF($B1110="","",MONTH($B1110))</f>
        <v/>
      </c>
      <c r="AA1110" s="24">
        <f>IF($B1110="","",YEAR($B1110))</f>
        <v/>
      </c>
      <c r="AB1110" s="24">
        <f>IF($B1110="","",ISOWEEKNUM($B1110))</f>
        <v/>
      </c>
      <c r="AC1110" s="17">
        <f>IF($B1110="","",CHOOSE(WEEKDAY($B1110,2),"Segunda","Terça","Quarta","Quinta","Sexta","Sábado","Domingo"))</f>
        <v/>
      </c>
      <c r="AD1110" s="17">
        <f>IF($B1110="","",TEXT($B1110,"MM/AAAA"))</f>
        <v/>
      </c>
      <c r="AE1110" s="18">
        <f>IF(COUNTA($B1110:$R1110)=0,"",IF($X1110="Cancelado",0,ROUND(N($Q1110)+N($S1110)+N($T1110)-N($U1110),2)))</f>
        <v/>
      </c>
      <c r="AF1110" s="9">
        <f>IF($G1110="","",IFERROR(INDEX(LINHAS_DRE_PLANO,MATCH($G1110,SUBCATEGORIAS_PLANO,0)),"Não classificado"))</f>
        <v/>
      </c>
      <c r="AG1110" s="17">
        <f>IF($G1110="","",IFERROR(INDEX(TIPOS_FLUXO_PLANO,MATCH($G1110,SUBCATEGORIAS_PLANO,0)),"Não classificado"))</f>
        <v/>
      </c>
      <c r="AH1110" s="9">
        <f>IF($G1110="","",IFERROR(INDEX(GRUPOS_PLANO,MATCH($G1110,SUBCATEGORIAS_PLANO,0)),"Não classificado"))</f>
        <v/>
      </c>
      <c r="AI1110" s="24">
        <f>IF(OR($C1110="",$X1110="Pago",$X1110="Recebido",$X1110="Cancelado"),"",$C1110-TODAY())</f>
        <v/>
      </c>
      <c r="AJ1110" s="24">
        <f>IF(OR($C1110="",$X1110="Pago",$X1110="Recebido",$X1110="Cancelado"),0,MAX(0,TODAY()-$C1110))</f>
        <v/>
      </c>
      <c r="AK1110" s="24">
        <f>IF($D1110="","",$D1110-$B1110)</f>
        <v/>
      </c>
      <c r="AL1110" s="18">
        <f>IF(OR($D1110="",$B1110=""),"",ROUND(N($R1110)*($D1110-$B1110),2))</f>
        <v/>
      </c>
      <c r="AM1110" s="17">
        <f>IF(AND($E1110="Saída",$W1110&gt;0,$C1110&lt;&gt;""),$C1110+ROW()/1000000,"")</f>
        <v/>
      </c>
      <c r="AN1110" s="17">
        <f>IF(AND($E1110="Entrada",$W1110&gt;0,$C1110&lt;&gt;""),$C1110+ROW()/1000000,"")</f>
        <v/>
      </c>
      <c r="AO1110" s="9">
        <f>IF(COUNTA($B1110:$R1110)=0,"",IF(AND($I1110&lt;&gt;"",COUNTIF(CLIENTES_NOMES,$I1110)+COUNTIF(CLIENTES_FANTASIA,$I1110)+COUNTIF(FORNECEDORES_NOMES,$I1110)+COUNTIF(FORNECEDORES_FANTASIA,$I1110)=0),"⚠ Cliente/Fornecedor não cadastrado",IF(AND($G1110&lt;&gt;"",COUNTIF(SUBCATEGORIAS_PLANO,$G1110)=0),"⚠ Subcategoria fora do plano de contas",IF(OR($Q1110="",N($Q1110)=0),"⚠ Valor previsto não informado",IF(AND(OR($X1110="Pago",$X1110="Recebido"),$D1110=""),"⚠ Status pago/recebido sem data",IF(AND($D1110&lt;&gt;"",N($R1110)=0),"⚠ Data de pagamento sem valor realizado",IF(AND(N($P1110)&gt;1,N($O1110)&gt;N($P1110)),"⚠ Nº da parcela maior que o total",IF(AND($C1110&lt;&gt;"",$B1110&lt;&gt;"",$C1110&lt;$B1110),"⚠ Vencimento anterior à competência","OK"))))))))</f>
        <v/>
      </c>
    </row>
    <row r="1111">
      <c r="A1111" s="14" t="n"/>
      <c r="B1111" s="36" t="n"/>
      <c r="C1111" s="36" t="n"/>
      <c r="D1111" s="36" t="n"/>
      <c r="E1111" s="14" t="n"/>
      <c r="F1111" s="29" t="n"/>
      <c r="G1111" s="29" t="n"/>
      <c r="H1111" s="29" t="n"/>
      <c r="I1111" s="29" t="n"/>
      <c r="J1111" s="29" t="n"/>
      <c r="K1111" s="14" t="n"/>
      <c r="L1111" s="29" t="n"/>
      <c r="M1111" s="14" t="n"/>
      <c r="N1111" s="29" t="n"/>
      <c r="O1111" s="13" t="n"/>
      <c r="P1111" s="13" t="n"/>
      <c r="Q1111" s="35" t="n"/>
      <c r="R1111" s="35" t="n"/>
      <c r="S1111" s="35" t="n"/>
      <c r="T1111" s="35" t="n"/>
      <c r="U1111" s="35" t="n"/>
      <c r="V1111" s="18">
        <f>IF(COUNTA($B1111:$R1111)=0,"",ROUND(N($R1111)+N($S1111)+N($T1111)-N($U1111),2))</f>
        <v/>
      </c>
      <c r="W1111" s="18">
        <f>IF(COUNTA($B1111:$R1111)=0,"",IF(OR($X1111="Pago",$X1111="Recebido",$X1111="Cancelado"),0,ROUND(N($Q1111)+N($S1111)+N($T1111)-N($U1111)-N($R1111),2)))</f>
        <v/>
      </c>
      <c r="X1111" s="14" t="n"/>
      <c r="Y1111" s="17">
        <f>IF(COUNTA($B1111:$R1111)=0,"",IF($X1111="Cancelado","Cancelado",IF(OR($X1111="Pago",$X1111="Recebido"),$X1111,IF(OR($X1111="Parcial",N($R1111)&gt;0),"Parcial",IF($C1111="","Sem vencimento",IF($C1111&lt;TODAY(),"Vencido",IF($C1111=TODAY(),"Vence hoje",IF($C1111&lt;=TODAY()+7,"Vence em 7 dias",IF($C1111&lt;=TODAY()+30,"Vence em 30 dias","Futuro")))))))))</f>
        <v/>
      </c>
      <c r="Z1111" s="24">
        <f>IF($B1111="","",MONTH($B1111))</f>
        <v/>
      </c>
      <c r="AA1111" s="24">
        <f>IF($B1111="","",YEAR($B1111))</f>
        <v/>
      </c>
      <c r="AB1111" s="24">
        <f>IF($B1111="","",ISOWEEKNUM($B1111))</f>
        <v/>
      </c>
      <c r="AC1111" s="17">
        <f>IF($B1111="","",CHOOSE(WEEKDAY($B1111,2),"Segunda","Terça","Quarta","Quinta","Sexta","Sábado","Domingo"))</f>
        <v/>
      </c>
      <c r="AD1111" s="17">
        <f>IF($B1111="","",TEXT($B1111,"MM/AAAA"))</f>
        <v/>
      </c>
      <c r="AE1111" s="18">
        <f>IF(COUNTA($B1111:$R1111)=0,"",IF($X1111="Cancelado",0,ROUND(N($Q1111)+N($S1111)+N($T1111)-N($U1111),2)))</f>
        <v/>
      </c>
      <c r="AF1111" s="9">
        <f>IF($G1111="","",IFERROR(INDEX(LINHAS_DRE_PLANO,MATCH($G1111,SUBCATEGORIAS_PLANO,0)),"Não classificado"))</f>
        <v/>
      </c>
      <c r="AG1111" s="17">
        <f>IF($G1111="","",IFERROR(INDEX(TIPOS_FLUXO_PLANO,MATCH($G1111,SUBCATEGORIAS_PLANO,0)),"Não classificado"))</f>
        <v/>
      </c>
      <c r="AH1111" s="9">
        <f>IF($G1111="","",IFERROR(INDEX(GRUPOS_PLANO,MATCH($G1111,SUBCATEGORIAS_PLANO,0)),"Não classificado"))</f>
        <v/>
      </c>
      <c r="AI1111" s="24">
        <f>IF(OR($C1111="",$X1111="Pago",$X1111="Recebido",$X1111="Cancelado"),"",$C1111-TODAY())</f>
        <v/>
      </c>
      <c r="AJ1111" s="24">
        <f>IF(OR($C1111="",$X1111="Pago",$X1111="Recebido",$X1111="Cancelado"),0,MAX(0,TODAY()-$C1111))</f>
        <v/>
      </c>
      <c r="AK1111" s="24">
        <f>IF($D1111="","",$D1111-$B1111)</f>
        <v/>
      </c>
      <c r="AL1111" s="18">
        <f>IF(OR($D1111="",$B1111=""),"",ROUND(N($R1111)*($D1111-$B1111),2))</f>
        <v/>
      </c>
      <c r="AM1111" s="17">
        <f>IF(AND($E1111="Saída",$W1111&gt;0,$C1111&lt;&gt;""),$C1111+ROW()/1000000,"")</f>
        <v/>
      </c>
      <c r="AN1111" s="17">
        <f>IF(AND($E1111="Entrada",$W1111&gt;0,$C1111&lt;&gt;""),$C1111+ROW()/1000000,"")</f>
        <v/>
      </c>
      <c r="AO1111" s="9">
        <f>IF(COUNTA($B1111:$R1111)=0,"",IF(AND($I1111&lt;&gt;"",COUNTIF(CLIENTES_NOMES,$I1111)+COUNTIF(CLIENTES_FANTASIA,$I1111)+COUNTIF(FORNECEDORES_NOMES,$I1111)+COUNTIF(FORNECEDORES_FANTASIA,$I1111)=0),"⚠ Cliente/Fornecedor não cadastrado",IF(AND($G1111&lt;&gt;"",COUNTIF(SUBCATEGORIAS_PLANO,$G1111)=0),"⚠ Subcategoria fora do plano de contas",IF(OR($Q1111="",N($Q1111)=0),"⚠ Valor previsto não informado",IF(AND(OR($X1111="Pago",$X1111="Recebido"),$D1111=""),"⚠ Status pago/recebido sem data",IF(AND($D1111&lt;&gt;"",N($R1111)=0),"⚠ Data de pagamento sem valor realizado",IF(AND(N($P1111)&gt;1,N($O1111)&gt;N($P1111)),"⚠ Nº da parcela maior que o total",IF(AND($C1111&lt;&gt;"",$B1111&lt;&gt;"",$C1111&lt;$B1111),"⚠ Vencimento anterior à competência","OK"))))))))</f>
        <v/>
      </c>
    </row>
    <row r="1112">
      <c r="A1112" s="14" t="n"/>
      <c r="B1112" s="36" t="n"/>
      <c r="C1112" s="36" t="n"/>
      <c r="D1112" s="36" t="n"/>
      <c r="E1112" s="14" t="n"/>
      <c r="F1112" s="29" t="n"/>
      <c r="G1112" s="29" t="n"/>
      <c r="H1112" s="29" t="n"/>
      <c r="I1112" s="29" t="n"/>
      <c r="J1112" s="29" t="n"/>
      <c r="K1112" s="14" t="n"/>
      <c r="L1112" s="29" t="n"/>
      <c r="M1112" s="14" t="n"/>
      <c r="N1112" s="29" t="n"/>
      <c r="O1112" s="13" t="n"/>
      <c r="P1112" s="13" t="n"/>
      <c r="Q1112" s="35" t="n"/>
      <c r="R1112" s="35" t="n"/>
      <c r="S1112" s="35" t="n"/>
      <c r="T1112" s="35" t="n"/>
      <c r="U1112" s="35" t="n"/>
      <c r="V1112" s="18">
        <f>IF(COUNTA($B1112:$R1112)=0,"",ROUND(N($R1112)+N($S1112)+N($T1112)-N($U1112),2))</f>
        <v/>
      </c>
      <c r="W1112" s="18">
        <f>IF(COUNTA($B1112:$R1112)=0,"",IF(OR($X1112="Pago",$X1112="Recebido",$X1112="Cancelado"),0,ROUND(N($Q1112)+N($S1112)+N($T1112)-N($U1112)-N($R1112),2)))</f>
        <v/>
      </c>
      <c r="X1112" s="14" t="n"/>
      <c r="Y1112" s="17">
        <f>IF(COUNTA($B1112:$R1112)=0,"",IF($X1112="Cancelado","Cancelado",IF(OR($X1112="Pago",$X1112="Recebido"),$X1112,IF(OR($X1112="Parcial",N($R1112)&gt;0),"Parcial",IF($C1112="","Sem vencimento",IF($C1112&lt;TODAY(),"Vencido",IF($C1112=TODAY(),"Vence hoje",IF($C1112&lt;=TODAY()+7,"Vence em 7 dias",IF($C1112&lt;=TODAY()+30,"Vence em 30 dias","Futuro")))))))))</f>
        <v/>
      </c>
      <c r="Z1112" s="24">
        <f>IF($B1112="","",MONTH($B1112))</f>
        <v/>
      </c>
      <c r="AA1112" s="24">
        <f>IF($B1112="","",YEAR($B1112))</f>
        <v/>
      </c>
      <c r="AB1112" s="24">
        <f>IF($B1112="","",ISOWEEKNUM($B1112))</f>
        <v/>
      </c>
      <c r="AC1112" s="17">
        <f>IF($B1112="","",CHOOSE(WEEKDAY($B1112,2),"Segunda","Terça","Quarta","Quinta","Sexta","Sábado","Domingo"))</f>
        <v/>
      </c>
      <c r="AD1112" s="17">
        <f>IF($B1112="","",TEXT($B1112,"MM/AAAA"))</f>
        <v/>
      </c>
      <c r="AE1112" s="18">
        <f>IF(COUNTA($B1112:$R1112)=0,"",IF($X1112="Cancelado",0,ROUND(N($Q1112)+N($S1112)+N($T1112)-N($U1112),2)))</f>
        <v/>
      </c>
      <c r="AF1112" s="9">
        <f>IF($G1112="","",IFERROR(INDEX(LINHAS_DRE_PLANO,MATCH($G1112,SUBCATEGORIAS_PLANO,0)),"Não classificado"))</f>
        <v/>
      </c>
      <c r="AG1112" s="17">
        <f>IF($G1112="","",IFERROR(INDEX(TIPOS_FLUXO_PLANO,MATCH($G1112,SUBCATEGORIAS_PLANO,0)),"Não classificado"))</f>
        <v/>
      </c>
      <c r="AH1112" s="9">
        <f>IF($G1112="","",IFERROR(INDEX(GRUPOS_PLANO,MATCH($G1112,SUBCATEGORIAS_PLANO,0)),"Não classificado"))</f>
        <v/>
      </c>
      <c r="AI1112" s="24">
        <f>IF(OR($C1112="",$X1112="Pago",$X1112="Recebido",$X1112="Cancelado"),"",$C1112-TODAY())</f>
        <v/>
      </c>
      <c r="AJ1112" s="24">
        <f>IF(OR($C1112="",$X1112="Pago",$X1112="Recebido",$X1112="Cancelado"),0,MAX(0,TODAY()-$C1112))</f>
        <v/>
      </c>
      <c r="AK1112" s="24">
        <f>IF($D1112="","",$D1112-$B1112)</f>
        <v/>
      </c>
      <c r="AL1112" s="18">
        <f>IF(OR($D1112="",$B1112=""),"",ROUND(N($R1112)*($D1112-$B1112),2))</f>
        <v/>
      </c>
      <c r="AM1112" s="17">
        <f>IF(AND($E1112="Saída",$W1112&gt;0,$C1112&lt;&gt;""),$C1112+ROW()/1000000,"")</f>
        <v/>
      </c>
      <c r="AN1112" s="17">
        <f>IF(AND($E1112="Entrada",$W1112&gt;0,$C1112&lt;&gt;""),$C1112+ROW()/1000000,"")</f>
        <v/>
      </c>
      <c r="AO1112" s="9">
        <f>IF(COUNTA($B1112:$R1112)=0,"",IF(AND($I1112&lt;&gt;"",COUNTIF(CLIENTES_NOMES,$I1112)+COUNTIF(CLIENTES_FANTASIA,$I1112)+COUNTIF(FORNECEDORES_NOMES,$I1112)+COUNTIF(FORNECEDORES_FANTASIA,$I1112)=0),"⚠ Cliente/Fornecedor não cadastrado",IF(AND($G1112&lt;&gt;"",COUNTIF(SUBCATEGORIAS_PLANO,$G1112)=0),"⚠ Subcategoria fora do plano de contas",IF(OR($Q1112="",N($Q1112)=0),"⚠ Valor previsto não informado",IF(AND(OR($X1112="Pago",$X1112="Recebido"),$D1112=""),"⚠ Status pago/recebido sem data",IF(AND($D1112&lt;&gt;"",N($R1112)=0),"⚠ Data de pagamento sem valor realizado",IF(AND(N($P1112)&gt;1,N($O1112)&gt;N($P1112)),"⚠ Nº da parcela maior que o total",IF(AND($C1112&lt;&gt;"",$B1112&lt;&gt;"",$C1112&lt;$B1112),"⚠ Vencimento anterior à competência","OK"))))))))</f>
        <v/>
      </c>
    </row>
    <row r="1113">
      <c r="A1113" s="14" t="n"/>
      <c r="B1113" s="36" t="n"/>
      <c r="C1113" s="36" t="n"/>
      <c r="D1113" s="36" t="n"/>
      <c r="E1113" s="14" t="n"/>
      <c r="F1113" s="29" t="n"/>
      <c r="G1113" s="29" t="n"/>
      <c r="H1113" s="29" t="n"/>
      <c r="I1113" s="29" t="n"/>
      <c r="J1113" s="29" t="n"/>
      <c r="K1113" s="14" t="n"/>
      <c r="L1113" s="29" t="n"/>
      <c r="M1113" s="14" t="n"/>
      <c r="N1113" s="29" t="n"/>
      <c r="O1113" s="13" t="n"/>
      <c r="P1113" s="13" t="n"/>
      <c r="Q1113" s="35" t="n"/>
      <c r="R1113" s="35" t="n"/>
      <c r="S1113" s="35" t="n"/>
      <c r="T1113" s="35" t="n"/>
      <c r="U1113" s="35" t="n"/>
      <c r="V1113" s="18">
        <f>IF(COUNTA($B1113:$R1113)=0,"",ROUND(N($R1113)+N($S1113)+N($T1113)-N($U1113),2))</f>
        <v/>
      </c>
      <c r="W1113" s="18">
        <f>IF(COUNTA($B1113:$R1113)=0,"",IF(OR($X1113="Pago",$X1113="Recebido",$X1113="Cancelado"),0,ROUND(N($Q1113)+N($S1113)+N($T1113)-N($U1113)-N($R1113),2)))</f>
        <v/>
      </c>
      <c r="X1113" s="14" t="n"/>
      <c r="Y1113" s="17">
        <f>IF(COUNTA($B1113:$R1113)=0,"",IF($X1113="Cancelado","Cancelado",IF(OR($X1113="Pago",$X1113="Recebido"),$X1113,IF(OR($X1113="Parcial",N($R1113)&gt;0),"Parcial",IF($C1113="","Sem vencimento",IF($C1113&lt;TODAY(),"Vencido",IF($C1113=TODAY(),"Vence hoje",IF($C1113&lt;=TODAY()+7,"Vence em 7 dias",IF($C1113&lt;=TODAY()+30,"Vence em 30 dias","Futuro")))))))))</f>
        <v/>
      </c>
      <c r="Z1113" s="24">
        <f>IF($B1113="","",MONTH($B1113))</f>
        <v/>
      </c>
      <c r="AA1113" s="24">
        <f>IF($B1113="","",YEAR($B1113))</f>
        <v/>
      </c>
      <c r="AB1113" s="24">
        <f>IF($B1113="","",ISOWEEKNUM($B1113))</f>
        <v/>
      </c>
      <c r="AC1113" s="17">
        <f>IF($B1113="","",CHOOSE(WEEKDAY($B1113,2),"Segunda","Terça","Quarta","Quinta","Sexta","Sábado","Domingo"))</f>
        <v/>
      </c>
      <c r="AD1113" s="17">
        <f>IF($B1113="","",TEXT($B1113,"MM/AAAA"))</f>
        <v/>
      </c>
      <c r="AE1113" s="18">
        <f>IF(COUNTA($B1113:$R1113)=0,"",IF($X1113="Cancelado",0,ROUND(N($Q1113)+N($S1113)+N($T1113)-N($U1113),2)))</f>
        <v/>
      </c>
      <c r="AF1113" s="9">
        <f>IF($G1113="","",IFERROR(INDEX(LINHAS_DRE_PLANO,MATCH($G1113,SUBCATEGORIAS_PLANO,0)),"Não classificado"))</f>
        <v/>
      </c>
      <c r="AG1113" s="17">
        <f>IF($G1113="","",IFERROR(INDEX(TIPOS_FLUXO_PLANO,MATCH($G1113,SUBCATEGORIAS_PLANO,0)),"Não classificado"))</f>
        <v/>
      </c>
      <c r="AH1113" s="9">
        <f>IF($G1113="","",IFERROR(INDEX(GRUPOS_PLANO,MATCH($G1113,SUBCATEGORIAS_PLANO,0)),"Não classificado"))</f>
        <v/>
      </c>
      <c r="AI1113" s="24">
        <f>IF(OR($C1113="",$X1113="Pago",$X1113="Recebido",$X1113="Cancelado"),"",$C1113-TODAY())</f>
        <v/>
      </c>
      <c r="AJ1113" s="24">
        <f>IF(OR($C1113="",$X1113="Pago",$X1113="Recebido",$X1113="Cancelado"),0,MAX(0,TODAY()-$C1113))</f>
        <v/>
      </c>
      <c r="AK1113" s="24">
        <f>IF($D1113="","",$D1113-$B1113)</f>
        <v/>
      </c>
      <c r="AL1113" s="18">
        <f>IF(OR($D1113="",$B1113=""),"",ROUND(N($R1113)*($D1113-$B1113),2))</f>
        <v/>
      </c>
      <c r="AM1113" s="17">
        <f>IF(AND($E1113="Saída",$W1113&gt;0,$C1113&lt;&gt;""),$C1113+ROW()/1000000,"")</f>
        <v/>
      </c>
      <c r="AN1113" s="17">
        <f>IF(AND($E1113="Entrada",$W1113&gt;0,$C1113&lt;&gt;""),$C1113+ROW()/1000000,"")</f>
        <v/>
      </c>
      <c r="AO1113" s="9">
        <f>IF(COUNTA($B1113:$R1113)=0,"",IF(AND($I1113&lt;&gt;"",COUNTIF(CLIENTES_NOMES,$I1113)+COUNTIF(CLIENTES_FANTASIA,$I1113)+COUNTIF(FORNECEDORES_NOMES,$I1113)+COUNTIF(FORNECEDORES_FANTASIA,$I1113)=0),"⚠ Cliente/Fornecedor não cadastrado",IF(AND($G1113&lt;&gt;"",COUNTIF(SUBCATEGORIAS_PLANO,$G1113)=0),"⚠ Subcategoria fora do plano de contas",IF(OR($Q1113="",N($Q1113)=0),"⚠ Valor previsto não informado",IF(AND(OR($X1113="Pago",$X1113="Recebido"),$D1113=""),"⚠ Status pago/recebido sem data",IF(AND($D1113&lt;&gt;"",N($R1113)=0),"⚠ Data de pagamento sem valor realizado",IF(AND(N($P1113)&gt;1,N($O1113)&gt;N($P1113)),"⚠ Nº da parcela maior que o total",IF(AND($C1113&lt;&gt;"",$B1113&lt;&gt;"",$C1113&lt;$B1113),"⚠ Vencimento anterior à competência","OK"))))))))</f>
        <v/>
      </c>
    </row>
    <row r="1114">
      <c r="A1114" s="14" t="n"/>
      <c r="B1114" s="36" t="n"/>
      <c r="C1114" s="36" t="n"/>
      <c r="D1114" s="36" t="n"/>
      <c r="E1114" s="14" t="n"/>
      <c r="F1114" s="29" t="n"/>
      <c r="G1114" s="29" t="n"/>
      <c r="H1114" s="29" t="n"/>
      <c r="I1114" s="29" t="n"/>
      <c r="J1114" s="29" t="n"/>
      <c r="K1114" s="14" t="n"/>
      <c r="L1114" s="29" t="n"/>
      <c r="M1114" s="14" t="n"/>
      <c r="N1114" s="29" t="n"/>
      <c r="O1114" s="13" t="n"/>
      <c r="P1114" s="13" t="n"/>
      <c r="Q1114" s="35" t="n"/>
      <c r="R1114" s="35" t="n"/>
      <c r="S1114" s="35" t="n"/>
      <c r="T1114" s="35" t="n"/>
      <c r="U1114" s="35" t="n"/>
      <c r="V1114" s="18">
        <f>IF(COUNTA($B1114:$R1114)=0,"",ROUND(N($R1114)+N($S1114)+N($T1114)-N($U1114),2))</f>
        <v/>
      </c>
      <c r="W1114" s="18">
        <f>IF(COUNTA($B1114:$R1114)=0,"",IF(OR($X1114="Pago",$X1114="Recebido",$X1114="Cancelado"),0,ROUND(N($Q1114)+N($S1114)+N($T1114)-N($U1114)-N($R1114),2)))</f>
        <v/>
      </c>
      <c r="X1114" s="14" t="n"/>
      <c r="Y1114" s="17">
        <f>IF(COUNTA($B1114:$R1114)=0,"",IF($X1114="Cancelado","Cancelado",IF(OR($X1114="Pago",$X1114="Recebido"),$X1114,IF(OR($X1114="Parcial",N($R1114)&gt;0),"Parcial",IF($C1114="","Sem vencimento",IF($C1114&lt;TODAY(),"Vencido",IF($C1114=TODAY(),"Vence hoje",IF($C1114&lt;=TODAY()+7,"Vence em 7 dias",IF($C1114&lt;=TODAY()+30,"Vence em 30 dias","Futuro")))))))))</f>
        <v/>
      </c>
      <c r="Z1114" s="24">
        <f>IF($B1114="","",MONTH($B1114))</f>
        <v/>
      </c>
      <c r="AA1114" s="24">
        <f>IF($B1114="","",YEAR($B1114))</f>
        <v/>
      </c>
      <c r="AB1114" s="24">
        <f>IF($B1114="","",ISOWEEKNUM($B1114))</f>
        <v/>
      </c>
      <c r="AC1114" s="17">
        <f>IF($B1114="","",CHOOSE(WEEKDAY($B1114,2),"Segunda","Terça","Quarta","Quinta","Sexta","Sábado","Domingo"))</f>
        <v/>
      </c>
      <c r="AD1114" s="17">
        <f>IF($B1114="","",TEXT($B1114,"MM/AAAA"))</f>
        <v/>
      </c>
      <c r="AE1114" s="18">
        <f>IF(COUNTA($B1114:$R1114)=0,"",IF($X1114="Cancelado",0,ROUND(N($Q1114)+N($S1114)+N($T1114)-N($U1114),2)))</f>
        <v/>
      </c>
      <c r="AF1114" s="9">
        <f>IF($G1114="","",IFERROR(INDEX(LINHAS_DRE_PLANO,MATCH($G1114,SUBCATEGORIAS_PLANO,0)),"Não classificado"))</f>
        <v/>
      </c>
      <c r="AG1114" s="17">
        <f>IF($G1114="","",IFERROR(INDEX(TIPOS_FLUXO_PLANO,MATCH($G1114,SUBCATEGORIAS_PLANO,0)),"Não classificado"))</f>
        <v/>
      </c>
      <c r="AH1114" s="9">
        <f>IF($G1114="","",IFERROR(INDEX(GRUPOS_PLANO,MATCH($G1114,SUBCATEGORIAS_PLANO,0)),"Não classificado"))</f>
        <v/>
      </c>
      <c r="AI1114" s="24">
        <f>IF(OR($C1114="",$X1114="Pago",$X1114="Recebido",$X1114="Cancelado"),"",$C1114-TODAY())</f>
        <v/>
      </c>
      <c r="AJ1114" s="24">
        <f>IF(OR($C1114="",$X1114="Pago",$X1114="Recebido",$X1114="Cancelado"),0,MAX(0,TODAY()-$C1114))</f>
        <v/>
      </c>
      <c r="AK1114" s="24">
        <f>IF($D1114="","",$D1114-$B1114)</f>
        <v/>
      </c>
      <c r="AL1114" s="18">
        <f>IF(OR($D1114="",$B1114=""),"",ROUND(N($R1114)*($D1114-$B1114),2))</f>
        <v/>
      </c>
      <c r="AM1114" s="17">
        <f>IF(AND($E1114="Saída",$W1114&gt;0,$C1114&lt;&gt;""),$C1114+ROW()/1000000,"")</f>
        <v/>
      </c>
      <c r="AN1114" s="17">
        <f>IF(AND($E1114="Entrada",$W1114&gt;0,$C1114&lt;&gt;""),$C1114+ROW()/1000000,"")</f>
        <v/>
      </c>
      <c r="AO1114" s="9">
        <f>IF(COUNTA($B1114:$R1114)=0,"",IF(AND($I1114&lt;&gt;"",COUNTIF(CLIENTES_NOMES,$I1114)+COUNTIF(CLIENTES_FANTASIA,$I1114)+COUNTIF(FORNECEDORES_NOMES,$I1114)+COUNTIF(FORNECEDORES_FANTASIA,$I1114)=0),"⚠ Cliente/Fornecedor não cadastrado",IF(AND($G1114&lt;&gt;"",COUNTIF(SUBCATEGORIAS_PLANO,$G1114)=0),"⚠ Subcategoria fora do plano de contas",IF(OR($Q1114="",N($Q1114)=0),"⚠ Valor previsto não informado",IF(AND(OR($X1114="Pago",$X1114="Recebido"),$D1114=""),"⚠ Status pago/recebido sem data",IF(AND($D1114&lt;&gt;"",N($R1114)=0),"⚠ Data de pagamento sem valor realizado",IF(AND(N($P1114)&gt;1,N($O1114)&gt;N($P1114)),"⚠ Nº da parcela maior que o total",IF(AND($C1114&lt;&gt;"",$B1114&lt;&gt;"",$C1114&lt;$B1114),"⚠ Vencimento anterior à competência","OK"))))))))</f>
        <v/>
      </c>
    </row>
    <row r="1115">
      <c r="A1115" s="14" t="n"/>
      <c r="B1115" s="36" t="n"/>
      <c r="C1115" s="36" t="n"/>
      <c r="D1115" s="36" t="n"/>
      <c r="E1115" s="14" t="n"/>
      <c r="F1115" s="29" t="n"/>
      <c r="G1115" s="29" t="n"/>
      <c r="H1115" s="29" t="n"/>
      <c r="I1115" s="29" t="n"/>
      <c r="J1115" s="29" t="n"/>
      <c r="K1115" s="14" t="n"/>
      <c r="L1115" s="29" t="n"/>
      <c r="M1115" s="14" t="n"/>
      <c r="N1115" s="29" t="n"/>
      <c r="O1115" s="13" t="n"/>
      <c r="P1115" s="13" t="n"/>
      <c r="Q1115" s="35" t="n"/>
      <c r="R1115" s="35" t="n"/>
      <c r="S1115" s="35" t="n"/>
      <c r="T1115" s="35" t="n"/>
      <c r="U1115" s="35" t="n"/>
      <c r="V1115" s="18">
        <f>IF(COUNTA($B1115:$R1115)=0,"",ROUND(N($R1115)+N($S1115)+N($T1115)-N($U1115),2))</f>
        <v/>
      </c>
      <c r="W1115" s="18">
        <f>IF(COUNTA($B1115:$R1115)=0,"",IF(OR($X1115="Pago",$X1115="Recebido",$X1115="Cancelado"),0,ROUND(N($Q1115)+N($S1115)+N($T1115)-N($U1115)-N($R1115),2)))</f>
        <v/>
      </c>
      <c r="X1115" s="14" t="n"/>
      <c r="Y1115" s="17">
        <f>IF(COUNTA($B1115:$R1115)=0,"",IF($X1115="Cancelado","Cancelado",IF(OR($X1115="Pago",$X1115="Recebido"),$X1115,IF(OR($X1115="Parcial",N($R1115)&gt;0),"Parcial",IF($C1115="","Sem vencimento",IF($C1115&lt;TODAY(),"Vencido",IF($C1115=TODAY(),"Vence hoje",IF($C1115&lt;=TODAY()+7,"Vence em 7 dias",IF($C1115&lt;=TODAY()+30,"Vence em 30 dias","Futuro")))))))))</f>
        <v/>
      </c>
      <c r="Z1115" s="24">
        <f>IF($B1115="","",MONTH($B1115))</f>
        <v/>
      </c>
      <c r="AA1115" s="24">
        <f>IF($B1115="","",YEAR($B1115))</f>
        <v/>
      </c>
      <c r="AB1115" s="24">
        <f>IF($B1115="","",ISOWEEKNUM($B1115))</f>
        <v/>
      </c>
      <c r="AC1115" s="17">
        <f>IF($B1115="","",CHOOSE(WEEKDAY($B1115,2),"Segunda","Terça","Quarta","Quinta","Sexta","Sábado","Domingo"))</f>
        <v/>
      </c>
      <c r="AD1115" s="17">
        <f>IF($B1115="","",TEXT($B1115,"MM/AAAA"))</f>
        <v/>
      </c>
      <c r="AE1115" s="18">
        <f>IF(COUNTA($B1115:$R1115)=0,"",IF($X1115="Cancelado",0,ROUND(N($Q1115)+N($S1115)+N($T1115)-N($U1115),2)))</f>
        <v/>
      </c>
      <c r="AF1115" s="9">
        <f>IF($G1115="","",IFERROR(INDEX(LINHAS_DRE_PLANO,MATCH($G1115,SUBCATEGORIAS_PLANO,0)),"Não classificado"))</f>
        <v/>
      </c>
      <c r="AG1115" s="17">
        <f>IF($G1115="","",IFERROR(INDEX(TIPOS_FLUXO_PLANO,MATCH($G1115,SUBCATEGORIAS_PLANO,0)),"Não classificado"))</f>
        <v/>
      </c>
      <c r="AH1115" s="9">
        <f>IF($G1115="","",IFERROR(INDEX(GRUPOS_PLANO,MATCH($G1115,SUBCATEGORIAS_PLANO,0)),"Não classificado"))</f>
        <v/>
      </c>
      <c r="AI1115" s="24">
        <f>IF(OR($C1115="",$X1115="Pago",$X1115="Recebido",$X1115="Cancelado"),"",$C1115-TODAY())</f>
        <v/>
      </c>
      <c r="AJ1115" s="24">
        <f>IF(OR($C1115="",$X1115="Pago",$X1115="Recebido",$X1115="Cancelado"),0,MAX(0,TODAY()-$C1115))</f>
        <v/>
      </c>
      <c r="AK1115" s="24">
        <f>IF($D1115="","",$D1115-$B1115)</f>
        <v/>
      </c>
      <c r="AL1115" s="18">
        <f>IF(OR($D1115="",$B1115=""),"",ROUND(N($R1115)*($D1115-$B1115),2))</f>
        <v/>
      </c>
      <c r="AM1115" s="17">
        <f>IF(AND($E1115="Saída",$W1115&gt;0,$C1115&lt;&gt;""),$C1115+ROW()/1000000,"")</f>
        <v/>
      </c>
      <c r="AN1115" s="17">
        <f>IF(AND($E1115="Entrada",$W1115&gt;0,$C1115&lt;&gt;""),$C1115+ROW()/1000000,"")</f>
        <v/>
      </c>
      <c r="AO1115" s="9">
        <f>IF(COUNTA($B1115:$R1115)=0,"",IF(AND($I1115&lt;&gt;"",COUNTIF(CLIENTES_NOMES,$I1115)+COUNTIF(CLIENTES_FANTASIA,$I1115)+COUNTIF(FORNECEDORES_NOMES,$I1115)+COUNTIF(FORNECEDORES_FANTASIA,$I1115)=0),"⚠ Cliente/Fornecedor não cadastrado",IF(AND($G1115&lt;&gt;"",COUNTIF(SUBCATEGORIAS_PLANO,$G1115)=0),"⚠ Subcategoria fora do plano de contas",IF(OR($Q1115="",N($Q1115)=0),"⚠ Valor previsto não informado",IF(AND(OR($X1115="Pago",$X1115="Recebido"),$D1115=""),"⚠ Status pago/recebido sem data",IF(AND($D1115&lt;&gt;"",N($R1115)=0),"⚠ Data de pagamento sem valor realizado",IF(AND(N($P1115)&gt;1,N($O1115)&gt;N($P1115)),"⚠ Nº da parcela maior que o total",IF(AND($C1115&lt;&gt;"",$B1115&lt;&gt;"",$C1115&lt;$B1115),"⚠ Vencimento anterior à competência","OK"))))))))</f>
        <v/>
      </c>
    </row>
    <row r="1116">
      <c r="A1116" s="14" t="n"/>
      <c r="B1116" s="36" t="n"/>
      <c r="C1116" s="36" t="n"/>
      <c r="D1116" s="36" t="n"/>
      <c r="E1116" s="14" t="n"/>
      <c r="F1116" s="29" t="n"/>
      <c r="G1116" s="29" t="n"/>
      <c r="H1116" s="29" t="n"/>
      <c r="I1116" s="29" t="n"/>
      <c r="J1116" s="29" t="n"/>
      <c r="K1116" s="14" t="n"/>
      <c r="L1116" s="29" t="n"/>
      <c r="M1116" s="14" t="n"/>
      <c r="N1116" s="29" t="n"/>
      <c r="O1116" s="13" t="n"/>
      <c r="P1116" s="13" t="n"/>
      <c r="Q1116" s="35" t="n"/>
      <c r="R1116" s="35" t="n"/>
      <c r="S1116" s="35" t="n"/>
      <c r="T1116" s="35" t="n"/>
      <c r="U1116" s="35" t="n"/>
      <c r="V1116" s="18">
        <f>IF(COUNTA($B1116:$R1116)=0,"",ROUND(N($R1116)+N($S1116)+N($T1116)-N($U1116),2))</f>
        <v/>
      </c>
      <c r="W1116" s="18">
        <f>IF(COUNTA($B1116:$R1116)=0,"",IF(OR($X1116="Pago",$X1116="Recebido",$X1116="Cancelado"),0,ROUND(N($Q1116)+N($S1116)+N($T1116)-N($U1116)-N($R1116),2)))</f>
        <v/>
      </c>
      <c r="X1116" s="14" t="n"/>
      <c r="Y1116" s="17">
        <f>IF(COUNTA($B1116:$R1116)=0,"",IF($X1116="Cancelado","Cancelado",IF(OR($X1116="Pago",$X1116="Recebido"),$X1116,IF(OR($X1116="Parcial",N($R1116)&gt;0),"Parcial",IF($C1116="","Sem vencimento",IF($C1116&lt;TODAY(),"Vencido",IF($C1116=TODAY(),"Vence hoje",IF($C1116&lt;=TODAY()+7,"Vence em 7 dias",IF($C1116&lt;=TODAY()+30,"Vence em 30 dias","Futuro")))))))))</f>
        <v/>
      </c>
      <c r="Z1116" s="24">
        <f>IF($B1116="","",MONTH($B1116))</f>
        <v/>
      </c>
      <c r="AA1116" s="24">
        <f>IF($B1116="","",YEAR($B1116))</f>
        <v/>
      </c>
      <c r="AB1116" s="24">
        <f>IF($B1116="","",ISOWEEKNUM($B1116))</f>
        <v/>
      </c>
      <c r="AC1116" s="17">
        <f>IF($B1116="","",CHOOSE(WEEKDAY($B1116,2),"Segunda","Terça","Quarta","Quinta","Sexta","Sábado","Domingo"))</f>
        <v/>
      </c>
      <c r="AD1116" s="17">
        <f>IF($B1116="","",TEXT($B1116,"MM/AAAA"))</f>
        <v/>
      </c>
      <c r="AE1116" s="18">
        <f>IF(COUNTA($B1116:$R1116)=0,"",IF($X1116="Cancelado",0,ROUND(N($Q1116)+N($S1116)+N($T1116)-N($U1116),2)))</f>
        <v/>
      </c>
      <c r="AF1116" s="9">
        <f>IF($G1116="","",IFERROR(INDEX(LINHAS_DRE_PLANO,MATCH($G1116,SUBCATEGORIAS_PLANO,0)),"Não classificado"))</f>
        <v/>
      </c>
      <c r="AG1116" s="17">
        <f>IF($G1116="","",IFERROR(INDEX(TIPOS_FLUXO_PLANO,MATCH($G1116,SUBCATEGORIAS_PLANO,0)),"Não classificado"))</f>
        <v/>
      </c>
      <c r="AH1116" s="9">
        <f>IF($G1116="","",IFERROR(INDEX(GRUPOS_PLANO,MATCH($G1116,SUBCATEGORIAS_PLANO,0)),"Não classificado"))</f>
        <v/>
      </c>
      <c r="AI1116" s="24">
        <f>IF(OR($C1116="",$X1116="Pago",$X1116="Recebido",$X1116="Cancelado"),"",$C1116-TODAY())</f>
        <v/>
      </c>
      <c r="AJ1116" s="24">
        <f>IF(OR($C1116="",$X1116="Pago",$X1116="Recebido",$X1116="Cancelado"),0,MAX(0,TODAY()-$C1116))</f>
        <v/>
      </c>
      <c r="AK1116" s="24">
        <f>IF($D1116="","",$D1116-$B1116)</f>
        <v/>
      </c>
      <c r="AL1116" s="18">
        <f>IF(OR($D1116="",$B1116=""),"",ROUND(N($R1116)*($D1116-$B1116),2))</f>
        <v/>
      </c>
      <c r="AM1116" s="17">
        <f>IF(AND($E1116="Saída",$W1116&gt;0,$C1116&lt;&gt;""),$C1116+ROW()/1000000,"")</f>
        <v/>
      </c>
      <c r="AN1116" s="17">
        <f>IF(AND($E1116="Entrada",$W1116&gt;0,$C1116&lt;&gt;""),$C1116+ROW()/1000000,"")</f>
        <v/>
      </c>
      <c r="AO1116" s="9">
        <f>IF(COUNTA($B1116:$R1116)=0,"",IF(AND($I1116&lt;&gt;"",COUNTIF(CLIENTES_NOMES,$I1116)+COUNTIF(CLIENTES_FANTASIA,$I1116)+COUNTIF(FORNECEDORES_NOMES,$I1116)+COUNTIF(FORNECEDORES_FANTASIA,$I1116)=0),"⚠ Cliente/Fornecedor não cadastrado",IF(AND($G1116&lt;&gt;"",COUNTIF(SUBCATEGORIAS_PLANO,$G1116)=0),"⚠ Subcategoria fora do plano de contas",IF(OR($Q1116="",N($Q1116)=0),"⚠ Valor previsto não informado",IF(AND(OR($X1116="Pago",$X1116="Recebido"),$D1116=""),"⚠ Status pago/recebido sem data",IF(AND($D1116&lt;&gt;"",N($R1116)=0),"⚠ Data de pagamento sem valor realizado",IF(AND(N($P1116)&gt;1,N($O1116)&gt;N($P1116)),"⚠ Nº da parcela maior que o total",IF(AND($C1116&lt;&gt;"",$B1116&lt;&gt;"",$C1116&lt;$B1116),"⚠ Vencimento anterior à competência","OK"))))))))</f>
        <v/>
      </c>
    </row>
    <row r="1117">
      <c r="A1117" s="14" t="n"/>
      <c r="B1117" s="36" t="n"/>
      <c r="C1117" s="36" t="n"/>
      <c r="D1117" s="36" t="n"/>
      <c r="E1117" s="14" t="n"/>
      <c r="F1117" s="29" t="n"/>
      <c r="G1117" s="29" t="n"/>
      <c r="H1117" s="29" t="n"/>
      <c r="I1117" s="29" t="n"/>
      <c r="J1117" s="29" t="n"/>
      <c r="K1117" s="14" t="n"/>
      <c r="L1117" s="29" t="n"/>
      <c r="M1117" s="14" t="n"/>
      <c r="N1117" s="29" t="n"/>
      <c r="O1117" s="13" t="n"/>
      <c r="P1117" s="13" t="n"/>
      <c r="Q1117" s="35" t="n"/>
      <c r="R1117" s="35" t="n"/>
      <c r="S1117" s="35" t="n"/>
      <c r="T1117" s="35" t="n"/>
      <c r="U1117" s="35" t="n"/>
      <c r="V1117" s="18">
        <f>IF(COUNTA($B1117:$R1117)=0,"",ROUND(N($R1117)+N($S1117)+N($T1117)-N($U1117),2))</f>
        <v/>
      </c>
      <c r="W1117" s="18">
        <f>IF(COUNTA($B1117:$R1117)=0,"",IF(OR($X1117="Pago",$X1117="Recebido",$X1117="Cancelado"),0,ROUND(N($Q1117)+N($S1117)+N($T1117)-N($U1117)-N($R1117),2)))</f>
        <v/>
      </c>
      <c r="X1117" s="14" t="n"/>
      <c r="Y1117" s="17">
        <f>IF(COUNTA($B1117:$R1117)=0,"",IF($X1117="Cancelado","Cancelado",IF(OR($X1117="Pago",$X1117="Recebido"),$X1117,IF(OR($X1117="Parcial",N($R1117)&gt;0),"Parcial",IF($C1117="","Sem vencimento",IF($C1117&lt;TODAY(),"Vencido",IF($C1117=TODAY(),"Vence hoje",IF($C1117&lt;=TODAY()+7,"Vence em 7 dias",IF($C1117&lt;=TODAY()+30,"Vence em 30 dias","Futuro")))))))))</f>
        <v/>
      </c>
      <c r="Z1117" s="24">
        <f>IF($B1117="","",MONTH($B1117))</f>
        <v/>
      </c>
      <c r="AA1117" s="24">
        <f>IF($B1117="","",YEAR($B1117))</f>
        <v/>
      </c>
      <c r="AB1117" s="24">
        <f>IF($B1117="","",ISOWEEKNUM($B1117))</f>
        <v/>
      </c>
      <c r="AC1117" s="17">
        <f>IF($B1117="","",CHOOSE(WEEKDAY($B1117,2),"Segunda","Terça","Quarta","Quinta","Sexta","Sábado","Domingo"))</f>
        <v/>
      </c>
      <c r="AD1117" s="17">
        <f>IF($B1117="","",TEXT($B1117,"MM/AAAA"))</f>
        <v/>
      </c>
      <c r="AE1117" s="18">
        <f>IF(COUNTA($B1117:$R1117)=0,"",IF($X1117="Cancelado",0,ROUND(N($Q1117)+N($S1117)+N($T1117)-N($U1117),2)))</f>
        <v/>
      </c>
      <c r="AF1117" s="9">
        <f>IF($G1117="","",IFERROR(INDEX(LINHAS_DRE_PLANO,MATCH($G1117,SUBCATEGORIAS_PLANO,0)),"Não classificado"))</f>
        <v/>
      </c>
      <c r="AG1117" s="17">
        <f>IF($G1117="","",IFERROR(INDEX(TIPOS_FLUXO_PLANO,MATCH($G1117,SUBCATEGORIAS_PLANO,0)),"Não classificado"))</f>
        <v/>
      </c>
      <c r="AH1117" s="9">
        <f>IF($G1117="","",IFERROR(INDEX(GRUPOS_PLANO,MATCH($G1117,SUBCATEGORIAS_PLANO,0)),"Não classificado"))</f>
        <v/>
      </c>
      <c r="AI1117" s="24">
        <f>IF(OR($C1117="",$X1117="Pago",$X1117="Recebido",$X1117="Cancelado"),"",$C1117-TODAY())</f>
        <v/>
      </c>
      <c r="AJ1117" s="24">
        <f>IF(OR($C1117="",$X1117="Pago",$X1117="Recebido",$X1117="Cancelado"),0,MAX(0,TODAY()-$C1117))</f>
        <v/>
      </c>
      <c r="AK1117" s="24">
        <f>IF($D1117="","",$D1117-$B1117)</f>
        <v/>
      </c>
      <c r="AL1117" s="18">
        <f>IF(OR($D1117="",$B1117=""),"",ROUND(N($R1117)*($D1117-$B1117),2))</f>
        <v/>
      </c>
      <c r="AM1117" s="17">
        <f>IF(AND($E1117="Saída",$W1117&gt;0,$C1117&lt;&gt;""),$C1117+ROW()/1000000,"")</f>
        <v/>
      </c>
      <c r="AN1117" s="17">
        <f>IF(AND($E1117="Entrada",$W1117&gt;0,$C1117&lt;&gt;""),$C1117+ROW()/1000000,"")</f>
        <v/>
      </c>
      <c r="AO1117" s="9">
        <f>IF(COUNTA($B1117:$R1117)=0,"",IF(AND($I1117&lt;&gt;"",COUNTIF(CLIENTES_NOMES,$I1117)+COUNTIF(CLIENTES_FANTASIA,$I1117)+COUNTIF(FORNECEDORES_NOMES,$I1117)+COUNTIF(FORNECEDORES_FANTASIA,$I1117)=0),"⚠ Cliente/Fornecedor não cadastrado",IF(AND($G1117&lt;&gt;"",COUNTIF(SUBCATEGORIAS_PLANO,$G1117)=0),"⚠ Subcategoria fora do plano de contas",IF(OR($Q1117="",N($Q1117)=0),"⚠ Valor previsto não informado",IF(AND(OR($X1117="Pago",$X1117="Recebido"),$D1117=""),"⚠ Status pago/recebido sem data",IF(AND($D1117&lt;&gt;"",N($R1117)=0),"⚠ Data de pagamento sem valor realizado",IF(AND(N($P1117)&gt;1,N($O1117)&gt;N($P1117)),"⚠ Nº da parcela maior que o total",IF(AND($C1117&lt;&gt;"",$B1117&lt;&gt;"",$C1117&lt;$B1117),"⚠ Vencimento anterior à competência","OK"))))))))</f>
        <v/>
      </c>
    </row>
    <row r="1118">
      <c r="A1118" s="14" t="n"/>
      <c r="B1118" s="36" t="n"/>
      <c r="C1118" s="36" t="n"/>
      <c r="D1118" s="36" t="n"/>
      <c r="E1118" s="14" t="n"/>
      <c r="F1118" s="29" t="n"/>
      <c r="G1118" s="29" t="n"/>
      <c r="H1118" s="29" t="n"/>
      <c r="I1118" s="29" t="n"/>
      <c r="J1118" s="29" t="n"/>
      <c r="K1118" s="14" t="n"/>
      <c r="L1118" s="29" t="n"/>
      <c r="M1118" s="14" t="n"/>
      <c r="N1118" s="29" t="n"/>
      <c r="O1118" s="13" t="n"/>
      <c r="P1118" s="13" t="n"/>
      <c r="Q1118" s="35" t="n"/>
      <c r="R1118" s="35" t="n"/>
      <c r="S1118" s="35" t="n"/>
      <c r="T1118" s="35" t="n"/>
      <c r="U1118" s="35" t="n"/>
      <c r="V1118" s="18">
        <f>IF(COUNTA($B1118:$R1118)=0,"",ROUND(N($R1118)+N($S1118)+N($T1118)-N($U1118),2))</f>
        <v/>
      </c>
      <c r="W1118" s="18">
        <f>IF(COUNTA($B1118:$R1118)=0,"",IF(OR($X1118="Pago",$X1118="Recebido",$X1118="Cancelado"),0,ROUND(N($Q1118)+N($S1118)+N($T1118)-N($U1118)-N($R1118),2)))</f>
        <v/>
      </c>
      <c r="X1118" s="14" t="n"/>
      <c r="Y1118" s="17">
        <f>IF(COUNTA($B1118:$R1118)=0,"",IF($X1118="Cancelado","Cancelado",IF(OR($X1118="Pago",$X1118="Recebido"),$X1118,IF(OR($X1118="Parcial",N($R1118)&gt;0),"Parcial",IF($C1118="","Sem vencimento",IF($C1118&lt;TODAY(),"Vencido",IF($C1118=TODAY(),"Vence hoje",IF($C1118&lt;=TODAY()+7,"Vence em 7 dias",IF($C1118&lt;=TODAY()+30,"Vence em 30 dias","Futuro")))))))))</f>
        <v/>
      </c>
      <c r="Z1118" s="24">
        <f>IF($B1118="","",MONTH($B1118))</f>
        <v/>
      </c>
      <c r="AA1118" s="24">
        <f>IF($B1118="","",YEAR($B1118))</f>
        <v/>
      </c>
      <c r="AB1118" s="24">
        <f>IF($B1118="","",ISOWEEKNUM($B1118))</f>
        <v/>
      </c>
      <c r="AC1118" s="17">
        <f>IF($B1118="","",CHOOSE(WEEKDAY($B1118,2),"Segunda","Terça","Quarta","Quinta","Sexta","Sábado","Domingo"))</f>
        <v/>
      </c>
      <c r="AD1118" s="17">
        <f>IF($B1118="","",TEXT($B1118,"MM/AAAA"))</f>
        <v/>
      </c>
      <c r="AE1118" s="18">
        <f>IF(COUNTA($B1118:$R1118)=0,"",IF($X1118="Cancelado",0,ROUND(N($Q1118)+N($S1118)+N($T1118)-N($U1118),2)))</f>
        <v/>
      </c>
      <c r="AF1118" s="9">
        <f>IF($G1118="","",IFERROR(INDEX(LINHAS_DRE_PLANO,MATCH($G1118,SUBCATEGORIAS_PLANO,0)),"Não classificado"))</f>
        <v/>
      </c>
      <c r="AG1118" s="17">
        <f>IF($G1118="","",IFERROR(INDEX(TIPOS_FLUXO_PLANO,MATCH($G1118,SUBCATEGORIAS_PLANO,0)),"Não classificado"))</f>
        <v/>
      </c>
      <c r="AH1118" s="9">
        <f>IF($G1118="","",IFERROR(INDEX(GRUPOS_PLANO,MATCH($G1118,SUBCATEGORIAS_PLANO,0)),"Não classificado"))</f>
        <v/>
      </c>
      <c r="AI1118" s="24">
        <f>IF(OR($C1118="",$X1118="Pago",$X1118="Recebido",$X1118="Cancelado"),"",$C1118-TODAY())</f>
        <v/>
      </c>
      <c r="AJ1118" s="24">
        <f>IF(OR($C1118="",$X1118="Pago",$X1118="Recebido",$X1118="Cancelado"),0,MAX(0,TODAY()-$C1118))</f>
        <v/>
      </c>
      <c r="AK1118" s="24">
        <f>IF($D1118="","",$D1118-$B1118)</f>
        <v/>
      </c>
      <c r="AL1118" s="18">
        <f>IF(OR($D1118="",$B1118=""),"",ROUND(N($R1118)*($D1118-$B1118),2))</f>
        <v/>
      </c>
      <c r="AM1118" s="17">
        <f>IF(AND($E1118="Saída",$W1118&gt;0,$C1118&lt;&gt;""),$C1118+ROW()/1000000,"")</f>
        <v/>
      </c>
      <c r="AN1118" s="17">
        <f>IF(AND($E1118="Entrada",$W1118&gt;0,$C1118&lt;&gt;""),$C1118+ROW()/1000000,"")</f>
        <v/>
      </c>
      <c r="AO1118" s="9">
        <f>IF(COUNTA($B1118:$R1118)=0,"",IF(AND($I1118&lt;&gt;"",COUNTIF(CLIENTES_NOMES,$I1118)+COUNTIF(CLIENTES_FANTASIA,$I1118)+COUNTIF(FORNECEDORES_NOMES,$I1118)+COUNTIF(FORNECEDORES_FANTASIA,$I1118)=0),"⚠ Cliente/Fornecedor não cadastrado",IF(AND($G1118&lt;&gt;"",COUNTIF(SUBCATEGORIAS_PLANO,$G1118)=0),"⚠ Subcategoria fora do plano de contas",IF(OR($Q1118="",N($Q1118)=0),"⚠ Valor previsto não informado",IF(AND(OR($X1118="Pago",$X1118="Recebido"),$D1118=""),"⚠ Status pago/recebido sem data",IF(AND($D1118&lt;&gt;"",N($R1118)=0),"⚠ Data de pagamento sem valor realizado",IF(AND(N($P1118)&gt;1,N($O1118)&gt;N($P1118)),"⚠ Nº da parcela maior que o total",IF(AND($C1118&lt;&gt;"",$B1118&lt;&gt;"",$C1118&lt;$B1118),"⚠ Vencimento anterior à competência","OK"))))))))</f>
        <v/>
      </c>
    </row>
    <row r="1119">
      <c r="A1119" s="14" t="n"/>
      <c r="B1119" s="36" t="n"/>
      <c r="C1119" s="36" t="n"/>
      <c r="D1119" s="36" t="n"/>
      <c r="E1119" s="14" t="n"/>
      <c r="F1119" s="29" t="n"/>
      <c r="G1119" s="29" t="n"/>
      <c r="H1119" s="29" t="n"/>
      <c r="I1119" s="29" t="n"/>
      <c r="J1119" s="29" t="n"/>
      <c r="K1119" s="14" t="n"/>
      <c r="L1119" s="29" t="n"/>
      <c r="M1119" s="14" t="n"/>
      <c r="N1119" s="29" t="n"/>
      <c r="O1119" s="13" t="n"/>
      <c r="P1119" s="13" t="n"/>
      <c r="Q1119" s="35" t="n"/>
      <c r="R1119" s="35" t="n"/>
      <c r="S1119" s="35" t="n"/>
      <c r="T1119" s="35" t="n"/>
      <c r="U1119" s="35" t="n"/>
      <c r="V1119" s="18">
        <f>IF(COUNTA($B1119:$R1119)=0,"",ROUND(N($R1119)+N($S1119)+N($T1119)-N($U1119),2))</f>
        <v/>
      </c>
      <c r="W1119" s="18">
        <f>IF(COUNTA($B1119:$R1119)=0,"",IF(OR($X1119="Pago",$X1119="Recebido",$X1119="Cancelado"),0,ROUND(N($Q1119)+N($S1119)+N($T1119)-N($U1119)-N($R1119),2)))</f>
        <v/>
      </c>
      <c r="X1119" s="14" t="n"/>
      <c r="Y1119" s="17">
        <f>IF(COUNTA($B1119:$R1119)=0,"",IF($X1119="Cancelado","Cancelado",IF(OR($X1119="Pago",$X1119="Recebido"),$X1119,IF(OR($X1119="Parcial",N($R1119)&gt;0),"Parcial",IF($C1119="","Sem vencimento",IF($C1119&lt;TODAY(),"Vencido",IF($C1119=TODAY(),"Vence hoje",IF($C1119&lt;=TODAY()+7,"Vence em 7 dias",IF($C1119&lt;=TODAY()+30,"Vence em 30 dias","Futuro")))))))))</f>
        <v/>
      </c>
      <c r="Z1119" s="24">
        <f>IF($B1119="","",MONTH($B1119))</f>
        <v/>
      </c>
      <c r="AA1119" s="24">
        <f>IF($B1119="","",YEAR($B1119))</f>
        <v/>
      </c>
      <c r="AB1119" s="24">
        <f>IF($B1119="","",ISOWEEKNUM($B1119))</f>
        <v/>
      </c>
      <c r="AC1119" s="17">
        <f>IF($B1119="","",CHOOSE(WEEKDAY($B1119,2),"Segunda","Terça","Quarta","Quinta","Sexta","Sábado","Domingo"))</f>
        <v/>
      </c>
      <c r="AD1119" s="17">
        <f>IF($B1119="","",TEXT($B1119,"MM/AAAA"))</f>
        <v/>
      </c>
      <c r="AE1119" s="18">
        <f>IF(COUNTA($B1119:$R1119)=0,"",IF($X1119="Cancelado",0,ROUND(N($Q1119)+N($S1119)+N($T1119)-N($U1119),2)))</f>
        <v/>
      </c>
      <c r="AF1119" s="9">
        <f>IF($G1119="","",IFERROR(INDEX(LINHAS_DRE_PLANO,MATCH($G1119,SUBCATEGORIAS_PLANO,0)),"Não classificado"))</f>
        <v/>
      </c>
      <c r="AG1119" s="17">
        <f>IF($G1119="","",IFERROR(INDEX(TIPOS_FLUXO_PLANO,MATCH($G1119,SUBCATEGORIAS_PLANO,0)),"Não classificado"))</f>
        <v/>
      </c>
      <c r="AH1119" s="9">
        <f>IF($G1119="","",IFERROR(INDEX(GRUPOS_PLANO,MATCH($G1119,SUBCATEGORIAS_PLANO,0)),"Não classificado"))</f>
        <v/>
      </c>
      <c r="AI1119" s="24">
        <f>IF(OR($C1119="",$X1119="Pago",$X1119="Recebido",$X1119="Cancelado"),"",$C1119-TODAY())</f>
        <v/>
      </c>
      <c r="AJ1119" s="24">
        <f>IF(OR($C1119="",$X1119="Pago",$X1119="Recebido",$X1119="Cancelado"),0,MAX(0,TODAY()-$C1119))</f>
        <v/>
      </c>
      <c r="AK1119" s="24">
        <f>IF($D1119="","",$D1119-$B1119)</f>
        <v/>
      </c>
      <c r="AL1119" s="18">
        <f>IF(OR($D1119="",$B1119=""),"",ROUND(N($R1119)*($D1119-$B1119),2))</f>
        <v/>
      </c>
      <c r="AM1119" s="17">
        <f>IF(AND($E1119="Saída",$W1119&gt;0,$C1119&lt;&gt;""),$C1119+ROW()/1000000,"")</f>
        <v/>
      </c>
      <c r="AN1119" s="17">
        <f>IF(AND($E1119="Entrada",$W1119&gt;0,$C1119&lt;&gt;""),$C1119+ROW()/1000000,"")</f>
        <v/>
      </c>
      <c r="AO1119" s="9">
        <f>IF(COUNTA($B1119:$R1119)=0,"",IF(AND($I1119&lt;&gt;"",COUNTIF(CLIENTES_NOMES,$I1119)+COUNTIF(CLIENTES_FANTASIA,$I1119)+COUNTIF(FORNECEDORES_NOMES,$I1119)+COUNTIF(FORNECEDORES_FANTASIA,$I1119)=0),"⚠ Cliente/Fornecedor não cadastrado",IF(AND($G1119&lt;&gt;"",COUNTIF(SUBCATEGORIAS_PLANO,$G1119)=0),"⚠ Subcategoria fora do plano de contas",IF(OR($Q1119="",N($Q1119)=0),"⚠ Valor previsto não informado",IF(AND(OR($X1119="Pago",$X1119="Recebido"),$D1119=""),"⚠ Status pago/recebido sem data",IF(AND($D1119&lt;&gt;"",N($R1119)=0),"⚠ Data de pagamento sem valor realizado",IF(AND(N($P1119)&gt;1,N($O1119)&gt;N($P1119)),"⚠ Nº da parcela maior que o total",IF(AND($C1119&lt;&gt;"",$B1119&lt;&gt;"",$C1119&lt;$B1119),"⚠ Vencimento anterior à competência","OK"))))))))</f>
        <v/>
      </c>
    </row>
    <row r="1120">
      <c r="A1120" s="14" t="n"/>
      <c r="B1120" s="36" t="n"/>
      <c r="C1120" s="36" t="n"/>
      <c r="D1120" s="36" t="n"/>
      <c r="E1120" s="14" t="n"/>
      <c r="F1120" s="29" t="n"/>
      <c r="G1120" s="29" t="n"/>
      <c r="H1120" s="29" t="n"/>
      <c r="I1120" s="29" t="n"/>
      <c r="J1120" s="29" t="n"/>
      <c r="K1120" s="14" t="n"/>
      <c r="L1120" s="29" t="n"/>
      <c r="M1120" s="14" t="n"/>
      <c r="N1120" s="29" t="n"/>
      <c r="O1120" s="13" t="n"/>
      <c r="P1120" s="13" t="n"/>
      <c r="Q1120" s="35" t="n"/>
      <c r="R1120" s="35" t="n"/>
      <c r="S1120" s="35" t="n"/>
      <c r="T1120" s="35" t="n"/>
      <c r="U1120" s="35" t="n"/>
      <c r="V1120" s="18">
        <f>IF(COUNTA($B1120:$R1120)=0,"",ROUND(N($R1120)+N($S1120)+N($T1120)-N($U1120),2))</f>
        <v/>
      </c>
      <c r="W1120" s="18">
        <f>IF(COUNTA($B1120:$R1120)=0,"",IF(OR($X1120="Pago",$X1120="Recebido",$X1120="Cancelado"),0,ROUND(N($Q1120)+N($S1120)+N($T1120)-N($U1120)-N($R1120),2)))</f>
        <v/>
      </c>
      <c r="X1120" s="14" t="n"/>
      <c r="Y1120" s="17">
        <f>IF(COUNTA($B1120:$R1120)=0,"",IF($X1120="Cancelado","Cancelado",IF(OR($X1120="Pago",$X1120="Recebido"),$X1120,IF(OR($X1120="Parcial",N($R1120)&gt;0),"Parcial",IF($C1120="","Sem vencimento",IF($C1120&lt;TODAY(),"Vencido",IF($C1120=TODAY(),"Vence hoje",IF($C1120&lt;=TODAY()+7,"Vence em 7 dias",IF($C1120&lt;=TODAY()+30,"Vence em 30 dias","Futuro")))))))))</f>
        <v/>
      </c>
      <c r="Z1120" s="24">
        <f>IF($B1120="","",MONTH($B1120))</f>
        <v/>
      </c>
      <c r="AA1120" s="24">
        <f>IF($B1120="","",YEAR($B1120))</f>
        <v/>
      </c>
      <c r="AB1120" s="24">
        <f>IF($B1120="","",ISOWEEKNUM($B1120))</f>
        <v/>
      </c>
      <c r="AC1120" s="17">
        <f>IF($B1120="","",CHOOSE(WEEKDAY($B1120,2),"Segunda","Terça","Quarta","Quinta","Sexta","Sábado","Domingo"))</f>
        <v/>
      </c>
      <c r="AD1120" s="17">
        <f>IF($B1120="","",TEXT($B1120,"MM/AAAA"))</f>
        <v/>
      </c>
      <c r="AE1120" s="18">
        <f>IF(COUNTA($B1120:$R1120)=0,"",IF($X1120="Cancelado",0,ROUND(N($Q1120)+N($S1120)+N($T1120)-N($U1120),2)))</f>
        <v/>
      </c>
      <c r="AF1120" s="9">
        <f>IF($G1120="","",IFERROR(INDEX(LINHAS_DRE_PLANO,MATCH($G1120,SUBCATEGORIAS_PLANO,0)),"Não classificado"))</f>
        <v/>
      </c>
      <c r="AG1120" s="17">
        <f>IF($G1120="","",IFERROR(INDEX(TIPOS_FLUXO_PLANO,MATCH($G1120,SUBCATEGORIAS_PLANO,0)),"Não classificado"))</f>
        <v/>
      </c>
      <c r="AH1120" s="9">
        <f>IF($G1120="","",IFERROR(INDEX(GRUPOS_PLANO,MATCH($G1120,SUBCATEGORIAS_PLANO,0)),"Não classificado"))</f>
        <v/>
      </c>
      <c r="AI1120" s="24">
        <f>IF(OR($C1120="",$X1120="Pago",$X1120="Recebido",$X1120="Cancelado"),"",$C1120-TODAY())</f>
        <v/>
      </c>
      <c r="AJ1120" s="24">
        <f>IF(OR($C1120="",$X1120="Pago",$X1120="Recebido",$X1120="Cancelado"),0,MAX(0,TODAY()-$C1120))</f>
        <v/>
      </c>
      <c r="AK1120" s="24">
        <f>IF($D1120="","",$D1120-$B1120)</f>
        <v/>
      </c>
      <c r="AL1120" s="18">
        <f>IF(OR($D1120="",$B1120=""),"",ROUND(N($R1120)*($D1120-$B1120),2))</f>
        <v/>
      </c>
      <c r="AM1120" s="17">
        <f>IF(AND($E1120="Saída",$W1120&gt;0,$C1120&lt;&gt;""),$C1120+ROW()/1000000,"")</f>
        <v/>
      </c>
      <c r="AN1120" s="17">
        <f>IF(AND($E1120="Entrada",$W1120&gt;0,$C1120&lt;&gt;""),$C1120+ROW()/1000000,"")</f>
        <v/>
      </c>
      <c r="AO1120" s="9">
        <f>IF(COUNTA($B1120:$R1120)=0,"",IF(AND($I1120&lt;&gt;"",COUNTIF(CLIENTES_NOMES,$I1120)+COUNTIF(CLIENTES_FANTASIA,$I1120)+COUNTIF(FORNECEDORES_NOMES,$I1120)+COUNTIF(FORNECEDORES_FANTASIA,$I1120)=0),"⚠ Cliente/Fornecedor não cadastrado",IF(AND($G1120&lt;&gt;"",COUNTIF(SUBCATEGORIAS_PLANO,$G1120)=0),"⚠ Subcategoria fora do plano de contas",IF(OR($Q1120="",N($Q1120)=0),"⚠ Valor previsto não informado",IF(AND(OR($X1120="Pago",$X1120="Recebido"),$D1120=""),"⚠ Status pago/recebido sem data",IF(AND($D1120&lt;&gt;"",N($R1120)=0),"⚠ Data de pagamento sem valor realizado",IF(AND(N($P1120)&gt;1,N($O1120)&gt;N($P1120)),"⚠ Nº da parcela maior que o total",IF(AND($C1120&lt;&gt;"",$B1120&lt;&gt;"",$C1120&lt;$B1120),"⚠ Vencimento anterior à competência","OK"))))))))</f>
        <v/>
      </c>
    </row>
    <row r="1121">
      <c r="A1121" s="14" t="n"/>
      <c r="B1121" s="36" t="n"/>
      <c r="C1121" s="36" t="n"/>
      <c r="D1121" s="36" t="n"/>
      <c r="E1121" s="14" t="n"/>
      <c r="F1121" s="29" t="n"/>
      <c r="G1121" s="29" t="n"/>
      <c r="H1121" s="29" t="n"/>
      <c r="I1121" s="29" t="n"/>
      <c r="J1121" s="29" t="n"/>
      <c r="K1121" s="14" t="n"/>
      <c r="L1121" s="29" t="n"/>
      <c r="M1121" s="14" t="n"/>
      <c r="N1121" s="29" t="n"/>
      <c r="O1121" s="13" t="n"/>
      <c r="P1121" s="13" t="n"/>
      <c r="Q1121" s="35" t="n"/>
      <c r="R1121" s="35" t="n"/>
      <c r="S1121" s="35" t="n"/>
      <c r="T1121" s="35" t="n"/>
      <c r="U1121" s="35" t="n"/>
      <c r="V1121" s="18">
        <f>IF(COUNTA($B1121:$R1121)=0,"",ROUND(N($R1121)+N($S1121)+N($T1121)-N($U1121),2))</f>
        <v/>
      </c>
      <c r="W1121" s="18">
        <f>IF(COUNTA($B1121:$R1121)=0,"",IF(OR($X1121="Pago",$X1121="Recebido",$X1121="Cancelado"),0,ROUND(N($Q1121)+N($S1121)+N($T1121)-N($U1121)-N($R1121),2)))</f>
        <v/>
      </c>
      <c r="X1121" s="14" t="n"/>
      <c r="Y1121" s="17">
        <f>IF(COUNTA($B1121:$R1121)=0,"",IF($X1121="Cancelado","Cancelado",IF(OR($X1121="Pago",$X1121="Recebido"),$X1121,IF(OR($X1121="Parcial",N($R1121)&gt;0),"Parcial",IF($C1121="","Sem vencimento",IF($C1121&lt;TODAY(),"Vencido",IF($C1121=TODAY(),"Vence hoje",IF($C1121&lt;=TODAY()+7,"Vence em 7 dias",IF($C1121&lt;=TODAY()+30,"Vence em 30 dias","Futuro")))))))))</f>
        <v/>
      </c>
      <c r="Z1121" s="24">
        <f>IF($B1121="","",MONTH($B1121))</f>
        <v/>
      </c>
      <c r="AA1121" s="24">
        <f>IF($B1121="","",YEAR($B1121))</f>
        <v/>
      </c>
      <c r="AB1121" s="24">
        <f>IF($B1121="","",ISOWEEKNUM($B1121))</f>
        <v/>
      </c>
      <c r="AC1121" s="17">
        <f>IF($B1121="","",CHOOSE(WEEKDAY($B1121,2),"Segunda","Terça","Quarta","Quinta","Sexta","Sábado","Domingo"))</f>
        <v/>
      </c>
      <c r="AD1121" s="17">
        <f>IF($B1121="","",TEXT($B1121,"MM/AAAA"))</f>
        <v/>
      </c>
      <c r="AE1121" s="18">
        <f>IF(COUNTA($B1121:$R1121)=0,"",IF($X1121="Cancelado",0,ROUND(N($Q1121)+N($S1121)+N($T1121)-N($U1121),2)))</f>
        <v/>
      </c>
      <c r="AF1121" s="9">
        <f>IF($G1121="","",IFERROR(INDEX(LINHAS_DRE_PLANO,MATCH($G1121,SUBCATEGORIAS_PLANO,0)),"Não classificado"))</f>
        <v/>
      </c>
      <c r="AG1121" s="17">
        <f>IF($G1121="","",IFERROR(INDEX(TIPOS_FLUXO_PLANO,MATCH($G1121,SUBCATEGORIAS_PLANO,0)),"Não classificado"))</f>
        <v/>
      </c>
      <c r="AH1121" s="9">
        <f>IF($G1121="","",IFERROR(INDEX(GRUPOS_PLANO,MATCH($G1121,SUBCATEGORIAS_PLANO,0)),"Não classificado"))</f>
        <v/>
      </c>
      <c r="AI1121" s="24">
        <f>IF(OR($C1121="",$X1121="Pago",$X1121="Recebido",$X1121="Cancelado"),"",$C1121-TODAY())</f>
        <v/>
      </c>
      <c r="AJ1121" s="24">
        <f>IF(OR($C1121="",$X1121="Pago",$X1121="Recebido",$X1121="Cancelado"),0,MAX(0,TODAY()-$C1121))</f>
        <v/>
      </c>
      <c r="AK1121" s="24">
        <f>IF($D1121="","",$D1121-$B1121)</f>
        <v/>
      </c>
      <c r="AL1121" s="18">
        <f>IF(OR($D1121="",$B1121=""),"",ROUND(N($R1121)*($D1121-$B1121),2))</f>
        <v/>
      </c>
      <c r="AM1121" s="17">
        <f>IF(AND($E1121="Saída",$W1121&gt;0,$C1121&lt;&gt;""),$C1121+ROW()/1000000,"")</f>
        <v/>
      </c>
      <c r="AN1121" s="17">
        <f>IF(AND($E1121="Entrada",$W1121&gt;0,$C1121&lt;&gt;""),$C1121+ROW()/1000000,"")</f>
        <v/>
      </c>
      <c r="AO1121" s="9">
        <f>IF(COUNTA($B1121:$R1121)=0,"",IF(AND($I1121&lt;&gt;"",COUNTIF(CLIENTES_NOMES,$I1121)+COUNTIF(CLIENTES_FANTASIA,$I1121)+COUNTIF(FORNECEDORES_NOMES,$I1121)+COUNTIF(FORNECEDORES_FANTASIA,$I1121)=0),"⚠ Cliente/Fornecedor não cadastrado",IF(AND($G1121&lt;&gt;"",COUNTIF(SUBCATEGORIAS_PLANO,$G1121)=0),"⚠ Subcategoria fora do plano de contas",IF(OR($Q1121="",N($Q1121)=0),"⚠ Valor previsto não informado",IF(AND(OR($X1121="Pago",$X1121="Recebido"),$D1121=""),"⚠ Status pago/recebido sem data",IF(AND($D1121&lt;&gt;"",N($R1121)=0),"⚠ Data de pagamento sem valor realizado",IF(AND(N($P1121)&gt;1,N($O1121)&gt;N($P1121)),"⚠ Nº da parcela maior que o total",IF(AND($C1121&lt;&gt;"",$B1121&lt;&gt;"",$C1121&lt;$B1121),"⚠ Vencimento anterior à competência","OK"))))))))</f>
        <v/>
      </c>
    </row>
    <row r="1122">
      <c r="A1122" s="14" t="n"/>
      <c r="B1122" s="36" t="n"/>
      <c r="C1122" s="36" t="n"/>
      <c r="D1122" s="36" t="n"/>
      <c r="E1122" s="14" t="n"/>
      <c r="F1122" s="29" t="n"/>
      <c r="G1122" s="29" t="n"/>
      <c r="H1122" s="29" t="n"/>
      <c r="I1122" s="29" t="n"/>
      <c r="J1122" s="29" t="n"/>
      <c r="K1122" s="14" t="n"/>
      <c r="L1122" s="29" t="n"/>
      <c r="M1122" s="14" t="n"/>
      <c r="N1122" s="29" t="n"/>
      <c r="O1122" s="13" t="n"/>
      <c r="P1122" s="13" t="n"/>
      <c r="Q1122" s="35" t="n"/>
      <c r="R1122" s="35" t="n"/>
      <c r="S1122" s="35" t="n"/>
      <c r="T1122" s="35" t="n"/>
      <c r="U1122" s="35" t="n"/>
      <c r="V1122" s="18">
        <f>IF(COUNTA($B1122:$R1122)=0,"",ROUND(N($R1122)+N($S1122)+N($T1122)-N($U1122),2))</f>
        <v/>
      </c>
      <c r="W1122" s="18">
        <f>IF(COUNTA($B1122:$R1122)=0,"",IF(OR($X1122="Pago",$X1122="Recebido",$X1122="Cancelado"),0,ROUND(N($Q1122)+N($S1122)+N($T1122)-N($U1122)-N($R1122),2)))</f>
        <v/>
      </c>
      <c r="X1122" s="14" t="n"/>
      <c r="Y1122" s="17">
        <f>IF(COUNTA($B1122:$R1122)=0,"",IF($X1122="Cancelado","Cancelado",IF(OR($X1122="Pago",$X1122="Recebido"),$X1122,IF(OR($X1122="Parcial",N($R1122)&gt;0),"Parcial",IF($C1122="","Sem vencimento",IF($C1122&lt;TODAY(),"Vencido",IF($C1122=TODAY(),"Vence hoje",IF($C1122&lt;=TODAY()+7,"Vence em 7 dias",IF($C1122&lt;=TODAY()+30,"Vence em 30 dias","Futuro")))))))))</f>
        <v/>
      </c>
      <c r="Z1122" s="24">
        <f>IF($B1122="","",MONTH($B1122))</f>
        <v/>
      </c>
      <c r="AA1122" s="24">
        <f>IF($B1122="","",YEAR($B1122))</f>
        <v/>
      </c>
      <c r="AB1122" s="24">
        <f>IF($B1122="","",ISOWEEKNUM($B1122))</f>
        <v/>
      </c>
      <c r="AC1122" s="17">
        <f>IF($B1122="","",CHOOSE(WEEKDAY($B1122,2),"Segunda","Terça","Quarta","Quinta","Sexta","Sábado","Domingo"))</f>
        <v/>
      </c>
      <c r="AD1122" s="17">
        <f>IF($B1122="","",TEXT($B1122,"MM/AAAA"))</f>
        <v/>
      </c>
      <c r="AE1122" s="18">
        <f>IF(COUNTA($B1122:$R1122)=0,"",IF($X1122="Cancelado",0,ROUND(N($Q1122)+N($S1122)+N($T1122)-N($U1122),2)))</f>
        <v/>
      </c>
      <c r="AF1122" s="9">
        <f>IF($G1122="","",IFERROR(INDEX(LINHAS_DRE_PLANO,MATCH($G1122,SUBCATEGORIAS_PLANO,0)),"Não classificado"))</f>
        <v/>
      </c>
      <c r="AG1122" s="17">
        <f>IF($G1122="","",IFERROR(INDEX(TIPOS_FLUXO_PLANO,MATCH($G1122,SUBCATEGORIAS_PLANO,0)),"Não classificado"))</f>
        <v/>
      </c>
      <c r="AH1122" s="9">
        <f>IF($G1122="","",IFERROR(INDEX(GRUPOS_PLANO,MATCH($G1122,SUBCATEGORIAS_PLANO,0)),"Não classificado"))</f>
        <v/>
      </c>
      <c r="AI1122" s="24">
        <f>IF(OR($C1122="",$X1122="Pago",$X1122="Recebido",$X1122="Cancelado"),"",$C1122-TODAY())</f>
        <v/>
      </c>
      <c r="AJ1122" s="24">
        <f>IF(OR($C1122="",$X1122="Pago",$X1122="Recebido",$X1122="Cancelado"),0,MAX(0,TODAY()-$C1122))</f>
        <v/>
      </c>
      <c r="AK1122" s="24">
        <f>IF($D1122="","",$D1122-$B1122)</f>
        <v/>
      </c>
      <c r="AL1122" s="18">
        <f>IF(OR($D1122="",$B1122=""),"",ROUND(N($R1122)*($D1122-$B1122),2))</f>
        <v/>
      </c>
      <c r="AM1122" s="17">
        <f>IF(AND($E1122="Saída",$W1122&gt;0,$C1122&lt;&gt;""),$C1122+ROW()/1000000,"")</f>
        <v/>
      </c>
      <c r="AN1122" s="17">
        <f>IF(AND($E1122="Entrada",$W1122&gt;0,$C1122&lt;&gt;""),$C1122+ROW()/1000000,"")</f>
        <v/>
      </c>
      <c r="AO1122" s="9">
        <f>IF(COUNTA($B1122:$R1122)=0,"",IF(AND($I1122&lt;&gt;"",COUNTIF(CLIENTES_NOMES,$I1122)+COUNTIF(CLIENTES_FANTASIA,$I1122)+COUNTIF(FORNECEDORES_NOMES,$I1122)+COUNTIF(FORNECEDORES_FANTASIA,$I1122)=0),"⚠ Cliente/Fornecedor não cadastrado",IF(AND($G1122&lt;&gt;"",COUNTIF(SUBCATEGORIAS_PLANO,$G1122)=0),"⚠ Subcategoria fora do plano de contas",IF(OR($Q1122="",N($Q1122)=0),"⚠ Valor previsto não informado",IF(AND(OR($X1122="Pago",$X1122="Recebido"),$D1122=""),"⚠ Status pago/recebido sem data",IF(AND($D1122&lt;&gt;"",N($R1122)=0),"⚠ Data de pagamento sem valor realizado",IF(AND(N($P1122)&gt;1,N($O1122)&gt;N($P1122)),"⚠ Nº da parcela maior que o total",IF(AND($C1122&lt;&gt;"",$B1122&lt;&gt;"",$C1122&lt;$B1122),"⚠ Vencimento anterior à competência","OK"))))))))</f>
        <v/>
      </c>
    </row>
    <row r="1123">
      <c r="A1123" s="14" t="n"/>
      <c r="B1123" s="36" t="n"/>
      <c r="C1123" s="36" t="n"/>
      <c r="D1123" s="36" t="n"/>
      <c r="E1123" s="14" t="n"/>
      <c r="F1123" s="29" t="n"/>
      <c r="G1123" s="29" t="n"/>
      <c r="H1123" s="29" t="n"/>
      <c r="I1123" s="29" t="n"/>
      <c r="J1123" s="29" t="n"/>
      <c r="K1123" s="14" t="n"/>
      <c r="L1123" s="29" t="n"/>
      <c r="M1123" s="14" t="n"/>
      <c r="N1123" s="29" t="n"/>
      <c r="O1123" s="13" t="n"/>
      <c r="P1123" s="13" t="n"/>
      <c r="Q1123" s="35" t="n"/>
      <c r="R1123" s="35" t="n"/>
      <c r="S1123" s="35" t="n"/>
      <c r="T1123" s="35" t="n"/>
      <c r="U1123" s="35" t="n"/>
      <c r="V1123" s="18">
        <f>IF(COUNTA($B1123:$R1123)=0,"",ROUND(N($R1123)+N($S1123)+N($T1123)-N($U1123),2))</f>
        <v/>
      </c>
      <c r="W1123" s="18">
        <f>IF(COUNTA($B1123:$R1123)=0,"",IF(OR($X1123="Pago",$X1123="Recebido",$X1123="Cancelado"),0,ROUND(N($Q1123)+N($S1123)+N($T1123)-N($U1123)-N($R1123),2)))</f>
        <v/>
      </c>
      <c r="X1123" s="14" t="n"/>
      <c r="Y1123" s="17">
        <f>IF(COUNTA($B1123:$R1123)=0,"",IF($X1123="Cancelado","Cancelado",IF(OR($X1123="Pago",$X1123="Recebido"),$X1123,IF(OR($X1123="Parcial",N($R1123)&gt;0),"Parcial",IF($C1123="","Sem vencimento",IF($C1123&lt;TODAY(),"Vencido",IF($C1123=TODAY(),"Vence hoje",IF($C1123&lt;=TODAY()+7,"Vence em 7 dias",IF($C1123&lt;=TODAY()+30,"Vence em 30 dias","Futuro")))))))))</f>
        <v/>
      </c>
      <c r="Z1123" s="24">
        <f>IF($B1123="","",MONTH($B1123))</f>
        <v/>
      </c>
      <c r="AA1123" s="24">
        <f>IF($B1123="","",YEAR($B1123))</f>
        <v/>
      </c>
      <c r="AB1123" s="24">
        <f>IF($B1123="","",ISOWEEKNUM($B1123))</f>
        <v/>
      </c>
      <c r="AC1123" s="17">
        <f>IF($B1123="","",CHOOSE(WEEKDAY($B1123,2),"Segunda","Terça","Quarta","Quinta","Sexta","Sábado","Domingo"))</f>
        <v/>
      </c>
      <c r="AD1123" s="17">
        <f>IF($B1123="","",TEXT($B1123,"MM/AAAA"))</f>
        <v/>
      </c>
      <c r="AE1123" s="18">
        <f>IF(COUNTA($B1123:$R1123)=0,"",IF($X1123="Cancelado",0,ROUND(N($Q1123)+N($S1123)+N($T1123)-N($U1123),2)))</f>
        <v/>
      </c>
      <c r="AF1123" s="9">
        <f>IF($G1123="","",IFERROR(INDEX(LINHAS_DRE_PLANO,MATCH($G1123,SUBCATEGORIAS_PLANO,0)),"Não classificado"))</f>
        <v/>
      </c>
      <c r="AG1123" s="17">
        <f>IF($G1123="","",IFERROR(INDEX(TIPOS_FLUXO_PLANO,MATCH($G1123,SUBCATEGORIAS_PLANO,0)),"Não classificado"))</f>
        <v/>
      </c>
      <c r="AH1123" s="9">
        <f>IF($G1123="","",IFERROR(INDEX(GRUPOS_PLANO,MATCH($G1123,SUBCATEGORIAS_PLANO,0)),"Não classificado"))</f>
        <v/>
      </c>
      <c r="AI1123" s="24">
        <f>IF(OR($C1123="",$X1123="Pago",$X1123="Recebido",$X1123="Cancelado"),"",$C1123-TODAY())</f>
        <v/>
      </c>
      <c r="AJ1123" s="24">
        <f>IF(OR($C1123="",$X1123="Pago",$X1123="Recebido",$X1123="Cancelado"),0,MAX(0,TODAY()-$C1123))</f>
        <v/>
      </c>
      <c r="AK1123" s="24">
        <f>IF($D1123="","",$D1123-$B1123)</f>
        <v/>
      </c>
      <c r="AL1123" s="18">
        <f>IF(OR($D1123="",$B1123=""),"",ROUND(N($R1123)*($D1123-$B1123),2))</f>
        <v/>
      </c>
      <c r="AM1123" s="17">
        <f>IF(AND($E1123="Saída",$W1123&gt;0,$C1123&lt;&gt;""),$C1123+ROW()/1000000,"")</f>
        <v/>
      </c>
      <c r="AN1123" s="17">
        <f>IF(AND($E1123="Entrada",$W1123&gt;0,$C1123&lt;&gt;""),$C1123+ROW()/1000000,"")</f>
        <v/>
      </c>
      <c r="AO1123" s="9">
        <f>IF(COUNTA($B1123:$R1123)=0,"",IF(AND($I1123&lt;&gt;"",COUNTIF(CLIENTES_NOMES,$I1123)+COUNTIF(CLIENTES_FANTASIA,$I1123)+COUNTIF(FORNECEDORES_NOMES,$I1123)+COUNTIF(FORNECEDORES_FANTASIA,$I1123)=0),"⚠ Cliente/Fornecedor não cadastrado",IF(AND($G1123&lt;&gt;"",COUNTIF(SUBCATEGORIAS_PLANO,$G1123)=0),"⚠ Subcategoria fora do plano de contas",IF(OR($Q1123="",N($Q1123)=0),"⚠ Valor previsto não informado",IF(AND(OR($X1123="Pago",$X1123="Recebido"),$D1123=""),"⚠ Status pago/recebido sem data",IF(AND($D1123&lt;&gt;"",N($R1123)=0),"⚠ Data de pagamento sem valor realizado",IF(AND(N($P1123)&gt;1,N($O1123)&gt;N($P1123)),"⚠ Nº da parcela maior que o total",IF(AND($C1123&lt;&gt;"",$B1123&lt;&gt;"",$C1123&lt;$B1123),"⚠ Vencimento anterior à competência","OK"))))))))</f>
        <v/>
      </c>
    </row>
    <row r="1124">
      <c r="A1124" s="14" t="n"/>
      <c r="B1124" s="36" t="n"/>
      <c r="C1124" s="36" t="n"/>
      <c r="D1124" s="36" t="n"/>
      <c r="E1124" s="14" t="n"/>
      <c r="F1124" s="29" t="n"/>
      <c r="G1124" s="29" t="n"/>
      <c r="H1124" s="29" t="n"/>
      <c r="I1124" s="29" t="n"/>
      <c r="J1124" s="29" t="n"/>
      <c r="K1124" s="14" t="n"/>
      <c r="L1124" s="29" t="n"/>
      <c r="M1124" s="14" t="n"/>
      <c r="N1124" s="29" t="n"/>
      <c r="O1124" s="13" t="n"/>
      <c r="P1124" s="13" t="n"/>
      <c r="Q1124" s="35" t="n"/>
      <c r="R1124" s="35" t="n"/>
      <c r="S1124" s="35" t="n"/>
      <c r="T1124" s="35" t="n"/>
      <c r="U1124" s="35" t="n"/>
      <c r="V1124" s="18">
        <f>IF(COUNTA($B1124:$R1124)=0,"",ROUND(N($R1124)+N($S1124)+N($T1124)-N($U1124),2))</f>
        <v/>
      </c>
      <c r="W1124" s="18">
        <f>IF(COUNTA($B1124:$R1124)=0,"",IF(OR($X1124="Pago",$X1124="Recebido",$X1124="Cancelado"),0,ROUND(N($Q1124)+N($S1124)+N($T1124)-N($U1124)-N($R1124),2)))</f>
        <v/>
      </c>
      <c r="X1124" s="14" t="n"/>
      <c r="Y1124" s="17">
        <f>IF(COUNTA($B1124:$R1124)=0,"",IF($X1124="Cancelado","Cancelado",IF(OR($X1124="Pago",$X1124="Recebido"),$X1124,IF(OR($X1124="Parcial",N($R1124)&gt;0),"Parcial",IF($C1124="","Sem vencimento",IF($C1124&lt;TODAY(),"Vencido",IF($C1124=TODAY(),"Vence hoje",IF($C1124&lt;=TODAY()+7,"Vence em 7 dias",IF($C1124&lt;=TODAY()+30,"Vence em 30 dias","Futuro")))))))))</f>
        <v/>
      </c>
      <c r="Z1124" s="24">
        <f>IF($B1124="","",MONTH($B1124))</f>
        <v/>
      </c>
      <c r="AA1124" s="24">
        <f>IF($B1124="","",YEAR($B1124))</f>
        <v/>
      </c>
      <c r="AB1124" s="24">
        <f>IF($B1124="","",ISOWEEKNUM($B1124))</f>
        <v/>
      </c>
      <c r="AC1124" s="17">
        <f>IF($B1124="","",CHOOSE(WEEKDAY($B1124,2),"Segunda","Terça","Quarta","Quinta","Sexta","Sábado","Domingo"))</f>
        <v/>
      </c>
      <c r="AD1124" s="17">
        <f>IF($B1124="","",TEXT($B1124,"MM/AAAA"))</f>
        <v/>
      </c>
      <c r="AE1124" s="18">
        <f>IF(COUNTA($B1124:$R1124)=0,"",IF($X1124="Cancelado",0,ROUND(N($Q1124)+N($S1124)+N($T1124)-N($U1124),2)))</f>
        <v/>
      </c>
      <c r="AF1124" s="9">
        <f>IF($G1124="","",IFERROR(INDEX(LINHAS_DRE_PLANO,MATCH($G1124,SUBCATEGORIAS_PLANO,0)),"Não classificado"))</f>
        <v/>
      </c>
      <c r="AG1124" s="17">
        <f>IF($G1124="","",IFERROR(INDEX(TIPOS_FLUXO_PLANO,MATCH($G1124,SUBCATEGORIAS_PLANO,0)),"Não classificado"))</f>
        <v/>
      </c>
      <c r="AH1124" s="9">
        <f>IF($G1124="","",IFERROR(INDEX(GRUPOS_PLANO,MATCH($G1124,SUBCATEGORIAS_PLANO,0)),"Não classificado"))</f>
        <v/>
      </c>
      <c r="AI1124" s="24">
        <f>IF(OR($C1124="",$X1124="Pago",$X1124="Recebido",$X1124="Cancelado"),"",$C1124-TODAY())</f>
        <v/>
      </c>
      <c r="AJ1124" s="24">
        <f>IF(OR($C1124="",$X1124="Pago",$X1124="Recebido",$X1124="Cancelado"),0,MAX(0,TODAY()-$C1124))</f>
        <v/>
      </c>
      <c r="AK1124" s="24">
        <f>IF($D1124="","",$D1124-$B1124)</f>
        <v/>
      </c>
      <c r="AL1124" s="18">
        <f>IF(OR($D1124="",$B1124=""),"",ROUND(N($R1124)*($D1124-$B1124),2))</f>
        <v/>
      </c>
      <c r="AM1124" s="17">
        <f>IF(AND($E1124="Saída",$W1124&gt;0,$C1124&lt;&gt;""),$C1124+ROW()/1000000,"")</f>
        <v/>
      </c>
      <c r="AN1124" s="17">
        <f>IF(AND($E1124="Entrada",$W1124&gt;0,$C1124&lt;&gt;""),$C1124+ROW()/1000000,"")</f>
        <v/>
      </c>
      <c r="AO1124" s="9">
        <f>IF(COUNTA($B1124:$R1124)=0,"",IF(AND($I1124&lt;&gt;"",COUNTIF(CLIENTES_NOMES,$I1124)+COUNTIF(CLIENTES_FANTASIA,$I1124)+COUNTIF(FORNECEDORES_NOMES,$I1124)+COUNTIF(FORNECEDORES_FANTASIA,$I1124)=0),"⚠ Cliente/Fornecedor não cadastrado",IF(AND($G1124&lt;&gt;"",COUNTIF(SUBCATEGORIAS_PLANO,$G1124)=0),"⚠ Subcategoria fora do plano de contas",IF(OR($Q1124="",N($Q1124)=0),"⚠ Valor previsto não informado",IF(AND(OR($X1124="Pago",$X1124="Recebido"),$D1124=""),"⚠ Status pago/recebido sem data",IF(AND($D1124&lt;&gt;"",N($R1124)=0),"⚠ Data de pagamento sem valor realizado",IF(AND(N($P1124)&gt;1,N($O1124)&gt;N($P1124)),"⚠ Nº da parcela maior que o total",IF(AND($C1124&lt;&gt;"",$B1124&lt;&gt;"",$C1124&lt;$B1124),"⚠ Vencimento anterior à competência","OK"))))))))</f>
        <v/>
      </c>
    </row>
    <row r="1125">
      <c r="A1125" s="14" t="n"/>
      <c r="B1125" s="36" t="n"/>
      <c r="C1125" s="36" t="n"/>
      <c r="D1125" s="36" t="n"/>
      <c r="E1125" s="14" t="n"/>
      <c r="F1125" s="29" t="n"/>
      <c r="G1125" s="29" t="n"/>
      <c r="H1125" s="29" t="n"/>
      <c r="I1125" s="29" t="n"/>
      <c r="J1125" s="29" t="n"/>
      <c r="K1125" s="14" t="n"/>
      <c r="L1125" s="29" t="n"/>
      <c r="M1125" s="14" t="n"/>
      <c r="N1125" s="29" t="n"/>
      <c r="O1125" s="13" t="n"/>
      <c r="P1125" s="13" t="n"/>
      <c r="Q1125" s="35" t="n"/>
      <c r="R1125" s="35" t="n"/>
      <c r="S1125" s="35" t="n"/>
      <c r="T1125" s="35" t="n"/>
      <c r="U1125" s="35" t="n"/>
      <c r="V1125" s="18">
        <f>IF(COUNTA($B1125:$R1125)=0,"",ROUND(N($R1125)+N($S1125)+N($T1125)-N($U1125),2))</f>
        <v/>
      </c>
      <c r="W1125" s="18">
        <f>IF(COUNTA($B1125:$R1125)=0,"",IF(OR($X1125="Pago",$X1125="Recebido",$X1125="Cancelado"),0,ROUND(N($Q1125)+N($S1125)+N($T1125)-N($U1125)-N($R1125),2)))</f>
        <v/>
      </c>
      <c r="X1125" s="14" t="n"/>
      <c r="Y1125" s="17">
        <f>IF(COUNTA($B1125:$R1125)=0,"",IF($X1125="Cancelado","Cancelado",IF(OR($X1125="Pago",$X1125="Recebido"),$X1125,IF(OR($X1125="Parcial",N($R1125)&gt;0),"Parcial",IF($C1125="","Sem vencimento",IF($C1125&lt;TODAY(),"Vencido",IF($C1125=TODAY(),"Vence hoje",IF($C1125&lt;=TODAY()+7,"Vence em 7 dias",IF($C1125&lt;=TODAY()+30,"Vence em 30 dias","Futuro")))))))))</f>
        <v/>
      </c>
      <c r="Z1125" s="24">
        <f>IF($B1125="","",MONTH($B1125))</f>
        <v/>
      </c>
      <c r="AA1125" s="24">
        <f>IF($B1125="","",YEAR($B1125))</f>
        <v/>
      </c>
      <c r="AB1125" s="24">
        <f>IF($B1125="","",ISOWEEKNUM($B1125))</f>
        <v/>
      </c>
      <c r="AC1125" s="17">
        <f>IF($B1125="","",CHOOSE(WEEKDAY($B1125,2),"Segunda","Terça","Quarta","Quinta","Sexta","Sábado","Domingo"))</f>
        <v/>
      </c>
      <c r="AD1125" s="17">
        <f>IF($B1125="","",TEXT($B1125,"MM/AAAA"))</f>
        <v/>
      </c>
      <c r="AE1125" s="18">
        <f>IF(COUNTA($B1125:$R1125)=0,"",IF($X1125="Cancelado",0,ROUND(N($Q1125)+N($S1125)+N($T1125)-N($U1125),2)))</f>
        <v/>
      </c>
      <c r="AF1125" s="9">
        <f>IF($G1125="","",IFERROR(INDEX(LINHAS_DRE_PLANO,MATCH($G1125,SUBCATEGORIAS_PLANO,0)),"Não classificado"))</f>
        <v/>
      </c>
      <c r="AG1125" s="17">
        <f>IF($G1125="","",IFERROR(INDEX(TIPOS_FLUXO_PLANO,MATCH($G1125,SUBCATEGORIAS_PLANO,0)),"Não classificado"))</f>
        <v/>
      </c>
      <c r="AH1125" s="9">
        <f>IF($G1125="","",IFERROR(INDEX(GRUPOS_PLANO,MATCH($G1125,SUBCATEGORIAS_PLANO,0)),"Não classificado"))</f>
        <v/>
      </c>
      <c r="AI1125" s="24">
        <f>IF(OR($C1125="",$X1125="Pago",$X1125="Recebido",$X1125="Cancelado"),"",$C1125-TODAY())</f>
        <v/>
      </c>
      <c r="AJ1125" s="24">
        <f>IF(OR($C1125="",$X1125="Pago",$X1125="Recebido",$X1125="Cancelado"),0,MAX(0,TODAY()-$C1125))</f>
        <v/>
      </c>
      <c r="AK1125" s="24">
        <f>IF($D1125="","",$D1125-$B1125)</f>
        <v/>
      </c>
      <c r="AL1125" s="18">
        <f>IF(OR($D1125="",$B1125=""),"",ROUND(N($R1125)*($D1125-$B1125),2))</f>
        <v/>
      </c>
      <c r="AM1125" s="17">
        <f>IF(AND($E1125="Saída",$W1125&gt;0,$C1125&lt;&gt;""),$C1125+ROW()/1000000,"")</f>
        <v/>
      </c>
      <c r="AN1125" s="17">
        <f>IF(AND($E1125="Entrada",$W1125&gt;0,$C1125&lt;&gt;""),$C1125+ROW()/1000000,"")</f>
        <v/>
      </c>
      <c r="AO1125" s="9">
        <f>IF(COUNTA($B1125:$R1125)=0,"",IF(AND($I1125&lt;&gt;"",COUNTIF(CLIENTES_NOMES,$I1125)+COUNTIF(CLIENTES_FANTASIA,$I1125)+COUNTIF(FORNECEDORES_NOMES,$I1125)+COUNTIF(FORNECEDORES_FANTASIA,$I1125)=0),"⚠ Cliente/Fornecedor não cadastrado",IF(AND($G1125&lt;&gt;"",COUNTIF(SUBCATEGORIAS_PLANO,$G1125)=0),"⚠ Subcategoria fora do plano de contas",IF(OR($Q1125="",N($Q1125)=0),"⚠ Valor previsto não informado",IF(AND(OR($X1125="Pago",$X1125="Recebido"),$D1125=""),"⚠ Status pago/recebido sem data",IF(AND($D1125&lt;&gt;"",N($R1125)=0),"⚠ Data de pagamento sem valor realizado",IF(AND(N($P1125)&gt;1,N($O1125)&gt;N($P1125)),"⚠ Nº da parcela maior que o total",IF(AND($C1125&lt;&gt;"",$B1125&lt;&gt;"",$C1125&lt;$B1125),"⚠ Vencimento anterior à competência","OK"))))))))</f>
        <v/>
      </c>
    </row>
    <row r="1126">
      <c r="A1126" s="14" t="n"/>
      <c r="B1126" s="36" t="n"/>
      <c r="C1126" s="36" t="n"/>
      <c r="D1126" s="36" t="n"/>
      <c r="E1126" s="14" t="n"/>
      <c r="F1126" s="29" t="n"/>
      <c r="G1126" s="29" t="n"/>
      <c r="H1126" s="29" t="n"/>
      <c r="I1126" s="29" t="n"/>
      <c r="J1126" s="29" t="n"/>
      <c r="K1126" s="14" t="n"/>
      <c r="L1126" s="29" t="n"/>
      <c r="M1126" s="14" t="n"/>
      <c r="N1126" s="29" t="n"/>
      <c r="O1126" s="13" t="n"/>
      <c r="P1126" s="13" t="n"/>
      <c r="Q1126" s="35" t="n"/>
      <c r="R1126" s="35" t="n"/>
      <c r="S1126" s="35" t="n"/>
      <c r="T1126" s="35" t="n"/>
      <c r="U1126" s="35" t="n"/>
      <c r="V1126" s="18">
        <f>IF(COUNTA($B1126:$R1126)=0,"",ROUND(N($R1126)+N($S1126)+N($T1126)-N($U1126),2))</f>
        <v/>
      </c>
      <c r="W1126" s="18">
        <f>IF(COUNTA($B1126:$R1126)=0,"",IF(OR($X1126="Pago",$X1126="Recebido",$X1126="Cancelado"),0,ROUND(N($Q1126)+N($S1126)+N($T1126)-N($U1126)-N($R1126),2)))</f>
        <v/>
      </c>
      <c r="X1126" s="14" t="n"/>
      <c r="Y1126" s="17">
        <f>IF(COUNTA($B1126:$R1126)=0,"",IF($X1126="Cancelado","Cancelado",IF(OR($X1126="Pago",$X1126="Recebido"),$X1126,IF(OR($X1126="Parcial",N($R1126)&gt;0),"Parcial",IF($C1126="","Sem vencimento",IF($C1126&lt;TODAY(),"Vencido",IF($C1126=TODAY(),"Vence hoje",IF($C1126&lt;=TODAY()+7,"Vence em 7 dias",IF($C1126&lt;=TODAY()+30,"Vence em 30 dias","Futuro")))))))))</f>
        <v/>
      </c>
      <c r="Z1126" s="24">
        <f>IF($B1126="","",MONTH($B1126))</f>
        <v/>
      </c>
      <c r="AA1126" s="24">
        <f>IF($B1126="","",YEAR($B1126))</f>
        <v/>
      </c>
      <c r="AB1126" s="24">
        <f>IF($B1126="","",ISOWEEKNUM($B1126))</f>
        <v/>
      </c>
      <c r="AC1126" s="17">
        <f>IF($B1126="","",CHOOSE(WEEKDAY($B1126,2),"Segunda","Terça","Quarta","Quinta","Sexta","Sábado","Domingo"))</f>
        <v/>
      </c>
      <c r="AD1126" s="17">
        <f>IF($B1126="","",TEXT($B1126,"MM/AAAA"))</f>
        <v/>
      </c>
      <c r="AE1126" s="18">
        <f>IF(COUNTA($B1126:$R1126)=0,"",IF($X1126="Cancelado",0,ROUND(N($Q1126)+N($S1126)+N($T1126)-N($U1126),2)))</f>
        <v/>
      </c>
      <c r="AF1126" s="9">
        <f>IF($G1126="","",IFERROR(INDEX(LINHAS_DRE_PLANO,MATCH($G1126,SUBCATEGORIAS_PLANO,0)),"Não classificado"))</f>
        <v/>
      </c>
      <c r="AG1126" s="17">
        <f>IF($G1126="","",IFERROR(INDEX(TIPOS_FLUXO_PLANO,MATCH($G1126,SUBCATEGORIAS_PLANO,0)),"Não classificado"))</f>
        <v/>
      </c>
      <c r="AH1126" s="9">
        <f>IF($G1126="","",IFERROR(INDEX(GRUPOS_PLANO,MATCH($G1126,SUBCATEGORIAS_PLANO,0)),"Não classificado"))</f>
        <v/>
      </c>
      <c r="AI1126" s="24">
        <f>IF(OR($C1126="",$X1126="Pago",$X1126="Recebido",$X1126="Cancelado"),"",$C1126-TODAY())</f>
        <v/>
      </c>
      <c r="AJ1126" s="24">
        <f>IF(OR($C1126="",$X1126="Pago",$X1126="Recebido",$X1126="Cancelado"),0,MAX(0,TODAY()-$C1126))</f>
        <v/>
      </c>
      <c r="AK1126" s="24">
        <f>IF($D1126="","",$D1126-$B1126)</f>
        <v/>
      </c>
      <c r="AL1126" s="18">
        <f>IF(OR($D1126="",$B1126=""),"",ROUND(N($R1126)*($D1126-$B1126),2))</f>
        <v/>
      </c>
      <c r="AM1126" s="17">
        <f>IF(AND($E1126="Saída",$W1126&gt;0,$C1126&lt;&gt;""),$C1126+ROW()/1000000,"")</f>
        <v/>
      </c>
      <c r="AN1126" s="17">
        <f>IF(AND($E1126="Entrada",$W1126&gt;0,$C1126&lt;&gt;""),$C1126+ROW()/1000000,"")</f>
        <v/>
      </c>
      <c r="AO1126" s="9">
        <f>IF(COUNTA($B1126:$R1126)=0,"",IF(AND($I1126&lt;&gt;"",COUNTIF(CLIENTES_NOMES,$I1126)+COUNTIF(CLIENTES_FANTASIA,$I1126)+COUNTIF(FORNECEDORES_NOMES,$I1126)+COUNTIF(FORNECEDORES_FANTASIA,$I1126)=0),"⚠ Cliente/Fornecedor não cadastrado",IF(AND($G1126&lt;&gt;"",COUNTIF(SUBCATEGORIAS_PLANO,$G1126)=0),"⚠ Subcategoria fora do plano de contas",IF(OR($Q1126="",N($Q1126)=0),"⚠ Valor previsto não informado",IF(AND(OR($X1126="Pago",$X1126="Recebido"),$D1126=""),"⚠ Status pago/recebido sem data",IF(AND($D1126&lt;&gt;"",N($R1126)=0),"⚠ Data de pagamento sem valor realizado",IF(AND(N($P1126)&gt;1,N($O1126)&gt;N($P1126)),"⚠ Nº da parcela maior que o total",IF(AND($C1126&lt;&gt;"",$B1126&lt;&gt;"",$C1126&lt;$B1126),"⚠ Vencimento anterior à competência","OK"))))))))</f>
        <v/>
      </c>
    </row>
    <row r="1127">
      <c r="A1127" s="14" t="n"/>
      <c r="B1127" s="36" t="n"/>
      <c r="C1127" s="36" t="n"/>
      <c r="D1127" s="36" t="n"/>
      <c r="E1127" s="14" t="n"/>
      <c r="F1127" s="29" t="n"/>
      <c r="G1127" s="29" t="n"/>
      <c r="H1127" s="29" t="n"/>
      <c r="I1127" s="29" t="n"/>
      <c r="J1127" s="29" t="n"/>
      <c r="K1127" s="14" t="n"/>
      <c r="L1127" s="29" t="n"/>
      <c r="M1127" s="14" t="n"/>
      <c r="N1127" s="29" t="n"/>
      <c r="O1127" s="13" t="n"/>
      <c r="P1127" s="13" t="n"/>
      <c r="Q1127" s="35" t="n"/>
      <c r="R1127" s="35" t="n"/>
      <c r="S1127" s="35" t="n"/>
      <c r="T1127" s="35" t="n"/>
      <c r="U1127" s="35" t="n"/>
      <c r="V1127" s="18">
        <f>IF(COUNTA($B1127:$R1127)=0,"",ROUND(N($R1127)+N($S1127)+N($T1127)-N($U1127),2))</f>
        <v/>
      </c>
      <c r="W1127" s="18">
        <f>IF(COUNTA($B1127:$R1127)=0,"",IF(OR($X1127="Pago",$X1127="Recebido",$X1127="Cancelado"),0,ROUND(N($Q1127)+N($S1127)+N($T1127)-N($U1127)-N($R1127),2)))</f>
        <v/>
      </c>
      <c r="X1127" s="14" t="n"/>
      <c r="Y1127" s="17">
        <f>IF(COUNTA($B1127:$R1127)=0,"",IF($X1127="Cancelado","Cancelado",IF(OR($X1127="Pago",$X1127="Recebido"),$X1127,IF(OR($X1127="Parcial",N($R1127)&gt;0),"Parcial",IF($C1127="","Sem vencimento",IF($C1127&lt;TODAY(),"Vencido",IF($C1127=TODAY(),"Vence hoje",IF($C1127&lt;=TODAY()+7,"Vence em 7 dias",IF($C1127&lt;=TODAY()+30,"Vence em 30 dias","Futuro")))))))))</f>
        <v/>
      </c>
      <c r="Z1127" s="24">
        <f>IF($B1127="","",MONTH($B1127))</f>
        <v/>
      </c>
      <c r="AA1127" s="24">
        <f>IF($B1127="","",YEAR($B1127))</f>
        <v/>
      </c>
      <c r="AB1127" s="24">
        <f>IF($B1127="","",ISOWEEKNUM($B1127))</f>
        <v/>
      </c>
      <c r="AC1127" s="17">
        <f>IF($B1127="","",CHOOSE(WEEKDAY($B1127,2),"Segunda","Terça","Quarta","Quinta","Sexta","Sábado","Domingo"))</f>
        <v/>
      </c>
      <c r="AD1127" s="17">
        <f>IF($B1127="","",TEXT($B1127,"MM/AAAA"))</f>
        <v/>
      </c>
      <c r="AE1127" s="18">
        <f>IF(COUNTA($B1127:$R1127)=0,"",IF($X1127="Cancelado",0,ROUND(N($Q1127)+N($S1127)+N($T1127)-N($U1127),2)))</f>
        <v/>
      </c>
      <c r="AF1127" s="9">
        <f>IF($G1127="","",IFERROR(INDEX(LINHAS_DRE_PLANO,MATCH($G1127,SUBCATEGORIAS_PLANO,0)),"Não classificado"))</f>
        <v/>
      </c>
      <c r="AG1127" s="17">
        <f>IF($G1127="","",IFERROR(INDEX(TIPOS_FLUXO_PLANO,MATCH($G1127,SUBCATEGORIAS_PLANO,0)),"Não classificado"))</f>
        <v/>
      </c>
      <c r="AH1127" s="9">
        <f>IF($G1127="","",IFERROR(INDEX(GRUPOS_PLANO,MATCH($G1127,SUBCATEGORIAS_PLANO,0)),"Não classificado"))</f>
        <v/>
      </c>
      <c r="AI1127" s="24">
        <f>IF(OR($C1127="",$X1127="Pago",$X1127="Recebido",$X1127="Cancelado"),"",$C1127-TODAY())</f>
        <v/>
      </c>
      <c r="AJ1127" s="24">
        <f>IF(OR($C1127="",$X1127="Pago",$X1127="Recebido",$X1127="Cancelado"),0,MAX(0,TODAY()-$C1127))</f>
        <v/>
      </c>
      <c r="AK1127" s="24">
        <f>IF($D1127="","",$D1127-$B1127)</f>
        <v/>
      </c>
      <c r="AL1127" s="18">
        <f>IF(OR($D1127="",$B1127=""),"",ROUND(N($R1127)*($D1127-$B1127),2))</f>
        <v/>
      </c>
      <c r="AM1127" s="17">
        <f>IF(AND($E1127="Saída",$W1127&gt;0,$C1127&lt;&gt;""),$C1127+ROW()/1000000,"")</f>
        <v/>
      </c>
      <c r="AN1127" s="17">
        <f>IF(AND($E1127="Entrada",$W1127&gt;0,$C1127&lt;&gt;""),$C1127+ROW()/1000000,"")</f>
        <v/>
      </c>
      <c r="AO1127" s="9">
        <f>IF(COUNTA($B1127:$R1127)=0,"",IF(AND($I1127&lt;&gt;"",COUNTIF(CLIENTES_NOMES,$I1127)+COUNTIF(CLIENTES_FANTASIA,$I1127)+COUNTIF(FORNECEDORES_NOMES,$I1127)+COUNTIF(FORNECEDORES_FANTASIA,$I1127)=0),"⚠ Cliente/Fornecedor não cadastrado",IF(AND($G1127&lt;&gt;"",COUNTIF(SUBCATEGORIAS_PLANO,$G1127)=0),"⚠ Subcategoria fora do plano de contas",IF(OR($Q1127="",N($Q1127)=0),"⚠ Valor previsto não informado",IF(AND(OR($X1127="Pago",$X1127="Recebido"),$D1127=""),"⚠ Status pago/recebido sem data",IF(AND($D1127&lt;&gt;"",N($R1127)=0),"⚠ Data de pagamento sem valor realizado",IF(AND(N($P1127)&gt;1,N($O1127)&gt;N($P1127)),"⚠ Nº da parcela maior que o total",IF(AND($C1127&lt;&gt;"",$B1127&lt;&gt;"",$C1127&lt;$B1127),"⚠ Vencimento anterior à competência","OK"))))))))</f>
        <v/>
      </c>
    </row>
    <row r="1128">
      <c r="A1128" s="14" t="n"/>
      <c r="B1128" s="36" t="n"/>
      <c r="C1128" s="36" t="n"/>
      <c r="D1128" s="36" t="n"/>
      <c r="E1128" s="14" t="n"/>
      <c r="F1128" s="29" t="n"/>
      <c r="G1128" s="29" t="n"/>
      <c r="H1128" s="29" t="n"/>
      <c r="I1128" s="29" t="n"/>
      <c r="J1128" s="29" t="n"/>
      <c r="K1128" s="14" t="n"/>
      <c r="L1128" s="29" t="n"/>
      <c r="M1128" s="14" t="n"/>
      <c r="N1128" s="29" t="n"/>
      <c r="O1128" s="13" t="n"/>
      <c r="P1128" s="13" t="n"/>
      <c r="Q1128" s="35" t="n"/>
      <c r="R1128" s="35" t="n"/>
      <c r="S1128" s="35" t="n"/>
      <c r="T1128" s="35" t="n"/>
      <c r="U1128" s="35" t="n"/>
      <c r="V1128" s="18">
        <f>IF(COUNTA($B1128:$R1128)=0,"",ROUND(N($R1128)+N($S1128)+N($T1128)-N($U1128),2))</f>
        <v/>
      </c>
      <c r="W1128" s="18">
        <f>IF(COUNTA($B1128:$R1128)=0,"",IF(OR($X1128="Pago",$X1128="Recebido",$X1128="Cancelado"),0,ROUND(N($Q1128)+N($S1128)+N($T1128)-N($U1128)-N($R1128),2)))</f>
        <v/>
      </c>
      <c r="X1128" s="14" t="n"/>
      <c r="Y1128" s="17">
        <f>IF(COUNTA($B1128:$R1128)=0,"",IF($X1128="Cancelado","Cancelado",IF(OR($X1128="Pago",$X1128="Recebido"),$X1128,IF(OR($X1128="Parcial",N($R1128)&gt;0),"Parcial",IF($C1128="","Sem vencimento",IF($C1128&lt;TODAY(),"Vencido",IF($C1128=TODAY(),"Vence hoje",IF($C1128&lt;=TODAY()+7,"Vence em 7 dias",IF($C1128&lt;=TODAY()+30,"Vence em 30 dias","Futuro")))))))))</f>
        <v/>
      </c>
      <c r="Z1128" s="24">
        <f>IF($B1128="","",MONTH($B1128))</f>
        <v/>
      </c>
      <c r="AA1128" s="24">
        <f>IF($B1128="","",YEAR($B1128))</f>
        <v/>
      </c>
      <c r="AB1128" s="24">
        <f>IF($B1128="","",ISOWEEKNUM($B1128))</f>
        <v/>
      </c>
      <c r="AC1128" s="17">
        <f>IF($B1128="","",CHOOSE(WEEKDAY($B1128,2),"Segunda","Terça","Quarta","Quinta","Sexta","Sábado","Domingo"))</f>
        <v/>
      </c>
      <c r="AD1128" s="17">
        <f>IF($B1128="","",TEXT($B1128,"MM/AAAA"))</f>
        <v/>
      </c>
      <c r="AE1128" s="18">
        <f>IF(COUNTA($B1128:$R1128)=0,"",IF($X1128="Cancelado",0,ROUND(N($Q1128)+N($S1128)+N($T1128)-N($U1128),2)))</f>
        <v/>
      </c>
      <c r="AF1128" s="9">
        <f>IF($G1128="","",IFERROR(INDEX(LINHAS_DRE_PLANO,MATCH($G1128,SUBCATEGORIAS_PLANO,0)),"Não classificado"))</f>
        <v/>
      </c>
      <c r="AG1128" s="17">
        <f>IF($G1128="","",IFERROR(INDEX(TIPOS_FLUXO_PLANO,MATCH($G1128,SUBCATEGORIAS_PLANO,0)),"Não classificado"))</f>
        <v/>
      </c>
      <c r="AH1128" s="9">
        <f>IF($G1128="","",IFERROR(INDEX(GRUPOS_PLANO,MATCH($G1128,SUBCATEGORIAS_PLANO,0)),"Não classificado"))</f>
        <v/>
      </c>
      <c r="AI1128" s="24">
        <f>IF(OR($C1128="",$X1128="Pago",$X1128="Recebido",$X1128="Cancelado"),"",$C1128-TODAY())</f>
        <v/>
      </c>
      <c r="AJ1128" s="24">
        <f>IF(OR($C1128="",$X1128="Pago",$X1128="Recebido",$X1128="Cancelado"),0,MAX(0,TODAY()-$C1128))</f>
        <v/>
      </c>
      <c r="AK1128" s="24">
        <f>IF($D1128="","",$D1128-$B1128)</f>
        <v/>
      </c>
      <c r="AL1128" s="18">
        <f>IF(OR($D1128="",$B1128=""),"",ROUND(N($R1128)*($D1128-$B1128),2))</f>
        <v/>
      </c>
      <c r="AM1128" s="17">
        <f>IF(AND($E1128="Saída",$W1128&gt;0,$C1128&lt;&gt;""),$C1128+ROW()/1000000,"")</f>
        <v/>
      </c>
      <c r="AN1128" s="17">
        <f>IF(AND($E1128="Entrada",$W1128&gt;0,$C1128&lt;&gt;""),$C1128+ROW()/1000000,"")</f>
        <v/>
      </c>
      <c r="AO1128" s="9">
        <f>IF(COUNTA($B1128:$R1128)=0,"",IF(AND($I1128&lt;&gt;"",COUNTIF(CLIENTES_NOMES,$I1128)+COUNTIF(CLIENTES_FANTASIA,$I1128)+COUNTIF(FORNECEDORES_NOMES,$I1128)+COUNTIF(FORNECEDORES_FANTASIA,$I1128)=0),"⚠ Cliente/Fornecedor não cadastrado",IF(AND($G1128&lt;&gt;"",COUNTIF(SUBCATEGORIAS_PLANO,$G1128)=0),"⚠ Subcategoria fora do plano de contas",IF(OR($Q1128="",N($Q1128)=0),"⚠ Valor previsto não informado",IF(AND(OR($X1128="Pago",$X1128="Recebido"),$D1128=""),"⚠ Status pago/recebido sem data",IF(AND($D1128&lt;&gt;"",N($R1128)=0),"⚠ Data de pagamento sem valor realizado",IF(AND(N($P1128)&gt;1,N($O1128)&gt;N($P1128)),"⚠ Nº da parcela maior que o total",IF(AND($C1128&lt;&gt;"",$B1128&lt;&gt;"",$C1128&lt;$B1128),"⚠ Vencimento anterior à competência","OK"))))))))</f>
        <v/>
      </c>
    </row>
    <row r="1129">
      <c r="A1129" s="14" t="n"/>
      <c r="B1129" s="36" t="n"/>
      <c r="C1129" s="36" t="n"/>
      <c r="D1129" s="36" t="n"/>
      <c r="E1129" s="14" t="n"/>
      <c r="F1129" s="29" t="n"/>
      <c r="G1129" s="29" t="n"/>
      <c r="H1129" s="29" t="n"/>
      <c r="I1129" s="29" t="n"/>
      <c r="J1129" s="29" t="n"/>
      <c r="K1129" s="14" t="n"/>
      <c r="L1129" s="29" t="n"/>
      <c r="M1129" s="14" t="n"/>
      <c r="N1129" s="29" t="n"/>
      <c r="O1129" s="13" t="n"/>
      <c r="P1129" s="13" t="n"/>
      <c r="Q1129" s="35" t="n"/>
      <c r="R1129" s="35" t="n"/>
      <c r="S1129" s="35" t="n"/>
      <c r="T1129" s="35" t="n"/>
      <c r="U1129" s="35" t="n"/>
      <c r="V1129" s="18">
        <f>IF(COUNTA($B1129:$R1129)=0,"",ROUND(N($R1129)+N($S1129)+N($T1129)-N($U1129),2))</f>
        <v/>
      </c>
      <c r="W1129" s="18">
        <f>IF(COUNTA($B1129:$R1129)=0,"",IF(OR($X1129="Pago",$X1129="Recebido",$X1129="Cancelado"),0,ROUND(N($Q1129)+N($S1129)+N($T1129)-N($U1129)-N($R1129),2)))</f>
        <v/>
      </c>
      <c r="X1129" s="14" t="n"/>
      <c r="Y1129" s="17">
        <f>IF(COUNTA($B1129:$R1129)=0,"",IF($X1129="Cancelado","Cancelado",IF(OR($X1129="Pago",$X1129="Recebido"),$X1129,IF(OR($X1129="Parcial",N($R1129)&gt;0),"Parcial",IF($C1129="","Sem vencimento",IF($C1129&lt;TODAY(),"Vencido",IF($C1129=TODAY(),"Vence hoje",IF($C1129&lt;=TODAY()+7,"Vence em 7 dias",IF($C1129&lt;=TODAY()+30,"Vence em 30 dias","Futuro")))))))))</f>
        <v/>
      </c>
      <c r="Z1129" s="24">
        <f>IF($B1129="","",MONTH($B1129))</f>
        <v/>
      </c>
      <c r="AA1129" s="24">
        <f>IF($B1129="","",YEAR($B1129))</f>
        <v/>
      </c>
      <c r="AB1129" s="24">
        <f>IF($B1129="","",ISOWEEKNUM($B1129))</f>
        <v/>
      </c>
      <c r="AC1129" s="17">
        <f>IF($B1129="","",CHOOSE(WEEKDAY($B1129,2),"Segunda","Terça","Quarta","Quinta","Sexta","Sábado","Domingo"))</f>
        <v/>
      </c>
      <c r="AD1129" s="17">
        <f>IF($B1129="","",TEXT($B1129,"MM/AAAA"))</f>
        <v/>
      </c>
      <c r="AE1129" s="18">
        <f>IF(COUNTA($B1129:$R1129)=0,"",IF($X1129="Cancelado",0,ROUND(N($Q1129)+N($S1129)+N($T1129)-N($U1129),2)))</f>
        <v/>
      </c>
      <c r="AF1129" s="9">
        <f>IF($G1129="","",IFERROR(INDEX(LINHAS_DRE_PLANO,MATCH($G1129,SUBCATEGORIAS_PLANO,0)),"Não classificado"))</f>
        <v/>
      </c>
      <c r="AG1129" s="17">
        <f>IF($G1129="","",IFERROR(INDEX(TIPOS_FLUXO_PLANO,MATCH($G1129,SUBCATEGORIAS_PLANO,0)),"Não classificado"))</f>
        <v/>
      </c>
      <c r="AH1129" s="9">
        <f>IF($G1129="","",IFERROR(INDEX(GRUPOS_PLANO,MATCH($G1129,SUBCATEGORIAS_PLANO,0)),"Não classificado"))</f>
        <v/>
      </c>
      <c r="AI1129" s="24">
        <f>IF(OR($C1129="",$X1129="Pago",$X1129="Recebido",$X1129="Cancelado"),"",$C1129-TODAY())</f>
        <v/>
      </c>
      <c r="AJ1129" s="24">
        <f>IF(OR($C1129="",$X1129="Pago",$X1129="Recebido",$X1129="Cancelado"),0,MAX(0,TODAY()-$C1129))</f>
        <v/>
      </c>
      <c r="AK1129" s="24">
        <f>IF($D1129="","",$D1129-$B1129)</f>
        <v/>
      </c>
      <c r="AL1129" s="18">
        <f>IF(OR($D1129="",$B1129=""),"",ROUND(N($R1129)*($D1129-$B1129),2))</f>
        <v/>
      </c>
      <c r="AM1129" s="17">
        <f>IF(AND($E1129="Saída",$W1129&gt;0,$C1129&lt;&gt;""),$C1129+ROW()/1000000,"")</f>
        <v/>
      </c>
      <c r="AN1129" s="17">
        <f>IF(AND($E1129="Entrada",$W1129&gt;0,$C1129&lt;&gt;""),$C1129+ROW()/1000000,"")</f>
        <v/>
      </c>
      <c r="AO1129" s="9">
        <f>IF(COUNTA($B1129:$R1129)=0,"",IF(AND($I1129&lt;&gt;"",COUNTIF(CLIENTES_NOMES,$I1129)+COUNTIF(CLIENTES_FANTASIA,$I1129)+COUNTIF(FORNECEDORES_NOMES,$I1129)+COUNTIF(FORNECEDORES_FANTASIA,$I1129)=0),"⚠ Cliente/Fornecedor não cadastrado",IF(AND($G1129&lt;&gt;"",COUNTIF(SUBCATEGORIAS_PLANO,$G1129)=0),"⚠ Subcategoria fora do plano de contas",IF(OR($Q1129="",N($Q1129)=0),"⚠ Valor previsto não informado",IF(AND(OR($X1129="Pago",$X1129="Recebido"),$D1129=""),"⚠ Status pago/recebido sem data",IF(AND($D1129&lt;&gt;"",N($R1129)=0),"⚠ Data de pagamento sem valor realizado",IF(AND(N($P1129)&gt;1,N($O1129)&gt;N($P1129)),"⚠ Nº da parcela maior que o total",IF(AND($C1129&lt;&gt;"",$B1129&lt;&gt;"",$C1129&lt;$B1129),"⚠ Vencimento anterior à competência","OK"))))))))</f>
        <v/>
      </c>
    </row>
    <row r="1130">
      <c r="A1130" s="14" t="n"/>
      <c r="B1130" s="36" t="n"/>
      <c r="C1130" s="36" t="n"/>
      <c r="D1130" s="36" t="n"/>
      <c r="E1130" s="14" t="n"/>
      <c r="F1130" s="29" t="n"/>
      <c r="G1130" s="29" t="n"/>
      <c r="H1130" s="29" t="n"/>
      <c r="I1130" s="29" t="n"/>
      <c r="J1130" s="29" t="n"/>
      <c r="K1130" s="14" t="n"/>
      <c r="L1130" s="29" t="n"/>
      <c r="M1130" s="14" t="n"/>
      <c r="N1130" s="29" t="n"/>
      <c r="O1130" s="13" t="n"/>
      <c r="P1130" s="13" t="n"/>
      <c r="Q1130" s="35" t="n"/>
      <c r="R1130" s="35" t="n"/>
      <c r="S1130" s="35" t="n"/>
      <c r="T1130" s="35" t="n"/>
      <c r="U1130" s="35" t="n"/>
      <c r="V1130" s="18">
        <f>IF(COUNTA($B1130:$R1130)=0,"",ROUND(N($R1130)+N($S1130)+N($T1130)-N($U1130),2))</f>
        <v/>
      </c>
      <c r="W1130" s="18">
        <f>IF(COUNTA($B1130:$R1130)=0,"",IF(OR($X1130="Pago",$X1130="Recebido",$X1130="Cancelado"),0,ROUND(N($Q1130)+N($S1130)+N($T1130)-N($U1130)-N($R1130),2)))</f>
        <v/>
      </c>
      <c r="X1130" s="14" t="n"/>
      <c r="Y1130" s="17">
        <f>IF(COUNTA($B1130:$R1130)=0,"",IF($X1130="Cancelado","Cancelado",IF(OR($X1130="Pago",$X1130="Recebido"),$X1130,IF(OR($X1130="Parcial",N($R1130)&gt;0),"Parcial",IF($C1130="","Sem vencimento",IF($C1130&lt;TODAY(),"Vencido",IF($C1130=TODAY(),"Vence hoje",IF($C1130&lt;=TODAY()+7,"Vence em 7 dias",IF($C1130&lt;=TODAY()+30,"Vence em 30 dias","Futuro")))))))))</f>
        <v/>
      </c>
      <c r="Z1130" s="24">
        <f>IF($B1130="","",MONTH($B1130))</f>
        <v/>
      </c>
      <c r="AA1130" s="24">
        <f>IF($B1130="","",YEAR($B1130))</f>
        <v/>
      </c>
      <c r="AB1130" s="24">
        <f>IF($B1130="","",ISOWEEKNUM($B1130))</f>
        <v/>
      </c>
      <c r="AC1130" s="17">
        <f>IF($B1130="","",CHOOSE(WEEKDAY($B1130,2),"Segunda","Terça","Quarta","Quinta","Sexta","Sábado","Domingo"))</f>
        <v/>
      </c>
      <c r="AD1130" s="17">
        <f>IF($B1130="","",TEXT($B1130,"MM/AAAA"))</f>
        <v/>
      </c>
      <c r="AE1130" s="18">
        <f>IF(COUNTA($B1130:$R1130)=0,"",IF($X1130="Cancelado",0,ROUND(N($Q1130)+N($S1130)+N($T1130)-N($U1130),2)))</f>
        <v/>
      </c>
      <c r="AF1130" s="9">
        <f>IF($G1130="","",IFERROR(INDEX(LINHAS_DRE_PLANO,MATCH($G1130,SUBCATEGORIAS_PLANO,0)),"Não classificado"))</f>
        <v/>
      </c>
      <c r="AG1130" s="17">
        <f>IF($G1130="","",IFERROR(INDEX(TIPOS_FLUXO_PLANO,MATCH($G1130,SUBCATEGORIAS_PLANO,0)),"Não classificado"))</f>
        <v/>
      </c>
      <c r="AH1130" s="9">
        <f>IF($G1130="","",IFERROR(INDEX(GRUPOS_PLANO,MATCH($G1130,SUBCATEGORIAS_PLANO,0)),"Não classificado"))</f>
        <v/>
      </c>
      <c r="AI1130" s="24">
        <f>IF(OR($C1130="",$X1130="Pago",$X1130="Recebido",$X1130="Cancelado"),"",$C1130-TODAY())</f>
        <v/>
      </c>
      <c r="AJ1130" s="24">
        <f>IF(OR($C1130="",$X1130="Pago",$X1130="Recebido",$X1130="Cancelado"),0,MAX(0,TODAY()-$C1130))</f>
        <v/>
      </c>
      <c r="AK1130" s="24">
        <f>IF($D1130="","",$D1130-$B1130)</f>
        <v/>
      </c>
      <c r="AL1130" s="18">
        <f>IF(OR($D1130="",$B1130=""),"",ROUND(N($R1130)*($D1130-$B1130),2))</f>
        <v/>
      </c>
      <c r="AM1130" s="17">
        <f>IF(AND($E1130="Saída",$W1130&gt;0,$C1130&lt;&gt;""),$C1130+ROW()/1000000,"")</f>
        <v/>
      </c>
      <c r="AN1130" s="17">
        <f>IF(AND($E1130="Entrada",$W1130&gt;0,$C1130&lt;&gt;""),$C1130+ROW()/1000000,"")</f>
        <v/>
      </c>
      <c r="AO1130" s="9">
        <f>IF(COUNTA($B1130:$R1130)=0,"",IF(AND($I1130&lt;&gt;"",COUNTIF(CLIENTES_NOMES,$I1130)+COUNTIF(CLIENTES_FANTASIA,$I1130)+COUNTIF(FORNECEDORES_NOMES,$I1130)+COUNTIF(FORNECEDORES_FANTASIA,$I1130)=0),"⚠ Cliente/Fornecedor não cadastrado",IF(AND($G1130&lt;&gt;"",COUNTIF(SUBCATEGORIAS_PLANO,$G1130)=0),"⚠ Subcategoria fora do plano de contas",IF(OR($Q1130="",N($Q1130)=0),"⚠ Valor previsto não informado",IF(AND(OR($X1130="Pago",$X1130="Recebido"),$D1130=""),"⚠ Status pago/recebido sem data",IF(AND($D1130&lt;&gt;"",N($R1130)=0),"⚠ Data de pagamento sem valor realizado",IF(AND(N($P1130)&gt;1,N($O1130)&gt;N($P1130)),"⚠ Nº da parcela maior que o total",IF(AND($C1130&lt;&gt;"",$B1130&lt;&gt;"",$C1130&lt;$B1130),"⚠ Vencimento anterior à competência","OK"))))))))</f>
        <v/>
      </c>
    </row>
    <row r="1131">
      <c r="A1131" s="14" t="n"/>
      <c r="B1131" s="36" t="n"/>
      <c r="C1131" s="36" t="n"/>
      <c r="D1131" s="36" t="n"/>
      <c r="E1131" s="14" t="n"/>
      <c r="F1131" s="29" t="n"/>
      <c r="G1131" s="29" t="n"/>
      <c r="H1131" s="29" t="n"/>
      <c r="I1131" s="29" t="n"/>
      <c r="J1131" s="29" t="n"/>
      <c r="K1131" s="14" t="n"/>
      <c r="L1131" s="29" t="n"/>
      <c r="M1131" s="14" t="n"/>
      <c r="N1131" s="29" t="n"/>
      <c r="O1131" s="13" t="n"/>
      <c r="P1131" s="13" t="n"/>
      <c r="Q1131" s="35" t="n"/>
      <c r="R1131" s="35" t="n"/>
      <c r="S1131" s="35" t="n"/>
      <c r="T1131" s="35" t="n"/>
      <c r="U1131" s="35" t="n"/>
      <c r="V1131" s="18">
        <f>IF(COUNTA($B1131:$R1131)=0,"",ROUND(N($R1131)+N($S1131)+N($T1131)-N($U1131),2))</f>
        <v/>
      </c>
      <c r="W1131" s="18">
        <f>IF(COUNTA($B1131:$R1131)=0,"",IF(OR($X1131="Pago",$X1131="Recebido",$X1131="Cancelado"),0,ROUND(N($Q1131)+N($S1131)+N($T1131)-N($U1131)-N($R1131),2)))</f>
        <v/>
      </c>
      <c r="X1131" s="14" t="n"/>
      <c r="Y1131" s="17">
        <f>IF(COUNTA($B1131:$R1131)=0,"",IF($X1131="Cancelado","Cancelado",IF(OR($X1131="Pago",$X1131="Recebido"),$X1131,IF(OR($X1131="Parcial",N($R1131)&gt;0),"Parcial",IF($C1131="","Sem vencimento",IF($C1131&lt;TODAY(),"Vencido",IF($C1131=TODAY(),"Vence hoje",IF($C1131&lt;=TODAY()+7,"Vence em 7 dias",IF($C1131&lt;=TODAY()+30,"Vence em 30 dias","Futuro")))))))))</f>
        <v/>
      </c>
      <c r="Z1131" s="24">
        <f>IF($B1131="","",MONTH($B1131))</f>
        <v/>
      </c>
      <c r="AA1131" s="24">
        <f>IF($B1131="","",YEAR($B1131))</f>
        <v/>
      </c>
      <c r="AB1131" s="24">
        <f>IF($B1131="","",ISOWEEKNUM($B1131))</f>
        <v/>
      </c>
      <c r="AC1131" s="17">
        <f>IF($B1131="","",CHOOSE(WEEKDAY($B1131,2),"Segunda","Terça","Quarta","Quinta","Sexta","Sábado","Domingo"))</f>
        <v/>
      </c>
      <c r="AD1131" s="17">
        <f>IF($B1131="","",TEXT($B1131,"MM/AAAA"))</f>
        <v/>
      </c>
      <c r="AE1131" s="18">
        <f>IF(COUNTA($B1131:$R1131)=0,"",IF($X1131="Cancelado",0,ROUND(N($Q1131)+N($S1131)+N($T1131)-N($U1131),2)))</f>
        <v/>
      </c>
      <c r="AF1131" s="9">
        <f>IF($G1131="","",IFERROR(INDEX(LINHAS_DRE_PLANO,MATCH($G1131,SUBCATEGORIAS_PLANO,0)),"Não classificado"))</f>
        <v/>
      </c>
      <c r="AG1131" s="17">
        <f>IF($G1131="","",IFERROR(INDEX(TIPOS_FLUXO_PLANO,MATCH($G1131,SUBCATEGORIAS_PLANO,0)),"Não classificado"))</f>
        <v/>
      </c>
      <c r="AH1131" s="9">
        <f>IF($G1131="","",IFERROR(INDEX(GRUPOS_PLANO,MATCH($G1131,SUBCATEGORIAS_PLANO,0)),"Não classificado"))</f>
        <v/>
      </c>
      <c r="AI1131" s="24">
        <f>IF(OR($C1131="",$X1131="Pago",$X1131="Recebido",$X1131="Cancelado"),"",$C1131-TODAY())</f>
        <v/>
      </c>
      <c r="AJ1131" s="24">
        <f>IF(OR($C1131="",$X1131="Pago",$X1131="Recebido",$X1131="Cancelado"),0,MAX(0,TODAY()-$C1131))</f>
        <v/>
      </c>
      <c r="AK1131" s="24">
        <f>IF($D1131="","",$D1131-$B1131)</f>
        <v/>
      </c>
      <c r="AL1131" s="18">
        <f>IF(OR($D1131="",$B1131=""),"",ROUND(N($R1131)*($D1131-$B1131),2))</f>
        <v/>
      </c>
      <c r="AM1131" s="17">
        <f>IF(AND($E1131="Saída",$W1131&gt;0,$C1131&lt;&gt;""),$C1131+ROW()/1000000,"")</f>
        <v/>
      </c>
      <c r="AN1131" s="17">
        <f>IF(AND($E1131="Entrada",$W1131&gt;0,$C1131&lt;&gt;""),$C1131+ROW()/1000000,"")</f>
        <v/>
      </c>
      <c r="AO1131" s="9">
        <f>IF(COUNTA($B1131:$R1131)=0,"",IF(AND($I1131&lt;&gt;"",COUNTIF(CLIENTES_NOMES,$I1131)+COUNTIF(CLIENTES_FANTASIA,$I1131)+COUNTIF(FORNECEDORES_NOMES,$I1131)+COUNTIF(FORNECEDORES_FANTASIA,$I1131)=0),"⚠ Cliente/Fornecedor não cadastrado",IF(AND($G1131&lt;&gt;"",COUNTIF(SUBCATEGORIAS_PLANO,$G1131)=0),"⚠ Subcategoria fora do plano de contas",IF(OR($Q1131="",N($Q1131)=0),"⚠ Valor previsto não informado",IF(AND(OR($X1131="Pago",$X1131="Recebido"),$D1131=""),"⚠ Status pago/recebido sem data",IF(AND($D1131&lt;&gt;"",N($R1131)=0),"⚠ Data de pagamento sem valor realizado",IF(AND(N($P1131)&gt;1,N($O1131)&gt;N($P1131)),"⚠ Nº da parcela maior que o total",IF(AND($C1131&lt;&gt;"",$B1131&lt;&gt;"",$C1131&lt;$B1131),"⚠ Vencimento anterior à competência","OK"))))))))</f>
        <v/>
      </c>
    </row>
    <row r="1132">
      <c r="A1132" s="14" t="n"/>
      <c r="B1132" s="36" t="n"/>
      <c r="C1132" s="36" t="n"/>
      <c r="D1132" s="36" t="n"/>
      <c r="E1132" s="14" t="n"/>
      <c r="F1132" s="29" t="n"/>
      <c r="G1132" s="29" t="n"/>
      <c r="H1132" s="29" t="n"/>
      <c r="I1132" s="29" t="n"/>
      <c r="J1132" s="29" t="n"/>
      <c r="K1132" s="14" t="n"/>
      <c r="L1132" s="29" t="n"/>
      <c r="M1132" s="14" t="n"/>
      <c r="N1132" s="29" t="n"/>
      <c r="O1132" s="13" t="n"/>
      <c r="P1132" s="13" t="n"/>
      <c r="Q1132" s="35" t="n"/>
      <c r="R1132" s="35" t="n"/>
      <c r="S1132" s="35" t="n"/>
      <c r="T1132" s="35" t="n"/>
      <c r="U1132" s="35" t="n"/>
      <c r="V1132" s="18">
        <f>IF(COUNTA($B1132:$R1132)=0,"",ROUND(N($R1132)+N($S1132)+N($T1132)-N($U1132),2))</f>
        <v/>
      </c>
      <c r="W1132" s="18">
        <f>IF(COUNTA($B1132:$R1132)=0,"",IF(OR($X1132="Pago",$X1132="Recebido",$X1132="Cancelado"),0,ROUND(N($Q1132)+N($S1132)+N($T1132)-N($U1132)-N($R1132),2)))</f>
        <v/>
      </c>
      <c r="X1132" s="14" t="n"/>
      <c r="Y1132" s="17">
        <f>IF(COUNTA($B1132:$R1132)=0,"",IF($X1132="Cancelado","Cancelado",IF(OR($X1132="Pago",$X1132="Recebido"),$X1132,IF(OR($X1132="Parcial",N($R1132)&gt;0),"Parcial",IF($C1132="","Sem vencimento",IF($C1132&lt;TODAY(),"Vencido",IF($C1132=TODAY(),"Vence hoje",IF($C1132&lt;=TODAY()+7,"Vence em 7 dias",IF($C1132&lt;=TODAY()+30,"Vence em 30 dias","Futuro")))))))))</f>
        <v/>
      </c>
      <c r="Z1132" s="24">
        <f>IF($B1132="","",MONTH($B1132))</f>
        <v/>
      </c>
      <c r="AA1132" s="24">
        <f>IF($B1132="","",YEAR($B1132))</f>
        <v/>
      </c>
      <c r="AB1132" s="24">
        <f>IF($B1132="","",ISOWEEKNUM($B1132))</f>
        <v/>
      </c>
      <c r="AC1132" s="17">
        <f>IF($B1132="","",CHOOSE(WEEKDAY($B1132,2),"Segunda","Terça","Quarta","Quinta","Sexta","Sábado","Domingo"))</f>
        <v/>
      </c>
      <c r="AD1132" s="17">
        <f>IF($B1132="","",TEXT($B1132,"MM/AAAA"))</f>
        <v/>
      </c>
      <c r="AE1132" s="18">
        <f>IF(COUNTA($B1132:$R1132)=0,"",IF($X1132="Cancelado",0,ROUND(N($Q1132)+N($S1132)+N($T1132)-N($U1132),2)))</f>
        <v/>
      </c>
      <c r="AF1132" s="9">
        <f>IF($G1132="","",IFERROR(INDEX(LINHAS_DRE_PLANO,MATCH($G1132,SUBCATEGORIAS_PLANO,0)),"Não classificado"))</f>
        <v/>
      </c>
      <c r="AG1132" s="17">
        <f>IF($G1132="","",IFERROR(INDEX(TIPOS_FLUXO_PLANO,MATCH($G1132,SUBCATEGORIAS_PLANO,0)),"Não classificado"))</f>
        <v/>
      </c>
      <c r="AH1132" s="9">
        <f>IF($G1132="","",IFERROR(INDEX(GRUPOS_PLANO,MATCH($G1132,SUBCATEGORIAS_PLANO,0)),"Não classificado"))</f>
        <v/>
      </c>
      <c r="AI1132" s="24">
        <f>IF(OR($C1132="",$X1132="Pago",$X1132="Recebido",$X1132="Cancelado"),"",$C1132-TODAY())</f>
        <v/>
      </c>
      <c r="AJ1132" s="24">
        <f>IF(OR($C1132="",$X1132="Pago",$X1132="Recebido",$X1132="Cancelado"),0,MAX(0,TODAY()-$C1132))</f>
        <v/>
      </c>
      <c r="AK1132" s="24">
        <f>IF($D1132="","",$D1132-$B1132)</f>
        <v/>
      </c>
      <c r="AL1132" s="18">
        <f>IF(OR($D1132="",$B1132=""),"",ROUND(N($R1132)*($D1132-$B1132),2))</f>
        <v/>
      </c>
      <c r="AM1132" s="17">
        <f>IF(AND($E1132="Saída",$W1132&gt;0,$C1132&lt;&gt;""),$C1132+ROW()/1000000,"")</f>
        <v/>
      </c>
      <c r="AN1132" s="17">
        <f>IF(AND($E1132="Entrada",$W1132&gt;0,$C1132&lt;&gt;""),$C1132+ROW()/1000000,"")</f>
        <v/>
      </c>
      <c r="AO1132" s="9">
        <f>IF(COUNTA($B1132:$R1132)=0,"",IF(AND($I1132&lt;&gt;"",COUNTIF(CLIENTES_NOMES,$I1132)+COUNTIF(CLIENTES_FANTASIA,$I1132)+COUNTIF(FORNECEDORES_NOMES,$I1132)+COUNTIF(FORNECEDORES_FANTASIA,$I1132)=0),"⚠ Cliente/Fornecedor não cadastrado",IF(AND($G1132&lt;&gt;"",COUNTIF(SUBCATEGORIAS_PLANO,$G1132)=0),"⚠ Subcategoria fora do plano de contas",IF(OR($Q1132="",N($Q1132)=0),"⚠ Valor previsto não informado",IF(AND(OR($X1132="Pago",$X1132="Recebido"),$D1132=""),"⚠ Status pago/recebido sem data",IF(AND($D1132&lt;&gt;"",N($R1132)=0),"⚠ Data de pagamento sem valor realizado",IF(AND(N($P1132)&gt;1,N($O1132)&gt;N($P1132)),"⚠ Nº da parcela maior que o total",IF(AND($C1132&lt;&gt;"",$B1132&lt;&gt;"",$C1132&lt;$B1132),"⚠ Vencimento anterior à competência","OK"))))))))</f>
        <v/>
      </c>
    </row>
    <row r="1133">
      <c r="A1133" s="14" t="n"/>
      <c r="B1133" s="36" t="n"/>
      <c r="C1133" s="36" t="n"/>
      <c r="D1133" s="36" t="n"/>
      <c r="E1133" s="14" t="n"/>
      <c r="F1133" s="29" t="n"/>
      <c r="G1133" s="29" t="n"/>
      <c r="H1133" s="29" t="n"/>
      <c r="I1133" s="29" t="n"/>
      <c r="J1133" s="29" t="n"/>
      <c r="K1133" s="14" t="n"/>
      <c r="L1133" s="29" t="n"/>
      <c r="M1133" s="14" t="n"/>
      <c r="N1133" s="29" t="n"/>
      <c r="O1133" s="13" t="n"/>
      <c r="P1133" s="13" t="n"/>
      <c r="Q1133" s="35" t="n"/>
      <c r="R1133" s="35" t="n"/>
      <c r="S1133" s="35" t="n"/>
      <c r="T1133" s="35" t="n"/>
      <c r="U1133" s="35" t="n"/>
      <c r="V1133" s="18">
        <f>IF(COUNTA($B1133:$R1133)=0,"",ROUND(N($R1133)+N($S1133)+N($T1133)-N($U1133),2))</f>
        <v/>
      </c>
      <c r="W1133" s="18">
        <f>IF(COUNTA($B1133:$R1133)=0,"",IF(OR($X1133="Pago",$X1133="Recebido",$X1133="Cancelado"),0,ROUND(N($Q1133)+N($S1133)+N($T1133)-N($U1133)-N($R1133),2)))</f>
        <v/>
      </c>
      <c r="X1133" s="14" t="n"/>
      <c r="Y1133" s="17">
        <f>IF(COUNTA($B1133:$R1133)=0,"",IF($X1133="Cancelado","Cancelado",IF(OR($X1133="Pago",$X1133="Recebido"),$X1133,IF(OR($X1133="Parcial",N($R1133)&gt;0),"Parcial",IF($C1133="","Sem vencimento",IF($C1133&lt;TODAY(),"Vencido",IF($C1133=TODAY(),"Vence hoje",IF($C1133&lt;=TODAY()+7,"Vence em 7 dias",IF($C1133&lt;=TODAY()+30,"Vence em 30 dias","Futuro")))))))))</f>
        <v/>
      </c>
      <c r="Z1133" s="24">
        <f>IF($B1133="","",MONTH($B1133))</f>
        <v/>
      </c>
      <c r="AA1133" s="24">
        <f>IF($B1133="","",YEAR($B1133))</f>
        <v/>
      </c>
      <c r="AB1133" s="24">
        <f>IF($B1133="","",ISOWEEKNUM($B1133))</f>
        <v/>
      </c>
      <c r="AC1133" s="17">
        <f>IF($B1133="","",CHOOSE(WEEKDAY($B1133,2),"Segunda","Terça","Quarta","Quinta","Sexta","Sábado","Domingo"))</f>
        <v/>
      </c>
      <c r="AD1133" s="17">
        <f>IF($B1133="","",TEXT($B1133,"MM/AAAA"))</f>
        <v/>
      </c>
      <c r="AE1133" s="18">
        <f>IF(COUNTA($B1133:$R1133)=0,"",IF($X1133="Cancelado",0,ROUND(N($Q1133)+N($S1133)+N($T1133)-N($U1133),2)))</f>
        <v/>
      </c>
      <c r="AF1133" s="9">
        <f>IF($G1133="","",IFERROR(INDEX(LINHAS_DRE_PLANO,MATCH($G1133,SUBCATEGORIAS_PLANO,0)),"Não classificado"))</f>
        <v/>
      </c>
      <c r="AG1133" s="17">
        <f>IF($G1133="","",IFERROR(INDEX(TIPOS_FLUXO_PLANO,MATCH($G1133,SUBCATEGORIAS_PLANO,0)),"Não classificado"))</f>
        <v/>
      </c>
      <c r="AH1133" s="9">
        <f>IF($G1133="","",IFERROR(INDEX(GRUPOS_PLANO,MATCH($G1133,SUBCATEGORIAS_PLANO,0)),"Não classificado"))</f>
        <v/>
      </c>
      <c r="AI1133" s="24">
        <f>IF(OR($C1133="",$X1133="Pago",$X1133="Recebido",$X1133="Cancelado"),"",$C1133-TODAY())</f>
        <v/>
      </c>
      <c r="AJ1133" s="24">
        <f>IF(OR($C1133="",$X1133="Pago",$X1133="Recebido",$X1133="Cancelado"),0,MAX(0,TODAY()-$C1133))</f>
        <v/>
      </c>
      <c r="AK1133" s="24">
        <f>IF($D1133="","",$D1133-$B1133)</f>
        <v/>
      </c>
      <c r="AL1133" s="18">
        <f>IF(OR($D1133="",$B1133=""),"",ROUND(N($R1133)*($D1133-$B1133),2))</f>
        <v/>
      </c>
      <c r="AM1133" s="17">
        <f>IF(AND($E1133="Saída",$W1133&gt;0,$C1133&lt;&gt;""),$C1133+ROW()/1000000,"")</f>
        <v/>
      </c>
      <c r="AN1133" s="17">
        <f>IF(AND($E1133="Entrada",$W1133&gt;0,$C1133&lt;&gt;""),$C1133+ROW()/1000000,"")</f>
        <v/>
      </c>
      <c r="AO1133" s="9">
        <f>IF(COUNTA($B1133:$R1133)=0,"",IF(AND($I1133&lt;&gt;"",COUNTIF(CLIENTES_NOMES,$I1133)+COUNTIF(CLIENTES_FANTASIA,$I1133)+COUNTIF(FORNECEDORES_NOMES,$I1133)+COUNTIF(FORNECEDORES_FANTASIA,$I1133)=0),"⚠ Cliente/Fornecedor não cadastrado",IF(AND($G1133&lt;&gt;"",COUNTIF(SUBCATEGORIAS_PLANO,$G1133)=0),"⚠ Subcategoria fora do plano de contas",IF(OR($Q1133="",N($Q1133)=0),"⚠ Valor previsto não informado",IF(AND(OR($X1133="Pago",$X1133="Recebido"),$D1133=""),"⚠ Status pago/recebido sem data",IF(AND($D1133&lt;&gt;"",N($R1133)=0),"⚠ Data de pagamento sem valor realizado",IF(AND(N($P1133)&gt;1,N($O1133)&gt;N($P1133)),"⚠ Nº da parcela maior que o total",IF(AND($C1133&lt;&gt;"",$B1133&lt;&gt;"",$C1133&lt;$B1133),"⚠ Vencimento anterior à competência","OK"))))))))</f>
        <v/>
      </c>
    </row>
    <row r="1134">
      <c r="A1134" s="14" t="n"/>
      <c r="B1134" s="36" t="n"/>
      <c r="C1134" s="36" t="n"/>
      <c r="D1134" s="36" t="n"/>
      <c r="E1134" s="14" t="n"/>
      <c r="F1134" s="29" t="n"/>
      <c r="G1134" s="29" t="n"/>
      <c r="H1134" s="29" t="n"/>
      <c r="I1134" s="29" t="n"/>
      <c r="J1134" s="29" t="n"/>
      <c r="K1134" s="14" t="n"/>
      <c r="L1134" s="29" t="n"/>
      <c r="M1134" s="14" t="n"/>
      <c r="N1134" s="29" t="n"/>
      <c r="O1134" s="13" t="n"/>
      <c r="P1134" s="13" t="n"/>
      <c r="Q1134" s="35" t="n"/>
      <c r="R1134" s="35" t="n"/>
      <c r="S1134" s="35" t="n"/>
      <c r="T1134" s="35" t="n"/>
      <c r="U1134" s="35" t="n"/>
      <c r="V1134" s="18">
        <f>IF(COUNTA($B1134:$R1134)=0,"",ROUND(N($R1134)+N($S1134)+N($T1134)-N($U1134),2))</f>
        <v/>
      </c>
      <c r="W1134" s="18">
        <f>IF(COUNTA($B1134:$R1134)=0,"",IF(OR($X1134="Pago",$X1134="Recebido",$X1134="Cancelado"),0,ROUND(N($Q1134)+N($S1134)+N($T1134)-N($U1134)-N($R1134),2)))</f>
        <v/>
      </c>
      <c r="X1134" s="14" t="n"/>
      <c r="Y1134" s="17">
        <f>IF(COUNTA($B1134:$R1134)=0,"",IF($X1134="Cancelado","Cancelado",IF(OR($X1134="Pago",$X1134="Recebido"),$X1134,IF(OR($X1134="Parcial",N($R1134)&gt;0),"Parcial",IF($C1134="","Sem vencimento",IF($C1134&lt;TODAY(),"Vencido",IF($C1134=TODAY(),"Vence hoje",IF($C1134&lt;=TODAY()+7,"Vence em 7 dias",IF($C1134&lt;=TODAY()+30,"Vence em 30 dias","Futuro")))))))))</f>
        <v/>
      </c>
      <c r="Z1134" s="24">
        <f>IF($B1134="","",MONTH($B1134))</f>
        <v/>
      </c>
      <c r="AA1134" s="24">
        <f>IF($B1134="","",YEAR($B1134))</f>
        <v/>
      </c>
      <c r="AB1134" s="24">
        <f>IF($B1134="","",ISOWEEKNUM($B1134))</f>
        <v/>
      </c>
      <c r="AC1134" s="17">
        <f>IF($B1134="","",CHOOSE(WEEKDAY($B1134,2),"Segunda","Terça","Quarta","Quinta","Sexta","Sábado","Domingo"))</f>
        <v/>
      </c>
      <c r="AD1134" s="17">
        <f>IF($B1134="","",TEXT($B1134,"MM/AAAA"))</f>
        <v/>
      </c>
      <c r="AE1134" s="18">
        <f>IF(COUNTA($B1134:$R1134)=0,"",IF($X1134="Cancelado",0,ROUND(N($Q1134)+N($S1134)+N($T1134)-N($U1134),2)))</f>
        <v/>
      </c>
      <c r="AF1134" s="9">
        <f>IF($G1134="","",IFERROR(INDEX(LINHAS_DRE_PLANO,MATCH($G1134,SUBCATEGORIAS_PLANO,0)),"Não classificado"))</f>
        <v/>
      </c>
      <c r="AG1134" s="17">
        <f>IF($G1134="","",IFERROR(INDEX(TIPOS_FLUXO_PLANO,MATCH($G1134,SUBCATEGORIAS_PLANO,0)),"Não classificado"))</f>
        <v/>
      </c>
      <c r="AH1134" s="9">
        <f>IF($G1134="","",IFERROR(INDEX(GRUPOS_PLANO,MATCH($G1134,SUBCATEGORIAS_PLANO,0)),"Não classificado"))</f>
        <v/>
      </c>
      <c r="AI1134" s="24">
        <f>IF(OR($C1134="",$X1134="Pago",$X1134="Recebido",$X1134="Cancelado"),"",$C1134-TODAY())</f>
        <v/>
      </c>
      <c r="AJ1134" s="24">
        <f>IF(OR($C1134="",$X1134="Pago",$X1134="Recebido",$X1134="Cancelado"),0,MAX(0,TODAY()-$C1134))</f>
        <v/>
      </c>
      <c r="AK1134" s="24">
        <f>IF($D1134="","",$D1134-$B1134)</f>
        <v/>
      </c>
      <c r="AL1134" s="18">
        <f>IF(OR($D1134="",$B1134=""),"",ROUND(N($R1134)*($D1134-$B1134),2))</f>
        <v/>
      </c>
      <c r="AM1134" s="17">
        <f>IF(AND($E1134="Saída",$W1134&gt;0,$C1134&lt;&gt;""),$C1134+ROW()/1000000,"")</f>
        <v/>
      </c>
      <c r="AN1134" s="17">
        <f>IF(AND($E1134="Entrada",$W1134&gt;0,$C1134&lt;&gt;""),$C1134+ROW()/1000000,"")</f>
        <v/>
      </c>
      <c r="AO1134" s="9">
        <f>IF(COUNTA($B1134:$R1134)=0,"",IF(AND($I1134&lt;&gt;"",COUNTIF(CLIENTES_NOMES,$I1134)+COUNTIF(CLIENTES_FANTASIA,$I1134)+COUNTIF(FORNECEDORES_NOMES,$I1134)+COUNTIF(FORNECEDORES_FANTASIA,$I1134)=0),"⚠ Cliente/Fornecedor não cadastrado",IF(AND($G1134&lt;&gt;"",COUNTIF(SUBCATEGORIAS_PLANO,$G1134)=0),"⚠ Subcategoria fora do plano de contas",IF(OR($Q1134="",N($Q1134)=0),"⚠ Valor previsto não informado",IF(AND(OR($X1134="Pago",$X1134="Recebido"),$D1134=""),"⚠ Status pago/recebido sem data",IF(AND($D1134&lt;&gt;"",N($R1134)=0),"⚠ Data de pagamento sem valor realizado",IF(AND(N($P1134)&gt;1,N($O1134)&gt;N($P1134)),"⚠ Nº da parcela maior que o total",IF(AND($C1134&lt;&gt;"",$B1134&lt;&gt;"",$C1134&lt;$B1134),"⚠ Vencimento anterior à competência","OK"))))))))</f>
        <v/>
      </c>
    </row>
    <row r="1135">
      <c r="A1135" s="14" t="n"/>
      <c r="B1135" s="36" t="n"/>
      <c r="C1135" s="36" t="n"/>
      <c r="D1135" s="36" t="n"/>
      <c r="E1135" s="14" t="n"/>
      <c r="F1135" s="29" t="n"/>
      <c r="G1135" s="29" t="n"/>
      <c r="H1135" s="29" t="n"/>
      <c r="I1135" s="29" t="n"/>
      <c r="J1135" s="29" t="n"/>
      <c r="K1135" s="14" t="n"/>
      <c r="L1135" s="29" t="n"/>
      <c r="M1135" s="14" t="n"/>
      <c r="N1135" s="29" t="n"/>
      <c r="O1135" s="13" t="n"/>
      <c r="P1135" s="13" t="n"/>
      <c r="Q1135" s="35" t="n"/>
      <c r="R1135" s="35" t="n"/>
      <c r="S1135" s="35" t="n"/>
      <c r="T1135" s="35" t="n"/>
      <c r="U1135" s="35" t="n"/>
      <c r="V1135" s="18">
        <f>IF(COUNTA($B1135:$R1135)=0,"",ROUND(N($R1135)+N($S1135)+N($T1135)-N($U1135),2))</f>
        <v/>
      </c>
      <c r="W1135" s="18">
        <f>IF(COUNTA($B1135:$R1135)=0,"",IF(OR($X1135="Pago",$X1135="Recebido",$X1135="Cancelado"),0,ROUND(N($Q1135)+N($S1135)+N($T1135)-N($U1135)-N($R1135),2)))</f>
        <v/>
      </c>
      <c r="X1135" s="14" t="n"/>
      <c r="Y1135" s="17">
        <f>IF(COUNTA($B1135:$R1135)=0,"",IF($X1135="Cancelado","Cancelado",IF(OR($X1135="Pago",$X1135="Recebido"),$X1135,IF(OR($X1135="Parcial",N($R1135)&gt;0),"Parcial",IF($C1135="","Sem vencimento",IF($C1135&lt;TODAY(),"Vencido",IF($C1135=TODAY(),"Vence hoje",IF($C1135&lt;=TODAY()+7,"Vence em 7 dias",IF($C1135&lt;=TODAY()+30,"Vence em 30 dias","Futuro")))))))))</f>
        <v/>
      </c>
      <c r="Z1135" s="24">
        <f>IF($B1135="","",MONTH($B1135))</f>
        <v/>
      </c>
      <c r="AA1135" s="24">
        <f>IF($B1135="","",YEAR($B1135))</f>
        <v/>
      </c>
      <c r="AB1135" s="24">
        <f>IF($B1135="","",ISOWEEKNUM($B1135))</f>
        <v/>
      </c>
      <c r="AC1135" s="17">
        <f>IF($B1135="","",CHOOSE(WEEKDAY($B1135,2),"Segunda","Terça","Quarta","Quinta","Sexta","Sábado","Domingo"))</f>
        <v/>
      </c>
      <c r="AD1135" s="17">
        <f>IF($B1135="","",TEXT($B1135,"MM/AAAA"))</f>
        <v/>
      </c>
      <c r="AE1135" s="18">
        <f>IF(COUNTA($B1135:$R1135)=0,"",IF($X1135="Cancelado",0,ROUND(N($Q1135)+N($S1135)+N($T1135)-N($U1135),2)))</f>
        <v/>
      </c>
      <c r="AF1135" s="9">
        <f>IF($G1135="","",IFERROR(INDEX(LINHAS_DRE_PLANO,MATCH($G1135,SUBCATEGORIAS_PLANO,0)),"Não classificado"))</f>
        <v/>
      </c>
      <c r="AG1135" s="17">
        <f>IF($G1135="","",IFERROR(INDEX(TIPOS_FLUXO_PLANO,MATCH($G1135,SUBCATEGORIAS_PLANO,0)),"Não classificado"))</f>
        <v/>
      </c>
      <c r="AH1135" s="9">
        <f>IF($G1135="","",IFERROR(INDEX(GRUPOS_PLANO,MATCH($G1135,SUBCATEGORIAS_PLANO,0)),"Não classificado"))</f>
        <v/>
      </c>
      <c r="AI1135" s="24">
        <f>IF(OR($C1135="",$X1135="Pago",$X1135="Recebido",$X1135="Cancelado"),"",$C1135-TODAY())</f>
        <v/>
      </c>
      <c r="AJ1135" s="24">
        <f>IF(OR($C1135="",$X1135="Pago",$X1135="Recebido",$X1135="Cancelado"),0,MAX(0,TODAY()-$C1135))</f>
        <v/>
      </c>
      <c r="AK1135" s="24">
        <f>IF($D1135="","",$D1135-$B1135)</f>
        <v/>
      </c>
      <c r="AL1135" s="18">
        <f>IF(OR($D1135="",$B1135=""),"",ROUND(N($R1135)*($D1135-$B1135),2))</f>
        <v/>
      </c>
      <c r="AM1135" s="17">
        <f>IF(AND($E1135="Saída",$W1135&gt;0,$C1135&lt;&gt;""),$C1135+ROW()/1000000,"")</f>
        <v/>
      </c>
      <c r="AN1135" s="17">
        <f>IF(AND($E1135="Entrada",$W1135&gt;0,$C1135&lt;&gt;""),$C1135+ROW()/1000000,"")</f>
        <v/>
      </c>
      <c r="AO1135" s="9">
        <f>IF(COUNTA($B1135:$R1135)=0,"",IF(AND($I1135&lt;&gt;"",COUNTIF(CLIENTES_NOMES,$I1135)+COUNTIF(CLIENTES_FANTASIA,$I1135)+COUNTIF(FORNECEDORES_NOMES,$I1135)+COUNTIF(FORNECEDORES_FANTASIA,$I1135)=0),"⚠ Cliente/Fornecedor não cadastrado",IF(AND($G1135&lt;&gt;"",COUNTIF(SUBCATEGORIAS_PLANO,$G1135)=0),"⚠ Subcategoria fora do plano de contas",IF(OR($Q1135="",N($Q1135)=0),"⚠ Valor previsto não informado",IF(AND(OR($X1135="Pago",$X1135="Recebido"),$D1135=""),"⚠ Status pago/recebido sem data",IF(AND($D1135&lt;&gt;"",N($R1135)=0),"⚠ Data de pagamento sem valor realizado",IF(AND(N($P1135)&gt;1,N($O1135)&gt;N($P1135)),"⚠ Nº da parcela maior que o total",IF(AND($C1135&lt;&gt;"",$B1135&lt;&gt;"",$C1135&lt;$B1135),"⚠ Vencimento anterior à competência","OK"))))))))</f>
        <v/>
      </c>
    </row>
    <row r="1136">
      <c r="A1136" s="14" t="n"/>
      <c r="B1136" s="36" t="n"/>
      <c r="C1136" s="36" t="n"/>
      <c r="D1136" s="36" t="n"/>
      <c r="E1136" s="14" t="n"/>
      <c r="F1136" s="29" t="n"/>
      <c r="G1136" s="29" t="n"/>
      <c r="H1136" s="29" t="n"/>
      <c r="I1136" s="29" t="n"/>
      <c r="J1136" s="29" t="n"/>
      <c r="K1136" s="14" t="n"/>
      <c r="L1136" s="29" t="n"/>
      <c r="M1136" s="14" t="n"/>
      <c r="N1136" s="29" t="n"/>
      <c r="O1136" s="13" t="n"/>
      <c r="P1136" s="13" t="n"/>
      <c r="Q1136" s="35" t="n"/>
      <c r="R1136" s="35" t="n"/>
      <c r="S1136" s="35" t="n"/>
      <c r="T1136" s="35" t="n"/>
      <c r="U1136" s="35" t="n"/>
      <c r="V1136" s="18">
        <f>IF(COUNTA($B1136:$R1136)=0,"",ROUND(N($R1136)+N($S1136)+N($T1136)-N($U1136),2))</f>
        <v/>
      </c>
      <c r="W1136" s="18">
        <f>IF(COUNTA($B1136:$R1136)=0,"",IF(OR($X1136="Pago",$X1136="Recebido",$X1136="Cancelado"),0,ROUND(N($Q1136)+N($S1136)+N($T1136)-N($U1136)-N($R1136),2)))</f>
        <v/>
      </c>
      <c r="X1136" s="14" t="n"/>
      <c r="Y1136" s="17">
        <f>IF(COUNTA($B1136:$R1136)=0,"",IF($X1136="Cancelado","Cancelado",IF(OR($X1136="Pago",$X1136="Recebido"),$X1136,IF(OR($X1136="Parcial",N($R1136)&gt;0),"Parcial",IF($C1136="","Sem vencimento",IF($C1136&lt;TODAY(),"Vencido",IF($C1136=TODAY(),"Vence hoje",IF($C1136&lt;=TODAY()+7,"Vence em 7 dias",IF($C1136&lt;=TODAY()+30,"Vence em 30 dias","Futuro")))))))))</f>
        <v/>
      </c>
      <c r="Z1136" s="24">
        <f>IF($B1136="","",MONTH($B1136))</f>
        <v/>
      </c>
      <c r="AA1136" s="24">
        <f>IF($B1136="","",YEAR($B1136))</f>
        <v/>
      </c>
      <c r="AB1136" s="24">
        <f>IF($B1136="","",ISOWEEKNUM($B1136))</f>
        <v/>
      </c>
      <c r="AC1136" s="17">
        <f>IF($B1136="","",CHOOSE(WEEKDAY($B1136,2),"Segunda","Terça","Quarta","Quinta","Sexta","Sábado","Domingo"))</f>
        <v/>
      </c>
      <c r="AD1136" s="17">
        <f>IF($B1136="","",TEXT($B1136,"MM/AAAA"))</f>
        <v/>
      </c>
      <c r="AE1136" s="18">
        <f>IF(COUNTA($B1136:$R1136)=0,"",IF($X1136="Cancelado",0,ROUND(N($Q1136)+N($S1136)+N($T1136)-N($U1136),2)))</f>
        <v/>
      </c>
      <c r="AF1136" s="9">
        <f>IF($G1136="","",IFERROR(INDEX(LINHAS_DRE_PLANO,MATCH($G1136,SUBCATEGORIAS_PLANO,0)),"Não classificado"))</f>
        <v/>
      </c>
      <c r="AG1136" s="17">
        <f>IF($G1136="","",IFERROR(INDEX(TIPOS_FLUXO_PLANO,MATCH($G1136,SUBCATEGORIAS_PLANO,0)),"Não classificado"))</f>
        <v/>
      </c>
      <c r="AH1136" s="9">
        <f>IF($G1136="","",IFERROR(INDEX(GRUPOS_PLANO,MATCH($G1136,SUBCATEGORIAS_PLANO,0)),"Não classificado"))</f>
        <v/>
      </c>
      <c r="AI1136" s="24">
        <f>IF(OR($C1136="",$X1136="Pago",$X1136="Recebido",$X1136="Cancelado"),"",$C1136-TODAY())</f>
        <v/>
      </c>
      <c r="AJ1136" s="24">
        <f>IF(OR($C1136="",$X1136="Pago",$X1136="Recebido",$X1136="Cancelado"),0,MAX(0,TODAY()-$C1136))</f>
        <v/>
      </c>
      <c r="AK1136" s="24">
        <f>IF($D1136="","",$D1136-$B1136)</f>
        <v/>
      </c>
      <c r="AL1136" s="18">
        <f>IF(OR($D1136="",$B1136=""),"",ROUND(N($R1136)*($D1136-$B1136),2))</f>
        <v/>
      </c>
      <c r="AM1136" s="17">
        <f>IF(AND($E1136="Saída",$W1136&gt;0,$C1136&lt;&gt;""),$C1136+ROW()/1000000,"")</f>
        <v/>
      </c>
      <c r="AN1136" s="17">
        <f>IF(AND($E1136="Entrada",$W1136&gt;0,$C1136&lt;&gt;""),$C1136+ROW()/1000000,"")</f>
        <v/>
      </c>
      <c r="AO1136" s="9">
        <f>IF(COUNTA($B1136:$R1136)=0,"",IF(AND($I1136&lt;&gt;"",COUNTIF(CLIENTES_NOMES,$I1136)+COUNTIF(CLIENTES_FANTASIA,$I1136)+COUNTIF(FORNECEDORES_NOMES,$I1136)+COUNTIF(FORNECEDORES_FANTASIA,$I1136)=0),"⚠ Cliente/Fornecedor não cadastrado",IF(AND($G1136&lt;&gt;"",COUNTIF(SUBCATEGORIAS_PLANO,$G1136)=0),"⚠ Subcategoria fora do plano de contas",IF(OR($Q1136="",N($Q1136)=0),"⚠ Valor previsto não informado",IF(AND(OR($X1136="Pago",$X1136="Recebido"),$D1136=""),"⚠ Status pago/recebido sem data",IF(AND($D1136&lt;&gt;"",N($R1136)=0),"⚠ Data de pagamento sem valor realizado",IF(AND(N($P1136)&gt;1,N($O1136)&gt;N($P1136)),"⚠ Nº da parcela maior que o total",IF(AND($C1136&lt;&gt;"",$B1136&lt;&gt;"",$C1136&lt;$B1136),"⚠ Vencimento anterior à competência","OK"))))))))</f>
        <v/>
      </c>
    </row>
    <row r="1137">
      <c r="A1137" s="14" t="n"/>
      <c r="B1137" s="36" t="n"/>
      <c r="C1137" s="36" t="n"/>
      <c r="D1137" s="36" t="n"/>
      <c r="E1137" s="14" t="n"/>
      <c r="F1137" s="29" t="n"/>
      <c r="G1137" s="29" t="n"/>
      <c r="H1137" s="29" t="n"/>
      <c r="I1137" s="29" t="n"/>
      <c r="J1137" s="29" t="n"/>
      <c r="K1137" s="14" t="n"/>
      <c r="L1137" s="29" t="n"/>
      <c r="M1137" s="14" t="n"/>
      <c r="N1137" s="29" t="n"/>
      <c r="O1137" s="13" t="n"/>
      <c r="P1137" s="13" t="n"/>
      <c r="Q1137" s="35" t="n"/>
      <c r="R1137" s="35" t="n"/>
      <c r="S1137" s="35" t="n"/>
      <c r="T1137" s="35" t="n"/>
      <c r="U1137" s="35" t="n"/>
      <c r="V1137" s="18">
        <f>IF(COUNTA($B1137:$R1137)=0,"",ROUND(N($R1137)+N($S1137)+N($T1137)-N($U1137),2))</f>
        <v/>
      </c>
      <c r="W1137" s="18">
        <f>IF(COUNTA($B1137:$R1137)=0,"",IF(OR($X1137="Pago",$X1137="Recebido",$X1137="Cancelado"),0,ROUND(N($Q1137)+N($S1137)+N($T1137)-N($U1137)-N($R1137),2)))</f>
        <v/>
      </c>
      <c r="X1137" s="14" t="n"/>
      <c r="Y1137" s="17">
        <f>IF(COUNTA($B1137:$R1137)=0,"",IF($X1137="Cancelado","Cancelado",IF(OR($X1137="Pago",$X1137="Recebido"),$X1137,IF(OR($X1137="Parcial",N($R1137)&gt;0),"Parcial",IF($C1137="","Sem vencimento",IF($C1137&lt;TODAY(),"Vencido",IF($C1137=TODAY(),"Vence hoje",IF($C1137&lt;=TODAY()+7,"Vence em 7 dias",IF($C1137&lt;=TODAY()+30,"Vence em 30 dias","Futuro")))))))))</f>
        <v/>
      </c>
      <c r="Z1137" s="24">
        <f>IF($B1137="","",MONTH($B1137))</f>
        <v/>
      </c>
      <c r="AA1137" s="24">
        <f>IF($B1137="","",YEAR($B1137))</f>
        <v/>
      </c>
      <c r="AB1137" s="24">
        <f>IF($B1137="","",ISOWEEKNUM($B1137))</f>
        <v/>
      </c>
      <c r="AC1137" s="17">
        <f>IF($B1137="","",CHOOSE(WEEKDAY($B1137,2),"Segunda","Terça","Quarta","Quinta","Sexta","Sábado","Domingo"))</f>
        <v/>
      </c>
      <c r="AD1137" s="17">
        <f>IF($B1137="","",TEXT($B1137,"MM/AAAA"))</f>
        <v/>
      </c>
      <c r="AE1137" s="18">
        <f>IF(COUNTA($B1137:$R1137)=0,"",IF($X1137="Cancelado",0,ROUND(N($Q1137)+N($S1137)+N($T1137)-N($U1137),2)))</f>
        <v/>
      </c>
      <c r="AF1137" s="9">
        <f>IF($G1137="","",IFERROR(INDEX(LINHAS_DRE_PLANO,MATCH($G1137,SUBCATEGORIAS_PLANO,0)),"Não classificado"))</f>
        <v/>
      </c>
      <c r="AG1137" s="17">
        <f>IF($G1137="","",IFERROR(INDEX(TIPOS_FLUXO_PLANO,MATCH($G1137,SUBCATEGORIAS_PLANO,0)),"Não classificado"))</f>
        <v/>
      </c>
      <c r="AH1137" s="9">
        <f>IF($G1137="","",IFERROR(INDEX(GRUPOS_PLANO,MATCH($G1137,SUBCATEGORIAS_PLANO,0)),"Não classificado"))</f>
        <v/>
      </c>
      <c r="AI1137" s="24">
        <f>IF(OR($C1137="",$X1137="Pago",$X1137="Recebido",$X1137="Cancelado"),"",$C1137-TODAY())</f>
        <v/>
      </c>
      <c r="AJ1137" s="24">
        <f>IF(OR($C1137="",$X1137="Pago",$X1137="Recebido",$X1137="Cancelado"),0,MAX(0,TODAY()-$C1137))</f>
        <v/>
      </c>
      <c r="AK1137" s="24">
        <f>IF($D1137="","",$D1137-$B1137)</f>
        <v/>
      </c>
      <c r="AL1137" s="18">
        <f>IF(OR($D1137="",$B1137=""),"",ROUND(N($R1137)*($D1137-$B1137),2))</f>
        <v/>
      </c>
      <c r="AM1137" s="17">
        <f>IF(AND($E1137="Saída",$W1137&gt;0,$C1137&lt;&gt;""),$C1137+ROW()/1000000,"")</f>
        <v/>
      </c>
      <c r="AN1137" s="17">
        <f>IF(AND($E1137="Entrada",$W1137&gt;0,$C1137&lt;&gt;""),$C1137+ROW()/1000000,"")</f>
        <v/>
      </c>
      <c r="AO1137" s="9">
        <f>IF(COUNTA($B1137:$R1137)=0,"",IF(AND($I1137&lt;&gt;"",COUNTIF(CLIENTES_NOMES,$I1137)+COUNTIF(CLIENTES_FANTASIA,$I1137)+COUNTIF(FORNECEDORES_NOMES,$I1137)+COUNTIF(FORNECEDORES_FANTASIA,$I1137)=0),"⚠ Cliente/Fornecedor não cadastrado",IF(AND($G1137&lt;&gt;"",COUNTIF(SUBCATEGORIAS_PLANO,$G1137)=0),"⚠ Subcategoria fora do plano de contas",IF(OR($Q1137="",N($Q1137)=0),"⚠ Valor previsto não informado",IF(AND(OR($X1137="Pago",$X1137="Recebido"),$D1137=""),"⚠ Status pago/recebido sem data",IF(AND($D1137&lt;&gt;"",N($R1137)=0),"⚠ Data de pagamento sem valor realizado",IF(AND(N($P1137)&gt;1,N($O1137)&gt;N($P1137)),"⚠ Nº da parcela maior que o total",IF(AND($C1137&lt;&gt;"",$B1137&lt;&gt;"",$C1137&lt;$B1137),"⚠ Vencimento anterior à competência","OK"))))))))</f>
        <v/>
      </c>
    </row>
    <row r="1138">
      <c r="A1138" s="14" t="n"/>
      <c r="B1138" s="36" t="n"/>
      <c r="C1138" s="36" t="n"/>
      <c r="D1138" s="36" t="n"/>
      <c r="E1138" s="14" t="n"/>
      <c r="F1138" s="29" t="n"/>
      <c r="G1138" s="29" t="n"/>
      <c r="H1138" s="29" t="n"/>
      <c r="I1138" s="29" t="n"/>
      <c r="J1138" s="29" t="n"/>
      <c r="K1138" s="14" t="n"/>
      <c r="L1138" s="29" t="n"/>
      <c r="M1138" s="14" t="n"/>
      <c r="N1138" s="29" t="n"/>
      <c r="O1138" s="13" t="n"/>
      <c r="P1138" s="13" t="n"/>
      <c r="Q1138" s="35" t="n"/>
      <c r="R1138" s="35" t="n"/>
      <c r="S1138" s="35" t="n"/>
      <c r="T1138" s="35" t="n"/>
      <c r="U1138" s="35" t="n"/>
      <c r="V1138" s="18">
        <f>IF(COUNTA($B1138:$R1138)=0,"",ROUND(N($R1138)+N($S1138)+N($T1138)-N($U1138),2))</f>
        <v/>
      </c>
      <c r="W1138" s="18">
        <f>IF(COUNTA($B1138:$R1138)=0,"",IF(OR($X1138="Pago",$X1138="Recebido",$X1138="Cancelado"),0,ROUND(N($Q1138)+N($S1138)+N($T1138)-N($U1138)-N($R1138),2)))</f>
        <v/>
      </c>
      <c r="X1138" s="14" t="n"/>
      <c r="Y1138" s="17">
        <f>IF(COUNTA($B1138:$R1138)=0,"",IF($X1138="Cancelado","Cancelado",IF(OR($X1138="Pago",$X1138="Recebido"),$X1138,IF(OR($X1138="Parcial",N($R1138)&gt;0),"Parcial",IF($C1138="","Sem vencimento",IF($C1138&lt;TODAY(),"Vencido",IF($C1138=TODAY(),"Vence hoje",IF($C1138&lt;=TODAY()+7,"Vence em 7 dias",IF($C1138&lt;=TODAY()+30,"Vence em 30 dias","Futuro")))))))))</f>
        <v/>
      </c>
      <c r="Z1138" s="24">
        <f>IF($B1138="","",MONTH($B1138))</f>
        <v/>
      </c>
      <c r="AA1138" s="24">
        <f>IF($B1138="","",YEAR($B1138))</f>
        <v/>
      </c>
      <c r="AB1138" s="24">
        <f>IF($B1138="","",ISOWEEKNUM($B1138))</f>
        <v/>
      </c>
      <c r="AC1138" s="17">
        <f>IF($B1138="","",CHOOSE(WEEKDAY($B1138,2),"Segunda","Terça","Quarta","Quinta","Sexta","Sábado","Domingo"))</f>
        <v/>
      </c>
      <c r="AD1138" s="17">
        <f>IF($B1138="","",TEXT($B1138,"MM/AAAA"))</f>
        <v/>
      </c>
      <c r="AE1138" s="18">
        <f>IF(COUNTA($B1138:$R1138)=0,"",IF($X1138="Cancelado",0,ROUND(N($Q1138)+N($S1138)+N($T1138)-N($U1138),2)))</f>
        <v/>
      </c>
      <c r="AF1138" s="9">
        <f>IF($G1138="","",IFERROR(INDEX(LINHAS_DRE_PLANO,MATCH($G1138,SUBCATEGORIAS_PLANO,0)),"Não classificado"))</f>
        <v/>
      </c>
      <c r="AG1138" s="17">
        <f>IF($G1138="","",IFERROR(INDEX(TIPOS_FLUXO_PLANO,MATCH($G1138,SUBCATEGORIAS_PLANO,0)),"Não classificado"))</f>
        <v/>
      </c>
      <c r="AH1138" s="9">
        <f>IF($G1138="","",IFERROR(INDEX(GRUPOS_PLANO,MATCH($G1138,SUBCATEGORIAS_PLANO,0)),"Não classificado"))</f>
        <v/>
      </c>
      <c r="AI1138" s="24">
        <f>IF(OR($C1138="",$X1138="Pago",$X1138="Recebido",$X1138="Cancelado"),"",$C1138-TODAY())</f>
        <v/>
      </c>
      <c r="AJ1138" s="24">
        <f>IF(OR($C1138="",$X1138="Pago",$X1138="Recebido",$X1138="Cancelado"),0,MAX(0,TODAY()-$C1138))</f>
        <v/>
      </c>
      <c r="AK1138" s="24">
        <f>IF($D1138="","",$D1138-$B1138)</f>
        <v/>
      </c>
      <c r="AL1138" s="18">
        <f>IF(OR($D1138="",$B1138=""),"",ROUND(N($R1138)*($D1138-$B1138),2))</f>
        <v/>
      </c>
      <c r="AM1138" s="17">
        <f>IF(AND($E1138="Saída",$W1138&gt;0,$C1138&lt;&gt;""),$C1138+ROW()/1000000,"")</f>
        <v/>
      </c>
      <c r="AN1138" s="17">
        <f>IF(AND($E1138="Entrada",$W1138&gt;0,$C1138&lt;&gt;""),$C1138+ROW()/1000000,"")</f>
        <v/>
      </c>
      <c r="AO1138" s="9">
        <f>IF(COUNTA($B1138:$R1138)=0,"",IF(AND($I1138&lt;&gt;"",COUNTIF(CLIENTES_NOMES,$I1138)+COUNTIF(CLIENTES_FANTASIA,$I1138)+COUNTIF(FORNECEDORES_NOMES,$I1138)+COUNTIF(FORNECEDORES_FANTASIA,$I1138)=0),"⚠ Cliente/Fornecedor não cadastrado",IF(AND($G1138&lt;&gt;"",COUNTIF(SUBCATEGORIAS_PLANO,$G1138)=0),"⚠ Subcategoria fora do plano de contas",IF(OR($Q1138="",N($Q1138)=0),"⚠ Valor previsto não informado",IF(AND(OR($X1138="Pago",$X1138="Recebido"),$D1138=""),"⚠ Status pago/recebido sem data",IF(AND($D1138&lt;&gt;"",N($R1138)=0),"⚠ Data de pagamento sem valor realizado",IF(AND(N($P1138)&gt;1,N($O1138)&gt;N($P1138)),"⚠ Nº da parcela maior que o total",IF(AND($C1138&lt;&gt;"",$B1138&lt;&gt;"",$C1138&lt;$B1138),"⚠ Vencimento anterior à competência","OK"))))))))</f>
        <v/>
      </c>
    </row>
    <row r="1139">
      <c r="A1139" s="14" t="n"/>
      <c r="B1139" s="36" t="n"/>
      <c r="C1139" s="36" t="n"/>
      <c r="D1139" s="36" t="n"/>
      <c r="E1139" s="14" t="n"/>
      <c r="F1139" s="29" t="n"/>
      <c r="G1139" s="29" t="n"/>
      <c r="H1139" s="29" t="n"/>
      <c r="I1139" s="29" t="n"/>
      <c r="J1139" s="29" t="n"/>
      <c r="K1139" s="14" t="n"/>
      <c r="L1139" s="29" t="n"/>
      <c r="M1139" s="14" t="n"/>
      <c r="N1139" s="29" t="n"/>
      <c r="O1139" s="13" t="n"/>
      <c r="P1139" s="13" t="n"/>
      <c r="Q1139" s="35" t="n"/>
      <c r="R1139" s="35" t="n"/>
      <c r="S1139" s="35" t="n"/>
      <c r="T1139" s="35" t="n"/>
      <c r="U1139" s="35" t="n"/>
      <c r="V1139" s="18">
        <f>IF(COUNTA($B1139:$R1139)=0,"",ROUND(N($R1139)+N($S1139)+N($T1139)-N($U1139),2))</f>
        <v/>
      </c>
      <c r="W1139" s="18">
        <f>IF(COUNTA($B1139:$R1139)=0,"",IF(OR($X1139="Pago",$X1139="Recebido",$X1139="Cancelado"),0,ROUND(N($Q1139)+N($S1139)+N($T1139)-N($U1139)-N($R1139),2)))</f>
        <v/>
      </c>
      <c r="X1139" s="14" t="n"/>
      <c r="Y1139" s="17">
        <f>IF(COUNTA($B1139:$R1139)=0,"",IF($X1139="Cancelado","Cancelado",IF(OR($X1139="Pago",$X1139="Recebido"),$X1139,IF(OR($X1139="Parcial",N($R1139)&gt;0),"Parcial",IF($C1139="","Sem vencimento",IF($C1139&lt;TODAY(),"Vencido",IF($C1139=TODAY(),"Vence hoje",IF($C1139&lt;=TODAY()+7,"Vence em 7 dias",IF($C1139&lt;=TODAY()+30,"Vence em 30 dias","Futuro")))))))))</f>
        <v/>
      </c>
      <c r="Z1139" s="24">
        <f>IF($B1139="","",MONTH($B1139))</f>
        <v/>
      </c>
      <c r="AA1139" s="24">
        <f>IF($B1139="","",YEAR($B1139))</f>
        <v/>
      </c>
      <c r="AB1139" s="24">
        <f>IF($B1139="","",ISOWEEKNUM($B1139))</f>
        <v/>
      </c>
      <c r="AC1139" s="17">
        <f>IF($B1139="","",CHOOSE(WEEKDAY($B1139,2),"Segunda","Terça","Quarta","Quinta","Sexta","Sábado","Domingo"))</f>
        <v/>
      </c>
      <c r="AD1139" s="17">
        <f>IF($B1139="","",TEXT($B1139,"MM/AAAA"))</f>
        <v/>
      </c>
      <c r="AE1139" s="18">
        <f>IF(COUNTA($B1139:$R1139)=0,"",IF($X1139="Cancelado",0,ROUND(N($Q1139)+N($S1139)+N($T1139)-N($U1139),2)))</f>
        <v/>
      </c>
      <c r="AF1139" s="9">
        <f>IF($G1139="","",IFERROR(INDEX(LINHAS_DRE_PLANO,MATCH($G1139,SUBCATEGORIAS_PLANO,0)),"Não classificado"))</f>
        <v/>
      </c>
      <c r="AG1139" s="17">
        <f>IF($G1139="","",IFERROR(INDEX(TIPOS_FLUXO_PLANO,MATCH($G1139,SUBCATEGORIAS_PLANO,0)),"Não classificado"))</f>
        <v/>
      </c>
      <c r="AH1139" s="9">
        <f>IF($G1139="","",IFERROR(INDEX(GRUPOS_PLANO,MATCH($G1139,SUBCATEGORIAS_PLANO,0)),"Não classificado"))</f>
        <v/>
      </c>
      <c r="AI1139" s="24">
        <f>IF(OR($C1139="",$X1139="Pago",$X1139="Recebido",$X1139="Cancelado"),"",$C1139-TODAY())</f>
        <v/>
      </c>
      <c r="AJ1139" s="24">
        <f>IF(OR($C1139="",$X1139="Pago",$X1139="Recebido",$X1139="Cancelado"),0,MAX(0,TODAY()-$C1139))</f>
        <v/>
      </c>
      <c r="AK1139" s="24">
        <f>IF($D1139="","",$D1139-$B1139)</f>
        <v/>
      </c>
      <c r="AL1139" s="18">
        <f>IF(OR($D1139="",$B1139=""),"",ROUND(N($R1139)*($D1139-$B1139),2))</f>
        <v/>
      </c>
      <c r="AM1139" s="17">
        <f>IF(AND($E1139="Saída",$W1139&gt;0,$C1139&lt;&gt;""),$C1139+ROW()/1000000,"")</f>
        <v/>
      </c>
      <c r="AN1139" s="17">
        <f>IF(AND($E1139="Entrada",$W1139&gt;0,$C1139&lt;&gt;""),$C1139+ROW()/1000000,"")</f>
        <v/>
      </c>
      <c r="AO1139" s="9">
        <f>IF(COUNTA($B1139:$R1139)=0,"",IF(AND($I1139&lt;&gt;"",COUNTIF(CLIENTES_NOMES,$I1139)+COUNTIF(CLIENTES_FANTASIA,$I1139)+COUNTIF(FORNECEDORES_NOMES,$I1139)+COUNTIF(FORNECEDORES_FANTASIA,$I1139)=0),"⚠ Cliente/Fornecedor não cadastrado",IF(AND($G1139&lt;&gt;"",COUNTIF(SUBCATEGORIAS_PLANO,$G1139)=0),"⚠ Subcategoria fora do plano de contas",IF(OR($Q1139="",N($Q1139)=0),"⚠ Valor previsto não informado",IF(AND(OR($X1139="Pago",$X1139="Recebido"),$D1139=""),"⚠ Status pago/recebido sem data",IF(AND($D1139&lt;&gt;"",N($R1139)=0),"⚠ Data de pagamento sem valor realizado",IF(AND(N($P1139)&gt;1,N($O1139)&gt;N($P1139)),"⚠ Nº da parcela maior que o total",IF(AND($C1139&lt;&gt;"",$B1139&lt;&gt;"",$C1139&lt;$B1139),"⚠ Vencimento anterior à competência","OK"))))))))</f>
        <v/>
      </c>
    </row>
    <row r="1140">
      <c r="A1140" s="14" t="n"/>
      <c r="B1140" s="36" t="n"/>
      <c r="C1140" s="36" t="n"/>
      <c r="D1140" s="36" t="n"/>
      <c r="E1140" s="14" t="n"/>
      <c r="F1140" s="29" t="n"/>
      <c r="G1140" s="29" t="n"/>
      <c r="H1140" s="29" t="n"/>
      <c r="I1140" s="29" t="n"/>
      <c r="J1140" s="29" t="n"/>
      <c r="K1140" s="14" t="n"/>
      <c r="L1140" s="29" t="n"/>
      <c r="M1140" s="14" t="n"/>
      <c r="N1140" s="29" t="n"/>
      <c r="O1140" s="13" t="n"/>
      <c r="P1140" s="13" t="n"/>
      <c r="Q1140" s="35" t="n"/>
      <c r="R1140" s="35" t="n"/>
      <c r="S1140" s="35" t="n"/>
      <c r="T1140" s="35" t="n"/>
      <c r="U1140" s="35" t="n"/>
      <c r="V1140" s="18">
        <f>IF(COUNTA($B1140:$R1140)=0,"",ROUND(N($R1140)+N($S1140)+N($T1140)-N($U1140),2))</f>
        <v/>
      </c>
      <c r="W1140" s="18">
        <f>IF(COUNTA($B1140:$R1140)=0,"",IF(OR($X1140="Pago",$X1140="Recebido",$X1140="Cancelado"),0,ROUND(N($Q1140)+N($S1140)+N($T1140)-N($U1140)-N($R1140),2)))</f>
        <v/>
      </c>
      <c r="X1140" s="14" t="n"/>
      <c r="Y1140" s="17">
        <f>IF(COUNTA($B1140:$R1140)=0,"",IF($X1140="Cancelado","Cancelado",IF(OR($X1140="Pago",$X1140="Recebido"),$X1140,IF(OR($X1140="Parcial",N($R1140)&gt;0),"Parcial",IF($C1140="","Sem vencimento",IF($C1140&lt;TODAY(),"Vencido",IF($C1140=TODAY(),"Vence hoje",IF($C1140&lt;=TODAY()+7,"Vence em 7 dias",IF($C1140&lt;=TODAY()+30,"Vence em 30 dias","Futuro")))))))))</f>
        <v/>
      </c>
      <c r="Z1140" s="24">
        <f>IF($B1140="","",MONTH($B1140))</f>
        <v/>
      </c>
      <c r="AA1140" s="24">
        <f>IF($B1140="","",YEAR($B1140))</f>
        <v/>
      </c>
      <c r="AB1140" s="24">
        <f>IF($B1140="","",ISOWEEKNUM($B1140))</f>
        <v/>
      </c>
      <c r="AC1140" s="17">
        <f>IF($B1140="","",CHOOSE(WEEKDAY($B1140,2),"Segunda","Terça","Quarta","Quinta","Sexta","Sábado","Domingo"))</f>
        <v/>
      </c>
      <c r="AD1140" s="17">
        <f>IF($B1140="","",TEXT($B1140,"MM/AAAA"))</f>
        <v/>
      </c>
      <c r="AE1140" s="18">
        <f>IF(COUNTA($B1140:$R1140)=0,"",IF($X1140="Cancelado",0,ROUND(N($Q1140)+N($S1140)+N($T1140)-N($U1140),2)))</f>
        <v/>
      </c>
      <c r="AF1140" s="9">
        <f>IF($G1140="","",IFERROR(INDEX(LINHAS_DRE_PLANO,MATCH($G1140,SUBCATEGORIAS_PLANO,0)),"Não classificado"))</f>
        <v/>
      </c>
      <c r="AG1140" s="17">
        <f>IF($G1140="","",IFERROR(INDEX(TIPOS_FLUXO_PLANO,MATCH($G1140,SUBCATEGORIAS_PLANO,0)),"Não classificado"))</f>
        <v/>
      </c>
      <c r="AH1140" s="9">
        <f>IF($G1140="","",IFERROR(INDEX(GRUPOS_PLANO,MATCH($G1140,SUBCATEGORIAS_PLANO,0)),"Não classificado"))</f>
        <v/>
      </c>
      <c r="AI1140" s="24">
        <f>IF(OR($C1140="",$X1140="Pago",$X1140="Recebido",$X1140="Cancelado"),"",$C1140-TODAY())</f>
        <v/>
      </c>
      <c r="AJ1140" s="24">
        <f>IF(OR($C1140="",$X1140="Pago",$X1140="Recebido",$X1140="Cancelado"),0,MAX(0,TODAY()-$C1140))</f>
        <v/>
      </c>
      <c r="AK1140" s="24">
        <f>IF($D1140="","",$D1140-$B1140)</f>
        <v/>
      </c>
      <c r="AL1140" s="18">
        <f>IF(OR($D1140="",$B1140=""),"",ROUND(N($R1140)*($D1140-$B1140),2))</f>
        <v/>
      </c>
      <c r="AM1140" s="17">
        <f>IF(AND($E1140="Saída",$W1140&gt;0,$C1140&lt;&gt;""),$C1140+ROW()/1000000,"")</f>
        <v/>
      </c>
      <c r="AN1140" s="17">
        <f>IF(AND($E1140="Entrada",$W1140&gt;0,$C1140&lt;&gt;""),$C1140+ROW()/1000000,"")</f>
        <v/>
      </c>
      <c r="AO1140" s="9">
        <f>IF(COUNTA($B1140:$R1140)=0,"",IF(AND($I1140&lt;&gt;"",COUNTIF(CLIENTES_NOMES,$I1140)+COUNTIF(CLIENTES_FANTASIA,$I1140)+COUNTIF(FORNECEDORES_NOMES,$I1140)+COUNTIF(FORNECEDORES_FANTASIA,$I1140)=0),"⚠ Cliente/Fornecedor não cadastrado",IF(AND($G1140&lt;&gt;"",COUNTIF(SUBCATEGORIAS_PLANO,$G1140)=0),"⚠ Subcategoria fora do plano de contas",IF(OR($Q1140="",N($Q1140)=0),"⚠ Valor previsto não informado",IF(AND(OR($X1140="Pago",$X1140="Recebido"),$D1140=""),"⚠ Status pago/recebido sem data",IF(AND($D1140&lt;&gt;"",N($R1140)=0),"⚠ Data de pagamento sem valor realizado",IF(AND(N($P1140)&gt;1,N($O1140)&gt;N($P1140)),"⚠ Nº da parcela maior que o total",IF(AND($C1140&lt;&gt;"",$B1140&lt;&gt;"",$C1140&lt;$B1140),"⚠ Vencimento anterior à competência","OK"))))))))</f>
        <v/>
      </c>
    </row>
    <row r="1141">
      <c r="A1141" s="14" t="n"/>
      <c r="B1141" s="36" t="n"/>
      <c r="C1141" s="36" t="n"/>
      <c r="D1141" s="36" t="n"/>
      <c r="E1141" s="14" t="n"/>
      <c r="F1141" s="29" t="n"/>
      <c r="G1141" s="29" t="n"/>
      <c r="H1141" s="29" t="n"/>
      <c r="I1141" s="29" t="n"/>
      <c r="J1141" s="29" t="n"/>
      <c r="K1141" s="14" t="n"/>
      <c r="L1141" s="29" t="n"/>
      <c r="M1141" s="14" t="n"/>
      <c r="N1141" s="29" t="n"/>
      <c r="O1141" s="13" t="n"/>
      <c r="P1141" s="13" t="n"/>
      <c r="Q1141" s="35" t="n"/>
      <c r="R1141" s="35" t="n"/>
      <c r="S1141" s="35" t="n"/>
      <c r="T1141" s="35" t="n"/>
      <c r="U1141" s="35" t="n"/>
      <c r="V1141" s="18">
        <f>IF(COUNTA($B1141:$R1141)=0,"",ROUND(N($R1141)+N($S1141)+N($T1141)-N($U1141),2))</f>
        <v/>
      </c>
      <c r="W1141" s="18">
        <f>IF(COUNTA($B1141:$R1141)=0,"",IF(OR($X1141="Pago",$X1141="Recebido",$X1141="Cancelado"),0,ROUND(N($Q1141)+N($S1141)+N($T1141)-N($U1141)-N($R1141),2)))</f>
        <v/>
      </c>
      <c r="X1141" s="14" t="n"/>
      <c r="Y1141" s="17">
        <f>IF(COUNTA($B1141:$R1141)=0,"",IF($X1141="Cancelado","Cancelado",IF(OR($X1141="Pago",$X1141="Recebido"),$X1141,IF(OR($X1141="Parcial",N($R1141)&gt;0),"Parcial",IF($C1141="","Sem vencimento",IF($C1141&lt;TODAY(),"Vencido",IF($C1141=TODAY(),"Vence hoje",IF($C1141&lt;=TODAY()+7,"Vence em 7 dias",IF($C1141&lt;=TODAY()+30,"Vence em 30 dias","Futuro")))))))))</f>
        <v/>
      </c>
      <c r="Z1141" s="24">
        <f>IF($B1141="","",MONTH($B1141))</f>
        <v/>
      </c>
      <c r="AA1141" s="24">
        <f>IF($B1141="","",YEAR($B1141))</f>
        <v/>
      </c>
      <c r="AB1141" s="24">
        <f>IF($B1141="","",ISOWEEKNUM($B1141))</f>
        <v/>
      </c>
      <c r="AC1141" s="17">
        <f>IF($B1141="","",CHOOSE(WEEKDAY($B1141,2),"Segunda","Terça","Quarta","Quinta","Sexta","Sábado","Domingo"))</f>
        <v/>
      </c>
      <c r="AD1141" s="17">
        <f>IF($B1141="","",TEXT($B1141,"MM/AAAA"))</f>
        <v/>
      </c>
      <c r="AE1141" s="18">
        <f>IF(COUNTA($B1141:$R1141)=0,"",IF($X1141="Cancelado",0,ROUND(N($Q1141)+N($S1141)+N($T1141)-N($U1141),2)))</f>
        <v/>
      </c>
      <c r="AF1141" s="9">
        <f>IF($G1141="","",IFERROR(INDEX(LINHAS_DRE_PLANO,MATCH($G1141,SUBCATEGORIAS_PLANO,0)),"Não classificado"))</f>
        <v/>
      </c>
      <c r="AG1141" s="17">
        <f>IF($G1141="","",IFERROR(INDEX(TIPOS_FLUXO_PLANO,MATCH($G1141,SUBCATEGORIAS_PLANO,0)),"Não classificado"))</f>
        <v/>
      </c>
      <c r="AH1141" s="9">
        <f>IF($G1141="","",IFERROR(INDEX(GRUPOS_PLANO,MATCH($G1141,SUBCATEGORIAS_PLANO,0)),"Não classificado"))</f>
        <v/>
      </c>
      <c r="AI1141" s="24">
        <f>IF(OR($C1141="",$X1141="Pago",$X1141="Recebido",$X1141="Cancelado"),"",$C1141-TODAY())</f>
        <v/>
      </c>
      <c r="AJ1141" s="24">
        <f>IF(OR($C1141="",$X1141="Pago",$X1141="Recebido",$X1141="Cancelado"),0,MAX(0,TODAY()-$C1141))</f>
        <v/>
      </c>
      <c r="AK1141" s="24">
        <f>IF($D1141="","",$D1141-$B1141)</f>
        <v/>
      </c>
      <c r="AL1141" s="18">
        <f>IF(OR($D1141="",$B1141=""),"",ROUND(N($R1141)*($D1141-$B1141),2))</f>
        <v/>
      </c>
      <c r="AM1141" s="17">
        <f>IF(AND($E1141="Saída",$W1141&gt;0,$C1141&lt;&gt;""),$C1141+ROW()/1000000,"")</f>
        <v/>
      </c>
      <c r="AN1141" s="17">
        <f>IF(AND($E1141="Entrada",$W1141&gt;0,$C1141&lt;&gt;""),$C1141+ROW()/1000000,"")</f>
        <v/>
      </c>
      <c r="AO1141" s="9">
        <f>IF(COUNTA($B1141:$R1141)=0,"",IF(AND($I1141&lt;&gt;"",COUNTIF(CLIENTES_NOMES,$I1141)+COUNTIF(CLIENTES_FANTASIA,$I1141)+COUNTIF(FORNECEDORES_NOMES,$I1141)+COUNTIF(FORNECEDORES_FANTASIA,$I1141)=0),"⚠ Cliente/Fornecedor não cadastrado",IF(AND($G1141&lt;&gt;"",COUNTIF(SUBCATEGORIAS_PLANO,$G1141)=0),"⚠ Subcategoria fora do plano de contas",IF(OR($Q1141="",N($Q1141)=0),"⚠ Valor previsto não informado",IF(AND(OR($X1141="Pago",$X1141="Recebido"),$D1141=""),"⚠ Status pago/recebido sem data",IF(AND($D1141&lt;&gt;"",N($R1141)=0),"⚠ Data de pagamento sem valor realizado",IF(AND(N($P1141)&gt;1,N($O1141)&gt;N($P1141)),"⚠ Nº da parcela maior que o total",IF(AND($C1141&lt;&gt;"",$B1141&lt;&gt;"",$C1141&lt;$B1141),"⚠ Vencimento anterior à competência","OK"))))))))</f>
        <v/>
      </c>
    </row>
    <row r="1142">
      <c r="A1142" s="14" t="n"/>
      <c r="B1142" s="36" t="n"/>
      <c r="C1142" s="36" t="n"/>
      <c r="D1142" s="36" t="n"/>
      <c r="E1142" s="14" t="n"/>
      <c r="F1142" s="29" t="n"/>
      <c r="G1142" s="29" t="n"/>
      <c r="H1142" s="29" t="n"/>
      <c r="I1142" s="29" t="n"/>
      <c r="J1142" s="29" t="n"/>
      <c r="K1142" s="14" t="n"/>
      <c r="L1142" s="29" t="n"/>
      <c r="M1142" s="14" t="n"/>
      <c r="N1142" s="29" t="n"/>
      <c r="O1142" s="13" t="n"/>
      <c r="P1142" s="13" t="n"/>
      <c r="Q1142" s="35" t="n"/>
      <c r="R1142" s="35" t="n"/>
      <c r="S1142" s="35" t="n"/>
      <c r="T1142" s="35" t="n"/>
      <c r="U1142" s="35" t="n"/>
      <c r="V1142" s="18">
        <f>IF(COUNTA($B1142:$R1142)=0,"",ROUND(N($R1142)+N($S1142)+N($T1142)-N($U1142),2))</f>
        <v/>
      </c>
      <c r="W1142" s="18">
        <f>IF(COUNTA($B1142:$R1142)=0,"",IF(OR($X1142="Pago",$X1142="Recebido",$X1142="Cancelado"),0,ROUND(N($Q1142)+N($S1142)+N($T1142)-N($U1142)-N($R1142),2)))</f>
        <v/>
      </c>
      <c r="X1142" s="14" t="n"/>
      <c r="Y1142" s="17">
        <f>IF(COUNTA($B1142:$R1142)=0,"",IF($X1142="Cancelado","Cancelado",IF(OR($X1142="Pago",$X1142="Recebido"),$X1142,IF(OR($X1142="Parcial",N($R1142)&gt;0),"Parcial",IF($C1142="","Sem vencimento",IF($C1142&lt;TODAY(),"Vencido",IF($C1142=TODAY(),"Vence hoje",IF($C1142&lt;=TODAY()+7,"Vence em 7 dias",IF($C1142&lt;=TODAY()+30,"Vence em 30 dias","Futuro")))))))))</f>
        <v/>
      </c>
      <c r="Z1142" s="24">
        <f>IF($B1142="","",MONTH($B1142))</f>
        <v/>
      </c>
      <c r="AA1142" s="24">
        <f>IF($B1142="","",YEAR($B1142))</f>
        <v/>
      </c>
      <c r="AB1142" s="24">
        <f>IF($B1142="","",ISOWEEKNUM($B1142))</f>
        <v/>
      </c>
      <c r="AC1142" s="17">
        <f>IF($B1142="","",CHOOSE(WEEKDAY($B1142,2),"Segunda","Terça","Quarta","Quinta","Sexta","Sábado","Domingo"))</f>
        <v/>
      </c>
      <c r="AD1142" s="17">
        <f>IF($B1142="","",TEXT($B1142,"MM/AAAA"))</f>
        <v/>
      </c>
      <c r="AE1142" s="18">
        <f>IF(COUNTA($B1142:$R1142)=0,"",IF($X1142="Cancelado",0,ROUND(N($Q1142)+N($S1142)+N($T1142)-N($U1142),2)))</f>
        <v/>
      </c>
      <c r="AF1142" s="9">
        <f>IF($G1142="","",IFERROR(INDEX(LINHAS_DRE_PLANO,MATCH($G1142,SUBCATEGORIAS_PLANO,0)),"Não classificado"))</f>
        <v/>
      </c>
      <c r="AG1142" s="17">
        <f>IF($G1142="","",IFERROR(INDEX(TIPOS_FLUXO_PLANO,MATCH($G1142,SUBCATEGORIAS_PLANO,0)),"Não classificado"))</f>
        <v/>
      </c>
      <c r="AH1142" s="9">
        <f>IF($G1142="","",IFERROR(INDEX(GRUPOS_PLANO,MATCH($G1142,SUBCATEGORIAS_PLANO,0)),"Não classificado"))</f>
        <v/>
      </c>
      <c r="AI1142" s="24">
        <f>IF(OR($C1142="",$X1142="Pago",$X1142="Recebido",$X1142="Cancelado"),"",$C1142-TODAY())</f>
        <v/>
      </c>
      <c r="AJ1142" s="24">
        <f>IF(OR($C1142="",$X1142="Pago",$X1142="Recebido",$X1142="Cancelado"),0,MAX(0,TODAY()-$C1142))</f>
        <v/>
      </c>
      <c r="AK1142" s="24">
        <f>IF($D1142="","",$D1142-$B1142)</f>
        <v/>
      </c>
      <c r="AL1142" s="18">
        <f>IF(OR($D1142="",$B1142=""),"",ROUND(N($R1142)*($D1142-$B1142),2))</f>
        <v/>
      </c>
      <c r="AM1142" s="17">
        <f>IF(AND($E1142="Saída",$W1142&gt;0,$C1142&lt;&gt;""),$C1142+ROW()/1000000,"")</f>
        <v/>
      </c>
      <c r="AN1142" s="17">
        <f>IF(AND($E1142="Entrada",$W1142&gt;0,$C1142&lt;&gt;""),$C1142+ROW()/1000000,"")</f>
        <v/>
      </c>
      <c r="AO1142" s="9">
        <f>IF(COUNTA($B1142:$R1142)=0,"",IF(AND($I1142&lt;&gt;"",COUNTIF(CLIENTES_NOMES,$I1142)+COUNTIF(CLIENTES_FANTASIA,$I1142)+COUNTIF(FORNECEDORES_NOMES,$I1142)+COUNTIF(FORNECEDORES_FANTASIA,$I1142)=0),"⚠ Cliente/Fornecedor não cadastrado",IF(AND($G1142&lt;&gt;"",COUNTIF(SUBCATEGORIAS_PLANO,$G1142)=0),"⚠ Subcategoria fora do plano de contas",IF(OR($Q1142="",N($Q1142)=0),"⚠ Valor previsto não informado",IF(AND(OR($X1142="Pago",$X1142="Recebido"),$D1142=""),"⚠ Status pago/recebido sem data",IF(AND($D1142&lt;&gt;"",N($R1142)=0),"⚠ Data de pagamento sem valor realizado",IF(AND(N($P1142)&gt;1,N($O1142)&gt;N($P1142)),"⚠ Nº da parcela maior que o total",IF(AND($C1142&lt;&gt;"",$B1142&lt;&gt;"",$C1142&lt;$B1142),"⚠ Vencimento anterior à competência","OK"))))))))</f>
        <v/>
      </c>
    </row>
    <row r="1143">
      <c r="A1143" s="14" t="n"/>
      <c r="B1143" s="36" t="n"/>
      <c r="C1143" s="36" t="n"/>
      <c r="D1143" s="36" t="n"/>
      <c r="E1143" s="14" t="n"/>
      <c r="F1143" s="29" t="n"/>
      <c r="G1143" s="29" t="n"/>
      <c r="H1143" s="29" t="n"/>
      <c r="I1143" s="29" t="n"/>
      <c r="J1143" s="29" t="n"/>
      <c r="K1143" s="14" t="n"/>
      <c r="L1143" s="29" t="n"/>
      <c r="M1143" s="14" t="n"/>
      <c r="N1143" s="29" t="n"/>
      <c r="O1143" s="13" t="n"/>
      <c r="P1143" s="13" t="n"/>
      <c r="Q1143" s="35" t="n"/>
      <c r="R1143" s="35" t="n"/>
      <c r="S1143" s="35" t="n"/>
      <c r="T1143" s="35" t="n"/>
      <c r="U1143" s="35" t="n"/>
      <c r="V1143" s="18">
        <f>IF(COUNTA($B1143:$R1143)=0,"",ROUND(N($R1143)+N($S1143)+N($T1143)-N($U1143),2))</f>
        <v/>
      </c>
      <c r="W1143" s="18">
        <f>IF(COUNTA($B1143:$R1143)=0,"",IF(OR($X1143="Pago",$X1143="Recebido",$X1143="Cancelado"),0,ROUND(N($Q1143)+N($S1143)+N($T1143)-N($U1143)-N($R1143),2)))</f>
        <v/>
      </c>
      <c r="X1143" s="14" t="n"/>
      <c r="Y1143" s="17">
        <f>IF(COUNTA($B1143:$R1143)=0,"",IF($X1143="Cancelado","Cancelado",IF(OR($X1143="Pago",$X1143="Recebido"),$X1143,IF(OR($X1143="Parcial",N($R1143)&gt;0),"Parcial",IF($C1143="","Sem vencimento",IF($C1143&lt;TODAY(),"Vencido",IF($C1143=TODAY(),"Vence hoje",IF($C1143&lt;=TODAY()+7,"Vence em 7 dias",IF($C1143&lt;=TODAY()+30,"Vence em 30 dias","Futuro")))))))))</f>
        <v/>
      </c>
      <c r="Z1143" s="24">
        <f>IF($B1143="","",MONTH($B1143))</f>
        <v/>
      </c>
      <c r="AA1143" s="24">
        <f>IF($B1143="","",YEAR($B1143))</f>
        <v/>
      </c>
      <c r="AB1143" s="24">
        <f>IF($B1143="","",ISOWEEKNUM($B1143))</f>
        <v/>
      </c>
      <c r="AC1143" s="17">
        <f>IF($B1143="","",CHOOSE(WEEKDAY($B1143,2),"Segunda","Terça","Quarta","Quinta","Sexta","Sábado","Domingo"))</f>
        <v/>
      </c>
      <c r="AD1143" s="17">
        <f>IF($B1143="","",TEXT($B1143,"MM/AAAA"))</f>
        <v/>
      </c>
      <c r="AE1143" s="18">
        <f>IF(COUNTA($B1143:$R1143)=0,"",IF($X1143="Cancelado",0,ROUND(N($Q1143)+N($S1143)+N($T1143)-N($U1143),2)))</f>
        <v/>
      </c>
      <c r="AF1143" s="9">
        <f>IF($G1143="","",IFERROR(INDEX(LINHAS_DRE_PLANO,MATCH($G1143,SUBCATEGORIAS_PLANO,0)),"Não classificado"))</f>
        <v/>
      </c>
      <c r="AG1143" s="17">
        <f>IF($G1143="","",IFERROR(INDEX(TIPOS_FLUXO_PLANO,MATCH($G1143,SUBCATEGORIAS_PLANO,0)),"Não classificado"))</f>
        <v/>
      </c>
      <c r="AH1143" s="9">
        <f>IF($G1143="","",IFERROR(INDEX(GRUPOS_PLANO,MATCH($G1143,SUBCATEGORIAS_PLANO,0)),"Não classificado"))</f>
        <v/>
      </c>
      <c r="AI1143" s="24">
        <f>IF(OR($C1143="",$X1143="Pago",$X1143="Recebido",$X1143="Cancelado"),"",$C1143-TODAY())</f>
        <v/>
      </c>
      <c r="AJ1143" s="24">
        <f>IF(OR($C1143="",$X1143="Pago",$X1143="Recebido",$X1143="Cancelado"),0,MAX(0,TODAY()-$C1143))</f>
        <v/>
      </c>
      <c r="AK1143" s="24">
        <f>IF($D1143="","",$D1143-$B1143)</f>
        <v/>
      </c>
      <c r="AL1143" s="18">
        <f>IF(OR($D1143="",$B1143=""),"",ROUND(N($R1143)*($D1143-$B1143),2))</f>
        <v/>
      </c>
      <c r="AM1143" s="17">
        <f>IF(AND($E1143="Saída",$W1143&gt;0,$C1143&lt;&gt;""),$C1143+ROW()/1000000,"")</f>
        <v/>
      </c>
      <c r="AN1143" s="17">
        <f>IF(AND($E1143="Entrada",$W1143&gt;0,$C1143&lt;&gt;""),$C1143+ROW()/1000000,"")</f>
        <v/>
      </c>
      <c r="AO1143" s="9">
        <f>IF(COUNTA($B1143:$R1143)=0,"",IF(AND($I1143&lt;&gt;"",COUNTIF(CLIENTES_NOMES,$I1143)+COUNTIF(CLIENTES_FANTASIA,$I1143)+COUNTIF(FORNECEDORES_NOMES,$I1143)+COUNTIF(FORNECEDORES_FANTASIA,$I1143)=0),"⚠ Cliente/Fornecedor não cadastrado",IF(AND($G1143&lt;&gt;"",COUNTIF(SUBCATEGORIAS_PLANO,$G1143)=0),"⚠ Subcategoria fora do plano de contas",IF(OR($Q1143="",N($Q1143)=0),"⚠ Valor previsto não informado",IF(AND(OR($X1143="Pago",$X1143="Recebido"),$D1143=""),"⚠ Status pago/recebido sem data",IF(AND($D1143&lt;&gt;"",N($R1143)=0),"⚠ Data de pagamento sem valor realizado",IF(AND(N($P1143)&gt;1,N($O1143)&gt;N($P1143)),"⚠ Nº da parcela maior que o total",IF(AND($C1143&lt;&gt;"",$B1143&lt;&gt;"",$C1143&lt;$B1143),"⚠ Vencimento anterior à competência","OK"))))))))</f>
        <v/>
      </c>
    </row>
    <row r="1144">
      <c r="A1144" s="14" t="n"/>
      <c r="B1144" s="36" t="n"/>
      <c r="C1144" s="36" t="n"/>
      <c r="D1144" s="36" t="n"/>
      <c r="E1144" s="14" t="n"/>
      <c r="F1144" s="29" t="n"/>
      <c r="G1144" s="29" t="n"/>
      <c r="H1144" s="29" t="n"/>
      <c r="I1144" s="29" t="n"/>
      <c r="J1144" s="29" t="n"/>
      <c r="K1144" s="14" t="n"/>
      <c r="L1144" s="29" t="n"/>
      <c r="M1144" s="14" t="n"/>
      <c r="N1144" s="29" t="n"/>
      <c r="O1144" s="13" t="n"/>
      <c r="P1144" s="13" t="n"/>
      <c r="Q1144" s="35" t="n"/>
      <c r="R1144" s="35" t="n"/>
      <c r="S1144" s="35" t="n"/>
      <c r="T1144" s="35" t="n"/>
      <c r="U1144" s="35" t="n"/>
      <c r="V1144" s="18">
        <f>IF(COUNTA($B1144:$R1144)=0,"",ROUND(N($R1144)+N($S1144)+N($T1144)-N($U1144),2))</f>
        <v/>
      </c>
      <c r="W1144" s="18">
        <f>IF(COUNTA($B1144:$R1144)=0,"",IF(OR($X1144="Pago",$X1144="Recebido",$X1144="Cancelado"),0,ROUND(N($Q1144)+N($S1144)+N($T1144)-N($U1144)-N($R1144),2)))</f>
        <v/>
      </c>
      <c r="X1144" s="14" t="n"/>
      <c r="Y1144" s="17">
        <f>IF(COUNTA($B1144:$R1144)=0,"",IF($X1144="Cancelado","Cancelado",IF(OR($X1144="Pago",$X1144="Recebido"),$X1144,IF(OR($X1144="Parcial",N($R1144)&gt;0),"Parcial",IF($C1144="","Sem vencimento",IF($C1144&lt;TODAY(),"Vencido",IF($C1144=TODAY(),"Vence hoje",IF($C1144&lt;=TODAY()+7,"Vence em 7 dias",IF($C1144&lt;=TODAY()+30,"Vence em 30 dias","Futuro")))))))))</f>
        <v/>
      </c>
      <c r="Z1144" s="24">
        <f>IF($B1144="","",MONTH($B1144))</f>
        <v/>
      </c>
      <c r="AA1144" s="24">
        <f>IF($B1144="","",YEAR($B1144))</f>
        <v/>
      </c>
      <c r="AB1144" s="24">
        <f>IF($B1144="","",ISOWEEKNUM($B1144))</f>
        <v/>
      </c>
      <c r="AC1144" s="17">
        <f>IF($B1144="","",CHOOSE(WEEKDAY($B1144,2),"Segunda","Terça","Quarta","Quinta","Sexta","Sábado","Domingo"))</f>
        <v/>
      </c>
      <c r="AD1144" s="17">
        <f>IF($B1144="","",TEXT($B1144,"MM/AAAA"))</f>
        <v/>
      </c>
      <c r="AE1144" s="18">
        <f>IF(COUNTA($B1144:$R1144)=0,"",IF($X1144="Cancelado",0,ROUND(N($Q1144)+N($S1144)+N($T1144)-N($U1144),2)))</f>
        <v/>
      </c>
      <c r="AF1144" s="9">
        <f>IF($G1144="","",IFERROR(INDEX(LINHAS_DRE_PLANO,MATCH($G1144,SUBCATEGORIAS_PLANO,0)),"Não classificado"))</f>
        <v/>
      </c>
      <c r="AG1144" s="17">
        <f>IF($G1144="","",IFERROR(INDEX(TIPOS_FLUXO_PLANO,MATCH($G1144,SUBCATEGORIAS_PLANO,0)),"Não classificado"))</f>
        <v/>
      </c>
      <c r="AH1144" s="9">
        <f>IF($G1144="","",IFERROR(INDEX(GRUPOS_PLANO,MATCH($G1144,SUBCATEGORIAS_PLANO,0)),"Não classificado"))</f>
        <v/>
      </c>
      <c r="AI1144" s="24">
        <f>IF(OR($C1144="",$X1144="Pago",$X1144="Recebido",$X1144="Cancelado"),"",$C1144-TODAY())</f>
        <v/>
      </c>
      <c r="AJ1144" s="24">
        <f>IF(OR($C1144="",$X1144="Pago",$X1144="Recebido",$X1144="Cancelado"),0,MAX(0,TODAY()-$C1144))</f>
        <v/>
      </c>
      <c r="AK1144" s="24">
        <f>IF($D1144="","",$D1144-$B1144)</f>
        <v/>
      </c>
      <c r="AL1144" s="18">
        <f>IF(OR($D1144="",$B1144=""),"",ROUND(N($R1144)*($D1144-$B1144),2))</f>
        <v/>
      </c>
      <c r="AM1144" s="17">
        <f>IF(AND($E1144="Saída",$W1144&gt;0,$C1144&lt;&gt;""),$C1144+ROW()/1000000,"")</f>
        <v/>
      </c>
      <c r="AN1144" s="17">
        <f>IF(AND($E1144="Entrada",$W1144&gt;0,$C1144&lt;&gt;""),$C1144+ROW()/1000000,"")</f>
        <v/>
      </c>
      <c r="AO1144" s="9">
        <f>IF(COUNTA($B1144:$R1144)=0,"",IF(AND($I1144&lt;&gt;"",COUNTIF(CLIENTES_NOMES,$I1144)+COUNTIF(CLIENTES_FANTASIA,$I1144)+COUNTIF(FORNECEDORES_NOMES,$I1144)+COUNTIF(FORNECEDORES_FANTASIA,$I1144)=0),"⚠ Cliente/Fornecedor não cadastrado",IF(AND($G1144&lt;&gt;"",COUNTIF(SUBCATEGORIAS_PLANO,$G1144)=0),"⚠ Subcategoria fora do plano de contas",IF(OR($Q1144="",N($Q1144)=0),"⚠ Valor previsto não informado",IF(AND(OR($X1144="Pago",$X1144="Recebido"),$D1144=""),"⚠ Status pago/recebido sem data",IF(AND($D1144&lt;&gt;"",N($R1144)=0),"⚠ Data de pagamento sem valor realizado",IF(AND(N($P1144)&gt;1,N($O1144)&gt;N($P1144)),"⚠ Nº da parcela maior que o total",IF(AND($C1144&lt;&gt;"",$B1144&lt;&gt;"",$C1144&lt;$B1144),"⚠ Vencimento anterior à competência","OK"))))))))</f>
        <v/>
      </c>
    </row>
    <row r="1145">
      <c r="A1145" s="14" t="n"/>
      <c r="B1145" s="36" t="n"/>
      <c r="C1145" s="36" t="n"/>
      <c r="D1145" s="36" t="n"/>
      <c r="E1145" s="14" t="n"/>
      <c r="F1145" s="29" t="n"/>
      <c r="G1145" s="29" t="n"/>
      <c r="H1145" s="29" t="n"/>
      <c r="I1145" s="29" t="n"/>
      <c r="J1145" s="29" t="n"/>
      <c r="K1145" s="14" t="n"/>
      <c r="L1145" s="29" t="n"/>
      <c r="M1145" s="14" t="n"/>
      <c r="N1145" s="29" t="n"/>
      <c r="O1145" s="13" t="n"/>
      <c r="P1145" s="13" t="n"/>
      <c r="Q1145" s="35" t="n"/>
      <c r="R1145" s="35" t="n"/>
      <c r="S1145" s="35" t="n"/>
      <c r="T1145" s="35" t="n"/>
      <c r="U1145" s="35" t="n"/>
      <c r="V1145" s="18">
        <f>IF(COUNTA($B1145:$R1145)=0,"",ROUND(N($R1145)+N($S1145)+N($T1145)-N($U1145),2))</f>
        <v/>
      </c>
      <c r="W1145" s="18">
        <f>IF(COUNTA($B1145:$R1145)=0,"",IF(OR($X1145="Pago",$X1145="Recebido",$X1145="Cancelado"),0,ROUND(N($Q1145)+N($S1145)+N($T1145)-N($U1145)-N($R1145),2)))</f>
        <v/>
      </c>
      <c r="X1145" s="14" t="n"/>
      <c r="Y1145" s="17">
        <f>IF(COUNTA($B1145:$R1145)=0,"",IF($X1145="Cancelado","Cancelado",IF(OR($X1145="Pago",$X1145="Recebido"),$X1145,IF(OR($X1145="Parcial",N($R1145)&gt;0),"Parcial",IF($C1145="","Sem vencimento",IF($C1145&lt;TODAY(),"Vencido",IF($C1145=TODAY(),"Vence hoje",IF($C1145&lt;=TODAY()+7,"Vence em 7 dias",IF($C1145&lt;=TODAY()+30,"Vence em 30 dias","Futuro")))))))))</f>
        <v/>
      </c>
      <c r="Z1145" s="24">
        <f>IF($B1145="","",MONTH($B1145))</f>
        <v/>
      </c>
      <c r="AA1145" s="24">
        <f>IF($B1145="","",YEAR($B1145))</f>
        <v/>
      </c>
      <c r="AB1145" s="24">
        <f>IF($B1145="","",ISOWEEKNUM($B1145))</f>
        <v/>
      </c>
      <c r="AC1145" s="17">
        <f>IF($B1145="","",CHOOSE(WEEKDAY($B1145,2),"Segunda","Terça","Quarta","Quinta","Sexta","Sábado","Domingo"))</f>
        <v/>
      </c>
      <c r="AD1145" s="17">
        <f>IF($B1145="","",TEXT($B1145,"MM/AAAA"))</f>
        <v/>
      </c>
      <c r="AE1145" s="18">
        <f>IF(COUNTA($B1145:$R1145)=0,"",IF($X1145="Cancelado",0,ROUND(N($Q1145)+N($S1145)+N($T1145)-N($U1145),2)))</f>
        <v/>
      </c>
      <c r="AF1145" s="9">
        <f>IF($G1145="","",IFERROR(INDEX(LINHAS_DRE_PLANO,MATCH($G1145,SUBCATEGORIAS_PLANO,0)),"Não classificado"))</f>
        <v/>
      </c>
      <c r="AG1145" s="17">
        <f>IF($G1145="","",IFERROR(INDEX(TIPOS_FLUXO_PLANO,MATCH($G1145,SUBCATEGORIAS_PLANO,0)),"Não classificado"))</f>
        <v/>
      </c>
      <c r="AH1145" s="9">
        <f>IF($G1145="","",IFERROR(INDEX(GRUPOS_PLANO,MATCH($G1145,SUBCATEGORIAS_PLANO,0)),"Não classificado"))</f>
        <v/>
      </c>
      <c r="AI1145" s="24">
        <f>IF(OR($C1145="",$X1145="Pago",$X1145="Recebido",$X1145="Cancelado"),"",$C1145-TODAY())</f>
        <v/>
      </c>
      <c r="AJ1145" s="24">
        <f>IF(OR($C1145="",$X1145="Pago",$X1145="Recebido",$X1145="Cancelado"),0,MAX(0,TODAY()-$C1145))</f>
        <v/>
      </c>
      <c r="AK1145" s="24">
        <f>IF($D1145="","",$D1145-$B1145)</f>
        <v/>
      </c>
      <c r="AL1145" s="18">
        <f>IF(OR($D1145="",$B1145=""),"",ROUND(N($R1145)*($D1145-$B1145),2))</f>
        <v/>
      </c>
      <c r="AM1145" s="17">
        <f>IF(AND($E1145="Saída",$W1145&gt;0,$C1145&lt;&gt;""),$C1145+ROW()/1000000,"")</f>
        <v/>
      </c>
      <c r="AN1145" s="17">
        <f>IF(AND($E1145="Entrada",$W1145&gt;0,$C1145&lt;&gt;""),$C1145+ROW()/1000000,"")</f>
        <v/>
      </c>
      <c r="AO1145" s="9">
        <f>IF(COUNTA($B1145:$R1145)=0,"",IF(AND($I1145&lt;&gt;"",COUNTIF(CLIENTES_NOMES,$I1145)+COUNTIF(CLIENTES_FANTASIA,$I1145)+COUNTIF(FORNECEDORES_NOMES,$I1145)+COUNTIF(FORNECEDORES_FANTASIA,$I1145)=0),"⚠ Cliente/Fornecedor não cadastrado",IF(AND($G1145&lt;&gt;"",COUNTIF(SUBCATEGORIAS_PLANO,$G1145)=0),"⚠ Subcategoria fora do plano de contas",IF(OR($Q1145="",N($Q1145)=0),"⚠ Valor previsto não informado",IF(AND(OR($X1145="Pago",$X1145="Recebido"),$D1145=""),"⚠ Status pago/recebido sem data",IF(AND($D1145&lt;&gt;"",N($R1145)=0),"⚠ Data de pagamento sem valor realizado",IF(AND(N($P1145)&gt;1,N($O1145)&gt;N($P1145)),"⚠ Nº da parcela maior que o total",IF(AND($C1145&lt;&gt;"",$B1145&lt;&gt;"",$C1145&lt;$B1145),"⚠ Vencimento anterior à competência","OK"))))))))</f>
        <v/>
      </c>
    </row>
    <row r="1146">
      <c r="A1146" s="14" t="n"/>
      <c r="B1146" s="36" t="n"/>
      <c r="C1146" s="36" t="n"/>
      <c r="D1146" s="36" t="n"/>
      <c r="E1146" s="14" t="n"/>
      <c r="F1146" s="29" t="n"/>
      <c r="G1146" s="29" t="n"/>
      <c r="H1146" s="29" t="n"/>
      <c r="I1146" s="29" t="n"/>
      <c r="J1146" s="29" t="n"/>
      <c r="K1146" s="14" t="n"/>
      <c r="L1146" s="29" t="n"/>
      <c r="M1146" s="14" t="n"/>
      <c r="N1146" s="29" t="n"/>
      <c r="O1146" s="13" t="n"/>
      <c r="P1146" s="13" t="n"/>
      <c r="Q1146" s="35" t="n"/>
      <c r="R1146" s="35" t="n"/>
      <c r="S1146" s="35" t="n"/>
      <c r="T1146" s="35" t="n"/>
      <c r="U1146" s="35" t="n"/>
      <c r="V1146" s="18">
        <f>IF(COUNTA($B1146:$R1146)=0,"",ROUND(N($R1146)+N($S1146)+N($T1146)-N($U1146),2))</f>
        <v/>
      </c>
      <c r="W1146" s="18">
        <f>IF(COUNTA($B1146:$R1146)=0,"",IF(OR($X1146="Pago",$X1146="Recebido",$X1146="Cancelado"),0,ROUND(N($Q1146)+N($S1146)+N($T1146)-N($U1146)-N($R1146),2)))</f>
        <v/>
      </c>
      <c r="X1146" s="14" t="n"/>
      <c r="Y1146" s="17">
        <f>IF(COUNTA($B1146:$R1146)=0,"",IF($X1146="Cancelado","Cancelado",IF(OR($X1146="Pago",$X1146="Recebido"),$X1146,IF(OR($X1146="Parcial",N($R1146)&gt;0),"Parcial",IF($C1146="","Sem vencimento",IF($C1146&lt;TODAY(),"Vencido",IF($C1146=TODAY(),"Vence hoje",IF($C1146&lt;=TODAY()+7,"Vence em 7 dias",IF($C1146&lt;=TODAY()+30,"Vence em 30 dias","Futuro")))))))))</f>
        <v/>
      </c>
      <c r="Z1146" s="24">
        <f>IF($B1146="","",MONTH($B1146))</f>
        <v/>
      </c>
      <c r="AA1146" s="24">
        <f>IF($B1146="","",YEAR($B1146))</f>
        <v/>
      </c>
      <c r="AB1146" s="24">
        <f>IF($B1146="","",ISOWEEKNUM($B1146))</f>
        <v/>
      </c>
      <c r="AC1146" s="17">
        <f>IF($B1146="","",CHOOSE(WEEKDAY($B1146,2),"Segunda","Terça","Quarta","Quinta","Sexta","Sábado","Domingo"))</f>
        <v/>
      </c>
      <c r="AD1146" s="17">
        <f>IF($B1146="","",TEXT($B1146,"MM/AAAA"))</f>
        <v/>
      </c>
      <c r="AE1146" s="18">
        <f>IF(COUNTA($B1146:$R1146)=0,"",IF($X1146="Cancelado",0,ROUND(N($Q1146)+N($S1146)+N($T1146)-N($U1146),2)))</f>
        <v/>
      </c>
      <c r="AF1146" s="9">
        <f>IF($G1146="","",IFERROR(INDEX(LINHAS_DRE_PLANO,MATCH($G1146,SUBCATEGORIAS_PLANO,0)),"Não classificado"))</f>
        <v/>
      </c>
      <c r="AG1146" s="17">
        <f>IF($G1146="","",IFERROR(INDEX(TIPOS_FLUXO_PLANO,MATCH($G1146,SUBCATEGORIAS_PLANO,0)),"Não classificado"))</f>
        <v/>
      </c>
      <c r="AH1146" s="9">
        <f>IF($G1146="","",IFERROR(INDEX(GRUPOS_PLANO,MATCH($G1146,SUBCATEGORIAS_PLANO,0)),"Não classificado"))</f>
        <v/>
      </c>
      <c r="AI1146" s="24">
        <f>IF(OR($C1146="",$X1146="Pago",$X1146="Recebido",$X1146="Cancelado"),"",$C1146-TODAY())</f>
        <v/>
      </c>
      <c r="AJ1146" s="24">
        <f>IF(OR($C1146="",$X1146="Pago",$X1146="Recebido",$X1146="Cancelado"),0,MAX(0,TODAY()-$C1146))</f>
        <v/>
      </c>
      <c r="AK1146" s="24">
        <f>IF($D1146="","",$D1146-$B1146)</f>
        <v/>
      </c>
      <c r="AL1146" s="18">
        <f>IF(OR($D1146="",$B1146=""),"",ROUND(N($R1146)*($D1146-$B1146),2))</f>
        <v/>
      </c>
      <c r="AM1146" s="17">
        <f>IF(AND($E1146="Saída",$W1146&gt;0,$C1146&lt;&gt;""),$C1146+ROW()/1000000,"")</f>
        <v/>
      </c>
      <c r="AN1146" s="17">
        <f>IF(AND($E1146="Entrada",$W1146&gt;0,$C1146&lt;&gt;""),$C1146+ROW()/1000000,"")</f>
        <v/>
      </c>
      <c r="AO1146" s="9">
        <f>IF(COUNTA($B1146:$R1146)=0,"",IF(AND($I1146&lt;&gt;"",COUNTIF(CLIENTES_NOMES,$I1146)+COUNTIF(CLIENTES_FANTASIA,$I1146)+COUNTIF(FORNECEDORES_NOMES,$I1146)+COUNTIF(FORNECEDORES_FANTASIA,$I1146)=0),"⚠ Cliente/Fornecedor não cadastrado",IF(AND($G1146&lt;&gt;"",COUNTIF(SUBCATEGORIAS_PLANO,$G1146)=0),"⚠ Subcategoria fora do plano de contas",IF(OR($Q1146="",N($Q1146)=0),"⚠ Valor previsto não informado",IF(AND(OR($X1146="Pago",$X1146="Recebido"),$D1146=""),"⚠ Status pago/recebido sem data",IF(AND($D1146&lt;&gt;"",N($R1146)=0),"⚠ Data de pagamento sem valor realizado",IF(AND(N($P1146)&gt;1,N($O1146)&gt;N($P1146)),"⚠ Nº da parcela maior que o total",IF(AND($C1146&lt;&gt;"",$B1146&lt;&gt;"",$C1146&lt;$B1146),"⚠ Vencimento anterior à competência","OK"))))))))</f>
        <v/>
      </c>
    </row>
    <row r="1147">
      <c r="A1147" s="14" t="n"/>
      <c r="B1147" s="36" t="n"/>
      <c r="C1147" s="36" t="n"/>
      <c r="D1147" s="36" t="n"/>
      <c r="E1147" s="14" t="n"/>
      <c r="F1147" s="29" t="n"/>
      <c r="G1147" s="29" t="n"/>
      <c r="H1147" s="29" t="n"/>
      <c r="I1147" s="29" t="n"/>
      <c r="J1147" s="29" t="n"/>
      <c r="K1147" s="14" t="n"/>
      <c r="L1147" s="29" t="n"/>
      <c r="M1147" s="14" t="n"/>
      <c r="N1147" s="29" t="n"/>
      <c r="O1147" s="13" t="n"/>
      <c r="P1147" s="13" t="n"/>
      <c r="Q1147" s="35" t="n"/>
      <c r="R1147" s="35" t="n"/>
      <c r="S1147" s="35" t="n"/>
      <c r="T1147" s="35" t="n"/>
      <c r="U1147" s="35" t="n"/>
      <c r="V1147" s="18">
        <f>IF(COUNTA($B1147:$R1147)=0,"",ROUND(N($R1147)+N($S1147)+N($T1147)-N($U1147),2))</f>
        <v/>
      </c>
      <c r="W1147" s="18">
        <f>IF(COUNTA($B1147:$R1147)=0,"",IF(OR($X1147="Pago",$X1147="Recebido",$X1147="Cancelado"),0,ROUND(N($Q1147)+N($S1147)+N($T1147)-N($U1147)-N($R1147),2)))</f>
        <v/>
      </c>
      <c r="X1147" s="14" t="n"/>
      <c r="Y1147" s="17">
        <f>IF(COUNTA($B1147:$R1147)=0,"",IF($X1147="Cancelado","Cancelado",IF(OR($X1147="Pago",$X1147="Recebido"),$X1147,IF(OR($X1147="Parcial",N($R1147)&gt;0),"Parcial",IF($C1147="","Sem vencimento",IF($C1147&lt;TODAY(),"Vencido",IF($C1147=TODAY(),"Vence hoje",IF($C1147&lt;=TODAY()+7,"Vence em 7 dias",IF($C1147&lt;=TODAY()+30,"Vence em 30 dias","Futuro")))))))))</f>
        <v/>
      </c>
      <c r="Z1147" s="24">
        <f>IF($B1147="","",MONTH($B1147))</f>
        <v/>
      </c>
      <c r="AA1147" s="24">
        <f>IF($B1147="","",YEAR($B1147))</f>
        <v/>
      </c>
      <c r="AB1147" s="24">
        <f>IF($B1147="","",ISOWEEKNUM($B1147))</f>
        <v/>
      </c>
      <c r="AC1147" s="17">
        <f>IF($B1147="","",CHOOSE(WEEKDAY($B1147,2),"Segunda","Terça","Quarta","Quinta","Sexta","Sábado","Domingo"))</f>
        <v/>
      </c>
      <c r="AD1147" s="17">
        <f>IF($B1147="","",TEXT($B1147,"MM/AAAA"))</f>
        <v/>
      </c>
      <c r="AE1147" s="18">
        <f>IF(COUNTA($B1147:$R1147)=0,"",IF($X1147="Cancelado",0,ROUND(N($Q1147)+N($S1147)+N($T1147)-N($U1147),2)))</f>
        <v/>
      </c>
      <c r="AF1147" s="9">
        <f>IF($G1147="","",IFERROR(INDEX(LINHAS_DRE_PLANO,MATCH($G1147,SUBCATEGORIAS_PLANO,0)),"Não classificado"))</f>
        <v/>
      </c>
      <c r="AG1147" s="17">
        <f>IF($G1147="","",IFERROR(INDEX(TIPOS_FLUXO_PLANO,MATCH($G1147,SUBCATEGORIAS_PLANO,0)),"Não classificado"))</f>
        <v/>
      </c>
      <c r="AH1147" s="9">
        <f>IF($G1147="","",IFERROR(INDEX(GRUPOS_PLANO,MATCH($G1147,SUBCATEGORIAS_PLANO,0)),"Não classificado"))</f>
        <v/>
      </c>
      <c r="AI1147" s="24">
        <f>IF(OR($C1147="",$X1147="Pago",$X1147="Recebido",$X1147="Cancelado"),"",$C1147-TODAY())</f>
        <v/>
      </c>
      <c r="AJ1147" s="24">
        <f>IF(OR($C1147="",$X1147="Pago",$X1147="Recebido",$X1147="Cancelado"),0,MAX(0,TODAY()-$C1147))</f>
        <v/>
      </c>
      <c r="AK1147" s="24">
        <f>IF($D1147="","",$D1147-$B1147)</f>
        <v/>
      </c>
      <c r="AL1147" s="18">
        <f>IF(OR($D1147="",$B1147=""),"",ROUND(N($R1147)*($D1147-$B1147),2))</f>
        <v/>
      </c>
      <c r="AM1147" s="17">
        <f>IF(AND($E1147="Saída",$W1147&gt;0,$C1147&lt;&gt;""),$C1147+ROW()/1000000,"")</f>
        <v/>
      </c>
      <c r="AN1147" s="17">
        <f>IF(AND($E1147="Entrada",$W1147&gt;0,$C1147&lt;&gt;""),$C1147+ROW()/1000000,"")</f>
        <v/>
      </c>
      <c r="AO1147" s="9">
        <f>IF(COUNTA($B1147:$R1147)=0,"",IF(AND($I1147&lt;&gt;"",COUNTIF(CLIENTES_NOMES,$I1147)+COUNTIF(CLIENTES_FANTASIA,$I1147)+COUNTIF(FORNECEDORES_NOMES,$I1147)+COUNTIF(FORNECEDORES_FANTASIA,$I1147)=0),"⚠ Cliente/Fornecedor não cadastrado",IF(AND($G1147&lt;&gt;"",COUNTIF(SUBCATEGORIAS_PLANO,$G1147)=0),"⚠ Subcategoria fora do plano de contas",IF(OR($Q1147="",N($Q1147)=0),"⚠ Valor previsto não informado",IF(AND(OR($X1147="Pago",$X1147="Recebido"),$D1147=""),"⚠ Status pago/recebido sem data",IF(AND($D1147&lt;&gt;"",N($R1147)=0),"⚠ Data de pagamento sem valor realizado",IF(AND(N($P1147)&gt;1,N($O1147)&gt;N($P1147)),"⚠ Nº da parcela maior que o total",IF(AND($C1147&lt;&gt;"",$B1147&lt;&gt;"",$C1147&lt;$B1147),"⚠ Vencimento anterior à competência","OK"))))))))</f>
        <v/>
      </c>
    </row>
    <row r="1148">
      <c r="A1148" s="14" t="n"/>
      <c r="B1148" s="36" t="n"/>
      <c r="C1148" s="36" t="n"/>
      <c r="D1148" s="36" t="n"/>
      <c r="E1148" s="14" t="n"/>
      <c r="F1148" s="29" t="n"/>
      <c r="G1148" s="29" t="n"/>
      <c r="H1148" s="29" t="n"/>
      <c r="I1148" s="29" t="n"/>
      <c r="J1148" s="29" t="n"/>
      <c r="K1148" s="14" t="n"/>
      <c r="L1148" s="29" t="n"/>
      <c r="M1148" s="14" t="n"/>
      <c r="N1148" s="29" t="n"/>
      <c r="O1148" s="13" t="n"/>
      <c r="P1148" s="13" t="n"/>
      <c r="Q1148" s="35" t="n"/>
      <c r="R1148" s="35" t="n"/>
      <c r="S1148" s="35" t="n"/>
      <c r="T1148" s="35" t="n"/>
      <c r="U1148" s="35" t="n"/>
      <c r="V1148" s="18">
        <f>IF(COUNTA($B1148:$R1148)=0,"",ROUND(N($R1148)+N($S1148)+N($T1148)-N($U1148),2))</f>
        <v/>
      </c>
      <c r="W1148" s="18">
        <f>IF(COUNTA($B1148:$R1148)=0,"",IF(OR($X1148="Pago",$X1148="Recebido",$X1148="Cancelado"),0,ROUND(N($Q1148)+N($S1148)+N($T1148)-N($U1148)-N($R1148),2)))</f>
        <v/>
      </c>
      <c r="X1148" s="14" t="n"/>
      <c r="Y1148" s="17">
        <f>IF(COUNTA($B1148:$R1148)=0,"",IF($X1148="Cancelado","Cancelado",IF(OR($X1148="Pago",$X1148="Recebido"),$X1148,IF(OR($X1148="Parcial",N($R1148)&gt;0),"Parcial",IF($C1148="","Sem vencimento",IF($C1148&lt;TODAY(),"Vencido",IF($C1148=TODAY(),"Vence hoje",IF($C1148&lt;=TODAY()+7,"Vence em 7 dias",IF($C1148&lt;=TODAY()+30,"Vence em 30 dias","Futuro")))))))))</f>
        <v/>
      </c>
      <c r="Z1148" s="24">
        <f>IF($B1148="","",MONTH($B1148))</f>
        <v/>
      </c>
      <c r="AA1148" s="24">
        <f>IF($B1148="","",YEAR($B1148))</f>
        <v/>
      </c>
      <c r="AB1148" s="24">
        <f>IF($B1148="","",ISOWEEKNUM($B1148))</f>
        <v/>
      </c>
      <c r="AC1148" s="17">
        <f>IF($B1148="","",CHOOSE(WEEKDAY($B1148,2),"Segunda","Terça","Quarta","Quinta","Sexta","Sábado","Domingo"))</f>
        <v/>
      </c>
      <c r="AD1148" s="17">
        <f>IF($B1148="","",TEXT($B1148,"MM/AAAA"))</f>
        <v/>
      </c>
      <c r="AE1148" s="18">
        <f>IF(COUNTA($B1148:$R1148)=0,"",IF($X1148="Cancelado",0,ROUND(N($Q1148)+N($S1148)+N($T1148)-N($U1148),2)))</f>
        <v/>
      </c>
      <c r="AF1148" s="9">
        <f>IF($G1148="","",IFERROR(INDEX(LINHAS_DRE_PLANO,MATCH($G1148,SUBCATEGORIAS_PLANO,0)),"Não classificado"))</f>
        <v/>
      </c>
      <c r="AG1148" s="17">
        <f>IF($G1148="","",IFERROR(INDEX(TIPOS_FLUXO_PLANO,MATCH($G1148,SUBCATEGORIAS_PLANO,0)),"Não classificado"))</f>
        <v/>
      </c>
      <c r="AH1148" s="9">
        <f>IF($G1148="","",IFERROR(INDEX(GRUPOS_PLANO,MATCH($G1148,SUBCATEGORIAS_PLANO,0)),"Não classificado"))</f>
        <v/>
      </c>
      <c r="AI1148" s="24">
        <f>IF(OR($C1148="",$X1148="Pago",$X1148="Recebido",$X1148="Cancelado"),"",$C1148-TODAY())</f>
        <v/>
      </c>
      <c r="AJ1148" s="24">
        <f>IF(OR($C1148="",$X1148="Pago",$X1148="Recebido",$X1148="Cancelado"),0,MAX(0,TODAY()-$C1148))</f>
        <v/>
      </c>
      <c r="AK1148" s="24">
        <f>IF($D1148="","",$D1148-$B1148)</f>
        <v/>
      </c>
      <c r="AL1148" s="18">
        <f>IF(OR($D1148="",$B1148=""),"",ROUND(N($R1148)*($D1148-$B1148),2))</f>
        <v/>
      </c>
      <c r="AM1148" s="17">
        <f>IF(AND($E1148="Saída",$W1148&gt;0,$C1148&lt;&gt;""),$C1148+ROW()/1000000,"")</f>
        <v/>
      </c>
      <c r="AN1148" s="17">
        <f>IF(AND($E1148="Entrada",$W1148&gt;0,$C1148&lt;&gt;""),$C1148+ROW()/1000000,"")</f>
        <v/>
      </c>
      <c r="AO1148" s="9">
        <f>IF(COUNTA($B1148:$R1148)=0,"",IF(AND($I1148&lt;&gt;"",COUNTIF(CLIENTES_NOMES,$I1148)+COUNTIF(CLIENTES_FANTASIA,$I1148)+COUNTIF(FORNECEDORES_NOMES,$I1148)+COUNTIF(FORNECEDORES_FANTASIA,$I1148)=0),"⚠ Cliente/Fornecedor não cadastrado",IF(AND($G1148&lt;&gt;"",COUNTIF(SUBCATEGORIAS_PLANO,$G1148)=0),"⚠ Subcategoria fora do plano de contas",IF(OR($Q1148="",N($Q1148)=0),"⚠ Valor previsto não informado",IF(AND(OR($X1148="Pago",$X1148="Recebido"),$D1148=""),"⚠ Status pago/recebido sem data",IF(AND($D1148&lt;&gt;"",N($R1148)=0),"⚠ Data de pagamento sem valor realizado",IF(AND(N($P1148)&gt;1,N($O1148)&gt;N($P1148)),"⚠ Nº da parcela maior que o total",IF(AND($C1148&lt;&gt;"",$B1148&lt;&gt;"",$C1148&lt;$B1148),"⚠ Vencimento anterior à competência","OK"))))))))</f>
        <v/>
      </c>
    </row>
    <row r="1149">
      <c r="A1149" s="14" t="n"/>
      <c r="B1149" s="36" t="n"/>
      <c r="C1149" s="36" t="n"/>
      <c r="D1149" s="36" t="n"/>
      <c r="E1149" s="14" t="n"/>
      <c r="F1149" s="29" t="n"/>
      <c r="G1149" s="29" t="n"/>
      <c r="H1149" s="29" t="n"/>
      <c r="I1149" s="29" t="n"/>
      <c r="J1149" s="29" t="n"/>
      <c r="K1149" s="14" t="n"/>
      <c r="L1149" s="29" t="n"/>
      <c r="M1149" s="14" t="n"/>
      <c r="N1149" s="29" t="n"/>
      <c r="O1149" s="13" t="n"/>
      <c r="P1149" s="13" t="n"/>
      <c r="Q1149" s="35" t="n"/>
      <c r="R1149" s="35" t="n"/>
      <c r="S1149" s="35" t="n"/>
      <c r="T1149" s="35" t="n"/>
      <c r="U1149" s="35" t="n"/>
      <c r="V1149" s="18">
        <f>IF(COUNTA($B1149:$R1149)=0,"",ROUND(N($R1149)+N($S1149)+N($T1149)-N($U1149),2))</f>
        <v/>
      </c>
      <c r="W1149" s="18">
        <f>IF(COUNTA($B1149:$R1149)=0,"",IF(OR($X1149="Pago",$X1149="Recebido",$X1149="Cancelado"),0,ROUND(N($Q1149)+N($S1149)+N($T1149)-N($U1149)-N($R1149),2)))</f>
        <v/>
      </c>
      <c r="X1149" s="14" t="n"/>
      <c r="Y1149" s="17">
        <f>IF(COUNTA($B1149:$R1149)=0,"",IF($X1149="Cancelado","Cancelado",IF(OR($X1149="Pago",$X1149="Recebido"),$X1149,IF(OR($X1149="Parcial",N($R1149)&gt;0),"Parcial",IF($C1149="","Sem vencimento",IF($C1149&lt;TODAY(),"Vencido",IF($C1149=TODAY(),"Vence hoje",IF($C1149&lt;=TODAY()+7,"Vence em 7 dias",IF($C1149&lt;=TODAY()+30,"Vence em 30 dias","Futuro")))))))))</f>
        <v/>
      </c>
      <c r="Z1149" s="24">
        <f>IF($B1149="","",MONTH($B1149))</f>
        <v/>
      </c>
      <c r="AA1149" s="24">
        <f>IF($B1149="","",YEAR($B1149))</f>
        <v/>
      </c>
      <c r="AB1149" s="24">
        <f>IF($B1149="","",ISOWEEKNUM($B1149))</f>
        <v/>
      </c>
      <c r="AC1149" s="17">
        <f>IF($B1149="","",CHOOSE(WEEKDAY($B1149,2),"Segunda","Terça","Quarta","Quinta","Sexta","Sábado","Domingo"))</f>
        <v/>
      </c>
      <c r="AD1149" s="17">
        <f>IF($B1149="","",TEXT($B1149,"MM/AAAA"))</f>
        <v/>
      </c>
      <c r="AE1149" s="18">
        <f>IF(COUNTA($B1149:$R1149)=0,"",IF($X1149="Cancelado",0,ROUND(N($Q1149)+N($S1149)+N($T1149)-N($U1149),2)))</f>
        <v/>
      </c>
      <c r="AF1149" s="9">
        <f>IF($G1149="","",IFERROR(INDEX(LINHAS_DRE_PLANO,MATCH($G1149,SUBCATEGORIAS_PLANO,0)),"Não classificado"))</f>
        <v/>
      </c>
      <c r="AG1149" s="17">
        <f>IF($G1149="","",IFERROR(INDEX(TIPOS_FLUXO_PLANO,MATCH($G1149,SUBCATEGORIAS_PLANO,0)),"Não classificado"))</f>
        <v/>
      </c>
      <c r="AH1149" s="9">
        <f>IF($G1149="","",IFERROR(INDEX(GRUPOS_PLANO,MATCH($G1149,SUBCATEGORIAS_PLANO,0)),"Não classificado"))</f>
        <v/>
      </c>
      <c r="AI1149" s="24">
        <f>IF(OR($C1149="",$X1149="Pago",$X1149="Recebido",$X1149="Cancelado"),"",$C1149-TODAY())</f>
        <v/>
      </c>
      <c r="AJ1149" s="24">
        <f>IF(OR($C1149="",$X1149="Pago",$X1149="Recebido",$X1149="Cancelado"),0,MAX(0,TODAY()-$C1149))</f>
        <v/>
      </c>
      <c r="AK1149" s="24">
        <f>IF($D1149="","",$D1149-$B1149)</f>
        <v/>
      </c>
      <c r="AL1149" s="18">
        <f>IF(OR($D1149="",$B1149=""),"",ROUND(N($R1149)*($D1149-$B1149),2))</f>
        <v/>
      </c>
      <c r="AM1149" s="17">
        <f>IF(AND($E1149="Saída",$W1149&gt;0,$C1149&lt;&gt;""),$C1149+ROW()/1000000,"")</f>
        <v/>
      </c>
      <c r="AN1149" s="17">
        <f>IF(AND($E1149="Entrada",$W1149&gt;0,$C1149&lt;&gt;""),$C1149+ROW()/1000000,"")</f>
        <v/>
      </c>
      <c r="AO1149" s="9">
        <f>IF(COUNTA($B1149:$R1149)=0,"",IF(AND($I1149&lt;&gt;"",COUNTIF(CLIENTES_NOMES,$I1149)+COUNTIF(CLIENTES_FANTASIA,$I1149)+COUNTIF(FORNECEDORES_NOMES,$I1149)+COUNTIF(FORNECEDORES_FANTASIA,$I1149)=0),"⚠ Cliente/Fornecedor não cadastrado",IF(AND($G1149&lt;&gt;"",COUNTIF(SUBCATEGORIAS_PLANO,$G1149)=0),"⚠ Subcategoria fora do plano de contas",IF(OR($Q1149="",N($Q1149)=0),"⚠ Valor previsto não informado",IF(AND(OR($X1149="Pago",$X1149="Recebido"),$D1149=""),"⚠ Status pago/recebido sem data",IF(AND($D1149&lt;&gt;"",N($R1149)=0),"⚠ Data de pagamento sem valor realizado",IF(AND(N($P1149)&gt;1,N($O1149)&gt;N($P1149)),"⚠ Nº da parcela maior que o total",IF(AND($C1149&lt;&gt;"",$B1149&lt;&gt;"",$C1149&lt;$B1149),"⚠ Vencimento anterior à competência","OK"))))))))</f>
        <v/>
      </c>
    </row>
    <row r="1150">
      <c r="A1150" s="14" t="n"/>
      <c r="B1150" s="36" t="n"/>
      <c r="C1150" s="36" t="n"/>
      <c r="D1150" s="36" t="n"/>
      <c r="E1150" s="14" t="n"/>
      <c r="F1150" s="29" t="n"/>
      <c r="G1150" s="29" t="n"/>
      <c r="H1150" s="29" t="n"/>
      <c r="I1150" s="29" t="n"/>
      <c r="J1150" s="29" t="n"/>
      <c r="K1150" s="14" t="n"/>
      <c r="L1150" s="29" t="n"/>
      <c r="M1150" s="14" t="n"/>
      <c r="N1150" s="29" t="n"/>
      <c r="O1150" s="13" t="n"/>
      <c r="P1150" s="13" t="n"/>
      <c r="Q1150" s="35" t="n"/>
      <c r="R1150" s="35" t="n"/>
      <c r="S1150" s="35" t="n"/>
      <c r="T1150" s="35" t="n"/>
      <c r="U1150" s="35" t="n"/>
      <c r="V1150" s="18">
        <f>IF(COUNTA($B1150:$R1150)=0,"",ROUND(N($R1150)+N($S1150)+N($T1150)-N($U1150),2))</f>
        <v/>
      </c>
      <c r="W1150" s="18">
        <f>IF(COUNTA($B1150:$R1150)=0,"",IF(OR($X1150="Pago",$X1150="Recebido",$X1150="Cancelado"),0,ROUND(N($Q1150)+N($S1150)+N($T1150)-N($U1150)-N($R1150),2)))</f>
        <v/>
      </c>
      <c r="X1150" s="14" t="n"/>
      <c r="Y1150" s="17">
        <f>IF(COUNTA($B1150:$R1150)=0,"",IF($X1150="Cancelado","Cancelado",IF(OR($X1150="Pago",$X1150="Recebido"),$X1150,IF(OR($X1150="Parcial",N($R1150)&gt;0),"Parcial",IF($C1150="","Sem vencimento",IF($C1150&lt;TODAY(),"Vencido",IF($C1150=TODAY(),"Vence hoje",IF($C1150&lt;=TODAY()+7,"Vence em 7 dias",IF($C1150&lt;=TODAY()+30,"Vence em 30 dias","Futuro")))))))))</f>
        <v/>
      </c>
      <c r="Z1150" s="24">
        <f>IF($B1150="","",MONTH($B1150))</f>
        <v/>
      </c>
      <c r="AA1150" s="24">
        <f>IF($B1150="","",YEAR($B1150))</f>
        <v/>
      </c>
      <c r="AB1150" s="24">
        <f>IF($B1150="","",ISOWEEKNUM($B1150))</f>
        <v/>
      </c>
      <c r="AC1150" s="17">
        <f>IF($B1150="","",CHOOSE(WEEKDAY($B1150,2),"Segunda","Terça","Quarta","Quinta","Sexta","Sábado","Domingo"))</f>
        <v/>
      </c>
      <c r="AD1150" s="17">
        <f>IF($B1150="","",TEXT($B1150,"MM/AAAA"))</f>
        <v/>
      </c>
      <c r="AE1150" s="18">
        <f>IF(COUNTA($B1150:$R1150)=0,"",IF($X1150="Cancelado",0,ROUND(N($Q1150)+N($S1150)+N($T1150)-N($U1150),2)))</f>
        <v/>
      </c>
      <c r="AF1150" s="9">
        <f>IF($G1150="","",IFERROR(INDEX(LINHAS_DRE_PLANO,MATCH($G1150,SUBCATEGORIAS_PLANO,0)),"Não classificado"))</f>
        <v/>
      </c>
      <c r="AG1150" s="17">
        <f>IF($G1150="","",IFERROR(INDEX(TIPOS_FLUXO_PLANO,MATCH($G1150,SUBCATEGORIAS_PLANO,0)),"Não classificado"))</f>
        <v/>
      </c>
      <c r="AH1150" s="9">
        <f>IF($G1150="","",IFERROR(INDEX(GRUPOS_PLANO,MATCH($G1150,SUBCATEGORIAS_PLANO,0)),"Não classificado"))</f>
        <v/>
      </c>
      <c r="AI1150" s="24">
        <f>IF(OR($C1150="",$X1150="Pago",$X1150="Recebido",$X1150="Cancelado"),"",$C1150-TODAY())</f>
        <v/>
      </c>
      <c r="AJ1150" s="24">
        <f>IF(OR($C1150="",$X1150="Pago",$X1150="Recebido",$X1150="Cancelado"),0,MAX(0,TODAY()-$C1150))</f>
        <v/>
      </c>
      <c r="AK1150" s="24">
        <f>IF($D1150="","",$D1150-$B1150)</f>
        <v/>
      </c>
      <c r="AL1150" s="18">
        <f>IF(OR($D1150="",$B1150=""),"",ROUND(N($R1150)*($D1150-$B1150),2))</f>
        <v/>
      </c>
      <c r="AM1150" s="17">
        <f>IF(AND($E1150="Saída",$W1150&gt;0,$C1150&lt;&gt;""),$C1150+ROW()/1000000,"")</f>
        <v/>
      </c>
      <c r="AN1150" s="17">
        <f>IF(AND($E1150="Entrada",$W1150&gt;0,$C1150&lt;&gt;""),$C1150+ROW()/1000000,"")</f>
        <v/>
      </c>
      <c r="AO1150" s="9">
        <f>IF(COUNTA($B1150:$R1150)=0,"",IF(AND($I1150&lt;&gt;"",COUNTIF(CLIENTES_NOMES,$I1150)+COUNTIF(CLIENTES_FANTASIA,$I1150)+COUNTIF(FORNECEDORES_NOMES,$I1150)+COUNTIF(FORNECEDORES_FANTASIA,$I1150)=0),"⚠ Cliente/Fornecedor não cadastrado",IF(AND($G1150&lt;&gt;"",COUNTIF(SUBCATEGORIAS_PLANO,$G1150)=0),"⚠ Subcategoria fora do plano de contas",IF(OR($Q1150="",N($Q1150)=0),"⚠ Valor previsto não informado",IF(AND(OR($X1150="Pago",$X1150="Recebido"),$D1150=""),"⚠ Status pago/recebido sem data",IF(AND($D1150&lt;&gt;"",N($R1150)=0),"⚠ Data de pagamento sem valor realizado",IF(AND(N($P1150)&gt;1,N($O1150)&gt;N($P1150)),"⚠ Nº da parcela maior que o total",IF(AND($C1150&lt;&gt;"",$B1150&lt;&gt;"",$C1150&lt;$B1150),"⚠ Vencimento anterior à competência","OK"))))))))</f>
        <v/>
      </c>
    </row>
    <row r="1151">
      <c r="A1151" s="14" t="n"/>
      <c r="B1151" s="36" t="n"/>
      <c r="C1151" s="36" t="n"/>
      <c r="D1151" s="36" t="n"/>
      <c r="E1151" s="14" t="n"/>
      <c r="F1151" s="29" t="n"/>
      <c r="G1151" s="29" t="n"/>
      <c r="H1151" s="29" t="n"/>
      <c r="I1151" s="29" t="n"/>
      <c r="J1151" s="29" t="n"/>
      <c r="K1151" s="14" t="n"/>
      <c r="L1151" s="29" t="n"/>
      <c r="M1151" s="14" t="n"/>
      <c r="N1151" s="29" t="n"/>
      <c r="O1151" s="13" t="n"/>
      <c r="P1151" s="13" t="n"/>
      <c r="Q1151" s="35" t="n"/>
      <c r="R1151" s="35" t="n"/>
      <c r="S1151" s="35" t="n"/>
      <c r="T1151" s="35" t="n"/>
      <c r="U1151" s="35" t="n"/>
      <c r="V1151" s="18">
        <f>IF(COUNTA($B1151:$R1151)=0,"",ROUND(N($R1151)+N($S1151)+N($T1151)-N($U1151),2))</f>
        <v/>
      </c>
      <c r="W1151" s="18">
        <f>IF(COUNTA($B1151:$R1151)=0,"",IF(OR($X1151="Pago",$X1151="Recebido",$X1151="Cancelado"),0,ROUND(N($Q1151)+N($S1151)+N($T1151)-N($U1151)-N($R1151),2)))</f>
        <v/>
      </c>
      <c r="X1151" s="14" t="n"/>
      <c r="Y1151" s="17">
        <f>IF(COUNTA($B1151:$R1151)=0,"",IF($X1151="Cancelado","Cancelado",IF(OR($X1151="Pago",$X1151="Recebido"),$X1151,IF(OR($X1151="Parcial",N($R1151)&gt;0),"Parcial",IF($C1151="","Sem vencimento",IF($C1151&lt;TODAY(),"Vencido",IF($C1151=TODAY(),"Vence hoje",IF($C1151&lt;=TODAY()+7,"Vence em 7 dias",IF($C1151&lt;=TODAY()+30,"Vence em 30 dias","Futuro")))))))))</f>
        <v/>
      </c>
      <c r="Z1151" s="24">
        <f>IF($B1151="","",MONTH($B1151))</f>
        <v/>
      </c>
      <c r="AA1151" s="24">
        <f>IF($B1151="","",YEAR($B1151))</f>
        <v/>
      </c>
      <c r="AB1151" s="24">
        <f>IF($B1151="","",ISOWEEKNUM($B1151))</f>
        <v/>
      </c>
      <c r="AC1151" s="17">
        <f>IF($B1151="","",CHOOSE(WEEKDAY($B1151,2),"Segunda","Terça","Quarta","Quinta","Sexta","Sábado","Domingo"))</f>
        <v/>
      </c>
      <c r="AD1151" s="17">
        <f>IF($B1151="","",TEXT($B1151,"MM/AAAA"))</f>
        <v/>
      </c>
      <c r="AE1151" s="18">
        <f>IF(COUNTA($B1151:$R1151)=0,"",IF($X1151="Cancelado",0,ROUND(N($Q1151)+N($S1151)+N($T1151)-N($U1151),2)))</f>
        <v/>
      </c>
      <c r="AF1151" s="9">
        <f>IF($G1151="","",IFERROR(INDEX(LINHAS_DRE_PLANO,MATCH($G1151,SUBCATEGORIAS_PLANO,0)),"Não classificado"))</f>
        <v/>
      </c>
      <c r="AG1151" s="17">
        <f>IF($G1151="","",IFERROR(INDEX(TIPOS_FLUXO_PLANO,MATCH($G1151,SUBCATEGORIAS_PLANO,0)),"Não classificado"))</f>
        <v/>
      </c>
      <c r="AH1151" s="9">
        <f>IF($G1151="","",IFERROR(INDEX(GRUPOS_PLANO,MATCH($G1151,SUBCATEGORIAS_PLANO,0)),"Não classificado"))</f>
        <v/>
      </c>
      <c r="AI1151" s="24">
        <f>IF(OR($C1151="",$X1151="Pago",$X1151="Recebido",$X1151="Cancelado"),"",$C1151-TODAY())</f>
        <v/>
      </c>
      <c r="AJ1151" s="24">
        <f>IF(OR($C1151="",$X1151="Pago",$X1151="Recebido",$X1151="Cancelado"),0,MAX(0,TODAY()-$C1151))</f>
        <v/>
      </c>
      <c r="AK1151" s="24">
        <f>IF($D1151="","",$D1151-$B1151)</f>
        <v/>
      </c>
      <c r="AL1151" s="18">
        <f>IF(OR($D1151="",$B1151=""),"",ROUND(N($R1151)*($D1151-$B1151),2))</f>
        <v/>
      </c>
      <c r="AM1151" s="17">
        <f>IF(AND($E1151="Saída",$W1151&gt;0,$C1151&lt;&gt;""),$C1151+ROW()/1000000,"")</f>
        <v/>
      </c>
      <c r="AN1151" s="17">
        <f>IF(AND($E1151="Entrada",$W1151&gt;0,$C1151&lt;&gt;""),$C1151+ROW()/1000000,"")</f>
        <v/>
      </c>
      <c r="AO1151" s="9">
        <f>IF(COUNTA($B1151:$R1151)=0,"",IF(AND($I1151&lt;&gt;"",COUNTIF(CLIENTES_NOMES,$I1151)+COUNTIF(CLIENTES_FANTASIA,$I1151)+COUNTIF(FORNECEDORES_NOMES,$I1151)+COUNTIF(FORNECEDORES_FANTASIA,$I1151)=0),"⚠ Cliente/Fornecedor não cadastrado",IF(AND($G1151&lt;&gt;"",COUNTIF(SUBCATEGORIAS_PLANO,$G1151)=0),"⚠ Subcategoria fora do plano de contas",IF(OR($Q1151="",N($Q1151)=0),"⚠ Valor previsto não informado",IF(AND(OR($X1151="Pago",$X1151="Recebido"),$D1151=""),"⚠ Status pago/recebido sem data",IF(AND($D1151&lt;&gt;"",N($R1151)=0),"⚠ Data de pagamento sem valor realizado",IF(AND(N($P1151)&gt;1,N($O1151)&gt;N($P1151)),"⚠ Nº da parcela maior que o total",IF(AND($C1151&lt;&gt;"",$B1151&lt;&gt;"",$C1151&lt;$B1151),"⚠ Vencimento anterior à competência","OK"))))))))</f>
        <v/>
      </c>
    </row>
    <row r="1152">
      <c r="A1152" s="14" t="n"/>
      <c r="B1152" s="36" t="n"/>
      <c r="C1152" s="36" t="n"/>
      <c r="D1152" s="36" t="n"/>
      <c r="E1152" s="14" t="n"/>
      <c r="F1152" s="29" t="n"/>
      <c r="G1152" s="29" t="n"/>
      <c r="H1152" s="29" t="n"/>
      <c r="I1152" s="29" t="n"/>
      <c r="J1152" s="29" t="n"/>
      <c r="K1152" s="14" t="n"/>
      <c r="L1152" s="29" t="n"/>
      <c r="M1152" s="14" t="n"/>
      <c r="N1152" s="29" t="n"/>
      <c r="O1152" s="13" t="n"/>
      <c r="P1152" s="13" t="n"/>
      <c r="Q1152" s="35" t="n"/>
      <c r="R1152" s="35" t="n"/>
      <c r="S1152" s="35" t="n"/>
      <c r="T1152" s="35" t="n"/>
      <c r="U1152" s="35" t="n"/>
      <c r="V1152" s="18">
        <f>IF(COUNTA($B1152:$R1152)=0,"",ROUND(N($R1152)+N($S1152)+N($T1152)-N($U1152),2))</f>
        <v/>
      </c>
      <c r="W1152" s="18">
        <f>IF(COUNTA($B1152:$R1152)=0,"",IF(OR($X1152="Pago",$X1152="Recebido",$X1152="Cancelado"),0,ROUND(N($Q1152)+N($S1152)+N($T1152)-N($U1152)-N($R1152),2)))</f>
        <v/>
      </c>
      <c r="X1152" s="14" t="n"/>
      <c r="Y1152" s="17">
        <f>IF(COUNTA($B1152:$R1152)=0,"",IF($X1152="Cancelado","Cancelado",IF(OR($X1152="Pago",$X1152="Recebido"),$X1152,IF(OR($X1152="Parcial",N($R1152)&gt;0),"Parcial",IF($C1152="","Sem vencimento",IF($C1152&lt;TODAY(),"Vencido",IF($C1152=TODAY(),"Vence hoje",IF($C1152&lt;=TODAY()+7,"Vence em 7 dias",IF($C1152&lt;=TODAY()+30,"Vence em 30 dias","Futuro")))))))))</f>
        <v/>
      </c>
      <c r="Z1152" s="24">
        <f>IF($B1152="","",MONTH($B1152))</f>
        <v/>
      </c>
      <c r="AA1152" s="24">
        <f>IF($B1152="","",YEAR($B1152))</f>
        <v/>
      </c>
      <c r="AB1152" s="24">
        <f>IF($B1152="","",ISOWEEKNUM($B1152))</f>
        <v/>
      </c>
      <c r="AC1152" s="17">
        <f>IF($B1152="","",CHOOSE(WEEKDAY($B1152,2),"Segunda","Terça","Quarta","Quinta","Sexta","Sábado","Domingo"))</f>
        <v/>
      </c>
      <c r="AD1152" s="17">
        <f>IF($B1152="","",TEXT($B1152,"MM/AAAA"))</f>
        <v/>
      </c>
      <c r="AE1152" s="18">
        <f>IF(COUNTA($B1152:$R1152)=0,"",IF($X1152="Cancelado",0,ROUND(N($Q1152)+N($S1152)+N($T1152)-N($U1152),2)))</f>
        <v/>
      </c>
      <c r="AF1152" s="9">
        <f>IF($G1152="","",IFERROR(INDEX(LINHAS_DRE_PLANO,MATCH($G1152,SUBCATEGORIAS_PLANO,0)),"Não classificado"))</f>
        <v/>
      </c>
      <c r="AG1152" s="17">
        <f>IF($G1152="","",IFERROR(INDEX(TIPOS_FLUXO_PLANO,MATCH($G1152,SUBCATEGORIAS_PLANO,0)),"Não classificado"))</f>
        <v/>
      </c>
      <c r="AH1152" s="9">
        <f>IF($G1152="","",IFERROR(INDEX(GRUPOS_PLANO,MATCH($G1152,SUBCATEGORIAS_PLANO,0)),"Não classificado"))</f>
        <v/>
      </c>
      <c r="AI1152" s="24">
        <f>IF(OR($C1152="",$X1152="Pago",$X1152="Recebido",$X1152="Cancelado"),"",$C1152-TODAY())</f>
        <v/>
      </c>
      <c r="AJ1152" s="24">
        <f>IF(OR($C1152="",$X1152="Pago",$X1152="Recebido",$X1152="Cancelado"),0,MAX(0,TODAY()-$C1152))</f>
        <v/>
      </c>
      <c r="AK1152" s="24">
        <f>IF($D1152="","",$D1152-$B1152)</f>
        <v/>
      </c>
      <c r="AL1152" s="18">
        <f>IF(OR($D1152="",$B1152=""),"",ROUND(N($R1152)*($D1152-$B1152),2))</f>
        <v/>
      </c>
      <c r="AM1152" s="17">
        <f>IF(AND($E1152="Saída",$W1152&gt;0,$C1152&lt;&gt;""),$C1152+ROW()/1000000,"")</f>
        <v/>
      </c>
      <c r="AN1152" s="17">
        <f>IF(AND($E1152="Entrada",$W1152&gt;0,$C1152&lt;&gt;""),$C1152+ROW()/1000000,"")</f>
        <v/>
      </c>
      <c r="AO1152" s="9">
        <f>IF(COUNTA($B1152:$R1152)=0,"",IF(AND($I1152&lt;&gt;"",COUNTIF(CLIENTES_NOMES,$I1152)+COUNTIF(CLIENTES_FANTASIA,$I1152)+COUNTIF(FORNECEDORES_NOMES,$I1152)+COUNTIF(FORNECEDORES_FANTASIA,$I1152)=0),"⚠ Cliente/Fornecedor não cadastrado",IF(AND($G1152&lt;&gt;"",COUNTIF(SUBCATEGORIAS_PLANO,$G1152)=0),"⚠ Subcategoria fora do plano de contas",IF(OR($Q1152="",N($Q1152)=0),"⚠ Valor previsto não informado",IF(AND(OR($X1152="Pago",$X1152="Recebido"),$D1152=""),"⚠ Status pago/recebido sem data",IF(AND($D1152&lt;&gt;"",N($R1152)=0),"⚠ Data de pagamento sem valor realizado",IF(AND(N($P1152)&gt;1,N($O1152)&gt;N($P1152)),"⚠ Nº da parcela maior que o total",IF(AND($C1152&lt;&gt;"",$B1152&lt;&gt;"",$C1152&lt;$B1152),"⚠ Vencimento anterior à competência","OK"))))))))</f>
        <v/>
      </c>
    </row>
    <row r="1153">
      <c r="A1153" s="14" t="n"/>
      <c r="B1153" s="36" t="n"/>
      <c r="C1153" s="36" t="n"/>
      <c r="D1153" s="36" t="n"/>
      <c r="E1153" s="14" t="n"/>
      <c r="F1153" s="29" t="n"/>
      <c r="G1153" s="29" t="n"/>
      <c r="H1153" s="29" t="n"/>
      <c r="I1153" s="29" t="n"/>
      <c r="J1153" s="29" t="n"/>
      <c r="K1153" s="14" t="n"/>
      <c r="L1153" s="29" t="n"/>
      <c r="M1153" s="14" t="n"/>
      <c r="N1153" s="29" t="n"/>
      <c r="O1153" s="13" t="n"/>
      <c r="P1153" s="13" t="n"/>
      <c r="Q1153" s="35" t="n"/>
      <c r="R1153" s="35" t="n"/>
      <c r="S1153" s="35" t="n"/>
      <c r="T1153" s="35" t="n"/>
      <c r="U1153" s="35" t="n"/>
      <c r="V1153" s="18">
        <f>IF(COUNTA($B1153:$R1153)=0,"",ROUND(N($R1153)+N($S1153)+N($T1153)-N($U1153),2))</f>
        <v/>
      </c>
      <c r="W1153" s="18">
        <f>IF(COUNTA($B1153:$R1153)=0,"",IF(OR($X1153="Pago",$X1153="Recebido",$X1153="Cancelado"),0,ROUND(N($Q1153)+N($S1153)+N($T1153)-N($U1153)-N($R1153),2)))</f>
        <v/>
      </c>
      <c r="X1153" s="14" t="n"/>
      <c r="Y1153" s="17">
        <f>IF(COUNTA($B1153:$R1153)=0,"",IF($X1153="Cancelado","Cancelado",IF(OR($X1153="Pago",$X1153="Recebido"),$X1153,IF(OR($X1153="Parcial",N($R1153)&gt;0),"Parcial",IF($C1153="","Sem vencimento",IF($C1153&lt;TODAY(),"Vencido",IF($C1153=TODAY(),"Vence hoje",IF($C1153&lt;=TODAY()+7,"Vence em 7 dias",IF($C1153&lt;=TODAY()+30,"Vence em 30 dias","Futuro")))))))))</f>
        <v/>
      </c>
      <c r="Z1153" s="24">
        <f>IF($B1153="","",MONTH($B1153))</f>
        <v/>
      </c>
      <c r="AA1153" s="24">
        <f>IF($B1153="","",YEAR($B1153))</f>
        <v/>
      </c>
      <c r="AB1153" s="24">
        <f>IF($B1153="","",ISOWEEKNUM($B1153))</f>
        <v/>
      </c>
      <c r="AC1153" s="17">
        <f>IF($B1153="","",CHOOSE(WEEKDAY($B1153,2),"Segunda","Terça","Quarta","Quinta","Sexta","Sábado","Domingo"))</f>
        <v/>
      </c>
      <c r="AD1153" s="17">
        <f>IF($B1153="","",TEXT($B1153,"MM/AAAA"))</f>
        <v/>
      </c>
      <c r="AE1153" s="18">
        <f>IF(COUNTA($B1153:$R1153)=0,"",IF($X1153="Cancelado",0,ROUND(N($Q1153)+N($S1153)+N($T1153)-N($U1153),2)))</f>
        <v/>
      </c>
      <c r="AF1153" s="9">
        <f>IF($G1153="","",IFERROR(INDEX(LINHAS_DRE_PLANO,MATCH($G1153,SUBCATEGORIAS_PLANO,0)),"Não classificado"))</f>
        <v/>
      </c>
      <c r="AG1153" s="17">
        <f>IF($G1153="","",IFERROR(INDEX(TIPOS_FLUXO_PLANO,MATCH($G1153,SUBCATEGORIAS_PLANO,0)),"Não classificado"))</f>
        <v/>
      </c>
      <c r="AH1153" s="9">
        <f>IF($G1153="","",IFERROR(INDEX(GRUPOS_PLANO,MATCH($G1153,SUBCATEGORIAS_PLANO,0)),"Não classificado"))</f>
        <v/>
      </c>
      <c r="AI1153" s="24">
        <f>IF(OR($C1153="",$X1153="Pago",$X1153="Recebido",$X1153="Cancelado"),"",$C1153-TODAY())</f>
        <v/>
      </c>
      <c r="AJ1153" s="24">
        <f>IF(OR($C1153="",$X1153="Pago",$X1153="Recebido",$X1153="Cancelado"),0,MAX(0,TODAY()-$C1153))</f>
        <v/>
      </c>
      <c r="AK1153" s="24">
        <f>IF($D1153="","",$D1153-$B1153)</f>
        <v/>
      </c>
      <c r="AL1153" s="18">
        <f>IF(OR($D1153="",$B1153=""),"",ROUND(N($R1153)*($D1153-$B1153),2))</f>
        <v/>
      </c>
      <c r="AM1153" s="17">
        <f>IF(AND($E1153="Saída",$W1153&gt;0,$C1153&lt;&gt;""),$C1153+ROW()/1000000,"")</f>
        <v/>
      </c>
      <c r="AN1153" s="17">
        <f>IF(AND($E1153="Entrada",$W1153&gt;0,$C1153&lt;&gt;""),$C1153+ROW()/1000000,"")</f>
        <v/>
      </c>
      <c r="AO1153" s="9">
        <f>IF(COUNTA($B1153:$R1153)=0,"",IF(AND($I1153&lt;&gt;"",COUNTIF(CLIENTES_NOMES,$I1153)+COUNTIF(CLIENTES_FANTASIA,$I1153)+COUNTIF(FORNECEDORES_NOMES,$I1153)+COUNTIF(FORNECEDORES_FANTASIA,$I1153)=0),"⚠ Cliente/Fornecedor não cadastrado",IF(AND($G1153&lt;&gt;"",COUNTIF(SUBCATEGORIAS_PLANO,$G1153)=0),"⚠ Subcategoria fora do plano de contas",IF(OR($Q1153="",N($Q1153)=0),"⚠ Valor previsto não informado",IF(AND(OR($X1153="Pago",$X1153="Recebido"),$D1153=""),"⚠ Status pago/recebido sem data",IF(AND($D1153&lt;&gt;"",N($R1153)=0),"⚠ Data de pagamento sem valor realizado",IF(AND(N($P1153)&gt;1,N($O1153)&gt;N($P1153)),"⚠ Nº da parcela maior que o total",IF(AND($C1153&lt;&gt;"",$B1153&lt;&gt;"",$C1153&lt;$B1153),"⚠ Vencimento anterior à competência","OK"))))))))</f>
        <v/>
      </c>
    </row>
    <row r="1154">
      <c r="A1154" s="14" t="n"/>
      <c r="B1154" s="36" t="n"/>
      <c r="C1154" s="36" t="n"/>
      <c r="D1154" s="36" t="n"/>
      <c r="E1154" s="14" t="n"/>
      <c r="F1154" s="29" t="n"/>
      <c r="G1154" s="29" t="n"/>
      <c r="H1154" s="29" t="n"/>
      <c r="I1154" s="29" t="n"/>
      <c r="J1154" s="29" t="n"/>
      <c r="K1154" s="14" t="n"/>
      <c r="L1154" s="29" t="n"/>
      <c r="M1154" s="14" t="n"/>
      <c r="N1154" s="29" t="n"/>
      <c r="O1154" s="13" t="n"/>
      <c r="P1154" s="13" t="n"/>
      <c r="Q1154" s="35" t="n"/>
      <c r="R1154" s="35" t="n"/>
      <c r="S1154" s="35" t="n"/>
      <c r="T1154" s="35" t="n"/>
      <c r="U1154" s="35" t="n"/>
      <c r="V1154" s="18">
        <f>IF(COUNTA($B1154:$R1154)=0,"",ROUND(N($R1154)+N($S1154)+N($T1154)-N($U1154),2))</f>
        <v/>
      </c>
      <c r="W1154" s="18">
        <f>IF(COUNTA($B1154:$R1154)=0,"",IF(OR($X1154="Pago",$X1154="Recebido",$X1154="Cancelado"),0,ROUND(N($Q1154)+N($S1154)+N($T1154)-N($U1154)-N($R1154),2)))</f>
        <v/>
      </c>
      <c r="X1154" s="14" t="n"/>
      <c r="Y1154" s="17">
        <f>IF(COUNTA($B1154:$R1154)=0,"",IF($X1154="Cancelado","Cancelado",IF(OR($X1154="Pago",$X1154="Recebido"),$X1154,IF(OR($X1154="Parcial",N($R1154)&gt;0),"Parcial",IF($C1154="","Sem vencimento",IF($C1154&lt;TODAY(),"Vencido",IF($C1154=TODAY(),"Vence hoje",IF($C1154&lt;=TODAY()+7,"Vence em 7 dias",IF($C1154&lt;=TODAY()+30,"Vence em 30 dias","Futuro")))))))))</f>
        <v/>
      </c>
      <c r="Z1154" s="24">
        <f>IF($B1154="","",MONTH($B1154))</f>
        <v/>
      </c>
      <c r="AA1154" s="24">
        <f>IF($B1154="","",YEAR($B1154))</f>
        <v/>
      </c>
      <c r="AB1154" s="24">
        <f>IF($B1154="","",ISOWEEKNUM($B1154))</f>
        <v/>
      </c>
      <c r="AC1154" s="17">
        <f>IF($B1154="","",CHOOSE(WEEKDAY($B1154,2),"Segunda","Terça","Quarta","Quinta","Sexta","Sábado","Domingo"))</f>
        <v/>
      </c>
      <c r="AD1154" s="17">
        <f>IF($B1154="","",TEXT($B1154,"MM/AAAA"))</f>
        <v/>
      </c>
      <c r="AE1154" s="18">
        <f>IF(COUNTA($B1154:$R1154)=0,"",IF($X1154="Cancelado",0,ROUND(N($Q1154)+N($S1154)+N($T1154)-N($U1154),2)))</f>
        <v/>
      </c>
      <c r="AF1154" s="9">
        <f>IF($G1154="","",IFERROR(INDEX(LINHAS_DRE_PLANO,MATCH($G1154,SUBCATEGORIAS_PLANO,0)),"Não classificado"))</f>
        <v/>
      </c>
      <c r="AG1154" s="17">
        <f>IF($G1154="","",IFERROR(INDEX(TIPOS_FLUXO_PLANO,MATCH($G1154,SUBCATEGORIAS_PLANO,0)),"Não classificado"))</f>
        <v/>
      </c>
      <c r="AH1154" s="9">
        <f>IF($G1154="","",IFERROR(INDEX(GRUPOS_PLANO,MATCH($G1154,SUBCATEGORIAS_PLANO,0)),"Não classificado"))</f>
        <v/>
      </c>
      <c r="AI1154" s="24">
        <f>IF(OR($C1154="",$X1154="Pago",$X1154="Recebido",$X1154="Cancelado"),"",$C1154-TODAY())</f>
        <v/>
      </c>
      <c r="AJ1154" s="24">
        <f>IF(OR($C1154="",$X1154="Pago",$X1154="Recebido",$X1154="Cancelado"),0,MAX(0,TODAY()-$C1154))</f>
        <v/>
      </c>
      <c r="AK1154" s="24">
        <f>IF($D1154="","",$D1154-$B1154)</f>
        <v/>
      </c>
      <c r="AL1154" s="18">
        <f>IF(OR($D1154="",$B1154=""),"",ROUND(N($R1154)*($D1154-$B1154),2))</f>
        <v/>
      </c>
      <c r="AM1154" s="17">
        <f>IF(AND($E1154="Saída",$W1154&gt;0,$C1154&lt;&gt;""),$C1154+ROW()/1000000,"")</f>
        <v/>
      </c>
      <c r="AN1154" s="17">
        <f>IF(AND($E1154="Entrada",$W1154&gt;0,$C1154&lt;&gt;""),$C1154+ROW()/1000000,"")</f>
        <v/>
      </c>
      <c r="AO1154" s="9">
        <f>IF(COUNTA($B1154:$R1154)=0,"",IF(AND($I1154&lt;&gt;"",COUNTIF(CLIENTES_NOMES,$I1154)+COUNTIF(CLIENTES_FANTASIA,$I1154)+COUNTIF(FORNECEDORES_NOMES,$I1154)+COUNTIF(FORNECEDORES_FANTASIA,$I1154)=0),"⚠ Cliente/Fornecedor não cadastrado",IF(AND($G1154&lt;&gt;"",COUNTIF(SUBCATEGORIAS_PLANO,$G1154)=0),"⚠ Subcategoria fora do plano de contas",IF(OR($Q1154="",N($Q1154)=0),"⚠ Valor previsto não informado",IF(AND(OR($X1154="Pago",$X1154="Recebido"),$D1154=""),"⚠ Status pago/recebido sem data",IF(AND($D1154&lt;&gt;"",N($R1154)=0),"⚠ Data de pagamento sem valor realizado",IF(AND(N($P1154)&gt;1,N($O1154)&gt;N($P1154)),"⚠ Nº da parcela maior que o total",IF(AND($C1154&lt;&gt;"",$B1154&lt;&gt;"",$C1154&lt;$B1154),"⚠ Vencimento anterior à competência","OK"))))))))</f>
        <v/>
      </c>
    </row>
    <row r="1155">
      <c r="A1155" s="14" t="n"/>
      <c r="B1155" s="36" t="n"/>
      <c r="C1155" s="36" t="n"/>
      <c r="D1155" s="36" t="n"/>
      <c r="E1155" s="14" t="n"/>
      <c r="F1155" s="29" t="n"/>
      <c r="G1155" s="29" t="n"/>
      <c r="H1155" s="29" t="n"/>
      <c r="I1155" s="29" t="n"/>
      <c r="J1155" s="29" t="n"/>
      <c r="K1155" s="14" t="n"/>
      <c r="L1155" s="29" t="n"/>
      <c r="M1155" s="14" t="n"/>
      <c r="N1155" s="29" t="n"/>
      <c r="O1155" s="13" t="n"/>
      <c r="P1155" s="13" t="n"/>
      <c r="Q1155" s="35" t="n"/>
      <c r="R1155" s="35" t="n"/>
      <c r="S1155" s="35" t="n"/>
      <c r="T1155" s="35" t="n"/>
      <c r="U1155" s="35" t="n"/>
      <c r="V1155" s="18">
        <f>IF(COUNTA($B1155:$R1155)=0,"",ROUND(N($R1155)+N($S1155)+N($T1155)-N($U1155),2))</f>
        <v/>
      </c>
      <c r="W1155" s="18">
        <f>IF(COUNTA($B1155:$R1155)=0,"",IF(OR($X1155="Pago",$X1155="Recebido",$X1155="Cancelado"),0,ROUND(N($Q1155)+N($S1155)+N($T1155)-N($U1155)-N($R1155),2)))</f>
        <v/>
      </c>
      <c r="X1155" s="14" t="n"/>
      <c r="Y1155" s="17">
        <f>IF(COUNTA($B1155:$R1155)=0,"",IF($X1155="Cancelado","Cancelado",IF(OR($X1155="Pago",$X1155="Recebido"),$X1155,IF(OR($X1155="Parcial",N($R1155)&gt;0),"Parcial",IF($C1155="","Sem vencimento",IF($C1155&lt;TODAY(),"Vencido",IF($C1155=TODAY(),"Vence hoje",IF($C1155&lt;=TODAY()+7,"Vence em 7 dias",IF($C1155&lt;=TODAY()+30,"Vence em 30 dias","Futuro")))))))))</f>
        <v/>
      </c>
      <c r="Z1155" s="24">
        <f>IF($B1155="","",MONTH($B1155))</f>
        <v/>
      </c>
      <c r="AA1155" s="24">
        <f>IF($B1155="","",YEAR($B1155))</f>
        <v/>
      </c>
      <c r="AB1155" s="24">
        <f>IF($B1155="","",ISOWEEKNUM($B1155))</f>
        <v/>
      </c>
      <c r="AC1155" s="17">
        <f>IF($B1155="","",CHOOSE(WEEKDAY($B1155,2),"Segunda","Terça","Quarta","Quinta","Sexta","Sábado","Domingo"))</f>
        <v/>
      </c>
      <c r="AD1155" s="17">
        <f>IF($B1155="","",TEXT($B1155,"MM/AAAA"))</f>
        <v/>
      </c>
      <c r="AE1155" s="18">
        <f>IF(COUNTA($B1155:$R1155)=0,"",IF($X1155="Cancelado",0,ROUND(N($Q1155)+N($S1155)+N($T1155)-N($U1155),2)))</f>
        <v/>
      </c>
      <c r="AF1155" s="9">
        <f>IF($G1155="","",IFERROR(INDEX(LINHAS_DRE_PLANO,MATCH($G1155,SUBCATEGORIAS_PLANO,0)),"Não classificado"))</f>
        <v/>
      </c>
      <c r="AG1155" s="17">
        <f>IF($G1155="","",IFERROR(INDEX(TIPOS_FLUXO_PLANO,MATCH($G1155,SUBCATEGORIAS_PLANO,0)),"Não classificado"))</f>
        <v/>
      </c>
      <c r="AH1155" s="9">
        <f>IF($G1155="","",IFERROR(INDEX(GRUPOS_PLANO,MATCH($G1155,SUBCATEGORIAS_PLANO,0)),"Não classificado"))</f>
        <v/>
      </c>
      <c r="AI1155" s="24">
        <f>IF(OR($C1155="",$X1155="Pago",$X1155="Recebido",$X1155="Cancelado"),"",$C1155-TODAY())</f>
        <v/>
      </c>
      <c r="AJ1155" s="24">
        <f>IF(OR($C1155="",$X1155="Pago",$X1155="Recebido",$X1155="Cancelado"),0,MAX(0,TODAY()-$C1155))</f>
        <v/>
      </c>
      <c r="AK1155" s="24">
        <f>IF($D1155="","",$D1155-$B1155)</f>
        <v/>
      </c>
      <c r="AL1155" s="18">
        <f>IF(OR($D1155="",$B1155=""),"",ROUND(N($R1155)*($D1155-$B1155),2))</f>
        <v/>
      </c>
      <c r="AM1155" s="17">
        <f>IF(AND($E1155="Saída",$W1155&gt;0,$C1155&lt;&gt;""),$C1155+ROW()/1000000,"")</f>
        <v/>
      </c>
      <c r="AN1155" s="17">
        <f>IF(AND($E1155="Entrada",$W1155&gt;0,$C1155&lt;&gt;""),$C1155+ROW()/1000000,"")</f>
        <v/>
      </c>
      <c r="AO1155" s="9">
        <f>IF(COUNTA($B1155:$R1155)=0,"",IF(AND($I1155&lt;&gt;"",COUNTIF(CLIENTES_NOMES,$I1155)+COUNTIF(CLIENTES_FANTASIA,$I1155)+COUNTIF(FORNECEDORES_NOMES,$I1155)+COUNTIF(FORNECEDORES_FANTASIA,$I1155)=0),"⚠ Cliente/Fornecedor não cadastrado",IF(AND($G1155&lt;&gt;"",COUNTIF(SUBCATEGORIAS_PLANO,$G1155)=0),"⚠ Subcategoria fora do plano de contas",IF(OR($Q1155="",N($Q1155)=0),"⚠ Valor previsto não informado",IF(AND(OR($X1155="Pago",$X1155="Recebido"),$D1155=""),"⚠ Status pago/recebido sem data",IF(AND($D1155&lt;&gt;"",N($R1155)=0),"⚠ Data de pagamento sem valor realizado",IF(AND(N($P1155)&gt;1,N($O1155)&gt;N($P1155)),"⚠ Nº da parcela maior que o total",IF(AND($C1155&lt;&gt;"",$B1155&lt;&gt;"",$C1155&lt;$B1155),"⚠ Vencimento anterior à competência","OK"))))))))</f>
        <v/>
      </c>
    </row>
    <row r="1156">
      <c r="A1156" s="14" t="n"/>
      <c r="B1156" s="36" t="n"/>
      <c r="C1156" s="36" t="n"/>
      <c r="D1156" s="36" t="n"/>
      <c r="E1156" s="14" t="n"/>
      <c r="F1156" s="29" t="n"/>
      <c r="G1156" s="29" t="n"/>
      <c r="H1156" s="29" t="n"/>
      <c r="I1156" s="29" t="n"/>
      <c r="J1156" s="29" t="n"/>
      <c r="K1156" s="14" t="n"/>
      <c r="L1156" s="29" t="n"/>
      <c r="M1156" s="14" t="n"/>
      <c r="N1156" s="29" t="n"/>
      <c r="O1156" s="13" t="n"/>
      <c r="P1156" s="13" t="n"/>
      <c r="Q1156" s="35" t="n"/>
      <c r="R1156" s="35" t="n"/>
      <c r="S1156" s="35" t="n"/>
      <c r="T1156" s="35" t="n"/>
      <c r="U1156" s="35" t="n"/>
      <c r="V1156" s="18">
        <f>IF(COUNTA($B1156:$R1156)=0,"",ROUND(N($R1156)+N($S1156)+N($T1156)-N($U1156),2))</f>
        <v/>
      </c>
      <c r="W1156" s="18">
        <f>IF(COUNTA($B1156:$R1156)=0,"",IF(OR($X1156="Pago",$X1156="Recebido",$X1156="Cancelado"),0,ROUND(N($Q1156)+N($S1156)+N($T1156)-N($U1156)-N($R1156),2)))</f>
        <v/>
      </c>
      <c r="X1156" s="14" t="n"/>
      <c r="Y1156" s="17">
        <f>IF(COUNTA($B1156:$R1156)=0,"",IF($X1156="Cancelado","Cancelado",IF(OR($X1156="Pago",$X1156="Recebido"),$X1156,IF(OR($X1156="Parcial",N($R1156)&gt;0),"Parcial",IF($C1156="","Sem vencimento",IF($C1156&lt;TODAY(),"Vencido",IF($C1156=TODAY(),"Vence hoje",IF($C1156&lt;=TODAY()+7,"Vence em 7 dias",IF($C1156&lt;=TODAY()+30,"Vence em 30 dias","Futuro")))))))))</f>
        <v/>
      </c>
      <c r="Z1156" s="24">
        <f>IF($B1156="","",MONTH($B1156))</f>
        <v/>
      </c>
      <c r="AA1156" s="24">
        <f>IF($B1156="","",YEAR($B1156))</f>
        <v/>
      </c>
      <c r="AB1156" s="24">
        <f>IF($B1156="","",ISOWEEKNUM($B1156))</f>
        <v/>
      </c>
      <c r="AC1156" s="17">
        <f>IF($B1156="","",CHOOSE(WEEKDAY($B1156,2),"Segunda","Terça","Quarta","Quinta","Sexta","Sábado","Domingo"))</f>
        <v/>
      </c>
      <c r="AD1156" s="17">
        <f>IF($B1156="","",TEXT($B1156,"MM/AAAA"))</f>
        <v/>
      </c>
      <c r="AE1156" s="18">
        <f>IF(COUNTA($B1156:$R1156)=0,"",IF($X1156="Cancelado",0,ROUND(N($Q1156)+N($S1156)+N($T1156)-N($U1156),2)))</f>
        <v/>
      </c>
      <c r="AF1156" s="9">
        <f>IF($G1156="","",IFERROR(INDEX(LINHAS_DRE_PLANO,MATCH($G1156,SUBCATEGORIAS_PLANO,0)),"Não classificado"))</f>
        <v/>
      </c>
      <c r="AG1156" s="17">
        <f>IF($G1156="","",IFERROR(INDEX(TIPOS_FLUXO_PLANO,MATCH($G1156,SUBCATEGORIAS_PLANO,0)),"Não classificado"))</f>
        <v/>
      </c>
      <c r="AH1156" s="9">
        <f>IF($G1156="","",IFERROR(INDEX(GRUPOS_PLANO,MATCH($G1156,SUBCATEGORIAS_PLANO,0)),"Não classificado"))</f>
        <v/>
      </c>
      <c r="AI1156" s="24">
        <f>IF(OR($C1156="",$X1156="Pago",$X1156="Recebido",$X1156="Cancelado"),"",$C1156-TODAY())</f>
        <v/>
      </c>
      <c r="AJ1156" s="24">
        <f>IF(OR($C1156="",$X1156="Pago",$X1156="Recebido",$X1156="Cancelado"),0,MAX(0,TODAY()-$C1156))</f>
        <v/>
      </c>
      <c r="AK1156" s="24">
        <f>IF($D1156="","",$D1156-$B1156)</f>
        <v/>
      </c>
      <c r="AL1156" s="18">
        <f>IF(OR($D1156="",$B1156=""),"",ROUND(N($R1156)*($D1156-$B1156),2))</f>
        <v/>
      </c>
      <c r="AM1156" s="17">
        <f>IF(AND($E1156="Saída",$W1156&gt;0,$C1156&lt;&gt;""),$C1156+ROW()/1000000,"")</f>
        <v/>
      </c>
      <c r="AN1156" s="17">
        <f>IF(AND($E1156="Entrada",$W1156&gt;0,$C1156&lt;&gt;""),$C1156+ROW()/1000000,"")</f>
        <v/>
      </c>
      <c r="AO1156" s="9">
        <f>IF(COUNTA($B1156:$R1156)=0,"",IF(AND($I1156&lt;&gt;"",COUNTIF(CLIENTES_NOMES,$I1156)+COUNTIF(CLIENTES_FANTASIA,$I1156)+COUNTIF(FORNECEDORES_NOMES,$I1156)+COUNTIF(FORNECEDORES_FANTASIA,$I1156)=0),"⚠ Cliente/Fornecedor não cadastrado",IF(AND($G1156&lt;&gt;"",COUNTIF(SUBCATEGORIAS_PLANO,$G1156)=0),"⚠ Subcategoria fora do plano de contas",IF(OR($Q1156="",N($Q1156)=0),"⚠ Valor previsto não informado",IF(AND(OR($X1156="Pago",$X1156="Recebido"),$D1156=""),"⚠ Status pago/recebido sem data",IF(AND($D1156&lt;&gt;"",N($R1156)=0),"⚠ Data de pagamento sem valor realizado",IF(AND(N($P1156)&gt;1,N($O1156)&gt;N($P1156)),"⚠ Nº da parcela maior que o total",IF(AND($C1156&lt;&gt;"",$B1156&lt;&gt;"",$C1156&lt;$B1156),"⚠ Vencimento anterior à competência","OK"))))))))</f>
        <v/>
      </c>
    </row>
    <row r="1157">
      <c r="A1157" s="14" t="n"/>
      <c r="B1157" s="36" t="n"/>
      <c r="C1157" s="36" t="n"/>
      <c r="D1157" s="36" t="n"/>
      <c r="E1157" s="14" t="n"/>
      <c r="F1157" s="29" t="n"/>
      <c r="G1157" s="29" t="n"/>
      <c r="H1157" s="29" t="n"/>
      <c r="I1157" s="29" t="n"/>
      <c r="J1157" s="29" t="n"/>
      <c r="K1157" s="14" t="n"/>
      <c r="L1157" s="29" t="n"/>
      <c r="M1157" s="14" t="n"/>
      <c r="N1157" s="29" t="n"/>
      <c r="O1157" s="13" t="n"/>
      <c r="P1157" s="13" t="n"/>
      <c r="Q1157" s="35" t="n"/>
      <c r="R1157" s="35" t="n"/>
      <c r="S1157" s="35" t="n"/>
      <c r="T1157" s="35" t="n"/>
      <c r="U1157" s="35" t="n"/>
      <c r="V1157" s="18">
        <f>IF(COUNTA($B1157:$R1157)=0,"",ROUND(N($R1157)+N($S1157)+N($T1157)-N($U1157),2))</f>
        <v/>
      </c>
      <c r="W1157" s="18">
        <f>IF(COUNTA($B1157:$R1157)=0,"",IF(OR($X1157="Pago",$X1157="Recebido",$X1157="Cancelado"),0,ROUND(N($Q1157)+N($S1157)+N($T1157)-N($U1157)-N($R1157),2)))</f>
        <v/>
      </c>
      <c r="X1157" s="14" t="n"/>
      <c r="Y1157" s="17">
        <f>IF(COUNTA($B1157:$R1157)=0,"",IF($X1157="Cancelado","Cancelado",IF(OR($X1157="Pago",$X1157="Recebido"),$X1157,IF(OR($X1157="Parcial",N($R1157)&gt;0),"Parcial",IF($C1157="","Sem vencimento",IF($C1157&lt;TODAY(),"Vencido",IF($C1157=TODAY(),"Vence hoje",IF($C1157&lt;=TODAY()+7,"Vence em 7 dias",IF($C1157&lt;=TODAY()+30,"Vence em 30 dias","Futuro")))))))))</f>
        <v/>
      </c>
      <c r="Z1157" s="24">
        <f>IF($B1157="","",MONTH($B1157))</f>
        <v/>
      </c>
      <c r="AA1157" s="24">
        <f>IF($B1157="","",YEAR($B1157))</f>
        <v/>
      </c>
      <c r="AB1157" s="24">
        <f>IF($B1157="","",ISOWEEKNUM($B1157))</f>
        <v/>
      </c>
      <c r="AC1157" s="17">
        <f>IF($B1157="","",CHOOSE(WEEKDAY($B1157,2),"Segunda","Terça","Quarta","Quinta","Sexta","Sábado","Domingo"))</f>
        <v/>
      </c>
      <c r="AD1157" s="17">
        <f>IF($B1157="","",TEXT($B1157,"MM/AAAA"))</f>
        <v/>
      </c>
      <c r="AE1157" s="18">
        <f>IF(COUNTA($B1157:$R1157)=0,"",IF($X1157="Cancelado",0,ROUND(N($Q1157)+N($S1157)+N($T1157)-N($U1157),2)))</f>
        <v/>
      </c>
      <c r="AF1157" s="9">
        <f>IF($G1157="","",IFERROR(INDEX(LINHAS_DRE_PLANO,MATCH($G1157,SUBCATEGORIAS_PLANO,0)),"Não classificado"))</f>
        <v/>
      </c>
      <c r="AG1157" s="17">
        <f>IF($G1157="","",IFERROR(INDEX(TIPOS_FLUXO_PLANO,MATCH($G1157,SUBCATEGORIAS_PLANO,0)),"Não classificado"))</f>
        <v/>
      </c>
      <c r="AH1157" s="9">
        <f>IF($G1157="","",IFERROR(INDEX(GRUPOS_PLANO,MATCH($G1157,SUBCATEGORIAS_PLANO,0)),"Não classificado"))</f>
        <v/>
      </c>
      <c r="AI1157" s="24">
        <f>IF(OR($C1157="",$X1157="Pago",$X1157="Recebido",$X1157="Cancelado"),"",$C1157-TODAY())</f>
        <v/>
      </c>
      <c r="AJ1157" s="24">
        <f>IF(OR($C1157="",$X1157="Pago",$X1157="Recebido",$X1157="Cancelado"),0,MAX(0,TODAY()-$C1157))</f>
        <v/>
      </c>
      <c r="AK1157" s="24">
        <f>IF($D1157="","",$D1157-$B1157)</f>
        <v/>
      </c>
      <c r="AL1157" s="18">
        <f>IF(OR($D1157="",$B1157=""),"",ROUND(N($R1157)*($D1157-$B1157),2))</f>
        <v/>
      </c>
      <c r="AM1157" s="17">
        <f>IF(AND($E1157="Saída",$W1157&gt;0,$C1157&lt;&gt;""),$C1157+ROW()/1000000,"")</f>
        <v/>
      </c>
      <c r="AN1157" s="17">
        <f>IF(AND($E1157="Entrada",$W1157&gt;0,$C1157&lt;&gt;""),$C1157+ROW()/1000000,"")</f>
        <v/>
      </c>
      <c r="AO1157" s="9">
        <f>IF(COUNTA($B1157:$R1157)=0,"",IF(AND($I1157&lt;&gt;"",COUNTIF(CLIENTES_NOMES,$I1157)+COUNTIF(CLIENTES_FANTASIA,$I1157)+COUNTIF(FORNECEDORES_NOMES,$I1157)+COUNTIF(FORNECEDORES_FANTASIA,$I1157)=0),"⚠ Cliente/Fornecedor não cadastrado",IF(AND($G1157&lt;&gt;"",COUNTIF(SUBCATEGORIAS_PLANO,$G1157)=0),"⚠ Subcategoria fora do plano de contas",IF(OR($Q1157="",N($Q1157)=0),"⚠ Valor previsto não informado",IF(AND(OR($X1157="Pago",$X1157="Recebido"),$D1157=""),"⚠ Status pago/recebido sem data",IF(AND($D1157&lt;&gt;"",N($R1157)=0),"⚠ Data de pagamento sem valor realizado",IF(AND(N($P1157)&gt;1,N($O1157)&gt;N($P1157)),"⚠ Nº da parcela maior que o total",IF(AND($C1157&lt;&gt;"",$B1157&lt;&gt;"",$C1157&lt;$B1157),"⚠ Vencimento anterior à competência","OK"))))))))</f>
        <v/>
      </c>
    </row>
    <row r="1158">
      <c r="A1158" s="14" t="n"/>
      <c r="B1158" s="36" t="n"/>
      <c r="C1158" s="36" t="n"/>
      <c r="D1158" s="36" t="n"/>
      <c r="E1158" s="14" t="n"/>
      <c r="F1158" s="29" t="n"/>
      <c r="G1158" s="29" t="n"/>
      <c r="H1158" s="29" t="n"/>
      <c r="I1158" s="29" t="n"/>
      <c r="J1158" s="29" t="n"/>
      <c r="K1158" s="14" t="n"/>
      <c r="L1158" s="29" t="n"/>
      <c r="M1158" s="14" t="n"/>
      <c r="N1158" s="29" t="n"/>
      <c r="O1158" s="13" t="n"/>
      <c r="P1158" s="13" t="n"/>
      <c r="Q1158" s="35" t="n"/>
      <c r="R1158" s="35" t="n"/>
      <c r="S1158" s="35" t="n"/>
      <c r="T1158" s="35" t="n"/>
      <c r="U1158" s="35" t="n"/>
      <c r="V1158" s="18">
        <f>IF(COUNTA($B1158:$R1158)=0,"",ROUND(N($R1158)+N($S1158)+N($T1158)-N($U1158),2))</f>
        <v/>
      </c>
      <c r="W1158" s="18">
        <f>IF(COUNTA($B1158:$R1158)=0,"",IF(OR($X1158="Pago",$X1158="Recebido",$X1158="Cancelado"),0,ROUND(N($Q1158)+N($S1158)+N($T1158)-N($U1158)-N($R1158),2)))</f>
        <v/>
      </c>
      <c r="X1158" s="14" t="n"/>
      <c r="Y1158" s="17">
        <f>IF(COUNTA($B1158:$R1158)=0,"",IF($X1158="Cancelado","Cancelado",IF(OR($X1158="Pago",$X1158="Recebido"),$X1158,IF(OR($X1158="Parcial",N($R1158)&gt;0),"Parcial",IF($C1158="","Sem vencimento",IF($C1158&lt;TODAY(),"Vencido",IF($C1158=TODAY(),"Vence hoje",IF($C1158&lt;=TODAY()+7,"Vence em 7 dias",IF($C1158&lt;=TODAY()+30,"Vence em 30 dias","Futuro")))))))))</f>
        <v/>
      </c>
      <c r="Z1158" s="24">
        <f>IF($B1158="","",MONTH($B1158))</f>
        <v/>
      </c>
      <c r="AA1158" s="24">
        <f>IF($B1158="","",YEAR($B1158))</f>
        <v/>
      </c>
      <c r="AB1158" s="24">
        <f>IF($B1158="","",ISOWEEKNUM($B1158))</f>
        <v/>
      </c>
      <c r="AC1158" s="17">
        <f>IF($B1158="","",CHOOSE(WEEKDAY($B1158,2),"Segunda","Terça","Quarta","Quinta","Sexta","Sábado","Domingo"))</f>
        <v/>
      </c>
      <c r="AD1158" s="17">
        <f>IF($B1158="","",TEXT($B1158,"MM/AAAA"))</f>
        <v/>
      </c>
      <c r="AE1158" s="18">
        <f>IF(COUNTA($B1158:$R1158)=0,"",IF($X1158="Cancelado",0,ROUND(N($Q1158)+N($S1158)+N($T1158)-N($U1158),2)))</f>
        <v/>
      </c>
      <c r="AF1158" s="9">
        <f>IF($G1158="","",IFERROR(INDEX(LINHAS_DRE_PLANO,MATCH($G1158,SUBCATEGORIAS_PLANO,0)),"Não classificado"))</f>
        <v/>
      </c>
      <c r="AG1158" s="17">
        <f>IF($G1158="","",IFERROR(INDEX(TIPOS_FLUXO_PLANO,MATCH($G1158,SUBCATEGORIAS_PLANO,0)),"Não classificado"))</f>
        <v/>
      </c>
      <c r="AH1158" s="9">
        <f>IF($G1158="","",IFERROR(INDEX(GRUPOS_PLANO,MATCH($G1158,SUBCATEGORIAS_PLANO,0)),"Não classificado"))</f>
        <v/>
      </c>
      <c r="AI1158" s="24">
        <f>IF(OR($C1158="",$X1158="Pago",$X1158="Recebido",$X1158="Cancelado"),"",$C1158-TODAY())</f>
        <v/>
      </c>
      <c r="AJ1158" s="24">
        <f>IF(OR($C1158="",$X1158="Pago",$X1158="Recebido",$X1158="Cancelado"),0,MAX(0,TODAY()-$C1158))</f>
        <v/>
      </c>
      <c r="AK1158" s="24">
        <f>IF($D1158="","",$D1158-$B1158)</f>
        <v/>
      </c>
      <c r="AL1158" s="18">
        <f>IF(OR($D1158="",$B1158=""),"",ROUND(N($R1158)*($D1158-$B1158),2))</f>
        <v/>
      </c>
      <c r="AM1158" s="17">
        <f>IF(AND($E1158="Saída",$W1158&gt;0,$C1158&lt;&gt;""),$C1158+ROW()/1000000,"")</f>
        <v/>
      </c>
      <c r="AN1158" s="17">
        <f>IF(AND($E1158="Entrada",$W1158&gt;0,$C1158&lt;&gt;""),$C1158+ROW()/1000000,"")</f>
        <v/>
      </c>
      <c r="AO1158" s="9">
        <f>IF(COUNTA($B1158:$R1158)=0,"",IF(AND($I1158&lt;&gt;"",COUNTIF(CLIENTES_NOMES,$I1158)+COUNTIF(CLIENTES_FANTASIA,$I1158)+COUNTIF(FORNECEDORES_NOMES,$I1158)+COUNTIF(FORNECEDORES_FANTASIA,$I1158)=0),"⚠ Cliente/Fornecedor não cadastrado",IF(AND($G1158&lt;&gt;"",COUNTIF(SUBCATEGORIAS_PLANO,$G1158)=0),"⚠ Subcategoria fora do plano de contas",IF(OR($Q1158="",N($Q1158)=0),"⚠ Valor previsto não informado",IF(AND(OR($X1158="Pago",$X1158="Recebido"),$D1158=""),"⚠ Status pago/recebido sem data",IF(AND($D1158&lt;&gt;"",N($R1158)=0),"⚠ Data de pagamento sem valor realizado",IF(AND(N($P1158)&gt;1,N($O1158)&gt;N($P1158)),"⚠ Nº da parcela maior que o total",IF(AND($C1158&lt;&gt;"",$B1158&lt;&gt;"",$C1158&lt;$B1158),"⚠ Vencimento anterior à competência","OK"))))))))</f>
        <v/>
      </c>
    </row>
    <row r="1159">
      <c r="A1159" s="14" t="n"/>
      <c r="B1159" s="36" t="n"/>
      <c r="C1159" s="36" t="n"/>
      <c r="D1159" s="36" t="n"/>
      <c r="E1159" s="14" t="n"/>
      <c r="F1159" s="29" t="n"/>
      <c r="G1159" s="29" t="n"/>
      <c r="H1159" s="29" t="n"/>
      <c r="I1159" s="29" t="n"/>
      <c r="J1159" s="29" t="n"/>
      <c r="K1159" s="14" t="n"/>
      <c r="L1159" s="29" t="n"/>
      <c r="M1159" s="14" t="n"/>
      <c r="N1159" s="29" t="n"/>
      <c r="O1159" s="13" t="n"/>
      <c r="P1159" s="13" t="n"/>
      <c r="Q1159" s="35" t="n"/>
      <c r="R1159" s="35" t="n"/>
      <c r="S1159" s="35" t="n"/>
      <c r="T1159" s="35" t="n"/>
      <c r="U1159" s="35" t="n"/>
      <c r="V1159" s="18">
        <f>IF(COUNTA($B1159:$R1159)=0,"",ROUND(N($R1159)+N($S1159)+N($T1159)-N($U1159),2))</f>
        <v/>
      </c>
      <c r="W1159" s="18">
        <f>IF(COUNTA($B1159:$R1159)=0,"",IF(OR($X1159="Pago",$X1159="Recebido",$X1159="Cancelado"),0,ROUND(N($Q1159)+N($S1159)+N($T1159)-N($U1159)-N($R1159),2)))</f>
        <v/>
      </c>
      <c r="X1159" s="14" t="n"/>
      <c r="Y1159" s="17">
        <f>IF(COUNTA($B1159:$R1159)=0,"",IF($X1159="Cancelado","Cancelado",IF(OR($X1159="Pago",$X1159="Recebido"),$X1159,IF(OR($X1159="Parcial",N($R1159)&gt;0),"Parcial",IF($C1159="","Sem vencimento",IF($C1159&lt;TODAY(),"Vencido",IF($C1159=TODAY(),"Vence hoje",IF($C1159&lt;=TODAY()+7,"Vence em 7 dias",IF($C1159&lt;=TODAY()+30,"Vence em 30 dias","Futuro")))))))))</f>
        <v/>
      </c>
      <c r="Z1159" s="24">
        <f>IF($B1159="","",MONTH($B1159))</f>
        <v/>
      </c>
      <c r="AA1159" s="24">
        <f>IF($B1159="","",YEAR($B1159))</f>
        <v/>
      </c>
      <c r="AB1159" s="24">
        <f>IF($B1159="","",ISOWEEKNUM($B1159))</f>
        <v/>
      </c>
      <c r="AC1159" s="17">
        <f>IF($B1159="","",CHOOSE(WEEKDAY($B1159,2),"Segunda","Terça","Quarta","Quinta","Sexta","Sábado","Domingo"))</f>
        <v/>
      </c>
      <c r="AD1159" s="17">
        <f>IF($B1159="","",TEXT($B1159,"MM/AAAA"))</f>
        <v/>
      </c>
      <c r="AE1159" s="18">
        <f>IF(COUNTA($B1159:$R1159)=0,"",IF($X1159="Cancelado",0,ROUND(N($Q1159)+N($S1159)+N($T1159)-N($U1159),2)))</f>
        <v/>
      </c>
      <c r="AF1159" s="9">
        <f>IF($G1159="","",IFERROR(INDEX(LINHAS_DRE_PLANO,MATCH($G1159,SUBCATEGORIAS_PLANO,0)),"Não classificado"))</f>
        <v/>
      </c>
      <c r="AG1159" s="17">
        <f>IF($G1159="","",IFERROR(INDEX(TIPOS_FLUXO_PLANO,MATCH($G1159,SUBCATEGORIAS_PLANO,0)),"Não classificado"))</f>
        <v/>
      </c>
      <c r="AH1159" s="9">
        <f>IF($G1159="","",IFERROR(INDEX(GRUPOS_PLANO,MATCH($G1159,SUBCATEGORIAS_PLANO,0)),"Não classificado"))</f>
        <v/>
      </c>
      <c r="AI1159" s="24">
        <f>IF(OR($C1159="",$X1159="Pago",$X1159="Recebido",$X1159="Cancelado"),"",$C1159-TODAY())</f>
        <v/>
      </c>
      <c r="AJ1159" s="24">
        <f>IF(OR($C1159="",$X1159="Pago",$X1159="Recebido",$X1159="Cancelado"),0,MAX(0,TODAY()-$C1159))</f>
        <v/>
      </c>
      <c r="AK1159" s="24">
        <f>IF($D1159="","",$D1159-$B1159)</f>
        <v/>
      </c>
      <c r="AL1159" s="18">
        <f>IF(OR($D1159="",$B1159=""),"",ROUND(N($R1159)*($D1159-$B1159),2))</f>
        <v/>
      </c>
      <c r="AM1159" s="17">
        <f>IF(AND($E1159="Saída",$W1159&gt;0,$C1159&lt;&gt;""),$C1159+ROW()/1000000,"")</f>
        <v/>
      </c>
      <c r="AN1159" s="17">
        <f>IF(AND($E1159="Entrada",$W1159&gt;0,$C1159&lt;&gt;""),$C1159+ROW()/1000000,"")</f>
        <v/>
      </c>
      <c r="AO1159" s="9">
        <f>IF(COUNTA($B1159:$R1159)=0,"",IF(AND($I1159&lt;&gt;"",COUNTIF(CLIENTES_NOMES,$I1159)+COUNTIF(CLIENTES_FANTASIA,$I1159)+COUNTIF(FORNECEDORES_NOMES,$I1159)+COUNTIF(FORNECEDORES_FANTASIA,$I1159)=0),"⚠ Cliente/Fornecedor não cadastrado",IF(AND($G1159&lt;&gt;"",COUNTIF(SUBCATEGORIAS_PLANO,$G1159)=0),"⚠ Subcategoria fora do plano de contas",IF(OR($Q1159="",N($Q1159)=0),"⚠ Valor previsto não informado",IF(AND(OR($X1159="Pago",$X1159="Recebido"),$D1159=""),"⚠ Status pago/recebido sem data",IF(AND($D1159&lt;&gt;"",N($R1159)=0),"⚠ Data de pagamento sem valor realizado",IF(AND(N($P1159)&gt;1,N($O1159)&gt;N($P1159)),"⚠ Nº da parcela maior que o total",IF(AND($C1159&lt;&gt;"",$B1159&lt;&gt;"",$C1159&lt;$B1159),"⚠ Vencimento anterior à competência","OK"))))))))</f>
        <v/>
      </c>
    </row>
    <row r="1160">
      <c r="A1160" s="14" t="n"/>
      <c r="B1160" s="36" t="n"/>
      <c r="C1160" s="36" t="n"/>
      <c r="D1160" s="36" t="n"/>
      <c r="E1160" s="14" t="n"/>
      <c r="F1160" s="29" t="n"/>
      <c r="G1160" s="29" t="n"/>
      <c r="H1160" s="29" t="n"/>
      <c r="I1160" s="29" t="n"/>
      <c r="J1160" s="29" t="n"/>
      <c r="K1160" s="14" t="n"/>
      <c r="L1160" s="29" t="n"/>
      <c r="M1160" s="14" t="n"/>
      <c r="N1160" s="29" t="n"/>
      <c r="O1160" s="13" t="n"/>
      <c r="P1160" s="13" t="n"/>
      <c r="Q1160" s="35" t="n"/>
      <c r="R1160" s="35" t="n"/>
      <c r="S1160" s="35" t="n"/>
      <c r="T1160" s="35" t="n"/>
      <c r="U1160" s="35" t="n"/>
      <c r="V1160" s="18">
        <f>IF(COUNTA($B1160:$R1160)=0,"",ROUND(N($R1160)+N($S1160)+N($T1160)-N($U1160),2))</f>
        <v/>
      </c>
      <c r="W1160" s="18">
        <f>IF(COUNTA($B1160:$R1160)=0,"",IF(OR($X1160="Pago",$X1160="Recebido",$X1160="Cancelado"),0,ROUND(N($Q1160)+N($S1160)+N($T1160)-N($U1160)-N($R1160),2)))</f>
        <v/>
      </c>
      <c r="X1160" s="14" t="n"/>
      <c r="Y1160" s="17">
        <f>IF(COUNTA($B1160:$R1160)=0,"",IF($X1160="Cancelado","Cancelado",IF(OR($X1160="Pago",$X1160="Recebido"),$X1160,IF(OR($X1160="Parcial",N($R1160)&gt;0),"Parcial",IF($C1160="","Sem vencimento",IF($C1160&lt;TODAY(),"Vencido",IF($C1160=TODAY(),"Vence hoje",IF($C1160&lt;=TODAY()+7,"Vence em 7 dias",IF($C1160&lt;=TODAY()+30,"Vence em 30 dias","Futuro")))))))))</f>
        <v/>
      </c>
      <c r="Z1160" s="24">
        <f>IF($B1160="","",MONTH($B1160))</f>
        <v/>
      </c>
      <c r="AA1160" s="24">
        <f>IF($B1160="","",YEAR($B1160))</f>
        <v/>
      </c>
      <c r="AB1160" s="24">
        <f>IF($B1160="","",ISOWEEKNUM($B1160))</f>
        <v/>
      </c>
      <c r="AC1160" s="17">
        <f>IF($B1160="","",CHOOSE(WEEKDAY($B1160,2),"Segunda","Terça","Quarta","Quinta","Sexta","Sábado","Domingo"))</f>
        <v/>
      </c>
      <c r="AD1160" s="17">
        <f>IF($B1160="","",TEXT($B1160,"MM/AAAA"))</f>
        <v/>
      </c>
      <c r="AE1160" s="18">
        <f>IF(COUNTA($B1160:$R1160)=0,"",IF($X1160="Cancelado",0,ROUND(N($Q1160)+N($S1160)+N($T1160)-N($U1160),2)))</f>
        <v/>
      </c>
      <c r="AF1160" s="9">
        <f>IF($G1160="","",IFERROR(INDEX(LINHAS_DRE_PLANO,MATCH($G1160,SUBCATEGORIAS_PLANO,0)),"Não classificado"))</f>
        <v/>
      </c>
      <c r="AG1160" s="17">
        <f>IF($G1160="","",IFERROR(INDEX(TIPOS_FLUXO_PLANO,MATCH($G1160,SUBCATEGORIAS_PLANO,0)),"Não classificado"))</f>
        <v/>
      </c>
      <c r="AH1160" s="9">
        <f>IF($G1160="","",IFERROR(INDEX(GRUPOS_PLANO,MATCH($G1160,SUBCATEGORIAS_PLANO,0)),"Não classificado"))</f>
        <v/>
      </c>
      <c r="AI1160" s="24">
        <f>IF(OR($C1160="",$X1160="Pago",$X1160="Recebido",$X1160="Cancelado"),"",$C1160-TODAY())</f>
        <v/>
      </c>
      <c r="AJ1160" s="24">
        <f>IF(OR($C1160="",$X1160="Pago",$X1160="Recebido",$X1160="Cancelado"),0,MAX(0,TODAY()-$C1160))</f>
        <v/>
      </c>
      <c r="AK1160" s="24">
        <f>IF($D1160="","",$D1160-$B1160)</f>
        <v/>
      </c>
      <c r="AL1160" s="18">
        <f>IF(OR($D1160="",$B1160=""),"",ROUND(N($R1160)*($D1160-$B1160),2))</f>
        <v/>
      </c>
      <c r="AM1160" s="17">
        <f>IF(AND($E1160="Saída",$W1160&gt;0,$C1160&lt;&gt;""),$C1160+ROW()/1000000,"")</f>
        <v/>
      </c>
      <c r="AN1160" s="17">
        <f>IF(AND($E1160="Entrada",$W1160&gt;0,$C1160&lt;&gt;""),$C1160+ROW()/1000000,"")</f>
        <v/>
      </c>
      <c r="AO1160" s="9">
        <f>IF(COUNTA($B1160:$R1160)=0,"",IF(AND($I1160&lt;&gt;"",COUNTIF(CLIENTES_NOMES,$I1160)+COUNTIF(CLIENTES_FANTASIA,$I1160)+COUNTIF(FORNECEDORES_NOMES,$I1160)+COUNTIF(FORNECEDORES_FANTASIA,$I1160)=0),"⚠ Cliente/Fornecedor não cadastrado",IF(AND($G1160&lt;&gt;"",COUNTIF(SUBCATEGORIAS_PLANO,$G1160)=0),"⚠ Subcategoria fora do plano de contas",IF(OR($Q1160="",N($Q1160)=0),"⚠ Valor previsto não informado",IF(AND(OR($X1160="Pago",$X1160="Recebido"),$D1160=""),"⚠ Status pago/recebido sem data",IF(AND($D1160&lt;&gt;"",N($R1160)=0),"⚠ Data de pagamento sem valor realizado",IF(AND(N($P1160)&gt;1,N($O1160)&gt;N($P1160)),"⚠ Nº da parcela maior que o total",IF(AND($C1160&lt;&gt;"",$B1160&lt;&gt;"",$C1160&lt;$B1160),"⚠ Vencimento anterior à competência","OK"))))))))</f>
        <v/>
      </c>
    </row>
    <row r="1161">
      <c r="A1161" s="14" t="n"/>
      <c r="B1161" s="36" t="n"/>
      <c r="C1161" s="36" t="n"/>
      <c r="D1161" s="36" t="n"/>
      <c r="E1161" s="14" t="n"/>
      <c r="F1161" s="29" t="n"/>
      <c r="G1161" s="29" t="n"/>
      <c r="H1161" s="29" t="n"/>
      <c r="I1161" s="29" t="n"/>
      <c r="J1161" s="29" t="n"/>
      <c r="K1161" s="14" t="n"/>
      <c r="L1161" s="29" t="n"/>
      <c r="M1161" s="14" t="n"/>
      <c r="N1161" s="29" t="n"/>
      <c r="O1161" s="13" t="n"/>
      <c r="P1161" s="13" t="n"/>
      <c r="Q1161" s="35" t="n"/>
      <c r="R1161" s="35" t="n"/>
      <c r="S1161" s="35" t="n"/>
      <c r="T1161" s="35" t="n"/>
      <c r="U1161" s="35" t="n"/>
      <c r="V1161" s="18">
        <f>IF(COUNTA($B1161:$R1161)=0,"",ROUND(N($R1161)+N($S1161)+N($T1161)-N($U1161),2))</f>
        <v/>
      </c>
      <c r="W1161" s="18">
        <f>IF(COUNTA($B1161:$R1161)=0,"",IF(OR($X1161="Pago",$X1161="Recebido",$X1161="Cancelado"),0,ROUND(N($Q1161)+N($S1161)+N($T1161)-N($U1161)-N($R1161),2)))</f>
        <v/>
      </c>
      <c r="X1161" s="14" t="n"/>
      <c r="Y1161" s="17">
        <f>IF(COUNTA($B1161:$R1161)=0,"",IF($X1161="Cancelado","Cancelado",IF(OR($X1161="Pago",$X1161="Recebido"),$X1161,IF(OR($X1161="Parcial",N($R1161)&gt;0),"Parcial",IF($C1161="","Sem vencimento",IF($C1161&lt;TODAY(),"Vencido",IF($C1161=TODAY(),"Vence hoje",IF($C1161&lt;=TODAY()+7,"Vence em 7 dias",IF($C1161&lt;=TODAY()+30,"Vence em 30 dias","Futuro")))))))))</f>
        <v/>
      </c>
      <c r="Z1161" s="24">
        <f>IF($B1161="","",MONTH($B1161))</f>
        <v/>
      </c>
      <c r="AA1161" s="24">
        <f>IF($B1161="","",YEAR($B1161))</f>
        <v/>
      </c>
      <c r="AB1161" s="24">
        <f>IF($B1161="","",ISOWEEKNUM($B1161))</f>
        <v/>
      </c>
      <c r="AC1161" s="17">
        <f>IF($B1161="","",CHOOSE(WEEKDAY($B1161,2),"Segunda","Terça","Quarta","Quinta","Sexta","Sábado","Domingo"))</f>
        <v/>
      </c>
      <c r="AD1161" s="17">
        <f>IF($B1161="","",TEXT($B1161,"MM/AAAA"))</f>
        <v/>
      </c>
      <c r="AE1161" s="18">
        <f>IF(COUNTA($B1161:$R1161)=0,"",IF($X1161="Cancelado",0,ROUND(N($Q1161)+N($S1161)+N($T1161)-N($U1161),2)))</f>
        <v/>
      </c>
      <c r="AF1161" s="9">
        <f>IF($G1161="","",IFERROR(INDEX(LINHAS_DRE_PLANO,MATCH($G1161,SUBCATEGORIAS_PLANO,0)),"Não classificado"))</f>
        <v/>
      </c>
      <c r="AG1161" s="17">
        <f>IF($G1161="","",IFERROR(INDEX(TIPOS_FLUXO_PLANO,MATCH($G1161,SUBCATEGORIAS_PLANO,0)),"Não classificado"))</f>
        <v/>
      </c>
      <c r="AH1161" s="9">
        <f>IF($G1161="","",IFERROR(INDEX(GRUPOS_PLANO,MATCH($G1161,SUBCATEGORIAS_PLANO,0)),"Não classificado"))</f>
        <v/>
      </c>
      <c r="AI1161" s="24">
        <f>IF(OR($C1161="",$X1161="Pago",$X1161="Recebido",$X1161="Cancelado"),"",$C1161-TODAY())</f>
        <v/>
      </c>
      <c r="AJ1161" s="24">
        <f>IF(OR($C1161="",$X1161="Pago",$X1161="Recebido",$X1161="Cancelado"),0,MAX(0,TODAY()-$C1161))</f>
        <v/>
      </c>
      <c r="AK1161" s="24">
        <f>IF($D1161="","",$D1161-$B1161)</f>
        <v/>
      </c>
      <c r="AL1161" s="18">
        <f>IF(OR($D1161="",$B1161=""),"",ROUND(N($R1161)*($D1161-$B1161),2))</f>
        <v/>
      </c>
      <c r="AM1161" s="17">
        <f>IF(AND($E1161="Saída",$W1161&gt;0,$C1161&lt;&gt;""),$C1161+ROW()/1000000,"")</f>
        <v/>
      </c>
      <c r="AN1161" s="17">
        <f>IF(AND($E1161="Entrada",$W1161&gt;0,$C1161&lt;&gt;""),$C1161+ROW()/1000000,"")</f>
        <v/>
      </c>
      <c r="AO1161" s="9">
        <f>IF(COUNTA($B1161:$R1161)=0,"",IF(AND($I1161&lt;&gt;"",COUNTIF(CLIENTES_NOMES,$I1161)+COUNTIF(CLIENTES_FANTASIA,$I1161)+COUNTIF(FORNECEDORES_NOMES,$I1161)+COUNTIF(FORNECEDORES_FANTASIA,$I1161)=0),"⚠ Cliente/Fornecedor não cadastrado",IF(AND($G1161&lt;&gt;"",COUNTIF(SUBCATEGORIAS_PLANO,$G1161)=0),"⚠ Subcategoria fora do plano de contas",IF(OR($Q1161="",N($Q1161)=0),"⚠ Valor previsto não informado",IF(AND(OR($X1161="Pago",$X1161="Recebido"),$D1161=""),"⚠ Status pago/recebido sem data",IF(AND($D1161&lt;&gt;"",N($R1161)=0),"⚠ Data de pagamento sem valor realizado",IF(AND(N($P1161)&gt;1,N($O1161)&gt;N($P1161)),"⚠ Nº da parcela maior que o total",IF(AND($C1161&lt;&gt;"",$B1161&lt;&gt;"",$C1161&lt;$B1161),"⚠ Vencimento anterior à competência","OK"))))))))</f>
        <v/>
      </c>
    </row>
    <row r="1162">
      <c r="A1162" s="14" t="n"/>
      <c r="B1162" s="36" t="n"/>
      <c r="C1162" s="36" t="n"/>
      <c r="D1162" s="36" t="n"/>
      <c r="E1162" s="14" t="n"/>
      <c r="F1162" s="29" t="n"/>
      <c r="G1162" s="29" t="n"/>
      <c r="H1162" s="29" t="n"/>
      <c r="I1162" s="29" t="n"/>
      <c r="J1162" s="29" t="n"/>
      <c r="K1162" s="14" t="n"/>
      <c r="L1162" s="29" t="n"/>
      <c r="M1162" s="14" t="n"/>
      <c r="N1162" s="29" t="n"/>
      <c r="O1162" s="13" t="n"/>
      <c r="P1162" s="13" t="n"/>
      <c r="Q1162" s="35" t="n"/>
      <c r="R1162" s="35" t="n"/>
      <c r="S1162" s="35" t="n"/>
      <c r="T1162" s="35" t="n"/>
      <c r="U1162" s="35" t="n"/>
      <c r="V1162" s="18">
        <f>IF(COUNTA($B1162:$R1162)=0,"",ROUND(N($R1162)+N($S1162)+N($T1162)-N($U1162),2))</f>
        <v/>
      </c>
      <c r="W1162" s="18">
        <f>IF(COUNTA($B1162:$R1162)=0,"",IF(OR($X1162="Pago",$X1162="Recebido",$X1162="Cancelado"),0,ROUND(N($Q1162)+N($S1162)+N($T1162)-N($U1162)-N($R1162),2)))</f>
        <v/>
      </c>
      <c r="X1162" s="14" t="n"/>
      <c r="Y1162" s="17">
        <f>IF(COUNTA($B1162:$R1162)=0,"",IF($X1162="Cancelado","Cancelado",IF(OR($X1162="Pago",$X1162="Recebido"),$X1162,IF(OR($X1162="Parcial",N($R1162)&gt;0),"Parcial",IF($C1162="","Sem vencimento",IF($C1162&lt;TODAY(),"Vencido",IF($C1162=TODAY(),"Vence hoje",IF($C1162&lt;=TODAY()+7,"Vence em 7 dias",IF($C1162&lt;=TODAY()+30,"Vence em 30 dias","Futuro")))))))))</f>
        <v/>
      </c>
      <c r="Z1162" s="24">
        <f>IF($B1162="","",MONTH($B1162))</f>
        <v/>
      </c>
      <c r="AA1162" s="24">
        <f>IF($B1162="","",YEAR($B1162))</f>
        <v/>
      </c>
      <c r="AB1162" s="24">
        <f>IF($B1162="","",ISOWEEKNUM($B1162))</f>
        <v/>
      </c>
      <c r="AC1162" s="17">
        <f>IF($B1162="","",CHOOSE(WEEKDAY($B1162,2),"Segunda","Terça","Quarta","Quinta","Sexta","Sábado","Domingo"))</f>
        <v/>
      </c>
      <c r="AD1162" s="17">
        <f>IF($B1162="","",TEXT($B1162,"MM/AAAA"))</f>
        <v/>
      </c>
      <c r="AE1162" s="18">
        <f>IF(COUNTA($B1162:$R1162)=0,"",IF($X1162="Cancelado",0,ROUND(N($Q1162)+N($S1162)+N($T1162)-N($U1162),2)))</f>
        <v/>
      </c>
      <c r="AF1162" s="9">
        <f>IF($G1162="","",IFERROR(INDEX(LINHAS_DRE_PLANO,MATCH($G1162,SUBCATEGORIAS_PLANO,0)),"Não classificado"))</f>
        <v/>
      </c>
      <c r="AG1162" s="17">
        <f>IF($G1162="","",IFERROR(INDEX(TIPOS_FLUXO_PLANO,MATCH($G1162,SUBCATEGORIAS_PLANO,0)),"Não classificado"))</f>
        <v/>
      </c>
      <c r="AH1162" s="9">
        <f>IF($G1162="","",IFERROR(INDEX(GRUPOS_PLANO,MATCH($G1162,SUBCATEGORIAS_PLANO,0)),"Não classificado"))</f>
        <v/>
      </c>
      <c r="AI1162" s="24">
        <f>IF(OR($C1162="",$X1162="Pago",$X1162="Recebido",$X1162="Cancelado"),"",$C1162-TODAY())</f>
        <v/>
      </c>
      <c r="AJ1162" s="24">
        <f>IF(OR($C1162="",$X1162="Pago",$X1162="Recebido",$X1162="Cancelado"),0,MAX(0,TODAY()-$C1162))</f>
        <v/>
      </c>
      <c r="AK1162" s="24">
        <f>IF($D1162="","",$D1162-$B1162)</f>
        <v/>
      </c>
      <c r="AL1162" s="18">
        <f>IF(OR($D1162="",$B1162=""),"",ROUND(N($R1162)*($D1162-$B1162),2))</f>
        <v/>
      </c>
      <c r="AM1162" s="17">
        <f>IF(AND($E1162="Saída",$W1162&gt;0,$C1162&lt;&gt;""),$C1162+ROW()/1000000,"")</f>
        <v/>
      </c>
      <c r="AN1162" s="17">
        <f>IF(AND($E1162="Entrada",$W1162&gt;0,$C1162&lt;&gt;""),$C1162+ROW()/1000000,"")</f>
        <v/>
      </c>
      <c r="AO1162" s="9">
        <f>IF(COUNTA($B1162:$R1162)=0,"",IF(AND($I1162&lt;&gt;"",COUNTIF(CLIENTES_NOMES,$I1162)+COUNTIF(CLIENTES_FANTASIA,$I1162)+COUNTIF(FORNECEDORES_NOMES,$I1162)+COUNTIF(FORNECEDORES_FANTASIA,$I1162)=0),"⚠ Cliente/Fornecedor não cadastrado",IF(AND($G1162&lt;&gt;"",COUNTIF(SUBCATEGORIAS_PLANO,$G1162)=0),"⚠ Subcategoria fora do plano de contas",IF(OR($Q1162="",N($Q1162)=0),"⚠ Valor previsto não informado",IF(AND(OR($X1162="Pago",$X1162="Recebido"),$D1162=""),"⚠ Status pago/recebido sem data",IF(AND($D1162&lt;&gt;"",N($R1162)=0),"⚠ Data de pagamento sem valor realizado",IF(AND(N($P1162)&gt;1,N($O1162)&gt;N($P1162)),"⚠ Nº da parcela maior que o total",IF(AND($C1162&lt;&gt;"",$B1162&lt;&gt;"",$C1162&lt;$B1162),"⚠ Vencimento anterior à competência","OK"))))))))</f>
        <v/>
      </c>
    </row>
    <row r="1163">
      <c r="A1163" s="14" t="n"/>
      <c r="B1163" s="36" t="n"/>
      <c r="C1163" s="36" t="n"/>
      <c r="D1163" s="36" t="n"/>
      <c r="E1163" s="14" t="n"/>
      <c r="F1163" s="29" t="n"/>
      <c r="G1163" s="29" t="n"/>
      <c r="H1163" s="29" t="n"/>
      <c r="I1163" s="29" t="n"/>
      <c r="J1163" s="29" t="n"/>
      <c r="K1163" s="14" t="n"/>
      <c r="L1163" s="29" t="n"/>
      <c r="M1163" s="14" t="n"/>
      <c r="N1163" s="29" t="n"/>
      <c r="O1163" s="13" t="n"/>
      <c r="P1163" s="13" t="n"/>
      <c r="Q1163" s="35" t="n"/>
      <c r="R1163" s="35" t="n"/>
      <c r="S1163" s="35" t="n"/>
      <c r="T1163" s="35" t="n"/>
      <c r="U1163" s="35" t="n"/>
      <c r="V1163" s="18">
        <f>IF(COUNTA($B1163:$R1163)=0,"",ROUND(N($R1163)+N($S1163)+N($T1163)-N($U1163),2))</f>
        <v/>
      </c>
      <c r="W1163" s="18">
        <f>IF(COUNTA($B1163:$R1163)=0,"",IF(OR($X1163="Pago",$X1163="Recebido",$X1163="Cancelado"),0,ROUND(N($Q1163)+N($S1163)+N($T1163)-N($U1163)-N($R1163),2)))</f>
        <v/>
      </c>
      <c r="X1163" s="14" t="n"/>
      <c r="Y1163" s="17">
        <f>IF(COUNTA($B1163:$R1163)=0,"",IF($X1163="Cancelado","Cancelado",IF(OR($X1163="Pago",$X1163="Recebido"),$X1163,IF(OR($X1163="Parcial",N($R1163)&gt;0),"Parcial",IF($C1163="","Sem vencimento",IF($C1163&lt;TODAY(),"Vencido",IF($C1163=TODAY(),"Vence hoje",IF($C1163&lt;=TODAY()+7,"Vence em 7 dias",IF($C1163&lt;=TODAY()+30,"Vence em 30 dias","Futuro")))))))))</f>
        <v/>
      </c>
      <c r="Z1163" s="24">
        <f>IF($B1163="","",MONTH($B1163))</f>
        <v/>
      </c>
      <c r="AA1163" s="24">
        <f>IF($B1163="","",YEAR($B1163))</f>
        <v/>
      </c>
      <c r="AB1163" s="24">
        <f>IF($B1163="","",ISOWEEKNUM($B1163))</f>
        <v/>
      </c>
      <c r="AC1163" s="17">
        <f>IF($B1163="","",CHOOSE(WEEKDAY($B1163,2),"Segunda","Terça","Quarta","Quinta","Sexta","Sábado","Domingo"))</f>
        <v/>
      </c>
      <c r="AD1163" s="17">
        <f>IF($B1163="","",TEXT($B1163,"MM/AAAA"))</f>
        <v/>
      </c>
      <c r="AE1163" s="18">
        <f>IF(COUNTA($B1163:$R1163)=0,"",IF($X1163="Cancelado",0,ROUND(N($Q1163)+N($S1163)+N($T1163)-N($U1163),2)))</f>
        <v/>
      </c>
      <c r="AF1163" s="9">
        <f>IF($G1163="","",IFERROR(INDEX(LINHAS_DRE_PLANO,MATCH($G1163,SUBCATEGORIAS_PLANO,0)),"Não classificado"))</f>
        <v/>
      </c>
      <c r="AG1163" s="17">
        <f>IF($G1163="","",IFERROR(INDEX(TIPOS_FLUXO_PLANO,MATCH($G1163,SUBCATEGORIAS_PLANO,0)),"Não classificado"))</f>
        <v/>
      </c>
      <c r="AH1163" s="9">
        <f>IF($G1163="","",IFERROR(INDEX(GRUPOS_PLANO,MATCH($G1163,SUBCATEGORIAS_PLANO,0)),"Não classificado"))</f>
        <v/>
      </c>
      <c r="AI1163" s="24">
        <f>IF(OR($C1163="",$X1163="Pago",$X1163="Recebido",$X1163="Cancelado"),"",$C1163-TODAY())</f>
        <v/>
      </c>
      <c r="AJ1163" s="24">
        <f>IF(OR($C1163="",$X1163="Pago",$X1163="Recebido",$X1163="Cancelado"),0,MAX(0,TODAY()-$C1163))</f>
        <v/>
      </c>
      <c r="AK1163" s="24">
        <f>IF($D1163="","",$D1163-$B1163)</f>
        <v/>
      </c>
      <c r="AL1163" s="18">
        <f>IF(OR($D1163="",$B1163=""),"",ROUND(N($R1163)*($D1163-$B1163),2))</f>
        <v/>
      </c>
      <c r="AM1163" s="17">
        <f>IF(AND($E1163="Saída",$W1163&gt;0,$C1163&lt;&gt;""),$C1163+ROW()/1000000,"")</f>
        <v/>
      </c>
      <c r="AN1163" s="17">
        <f>IF(AND($E1163="Entrada",$W1163&gt;0,$C1163&lt;&gt;""),$C1163+ROW()/1000000,"")</f>
        <v/>
      </c>
      <c r="AO1163" s="9">
        <f>IF(COUNTA($B1163:$R1163)=0,"",IF(AND($I1163&lt;&gt;"",COUNTIF(CLIENTES_NOMES,$I1163)+COUNTIF(CLIENTES_FANTASIA,$I1163)+COUNTIF(FORNECEDORES_NOMES,$I1163)+COUNTIF(FORNECEDORES_FANTASIA,$I1163)=0),"⚠ Cliente/Fornecedor não cadastrado",IF(AND($G1163&lt;&gt;"",COUNTIF(SUBCATEGORIAS_PLANO,$G1163)=0),"⚠ Subcategoria fora do plano de contas",IF(OR($Q1163="",N($Q1163)=0),"⚠ Valor previsto não informado",IF(AND(OR($X1163="Pago",$X1163="Recebido"),$D1163=""),"⚠ Status pago/recebido sem data",IF(AND($D1163&lt;&gt;"",N($R1163)=0),"⚠ Data de pagamento sem valor realizado",IF(AND(N($P1163)&gt;1,N($O1163)&gt;N($P1163)),"⚠ Nº da parcela maior que o total",IF(AND($C1163&lt;&gt;"",$B1163&lt;&gt;"",$C1163&lt;$B1163),"⚠ Vencimento anterior à competência","OK"))))))))</f>
        <v/>
      </c>
    </row>
    <row r="1164">
      <c r="A1164" s="14" t="n"/>
      <c r="B1164" s="36" t="n"/>
      <c r="C1164" s="36" t="n"/>
      <c r="D1164" s="36" t="n"/>
      <c r="E1164" s="14" t="n"/>
      <c r="F1164" s="29" t="n"/>
      <c r="G1164" s="29" t="n"/>
      <c r="H1164" s="29" t="n"/>
      <c r="I1164" s="29" t="n"/>
      <c r="J1164" s="29" t="n"/>
      <c r="K1164" s="14" t="n"/>
      <c r="L1164" s="29" t="n"/>
      <c r="M1164" s="14" t="n"/>
      <c r="N1164" s="29" t="n"/>
      <c r="O1164" s="13" t="n"/>
      <c r="P1164" s="13" t="n"/>
      <c r="Q1164" s="35" t="n"/>
      <c r="R1164" s="35" t="n"/>
      <c r="S1164" s="35" t="n"/>
      <c r="T1164" s="35" t="n"/>
      <c r="U1164" s="35" t="n"/>
      <c r="V1164" s="18">
        <f>IF(COUNTA($B1164:$R1164)=0,"",ROUND(N($R1164)+N($S1164)+N($T1164)-N($U1164),2))</f>
        <v/>
      </c>
      <c r="W1164" s="18">
        <f>IF(COUNTA($B1164:$R1164)=0,"",IF(OR($X1164="Pago",$X1164="Recebido",$X1164="Cancelado"),0,ROUND(N($Q1164)+N($S1164)+N($T1164)-N($U1164)-N($R1164),2)))</f>
        <v/>
      </c>
      <c r="X1164" s="14" t="n"/>
      <c r="Y1164" s="17">
        <f>IF(COUNTA($B1164:$R1164)=0,"",IF($X1164="Cancelado","Cancelado",IF(OR($X1164="Pago",$X1164="Recebido"),$X1164,IF(OR($X1164="Parcial",N($R1164)&gt;0),"Parcial",IF($C1164="","Sem vencimento",IF($C1164&lt;TODAY(),"Vencido",IF($C1164=TODAY(),"Vence hoje",IF($C1164&lt;=TODAY()+7,"Vence em 7 dias",IF($C1164&lt;=TODAY()+30,"Vence em 30 dias","Futuro")))))))))</f>
        <v/>
      </c>
      <c r="Z1164" s="24">
        <f>IF($B1164="","",MONTH($B1164))</f>
        <v/>
      </c>
      <c r="AA1164" s="24">
        <f>IF($B1164="","",YEAR($B1164))</f>
        <v/>
      </c>
      <c r="AB1164" s="24">
        <f>IF($B1164="","",ISOWEEKNUM($B1164))</f>
        <v/>
      </c>
      <c r="AC1164" s="17">
        <f>IF($B1164="","",CHOOSE(WEEKDAY($B1164,2),"Segunda","Terça","Quarta","Quinta","Sexta","Sábado","Domingo"))</f>
        <v/>
      </c>
      <c r="AD1164" s="17">
        <f>IF($B1164="","",TEXT($B1164,"MM/AAAA"))</f>
        <v/>
      </c>
      <c r="AE1164" s="18">
        <f>IF(COUNTA($B1164:$R1164)=0,"",IF($X1164="Cancelado",0,ROUND(N($Q1164)+N($S1164)+N($T1164)-N($U1164),2)))</f>
        <v/>
      </c>
      <c r="AF1164" s="9">
        <f>IF($G1164="","",IFERROR(INDEX(LINHAS_DRE_PLANO,MATCH($G1164,SUBCATEGORIAS_PLANO,0)),"Não classificado"))</f>
        <v/>
      </c>
      <c r="AG1164" s="17">
        <f>IF($G1164="","",IFERROR(INDEX(TIPOS_FLUXO_PLANO,MATCH($G1164,SUBCATEGORIAS_PLANO,0)),"Não classificado"))</f>
        <v/>
      </c>
      <c r="AH1164" s="9">
        <f>IF($G1164="","",IFERROR(INDEX(GRUPOS_PLANO,MATCH($G1164,SUBCATEGORIAS_PLANO,0)),"Não classificado"))</f>
        <v/>
      </c>
      <c r="AI1164" s="24">
        <f>IF(OR($C1164="",$X1164="Pago",$X1164="Recebido",$X1164="Cancelado"),"",$C1164-TODAY())</f>
        <v/>
      </c>
      <c r="AJ1164" s="24">
        <f>IF(OR($C1164="",$X1164="Pago",$X1164="Recebido",$X1164="Cancelado"),0,MAX(0,TODAY()-$C1164))</f>
        <v/>
      </c>
      <c r="AK1164" s="24">
        <f>IF($D1164="","",$D1164-$B1164)</f>
        <v/>
      </c>
      <c r="AL1164" s="18">
        <f>IF(OR($D1164="",$B1164=""),"",ROUND(N($R1164)*($D1164-$B1164),2))</f>
        <v/>
      </c>
      <c r="AM1164" s="17">
        <f>IF(AND($E1164="Saída",$W1164&gt;0,$C1164&lt;&gt;""),$C1164+ROW()/1000000,"")</f>
        <v/>
      </c>
      <c r="AN1164" s="17">
        <f>IF(AND($E1164="Entrada",$W1164&gt;0,$C1164&lt;&gt;""),$C1164+ROW()/1000000,"")</f>
        <v/>
      </c>
      <c r="AO1164" s="9">
        <f>IF(COUNTA($B1164:$R1164)=0,"",IF(AND($I1164&lt;&gt;"",COUNTIF(CLIENTES_NOMES,$I1164)+COUNTIF(CLIENTES_FANTASIA,$I1164)+COUNTIF(FORNECEDORES_NOMES,$I1164)+COUNTIF(FORNECEDORES_FANTASIA,$I1164)=0),"⚠ Cliente/Fornecedor não cadastrado",IF(AND($G1164&lt;&gt;"",COUNTIF(SUBCATEGORIAS_PLANO,$G1164)=0),"⚠ Subcategoria fora do plano de contas",IF(OR($Q1164="",N($Q1164)=0),"⚠ Valor previsto não informado",IF(AND(OR($X1164="Pago",$X1164="Recebido"),$D1164=""),"⚠ Status pago/recebido sem data",IF(AND($D1164&lt;&gt;"",N($R1164)=0),"⚠ Data de pagamento sem valor realizado",IF(AND(N($P1164)&gt;1,N($O1164)&gt;N($P1164)),"⚠ Nº da parcela maior que o total",IF(AND($C1164&lt;&gt;"",$B1164&lt;&gt;"",$C1164&lt;$B1164),"⚠ Vencimento anterior à competência","OK"))))))))</f>
        <v/>
      </c>
    </row>
    <row r="1165">
      <c r="A1165" s="14" t="n"/>
      <c r="B1165" s="36" t="n"/>
      <c r="C1165" s="36" t="n"/>
      <c r="D1165" s="36" t="n"/>
      <c r="E1165" s="14" t="n"/>
      <c r="F1165" s="29" t="n"/>
      <c r="G1165" s="29" t="n"/>
      <c r="H1165" s="29" t="n"/>
      <c r="I1165" s="29" t="n"/>
      <c r="J1165" s="29" t="n"/>
      <c r="K1165" s="14" t="n"/>
      <c r="L1165" s="29" t="n"/>
      <c r="M1165" s="14" t="n"/>
      <c r="N1165" s="29" t="n"/>
      <c r="O1165" s="13" t="n"/>
      <c r="P1165" s="13" t="n"/>
      <c r="Q1165" s="35" t="n"/>
      <c r="R1165" s="35" t="n"/>
      <c r="S1165" s="35" t="n"/>
      <c r="T1165" s="35" t="n"/>
      <c r="U1165" s="35" t="n"/>
      <c r="V1165" s="18">
        <f>IF(COUNTA($B1165:$R1165)=0,"",ROUND(N($R1165)+N($S1165)+N($T1165)-N($U1165),2))</f>
        <v/>
      </c>
      <c r="W1165" s="18">
        <f>IF(COUNTA($B1165:$R1165)=0,"",IF(OR($X1165="Pago",$X1165="Recebido",$X1165="Cancelado"),0,ROUND(N($Q1165)+N($S1165)+N($T1165)-N($U1165)-N($R1165),2)))</f>
        <v/>
      </c>
      <c r="X1165" s="14" t="n"/>
      <c r="Y1165" s="17">
        <f>IF(COUNTA($B1165:$R1165)=0,"",IF($X1165="Cancelado","Cancelado",IF(OR($X1165="Pago",$X1165="Recebido"),$X1165,IF(OR($X1165="Parcial",N($R1165)&gt;0),"Parcial",IF($C1165="","Sem vencimento",IF($C1165&lt;TODAY(),"Vencido",IF($C1165=TODAY(),"Vence hoje",IF($C1165&lt;=TODAY()+7,"Vence em 7 dias",IF($C1165&lt;=TODAY()+30,"Vence em 30 dias","Futuro")))))))))</f>
        <v/>
      </c>
      <c r="Z1165" s="24">
        <f>IF($B1165="","",MONTH($B1165))</f>
        <v/>
      </c>
      <c r="AA1165" s="24">
        <f>IF($B1165="","",YEAR($B1165))</f>
        <v/>
      </c>
      <c r="AB1165" s="24">
        <f>IF($B1165="","",ISOWEEKNUM($B1165))</f>
        <v/>
      </c>
      <c r="AC1165" s="17">
        <f>IF($B1165="","",CHOOSE(WEEKDAY($B1165,2),"Segunda","Terça","Quarta","Quinta","Sexta","Sábado","Domingo"))</f>
        <v/>
      </c>
      <c r="AD1165" s="17">
        <f>IF($B1165="","",TEXT($B1165,"MM/AAAA"))</f>
        <v/>
      </c>
      <c r="AE1165" s="18">
        <f>IF(COUNTA($B1165:$R1165)=0,"",IF($X1165="Cancelado",0,ROUND(N($Q1165)+N($S1165)+N($T1165)-N($U1165),2)))</f>
        <v/>
      </c>
      <c r="AF1165" s="9">
        <f>IF($G1165="","",IFERROR(INDEX(LINHAS_DRE_PLANO,MATCH($G1165,SUBCATEGORIAS_PLANO,0)),"Não classificado"))</f>
        <v/>
      </c>
      <c r="AG1165" s="17">
        <f>IF($G1165="","",IFERROR(INDEX(TIPOS_FLUXO_PLANO,MATCH($G1165,SUBCATEGORIAS_PLANO,0)),"Não classificado"))</f>
        <v/>
      </c>
      <c r="AH1165" s="9">
        <f>IF($G1165="","",IFERROR(INDEX(GRUPOS_PLANO,MATCH($G1165,SUBCATEGORIAS_PLANO,0)),"Não classificado"))</f>
        <v/>
      </c>
      <c r="AI1165" s="24">
        <f>IF(OR($C1165="",$X1165="Pago",$X1165="Recebido",$X1165="Cancelado"),"",$C1165-TODAY())</f>
        <v/>
      </c>
      <c r="AJ1165" s="24">
        <f>IF(OR($C1165="",$X1165="Pago",$X1165="Recebido",$X1165="Cancelado"),0,MAX(0,TODAY()-$C1165))</f>
        <v/>
      </c>
      <c r="AK1165" s="24">
        <f>IF($D1165="","",$D1165-$B1165)</f>
        <v/>
      </c>
      <c r="AL1165" s="18">
        <f>IF(OR($D1165="",$B1165=""),"",ROUND(N($R1165)*($D1165-$B1165),2))</f>
        <v/>
      </c>
      <c r="AM1165" s="17">
        <f>IF(AND($E1165="Saída",$W1165&gt;0,$C1165&lt;&gt;""),$C1165+ROW()/1000000,"")</f>
        <v/>
      </c>
      <c r="AN1165" s="17">
        <f>IF(AND($E1165="Entrada",$W1165&gt;0,$C1165&lt;&gt;""),$C1165+ROW()/1000000,"")</f>
        <v/>
      </c>
      <c r="AO1165" s="9">
        <f>IF(COUNTA($B1165:$R1165)=0,"",IF(AND($I1165&lt;&gt;"",COUNTIF(CLIENTES_NOMES,$I1165)+COUNTIF(CLIENTES_FANTASIA,$I1165)+COUNTIF(FORNECEDORES_NOMES,$I1165)+COUNTIF(FORNECEDORES_FANTASIA,$I1165)=0),"⚠ Cliente/Fornecedor não cadastrado",IF(AND($G1165&lt;&gt;"",COUNTIF(SUBCATEGORIAS_PLANO,$G1165)=0),"⚠ Subcategoria fora do plano de contas",IF(OR($Q1165="",N($Q1165)=0),"⚠ Valor previsto não informado",IF(AND(OR($X1165="Pago",$X1165="Recebido"),$D1165=""),"⚠ Status pago/recebido sem data",IF(AND($D1165&lt;&gt;"",N($R1165)=0),"⚠ Data de pagamento sem valor realizado",IF(AND(N($P1165)&gt;1,N($O1165)&gt;N($P1165)),"⚠ Nº da parcela maior que o total",IF(AND($C1165&lt;&gt;"",$B1165&lt;&gt;"",$C1165&lt;$B1165),"⚠ Vencimento anterior à competência","OK"))))))))</f>
        <v/>
      </c>
    </row>
    <row r="1166">
      <c r="A1166" s="14" t="n"/>
      <c r="B1166" s="36" t="n"/>
      <c r="C1166" s="36" t="n"/>
      <c r="D1166" s="36" t="n"/>
      <c r="E1166" s="14" t="n"/>
      <c r="F1166" s="29" t="n"/>
      <c r="G1166" s="29" t="n"/>
      <c r="H1166" s="29" t="n"/>
      <c r="I1166" s="29" t="n"/>
      <c r="J1166" s="29" t="n"/>
      <c r="K1166" s="14" t="n"/>
      <c r="L1166" s="29" t="n"/>
      <c r="M1166" s="14" t="n"/>
      <c r="N1166" s="29" t="n"/>
      <c r="O1166" s="13" t="n"/>
      <c r="P1166" s="13" t="n"/>
      <c r="Q1166" s="35" t="n"/>
      <c r="R1166" s="35" t="n"/>
      <c r="S1166" s="35" t="n"/>
      <c r="T1166" s="35" t="n"/>
      <c r="U1166" s="35" t="n"/>
      <c r="V1166" s="18">
        <f>IF(COUNTA($B1166:$R1166)=0,"",ROUND(N($R1166)+N($S1166)+N($T1166)-N($U1166),2))</f>
        <v/>
      </c>
      <c r="W1166" s="18">
        <f>IF(COUNTA($B1166:$R1166)=0,"",IF(OR($X1166="Pago",$X1166="Recebido",$X1166="Cancelado"),0,ROUND(N($Q1166)+N($S1166)+N($T1166)-N($U1166)-N($R1166),2)))</f>
        <v/>
      </c>
      <c r="X1166" s="14" t="n"/>
      <c r="Y1166" s="17">
        <f>IF(COUNTA($B1166:$R1166)=0,"",IF($X1166="Cancelado","Cancelado",IF(OR($X1166="Pago",$X1166="Recebido"),$X1166,IF(OR($X1166="Parcial",N($R1166)&gt;0),"Parcial",IF($C1166="","Sem vencimento",IF($C1166&lt;TODAY(),"Vencido",IF($C1166=TODAY(),"Vence hoje",IF($C1166&lt;=TODAY()+7,"Vence em 7 dias",IF($C1166&lt;=TODAY()+30,"Vence em 30 dias","Futuro")))))))))</f>
        <v/>
      </c>
      <c r="Z1166" s="24">
        <f>IF($B1166="","",MONTH($B1166))</f>
        <v/>
      </c>
      <c r="AA1166" s="24">
        <f>IF($B1166="","",YEAR($B1166))</f>
        <v/>
      </c>
      <c r="AB1166" s="24">
        <f>IF($B1166="","",ISOWEEKNUM($B1166))</f>
        <v/>
      </c>
      <c r="AC1166" s="17">
        <f>IF($B1166="","",CHOOSE(WEEKDAY($B1166,2),"Segunda","Terça","Quarta","Quinta","Sexta","Sábado","Domingo"))</f>
        <v/>
      </c>
      <c r="AD1166" s="17">
        <f>IF($B1166="","",TEXT($B1166,"MM/AAAA"))</f>
        <v/>
      </c>
      <c r="AE1166" s="18">
        <f>IF(COUNTA($B1166:$R1166)=0,"",IF($X1166="Cancelado",0,ROUND(N($Q1166)+N($S1166)+N($T1166)-N($U1166),2)))</f>
        <v/>
      </c>
      <c r="AF1166" s="9">
        <f>IF($G1166="","",IFERROR(INDEX(LINHAS_DRE_PLANO,MATCH($G1166,SUBCATEGORIAS_PLANO,0)),"Não classificado"))</f>
        <v/>
      </c>
      <c r="AG1166" s="17">
        <f>IF($G1166="","",IFERROR(INDEX(TIPOS_FLUXO_PLANO,MATCH($G1166,SUBCATEGORIAS_PLANO,0)),"Não classificado"))</f>
        <v/>
      </c>
      <c r="AH1166" s="9">
        <f>IF($G1166="","",IFERROR(INDEX(GRUPOS_PLANO,MATCH($G1166,SUBCATEGORIAS_PLANO,0)),"Não classificado"))</f>
        <v/>
      </c>
      <c r="AI1166" s="24">
        <f>IF(OR($C1166="",$X1166="Pago",$X1166="Recebido",$X1166="Cancelado"),"",$C1166-TODAY())</f>
        <v/>
      </c>
      <c r="AJ1166" s="24">
        <f>IF(OR($C1166="",$X1166="Pago",$X1166="Recebido",$X1166="Cancelado"),0,MAX(0,TODAY()-$C1166))</f>
        <v/>
      </c>
      <c r="AK1166" s="24">
        <f>IF($D1166="","",$D1166-$B1166)</f>
        <v/>
      </c>
      <c r="AL1166" s="18">
        <f>IF(OR($D1166="",$B1166=""),"",ROUND(N($R1166)*($D1166-$B1166),2))</f>
        <v/>
      </c>
      <c r="AM1166" s="17">
        <f>IF(AND($E1166="Saída",$W1166&gt;0,$C1166&lt;&gt;""),$C1166+ROW()/1000000,"")</f>
        <v/>
      </c>
      <c r="AN1166" s="17">
        <f>IF(AND($E1166="Entrada",$W1166&gt;0,$C1166&lt;&gt;""),$C1166+ROW()/1000000,"")</f>
        <v/>
      </c>
      <c r="AO1166" s="9">
        <f>IF(COUNTA($B1166:$R1166)=0,"",IF(AND($I1166&lt;&gt;"",COUNTIF(CLIENTES_NOMES,$I1166)+COUNTIF(CLIENTES_FANTASIA,$I1166)+COUNTIF(FORNECEDORES_NOMES,$I1166)+COUNTIF(FORNECEDORES_FANTASIA,$I1166)=0),"⚠ Cliente/Fornecedor não cadastrado",IF(AND($G1166&lt;&gt;"",COUNTIF(SUBCATEGORIAS_PLANO,$G1166)=0),"⚠ Subcategoria fora do plano de contas",IF(OR($Q1166="",N($Q1166)=0),"⚠ Valor previsto não informado",IF(AND(OR($X1166="Pago",$X1166="Recebido"),$D1166=""),"⚠ Status pago/recebido sem data",IF(AND($D1166&lt;&gt;"",N($R1166)=0),"⚠ Data de pagamento sem valor realizado",IF(AND(N($P1166)&gt;1,N($O1166)&gt;N($P1166)),"⚠ Nº da parcela maior que o total",IF(AND($C1166&lt;&gt;"",$B1166&lt;&gt;"",$C1166&lt;$B1166),"⚠ Vencimento anterior à competência","OK"))))))))</f>
        <v/>
      </c>
    </row>
    <row r="1167">
      <c r="A1167" s="14" t="n"/>
      <c r="B1167" s="36" t="n"/>
      <c r="C1167" s="36" t="n"/>
      <c r="D1167" s="36" t="n"/>
      <c r="E1167" s="14" t="n"/>
      <c r="F1167" s="29" t="n"/>
      <c r="G1167" s="29" t="n"/>
      <c r="H1167" s="29" t="n"/>
      <c r="I1167" s="29" t="n"/>
      <c r="J1167" s="29" t="n"/>
      <c r="K1167" s="14" t="n"/>
      <c r="L1167" s="29" t="n"/>
      <c r="M1167" s="14" t="n"/>
      <c r="N1167" s="29" t="n"/>
      <c r="O1167" s="13" t="n"/>
      <c r="P1167" s="13" t="n"/>
      <c r="Q1167" s="35" t="n"/>
      <c r="R1167" s="35" t="n"/>
      <c r="S1167" s="35" t="n"/>
      <c r="T1167" s="35" t="n"/>
      <c r="U1167" s="35" t="n"/>
      <c r="V1167" s="18">
        <f>IF(COUNTA($B1167:$R1167)=0,"",ROUND(N($R1167)+N($S1167)+N($T1167)-N($U1167),2))</f>
        <v/>
      </c>
      <c r="W1167" s="18">
        <f>IF(COUNTA($B1167:$R1167)=0,"",IF(OR($X1167="Pago",$X1167="Recebido",$X1167="Cancelado"),0,ROUND(N($Q1167)+N($S1167)+N($T1167)-N($U1167)-N($R1167),2)))</f>
        <v/>
      </c>
      <c r="X1167" s="14" t="n"/>
      <c r="Y1167" s="17">
        <f>IF(COUNTA($B1167:$R1167)=0,"",IF($X1167="Cancelado","Cancelado",IF(OR($X1167="Pago",$X1167="Recebido"),$X1167,IF(OR($X1167="Parcial",N($R1167)&gt;0),"Parcial",IF($C1167="","Sem vencimento",IF($C1167&lt;TODAY(),"Vencido",IF($C1167=TODAY(),"Vence hoje",IF($C1167&lt;=TODAY()+7,"Vence em 7 dias",IF($C1167&lt;=TODAY()+30,"Vence em 30 dias","Futuro")))))))))</f>
        <v/>
      </c>
      <c r="Z1167" s="24">
        <f>IF($B1167="","",MONTH($B1167))</f>
        <v/>
      </c>
      <c r="AA1167" s="24">
        <f>IF($B1167="","",YEAR($B1167))</f>
        <v/>
      </c>
      <c r="AB1167" s="24">
        <f>IF($B1167="","",ISOWEEKNUM($B1167))</f>
        <v/>
      </c>
      <c r="AC1167" s="17">
        <f>IF($B1167="","",CHOOSE(WEEKDAY($B1167,2),"Segunda","Terça","Quarta","Quinta","Sexta","Sábado","Domingo"))</f>
        <v/>
      </c>
      <c r="AD1167" s="17">
        <f>IF($B1167="","",TEXT($B1167,"MM/AAAA"))</f>
        <v/>
      </c>
      <c r="AE1167" s="18">
        <f>IF(COUNTA($B1167:$R1167)=0,"",IF($X1167="Cancelado",0,ROUND(N($Q1167)+N($S1167)+N($T1167)-N($U1167),2)))</f>
        <v/>
      </c>
      <c r="AF1167" s="9">
        <f>IF($G1167="","",IFERROR(INDEX(LINHAS_DRE_PLANO,MATCH($G1167,SUBCATEGORIAS_PLANO,0)),"Não classificado"))</f>
        <v/>
      </c>
      <c r="AG1167" s="17">
        <f>IF($G1167="","",IFERROR(INDEX(TIPOS_FLUXO_PLANO,MATCH($G1167,SUBCATEGORIAS_PLANO,0)),"Não classificado"))</f>
        <v/>
      </c>
      <c r="AH1167" s="9">
        <f>IF($G1167="","",IFERROR(INDEX(GRUPOS_PLANO,MATCH($G1167,SUBCATEGORIAS_PLANO,0)),"Não classificado"))</f>
        <v/>
      </c>
      <c r="AI1167" s="24">
        <f>IF(OR($C1167="",$X1167="Pago",$X1167="Recebido",$X1167="Cancelado"),"",$C1167-TODAY())</f>
        <v/>
      </c>
      <c r="AJ1167" s="24">
        <f>IF(OR($C1167="",$X1167="Pago",$X1167="Recebido",$X1167="Cancelado"),0,MAX(0,TODAY()-$C1167))</f>
        <v/>
      </c>
      <c r="AK1167" s="24">
        <f>IF($D1167="","",$D1167-$B1167)</f>
        <v/>
      </c>
      <c r="AL1167" s="18">
        <f>IF(OR($D1167="",$B1167=""),"",ROUND(N($R1167)*($D1167-$B1167),2))</f>
        <v/>
      </c>
      <c r="AM1167" s="17">
        <f>IF(AND($E1167="Saída",$W1167&gt;0,$C1167&lt;&gt;""),$C1167+ROW()/1000000,"")</f>
        <v/>
      </c>
      <c r="AN1167" s="17">
        <f>IF(AND($E1167="Entrada",$W1167&gt;0,$C1167&lt;&gt;""),$C1167+ROW()/1000000,"")</f>
        <v/>
      </c>
      <c r="AO1167" s="9">
        <f>IF(COUNTA($B1167:$R1167)=0,"",IF(AND($I1167&lt;&gt;"",COUNTIF(CLIENTES_NOMES,$I1167)+COUNTIF(CLIENTES_FANTASIA,$I1167)+COUNTIF(FORNECEDORES_NOMES,$I1167)+COUNTIF(FORNECEDORES_FANTASIA,$I1167)=0),"⚠ Cliente/Fornecedor não cadastrado",IF(AND($G1167&lt;&gt;"",COUNTIF(SUBCATEGORIAS_PLANO,$G1167)=0),"⚠ Subcategoria fora do plano de contas",IF(OR($Q1167="",N($Q1167)=0),"⚠ Valor previsto não informado",IF(AND(OR($X1167="Pago",$X1167="Recebido"),$D1167=""),"⚠ Status pago/recebido sem data",IF(AND($D1167&lt;&gt;"",N($R1167)=0),"⚠ Data de pagamento sem valor realizado",IF(AND(N($P1167)&gt;1,N($O1167)&gt;N($P1167)),"⚠ Nº da parcela maior que o total",IF(AND($C1167&lt;&gt;"",$B1167&lt;&gt;"",$C1167&lt;$B1167),"⚠ Vencimento anterior à competência","OK"))))))))</f>
        <v/>
      </c>
    </row>
    <row r="1168">
      <c r="A1168" s="14" t="n"/>
      <c r="B1168" s="36" t="n"/>
      <c r="C1168" s="36" t="n"/>
      <c r="D1168" s="36" t="n"/>
      <c r="E1168" s="14" t="n"/>
      <c r="F1168" s="29" t="n"/>
      <c r="G1168" s="29" t="n"/>
      <c r="H1168" s="29" t="n"/>
      <c r="I1168" s="29" t="n"/>
      <c r="J1168" s="29" t="n"/>
      <c r="K1168" s="14" t="n"/>
      <c r="L1168" s="29" t="n"/>
      <c r="M1168" s="14" t="n"/>
      <c r="N1168" s="29" t="n"/>
      <c r="O1168" s="13" t="n"/>
      <c r="P1168" s="13" t="n"/>
      <c r="Q1168" s="35" t="n"/>
      <c r="R1168" s="35" t="n"/>
      <c r="S1168" s="35" t="n"/>
      <c r="T1168" s="35" t="n"/>
      <c r="U1168" s="35" t="n"/>
      <c r="V1168" s="18">
        <f>IF(COUNTA($B1168:$R1168)=0,"",ROUND(N($R1168)+N($S1168)+N($T1168)-N($U1168),2))</f>
        <v/>
      </c>
      <c r="W1168" s="18">
        <f>IF(COUNTA($B1168:$R1168)=0,"",IF(OR($X1168="Pago",$X1168="Recebido",$X1168="Cancelado"),0,ROUND(N($Q1168)+N($S1168)+N($T1168)-N($U1168)-N($R1168),2)))</f>
        <v/>
      </c>
      <c r="X1168" s="14" t="n"/>
      <c r="Y1168" s="17">
        <f>IF(COUNTA($B1168:$R1168)=0,"",IF($X1168="Cancelado","Cancelado",IF(OR($X1168="Pago",$X1168="Recebido"),$X1168,IF(OR($X1168="Parcial",N($R1168)&gt;0),"Parcial",IF($C1168="","Sem vencimento",IF($C1168&lt;TODAY(),"Vencido",IF($C1168=TODAY(),"Vence hoje",IF($C1168&lt;=TODAY()+7,"Vence em 7 dias",IF($C1168&lt;=TODAY()+30,"Vence em 30 dias","Futuro")))))))))</f>
        <v/>
      </c>
      <c r="Z1168" s="24">
        <f>IF($B1168="","",MONTH($B1168))</f>
        <v/>
      </c>
      <c r="AA1168" s="24">
        <f>IF($B1168="","",YEAR($B1168))</f>
        <v/>
      </c>
      <c r="AB1168" s="24">
        <f>IF($B1168="","",ISOWEEKNUM($B1168))</f>
        <v/>
      </c>
      <c r="AC1168" s="17">
        <f>IF($B1168="","",CHOOSE(WEEKDAY($B1168,2),"Segunda","Terça","Quarta","Quinta","Sexta","Sábado","Domingo"))</f>
        <v/>
      </c>
      <c r="AD1168" s="17">
        <f>IF($B1168="","",TEXT($B1168,"MM/AAAA"))</f>
        <v/>
      </c>
      <c r="AE1168" s="18">
        <f>IF(COUNTA($B1168:$R1168)=0,"",IF($X1168="Cancelado",0,ROUND(N($Q1168)+N($S1168)+N($T1168)-N($U1168),2)))</f>
        <v/>
      </c>
      <c r="AF1168" s="9">
        <f>IF($G1168="","",IFERROR(INDEX(LINHAS_DRE_PLANO,MATCH($G1168,SUBCATEGORIAS_PLANO,0)),"Não classificado"))</f>
        <v/>
      </c>
      <c r="AG1168" s="17">
        <f>IF($G1168="","",IFERROR(INDEX(TIPOS_FLUXO_PLANO,MATCH($G1168,SUBCATEGORIAS_PLANO,0)),"Não classificado"))</f>
        <v/>
      </c>
      <c r="AH1168" s="9">
        <f>IF($G1168="","",IFERROR(INDEX(GRUPOS_PLANO,MATCH($G1168,SUBCATEGORIAS_PLANO,0)),"Não classificado"))</f>
        <v/>
      </c>
      <c r="AI1168" s="24">
        <f>IF(OR($C1168="",$X1168="Pago",$X1168="Recebido",$X1168="Cancelado"),"",$C1168-TODAY())</f>
        <v/>
      </c>
      <c r="AJ1168" s="24">
        <f>IF(OR($C1168="",$X1168="Pago",$X1168="Recebido",$X1168="Cancelado"),0,MAX(0,TODAY()-$C1168))</f>
        <v/>
      </c>
      <c r="AK1168" s="24">
        <f>IF($D1168="","",$D1168-$B1168)</f>
        <v/>
      </c>
      <c r="AL1168" s="18">
        <f>IF(OR($D1168="",$B1168=""),"",ROUND(N($R1168)*($D1168-$B1168),2))</f>
        <v/>
      </c>
      <c r="AM1168" s="17">
        <f>IF(AND($E1168="Saída",$W1168&gt;0,$C1168&lt;&gt;""),$C1168+ROW()/1000000,"")</f>
        <v/>
      </c>
      <c r="AN1168" s="17">
        <f>IF(AND($E1168="Entrada",$W1168&gt;0,$C1168&lt;&gt;""),$C1168+ROW()/1000000,"")</f>
        <v/>
      </c>
      <c r="AO1168" s="9">
        <f>IF(COUNTA($B1168:$R1168)=0,"",IF(AND($I1168&lt;&gt;"",COUNTIF(CLIENTES_NOMES,$I1168)+COUNTIF(CLIENTES_FANTASIA,$I1168)+COUNTIF(FORNECEDORES_NOMES,$I1168)+COUNTIF(FORNECEDORES_FANTASIA,$I1168)=0),"⚠ Cliente/Fornecedor não cadastrado",IF(AND($G1168&lt;&gt;"",COUNTIF(SUBCATEGORIAS_PLANO,$G1168)=0),"⚠ Subcategoria fora do plano de contas",IF(OR($Q1168="",N($Q1168)=0),"⚠ Valor previsto não informado",IF(AND(OR($X1168="Pago",$X1168="Recebido"),$D1168=""),"⚠ Status pago/recebido sem data",IF(AND($D1168&lt;&gt;"",N($R1168)=0),"⚠ Data de pagamento sem valor realizado",IF(AND(N($P1168)&gt;1,N($O1168)&gt;N($P1168)),"⚠ Nº da parcela maior que o total",IF(AND($C1168&lt;&gt;"",$B1168&lt;&gt;"",$C1168&lt;$B1168),"⚠ Vencimento anterior à competência","OK"))))))))</f>
        <v/>
      </c>
    </row>
    <row r="1169">
      <c r="A1169" s="14" t="n"/>
      <c r="B1169" s="36" t="n"/>
      <c r="C1169" s="36" t="n"/>
      <c r="D1169" s="36" t="n"/>
      <c r="E1169" s="14" t="n"/>
      <c r="F1169" s="29" t="n"/>
      <c r="G1169" s="29" t="n"/>
      <c r="H1169" s="29" t="n"/>
      <c r="I1169" s="29" t="n"/>
      <c r="J1169" s="29" t="n"/>
      <c r="K1169" s="14" t="n"/>
      <c r="L1169" s="29" t="n"/>
      <c r="M1169" s="14" t="n"/>
      <c r="N1169" s="29" t="n"/>
      <c r="O1169" s="13" t="n"/>
      <c r="P1169" s="13" t="n"/>
      <c r="Q1169" s="35" t="n"/>
      <c r="R1169" s="35" t="n"/>
      <c r="S1169" s="35" t="n"/>
      <c r="T1169" s="35" t="n"/>
      <c r="U1169" s="35" t="n"/>
      <c r="V1169" s="18">
        <f>IF(COUNTA($B1169:$R1169)=0,"",ROUND(N($R1169)+N($S1169)+N($T1169)-N($U1169),2))</f>
        <v/>
      </c>
      <c r="W1169" s="18">
        <f>IF(COUNTA($B1169:$R1169)=0,"",IF(OR($X1169="Pago",$X1169="Recebido",$X1169="Cancelado"),0,ROUND(N($Q1169)+N($S1169)+N($T1169)-N($U1169)-N($R1169),2)))</f>
        <v/>
      </c>
      <c r="X1169" s="14" t="n"/>
      <c r="Y1169" s="17">
        <f>IF(COUNTA($B1169:$R1169)=0,"",IF($X1169="Cancelado","Cancelado",IF(OR($X1169="Pago",$X1169="Recebido"),$X1169,IF(OR($X1169="Parcial",N($R1169)&gt;0),"Parcial",IF($C1169="","Sem vencimento",IF($C1169&lt;TODAY(),"Vencido",IF($C1169=TODAY(),"Vence hoje",IF($C1169&lt;=TODAY()+7,"Vence em 7 dias",IF($C1169&lt;=TODAY()+30,"Vence em 30 dias","Futuro")))))))))</f>
        <v/>
      </c>
      <c r="Z1169" s="24">
        <f>IF($B1169="","",MONTH($B1169))</f>
        <v/>
      </c>
      <c r="AA1169" s="24">
        <f>IF($B1169="","",YEAR($B1169))</f>
        <v/>
      </c>
      <c r="AB1169" s="24">
        <f>IF($B1169="","",ISOWEEKNUM($B1169))</f>
        <v/>
      </c>
      <c r="AC1169" s="17">
        <f>IF($B1169="","",CHOOSE(WEEKDAY($B1169,2),"Segunda","Terça","Quarta","Quinta","Sexta","Sábado","Domingo"))</f>
        <v/>
      </c>
      <c r="AD1169" s="17">
        <f>IF($B1169="","",TEXT($B1169,"MM/AAAA"))</f>
        <v/>
      </c>
      <c r="AE1169" s="18">
        <f>IF(COUNTA($B1169:$R1169)=0,"",IF($X1169="Cancelado",0,ROUND(N($Q1169)+N($S1169)+N($T1169)-N($U1169),2)))</f>
        <v/>
      </c>
      <c r="AF1169" s="9">
        <f>IF($G1169="","",IFERROR(INDEX(LINHAS_DRE_PLANO,MATCH($G1169,SUBCATEGORIAS_PLANO,0)),"Não classificado"))</f>
        <v/>
      </c>
      <c r="AG1169" s="17">
        <f>IF($G1169="","",IFERROR(INDEX(TIPOS_FLUXO_PLANO,MATCH($G1169,SUBCATEGORIAS_PLANO,0)),"Não classificado"))</f>
        <v/>
      </c>
      <c r="AH1169" s="9">
        <f>IF($G1169="","",IFERROR(INDEX(GRUPOS_PLANO,MATCH($G1169,SUBCATEGORIAS_PLANO,0)),"Não classificado"))</f>
        <v/>
      </c>
      <c r="AI1169" s="24">
        <f>IF(OR($C1169="",$X1169="Pago",$X1169="Recebido",$X1169="Cancelado"),"",$C1169-TODAY())</f>
        <v/>
      </c>
      <c r="AJ1169" s="24">
        <f>IF(OR($C1169="",$X1169="Pago",$X1169="Recebido",$X1169="Cancelado"),0,MAX(0,TODAY()-$C1169))</f>
        <v/>
      </c>
      <c r="AK1169" s="24">
        <f>IF($D1169="","",$D1169-$B1169)</f>
        <v/>
      </c>
      <c r="AL1169" s="18">
        <f>IF(OR($D1169="",$B1169=""),"",ROUND(N($R1169)*($D1169-$B1169),2))</f>
        <v/>
      </c>
      <c r="AM1169" s="17">
        <f>IF(AND($E1169="Saída",$W1169&gt;0,$C1169&lt;&gt;""),$C1169+ROW()/1000000,"")</f>
        <v/>
      </c>
      <c r="AN1169" s="17">
        <f>IF(AND($E1169="Entrada",$W1169&gt;0,$C1169&lt;&gt;""),$C1169+ROW()/1000000,"")</f>
        <v/>
      </c>
      <c r="AO1169" s="9">
        <f>IF(COUNTA($B1169:$R1169)=0,"",IF(AND($I1169&lt;&gt;"",COUNTIF(CLIENTES_NOMES,$I1169)+COUNTIF(CLIENTES_FANTASIA,$I1169)+COUNTIF(FORNECEDORES_NOMES,$I1169)+COUNTIF(FORNECEDORES_FANTASIA,$I1169)=0),"⚠ Cliente/Fornecedor não cadastrado",IF(AND($G1169&lt;&gt;"",COUNTIF(SUBCATEGORIAS_PLANO,$G1169)=0),"⚠ Subcategoria fora do plano de contas",IF(OR($Q1169="",N($Q1169)=0),"⚠ Valor previsto não informado",IF(AND(OR($X1169="Pago",$X1169="Recebido"),$D1169=""),"⚠ Status pago/recebido sem data",IF(AND($D1169&lt;&gt;"",N($R1169)=0),"⚠ Data de pagamento sem valor realizado",IF(AND(N($P1169)&gt;1,N($O1169)&gt;N($P1169)),"⚠ Nº da parcela maior que o total",IF(AND($C1169&lt;&gt;"",$B1169&lt;&gt;"",$C1169&lt;$B1169),"⚠ Vencimento anterior à competência","OK"))))))))</f>
        <v/>
      </c>
    </row>
    <row r="1170">
      <c r="A1170" s="14" t="n"/>
      <c r="B1170" s="36" t="n"/>
      <c r="C1170" s="36" t="n"/>
      <c r="D1170" s="36" t="n"/>
      <c r="E1170" s="14" t="n"/>
      <c r="F1170" s="29" t="n"/>
      <c r="G1170" s="29" t="n"/>
      <c r="H1170" s="29" t="n"/>
      <c r="I1170" s="29" t="n"/>
      <c r="J1170" s="29" t="n"/>
      <c r="K1170" s="14" t="n"/>
      <c r="L1170" s="29" t="n"/>
      <c r="M1170" s="14" t="n"/>
      <c r="N1170" s="29" t="n"/>
      <c r="O1170" s="13" t="n"/>
      <c r="P1170" s="13" t="n"/>
      <c r="Q1170" s="35" t="n"/>
      <c r="R1170" s="35" t="n"/>
      <c r="S1170" s="35" t="n"/>
      <c r="T1170" s="35" t="n"/>
      <c r="U1170" s="35" t="n"/>
      <c r="V1170" s="18">
        <f>IF(COUNTA($B1170:$R1170)=0,"",ROUND(N($R1170)+N($S1170)+N($T1170)-N($U1170),2))</f>
        <v/>
      </c>
      <c r="W1170" s="18">
        <f>IF(COUNTA($B1170:$R1170)=0,"",IF(OR($X1170="Pago",$X1170="Recebido",$X1170="Cancelado"),0,ROUND(N($Q1170)+N($S1170)+N($T1170)-N($U1170)-N($R1170),2)))</f>
        <v/>
      </c>
      <c r="X1170" s="14" t="n"/>
      <c r="Y1170" s="17">
        <f>IF(COUNTA($B1170:$R1170)=0,"",IF($X1170="Cancelado","Cancelado",IF(OR($X1170="Pago",$X1170="Recebido"),$X1170,IF(OR($X1170="Parcial",N($R1170)&gt;0),"Parcial",IF($C1170="","Sem vencimento",IF($C1170&lt;TODAY(),"Vencido",IF($C1170=TODAY(),"Vence hoje",IF($C1170&lt;=TODAY()+7,"Vence em 7 dias",IF($C1170&lt;=TODAY()+30,"Vence em 30 dias","Futuro")))))))))</f>
        <v/>
      </c>
      <c r="Z1170" s="24">
        <f>IF($B1170="","",MONTH($B1170))</f>
        <v/>
      </c>
      <c r="AA1170" s="24">
        <f>IF($B1170="","",YEAR($B1170))</f>
        <v/>
      </c>
      <c r="AB1170" s="24">
        <f>IF($B1170="","",ISOWEEKNUM($B1170))</f>
        <v/>
      </c>
      <c r="AC1170" s="17">
        <f>IF($B1170="","",CHOOSE(WEEKDAY($B1170,2),"Segunda","Terça","Quarta","Quinta","Sexta","Sábado","Domingo"))</f>
        <v/>
      </c>
      <c r="AD1170" s="17">
        <f>IF($B1170="","",TEXT($B1170,"MM/AAAA"))</f>
        <v/>
      </c>
      <c r="AE1170" s="18">
        <f>IF(COUNTA($B1170:$R1170)=0,"",IF($X1170="Cancelado",0,ROUND(N($Q1170)+N($S1170)+N($T1170)-N($U1170),2)))</f>
        <v/>
      </c>
      <c r="AF1170" s="9">
        <f>IF($G1170="","",IFERROR(INDEX(LINHAS_DRE_PLANO,MATCH($G1170,SUBCATEGORIAS_PLANO,0)),"Não classificado"))</f>
        <v/>
      </c>
      <c r="AG1170" s="17">
        <f>IF($G1170="","",IFERROR(INDEX(TIPOS_FLUXO_PLANO,MATCH($G1170,SUBCATEGORIAS_PLANO,0)),"Não classificado"))</f>
        <v/>
      </c>
      <c r="AH1170" s="9">
        <f>IF($G1170="","",IFERROR(INDEX(GRUPOS_PLANO,MATCH($G1170,SUBCATEGORIAS_PLANO,0)),"Não classificado"))</f>
        <v/>
      </c>
      <c r="AI1170" s="24">
        <f>IF(OR($C1170="",$X1170="Pago",$X1170="Recebido",$X1170="Cancelado"),"",$C1170-TODAY())</f>
        <v/>
      </c>
      <c r="AJ1170" s="24">
        <f>IF(OR($C1170="",$X1170="Pago",$X1170="Recebido",$X1170="Cancelado"),0,MAX(0,TODAY()-$C1170))</f>
        <v/>
      </c>
      <c r="AK1170" s="24">
        <f>IF($D1170="","",$D1170-$B1170)</f>
        <v/>
      </c>
      <c r="AL1170" s="18">
        <f>IF(OR($D1170="",$B1170=""),"",ROUND(N($R1170)*($D1170-$B1170),2))</f>
        <v/>
      </c>
      <c r="AM1170" s="17">
        <f>IF(AND($E1170="Saída",$W1170&gt;0,$C1170&lt;&gt;""),$C1170+ROW()/1000000,"")</f>
        <v/>
      </c>
      <c r="AN1170" s="17">
        <f>IF(AND($E1170="Entrada",$W1170&gt;0,$C1170&lt;&gt;""),$C1170+ROW()/1000000,"")</f>
        <v/>
      </c>
      <c r="AO1170" s="9">
        <f>IF(COUNTA($B1170:$R1170)=0,"",IF(AND($I1170&lt;&gt;"",COUNTIF(CLIENTES_NOMES,$I1170)+COUNTIF(CLIENTES_FANTASIA,$I1170)+COUNTIF(FORNECEDORES_NOMES,$I1170)+COUNTIF(FORNECEDORES_FANTASIA,$I1170)=0),"⚠ Cliente/Fornecedor não cadastrado",IF(AND($G1170&lt;&gt;"",COUNTIF(SUBCATEGORIAS_PLANO,$G1170)=0),"⚠ Subcategoria fora do plano de contas",IF(OR($Q1170="",N($Q1170)=0),"⚠ Valor previsto não informado",IF(AND(OR($X1170="Pago",$X1170="Recebido"),$D1170=""),"⚠ Status pago/recebido sem data",IF(AND($D1170&lt;&gt;"",N($R1170)=0),"⚠ Data de pagamento sem valor realizado",IF(AND(N($P1170)&gt;1,N($O1170)&gt;N($P1170)),"⚠ Nº da parcela maior que o total",IF(AND($C1170&lt;&gt;"",$B1170&lt;&gt;"",$C1170&lt;$B1170),"⚠ Vencimento anterior à competência","OK"))))))))</f>
        <v/>
      </c>
    </row>
    <row r="1171">
      <c r="A1171" s="14" t="n"/>
      <c r="B1171" s="36" t="n"/>
      <c r="C1171" s="36" t="n"/>
      <c r="D1171" s="36" t="n"/>
      <c r="E1171" s="14" t="n"/>
      <c r="F1171" s="29" t="n"/>
      <c r="G1171" s="29" t="n"/>
      <c r="H1171" s="29" t="n"/>
      <c r="I1171" s="29" t="n"/>
      <c r="J1171" s="29" t="n"/>
      <c r="K1171" s="14" t="n"/>
      <c r="L1171" s="29" t="n"/>
      <c r="M1171" s="14" t="n"/>
      <c r="N1171" s="29" t="n"/>
      <c r="O1171" s="13" t="n"/>
      <c r="P1171" s="13" t="n"/>
      <c r="Q1171" s="35" t="n"/>
      <c r="R1171" s="35" t="n"/>
      <c r="S1171" s="35" t="n"/>
      <c r="T1171" s="35" t="n"/>
      <c r="U1171" s="35" t="n"/>
      <c r="V1171" s="18">
        <f>IF(COUNTA($B1171:$R1171)=0,"",ROUND(N($R1171)+N($S1171)+N($T1171)-N($U1171),2))</f>
        <v/>
      </c>
      <c r="W1171" s="18">
        <f>IF(COUNTA($B1171:$R1171)=0,"",IF(OR($X1171="Pago",$X1171="Recebido",$X1171="Cancelado"),0,ROUND(N($Q1171)+N($S1171)+N($T1171)-N($U1171)-N($R1171),2)))</f>
        <v/>
      </c>
      <c r="X1171" s="14" t="n"/>
      <c r="Y1171" s="17">
        <f>IF(COUNTA($B1171:$R1171)=0,"",IF($X1171="Cancelado","Cancelado",IF(OR($X1171="Pago",$X1171="Recebido"),$X1171,IF(OR($X1171="Parcial",N($R1171)&gt;0),"Parcial",IF($C1171="","Sem vencimento",IF($C1171&lt;TODAY(),"Vencido",IF($C1171=TODAY(),"Vence hoje",IF($C1171&lt;=TODAY()+7,"Vence em 7 dias",IF($C1171&lt;=TODAY()+30,"Vence em 30 dias","Futuro")))))))))</f>
        <v/>
      </c>
      <c r="Z1171" s="24">
        <f>IF($B1171="","",MONTH($B1171))</f>
        <v/>
      </c>
      <c r="AA1171" s="24">
        <f>IF($B1171="","",YEAR($B1171))</f>
        <v/>
      </c>
      <c r="AB1171" s="24">
        <f>IF($B1171="","",ISOWEEKNUM($B1171))</f>
        <v/>
      </c>
      <c r="AC1171" s="17">
        <f>IF($B1171="","",CHOOSE(WEEKDAY($B1171,2),"Segunda","Terça","Quarta","Quinta","Sexta","Sábado","Domingo"))</f>
        <v/>
      </c>
      <c r="AD1171" s="17">
        <f>IF($B1171="","",TEXT($B1171,"MM/AAAA"))</f>
        <v/>
      </c>
      <c r="AE1171" s="18">
        <f>IF(COUNTA($B1171:$R1171)=0,"",IF($X1171="Cancelado",0,ROUND(N($Q1171)+N($S1171)+N($T1171)-N($U1171),2)))</f>
        <v/>
      </c>
      <c r="AF1171" s="9">
        <f>IF($G1171="","",IFERROR(INDEX(LINHAS_DRE_PLANO,MATCH($G1171,SUBCATEGORIAS_PLANO,0)),"Não classificado"))</f>
        <v/>
      </c>
      <c r="AG1171" s="17">
        <f>IF($G1171="","",IFERROR(INDEX(TIPOS_FLUXO_PLANO,MATCH($G1171,SUBCATEGORIAS_PLANO,0)),"Não classificado"))</f>
        <v/>
      </c>
      <c r="AH1171" s="9">
        <f>IF($G1171="","",IFERROR(INDEX(GRUPOS_PLANO,MATCH($G1171,SUBCATEGORIAS_PLANO,0)),"Não classificado"))</f>
        <v/>
      </c>
      <c r="AI1171" s="24">
        <f>IF(OR($C1171="",$X1171="Pago",$X1171="Recebido",$X1171="Cancelado"),"",$C1171-TODAY())</f>
        <v/>
      </c>
      <c r="AJ1171" s="24">
        <f>IF(OR($C1171="",$X1171="Pago",$X1171="Recebido",$X1171="Cancelado"),0,MAX(0,TODAY()-$C1171))</f>
        <v/>
      </c>
      <c r="AK1171" s="24">
        <f>IF($D1171="","",$D1171-$B1171)</f>
        <v/>
      </c>
      <c r="AL1171" s="18">
        <f>IF(OR($D1171="",$B1171=""),"",ROUND(N($R1171)*($D1171-$B1171),2))</f>
        <v/>
      </c>
      <c r="AM1171" s="17">
        <f>IF(AND($E1171="Saída",$W1171&gt;0,$C1171&lt;&gt;""),$C1171+ROW()/1000000,"")</f>
        <v/>
      </c>
      <c r="AN1171" s="17">
        <f>IF(AND($E1171="Entrada",$W1171&gt;0,$C1171&lt;&gt;""),$C1171+ROW()/1000000,"")</f>
        <v/>
      </c>
      <c r="AO1171" s="9">
        <f>IF(COUNTA($B1171:$R1171)=0,"",IF(AND($I1171&lt;&gt;"",COUNTIF(CLIENTES_NOMES,$I1171)+COUNTIF(CLIENTES_FANTASIA,$I1171)+COUNTIF(FORNECEDORES_NOMES,$I1171)+COUNTIF(FORNECEDORES_FANTASIA,$I1171)=0),"⚠ Cliente/Fornecedor não cadastrado",IF(AND($G1171&lt;&gt;"",COUNTIF(SUBCATEGORIAS_PLANO,$G1171)=0),"⚠ Subcategoria fora do plano de contas",IF(OR($Q1171="",N($Q1171)=0),"⚠ Valor previsto não informado",IF(AND(OR($X1171="Pago",$X1171="Recebido"),$D1171=""),"⚠ Status pago/recebido sem data",IF(AND($D1171&lt;&gt;"",N($R1171)=0),"⚠ Data de pagamento sem valor realizado",IF(AND(N($P1171)&gt;1,N($O1171)&gt;N($P1171)),"⚠ Nº da parcela maior que o total",IF(AND($C1171&lt;&gt;"",$B1171&lt;&gt;"",$C1171&lt;$B1171),"⚠ Vencimento anterior à competência","OK"))))))))</f>
        <v/>
      </c>
    </row>
    <row r="1172">
      <c r="A1172" s="14" t="n"/>
      <c r="B1172" s="36" t="n"/>
      <c r="C1172" s="36" t="n"/>
      <c r="D1172" s="36" t="n"/>
      <c r="E1172" s="14" t="n"/>
      <c r="F1172" s="29" t="n"/>
      <c r="G1172" s="29" t="n"/>
      <c r="H1172" s="29" t="n"/>
      <c r="I1172" s="29" t="n"/>
      <c r="J1172" s="29" t="n"/>
      <c r="K1172" s="14" t="n"/>
      <c r="L1172" s="29" t="n"/>
      <c r="M1172" s="14" t="n"/>
      <c r="N1172" s="29" t="n"/>
      <c r="O1172" s="13" t="n"/>
      <c r="P1172" s="13" t="n"/>
      <c r="Q1172" s="35" t="n"/>
      <c r="R1172" s="35" t="n"/>
      <c r="S1172" s="35" t="n"/>
      <c r="T1172" s="35" t="n"/>
      <c r="U1172" s="35" t="n"/>
      <c r="V1172" s="18">
        <f>IF(COUNTA($B1172:$R1172)=0,"",ROUND(N($R1172)+N($S1172)+N($T1172)-N($U1172),2))</f>
        <v/>
      </c>
      <c r="W1172" s="18">
        <f>IF(COUNTA($B1172:$R1172)=0,"",IF(OR($X1172="Pago",$X1172="Recebido",$X1172="Cancelado"),0,ROUND(N($Q1172)+N($S1172)+N($T1172)-N($U1172)-N($R1172),2)))</f>
        <v/>
      </c>
      <c r="X1172" s="14" t="n"/>
      <c r="Y1172" s="17">
        <f>IF(COUNTA($B1172:$R1172)=0,"",IF($X1172="Cancelado","Cancelado",IF(OR($X1172="Pago",$X1172="Recebido"),$X1172,IF(OR($X1172="Parcial",N($R1172)&gt;0),"Parcial",IF($C1172="","Sem vencimento",IF($C1172&lt;TODAY(),"Vencido",IF($C1172=TODAY(),"Vence hoje",IF($C1172&lt;=TODAY()+7,"Vence em 7 dias",IF($C1172&lt;=TODAY()+30,"Vence em 30 dias","Futuro")))))))))</f>
        <v/>
      </c>
      <c r="Z1172" s="24">
        <f>IF($B1172="","",MONTH($B1172))</f>
        <v/>
      </c>
      <c r="AA1172" s="24">
        <f>IF($B1172="","",YEAR($B1172))</f>
        <v/>
      </c>
      <c r="AB1172" s="24">
        <f>IF($B1172="","",ISOWEEKNUM($B1172))</f>
        <v/>
      </c>
      <c r="AC1172" s="17">
        <f>IF($B1172="","",CHOOSE(WEEKDAY($B1172,2),"Segunda","Terça","Quarta","Quinta","Sexta","Sábado","Domingo"))</f>
        <v/>
      </c>
      <c r="AD1172" s="17">
        <f>IF($B1172="","",TEXT($B1172,"MM/AAAA"))</f>
        <v/>
      </c>
      <c r="AE1172" s="18">
        <f>IF(COUNTA($B1172:$R1172)=0,"",IF($X1172="Cancelado",0,ROUND(N($Q1172)+N($S1172)+N($T1172)-N($U1172),2)))</f>
        <v/>
      </c>
      <c r="AF1172" s="9">
        <f>IF($G1172="","",IFERROR(INDEX(LINHAS_DRE_PLANO,MATCH($G1172,SUBCATEGORIAS_PLANO,0)),"Não classificado"))</f>
        <v/>
      </c>
      <c r="AG1172" s="17">
        <f>IF($G1172="","",IFERROR(INDEX(TIPOS_FLUXO_PLANO,MATCH($G1172,SUBCATEGORIAS_PLANO,0)),"Não classificado"))</f>
        <v/>
      </c>
      <c r="AH1172" s="9">
        <f>IF($G1172="","",IFERROR(INDEX(GRUPOS_PLANO,MATCH($G1172,SUBCATEGORIAS_PLANO,0)),"Não classificado"))</f>
        <v/>
      </c>
      <c r="AI1172" s="24">
        <f>IF(OR($C1172="",$X1172="Pago",$X1172="Recebido",$X1172="Cancelado"),"",$C1172-TODAY())</f>
        <v/>
      </c>
      <c r="AJ1172" s="24">
        <f>IF(OR($C1172="",$X1172="Pago",$X1172="Recebido",$X1172="Cancelado"),0,MAX(0,TODAY()-$C1172))</f>
        <v/>
      </c>
      <c r="AK1172" s="24">
        <f>IF($D1172="","",$D1172-$B1172)</f>
        <v/>
      </c>
      <c r="AL1172" s="18">
        <f>IF(OR($D1172="",$B1172=""),"",ROUND(N($R1172)*($D1172-$B1172),2))</f>
        <v/>
      </c>
      <c r="AM1172" s="17">
        <f>IF(AND($E1172="Saída",$W1172&gt;0,$C1172&lt;&gt;""),$C1172+ROW()/1000000,"")</f>
        <v/>
      </c>
      <c r="AN1172" s="17">
        <f>IF(AND($E1172="Entrada",$W1172&gt;0,$C1172&lt;&gt;""),$C1172+ROW()/1000000,"")</f>
        <v/>
      </c>
      <c r="AO1172" s="9">
        <f>IF(COUNTA($B1172:$R1172)=0,"",IF(AND($I1172&lt;&gt;"",COUNTIF(CLIENTES_NOMES,$I1172)+COUNTIF(CLIENTES_FANTASIA,$I1172)+COUNTIF(FORNECEDORES_NOMES,$I1172)+COUNTIF(FORNECEDORES_FANTASIA,$I1172)=0),"⚠ Cliente/Fornecedor não cadastrado",IF(AND($G1172&lt;&gt;"",COUNTIF(SUBCATEGORIAS_PLANO,$G1172)=0),"⚠ Subcategoria fora do plano de contas",IF(OR($Q1172="",N($Q1172)=0),"⚠ Valor previsto não informado",IF(AND(OR($X1172="Pago",$X1172="Recebido"),$D1172=""),"⚠ Status pago/recebido sem data",IF(AND($D1172&lt;&gt;"",N($R1172)=0),"⚠ Data de pagamento sem valor realizado",IF(AND(N($P1172)&gt;1,N($O1172)&gt;N($P1172)),"⚠ Nº da parcela maior que o total",IF(AND($C1172&lt;&gt;"",$B1172&lt;&gt;"",$C1172&lt;$B1172),"⚠ Vencimento anterior à competência","OK"))))))))</f>
        <v/>
      </c>
    </row>
    <row r="1173">
      <c r="A1173" s="14" t="n"/>
      <c r="B1173" s="36" t="n"/>
      <c r="C1173" s="36" t="n"/>
      <c r="D1173" s="36" t="n"/>
      <c r="E1173" s="14" t="n"/>
      <c r="F1173" s="29" t="n"/>
      <c r="G1173" s="29" t="n"/>
      <c r="H1173" s="29" t="n"/>
      <c r="I1173" s="29" t="n"/>
      <c r="J1173" s="29" t="n"/>
      <c r="K1173" s="14" t="n"/>
      <c r="L1173" s="29" t="n"/>
      <c r="M1173" s="14" t="n"/>
      <c r="N1173" s="29" t="n"/>
      <c r="O1173" s="13" t="n"/>
      <c r="P1173" s="13" t="n"/>
      <c r="Q1173" s="35" t="n"/>
      <c r="R1173" s="35" t="n"/>
      <c r="S1173" s="35" t="n"/>
      <c r="T1173" s="35" t="n"/>
      <c r="U1173" s="35" t="n"/>
      <c r="V1173" s="18">
        <f>IF(COUNTA($B1173:$R1173)=0,"",ROUND(N($R1173)+N($S1173)+N($T1173)-N($U1173),2))</f>
        <v/>
      </c>
      <c r="W1173" s="18">
        <f>IF(COUNTA($B1173:$R1173)=0,"",IF(OR($X1173="Pago",$X1173="Recebido",$X1173="Cancelado"),0,ROUND(N($Q1173)+N($S1173)+N($T1173)-N($U1173)-N($R1173),2)))</f>
        <v/>
      </c>
      <c r="X1173" s="14" t="n"/>
      <c r="Y1173" s="17">
        <f>IF(COUNTA($B1173:$R1173)=0,"",IF($X1173="Cancelado","Cancelado",IF(OR($X1173="Pago",$X1173="Recebido"),$X1173,IF(OR($X1173="Parcial",N($R1173)&gt;0),"Parcial",IF($C1173="","Sem vencimento",IF($C1173&lt;TODAY(),"Vencido",IF($C1173=TODAY(),"Vence hoje",IF($C1173&lt;=TODAY()+7,"Vence em 7 dias",IF($C1173&lt;=TODAY()+30,"Vence em 30 dias","Futuro")))))))))</f>
        <v/>
      </c>
      <c r="Z1173" s="24">
        <f>IF($B1173="","",MONTH($B1173))</f>
        <v/>
      </c>
      <c r="AA1173" s="24">
        <f>IF($B1173="","",YEAR($B1173))</f>
        <v/>
      </c>
      <c r="AB1173" s="24">
        <f>IF($B1173="","",ISOWEEKNUM($B1173))</f>
        <v/>
      </c>
      <c r="AC1173" s="17">
        <f>IF($B1173="","",CHOOSE(WEEKDAY($B1173,2),"Segunda","Terça","Quarta","Quinta","Sexta","Sábado","Domingo"))</f>
        <v/>
      </c>
      <c r="AD1173" s="17">
        <f>IF($B1173="","",TEXT($B1173,"MM/AAAA"))</f>
        <v/>
      </c>
      <c r="AE1173" s="18">
        <f>IF(COUNTA($B1173:$R1173)=0,"",IF($X1173="Cancelado",0,ROUND(N($Q1173)+N($S1173)+N($T1173)-N($U1173),2)))</f>
        <v/>
      </c>
      <c r="AF1173" s="9">
        <f>IF($G1173="","",IFERROR(INDEX(LINHAS_DRE_PLANO,MATCH($G1173,SUBCATEGORIAS_PLANO,0)),"Não classificado"))</f>
        <v/>
      </c>
      <c r="AG1173" s="17">
        <f>IF($G1173="","",IFERROR(INDEX(TIPOS_FLUXO_PLANO,MATCH($G1173,SUBCATEGORIAS_PLANO,0)),"Não classificado"))</f>
        <v/>
      </c>
      <c r="AH1173" s="9">
        <f>IF($G1173="","",IFERROR(INDEX(GRUPOS_PLANO,MATCH($G1173,SUBCATEGORIAS_PLANO,0)),"Não classificado"))</f>
        <v/>
      </c>
      <c r="AI1173" s="24">
        <f>IF(OR($C1173="",$X1173="Pago",$X1173="Recebido",$X1173="Cancelado"),"",$C1173-TODAY())</f>
        <v/>
      </c>
      <c r="AJ1173" s="24">
        <f>IF(OR($C1173="",$X1173="Pago",$X1173="Recebido",$X1173="Cancelado"),0,MAX(0,TODAY()-$C1173))</f>
        <v/>
      </c>
      <c r="AK1173" s="24">
        <f>IF($D1173="","",$D1173-$B1173)</f>
        <v/>
      </c>
      <c r="AL1173" s="18">
        <f>IF(OR($D1173="",$B1173=""),"",ROUND(N($R1173)*($D1173-$B1173),2))</f>
        <v/>
      </c>
      <c r="AM1173" s="17">
        <f>IF(AND($E1173="Saída",$W1173&gt;0,$C1173&lt;&gt;""),$C1173+ROW()/1000000,"")</f>
        <v/>
      </c>
      <c r="AN1173" s="17">
        <f>IF(AND($E1173="Entrada",$W1173&gt;0,$C1173&lt;&gt;""),$C1173+ROW()/1000000,"")</f>
        <v/>
      </c>
      <c r="AO1173" s="9">
        <f>IF(COUNTA($B1173:$R1173)=0,"",IF(AND($I1173&lt;&gt;"",COUNTIF(CLIENTES_NOMES,$I1173)+COUNTIF(CLIENTES_FANTASIA,$I1173)+COUNTIF(FORNECEDORES_NOMES,$I1173)+COUNTIF(FORNECEDORES_FANTASIA,$I1173)=0),"⚠ Cliente/Fornecedor não cadastrado",IF(AND($G1173&lt;&gt;"",COUNTIF(SUBCATEGORIAS_PLANO,$G1173)=0),"⚠ Subcategoria fora do plano de contas",IF(OR($Q1173="",N($Q1173)=0),"⚠ Valor previsto não informado",IF(AND(OR($X1173="Pago",$X1173="Recebido"),$D1173=""),"⚠ Status pago/recebido sem data",IF(AND($D1173&lt;&gt;"",N($R1173)=0),"⚠ Data de pagamento sem valor realizado",IF(AND(N($P1173)&gt;1,N($O1173)&gt;N($P1173)),"⚠ Nº da parcela maior que o total",IF(AND($C1173&lt;&gt;"",$B1173&lt;&gt;"",$C1173&lt;$B1173),"⚠ Vencimento anterior à competência","OK"))))))))</f>
        <v/>
      </c>
    </row>
    <row r="1174">
      <c r="A1174" s="14" t="n"/>
      <c r="B1174" s="36" t="n"/>
      <c r="C1174" s="36" t="n"/>
      <c r="D1174" s="36" t="n"/>
      <c r="E1174" s="14" t="n"/>
      <c r="F1174" s="29" t="n"/>
      <c r="G1174" s="29" t="n"/>
      <c r="H1174" s="29" t="n"/>
      <c r="I1174" s="29" t="n"/>
      <c r="J1174" s="29" t="n"/>
      <c r="K1174" s="14" t="n"/>
      <c r="L1174" s="29" t="n"/>
      <c r="M1174" s="14" t="n"/>
      <c r="N1174" s="29" t="n"/>
      <c r="O1174" s="13" t="n"/>
      <c r="P1174" s="13" t="n"/>
      <c r="Q1174" s="35" t="n"/>
      <c r="R1174" s="35" t="n"/>
      <c r="S1174" s="35" t="n"/>
      <c r="T1174" s="35" t="n"/>
      <c r="U1174" s="35" t="n"/>
      <c r="V1174" s="18">
        <f>IF(COUNTA($B1174:$R1174)=0,"",ROUND(N($R1174)+N($S1174)+N($T1174)-N($U1174),2))</f>
        <v/>
      </c>
      <c r="W1174" s="18">
        <f>IF(COUNTA($B1174:$R1174)=0,"",IF(OR($X1174="Pago",$X1174="Recebido",$X1174="Cancelado"),0,ROUND(N($Q1174)+N($S1174)+N($T1174)-N($U1174)-N($R1174),2)))</f>
        <v/>
      </c>
      <c r="X1174" s="14" t="n"/>
      <c r="Y1174" s="17">
        <f>IF(COUNTA($B1174:$R1174)=0,"",IF($X1174="Cancelado","Cancelado",IF(OR($X1174="Pago",$X1174="Recebido"),$X1174,IF(OR($X1174="Parcial",N($R1174)&gt;0),"Parcial",IF($C1174="","Sem vencimento",IF($C1174&lt;TODAY(),"Vencido",IF($C1174=TODAY(),"Vence hoje",IF($C1174&lt;=TODAY()+7,"Vence em 7 dias",IF($C1174&lt;=TODAY()+30,"Vence em 30 dias","Futuro")))))))))</f>
        <v/>
      </c>
      <c r="Z1174" s="24">
        <f>IF($B1174="","",MONTH($B1174))</f>
        <v/>
      </c>
      <c r="AA1174" s="24">
        <f>IF($B1174="","",YEAR($B1174))</f>
        <v/>
      </c>
      <c r="AB1174" s="24">
        <f>IF($B1174="","",ISOWEEKNUM($B1174))</f>
        <v/>
      </c>
      <c r="AC1174" s="17">
        <f>IF($B1174="","",CHOOSE(WEEKDAY($B1174,2),"Segunda","Terça","Quarta","Quinta","Sexta","Sábado","Domingo"))</f>
        <v/>
      </c>
      <c r="AD1174" s="17">
        <f>IF($B1174="","",TEXT($B1174,"MM/AAAA"))</f>
        <v/>
      </c>
      <c r="AE1174" s="18">
        <f>IF(COUNTA($B1174:$R1174)=0,"",IF($X1174="Cancelado",0,ROUND(N($Q1174)+N($S1174)+N($T1174)-N($U1174),2)))</f>
        <v/>
      </c>
      <c r="AF1174" s="9">
        <f>IF($G1174="","",IFERROR(INDEX(LINHAS_DRE_PLANO,MATCH($G1174,SUBCATEGORIAS_PLANO,0)),"Não classificado"))</f>
        <v/>
      </c>
      <c r="AG1174" s="17">
        <f>IF($G1174="","",IFERROR(INDEX(TIPOS_FLUXO_PLANO,MATCH($G1174,SUBCATEGORIAS_PLANO,0)),"Não classificado"))</f>
        <v/>
      </c>
      <c r="AH1174" s="9">
        <f>IF($G1174="","",IFERROR(INDEX(GRUPOS_PLANO,MATCH($G1174,SUBCATEGORIAS_PLANO,0)),"Não classificado"))</f>
        <v/>
      </c>
      <c r="AI1174" s="24">
        <f>IF(OR($C1174="",$X1174="Pago",$X1174="Recebido",$X1174="Cancelado"),"",$C1174-TODAY())</f>
        <v/>
      </c>
      <c r="AJ1174" s="24">
        <f>IF(OR($C1174="",$X1174="Pago",$X1174="Recebido",$X1174="Cancelado"),0,MAX(0,TODAY()-$C1174))</f>
        <v/>
      </c>
      <c r="AK1174" s="24">
        <f>IF($D1174="","",$D1174-$B1174)</f>
        <v/>
      </c>
      <c r="AL1174" s="18">
        <f>IF(OR($D1174="",$B1174=""),"",ROUND(N($R1174)*($D1174-$B1174),2))</f>
        <v/>
      </c>
      <c r="AM1174" s="17">
        <f>IF(AND($E1174="Saída",$W1174&gt;0,$C1174&lt;&gt;""),$C1174+ROW()/1000000,"")</f>
        <v/>
      </c>
      <c r="AN1174" s="17">
        <f>IF(AND($E1174="Entrada",$W1174&gt;0,$C1174&lt;&gt;""),$C1174+ROW()/1000000,"")</f>
        <v/>
      </c>
      <c r="AO1174" s="9">
        <f>IF(COUNTA($B1174:$R1174)=0,"",IF(AND($I1174&lt;&gt;"",COUNTIF(CLIENTES_NOMES,$I1174)+COUNTIF(CLIENTES_FANTASIA,$I1174)+COUNTIF(FORNECEDORES_NOMES,$I1174)+COUNTIF(FORNECEDORES_FANTASIA,$I1174)=0),"⚠ Cliente/Fornecedor não cadastrado",IF(AND($G1174&lt;&gt;"",COUNTIF(SUBCATEGORIAS_PLANO,$G1174)=0),"⚠ Subcategoria fora do plano de contas",IF(OR($Q1174="",N($Q1174)=0),"⚠ Valor previsto não informado",IF(AND(OR($X1174="Pago",$X1174="Recebido"),$D1174=""),"⚠ Status pago/recebido sem data",IF(AND($D1174&lt;&gt;"",N($R1174)=0),"⚠ Data de pagamento sem valor realizado",IF(AND(N($P1174)&gt;1,N($O1174)&gt;N($P1174)),"⚠ Nº da parcela maior que o total",IF(AND($C1174&lt;&gt;"",$B1174&lt;&gt;"",$C1174&lt;$B1174),"⚠ Vencimento anterior à competência","OK"))))))))</f>
        <v/>
      </c>
    </row>
    <row r="1175">
      <c r="A1175" s="14" t="n"/>
      <c r="B1175" s="36" t="n"/>
      <c r="C1175" s="36" t="n"/>
      <c r="D1175" s="36" t="n"/>
      <c r="E1175" s="14" t="n"/>
      <c r="F1175" s="29" t="n"/>
      <c r="G1175" s="29" t="n"/>
      <c r="H1175" s="29" t="n"/>
      <c r="I1175" s="29" t="n"/>
      <c r="J1175" s="29" t="n"/>
      <c r="K1175" s="14" t="n"/>
      <c r="L1175" s="29" t="n"/>
      <c r="M1175" s="14" t="n"/>
      <c r="N1175" s="29" t="n"/>
      <c r="O1175" s="13" t="n"/>
      <c r="P1175" s="13" t="n"/>
      <c r="Q1175" s="35" t="n"/>
      <c r="R1175" s="35" t="n"/>
      <c r="S1175" s="35" t="n"/>
      <c r="T1175" s="35" t="n"/>
      <c r="U1175" s="35" t="n"/>
      <c r="V1175" s="18">
        <f>IF(COUNTA($B1175:$R1175)=0,"",ROUND(N($R1175)+N($S1175)+N($T1175)-N($U1175),2))</f>
        <v/>
      </c>
      <c r="W1175" s="18">
        <f>IF(COUNTA($B1175:$R1175)=0,"",IF(OR($X1175="Pago",$X1175="Recebido",$X1175="Cancelado"),0,ROUND(N($Q1175)+N($S1175)+N($T1175)-N($U1175)-N($R1175),2)))</f>
        <v/>
      </c>
      <c r="X1175" s="14" t="n"/>
      <c r="Y1175" s="17">
        <f>IF(COUNTA($B1175:$R1175)=0,"",IF($X1175="Cancelado","Cancelado",IF(OR($X1175="Pago",$X1175="Recebido"),$X1175,IF(OR($X1175="Parcial",N($R1175)&gt;0),"Parcial",IF($C1175="","Sem vencimento",IF($C1175&lt;TODAY(),"Vencido",IF($C1175=TODAY(),"Vence hoje",IF($C1175&lt;=TODAY()+7,"Vence em 7 dias",IF($C1175&lt;=TODAY()+30,"Vence em 30 dias","Futuro")))))))))</f>
        <v/>
      </c>
      <c r="Z1175" s="24">
        <f>IF($B1175="","",MONTH($B1175))</f>
        <v/>
      </c>
      <c r="AA1175" s="24">
        <f>IF($B1175="","",YEAR($B1175))</f>
        <v/>
      </c>
      <c r="AB1175" s="24">
        <f>IF($B1175="","",ISOWEEKNUM($B1175))</f>
        <v/>
      </c>
      <c r="AC1175" s="17">
        <f>IF($B1175="","",CHOOSE(WEEKDAY($B1175,2),"Segunda","Terça","Quarta","Quinta","Sexta","Sábado","Domingo"))</f>
        <v/>
      </c>
      <c r="AD1175" s="17">
        <f>IF($B1175="","",TEXT($B1175,"MM/AAAA"))</f>
        <v/>
      </c>
      <c r="AE1175" s="18">
        <f>IF(COUNTA($B1175:$R1175)=0,"",IF($X1175="Cancelado",0,ROUND(N($Q1175)+N($S1175)+N($T1175)-N($U1175),2)))</f>
        <v/>
      </c>
      <c r="AF1175" s="9">
        <f>IF($G1175="","",IFERROR(INDEX(LINHAS_DRE_PLANO,MATCH($G1175,SUBCATEGORIAS_PLANO,0)),"Não classificado"))</f>
        <v/>
      </c>
      <c r="AG1175" s="17">
        <f>IF($G1175="","",IFERROR(INDEX(TIPOS_FLUXO_PLANO,MATCH($G1175,SUBCATEGORIAS_PLANO,0)),"Não classificado"))</f>
        <v/>
      </c>
      <c r="AH1175" s="9">
        <f>IF($G1175="","",IFERROR(INDEX(GRUPOS_PLANO,MATCH($G1175,SUBCATEGORIAS_PLANO,0)),"Não classificado"))</f>
        <v/>
      </c>
      <c r="AI1175" s="24">
        <f>IF(OR($C1175="",$X1175="Pago",$X1175="Recebido",$X1175="Cancelado"),"",$C1175-TODAY())</f>
        <v/>
      </c>
      <c r="AJ1175" s="24">
        <f>IF(OR($C1175="",$X1175="Pago",$X1175="Recebido",$X1175="Cancelado"),0,MAX(0,TODAY()-$C1175))</f>
        <v/>
      </c>
      <c r="AK1175" s="24">
        <f>IF($D1175="","",$D1175-$B1175)</f>
        <v/>
      </c>
      <c r="AL1175" s="18">
        <f>IF(OR($D1175="",$B1175=""),"",ROUND(N($R1175)*($D1175-$B1175),2))</f>
        <v/>
      </c>
      <c r="AM1175" s="17">
        <f>IF(AND($E1175="Saída",$W1175&gt;0,$C1175&lt;&gt;""),$C1175+ROW()/1000000,"")</f>
        <v/>
      </c>
      <c r="AN1175" s="17">
        <f>IF(AND($E1175="Entrada",$W1175&gt;0,$C1175&lt;&gt;""),$C1175+ROW()/1000000,"")</f>
        <v/>
      </c>
      <c r="AO1175" s="9">
        <f>IF(COUNTA($B1175:$R1175)=0,"",IF(AND($I1175&lt;&gt;"",COUNTIF(CLIENTES_NOMES,$I1175)+COUNTIF(CLIENTES_FANTASIA,$I1175)+COUNTIF(FORNECEDORES_NOMES,$I1175)+COUNTIF(FORNECEDORES_FANTASIA,$I1175)=0),"⚠ Cliente/Fornecedor não cadastrado",IF(AND($G1175&lt;&gt;"",COUNTIF(SUBCATEGORIAS_PLANO,$G1175)=0),"⚠ Subcategoria fora do plano de contas",IF(OR($Q1175="",N($Q1175)=0),"⚠ Valor previsto não informado",IF(AND(OR($X1175="Pago",$X1175="Recebido"),$D1175=""),"⚠ Status pago/recebido sem data",IF(AND($D1175&lt;&gt;"",N($R1175)=0),"⚠ Data de pagamento sem valor realizado",IF(AND(N($P1175)&gt;1,N($O1175)&gt;N($P1175)),"⚠ Nº da parcela maior que o total",IF(AND($C1175&lt;&gt;"",$B1175&lt;&gt;"",$C1175&lt;$B1175),"⚠ Vencimento anterior à competência","OK"))))))))</f>
        <v/>
      </c>
    </row>
    <row r="1176">
      <c r="A1176" s="14" t="n"/>
      <c r="B1176" s="36" t="n"/>
      <c r="C1176" s="36" t="n"/>
      <c r="D1176" s="36" t="n"/>
      <c r="E1176" s="14" t="n"/>
      <c r="F1176" s="29" t="n"/>
      <c r="G1176" s="29" t="n"/>
      <c r="H1176" s="29" t="n"/>
      <c r="I1176" s="29" t="n"/>
      <c r="J1176" s="29" t="n"/>
      <c r="K1176" s="14" t="n"/>
      <c r="L1176" s="29" t="n"/>
      <c r="M1176" s="14" t="n"/>
      <c r="N1176" s="29" t="n"/>
      <c r="O1176" s="13" t="n"/>
      <c r="P1176" s="13" t="n"/>
      <c r="Q1176" s="35" t="n"/>
      <c r="R1176" s="35" t="n"/>
      <c r="S1176" s="35" t="n"/>
      <c r="T1176" s="35" t="n"/>
      <c r="U1176" s="35" t="n"/>
      <c r="V1176" s="18">
        <f>IF(COUNTA($B1176:$R1176)=0,"",ROUND(N($R1176)+N($S1176)+N($T1176)-N($U1176),2))</f>
        <v/>
      </c>
      <c r="W1176" s="18">
        <f>IF(COUNTA($B1176:$R1176)=0,"",IF(OR($X1176="Pago",$X1176="Recebido",$X1176="Cancelado"),0,ROUND(N($Q1176)+N($S1176)+N($T1176)-N($U1176)-N($R1176),2)))</f>
        <v/>
      </c>
      <c r="X1176" s="14" t="n"/>
      <c r="Y1176" s="17">
        <f>IF(COUNTA($B1176:$R1176)=0,"",IF($X1176="Cancelado","Cancelado",IF(OR($X1176="Pago",$X1176="Recebido"),$X1176,IF(OR($X1176="Parcial",N($R1176)&gt;0),"Parcial",IF($C1176="","Sem vencimento",IF($C1176&lt;TODAY(),"Vencido",IF($C1176=TODAY(),"Vence hoje",IF($C1176&lt;=TODAY()+7,"Vence em 7 dias",IF($C1176&lt;=TODAY()+30,"Vence em 30 dias","Futuro")))))))))</f>
        <v/>
      </c>
      <c r="Z1176" s="24">
        <f>IF($B1176="","",MONTH($B1176))</f>
        <v/>
      </c>
      <c r="AA1176" s="24">
        <f>IF($B1176="","",YEAR($B1176))</f>
        <v/>
      </c>
      <c r="AB1176" s="24">
        <f>IF($B1176="","",ISOWEEKNUM($B1176))</f>
        <v/>
      </c>
      <c r="AC1176" s="17">
        <f>IF($B1176="","",CHOOSE(WEEKDAY($B1176,2),"Segunda","Terça","Quarta","Quinta","Sexta","Sábado","Domingo"))</f>
        <v/>
      </c>
      <c r="AD1176" s="17">
        <f>IF($B1176="","",TEXT($B1176,"MM/AAAA"))</f>
        <v/>
      </c>
      <c r="AE1176" s="18">
        <f>IF(COUNTA($B1176:$R1176)=0,"",IF($X1176="Cancelado",0,ROUND(N($Q1176)+N($S1176)+N($T1176)-N($U1176),2)))</f>
        <v/>
      </c>
      <c r="AF1176" s="9">
        <f>IF($G1176="","",IFERROR(INDEX(LINHAS_DRE_PLANO,MATCH($G1176,SUBCATEGORIAS_PLANO,0)),"Não classificado"))</f>
        <v/>
      </c>
      <c r="AG1176" s="17">
        <f>IF($G1176="","",IFERROR(INDEX(TIPOS_FLUXO_PLANO,MATCH($G1176,SUBCATEGORIAS_PLANO,0)),"Não classificado"))</f>
        <v/>
      </c>
      <c r="AH1176" s="9">
        <f>IF($G1176="","",IFERROR(INDEX(GRUPOS_PLANO,MATCH($G1176,SUBCATEGORIAS_PLANO,0)),"Não classificado"))</f>
        <v/>
      </c>
      <c r="AI1176" s="24">
        <f>IF(OR($C1176="",$X1176="Pago",$X1176="Recebido",$X1176="Cancelado"),"",$C1176-TODAY())</f>
        <v/>
      </c>
      <c r="AJ1176" s="24">
        <f>IF(OR($C1176="",$X1176="Pago",$X1176="Recebido",$X1176="Cancelado"),0,MAX(0,TODAY()-$C1176))</f>
        <v/>
      </c>
      <c r="AK1176" s="24">
        <f>IF($D1176="","",$D1176-$B1176)</f>
        <v/>
      </c>
      <c r="AL1176" s="18">
        <f>IF(OR($D1176="",$B1176=""),"",ROUND(N($R1176)*($D1176-$B1176),2))</f>
        <v/>
      </c>
      <c r="AM1176" s="17">
        <f>IF(AND($E1176="Saída",$W1176&gt;0,$C1176&lt;&gt;""),$C1176+ROW()/1000000,"")</f>
        <v/>
      </c>
      <c r="AN1176" s="17">
        <f>IF(AND($E1176="Entrada",$W1176&gt;0,$C1176&lt;&gt;""),$C1176+ROW()/1000000,"")</f>
        <v/>
      </c>
      <c r="AO1176" s="9">
        <f>IF(COUNTA($B1176:$R1176)=0,"",IF(AND($I1176&lt;&gt;"",COUNTIF(CLIENTES_NOMES,$I1176)+COUNTIF(CLIENTES_FANTASIA,$I1176)+COUNTIF(FORNECEDORES_NOMES,$I1176)+COUNTIF(FORNECEDORES_FANTASIA,$I1176)=0),"⚠ Cliente/Fornecedor não cadastrado",IF(AND($G1176&lt;&gt;"",COUNTIF(SUBCATEGORIAS_PLANO,$G1176)=0),"⚠ Subcategoria fora do plano de contas",IF(OR($Q1176="",N($Q1176)=0),"⚠ Valor previsto não informado",IF(AND(OR($X1176="Pago",$X1176="Recebido"),$D1176=""),"⚠ Status pago/recebido sem data",IF(AND($D1176&lt;&gt;"",N($R1176)=0),"⚠ Data de pagamento sem valor realizado",IF(AND(N($P1176)&gt;1,N($O1176)&gt;N($P1176)),"⚠ Nº da parcela maior que o total",IF(AND($C1176&lt;&gt;"",$B1176&lt;&gt;"",$C1176&lt;$B1176),"⚠ Vencimento anterior à competência","OK"))))))))</f>
        <v/>
      </c>
    </row>
    <row r="1177">
      <c r="A1177" s="14" t="n"/>
      <c r="B1177" s="36" t="n"/>
      <c r="C1177" s="36" t="n"/>
      <c r="D1177" s="36" t="n"/>
      <c r="E1177" s="14" t="n"/>
      <c r="F1177" s="29" t="n"/>
      <c r="G1177" s="29" t="n"/>
      <c r="H1177" s="29" t="n"/>
      <c r="I1177" s="29" t="n"/>
      <c r="J1177" s="29" t="n"/>
      <c r="K1177" s="14" t="n"/>
      <c r="L1177" s="29" t="n"/>
      <c r="M1177" s="14" t="n"/>
      <c r="N1177" s="29" t="n"/>
      <c r="O1177" s="13" t="n"/>
      <c r="P1177" s="13" t="n"/>
      <c r="Q1177" s="35" t="n"/>
      <c r="R1177" s="35" t="n"/>
      <c r="S1177" s="35" t="n"/>
      <c r="T1177" s="35" t="n"/>
      <c r="U1177" s="35" t="n"/>
      <c r="V1177" s="18">
        <f>IF(COUNTA($B1177:$R1177)=0,"",ROUND(N($R1177)+N($S1177)+N($T1177)-N($U1177),2))</f>
        <v/>
      </c>
      <c r="W1177" s="18">
        <f>IF(COUNTA($B1177:$R1177)=0,"",IF(OR($X1177="Pago",$X1177="Recebido",$X1177="Cancelado"),0,ROUND(N($Q1177)+N($S1177)+N($T1177)-N($U1177)-N($R1177),2)))</f>
        <v/>
      </c>
      <c r="X1177" s="14" t="n"/>
      <c r="Y1177" s="17">
        <f>IF(COUNTA($B1177:$R1177)=0,"",IF($X1177="Cancelado","Cancelado",IF(OR($X1177="Pago",$X1177="Recebido"),$X1177,IF(OR($X1177="Parcial",N($R1177)&gt;0),"Parcial",IF($C1177="","Sem vencimento",IF($C1177&lt;TODAY(),"Vencido",IF($C1177=TODAY(),"Vence hoje",IF($C1177&lt;=TODAY()+7,"Vence em 7 dias",IF($C1177&lt;=TODAY()+30,"Vence em 30 dias","Futuro")))))))))</f>
        <v/>
      </c>
      <c r="Z1177" s="24">
        <f>IF($B1177="","",MONTH($B1177))</f>
        <v/>
      </c>
      <c r="AA1177" s="24">
        <f>IF($B1177="","",YEAR($B1177))</f>
        <v/>
      </c>
      <c r="AB1177" s="24">
        <f>IF($B1177="","",ISOWEEKNUM($B1177))</f>
        <v/>
      </c>
      <c r="AC1177" s="17">
        <f>IF($B1177="","",CHOOSE(WEEKDAY($B1177,2),"Segunda","Terça","Quarta","Quinta","Sexta","Sábado","Domingo"))</f>
        <v/>
      </c>
      <c r="AD1177" s="17">
        <f>IF($B1177="","",TEXT($B1177,"MM/AAAA"))</f>
        <v/>
      </c>
      <c r="AE1177" s="18">
        <f>IF(COUNTA($B1177:$R1177)=0,"",IF($X1177="Cancelado",0,ROUND(N($Q1177)+N($S1177)+N($T1177)-N($U1177),2)))</f>
        <v/>
      </c>
      <c r="AF1177" s="9">
        <f>IF($G1177="","",IFERROR(INDEX(LINHAS_DRE_PLANO,MATCH($G1177,SUBCATEGORIAS_PLANO,0)),"Não classificado"))</f>
        <v/>
      </c>
      <c r="AG1177" s="17">
        <f>IF($G1177="","",IFERROR(INDEX(TIPOS_FLUXO_PLANO,MATCH($G1177,SUBCATEGORIAS_PLANO,0)),"Não classificado"))</f>
        <v/>
      </c>
      <c r="AH1177" s="9">
        <f>IF($G1177="","",IFERROR(INDEX(GRUPOS_PLANO,MATCH($G1177,SUBCATEGORIAS_PLANO,0)),"Não classificado"))</f>
        <v/>
      </c>
      <c r="AI1177" s="24">
        <f>IF(OR($C1177="",$X1177="Pago",$X1177="Recebido",$X1177="Cancelado"),"",$C1177-TODAY())</f>
        <v/>
      </c>
      <c r="AJ1177" s="24">
        <f>IF(OR($C1177="",$X1177="Pago",$X1177="Recebido",$X1177="Cancelado"),0,MAX(0,TODAY()-$C1177))</f>
        <v/>
      </c>
      <c r="AK1177" s="24">
        <f>IF($D1177="","",$D1177-$B1177)</f>
        <v/>
      </c>
      <c r="AL1177" s="18">
        <f>IF(OR($D1177="",$B1177=""),"",ROUND(N($R1177)*($D1177-$B1177),2))</f>
        <v/>
      </c>
      <c r="AM1177" s="17">
        <f>IF(AND($E1177="Saída",$W1177&gt;0,$C1177&lt;&gt;""),$C1177+ROW()/1000000,"")</f>
        <v/>
      </c>
      <c r="AN1177" s="17">
        <f>IF(AND($E1177="Entrada",$W1177&gt;0,$C1177&lt;&gt;""),$C1177+ROW()/1000000,"")</f>
        <v/>
      </c>
      <c r="AO1177" s="9">
        <f>IF(COUNTA($B1177:$R1177)=0,"",IF(AND($I1177&lt;&gt;"",COUNTIF(CLIENTES_NOMES,$I1177)+COUNTIF(CLIENTES_FANTASIA,$I1177)+COUNTIF(FORNECEDORES_NOMES,$I1177)+COUNTIF(FORNECEDORES_FANTASIA,$I1177)=0),"⚠ Cliente/Fornecedor não cadastrado",IF(AND($G1177&lt;&gt;"",COUNTIF(SUBCATEGORIAS_PLANO,$G1177)=0),"⚠ Subcategoria fora do plano de contas",IF(OR($Q1177="",N($Q1177)=0),"⚠ Valor previsto não informado",IF(AND(OR($X1177="Pago",$X1177="Recebido"),$D1177=""),"⚠ Status pago/recebido sem data",IF(AND($D1177&lt;&gt;"",N($R1177)=0),"⚠ Data de pagamento sem valor realizado",IF(AND(N($P1177)&gt;1,N($O1177)&gt;N($P1177)),"⚠ Nº da parcela maior que o total",IF(AND($C1177&lt;&gt;"",$B1177&lt;&gt;"",$C1177&lt;$B1177),"⚠ Vencimento anterior à competência","OK"))))))))</f>
        <v/>
      </c>
    </row>
    <row r="1178">
      <c r="A1178" s="14" t="n"/>
      <c r="B1178" s="36" t="n"/>
      <c r="C1178" s="36" t="n"/>
      <c r="D1178" s="36" t="n"/>
      <c r="E1178" s="14" t="n"/>
      <c r="F1178" s="29" t="n"/>
      <c r="G1178" s="29" t="n"/>
      <c r="H1178" s="29" t="n"/>
      <c r="I1178" s="29" t="n"/>
      <c r="J1178" s="29" t="n"/>
      <c r="K1178" s="14" t="n"/>
      <c r="L1178" s="29" t="n"/>
      <c r="M1178" s="14" t="n"/>
      <c r="N1178" s="29" t="n"/>
      <c r="O1178" s="13" t="n"/>
      <c r="P1178" s="13" t="n"/>
      <c r="Q1178" s="35" t="n"/>
      <c r="R1178" s="35" t="n"/>
      <c r="S1178" s="35" t="n"/>
      <c r="T1178" s="35" t="n"/>
      <c r="U1178" s="35" t="n"/>
      <c r="V1178" s="18">
        <f>IF(COUNTA($B1178:$R1178)=0,"",ROUND(N($R1178)+N($S1178)+N($T1178)-N($U1178),2))</f>
        <v/>
      </c>
      <c r="W1178" s="18">
        <f>IF(COUNTA($B1178:$R1178)=0,"",IF(OR($X1178="Pago",$X1178="Recebido",$X1178="Cancelado"),0,ROUND(N($Q1178)+N($S1178)+N($T1178)-N($U1178)-N($R1178),2)))</f>
        <v/>
      </c>
      <c r="X1178" s="14" t="n"/>
      <c r="Y1178" s="17">
        <f>IF(COUNTA($B1178:$R1178)=0,"",IF($X1178="Cancelado","Cancelado",IF(OR($X1178="Pago",$X1178="Recebido"),$X1178,IF(OR($X1178="Parcial",N($R1178)&gt;0),"Parcial",IF($C1178="","Sem vencimento",IF($C1178&lt;TODAY(),"Vencido",IF($C1178=TODAY(),"Vence hoje",IF($C1178&lt;=TODAY()+7,"Vence em 7 dias",IF($C1178&lt;=TODAY()+30,"Vence em 30 dias","Futuro")))))))))</f>
        <v/>
      </c>
      <c r="Z1178" s="24">
        <f>IF($B1178="","",MONTH($B1178))</f>
        <v/>
      </c>
      <c r="AA1178" s="24">
        <f>IF($B1178="","",YEAR($B1178))</f>
        <v/>
      </c>
      <c r="AB1178" s="24">
        <f>IF($B1178="","",ISOWEEKNUM($B1178))</f>
        <v/>
      </c>
      <c r="AC1178" s="17">
        <f>IF($B1178="","",CHOOSE(WEEKDAY($B1178,2),"Segunda","Terça","Quarta","Quinta","Sexta","Sábado","Domingo"))</f>
        <v/>
      </c>
      <c r="AD1178" s="17">
        <f>IF($B1178="","",TEXT($B1178,"MM/AAAA"))</f>
        <v/>
      </c>
      <c r="AE1178" s="18">
        <f>IF(COUNTA($B1178:$R1178)=0,"",IF($X1178="Cancelado",0,ROUND(N($Q1178)+N($S1178)+N($T1178)-N($U1178),2)))</f>
        <v/>
      </c>
      <c r="AF1178" s="9">
        <f>IF($G1178="","",IFERROR(INDEX(LINHAS_DRE_PLANO,MATCH($G1178,SUBCATEGORIAS_PLANO,0)),"Não classificado"))</f>
        <v/>
      </c>
      <c r="AG1178" s="17">
        <f>IF($G1178="","",IFERROR(INDEX(TIPOS_FLUXO_PLANO,MATCH($G1178,SUBCATEGORIAS_PLANO,0)),"Não classificado"))</f>
        <v/>
      </c>
      <c r="AH1178" s="9">
        <f>IF($G1178="","",IFERROR(INDEX(GRUPOS_PLANO,MATCH($G1178,SUBCATEGORIAS_PLANO,0)),"Não classificado"))</f>
        <v/>
      </c>
      <c r="AI1178" s="24">
        <f>IF(OR($C1178="",$X1178="Pago",$X1178="Recebido",$X1178="Cancelado"),"",$C1178-TODAY())</f>
        <v/>
      </c>
      <c r="AJ1178" s="24">
        <f>IF(OR($C1178="",$X1178="Pago",$X1178="Recebido",$X1178="Cancelado"),0,MAX(0,TODAY()-$C1178))</f>
        <v/>
      </c>
      <c r="AK1178" s="24">
        <f>IF($D1178="","",$D1178-$B1178)</f>
        <v/>
      </c>
      <c r="AL1178" s="18">
        <f>IF(OR($D1178="",$B1178=""),"",ROUND(N($R1178)*($D1178-$B1178),2))</f>
        <v/>
      </c>
      <c r="AM1178" s="17">
        <f>IF(AND($E1178="Saída",$W1178&gt;0,$C1178&lt;&gt;""),$C1178+ROW()/1000000,"")</f>
        <v/>
      </c>
      <c r="AN1178" s="17">
        <f>IF(AND($E1178="Entrada",$W1178&gt;0,$C1178&lt;&gt;""),$C1178+ROW()/1000000,"")</f>
        <v/>
      </c>
      <c r="AO1178" s="9">
        <f>IF(COUNTA($B1178:$R1178)=0,"",IF(AND($I1178&lt;&gt;"",COUNTIF(CLIENTES_NOMES,$I1178)+COUNTIF(CLIENTES_FANTASIA,$I1178)+COUNTIF(FORNECEDORES_NOMES,$I1178)+COUNTIF(FORNECEDORES_FANTASIA,$I1178)=0),"⚠ Cliente/Fornecedor não cadastrado",IF(AND($G1178&lt;&gt;"",COUNTIF(SUBCATEGORIAS_PLANO,$G1178)=0),"⚠ Subcategoria fora do plano de contas",IF(OR($Q1178="",N($Q1178)=0),"⚠ Valor previsto não informado",IF(AND(OR($X1178="Pago",$X1178="Recebido"),$D1178=""),"⚠ Status pago/recebido sem data",IF(AND($D1178&lt;&gt;"",N($R1178)=0),"⚠ Data de pagamento sem valor realizado",IF(AND(N($P1178)&gt;1,N($O1178)&gt;N($P1178)),"⚠ Nº da parcela maior que o total",IF(AND($C1178&lt;&gt;"",$B1178&lt;&gt;"",$C1178&lt;$B1178),"⚠ Vencimento anterior à competência","OK"))))))))</f>
        <v/>
      </c>
    </row>
    <row r="1179">
      <c r="A1179" s="14" t="n"/>
      <c r="B1179" s="36" t="n"/>
      <c r="C1179" s="36" t="n"/>
      <c r="D1179" s="36" t="n"/>
      <c r="E1179" s="14" t="n"/>
      <c r="F1179" s="29" t="n"/>
      <c r="G1179" s="29" t="n"/>
      <c r="H1179" s="29" t="n"/>
      <c r="I1179" s="29" t="n"/>
      <c r="J1179" s="29" t="n"/>
      <c r="K1179" s="14" t="n"/>
      <c r="L1179" s="29" t="n"/>
      <c r="M1179" s="14" t="n"/>
      <c r="N1179" s="29" t="n"/>
      <c r="O1179" s="13" t="n"/>
      <c r="P1179" s="13" t="n"/>
      <c r="Q1179" s="35" t="n"/>
      <c r="R1179" s="35" t="n"/>
      <c r="S1179" s="35" t="n"/>
      <c r="T1179" s="35" t="n"/>
      <c r="U1179" s="35" t="n"/>
      <c r="V1179" s="18">
        <f>IF(COUNTA($B1179:$R1179)=0,"",ROUND(N($R1179)+N($S1179)+N($T1179)-N($U1179),2))</f>
        <v/>
      </c>
      <c r="W1179" s="18">
        <f>IF(COUNTA($B1179:$R1179)=0,"",IF(OR($X1179="Pago",$X1179="Recebido",$X1179="Cancelado"),0,ROUND(N($Q1179)+N($S1179)+N($T1179)-N($U1179)-N($R1179),2)))</f>
        <v/>
      </c>
      <c r="X1179" s="14" t="n"/>
      <c r="Y1179" s="17">
        <f>IF(COUNTA($B1179:$R1179)=0,"",IF($X1179="Cancelado","Cancelado",IF(OR($X1179="Pago",$X1179="Recebido"),$X1179,IF(OR($X1179="Parcial",N($R1179)&gt;0),"Parcial",IF($C1179="","Sem vencimento",IF($C1179&lt;TODAY(),"Vencido",IF($C1179=TODAY(),"Vence hoje",IF($C1179&lt;=TODAY()+7,"Vence em 7 dias",IF($C1179&lt;=TODAY()+30,"Vence em 30 dias","Futuro")))))))))</f>
        <v/>
      </c>
      <c r="Z1179" s="24">
        <f>IF($B1179="","",MONTH($B1179))</f>
        <v/>
      </c>
      <c r="AA1179" s="24">
        <f>IF($B1179="","",YEAR($B1179))</f>
        <v/>
      </c>
      <c r="AB1179" s="24">
        <f>IF($B1179="","",ISOWEEKNUM($B1179))</f>
        <v/>
      </c>
      <c r="AC1179" s="17">
        <f>IF($B1179="","",CHOOSE(WEEKDAY($B1179,2),"Segunda","Terça","Quarta","Quinta","Sexta","Sábado","Domingo"))</f>
        <v/>
      </c>
      <c r="AD1179" s="17">
        <f>IF($B1179="","",TEXT($B1179,"MM/AAAA"))</f>
        <v/>
      </c>
      <c r="AE1179" s="18">
        <f>IF(COUNTA($B1179:$R1179)=0,"",IF($X1179="Cancelado",0,ROUND(N($Q1179)+N($S1179)+N($T1179)-N($U1179),2)))</f>
        <v/>
      </c>
      <c r="AF1179" s="9">
        <f>IF($G1179="","",IFERROR(INDEX(LINHAS_DRE_PLANO,MATCH($G1179,SUBCATEGORIAS_PLANO,0)),"Não classificado"))</f>
        <v/>
      </c>
      <c r="AG1179" s="17">
        <f>IF($G1179="","",IFERROR(INDEX(TIPOS_FLUXO_PLANO,MATCH($G1179,SUBCATEGORIAS_PLANO,0)),"Não classificado"))</f>
        <v/>
      </c>
      <c r="AH1179" s="9">
        <f>IF($G1179="","",IFERROR(INDEX(GRUPOS_PLANO,MATCH($G1179,SUBCATEGORIAS_PLANO,0)),"Não classificado"))</f>
        <v/>
      </c>
      <c r="AI1179" s="24">
        <f>IF(OR($C1179="",$X1179="Pago",$X1179="Recebido",$X1179="Cancelado"),"",$C1179-TODAY())</f>
        <v/>
      </c>
      <c r="AJ1179" s="24">
        <f>IF(OR($C1179="",$X1179="Pago",$X1179="Recebido",$X1179="Cancelado"),0,MAX(0,TODAY()-$C1179))</f>
        <v/>
      </c>
      <c r="AK1179" s="24">
        <f>IF($D1179="","",$D1179-$B1179)</f>
        <v/>
      </c>
      <c r="AL1179" s="18">
        <f>IF(OR($D1179="",$B1179=""),"",ROUND(N($R1179)*($D1179-$B1179),2))</f>
        <v/>
      </c>
      <c r="AM1179" s="17">
        <f>IF(AND($E1179="Saída",$W1179&gt;0,$C1179&lt;&gt;""),$C1179+ROW()/1000000,"")</f>
        <v/>
      </c>
      <c r="AN1179" s="17">
        <f>IF(AND($E1179="Entrada",$W1179&gt;0,$C1179&lt;&gt;""),$C1179+ROW()/1000000,"")</f>
        <v/>
      </c>
      <c r="AO1179" s="9">
        <f>IF(COUNTA($B1179:$R1179)=0,"",IF(AND($I1179&lt;&gt;"",COUNTIF(CLIENTES_NOMES,$I1179)+COUNTIF(CLIENTES_FANTASIA,$I1179)+COUNTIF(FORNECEDORES_NOMES,$I1179)+COUNTIF(FORNECEDORES_FANTASIA,$I1179)=0),"⚠ Cliente/Fornecedor não cadastrado",IF(AND($G1179&lt;&gt;"",COUNTIF(SUBCATEGORIAS_PLANO,$G1179)=0),"⚠ Subcategoria fora do plano de contas",IF(OR($Q1179="",N($Q1179)=0),"⚠ Valor previsto não informado",IF(AND(OR($X1179="Pago",$X1179="Recebido"),$D1179=""),"⚠ Status pago/recebido sem data",IF(AND($D1179&lt;&gt;"",N($R1179)=0),"⚠ Data de pagamento sem valor realizado",IF(AND(N($P1179)&gt;1,N($O1179)&gt;N($P1179)),"⚠ Nº da parcela maior que o total",IF(AND($C1179&lt;&gt;"",$B1179&lt;&gt;"",$C1179&lt;$B1179),"⚠ Vencimento anterior à competência","OK"))))))))</f>
        <v/>
      </c>
    </row>
    <row r="1180">
      <c r="A1180" s="14" t="n"/>
      <c r="B1180" s="36" t="n"/>
      <c r="C1180" s="36" t="n"/>
      <c r="D1180" s="36" t="n"/>
      <c r="E1180" s="14" t="n"/>
      <c r="F1180" s="29" t="n"/>
      <c r="G1180" s="29" t="n"/>
      <c r="H1180" s="29" t="n"/>
      <c r="I1180" s="29" t="n"/>
      <c r="J1180" s="29" t="n"/>
      <c r="K1180" s="14" t="n"/>
      <c r="L1180" s="29" t="n"/>
      <c r="M1180" s="14" t="n"/>
      <c r="N1180" s="29" t="n"/>
      <c r="O1180" s="13" t="n"/>
      <c r="P1180" s="13" t="n"/>
      <c r="Q1180" s="35" t="n"/>
      <c r="R1180" s="35" t="n"/>
      <c r="S1180" s="35" t="n"/>
      <c r="T1180" s="35" t="n"/>
      <c r="U1180" s="35" t="n"/>
      <c r="V1180" s="18">
        <f>IF(COUNTA($B1180:$R1180)=0,"",ROUND(N($R1180)+N($S1180)+N($T1180)-N($U1180),2))</f>
        <v/>
      </c>
      <c r="W1180" s="18">
        <f>IF(COUNTA($B1180:$R1180)=0,"",IF(OR($X1180="Pago",$X1180="Recebido",$X1180="Cancelado"),0,ROUND(N($Q1180)+N($S1180)+N($T1180)-N($U1180)-N($R1180),2)))</f>
        <v/>
      </c>
      <c r="X1180" s="14" t="n"/>
      <c r="Y1180" s="17">
        <f>IF(COUNTA($B1180:$R1180)=0,"",IF($X1180="Cancelado","Cancelado",IF(OR($X1180="Pago",$X1180="Recebido"),$X1180,IF(OR($X1180="Parcial",N($R1180)&gt;0),"Parcial",IF($C1180="","Sem vencimento",IF($C1180&lt;TODAY(),"Vencido",IF($C1180=TODAY(),"Vence hoje",IF($C1180&lt;=TODAY()+7,"Vence em 7 dias",IF($C1180&lt;=TODAY()+30,"Vence em 30 dias","Futuro")))))))))</f>
        <v/>
      </c>
      <c r="Z1180" s="24">
        <f>IF($B1180="","",MONTH($B1180))</f>
        <v/>
      </c>
      <c r="AA1180" s="24">
        <f>IF($B1180="","",YEAR($B1180))</f>
        <v/>
      </c>
      <c r="AB1180" s="24">
        <f>IF($B1180="","",ISOWEEKNUM($B1180))</f>
        <v/>
      </c>
      <c r="AC1180" s="17">
        <f>IF($B1180="","",CHOOSE(WEEKDAY($B1180,2),"Segunda","Terça","Quarta","Quinta","Sexta","Sábado","Domingo"))</f>
        <v/>
      </c>
      <c r="AD1180" s="17">
        <f>IF($B1180="","",TEXT($B1180,"MM/AAAA"))</f>
        <v/>
      </c>
      <c r="AE1180" s="18">
        <f>IF(COUNTA($B1180:$R1180)=0,"",IF($X1180="Cancelado",0,ROUND(N($Q1180)+N($S1180)+N($T1180)-N($U1180),2)))</f>
        <v/>
      </c>
      <c r="AF1180" s="9">
        <f>IF($G1180="","",IFERROR(INDEX(LINHAS_DRE_PLANO,MATCH($G1180,SUBCATEGORIAS_PLANO,0)),"Não classificado"))</f>
        <v/>
      </c>
      <c r="AG1180" s="17">
        <f>IF($G1180="","",IFERROR(INDEX(TIPOS_FLUXO_PLANO,MATCH($G1180,SUBCATEGORIAS_PLANO,0)),"Não classificado"))</f>
        <v/>
      </c>
      <c r="AH1180" s="9">
        <f>IF($G1180="","",IFERROR(INDEX(GRUPOS_PLANO,MATCH($G1180,SUBCATEGORIAS_PLANO,0)),"Não classificado"))</f>
        <v/>
      </c>
      <c r="AI1180" s="24">
        <f>IF(OR($C1180="",$X1180="Pago",$X1180="Recebido",$X1180="Cancelado"),"",$C1180-TODAY())</f>
        <v/>
      </c>
      <c r="AJ1180" s="24">
        <f>IF(OR($C1180="",$X1180="Pago",$X1180="Recebido",$X1180="Cancelado"),0,MAX(0,TODAY()-$C1180))</f>
        <v/>
      </c>
      <c r="AK1180" s="24">
        <f>IF($D1180="","",$D1180-$B1180)</f>
        <v/>
      </c>
      <c r="AL1180" s="18">
        <f>IF(OR($D1180="",$B1180=""),"",ROUND(N($R1180)*($D1180-$B1180),2))</f>
        <v/>
      </c>
      <c r="AM1180" s="17">
        <f>IF(AND($E1180="Saída",$W1180&gt;0,$C1180&lt;&gt;""),$C1180+ROW()/1000000,"")</f>
        <v/>
      </c>
      <c r="AN1180" s="17">
        <f>IF(AND($E1180="Entrada",$W1180&gt;0,$C1180&lt;&gt;""),$C1180+ROW()/1000000,"")</f>
        <v/>
      </c>
      <c r="AO1180" s="9">
        <f>IF(COUNTA($B1180:$R1180)=0,"",IF(AND($I1180&lt;&gt;"",COUNTIF(CLIENTES_NOMES,$I1180)+COUNTIF(CLIENTES_FANTASIA,$I1180)+COUNTIF(FORNECEDORES_NOMES,$I1180)+COUNTIF(FORNECEDORES_FANTASIA,$I1180)=0),"⚠ Cliente/Fornecedor não cadastrado",IF(AND($G1180&lt;&gt;"",COUNTIF(SUBCATEGORIAS_PLANO,$G1180)=0),"⚠ Subcategoria fora do plano de contas",IF(OR($Q1180="",N($Q1180)=0),"⚠ Valor previsto não informado",IF(AND(OR($X1180="Pago",$X1180="Recebido"),$D1180=""),"⚠ Status pago/recebido sem data",IF(AND($D1180&lt;&gt;"",N($R1180)=0),"⚠ Data de pagamento sem valor realizado",IF(AND(N($P1180)&gt;1,N($O1180)&gt;N($P1180)),"⚠ Nº da parcela maior que o total",IF(AND($C1180&lt;&gt;"",$B1180&lt;&gt;"",$C1180&lt;$B1180),"⚠ Vencimento anterior à competência","OK"))))))))</f>
        <v/>
      </c>
    </row>
    <row r="1181">
      <c r="A1181" s="14" t="n"/>
      <c r="B1181" s="36" t="n"/>
      <c r="C1181" s="36" t="n"/>
      <c r="D1181" s="36" t="n"/>
      <c r="E1181" s="14" t="n"/>
      <c r="F1181" s="29" t="n"/>
      <c r="G1181" s="29" t="n"/>
      <c r="H1181" s="29" t="n"/>
      <c r="I1181" s="29" t="n"/>
      <c r="J1181" s="29" t="n"/>
      <c r="K1181" s="14" t="n"/>
      <c r="L1181" s="29" t="n"/>
      <c r="M1181" s="14" t="n"/>
      <c r="N1181" s="29" t="n"/>
      <c r="O1181" s="13" t="n"/>
      <c r="P1181" s="13" t="n"/>
      <c r="Q1181" s="35" t="n"/>
      <c r="R1181" s="35" t="n"/>
      <c r="S1181" s="35" t="n"/>
      <c r="T1181" s="35" t="n"/>
      <c r="U1181" s="35" t="n"/>
      <c r="V1181" s="18">
        <f>IF(COUNTA($B1181:$R1181)=0,"",ROUND(N($R1181)+N($S1181)+N($T1181)-N($U1181),2))</f>
        <v/>
      </c>
      <c r="W1181" s="18">
        <f>IF(COUNTA($B1181:$R1181)=0,"",IF(OR($X1181="Pago",$X1181="Recebido",$X1181="Cancelado"),0,ROUND(N($Q1181)+N($S1181)+N($T1181)-N($U1181)-N($R1181),2)))</f>
        <v/>
      </c>
      <c r="X1181" s="14" t="n"/>
      <c r="Y1181" s="17">
        <f>IF(COUNTA($B1181:$R1181)=0,"",IF($X1181="Cancelado","Cancelado",IF(OR($X1181="Pago",$X1181="Recebido"),$X1181,IF(OR($X1181="Parcial",N($R1181)&gt;0),"Parcial",IF($C1181="","Sem vencimento",IF($C1181&lt;TODAY(),"Vencido",IF($C1181=TODAY(),"Vence hoje",IF($C1181&lt;=TODAY()+7,"Vence em 7 dias",IF($C1181&lt;=TODAY()+30,"Vence em 30 dias","Futuro")))))))))</f>
        <v/>
      </c>
      <c r="Z1181" s="24">
        <f>IF($B1181="","",MONTH($B1181))</f>
        <v/>
      </c>
      <c r="AA1181" s="24">
        <f>IF($B1181="","",YEAR($B1181))</f>
        <v/>
      </c>
      <c r="AB1181" s="24">
        <f>IF($B1181="","",ISOWEEKNUM($B1181))</f>
        <v/>
      </c>
      <c r="AC1181" s="17">
        <f>IF($B1181="","",CHOOSE(WEEKDAY($B1181,2),"Segunda","Terça","Quarta","Quinta","Sexta","Sábado","Domingo"))</f>
        <v/>
      </c>
      <c r="AD1181" s="17">
        <f>IF($B1181="","",TEXT($B1181,"MM/AAAA"))</f>
        <v/>
      </c>
      <c r="AE1181" s="18">
        <f>IF(COUNTA($B1181:$R1181)=0,"",IF($X1181="Cancelado",0,ROUND(N($Q1181)+N($S1181)+N($T1181)-N($U1181),2)))</f>
        <v/>
      </c>
      <c r="AF1181" s="9">
        <f>IF($G1181="","",IFERROR(INDEX(LINHAS_DRE_PLANO,MATCH($G1181,SUBCATEGORIAS_PLANO,0)),"Não classificado"))</f>
        <v/>
      </c>
      <c r="AG1181" s="17">
        <f>IF($G1181="","",IFERROR(INDEX(TIPOS_FLUXO_PLANO,MATCH($G1181,SUBCATEGORIAS_PLANO,0)),"Não classificado"))</f>
        <v/>
      </c>
      <c r="AH1181" s="9">
        <f>IF($G1181="","",IFERROR(INDEX(GRUPOS_PLANO,MATCH($G1181,SUBCATEGORIAS_PLANO,0)),"Não classificado"))</f>
        <v/>
      </c>
      <c r="AI1181" s="24">
        <f>IF(OR($C1181="",$X1181="Pago",$X1181="Recebido",$X1181="Cancelado"),"",$C1181-TODAY())</f>
        <v/>
      </c>
      <c r="AJ1181" s="24">
        <f>IF(OR($C1181="",$X1181="Pago",$X1181="Recebido",$X1181="Cancelado"),0,MAX(0,TODAY()-$C1181))</f>
        <v/>
      </c>
      <c r="AK1181" s="24">
        <f>IF($D1181="","",$D1181-$B1181)</f>
        <v/>
      </c>
      <c r="AL1181" s="18">
        <f>IF(OR($D1181="",$B1181=""),"",ROUND(N($R1181)*($D1181-$B1181),2))</f>
        <v/>
      </c>
      <c r="AM1181" s="17">
        <f>IF(AND($E1181="Saída",$W1181&gt;0,$C1181&lt;&gt;""),$C1181+ROW()/1000000,"")</f>
        <v/>
      </c>
      <c r="AN1181" s="17">
        <f>IF(AND($E1181="Entrada",$W1181&gt;0,$C1181&lt;&gt;""),$C1181+ROW()/1000000,"")</f>
        <v/>
      </c>
      <c r="AO1181" s="9">
        <f>IF(COUNTA($B1181:$R1181)=0,"",IF(AND($I1181&lt;&gt;"",COUNTIF(CLIENTES_NOMES,$I1181)+COUNTIF(CLIENTES_FANTASIA,$I1181)+COUNTIF(FORNECEDORES_NOMES,$I1181)+COUNTIF(FORNECEDORES_FANTASIA,$I1181)=0),"⚠ Cliente/Fornecedor não cadastrado",IF(AND($G1181&lt;&gt;"",COUNTIF(SUBCATEGORIAS_PLANO,$G1181)=0),"⚠ Subcategoria fora do plano de contas",IF(OR($Q1181="",N($Q1181)=0),"⚠ Valor previsto não informado",IF(AND(OR($X1181="Pago",$X1181="Recebido"),$D1181=""),"⚠ Status pago/recebido sem data",IF(AND($D1181&lt;&gt;"",N($R1181)=0),"⚠ Data de pagamento sem valor realizado",IF(AND(N($P1181)&gt;1,N($O1181)&gt;N($P1181)),"⚠ Nº da parcela maior que o total",IF(AND($C1181&lt;&gt;"",$B1181&lt;&gt;"",$C1181&lt;$B1181),"⚠ Vencimento anterior à competência","OK"))))))))</f>
        <v/>
      </c>
    </row>
    <row r="1182">
      <c r="A1182" s="14" t="n"/>
      <c r="B1182" s="36" t="n"/>
      <c r="C1182" s="36" t="n"/>
      <c r="D1182" s="36" t="n"/>
      <c r="E1182" s="14" t="n"/>
      <c r="F1182" s="29" t="n"/>
      <c r="G1182" s="29" t="n"/>
      <c r="H1182" s="29" t="n"/>
      <c r="I1182" s="29" t="n"/>
      <c r="J1182" s="29" t="n"/>
      <c r="K1182" s="14" t="n"/>
      <c r="L1182" s="29" t="n"/>
      <c r="M1182" s="14" t="n"/>
      <c r="N1182" s="29" t="n"/>
      <c r="O1182" s="13" t="n"/>
      <c r="P1182" s="13" t="n"/>
      <c r="Q1182" s="35" t="n"/>
      <c r="R1182" s="35" t="n"/>
      <c r="S1182" s="35" t="n"/>
      <c r="T1182" s="35" t="n"/>
      <c r="U1182" s="35" t="n"/>
      <c r="V1182" s="18">
        <f>IF(COUNTA($B1182:$R1182)=0,"",ROUND(N($R1182)+N($S1182)+N($T1182)-N($U1182),2))</f>
        <v/>
      </c>
      <c r="W1182" s="18">
        <f>IF(COUNTA($B1182:$R1182)=0,"",IF(OR($X1182="Pago",$X1182="Recebido",$X1182="Cancelado"),0,ROUND(N($Q1182)+N($S1182)+N($T1182)-N($U1182)-N($R1182),2)))</f>
        <v/>
      </c>
      <c r="X1182" s="14" t="n"/>
      <c r="Y1182" s="17">
        <f>IF(COUNTA($B1182:$R1182)=0,"",IF($X1182="Cancelado","Cancelado",IF(OR($X1182="Pago",$X1182="Recebido"),$X1182,IF(OR($X1182="Parcial",N($R1182)&gt;0),"Parcial",IF($C1182="","Sem vencimento",IF($C1182&lt;TODAY(),"Vencido",IF($C1182=TODAY(),"Vence hoje",IF($C1182&lt;=TODAY()+7,"Vence em 7 dias",IF($C1182&lt;=TODAY()+30,"Vence em 30 dias","Futuro")))))))))</f>
        <v/>
      </c>
      <c r="Z1182" s="24">
        <f>IF($B1182="","",MONTH($B1182))</f>
        <v/>
      </c>
      <c r="AA1182" s="24">
        <f>IF($B1182="","",YEAR($B1182))</f>
        <v/>
      </c>
      <c r="AB1182" s="24">
        <f>IF($B1182="","",ISOWEEKNUM($B1182))</f>
        <v/>
      </c>
      <c r="AC1182" s="17">
        <f>IF($B1182="","",CHOOSE(WEEKDAY($B1182,2),"Segunda","Terça","Quarta","Quinta","Sexta","Sábado","Domingo"))</f>
        <v/>
      </c>
      <c r="AD1182" s="17">
        <f>IF($B1182="","",TEXT($B1182,"MM/AAAA"))</f>
        <v/>
      </c>
      <c r="AE1182" s="18">
        <f>IF(COUNTA($B1182:$R1182)=0,"",IF($X1182="Cancelado",0,ROUND(N($Q1182)+N($S1182)+N($T1182)-N($U1182),2)))</f>
        <v/>
      </c>
      <c r="AF1182" s="9">
        <f>IF($G1182="","",IFERROR(INDEX(LINHAS_DRE_PLANO,MATCH($G1182,SUBCATEGORIAS_PLANO,0)),"Não classificado"))</f>
        <v/>
      </c>
      <c r="AG1182" s="17">
        <f>IF($G1182="","",IFERROR(INDEX(TIPOS_FLUXO_PLANO,MATCH($G1182,SUBCATEGORIAS_PLANO,0)),"Não classificado"))</f>
        <v/>
      </c>
      <c r="AH1182" s="9">
        <f>IF($G1182="","",IFERROR(INDEX(GRUPOS_PLANO,MATCH($G1182,SUBCATEGORIAS_PLANO,0)),"Não classificado"))</f>
        <v/>
      </c>
      <c r="AI1182" s="24">
        <f>IF(OR($C1182="",$X1182="Pago",$X1182="Recebido",$X1182="Cancelado"),"",$C1182-TODAY())</f>
        <v/>
      </c>
      <c r="AJ1182" s="24">
        <f>IF(OR($C1182="",$X1182="Pago",$X1182="Recebido",$X1182="Cancelado"),0,MAX(0,TODAY()-$C1182))</f>
        <v/>
      </c>
      <c r="AK1182" s="24">
        <f>IF($D1182="","",$D1182-$B1182)</f>
        <v/>
      </c>
      <c r="AL1182" s="18">
        <f>IF(OR($D1182="",$B1182=""),"",ROUND(N($R1182)*($D1182-$B1182),2))</f>
        <v/>
      </c>
      <c r="AM1182" s="17">
        <f>IF(AND($E1182="Saída",$W1182&gt;0,$C1182&lt;&gt;""),$C1182+ROW()/1000000,"")</f>
        <v/>
      </c>
      <c r="AN1182" s="17">
        <f>IF(AND($E1182="Entrada",$W1182&gt;0,$C1182&lt;&gt;""),$C1182+ROW()/1000000,"")</f>
        <v/>
      </c>
      <c r="AO1182" s="9">
        <f>IF(COUNTA($B1182:$R1182)=0,"",IF(AND($I1182&lt;&gt;"",COUNTIF(CLIENTES_NOMES,$I1182)+COUNTIF(CLIENTES_FANTASIA,$I1182)+COUNTIF(FORNECEDORES_NOMES,$I1182)+COUNTIF(FORNECEDORES_FANTASIA,$I1182)=0),"⚠ Cliente/Fornecedor não cadastrado",IF(AND($G1182&lt;&gt;"",COUNTIF(SUBCATEGORIAS_PLANO,$G1182)=0),"⚠ Subcategoria fora do plano de contas",IF(OR($Q1182="",N($Q1182)=0),"⚠ Valor previsto não informado",IF(AND(OR($X1182="Pago",$X1182="Recebido"),$D1182=""),"⚠ Status pago/recebido sem data",IF(AND($D1182&lt;&gt;"",N($R1182)=0),"⚠ Data de pagamento sem valor realizado",IF(AND(N($P1182)&gt;1,N($O1182)&gt;N($P1182)),"⚠ Nº da parcela maior que o total",IF(AND($C1182&lt;&gt;"",$B1182&lt;&gt;"",$C1182&lt;$B1182),"⚠ Vencimento anterior à competência","OK"))))))))</f>
        <v/>
      </c>
    </row>
    <row r="1183">
      <c r="A1183" s="14" t="n"/>
      <c r="B1183" s="36" t="n"/>
      <c r="C1183" s="36" t="n"/>
      <c r="D1183" s="36" t="n"/>
      <c r="E1183" s="14" t="n"/>
      <c r="F1183" s="29" t="n"/>
      <c r="G1183" s="29" t="n"/>
      <c r="H1183" s="29" t="n"/>
      <c r="I1183" s="29" t="n"/>
      <c r="J1183" s="29" t="n"/>
      <c r="K1183" s="14" t="n"/>
      <c r="L1183" s="29" t="n"/>
      <c r="M1183" s="14" t="n"/>
      <c r="N1183" s="29" t="n"/>
      <c r="O1183" s="13" t="n"/>
      <c r="P1183" s="13" t="n"/>
      <c r="Q1183" s="35" t="n"/>
      <c r="R1183" s="35" t="n"/>
      <c r="S1183" s="35" t="n"/>
      <c r="T1183" s="35" t="n"/>
      <c r="U1183" s="35" t="n"/>
      <c r="V1183" s="18">
        <f>IF(COUNTA($B1183:$R1183)=0,"",ROUND(N($R1183)+N($S1183)+N($T1183)-N($U1183),2))</f>
        <v/>
      </c>
      <c r="W1183" s="18">
        <f>IF(COUNTA($B1183:$R1183)=0,"",IF(OR($X1183="Pago",$X1183="Recebido",$X1183="Cancelado"),0,ROUND(N($Q1183)+N($S1183)+N($T1183)-N($U1183)-N($R1183),2)))</f>
        <v/>
      </c>
      <c r="X1183" s="14" t="n"/>
      <c r="Y1183" s="17">
        <f>IF(COUNTA($B1183:$R1183)=0,"",IF($X1183="Cancelado","Cancelado",IF(OR($X1183="Pago",$X1183="Recebido"),$X1183,IF(OR($X1183="Parcial",N($R1183)&gt;0),"Parcial",IF($C1183="","Sem vencimento",IF($C1183&lt;TODAY(),"Vencido",IF($C1183=TODAY(),"Vence hoje",IF($C1183&lt;=TODAY()+7,"Vence em 7 dias",IF($C1183&lt;=TODAY()+30,"Vence em 30 dias","Futuro")))))))))</f>
        <v/>
      </c>
      <c r="Z1183" s="24">
        <f>IF($B1183="","",MONTH($B1183))</f>
        <v/>
      </c>
      <c r="AA1183" s="24">
        <f>IF($B1183="","",YEAR($B1183))</f>
        <v/>
      </c>
      <c r="AB1183" s="24">
        <f>IF($B1183="","",ISOWEEKNUM($B1183))</f>
        <v/>
      </c>
      <c r="AC1183" s="17">
        <f>IF($B1183="","",CHOOSE(WEEKDAY($B1183,2),"Segunda","Terça","Quarta","Quinta","Sexta","Sábado","Domingo"))</f>
        <v/>
      </c>
      <c r="AD1183" s="17">
        <f>IF($B1183="","",TEXT($B1183,"MM/AAAA"))</f>
        <v/>
      </c>
      <c r="AE1183" s="18">
        <f>IF(COUNTA($B1183:$R1183)=0,"",IF($X1183="Cancelado",0,ROUND(N($Q1183)+N($S1183)+N($T1183)-N($U1183),2)))</f>
        <v/>
      </c>
      <c r="AF1183" s="9">
        <f>IF($G1183="","",IFERROR(INDEX(LINHAS_DRE_PLANO,MATCH($G1183,SUBCATEGORIAS_PLANO,0)),"Não classificado"))</f>
        <v/>
      </c>
      <c r="AG1183" s="17">
        <f>IF($G1183="","",IFERROR(INDEX(TIPOS_FLUXO_PLANO,MATCH($G1183,SUBCATEGORIAS_PLANO,0)),"Não classificado"))</f>
        <v/>
      </c>
      <c r="AH1183" s="9">
        <f>IF($G1183="","",IFERROR(INDEX(GRUPOS_PLANO,MATCH($G1183,SUBCATEGORIAS_PLANO,0)),"Não classificado"))</f>
        <v/>
      </c>
      <c r="AI1183" s="24">
        <f>IF(OR($C1183="",$X1183="Pago",$X1183="Recebido",$X1183="Cancelado"),"",$C1183-TODAY())</f>
        <v/>
      </c>
      <c r="AJ1183" s="24">
        <f>IF(OR($C1183="",$X1183="Pago",$X1183="Recebido",$X1183="Cancelado"),0,MAX(0,TODAY()-$C1183))</f>
        <v/>
      </c>
      <c r="AK1183" s="24">
        <f>IF($D1183="","",$D1183-$B1183)</f>
        <v/>
      </c>
      <c r="AL1183" s="18">
        <f>IF(OR($D1183="",$B1183=""),"",ROUND(N($R1183)*($D1183-$B1183),2))</f>
        <v/>
      </c>
      <c r="AM1183" s="17">
        <f>IF(AND($E1183="Saída",$W1183&gt;0,$C1183&lt;&gt;""),$C1183+ROW()/1000000,"")</f>
        <v/>
      </c>
      <c r="AN1183" s="17">
        <f>IF(AND($E1183="Entrada",$W1183&gt;0,$C1183&lt;&gt;""),$C1183+ROW()/1000000,"")</f>
        <v/>
      </c>
      <c r="AO1183" s="9">
        <f>IF(COUNTA($B1183:$R1183)=0,"",IF(AND($I1183&lt;&gt;"",COUNTIF(CLIENTES_NOMES,$I1183)+COUNTIF(CLIENTES_FANTASIA,$I1183)+COUNTIF(FORNECEDORES_NOMES,$I1183)+COUNTIF(FORNECEDORES_FANTASIA,$I1183)=0),"⚠ Cliente/Fornecedor não cadastrado",IF(AND($G1183&lt;&gt;"",COUNTIF(SUBCATEGORIAS_PLANO,$G1183)=0),"⚠ Subcategoria fora do plano de contas",IF(OR($Q1183="",N($Q1183)=0),"⚠ Valor previsto não informado",IF(AND(OR($X1183="Pago",$X1183="Recebido"),$D1183=""),"⚠ Status pago/recebido sem data",IF(AND($D1183&lt;&gt;"",N($R1183)=0),"⚠ Data de pagamento sem valor realizado",IF(AND(N($P1183)&gt;1,N($O1183)&gt;N($P1183)),"⚠ Nº da parcela maior que o total",IF(AND($C1183&lt;&gt;"",$B1183&lt;&gt;"",$C1183&lt;$B1183),"⚠ Vencimento anterior à competência","OK"))))))))</f>
        <v/>
      </c>
    </row>
    <row r="1184">
      <c r="A1184" s="14" t="n"/>
      <c r="B1184" s="36" t="n"/>
      <c r="C1184" s="36" t="n"/>
      <c r="D1184" s="36" t="n"/>
      <c r="E1184" s="14" t="n"/>
      <c r="F1184" s="29" t="n"/>
      <c r="G1184" s="29" t="n"/>
      <c r="H1184" s="29" t="n"/>
      <c r="I1184" s="29" t="n"/>
      <c r="J1184" s="29" t="n"/>
      <c r="K1184" s="14" t="n"/>
      <c r="L1184" s="29" t="n"/>
      <c r="M1184" s="14" t="n"/>
      <c r="N1184" s="29" t="n"/>
      <c r="O1184" s="13" t="n"/>
      <c r="P1184" s="13" t="n"/>
      <c r="Q1184" s="35" t="n"/>
      <c r="R1184" s="35" t="n"/>
      <c r="S1184" s="35" t="n"/>
      <c r="T1184" s="35" t="n"/>
      <c r="U1184" s="35" t="n"/>
      <c r="V1184" s="18">
        <f>IF(COUNTA($B1184:$R1184)=0,"",ROUND(N($R1184)+N($S1184)+N($T1184)-N($U1184),2))</f>
        <v/>
      </c>
      <c r="W1184" s="18">
        <f>IF(COUNTA($B1184:$R1184)=0,"",IF(OR($X1184="Pago",$X1184="Recebido",$X1184="Cancelado"),0,ROUND(N($Q1184)+N($S1184)+N($T1184)-N($U1184)-N($R1184),2)))</f>
        <v/>
      </c>
      <c r="X1184" s="14" t="n"/>
      <c r="Y1184" s="17">
        <f>IF(COUNTA($B1184:$R1184)=0,"",IF($X1184="Cancelado","Cancelado",IF(OR($X1184="Pago",$X1184="Recebido"),$X1184,IF(OR($X1184="Parcial",N($R1184)&gt;0),"Parcial",IF($C1184="","Sem vencimento",IF($C1184&lt;TODAY(),"Vencido",IF($C1184=TODAY(),"Vence hoje",IF($C1184&lt;=TODAY()+7,"Vence em 7 dias",IF($C1184&lt;=TODAY()+30,"Vence em 30 dias","Futuro")))))))))</f>
        <v/>
      </c>
      <c r="Z1184" s="24">
        <f>IF($B1184="","",MONTH($B1184))</f>
        <v/>
      </c>
      <c r="AA1184" s="24">
        <f>IF($B1184="","",YEAR($B1184))</f>
        <v/>
      </c>
      <c r="AB1184" s="24">
        <f>IF($B1184="","",ISOWEEKNUM($B1184))</f>
        <v/>
      </c>
      <c r="AC1184" s="17">
        <f>IF($B1184="","",CHOOSE(WEEKDAY($B1184,2),"Segunda","Terça","Quarta","Quinta","Sexta","Sábado","Domingo"))</f>
        <v/>
      </c>
      <c r="AD1184" s="17">
        <f>IF($B1184="","",TEXT($B1184,"MM/AAAA"))</f>
        <v/>
      </c>
      <c r="AE1184" s="18">
        <f>IF(COUNTA($B1184:$R1184)=0,"",IF($X1184="Cancelado",0,ROUND(N($Q1184)+N($S1184)+N($T1184)-N($U1184),2)))</f>
        <v/>
      </c>
      <c r="AF1184" s="9">
        <f>IF($G1184="","",IFERROR(INDEX(LINHAS_DRE_PLANO,MATCH($G1184,SUBCATEGORIAS_PLANO,0)),"Não classificado"))</f>
        <v/>
      </c>
      <c r="AG1184" s="17">
        <f>IF($G1184="","",IFERROR(INDEX(TIPOS_FLUXO_PLANO,MATCH($G1184,SUBCATEGORIAS_PLANO,0)),"Não classificado"))</f>
        <v/>
      </c>
      <c r="AH1184" s="9">
        <f>IF($G1184="","",IFERROR(INDEX(GRUPOS_PLANO,MATCH($G1184,SUBCATEGORIAS_PLANO,0)),"Não classificado"))</f>
        <v/>
      </c>
      <c r="AI1184" s="24">
        <f>IF(OR($C1184="",$X1184="Pago",$X1184="Recebido",$X1184="Cancelado"),"",$C1184-TODAY())</f>
        <v/>
      </c>
      <c r="AJ1184" s="24">
        <f>IF(OR($C1184="",$X1184="Pago",$X1184="Recebido",$X1184="Cancelado"),0,MAX(0,TODAY()-$C1184))</f>
        <v/>
      </c>
      <c r="AK1184" s="24">
        <f>IF($D1184="","",$D1184-$B1184)</f>
        <v/>
      </c>
      <c r="AL1184" s="18">
        <f>IF(OR($D1184="",$B1184=""),"",ROUND(N($R1184)*($D1184-$B1184),2))</f>
        <v/>
      </c>
      <c r="AM1184" s="17">
        <f>IF(AND($E1184="Saída",$W1184&gt;0,$C1184&lt;&gt;""),$C1184+ROW()/1000000,"")</f>
        <v/>
      </c>
      <c r="AN1184" s="17">
        <f>IF(AND($E1184="Entrada",$W1184&gt;0,$C1184&lt;&gt;""),$C1184+ROW()/1000000,"")</f>
        <v/>
      </c>
      <c r="AO1184" s="9">
        <f>IF(COUNTA($B1184:$R1184)=0,"",IF(AND($I1184&lt;&gt;"",COUNTIF(CLIENTES_NOMES,$I1184)+COUNTIF(CLIENTES_FANTASIA,$I1184)+COUNTIF(FORNECEDORES_NOMES,$I1184)+COUNTIF(FORNECEDORES_FANTASIA,$I1184)=0),"⚠ Cliente/Fornecedor não cadastrado",IF(AND($G1184&lt;&gt;"",COUNTIF(SUBCATEGORIAS_PLANO,$G1184)=0),"⚠ Subcategoria fora do plano de contas",IF(OR($Q1184="",N($Q1184)=0),"⚠ Valor previsto não informado",IF(AND(OR($X1184="Pago",$X1184="Recebido"),$D1184=""),"⚠ Status pago/recebido sem data",IF(AND($D1184&lt;&gt;"",N($R1184)=0),"⚠ Data de pagamento sem valor realizado",IF(AND(N($P1184)&gt;1,N($O1184)&gt;N($P1184)),"⚠ Nº da parcela maior que o total",IF(AND($C1184&lt;&gt;"",$B1184&lt;&gt;"",$C1184&lt;$B1184),"⚠ Vencimento anterior à competência","OK"))))))))</f>
        <v/>
      </c>
    </row>
    <row r="1185">
      <c r="A1185" s="14" t="n"/>
      <c r="B1185" s="36" t="n"/>
      <c r="C1185" s="36" t="n"/>
      <c r="D1185" s="36" t="n"/>
      <c r="E1185" s="14" t="n"/>
      <c r="F1185" s="29" t="n"/>
      <c r="G1185" s="29" t="n"/>
      <c r="H1185" s="29" t="n"/>
      <c r="I1185" s="29" t="n"/>
      <c r="J1185" s="29" t="n"/>
      <c r="K1185" s="14" t="n"/>
      <c r="L1185" s="29" t="n"/>
      <c r="M1185" s="14" t="n"/>
      <c r="N1185" s="29" t="n"/>
      <c r="O1185" s="13" t="n"/>
      <c r="P1185" s="13" t="n"/>
      <c r="Q1185" s="35" t="n"/>
      <c r="R1185" s="35" t="n"/>
      <c r="S1185" s="35" t="n"/>
      <c r="T1185" s="35" t="n"/>
      <c r="U1185" s="35" t="n"/>
      <c r="V1185" s="18">
        <f>IF(COUNTA($B1185:$R1185)=0,"",ROUND(N($R1185)+N($S1185)+N($T1185)-N($U1185),2))</f>
        <v/>
      </c>
      <c r="W1185" s="18">
        <f>IF(COUNTA($B1185:$R1185)=0,"",IF(OR($X1185="Pago",$X1185="Recebido",$X1185="Cancelado"),0,ROUND(N($Q1185)+N($S1185)+N($T1185)-N($U1185)-N($R1185),2)))</f>
        <v/>
      </c>
      <c r="X1185" s="14" t="n"/>
      <c r="Y1185" s="17">
        <f>IF(COUNTA($B1185:$R1185)=0,"",IF($X1185="Cancelado","Cancelado",IF(OR($X1185="Pago",$X1185="Recebido"),$X1185,IF(OR($X1185="Parcial",N($R1185)&gt;0),"Parcial",IF($C1185="","Sem vencimento",IF($C1185&lt;TODAY(),"Vencido",IF($C1185=TODAY(),"Vence hoje",IF($C1185&lt;=TODAY()+7,"Vence em 7 dias",IF($C1185&lt;=TODAY()+30,"Vence em 30 dias","Futuro")))))))))</f>
        <v/>
      </c>
      <c r="Z1185" s="24">
        <f>IF($B1185="","",MONTH($B1185))</f>
        <v/>
      </c>
      <c r="AA1185" s="24">
        <f>IF($B1185="","",YEAR($B1185))</f>
        <v/>
      </c>
      <c r="AB1185" s="24">
        <f>IF($B1185="","",ISOWEEKNUM($B1185))</f>
        <v/>
      </c>
      <c r="AC1185" s="17">
        <f>IF($B1185="","",CHOOSE(WEEKDAY($B1185,2),"Segunda","Terça","Quarta","Quinta","Sexta","Sábado","Domingo"))</f>
        <v/>
      </c>
      <c r="AD1185" s="17">
        <f>IF($B1185="","",TEXT($B1185,"MM/AAAA"))</f>
        <v/>
      </c>
      <c r="AE1185" s="18">
        <f>IF(COUNTA($B1185:$R1185)=0,"",IF($X1185="Cancelado",0,ROUND(N($Q1185)+N($S1185)+N($T1185)-N($U1185),2)))</f>
        <v/>
      </c>
      <c r="AF1185" s="9">
        <f>IF($G1185="","",IFERROR(INDEX(LINHAS_DRE_PLANO,MATCH($G1185,SUBCATEGORIAS_PLANO,0)),"Não classificado"))</f>
        <v/>
      </c>
      <c r="AG1185" s="17">
        <f>IF($G1185="","",IFERROR(INDEX(TIPOS_FLUXO_PLANO,MATCH($G1185,SUBCATEGORIAS_PLANO,0)),"Não classificado"))</f>
        <v/>
      </c>
      <c r="AH1185" s="9">
        <f>IF($G1185="","",IFERROR(INDEX(GRUPOS_PLANO,MATCH($G1185,SUBCATEGORIAS_PLANO,0)),"Não classificado"))</f>
        <v/>
      </c>
      <c r="AI1185" s="24">
        <f>IF(OR($C1185="",$X1185="Pago",$X1185="Recebido",$X1185="Cancelado"),"",$C1185-TODAY())</f>
        <v/>
      </c>
      <c r="AJ1185" s="24">
        <f>IF(OR($C1185="",$X1185="Pago",$X1185="Recebido",$X1185="Cancelado"),0,MAX(0,TODAY()-$C1185))</f>
        <v/>
      </c>
      <c r="AK1185" s="24">
        <f>IF($D1185="","",$D1185-$B1185)</f>
        <v/>
      </c>
      <c r="AL1185" s="18">
        <f>IF(OR($D1185="",$B1185=""),"",ROUND(N($R1185)*($D1185-$B1185),2))</f>
        <v/>
      </c>
      <c r="AM1185" s="17">
        <f>IF(AND($E1185="Saída",$W1185&gt;0,$C1185&lt;&gt;""),$C1185+ROW()/1000000,"")</f>
        <v/>
      </c>
      <c r="AN1185" s="17">
        <f>IF(AND($E1185="Entrada",$W1185&gt;0,$C1185&lt;&gt;""),$C1185+ROW()/1000000,"")</f>
        <v/>
      </c>
      <c r="AO1185" s="9">
        <f>IF(COUNTA($B1185:$R1185)=0,"",IF(AND($I1185&lt;&gt;"",COUNTIF(CLIENTES_NOMES,$I1185)+COUNTIF(CLIENTES_FANTASIA,$I1185)+COUNTIF(FORNECEDORES_NOMES,$I1185)+COUNTIF(FORNECEDORES_FANTASIA,$I1185)=0),"⚠ Cliente/Fornecedor não cadastrado",IF(AND($G1185&lt;&gt;"",COUNTIF(SUBCATEGORIAS_PLANO,$G1185)=0),"⚠ Subcategoria fora do plano de contas",IF(OR($Q1185="",N($Q1185)=0),"⚠ Valor previsto não informado",IF(AND(OR($X1185="Pago",$X1185="Recebido"),$D1185=""),"⚠ Status pago/recebido sem data",IF(AND($D1185&lt;&gt;"",N($R1185)=0),"⚠ Data de pagamento sem valor realizado",IF(AND(N($P1185)&gt;1,N($O1185)&gt;N($P1185)),"⚠ Nº da parcela maior que o total",IF(AND($C1185&lt;&gt;"",$B1185&lt;&gt;"",$C1185&lt;$B1185),"⚠ Vencimento anterior à competência","OK"))))))))</f>
        <v/>
      </c>
    </row>
    <row r="1186">
      <c r="A1186" s="14" t="n"/>
      <c r="B1186" s="36" t="n"/>
      <c r="C1186" s="36" t="n"/>
      <c r="D1186" s="36" t="n"/>
      <c r="E1186" s="14" t="n"/>
      <c r="F1186" s="29" t="n"/>
      <c r="G1186" s="29" t="n"/>
      <c r="H1186" s="29" t="n"/>
      <c r="I1186" s="29" t="n"/>
      <c r="J1186" s="29" t="n"/>
      <c r="K1186" s="14" t="n"/>
      <c r="L1186" s="29" t="n"/>
      <c r="M1186" s="14" t="n"/>
      <c r="N1186" s="29" t="n"/>
      <c r="O1186" s="13" t="n"/>
      <c r="P1186" s="13" t="n"/>
      <c r="Q1186" s="35" t="n"/>
      <c r="R1186" s="35" t="n"/>
      <c r="S1186" s="35" t="n"/>
      <c r="T1186" s="35" t="n"/>
      <c r="U1186" s="35" t="n"/>
      <c r="V1186" s="18">
        <f>IF(COUNTA($B1186:$R1186)=0,"",ROUND(N($R1186)+N($S1186)+N($T1186)-N($U1186),2))</f>
        <v/>
      </c>
      <c r="W1186" s="18">
        <f>IF(COUNTA($B1186:$R1186)=0,"",IF(OR($X1186="Pago",$X1186="Recebido",$X1186="Cancelado"),0,ROUND(N($Q1186)+N($S1186)+N($T1186)-N($U1186)-N($R1186),2)))</f>
        <v/>
      </c>
      <c r="X1186" s="14" t="n"/>
      <c r="Y1186" s="17">
        <f>IF(COUNTA($B1186:$R1186)=0,"",IF($X1186="Cancelado","Cancelado",IF(OR($X1186="Pago",$X1186="Recebido"),$X1186,IF(OR($X1186="Parcial",N($R1186)&gt;0),"Parcial",IF($C1186="","Sem vencimento",IF($C1186&lt;TODAY(),"Vencido",IF($C1186=TODAY(),"Vence hoje",IF($C1186&lt;=TODAY()+7,"Vence em 7 dias",IF($C1186&lt;=TODAY()+30,"Vence em 30 dias","Futuro")))))))))</f>
        <v/>
      </c>
      <c r="Z1186" s="24">
        <f>IF($B1186="","",MONTH($B1186))</f>
        <v/>
      </c>
      <c r="AA1186" s="24">
        <f>IF($B1186="","",YEAR($B1186))</f>
        <v/>
      </c>
      <c r="AB1186" s="24">
        <f>IF($B1186="","",ISOWEEKNUM($B1186))</f>
        <v/>
      </c>
      <c r="AC1186" s="17">
        <f>IF($B1186="","",CHOOSE(WEEKDAY($B1186,2),"Segunda","Terça","Quarta","Quinta","Sexta","Sábado","Domingo"))</f>
        <v/>
      </c>
      <c r="AD1186" s="17">
        <f>IF($B1186="","",TEXT($B1186,"MM/AAAA"))</f>
        <v/>
      </c>
      <c r="AE1186" s="18">
        <f>IF(COUNTA($B1186:$R1186)=0,"",IF($X1186="Cancelado",0,ROUND(N($Q1186)+N($S1186)+N($T1186)-N($U1186),2)))</f>
        <v/>
      </c>
      <c r="AF1186" s="9">
        <f>IF($G1186="","",IFERROR(INDEX(LINHAS_DRE_PLANO,MATCH($G1186,SUBCATEGORIAS_PLANO,0)),"Não classificado"))</f>
        <v/>
      </c>
      <c r="AG1186" s="17">
        <f>IF($G1186="","",IFERROR(INDEX(TIPOS_FLUXO_PLANO,MATCH($G1186,SUBCATEGORIAS_PLANO,0)),"Não classificado"))</f>
        <v/>
      </c>
      <c r="AH1186" s="9">
        <f>IF($G1186="","",IFERROR(INDEX(GRUPOS_PLANO,MATCH($G1186,SUBCATEGORIAS_PLANO,0)),"Não classificado"))</f>
        <v/>
      </c>
      <c r="AI1186" s="24">
        <f>IF(OR($C1186="",$X1186="Pago",$X1186="Recebido",$X1186="Cancelado"),"",$C1186-TODAY())</f>
        <v/>
      </c>
      <c r="AJ1186" s="24">
        <f>IF(OR($C1186="",$X1186="Pago",$X1186="Recebido",$X1186="Cancelado"),0,MAX(0,TODAY()-$C1186))</f>
        <v/>
      </c>
      <c r="AK1186" s="24">
        <f>IF($D1186="","",$D1186-$B1186)</f>
        <v/>
      </c>
      <c r="AL1186" s="18">
        <f>IF(OR($D1186="",$B1186=""),"",ROUND(N($R1186)*($D1186-$B1186),2))</f>
        <v/>
      </c>
      <c r="AM1186" s="17">
        <f>IF(AND($E1186="Saída",$W1186&gt;0,$C1186&lt;&gt;""),$C1186+ROW()/1000000,"")</f>
        <v/>
      </c>
      <c r="AN1186" s="17">
        <f>IF(AND($E1186="Entrada",$W1186&gt;0,$C1186&lt;&gt;""),$C1186+ROW()/1000000,"")</f>
        <v/>
      </c>
      <c r="AO1186" s="9">
        <f>IF(COUNTA($B1186:$R1186)=0,"",IF(AND($I1186&lt;&gt;"",COUNTIF(CLIENTES_NOMES,$I1186)+COUNTIF(CLIENTES_FANTASIA,$I1186)+COUNTIF(FORNECEDORES_NOMES,$I1186)+COUNTIF(FORNECEDORES_FANTASIA,$I1186)=0),"⚠ Cliente/Fornecedor não cadastrado",IF(AND($G1186&lt;&gt;"",COUNTIF(SUBCATEGORIAS_PLANO,$G1186)=0),"⚠ Subcategoria fora do plano de contas",IF(OR($Q1186="",N($Q1186)=0),"⚠ Valor previsto não informado",IF(AND(OR($X1186="Pago",$X1186="Recebido"),$D1186=""),"⚠ Status pago/recebido sem data",IF(AND($D1186&lt;&gt;"",N($R1186)=0),"⚠ Data de pagamento sem valor realizado",IF(AND(N($P1186)&gt;1,N($O1186)&gt;N($P1186)),"⚠ Nº da parcela maior que o total",IF(AND($C1186&lt;&gt;"",$B1186&lt;&gt;"",$C1186&lt;$B1186),"⚠ Vencimento anterior à competência","OK"))))))))</f>
        <v/>
      </c>
    </row>
    <row r="1187">
      <c r="A1187" s="14" t="n"/>
      <c r="B1187" s="36" t="n"/>
      <c r="C1187" s="36" t="n"/>
      <c r="D1187" s="36" t="n"/>
      <c r="E1187" s="14" t="n"/>
      <c r="F1187" s="29" t="n"/>
      <c r="G1187" s="29" t="n"/>
      <c r="H1187" s="29" t="n"/>
      <c r="I1187" s="29" t="n"/>
      <c r="J1187" s="29" t="n"/>
      <c r="K1187" s="14" t="n"/>
      <c r="L1187" s="29" t="n"/>
      <c r="M1187" s="14" t="n"/>
      <c r="N1187" s="29" t="n"/>
      <c r="O1187" s="13" t="n"/>
      <c r="P1187" s="13" t="n"/>
      <c r="Q1187" s="35" t="n"/>
      <c r="R1187" s="35" t="n"/>
      <c r="S1187" s="35" t="n"/>
      <c r="T1187" s="35" t="n"/>
      <c r="U1187" s="35" t="n"/>
      <c r="V1187" s="18">
        <f>IF(COUNTA($B1187:$R1187)=0,"",ROUND(N($R1187)+N($S1187)+N($T1187)-N($U1187),2))</f>
        <v/>
      </c>
      <c r="W1187" s="18">
        <f>IF(COUNTA($B1187:$R1187)=0,"",IF(OR($X1187="Pago",$X1187="Recebido",$X1187="Cancelado"),0,ROUND(N($Q1187)+N($S1187)+N($T1187)-N($U1187)-N($R1187),2)))</f>
        <v/>
      </c>
      <c r="X1187" s="14" t="n"/>
      <c r="Y1187" s="17">
        <f>IF(COUNTA($B1187:$R1187)=0,"",IF($X1187="Cancelado","Cancelado",IF(OR($X1187="Pago",$X1187="Recebido"),$X1187,IF(OR($X1187="Parcial",N($R1187)&gt;0),"Parcial",IF($C1187="","Sem vencimento",IF($C1187&lt;TODAY(),"Vencido",IF($C1187=TODAY(),"Vence hoje",IF($C1187&lt;=TODAY()+7,"Vence em 7 dias",IF($C1187&lt;=TODAY()+30,"Vence em 30 dias","Futuro")))))))))</f>
        <v/>
      </c>
      <c r="Z1187" s="24">
        <f>IF($B1187="","",MONTH($B1187))</f>
        <v/>
      </c>
      <c r="AA1187" s="24">
        <f>IF($B1187="","",YEAR($B1187))</f>
        <v/>
      </c>
      <c r="AB1187" s="24">
        <f>IF($B1187="","",ISOWEEKNUM($B1187))</f>
        <v/>
      </c>
      <c r="AC1187" s="17">
        <f>IF($B1187="","",CHOOSE(WEEKDAY($B1187,2),"Segunda","Terça","Quarta","Quinta","Sexta","Sábado","Domingo"))</f>
        <v/>
      </c>
      <c r="AD1187" s="17">
        <f>IF($B1187="","",TEXT($B1187,"MM/AAAA"))</f>
        <v/>
      </c>
      <c r="AE1187" s="18">
        <f>IF(COUNTA($B1187:$R1187)=0,"",IF($X1187="Cancelado",0,ROUND(N($Q1187)+N($S1187)+N($T1187)-N($U1187),2)))</f>
        <v/>
      </c>
      <c r="AF1187" s="9">
        <f>IF($G1187="","",IFERROR(INDEX(LINHAS_DRE_PLANO,MATCH($G1187,SUBCATEGORIAS_PLANO,0)),"Não classificado"))</f>
        <v/>
      </c>
      <c r="AG1187" s="17">
        <f>IF($G1187="","",IFERROR(INDEX(TIPOS_FLUXO_PLANO,MATCH($G1187,SUBCATEGORIAS_PLANO,0)),"Não classificado"))</f>
        <v/>
      </c>
      <c r="AH1187" s="9">
        <f>IF($G1187="","",IFERROR(INDEX(GRUPOS_PLANO,MATCH($G1187,SUBCATEGORIAS_PLANO,0)),"Não classificado"))</f>
        <v/>
      </c>
      <c r="AI1187" s="24">
        <f>IF(OR($C1187="",$X1187="Pago",$X1187="Recebido",$X1187="Cancelado"),"",$C1187-TODAY())</f>
        <v/>
      </c>
      <c r="AJ1187" s="24">
        <f>IF(OR($C1187="",$X1187="Pago",$X1187="Recebido",$X1187="Cancelado"),0,MAX(0,TODAY()-$C1187))</f>
        <v/>
      </c>
      <c r="AK1187" s="24">
        <f>IF($D1187="","",$D1187-$B1187)</f>
        <v/>
      </c>
      <c r="AL1187" s="18">
        <f>IF(OR($D1187="",$B1187=""),"",ROUND(N($R1187)*($D1187-$B1187),2))</f>
        <v/>
      </c>
      <c r="AM1187" s="17">
        <f>IF(AND($E1187="Saída",$W1187&gt;0,$C1187&lt;&gt;""),$C1187+ROW()/1000000,"")</f>
        <v/>
      </c>
      <c r="AN1187" s="17">
        <f>IF(AND($E1187="Entrada",$W1187&gt;0,$C1187&lt;&gt;""),$C1187+ROW()/1000000,"")</f>
        <v/>
      </c>
      <c r="AO1187" s="9">
        <f>IF(COUNTA($B1187:$R1187)=0,"",IF(AND($I1187&lt;&gt;"",COUNTIF(CLIENTES_NOMES,$I1187)+COUNTIF(CLIENTES_FANTASIA,$I1187)+COUNTIF(FORNECEDORES_NOMES,$I1187)+COUNTIF(FORNECEDORES_FANTASIA,$I1187)=0),"⚠ Cliente/Fornecedor não cadastrado",IF(AND($G1187&lt;&gt;"",COUNTIF(SUBCATEGORIAS_PLANO,$G1187)=0),"⚠ Subcategoria fora do plano de contas",IF(OR($Q1187="",N($Q1187)=0),"⚠ Valor previsto não informado",IF(AND(OR($X1187="Pago",$X1187="Recebido"),$D1187=""),"⚠ Status pago/recebido sem data",IF(AND($D1187&lt;&gt;"",N($R1187)=0),"⚠ Data de pagamento sem valor realizado",IF(AND(N($P1187)&gt;1,N($O1187)&gt;N($P1187)),"⚠ Nº da parcela maior que o total",IF(AND($C1187&lt;&gt;"",$B1187&lt;&gt;"",$C1187&lt;$B1187),"⚠ Vencimento anterior à competência","OK"))))))))</f>
        <v/>
      </c>
    </row>
    <row r="1188">
      <c r="A1188" s="14" t="n"/>
      <c r="B1188" s="36" t="n"/>
      <c r="C1188" s="36" t="n"/>
      <c r="D1188" s="36" t="n"/>
      <c r="E1188" s="14" t="n"/>
      <c r="F1188" s="29" t="n"/>
      <c r="G1188" s="29" t="n"/>
      <c r="H1188" s="29" t="n"/>
      <c r="I1188" s="29" t="n"/>
      <c r="J1188" s="29" t="n"/>
      <c r="K1188" s="14" t="n"/>
      <c r="L1188" s="29" t="n"/>
      <c r="M1188" s="14" t="n"/>
      <c r="N1188" s="29" t="n"/>
      <c r="O1188" s="13" t="n"/>
      <c r="P1188" s="13" t="n"/>
      <c r="Q1188" s="35" t="n"/>
      <c r="R1188" s="35" t="n"/>
      <c r="S1188" s="35" t="n"/>
      <c r="T1188" s="35" t="n"/>
      <c r="U1188" s="35" t="n"/>
      <c r="V1188" s="18">
        <f>IF(COUNTA($B1188:$R1188)=0,"",ROUND(N($R1188)+N($S1188)+N($T1188)-N($U1188),2))</f>
        <v/>
      </c>
      <c r="W1188" s="18">
        <f>IF(COUNTA($B1188:$R1188)=0,"",IF(OR($X1188="Pago",$X1188="Recebido",$X1188="Cancelado"),0,ROUND(N($Q1188)+N($S1188)+N($T1188)-N($U1188)-N($R1188),2)))</f>
        <v/>
      </c>
      <c r="X1188" s="14" t="n"/>
      <c r="Y1188" s="17">
        <f>IF(COUNTA($B1188:$R1188)=0,"",IF($X1188="Cancelado","Cancelado",IF(OR($X1188="Pago",$X1188="Recebido"),$X1188,IF(OR($X1188="Parcial",N($R1188)&gt;0),"Parcial",IF($C1188="","Sem vencimento",IF($C1188&lt;TODAY(),"Vencido",IF($C1188=TODAY(),"Vence hoje",IF($C1188&lt;=TODAY()+7,"Vence em 7 dias",IF($C1188&lt;=TODAY()+30,"Vence em 30 dias","Futuro")))))))))</f>
        <v/>
      </c>
      <c r="Z1188" s="24">
        <f>IF($B1188="","",MONTH($B1188))</f>
        <v/>
      </c>
      <c r="AA1188" s="24">
        <f>IF($B1188="","",YEAR($B1188))</f>
        <v/>
      </c>
      <c r="AB1188" s="24">
        <f>IF($B1188="","",ISOWEEKNUM($B1188))</f>
        <v/>
      </c>
      <c r="AC1188" s="17">
        <f>IF($B1188="","",CHOOSE(WEEKDAY($B1188,2),"Segunda","Terça","Quarta","Quinta","Sexta","Sábado","Domingo"))</f>
        <v/>
      </c>
      <c r="AD1188" s="17">
        <f>IF($B1188="","",TEXT($B1188,"MM/AAAA"))</f>
        <v/>
      </c>
      <c r="AE1188" s="18">
        <f>IF(COUNTA($B1188:$R1188)=0,"",IF($X1188="Cancelado",0,ROUND(N($Q1188)+N($S1188)+N($T1188)-N($U1188),2)))</f>
        <v/>
      </c>
      <c r="AF1188" s="9">
        <f>IF($G1188="","",IFERROR(INDEX(LINHAS_DRE_PLANO,MATCH($G1188,SUBCATEGORIAS_PLANO,0)),"Não classificado"))</f>
        <v/>
      </c>
      <c r="AG1188" s="17">
        <f>IF($G1188="","",IFERROR(INDEX(TIPOS_FLUXO_PLANO,MATCH($G1188,SUBCATEGORIAS_PLANO,0)),"Não classificado"))</f>
        <v/>
      </c>
      <c r="AH1188" s="9">
        <f>IF($G1188="","",IFERROR(INDEX(GRUPOS_PLANO,MATCH($G1188,SUBCATEGORIAS_PLANO,0)),"Não classificado"))</f>
        <v/>
      </c>
      <c r="AI1188" s="24">
        <f>IF(OR($C1188="",$X1188="Pago",$X1188="Recebido",$X1188="Cancelado"),"",$C1188-TODAY())</f>
        <v/>
      </c>
      <c r="AJ1188" s="24">
        <f>IF(OR($C1188="",$X1188="Pago",$X1188="Recebido",$X1188="Cancelado"),0,MAX(0,TODAY()-$C1188))</f>
        <v/>
      </c>
      <c r="AK1188" s="24">
        <f>IF($D1188="","",$D1188-$B1188)</f>
        <v/>
      </c>
      <c r="AL1188" s="18">
        <f>IF(OR($D1188="",$B1188=""),"",ROUND(N($R1188)*($D1188-$B1188),2))</f>
        <v/>
      </c>
      <c r="AM1188" s="17">
        <f>IF(AND($E1188="Saída",$W1188&gt;0,$C1188&lt;&gt;""),$C1188+ROW()/1000000,"")</f>
        <v/>
      </c>
      <c r="AN1188" s="17">
        <f>IF(AND($E1188="Entrada",$W1188&gt;0,$C1188&lt;&gt;""),$C1188+ROW()/1000000,"")</f>
        <v/>
      </c>
      <c r="AO1188" s="9">
        <f>IF(COUNTA($B1188:$R1188)=0,"",IF(AND($I1188&lt;&gt;"",COUNTIF(CLIENTES_NOMES,$I1188)+COUNTIF(CLIENTES_FANTASIA,$I1188)+COUNTIF(FORNECEDORES_NOMES,$I1188)+COUNTIF(FORNECEDORES_FANTASIA,$I1188)=0),"⚠ Cliente/Fornecedor não cadastrado",IF(AND($G1188&lt;&gt;"",COUNTIF(SUBCATEGORIAS_PLANO,$G1188)=0),"⚠ Subcategoria fora do plano de contas",IF(OR($Q1188="",N($Q1188)=0),"⚠ Valor previsto não informado",IF(AND(OR($X1188="Pago",$X1188="Recebido"),$D1188=""),"⚠ Status pago/recebido sem data",IF(AND($D1188&lt;&gt;"",N($R1188)=0),"⚠ Data de pagamento sem valor realizado",IF(AND(N($P1188)&gt;1,N($O1188)&gt;N($P1188)),"⚠ Nº da parcela maior que o total",IF(AND($C1188&lt;&gt;"",$B1188&lt;&gt;"",$C1188&lt;$B1188),"⚠ Vencimento anterior à competência","OK"))))))))</f>
        <v/>
      </c>
    </row>
    <row r="1189">
      <c r="A1189" s="14" t="n"/>
      <c r="B1189" s="36" t="n"/>
      <c r="C1189" s="36" t="n"/>
      <c r="D1189" s="36" t="n"/>
      <c r="E1189" s="14" t="n"/>
      <c r="F1189" s="29" t="n"/>
      <c r="G1189" s="29" t="n"/>
      <c r="H1189" s="29" t="n"/>
      <c r="I1189" s="29" t="n"/>
      <c r="J1189" s="29" t="n"/>
      <c r="K1189" s="14" t="n"/>
      <c r="L1189" s="29" t="n"/>
      <c r="M1189" s="14" t="n"/>
      <c r="N1189" s="29" t="n"/>
      <c r="O1189" s="13" t="n"/>
      <c r="P1189" s="13" t="n"/>
      <c r="Q1189" s="35" t="n"/>
      <c r="R1189" s="35" t="n"/>
      <c r="S1189" s="35" t="n"/>
      <c r="T1189" s="35" t="n"/>
      <c r="U1189" s="35" t="n"/>
      <c r="V1189" s="18">
        <f>IF(COUNTA($B1189:$R1189)=0,"",ROUND(N($R1189)+N($S1189)+N($T1189)-N($U1189),2))</f>
        <v/>
      </c>
      <c r="W1189" s="18">
        <f>IF(COUNTA($B1189:$R1189)=0,"",IF(OR($X1189="Pago",$X1189="Recebido",$X1189="Cancelado"),0,ROUND(N($Q1189)+N($S1189)+N($T1189)-N($U1189)-N($R1189),2)))</f>
        <v/>
      </c>
      <c r="X1189" s="14" t="n"/>
      <c r="Y1189" s="17">
        <f>IF(COUNTA($B1189:$R1189)=0,"",IF($X1189="Cancelado","Cancelado",IF(OR($X1189="Pago",$X1189="Recebido"),$X1189,IF(OR($X1189="Parcial",N($R1189)&gt;0),"Parcial",IF($C1189="","Sem vencimento",IF($C1189&lt;TODAY(),"Vencido",IF($C1189=TODAY(),"Vence hoje",IF($C1189&lt;=TODAY()+7,"Vence em 7 dias",IF($C1189&lt;=TODAY()+30,"Vence em 30 dias","Futuro")))))))))</f>
        <v/>
      </c>
      <c r="Z1189" s="24">
        <f>IF($B1189="","",MONTH($B1189))</f>
        <v/>
      </c>
      <c r="AA1189" s="24">
        <f>IF($B1189="","",YEAR($B1189))</f>
        <v/>
      </c>
      <c r="AB1189" s="24">
        <f>IF($B1189="","",ISOWEEKNUM($B1189))</f>
        <v/>
      </c>
      <c r="AC1189" s="17">
        <f>IF($B1189="","",CHOOSE(WEEKDAY($B1189,2),"Segunda","Terça","Quarta","Quinta","Sexta","Sábado","Domingo"))</f>
        <v/>
      </c>
      <c r="AD1189" s="17">
        <f>IF($B1189="","",TEXT($B1189,"MM/AAAA"))</f>
        <v/>
      </c>
      <c r="AE1189" s="18">
        <f>IF(COUNTA($B1189:$R1189)=0,"",IF($X1189="Cancelado",0,ROUND(N($Q1189)+N($S1189)+N($T1189)-N($U1189),2)))</f>
        <v/>
      </c>
      <c r="AF1189" s="9">
        <f>IF($G1189="","",IFERROR(INDEX(LINHAS_DRE_PLANO,MATCH($G1189,SUBCATEGORIAS_PLANO,0)),"Não classificado"))</f>
        <v/>
      </c>
      <c r="AG1189" s="17">
        <f>IF($G1189="","",IFERROR(INDEX(TIPOS_FLUXO_PLANO,MATCH($G1189,SUBCATEGORIAS_PLANO,0)),"Não classificado"))</f>
        <v/>
      </c>
      <c r="AH1189" s="9">
        <f>IF($G1189="","",IFERROR(INDEX(GRUPOS_PLANO,MATCH($G1189,SUBCATEGORIAS_PLANO,0)),"Não classificado"))</f>
        <v/>
      </c>
      <c r="AI1189" s="24">
        <f>IF(OR($C1189="",$X1189="Pago",$X1189="Recebido",$X1189="Cancelado"),"",$C1189-TODAY())</f>
        <v/>
      </c>
      <c r="AJ1189" s="24">
        <f>IF(OR($C1189="",$X1189="Pago",$X1189="Recebido",$X1189="Cancelado"),0,MAX(0,TODAY()-$C1189))</f>
        <v/>
      </c>
      <c r="AK1189" s="24">
        <f>IF($D1189="","",$D1189-$B1189)</f>
        <v/>
      </c>
      <c r="AL1189" s="18">
        <f>IF(OR($D1189="",$B1189=""),"",ROUND(N($R1189)*($D1189-$B1189),2))</f>
        <v/>
      </c>
      <c r="AM1189" s="17">
        <f>IF(AND($E1189="Saída",$W1189&gt;0,$C1189&lt;&gt;""),$C1189+ROW()/1000000,"")</f>
        <v/>
      </c>
      <c r="AN1189" s="17">
        <f>IF(AND($E1189="Entrada",$W1189&gt;0,$C1189&lt;&gt;""),$C1189+ROW()/1000000,"")</f>
        <v/>
      </c>
      <c r="AO1189" s="9">
        <f>IF(COUNTA($B1189:$R1189)=0,"",IF(AND($I1189&lt;&gt;"",COUNTIF(CLIENTES_NOMES,$I1189)+COUNTIF(CLIENTES_FANTASIA,$I1189)+COUNTIF(FORNECEDORES_NOMES,$I1189)+COUNTIF(FORNECEDORES_FANTASIA,$I1189)=0),"⚠ Cliente/Fornecedor não cadastrado",IF(AND($G1189&lt;&gt;"",COUNTIF(SUBCATEGORIAS_PLANO,$G1189)=0),"⚠ Subcategoria fora do plano de contas",IF(OR($Q1189="",N($Q1189)=0),"⚠ Valor previsto não informado",IF(AND(OR($X1189="Pago",$X1189="Recebido"),$D1189=""),"⚠ Status pago/recebido sem data",IF(AND($D1189&lt;&gt;"",N($R1189)=0),"⚠ Data de pagamento sem valor realizado",IF(AND(N($P1189)&gt;1,N($O1189)&gt;N($P1189)),"⚠ Nº da parcela maior que o total",IF(AND($C1189&lt;&gt;"",$B1189&lt;&gt;"",$C1189&lt;$B1189),"⚠ Vencimento anterior à competência","OK"))))))))</f>
        <v/>
      </c>
    </row>
    <row r="1190">
      <c r="A1190" s="14" t="n"/>
      <c r="B1190" s="36" t="n"/>
      <c r="C1190" s="36" t="n"/>
      <c r="D1190" s="36" t="n"/>
      <c r="E1190" s="14" t="n"/>
      <c r="F1190" s="29" t="n"/>
      <c r="G1190" s="29" t="n"/>
      <c r="H1190" s="29" t="n"/>
      <c r="I1190" s="29" t="n"/>
      <c r="J1190" s="29" t="n"/>
      <c r="K1190" s="14" t="n"/>
      <c r="L1190" s="29" t="n"/>
      <c r="M1190" s="14" t="n"/>
      <c r="N1190" s="29" t="n"/>
      <c r="O1190" s="13" t="n"/>
      <c r="P1190" s="13" t="n"/>
      <c r="Q1190" s="35" t="n"/>
      <c r="R1190" s="35" t="n"/>
      <c r="S1190" s="35" t="n"/>
      <c r="T1190" s="35" t="n"/>
      <c r="U1190" s="35" t="n"/>
      <c r="V1190" s="18">
        <f>IF(COUNTA($B1190:$R1190)=0,"",ROUND(N($R1190)+N($S1190)+N($T1190)-N($U1190),2))</f>
        <v/>
      </c>
      <c r="W1190" s="18">
        <f>IF(COUNTA($B1190:$R1190)=0,"",IF(OR($X1190="Pago",$X1190="Recebido",$X1190="Cancelado"),0,ROUND(N($Q1190)+N($S1190)+N($T1190)-N($U1190)-N($R1190),2)))</f>
        <v/>
      </c>
      <c r="X1190" s="14" t="n"/>
      <c r="Y1190" s="17">
        <f>IF(COUNTA($B1190:$R1190)=0,"",IF($X1190="Cancelado","Cancelado",IF(OR($X1190="Pago",$X1190="Recebido"),$X1190,IF(OR($X1190="Parcial",N($R1190)&gt;0),"Parcial",IF($C1190="","Sem vencimento",IF($C1190&lt;TODAY(),"Vencido",IF($C1190=TODAY(),"Vence hoje",IF($C1190&lt;=TODAY()+7,"Vence em 7 dias",IF($C1190&lt;=TODAY()+30,"Vence em 30 dias","Futuro")))))))))</f>
        <v/>
      </c>
      <c r="Z1190" s="24">
        <f>IF($B1190="","",MONTH($B1190))</f>
        <v/>
      </c>
      <c r="AA1190" s="24">
        <f>IF($B1190="","",YEAR($B1190))</f>
        <v/>
      </c>
      <c r="AB1190" s="24">
        <f>IF($B1190="","",ISOWEEKNUM($B1190))</f>
        <v/>
      </c>
      <c r="AC1190" s="17">
        <f>IF($B1190="","",CHOOSE(WEEKDAY($B1190,2),"Segunda","Terça","Quarta","Quinta","Sexta","Sábado","Domingo"))</f>
        <v/>
      </c>
      <c r="AD1190" s="17">
        <f>IF($B1190="","",TEXT($B1190,"MM/AAAA"))</f>
        <v/>
      </c>
      <c r="AE1190" s="18">
        <f>IF(COUNTA($B1190:$R1190)=0,"",IF($X1190="Cancelado",0,ROUND(N($Q1190)+N($S1190)+N($T1190)-N($U1190),2)))</f>
        <v/>
      </c>
      <c r="AF1190" s="9">
        <f>IF($G1190="","",IFERROR(INDEX(LINHAS_DRE_PLANO,MATCH($G1190,SUBCATEGORIAS_PLANO,0)),"Não classificado"))</f>
        <v/>
      </c>
      <c r="AG1190" s="17">
        <f>IF($G1190="","",IFERROR(INDEX(TIPOS_FLUXO_PLANO,MATCH($G1190,SUBCATEGORIAS_PLANO,0)),"Não classificado"))</f>
        <v/>
      </c>
      <c r="AH1190" s="9">
        <f>IF($G1190="","",IFERROR(INDEX(GRUPOS_PLANO,MATCH($G1190,SUBCATEGORIAS_PLANO,0)),"Não classificado"))</f>
        <v/>
      </c>
      <c r="AI1190" s="24">
        <f>IF(OR($C1190="",$X1190="Pago",$X1190="Recebido",$X1190="Cancelado"),"",$C1190-TODAY())</f>
        <v/>
      </c>
      <c r="AJ1190" s="24">
        <f>IF(OR($C1190="",$X1190="Pago",$X1190="Recebido",$X1190="Cancelado"),0,MAX(0,TODAY()-$C1190))</f>
        <v/>
      </c>
      <c r="AK1190" s="24">
        <f>IF($D1190="","",$D1190-$B1190)</f>
        <v/>
      </c>
      <c r="AL1190" s="18">
        <f>IF(OR($D1190="",$B1190=""),"",ROUND(N($R1190)*($D1190-$B1190),2))</f>
        <v/>
      </c>
      <c r="AM1190" s="17">
        <f>IF(AND($E1190="Saída",$W1190&gt;0,$C1190&lt;&gt;""),$C1190+ROW()/1000000,"")</f>
        <v/>
      </c>
      <c r="AN1190" s="17">
        <f>IF(AND($E1190="Entrada",$W1190&gt;0,$C1190&lt;&gt;""),$C1190+ROW()/1000000,"")</f>
        <v/>
      </c>
      <c r="AO1190" s="9">
        <f>IF(COUNTA($B1190:$R1190)=0,"",IF(AND($I1190&lt;&gt;"",COUNTIF(CLIENTES_NOMES,$I1190)+COUNTIF(CLIENTES_FANTASIA,$I1190)+COUNTIF(FORNECEDORES_NOMES,$I1190)+COUNTIF(FORNECEDORES_FANTASIA,$I1190)=0),"⚠ Cliente/Fornecedor não cadastrado",IF(AND($G1190&lt;&gt;"",COUNTIF(SUBCATEGORIAS_PLANO,$G1190)=0),"⚠ Subcategoria fora do plano de contas",IF(OR($Q1190="",N($Q1190)=0),"⚠ Valor previsto não informado",IF(AND(OR($X1190="Pago",$X1190="Recebido"),$D1190=""),"⚠ Status pago/recebido sem data",IF(AND($D1190&lt;&gt;"",N($R1190)=0),"⚠ Data de pagamento sem valor realizado",IF(AND(N($P1190)&gt;1,N($O1190)&gt;N($P1190)),"⚠ Nº da parcela maior que o total",IF(AND($C1190&lt;&gt;"",$B1190&lt;&gt;"",$C1190&lt;$B1190),"⚠ Vencimento anterior à competência","OK"))))))))</f>
        <v/>
      </c>
    </row>
    <row r="1191">
      <c r="A1191" s="14" t="n"/>
      <c r="B1191" s="36" t="n"/>
      <c r="C1191" s="36" t="n"/>
      <c r="D1191" s="36" t="n"/>
      <c r="E1191" s="14" t="n"/>
      <c r="F1191" s="29" t="n"/>
      <c r="G1191" s="29" t="n"/>
      <c r="H1191" s="29" t="n"/>
      <c r="I1191" s="29" t="n"/>
      <c r="J1191" s="29" t="n"/>
      <c r="K1191" s="14" t="n"/>
      <c r="L1191" s="29" t="n"/>
      <c r="M1191" s="14" t="n"/>
      <c r="N1191" s="29" t="n"/>
      <c r="O1191" s="13" t="n"/>
      <c r="P1191" s="13" t="n"/>
      <c r="Q1191" s="35" t="n"/>
      <c r="R1191" s="35" t="n"/>
      <c r="S1191" s="35" t="n"/>
      <c r="T1191" s="35" t="n"/>
      <c r="U1191" s="35" t="n"/>
      <c r="V1191" s="18">
        <f>IF(COUNTA($B1191:$R1191)=0,"",ROUND(N($R1191)+N($S1191)+N($T1191)-N($U1191),2))</f>
        <v/>
      </c>
      <c r="W1191" s="18">
        <f>IF(COUNTA($B1191:$R1191)=0,"",IF(OR($X1191="Pago",$X1191="Recebido",$X1191="Cancelado"),0,ROUND(N($Q1191)+N($S1191)+N($T1191)-N($U1191)-N($R1191),2)))</f>
        <v/>
      </c>
      <c r="X1191" s="14" t="n"/>
      <c r="Y1191" s="17">
        <f>IF(COUNTA($B1191:$R1191)=0,"",IF($X1191="Cancelado","Cancelado",IF(OR($X1191="Pago",$X1191="Recebido"),$X1191,IF(OR($X1191="Parcial",N($R1191)&gt;0),"Parcial",IF($C1191="","Sem vencimento",IF($C1191&lt;TODAY(),"Vencido",IF($C1191=TODAY(),"Vence hoje",IF($C1191&lt;=TODAY()+7,"Vence em 7 dias",IF($C1191&lt;=TODAY()+30,"Vence em 30 dias","Futuro")))))))))</f>
        <v/>
      </c>
      <c r="Z1191" s="24">
        <f>IF($B1191="","",MONTH($B1191))</f>
        <v/>
      </c>
      <c r="AA1191" s="24">
        <f>IF($B1191="","",YEAR($B1191))</f>
        <v/>
      </c>
      <c r="AB1191" s="24">
        <f>IF($B1191="","",ISOWEEKNUM($B1191))</f>
        <v/>
      </c>
      <c r="AC1191" s="17">
        <f>IF($B1191="","",CHOOSE(WEEKDAY($B1191,2),"Segunda","Terça","Quarta","Quinta","Sexta","Sábado","Domingo"))</f>
        <v/>
      </c>
      <c r="AD1191" s="17">
        <f>IF($B1191="","",TEXT($B1191,"MM/AAAA"))</f>
        <v/>
      </c>
      <c r="AE1191" s="18">
        <f>IF(COUNTA($B1191:$R1191)=0,"",IF($X1191="Cancelado",0,ROUND(N($Q1191)+N($S1191)+N($T1191)-N($U1191),2)))</f>
        <v/>
      </c>
      <c r="AF1191" s="9">
        <f>IF($G1191="","",IFERROR(INDEX(LINHAS_DRE_PLANO,MATCH($G1191,SUBCATEGORIAS_PLANO,0)),"Não classificado"))</f>
        <v/>
      </c>
      <c r="AG1191" s="17">
        <f>IF($G1191="","",IFERROR(INDEX(TIPOS_FLUXO_PLANO,MATCH($G1191,SUBCATEGORIAS_PLANO,0)),"Não classificado"))</f>
        <v/>
      </c>
      <c r="AH1191" s="9">
        <f>IF($G1191="","",IFERROR(INDEX(GRUPOS_PLANO,MATCH($G1191,SUBCATEGORIAS_PLANO,0)),"Não classificado"))</f>
        <v/>
      </c>
      <c r="AI1191" s="24">
        <f>IF(OR($C1191="",$X1191="Pago",$X1191="Recebido",$X1191="Cancelado"),"",$C1191-TODAY())</f>
        <v/>
      </c>
      <c r="AJ1191" s="24">
        <f>IF(OR($C1191="",$X1191="Pago",$X1191="Recebido",$X1191="Cancelado"),0,MAX(0,TODAY()-$C1191))</f>
        <v/>
      </c>
      <c r="AK1191" s="24">
        <f>IF($D1191="","",$D1191-$B1191)</f>
        <v/>
      </c>
      <c r="AL1191" s="18">
        <f>IF(OR($D1191="",$B1191=""),"",ROUND(N($R1191)*($D1191-$B1191),2))</f>
        <v/>
      </c>
      <c r="AM1191" s="17">
        <f>IF(AND($E1191="Saída",$W1191&gt;0,$C1191&lt;&gt;""),$C1191+ROW()/1000000,"")</f>
        <v/>
      </c>
      <c r="AN1191" s="17">
        <f>IF(AND($E1191="Entrada",$W1191&gt;0,$C1191&lt;&gt;""),$C1191+ROW()/1000000,"")</f>
        <v/>
      </c>
      <c r="AO1191" s="9">
        <f>IF(COUNTA($B1191:$R1191)=0,"",IF(AND($I1191&lt;&gt;"",COUNTIF(CLIENTES_NOMES,$I1191)+COUNTIF(CLIENTES_FANTASIA,$I1191)+COUNTIF(FORNECEDORES_NOMES,$I1191)+COUNTIF(FORNECEDORES_FANTASIA,$I1191)=0),"⚠ Cliente/Fornecedor não cadastrado",IF(AND($G1191&lt;&gt;"",COUNTIF(SUBCATEGORIAS_PLANO,$G1191)=0),"⚠ Subcategoria fora do plano de contas",IF(OR($Q1191="",N($Q1191)=0),"⚠ Valor previsto não informado",IF(AND(OR($X1191="Pago",$X1191="Recebido"),$D1191=""),"⚠ Status pago/recebido sem data",IF(AND($D1191&lt;&gt;"",N($R1191)=0),"⚠ Data de pagamento sem valor realizado",IF(AND(N($P1191)&gt;1,N($O1191)&gt;N($P1191)),"⚠ Nº da parcela maior que o total",IF(AND($C1191&lt;&gt;"",$B1191&lt;&gt;"",$C1191&lt;$B1191),"⚠ Vencimento anterior à competência","OK"))))))))</f>
        <v/>
      </c>
    </row>
    <row r="1192">
      <c r="A1192" s="14" t="n"/>
      <c r="B1192" s="36" t="n"/>
      <c r="C1192" s="36" t="n"/>
      <c r="D1192" s="36" t="n"/>
      <c r="E1192" s="14" t="n"/>
      <c r="F1192" s="29" t="n"/>
      <c r="G1192" s="29" t="n"/>
      <c r="H1192" s="29" t="n"/>
      <c r="I1192" s="29" t="n"/>
      <c r="J1192" s="29" t="n"/>
      <c r="K1192" s="14" t="n"/>
      <c r="L1192" s="29" t="n"/>
      <c r="M1192" s="14" t="n"/>
      <c r="N1192" s="29" t="n"/>
      <c r="O1192" s="13" t="n"/>
      <c r="P1192" s="13" t="n"/>
      <c r="Q1192" s="35" t="n"/>
      <c r="R1192" s="35" t="n"/>
      <c r="S1192" s="35" t="n"/>
      <c r="T1192" s="35" t="n"/>
      <c r="U1192" s="35" t="n"/>
      <c r="V1192" s="18">
        <f>IF(COUNTA($B1192:$R1192)=0,"",ROUND(N($R1192)+N($S1192)+N($T1192)-N($U1192),2))</f>
        <v/>
      </c>
      <c r="W1192" s="18">
        <f>IF(COUNTA($B1192:$R1192)=0,"",IF(OR($X1192="Pago",$X1192="Recebido",$X1192="Cancelado"),0,ROUND(N($Q1192)+N($S1192)+N($T1192)-N($U1192)-N($R1192),2)))</f>
        <v/>
      </c>
      <c r="X1192" s="14" t="n"/>
      <c r="Y1192" s="17">
        <f>IF(COUNTA($B1192:$R1192)=0,"",IF($X1192="Cancelado","Cancelado",IF(OR($X1192="Pago",$X1192="Recebido"),$X1192,IF(OR($X1192="Parcial",N($R1192)&gt;0),"Parcial",IF($C1192="","Sem vencimento",IF($C1192&lt;TODAY(),"Vencido",IF($C1192=TODAY(),"Vence hoje",IF($C1192&lt;=TODAY()+7,"Vence em 7 dias",IF($C1192&lt;=TODAY()+30,"Vence em 30 dias","Futuro")))))))))</f>
        <v/>
      </c>
      <c r="Z1192" s="24">
        <f>IF($B1192="","",MONTH($B1192))</f>
        <v/>
      </c>
      <c r="AA1192" s="24">
        <f>IF($B1192="","",YEAR($B1192))</f>
        <v/>
      </c>
      <c r="AB1192" s="24">
        <f>IF($B1192="","",ISOWEEKNUM($B1192))</f>
        <v/>
      </c>
      <c r="AC1192" s="17">
        <f>IF($B1192="","",CHOOSE(WEEKDAY($B1192,2),"Segunda","Terça","Quarta","Quinta","Sexta","Sábado","Domingo"))</f>
        <v/>
      </c>
      <c r="AD1192" s="17">
        <f>IF($B1192="","",TEXT($B1192,"MM/AAAA"))</f>
        <v/>
      </c>
      <c r="AE1192" s="18">
        <f>IF(COUNTA($B1192:$R1192)=0,"",IF($X1192="Cancelado",0,ROUND(N($Q1192)+N($S1192)+N($T1192)-N($U1192),2)))</f>
        <v/>
      </c>
      <c r="AF1192" s="9">
        <f>IF($G1192="","",IFERROR(INDEX(LINHAS_DRE_PLANO,MATCH($G1192,SUBCATEGORIAS_PLANO,0)),"Não classificado"))</f>
        <v/>
      </c>
      <c r="AG1192" s="17">
        <f>IF($G1192="","",IFERROR(INDEX(TIPOS_FLUXO_PLANO,MATCH($G1192,SUBCATEGORIAS_PLANO,0)),"Não classificado"))</f>
        <v/>
      </c>
      <c r="AH1192" s="9">
        <f>IF($G1192="","",IFERROR(INDEX(GRUPOS_PLANO,MATCH($G1192,SUBCATEGORIAS_PLANO,0)),"Não classificado"))</f>
        <v/>
      </c>
      <c r="AI1192" s="24">
        <f>IF(OR($C1192="",$X1192="Pago",$X1192="Recebido",$X1192="Cancelado"),"",$C1192-TODAY())</f>
        <v/>
      </c>
      <c r="AJ1192" s="24">
        <f>IF(OR($C1192="",$X1192="Pago",$X1192="Recebido",$X1192="Cancelado"),0,MAX(0,TODAY()-$C1192))</f>
        <v/>
      </c>
      <c r="AK1192" s="24">
        <f>IF($D1192="","",$D1192-$B1192)</f>
        <v/>
      </c>
      <c r="AL1192" s="18">
        <f>IF(OR($D1192="",$B1192=""),"",ROUND(N($R1192)*($D1192-$B1192),2))</f>
        <v/>
      </c>
      <c r="AM1192" s="17">
        <f>IF(AND($E1192="Saída",$W1192&gt;0,$C1192&lt;&gt;""),$C1192+ROW()/1000000,"")</f>
        <v/>
      </c>
      <c r="AN1192" s="17">
        <f>IF(AND($E1192="Entrada",$W1192&gt;0,$C1192&lt;&gt;""),$C1192+ROW()/1000000,"")</f>
        <v/>
      </c>
      <c r="AO1192" s="9">
        <f>IF(COUNTA($B1192:$R1192)=0,"",IF(AND($I1192&lt;&gt;"",COUNTIF(CLIENTES_NOMES,$I1192)+COUNTIF(CLIENTES_FANTASIA,$I1192)+COUNTIF(FORNECEDORES_NOMES,$I1192)+COUNTIF(FORNECEDORES_FANTASIA,$I1192)=0),"⚠ Cliente/Fornecedor não cadastrado",IF(AND($G1192&lt;&gt;"",COUNTIF(SUBCATEGORIAS_PLANO,$G1192)=0),"⚠ Subcategoria fora do plano de contas",IF(OR($Q1192="",N($Q1192)=0),"⚠ Valor previsto não informado",IF(AND(OR($X1192="Pago",$X1192="Recebido"),$D1192=""),"⚠ Status pago/recebido sem data",IF(AND($D1192&lt;&gt;"",N($R1192)=0),"⚠ Data de pagamento sem valor realizado",IF(AND(N($P1192)&gt;1,N($O1192)&gt;N($P1192)),"⚠ Nº da parcela maior que o total",IF(AND($C1192&lt;&gt;"",$B1192&lt;&gt;"",$C1192&lt;$B1192),"⚠ Vencimento anterior à competência","OK"))))))))</f>
        <v/>
      </c>
    </row>
    <row r="1193">
      <c r="A1193" s="14" t="n"/>
      <c r="B1193" s="36" t="n"/>
      <c r="C1193" s="36" t="n"/>
      <c r="D1193" s="36" t="n"/>
      <c r="E1193" s="14" t="n"/>
      <c r="F1193" s="29" t="n"/>
      <c r="G1193" s="29" t="n"/>
      <c r="H1193" s="29" t="n"/>
      <c r="I1193" s="29" t="n"/>
      <c r="J1193" s="29" t="n"/>
      <c r="K1193" s="14" t="n"/>
      <c r="L1193" s="29" t="n"/>
      <c r="M1193" s="14" t="n"/>
      <c r="N1193" s="29" t="n"/>
      <c r="O1193" s="13" t="n"/>
      <c r="P1193" s="13" t="n"/>
      <c r="Q1193" s="35" t="n"/>
      <c r="R1193" s="35" t="n"/>
      <c r="S1193" s="35" t="n"/>
      <c r="T1193" s="35" t="n"/>
      <c r="U1193" s="35" t="n"/>
      <c r="V1193" s="18">
        <f>IF(COUNTA($B1193:$R1193)=0,"",ROUND(N($R1193)+N($S1193)+N($T1193)-N($U1193),2))</f>
        <v/>
      </c>
      <c r="W1193" s="18">
        <f>IF(COUNTA($B1193:$R1193)=0,"",IF(OR($X1193="Pago",$X1193="Recebido",$X1193="Cancelado"),0,ROUND(N($Q1193)+N($S1193)+N($T1193)-N($U1193)-N($R1193),2)))</f>
        <v/>
      </c>
      <c r="X1193" s="14" t="n"/>
      <c r="Y1193" s="17">
        <f>IF(COUNTA($B1193:$R1193)=0,"",IF($X1193="Cancelado","Cancelado",IF(OR($X1193="Pago",$X1193="Recebido"),$X1193,IF(OR($X1193="Parcial",N($R1193)&gt;0),"Parcial",IF($C1193="","Sem vencimento",IF($C1193&lt;TODAY(),"Vencido",IF($C1193=TODAY(),"Vence hoje",IF($C1193&lt;=TODAY()+7,"Vence em 7 dias",IF($C1193&lt;=TODAY()+30,"Vence em 30 dias","Futuro")))))))))</f>
        <v/>
      </c>
      <c r="Z1193" s="24">
        <f>IF($B1193="","",MONTH($B1193))</f>
        <v/>
      </c>
      <c r="AA1193" s="24">
        <f>IF($B1193="","",YEAR($B1193))</f>
        <v/>
      </c>
      <c r="AB1193" s="24">
        <f>IF($B1193="","",ISOWEEKNUM($B1193))</f>
        <v/>
      </c>
      <c r="AC1193" s="17">
        <f>IF($B1193="","",CHOOSE(WEEKDAY($B1193,2),"Segunda","Terça","Quarta","Quinta","Sexta","Sábado","Domingo"))</f>
        <v/>
      </c>
      <c r="AD1193" s="17">
        <f>IF($B1193="","",TEXT($B1193,"MM/AAAA"))</f>
        <v/>
      </c>
      <c r="AE1193" s="18">
        <f>IF(COUNTA($B1193:$R1193)=0,"",IF($X1193="Cancelado",0,ROUND(N($Q1193)+N($S1193)+N($T1193)-N($U1193),2)))</f>
        <v/>
      </c>
      <c r="AF1193" s="9">
        <f>IF($G1193="","",IFERROR(INDEX(LINHAS_DRE_PLANO,MATCH($G1193,SUBCATEGORIAS_PLANO,0)),"Não classificado"))</f>
        <v/>
      </c>
      <c r="AG1193" s="17">
        <f>IF($G1193="","",IFERROR(INDEX(TIPOS_FLUXO_PLANO,MATCH($G1193,SUBCATEGORIAS_PLANO,0)),"Não classificado"))</f>
        <v/>
      </c>
      <c r="AH1193" s="9">
        <f>IF($G1193="","",IFERROR(INDEX(GRUPOS_PLANO,MATCH($G1193,SUBCATEGORIAS_PLANO,0)),"Não classificado"))</f>
        <v/>
      </c>
      <c r="AI1193" s="24">
        <f>IF(OR($C1193="",$X1193="Pago",$X1193="Recebido",$X1193="Cancelado"),"",$C1193-TODAY())</f>
        <v/>
      </c>
      <c r="AJ1193" s="24">
        <f>IF(OR($C1193="",$X1193="Pago",$X1193="Recebido",$X1193="Cancelado"),0,MAX(0,TODAY()-$C1193))</f>
        <v/>
      </c>
      <c r="AK1193" s="24">
        <f>IF($D1193="","",$D1193-$B1193)</f>
        <v/>
      </c>
      <c r="AL1193" s="18">
        <f>IF(OR($D1193="",$B1193=""),"",ROUND(N($R1193)*($D1193-$B1193),2))</f>
        <v/>
      </c>
      <c r="AM1193" s="17">
        <f>IF(AND($E1193="Saída",$W1193&gt;0,$C1193&lt;&gt;""),$C1193+ROW()/1000000,"")</f>
        <v/>
      </c>
      <c r="AN1193" s="17">
        <f>IF(AND($E1193="Entrada",$W1193&gt;0,$C1193&lt;&gt;""),$C1193+ROW()/1000000,"")</f>
        <v/>
      </c>
      <c r="AO1193" s="9">
        <f>IF(COUNTA($B1193:$R1193)=0,"",IF(AND($I1193&lt;&gt;"",COUNTIF(CLIENTES_NOMES,$I1193)+COUNTIF(CLIENTES_FANTASIA,$I1193)+COUNTIF(FORNECEDORES_NOMES,$I1193)+COUNTIF(FORNECEDORES_FANTASIA,$I1193)=0),"⚠ Cliente/Fornecedor não cadastrado",IF(AND($G1193&lt;&gt;"",COUNTIF(SUBCATEGORIAS_PLANO,$G1193)=0),"⚠ Subcategoria fora do plano de contas",IF(OR($Q1193="",N($Q1193)=0),"⚠ Valor previsto não informado",IF(AND(OR($X1193="Pago",$X1193="Recebido"),$D1193=""),"⚠ Status pago/recebido sem data",IF(AND($D1193&lt;&gt;"",N($R1193)=0),"⚠ Data de pagamento sem valor realizado",IF(AND(N($P1193)&gt;1,N($O1193)&gt;N($P1193)),"⚠ Nº da parcela maior que o total",IF(AND($C1193&lt;&gt;"",$B1193&lt;&gt;"",$C1193&lt;$B1193),"⚠ Vencimento anterior à competência","OK"))))))))</f>
        <v/>
      </c>
    </row>
    <row r="1194">
      <c r="A1194" s="14" t="n"/>
      <c r="B1194" s="36" t="n"/>
      <c r="C1194" s="36" t="n"/>
      <c r="D1194" s="36" t="n"/>
      <c r="E1194" s="14" t="n"/>
      <c r="F1194" s="29" t="n"/>
      <c r="G1194" s="29" t="n"/>
      <c r="H1194" s="29" t="n"/>
      <c r="I1194" s="29" t="n"/>
      <c r="J1194" s="29" t="n"/>
      <c r="K1194" s="14" t="n"/>
      <c r="L1194" s="29" t="n"/>
      <c r="M1194" s="14" t="n"/>
      <c r="N1194" s="29" t="n"/>
      <c r="O1194" s="13" t="n"/>
      <c r="P1194" s="13" t="n"/>
      <c r="Q1194" s="35" t="n"/>
      <c r="R1194" s="35" t="n"/>
      <c r="S1194" s="35" t="n"/>
      <c r="T1194" s="35" t="n"/>
      <c r="U1194" s="35" t="n"/>
      <c r="V1194" s="18">
        <f>IF(COUNTA($B1194:$R1194)=0,"",ROUND(N($R1194)+N($S1194)+N($T1194)-N($U1194),2))</f>
        <v/>
      </c>
      <c r="W1194" s="18">
        <f>IF(COUNTA($B1194:$R1194)=0,"",IF(OR($X1194="Pago",$X1194="Recebido",$X1194="Cancelado"),0,ROUND(N($Q1194)+N($S1194)+N($T1194)-N($U1194)-N($R1194),2)))</f>
        <v/>
      </c>
      <c r="X1194" s="14" t="n"/>
      <c r="Y1194" s="17">
        <f>IF(COUNTA($B1194:$R1194)=0,"",IF($X1194="Cancelado","Cancelado",IF(OR($X1194="Pago",$X1194="Recebido"),$X1194,IF(OR($X1194="Parcial",N($R1194)&gt;0),"Parcial",IF($C1194="","Sem vencimento",IF($C1194&lt;TODAY(),"Vencido",IF($C1194=TODAY(),"Vence hoje",IF($C1194&lt;=TODAY()+7,"Vence em 7 dias",IF($C1194&lt;=TODAY()+30,"Vence em 30 dias","Futuro")))))))))</f>
        <v/>
      </c>
      <c r="Z1194" s="24">
        <f>IF($B1194="","",MONTH($B1194))</f>
        <v/>
      </c>
      <c r="AA1194" s="24">
        <f>IF($B1194="","",YEAR($B1194))</f>
        <v/>
      </c>
      <c r="AB1194" s="24">
        <f>IF($B1194="","",ISOWEEKNUM($B1194))</f>
        <v/>
      </c>
      <c r="AC1194" s="17">
        <f>IF($B1194="","",CHOOSE(WEEKDAY($B1194,2),"Segunda","Terça","Quarta","Quinta","Sexta","Sábado","Domingo"))</f>
        <v/>
      </c>
      <c r="AD1194" s="17">
        <f>IF($B1194="","",TEXT($B1194,"MM/AAAA"))</f>
        <v/>
      </c>
      <c r="AE1194" s="18">
        <f>IF(COUNTA($B1194:$R1194)=0,"",IF($X1194="Cancelado",0,ROUND(N($Q1194)+N($S1194)+N($T1194)-N($U1194),2)))</f>
        <v/>
      </c>
      <c r="AF1194" s="9">
        <f>IF($G1194="","",IFERROR(INDEX(LINHAS_DRE_PLANO,MATCH($G1194,SUBCATEGORIAS_PLANO,0)),"Não classificado"))</f>
        <v/>
      </c>
      <c r="AG1194" s="17">
        <f>IF($G1194="","",IFERROR(INDEX(TIPOS_FLUXO_PLANO,MATCH($G1194,SUBCATEGORIAS_PLANO,0)),"Não classificado"))</f>
        <v/>
      </c>
      <c r="AH1194" s="9">
        <f>IF($G1194="","",IFERROR(INDEX(GRUPOS_PLANO,MATCH($G1194,SUBCATEGORIAS_PLANO,0)),"Não classificado"))</f>
        <v/>
      </c>
      <c r="AI1194" s="24">
        <f>IF(OR($C1194="",$X1194="Pago",$X1194="Recebido",$X1194="Cancelado"),"",$C1194-TODAY())</f>
        <v/>
      </c>
      <c r="AJ1194" s="24">
        <f>IF(OR($C1194="",$X1194="Pago",$X1194="Recebido",$X1194="Cancelado"),0,MAX(0,TODAY()-$C1194))</f>
        <v/>
      </c>
      <c r="AK1194" s="24">
        <f>IF($D1194="","",$D1194-$B1194)</f>
        <v/>
      </c>
      <c r="AL1194" s="18">
        <f>IF(OR($D1194="",$B1194=""),"",ROUND(N($R1194)*($D1194-$B1194),2))</f>
        <v/>
      </c>
      <c r="AM1194" s="17">
        <f>IF(AND($E1194="Saída",$W1194&gt;0,$C1194&lt;&gt;""),$C1194+ROW()/1000000,"")</f>
        <v/>
      </c>
      <c r="AN1194" s="17">
        <f>IF(AND($E1194="Entrada",$W1194&gt;0,$C1194&lt;&gt;""),$C1194+ROW()/1000000,"")</f>
        <v/>
      </c>
      <c r="AO1194" s="9">
        <f>IF(COUNTA($B1194:$R1194)=0,"",IF(AND($I1194&lt;&gt;"",COUNTIF(CLIENTES_NOMES,$I1194)+COUNTIF(CLIENTES_FANTASIA,$I1194)+COUNTIF(FORNECEDORES_NOMES,$I1194)+COUNTIF(FORNECEDORES_FANTASIA,$I1194)=0),"⚠ Cliente/Fornecedor não cadastrado",IF(AND($G1194&lt;&gt;"",COUNTIF(SUBCATEGORIAS_PLANO,$G1194)=0),"⚠ Subcategoria fora do plano de contas",IF(OR($Q1194="",N($Q1194)=0),"⚠ Valor previsto não informado",IF(AND(OR($X1194="Pago",$X1194="Recebido"),$D1194=""),"⚠ Status pago/recebido sem data",IF(AND($D1194&lt;&gt;"",N($R1194)=0),"⚠ Data de pagamento sem valor realizado",IF(AND(N($P1194)&gt;1,N($O1194)&gt;N($P1194)),"⚠ Nº da parcela maior que o total",IF(AND($C1194&lt;&gt;"",$B1194&lt;&gt;"",$C1194&lt;$B1194),"⚠ Vencimento anterior à competência","OK"))))))))</f>
        <v/>
      </c>
    </row>
    <row r="1195">
      <c r="A1195" s="14" t="n"/>
      <c r="B1195" s="36" t="n"/>
      <c r="C1195" s="36" t="n"/>
      <c r="D1195" s="36" t="n"/>
      <c r="E1195" s="14" t="n"/>
      <c r="F1195" s="29" t="n"/>
      <c r="G1195" s="29" t="n"/>
      <c r="H1195" s="29" t="n"/>
      <c r="I1195" s="29" t="n"/>
      <c r="J1195" s="29" t="n"/>
      <c r="K1195" s="14" t="n"/>
      <c r="L1195" s="29" t="n"/>
      <c r="M1195" s="14" t="n"/>
      <c r="N1195" s="29" t="n"/>
      <c r="O1195" s="13" t="n"/>
      <c r="P1195" s="13" t="n"/>
      <c r="Q1195" s="35" t="n"/>
      <c r="R1195" s="35" t="n"/>
      <c r="S1195" s="35" t="n"/>
      <c r="T1195" s="35" t="n"/>
      <c r="U1195" s="35" t="n"/>
      <c r="V1195" s="18">
        <f>IF(COUNTA($B1195:$R1195)=0,"",ROUND(N($R1195)+N($S1195)+N($T1195)-N($U1195),2))</f>
        <v/>
      </c>
      <c r="W1195" s="18">
        <f>IF(COUNTA($B1195:$R1195)=0,"",IF(OR($X1195="Pago",$X1195="Recebido",$X1195="Cancelado"),0,ROUND(N($Q1195)+N($S1195)+N($T1195)-N($U1195)-N($R1195),2)))</f>
        <v/>
      </c>
      <c r="X1195" s="14" t="n"/>
      <c r="Y1195" s="17">
        <f>IF(COUNTA($B1195:$R1195)=0,"",IF($X1195="Cancelado","Cancelado",IF(OR($X1195="Pago",$X1195="Recebido"),$X1195,IF(OR($X1195="Parcial",N($R1195)&gt;0),"Parcial",IF($C1195="","Sem vencimento",IF($C1195&lt;TODAY(),"Vencido",IF($C1195=TODAY(),"Vence hoje",IF($C1195&lt;=TODAY()+7,"Vence em 7 dias",IF($C1195&lt;=TODAY()+30,"Vence em 30 dias","Futuro")))))))))</f>
        <v/>
      </c>
      <c r="Z1195" s="24">
        <f>IF($B1195="","",MONTH($B1195))</f>
        <v/>
      </c>
      <c r="AA1195" s="24">
        <f>IF($B1195="","",YEAR($B1195))</f>
        <v/>
      </c>
      <c r="AB1195" s="24">
        <f>IF($B1195="","",ISOWEEKNUM($B1195))</f>
        <v/>
      </c>
      <c r="AC1195" s="17">
        <f>IF($B1195="","",CHOOSE(WEEKDAY($B1195,2),"Segunda","Terça","Quarta","Quinta","Sexta","Sábado","Domingo"))</f>
        <v/>
      </c>
      <c r="AD1195" s="17">
        <f>IF($B1195="","",TEXT($B1195,"MM/AAAA"))</f>
        <v/>
      </c>
      <c r="AE1195" s="18">
        <f>IF(COUNTA($B1195:$R1195)=0,"",IF($X1195="Cancelado",0,ROUND(N($Q1195)+N($S1195)+N($T1195)-N($U1195),2)))</f>
        <v/>
      </c>
      <c r="AF1195" s="9">
        <f>IF($G1195="","",IFERROR(INDEX(LINHAS_DRE_PLANO,MATCH($G1195,SUBCATEGORIAS_PLANO,0)),"Não classificado"))</f>
        <v/>
      </c>
      <c r="AG1195" s="17">
        <f>IF($G1195="","",IFERROR(INDEX(TIPOS_FLUXO_PLANO,MATCH($G1195,SUBCATEGORIAS_PLANO,0)),"Não classificado"))</f>
        <v/>
      </c>
      <c r="AH1195" s="9">
        <f>IF($G1195="","",IFERROR(INDEX(GRUPOS_PLANO,MATCH($G1195,SUBCATEGORIAS_PLANO,0)),"Não classificado"))</f>
        <v/>
      </c>
      <c r="AI1195" s="24">
        <f>IF(OR($C1195="",$X1195="Pago",$X1195="Recebido",$X1195="Cancelado"),"",$C1195-TODAY())</f>
        <v/>
      </c>
      <c r="AJ1195" s="24">
        <f>IF(OR($C1195="",$X1195="Pago",$X1195="Recebido",$X1195="Cancelado"),0,MAX(0,TODAY()-$C1195))</f>
        <v/>
      </c>
      <c r="AK1195" s="24">
        <f>IF($D1195="","",$D1195-$B1195)</f>
        <v/>
      </c>
      <c r="AL1195" s="18">
        <f>IF(OR($D1195="",$B1195=""),"",ROUND(N($R1195)*($D1195-$B1195),2))</f>
        <v/>
      </c>
      <c r="AM1195" s="17">
        <f>IF(AND($E1195="Saída",$W1195&gt;0,$C1195&lt;&gt;""),$C1195+ROW()/1000000,"")</f>
        <v/>
      </c>
      <c r="AN1195" s="17">
        <f>IF(AND($E1195="Entrada",$W1195&gt;0,$C1195&lt;&gt;""),$C1195+ROW()/1000000,"")</f>
        <v/>
      </c>
      <c r="AO1195" s="9">
        <f>IF(COUNTA($B1195:$R1195)=0,"",IF(AND($I1195&lt;&gt;"",COUNTIF(CLIENTES_NOMES,$I1195)+COUNTIF(CLIENTES_FANTASIA,$I1195)+COUNTIF(FORNECEDORES_NOMES,$I1195)+COUNTIF(FORNECEDORES_FANTASIA,$I1195)=0),"⚠ Cliente/Fornecedor não cadastrado",IF(AND($G1195&lt;&gt;"",COUNTIF(SUBCATEGORIAS_PLANO,$G1195)=0),"⚠ Subcategoria fora do plano de contas",IF(OR($Q1195="",N($Q1195)=0),"⚠ Valor previsto não informado",IF(AND(OR($X1195="Pago",$X1195="Recebido"),$D1195=""),"⚠ Status pago/recebido sem data",IF(AND($D1195&lt;&gt;"",N($R1195)=0),"⚠ Data de pagamento sem valor realizado",IF(AND(N($P1195)&gt;1,N($O1195)&gt;N($P1195)),"⚠ Nº da parcela maior que o total",IF(AND($C1195&lt;&gt;"",$B1195&lt;&gt;"",$C1195&lt;$B1195),"⚠ Vencimento anterior à competência","OK"))))))))</f>
        <v/>
      </c>
    </row>
    <row r="1196">
      <c r="A1196" s="14" t="n"/>
      <c r="B1196" s="36" t="n"/>
      <c r="C1196" s="36" t="n"/>
      <c r="D1196" s="36" t="n"/>
      <c r="E1196" s="14" t="n"/>
      <c r="F1196" s="29" t="n"/>
      <c r="G1196" s="29" t="n"/>
      <c r="H1196" s="29" t="n"/>
      <c r="I1196" s="29" t="n"/>
      <c r="J1196" s="29" t="n"/>
      <c r="K1196" s="14" t="n"/>
      <c r="L1196" s="29" t="n"/>
      <c r="M1196" s="14" t="n"/>
      <c r="N1196" s="29" t="n"/>
      <c r="O1196" s="13" t="n"/>
      <c r="P1196" s="13" t="n"/>
      <c r="Q1196" s="35" t="n"/>
      <c r="R1196" s="35" t="n"/>
      <c r="S1196" s="35" t="n"/>
      <c r="T1196" s="35" t="n"/>
      <c r="U1196" s="35" t="n"/>
      <c r="V1196" s="18">
        <f>IF(COUNTA($B1196:$R1196)=0,"",ROUND(N($R1196)+N($S1196)+N($T1196)-N($U1196),2))</f>
        <v/>
      </c>
      <c r="W1196" s="18">
        <f>IF(COUNTA($B1196:$R1196)=0,"",IF(OR($X1196="Pago",$X1196="Recebido",$X1196="Cancelado"),0,ROUND(N($Q1196)+N($S1196)+N($T1196)-N($U1196)-N($R1196),2)))</f>
        <v/>
      </c>
      <c r="X1196" s="14" t="n"/>
      <c r="Y1196" s="17">
        <f>IF(COUNTA($B1196:$R1196)=0,"",IF($X1196="Cancelado","Cancelado",IF(OR($X1196="Pago",$X1196="Recebido"),$X1196,IF(OR($X1196="Parcial",N($R1196)&gt;0),"Parcial",IF($C1196="","Sem vencimento",IF($C1196&lt;TODAY(),"Vencido",IF($C1196=TODAY(),"Vence hoje",IF($C1196&lt;=TODAY()+7,"Vence em 7 dias",IF($C1196&lt;=TODAY()+30,"Vence em 30 dias","Futuro")))))))))</f>
        <v/>
      </c>
      <c r="Z1196" s="24">
        <f>IF($B1196="","",MONTH($B1196))</f>
        <v/>
      </c>
      <c r="AA1196" s="24">
        <f>IF($B1196="","",YEAR($B1196))</f>
        <v/>
      </c>
      <c r="AB1196" s="24">
        <f>IF($B1196="","",ISOWEEKNUM($B1196))</f>
        <v/>
      </c>
      <c r="AC1196" s="17">
        <f>IF($B1196="","",CHOOSE(WEEKDAY($B1196,2),"Segunda","Terça","Quarta","Quinta","Sexta","Sábado","Domingo"))</f>
        <v/>
      </c>
      <c r="AD1196" s="17">
        <f>IF($B1196="","",TEXT($B1196,"MM/AAAA"))</f>
        <v/>
      </c>
      <c r="AE1196" s="18">
        <f>IF(COUNTA($B1196:$R1196)=0,"",IF($X1196="Cancelado",0,ROUND(N($Q1196)+N($S1196)+N($T1196)-N($U1196),2)))</f>
        <v/>
      </c>
      <c r="AF1196" s="9">
        <f>IF($G1196="","",IFERROR(INDEX(LINHAS_DRE_PLANO,MATCH($G1196,SUBCATEGORIAS_PLANO,0)),"Não classificado"))</f>
        <v/>
      </c>
      <c r="AG1196" s="17">
        <f>IF($G1196="","",IFERROR(INDEX(TIPOS_FLUXO_PLANO,MATCH($G1196,SUBCATEGORIAS_PLANO,0)),"Não classificado"))</f>
        <v/>
      </c>
      <c r="AH1196" s="9">
        <f>IF($G1196="","",IFERROR(INDEX(GRUPOS_PLANO,MATCH($G1196,SUBCATEGORIAS_PLANO,0)),"Não classificado"))</f>
        <v/>
      </c>
      <c r="AI1196" s="24">
        <f>IF(OR($C1196="",$X1196="Pago",$X1196="Recebido",$X1196="Cancelado"),"",$C1196-TODAY())</f>
        <v/>
      </c>
      <c r="AJ1196" s="24">
        <f>IF(OR($C1196="",$X1196="Pago",$X1196="Recebido",$X1196="Cancelado"),0,MAX(0,TODAY()-$C1196))</f>
        <v/>
      </c>
      <c r="AK1196" s="24">
        <f>IF($D1196="","",$D1196-$B1196)</f>
        <v/>
      </c>
      <c r="AL1196" s="18">
        <f>IF(OR($D1196="",$B1196=""),"",ROUND(N($R1196)*($D1196-$B1196),2))</f>
        <v/>
      </c>
      <c r="AM1196" s="17">
        <f>IF(AND($E1196="Saída",$W1196&gt;0,$C1196&lt;&gt;""),$C1196+ROW()/1000000,"")</f>
        <v/>
      </c>
      <c r="AN1196" s="17">
        <f>IF(AND($E1196="Entrada",$W1196&gt;0,$C1196&lt;&gt;""),$C1196+ROW()/1000000,"")</f>
        <v/>
      </c>
      <c r="AO1196" s="9">
        <f>IF(COUNTA($B1196:$R1196)=0,"",IF(AND($I1196&lt;&gt;"",COUNTIF(CLIENTES_NOMES,$I1196)+COUNTIF(CLIENTES_FANTASIA,$I1196)+COUNTIF(FORNECEDORES_NOMES,$I1196)+COUNTIF(FORNECEDORES_FANTASIA,$I1196)=0),"⚠ Cliente/Fornecedor não cadastrado",IF(AND($G1196&lt;&gt;"",COUNTIF(SUBCATEGORIAS_PLANO,$G1196)=0),"⚠ Subcategoria fora do plano de contas",IF(OR($Q1196="",N($Q1196)=0),"⚠ Valor previsto não informado",IF(AND(OR($X1196="Pago",$X1196="Recebido"),$D1196=""),"⚠ Status pago/recebido sem data",IF(AND($D1196&lt;&gt;"",N($R1196)=0),"⚠ Data de pagamento sem valor realizado",IF(AND(N($P1196)&gt;1,N($O1196)&gt;N($P1196)),"⚠ Nº da parcela maior que o total",IF(AND($C1196&lt;&gt;"",$B1196&lt;&gt;"",$C1196&lt;$B1196),"⚠ Vencimento anterior à competência","OK"))))))))</f>
        <v/>
      </c>
    </row>
    <row r="1197">
      <c r="A1197" s="14" t="n"/>
      <c r="B1197" s="36" t="n"/>
      <c r="C1197" s="36" t="n"/>
      <c r="D1197" s="36" t="n"/>
      <c r="E1197" s="14" t="n"/>
      <c r="F1197" s="29" t="n"/>
      <c r="G1197" s="29" t="n"/>
      <c r="H1197" s="29" t="n"/>
      <c r="I1197" s="29" t="n"/>
      <c r="J1197" s="29" t="n"/>
      <c r="K1197" s="14" t="n"/>
      <c r="L1197" s="29" t="n"/>
      <c r="M1197" s="14" t="n"/>
      <c r="N1197" s="29" t="n"/>
      <c r="O1197" s="13" t="n"/>
      <c r="P1197" s="13" t="n"/>
      <c r="Q1197" s="35" t="n"/>
      <c r="R1197" s="35" t="n"/>
      <c r="S1197" s="35" t="n"/>
      <c r="T1197" s="35" t="n"/>
      <c r="U1197" s="35" t="n"/>
      <c r="V1197" s="18">
        <f>IF(COUNTA($B1197:$R1197)=0,"",ROUND(N($R1197)+N($S1197)+N($T1197)-N($U1197),2))</f>
        <v/>
      </c>
      <c r="W1197" s="18">
        <f>IF(COUNTA($B1197:$R1197)=0,"",IF(OR($X1197="Pago",$X1197="Recebido",$X1197="Cancelado"),0,ROUND(N($Q1197)+N($S1197)+N($T1197)-N($U1197)-N($R1197),2)))</f>
        <v/>
      </c>
      <c r="X1197" s="14" t="n"/>
      <c r="Y1197" s="17">
        <f>IF(COUNTA($B1197:$R1197)=0,"",IF($X1197="Cancelado","Cancelado",IF(OR($X1197="Pago",$X1197="Recebido"),$X1197,IF(OR($X1197="Parcial",N($R1197)&gt;0),"Parcial",IF($C1197="","Sem vencimento",IF($C1197&lt;TODAY(),"Vencido",IF($C1197=TODAY(),"Vence hoje",IF($C1197&lt;=TODAY()+7,"Vence em 7 dias",IF($C1197&lt;=TODAY()+30,"Vence em 30 dias","Futuro")))))))))</f>
        <v/>
      </c>
      <c r="Z1197" s="24">
        <f>IF($B1197="","",MONTH($B1197))</f>
        <v/>
      </c>
      <c r="AA1197" s="24">
        <f>IF($B1197="","",YEAR($B1197))</f>
        <v/>
      </c>
      <c r="AB1197" s="24">
        <f>IF($B1197="","",ISOWEEKNUM($B1197))</f>
        <v/>
      </c>
      <c r="AC1197" s="17">
        <f>IF($B1197="","",CHOOSE(WEEKDAY($B1197,2),"Segunda","Terça","Quarta","Quinta","Sexta","Sábado","Domingo"))</f>
        <v/>
      </c>
      <c r="AD1197" s="17">
        <f>IF($B1197="","",TEXT($B1197,"MM/AAAA"))</f>
        <v/>
      </c>
      <c r="AE1197" s="18">
        <f>IF(COUNTA($B1197:$R1197)=0,"",IF($X1197="Cancelado",0,ROUND(N($Q1197)+N($S1197)+N($T1197)-N($U1197),2)))</f>
        <v/>
      </c>
      <c r="AF1197" s="9">
        <f>IF($G1197="","",IFERROR(INDEX(LINHAS_DRE_PLANO,MATCH($G1197,SUBCATEGORIAS_PLANO,0)),"Não classificado"))</f>
        <v/>
      </c>
      <c r="AG1197" s="17">
        <f>IF($G1197="","",IFERROR(INDEX(TIPOS_FLUXO_PLANO,MATCH($G1197,SUBCATEGORIAS_PLANO,0)),"Não classificado"))</f>
        <v/>
      </c>
      <c r="AH1197" s="9">
        <f>IF($G1197="","",IFERROR(INDEX(GRUPOS_PLANO,MATCH($G1197,SUBCATEGORIAS_PLANO,0)),"Não classificado"))</f>
        <v/>
      </c>
      <c r="AI1197" s="24">
        <f>IF(OR($C1197="",$X1197="Pago",$X1197="Recebido",$X1197="Cancelado"),"",$C1197-TODAY())</f>
        <v/>
      </c>
      <c r="AJ1197" s="24">
        <f>IF(OR($C1197="",$X1197="Pago",$X1197="Recebido",$X1197="Cancelado"),0,MAX(0,TODAY()-$C1197))</f>
        <v/>
      </c>
      <c r="AK1197" s="24">
        <f>IF($D1197="","",$D1197-$B1197)</f>
        <v/>
      </c>
      <c r="AL1197" s="18">
        <f>IF(OR($D1197="",$B1197=""),"",ROUND(N($R1197)*($D1197-$B1197),2))</f>
        <v/>
      </c>
      <c r="AM1197" s="17">
        <f>IF(AND($E1197="Saída",$W1197&gt;0,$C1197&lt;&gt;""),$C1197+ROW()/1000000,"")</f>
        <v/>
      </c>
      <c r="AN1197" s="17">
        <f>IF(AND($E1197="Entrada",$W1197&gt;0,$C1197&lt;&gt;""),$C1197+ROW()/1000000,"")</f>
        <v/>
      </c>
      <c r="AO1197" s="9">
        <f>IF(COUNTA($B1197:$R1197)=0,"",IF(AND($I1197&lt;&gt;"",COUNTIF(CLIENTES_NOMES,$I1197)+COUNTIF(CLIENTES_FANTASIA,$I1197)+COUNTIF(FORNECEDORES_NOMES,$I1197)+COUNTIF(FORNECEDORES_FANTASIA,$I1197)=0),"⚠ Cliente/Fornecedor não cadastrado",IF(AND($G1197&lt;&gt;"",COUNTIF(SUBCATEGORIAS_PLANO,$G1197)=0),"⚠ Subcategoria fora do plano de contas",IF(OR($Q1197="",N($Q1197)=0),"⚠ Valor previsto não informado",IF(AND(OR($X1197="Pago",$X1197="Recebido"),$D1197=""),"⚠ Status pago/recebido sem data",IF(AND($D1197&lt;&gt;"",N($R1197)=0),"⚠ Data de pagamento sem valor realizado",IF(AND(N($P1197)&gt;1,N($O1197)&gt;N($P1197)),"⚠ Nº da parcela maior que o total",IF(AND($C1197&lt;&gt;"",$B1197&lt;&gt;"",$C1197&lt;$B1197),"⚠ Vencimento anterior à competência","OK"))))))))</f>
        <v/>
      </c>
    </row>
    <row r="1198">
      <c r="A1198" s="14" t="n"/>
      <c r="B1198" s="36" t="n"/>
      <c r="C1198" s="36" t="n"/>
      <c r="D1198" s="36" t="n"/>
      <c r="E1198" s="14" t="n"/>
      <c r="F1198" s="29" t="n"/>
      <c r="G1198" s="29" t="n"/>
      <c r="H1198" s="29" t="n"/>
      <c r="I1198" s="29" t="n"/>
      <c r="J1198" s="29" t="n"/>
      <c r="K1198" s="14" t="n"/>
      <c r="L1198" s="29" t="n"/>
      <c r="M1198" s="14" t="n"/>
      <c r="N1198" s="29" t="n"/>
      <c r="O1198" s="13" t="n"/>
      <c r="P1198" s="13" t="n"/>
      <c r="Q1198" s="35" t="n"/>
      <c r="R1198" s="35" t="n"/>
      <c r="S1198" s="35" t="n"/>
      <c r="T1198" s="35" t="n"/>
      <c r="U1198" s="35" t="n"/>
      <c r="V1198" s="18">
        <f>IF(COUNTA($B1198:$R1198)=0,"",ROUND(N($R1198)+N($S1198)+N($T1198)-N($U1198),2))</f>
        <v/>
      </c>
      <c r="W1198" s="18">
        <f>IF(COUNTA($B1198:$R1198)=0,"",IF(OR($X1198="Pago",$X1198="Recebido",$X1198="Cancelado"),0,ROUND(N($Q1198)+N($S1198)+N($T1198)-N($U1198)-N($R1198),2)))</f>
        <v/>
      </c>
      <c r="X1198" s="14" t="n"/>
      <c r="Y1198" s="17">
        <f>IF(COUNTA($B1198:$R1198)=0,"",IF($X1198="Cancelado","Cancelado",IF(OR($X1198="Pago",$X1198="Recebido"),$X1198,IF(OR($X1198="Parcial",N($R1198)&gt;0),"Parcial",IF($C1198="","Sem vencimento",IF($C1198&lt;TODAY(),"Vencido",IF($C1198=TODAY(),"Vence hoje",IF($C1198&lt;=TODAY()+7,"Vence em 7 dias",IF($C1198&lt;=TODAY()+30,"Vence em 30 dias","Futuro")))))))))</f>
        <v/>
      </c>
      <c r="Z1198" s="24">
        <f>IF($B1198="","",MONTH($B1198))</f>
        <v/>
      </c>
      <c r="AA1198" s="24">
        <f>IF($B1198="","",YEAR($B1198))</f>
        <v/>
      </c>
      <c r="AB1198" s="24">
        <f>IF($B1198="","",ISOWEEKNUM($B1198))</f>
        <v/>
      </c>
      <c r="AC1198" s="17">
        <f>IF($B1198="","",CHOOSE(WEEKDAY($B1198,2),"Segunda","Terça","Quarta","Quinta","Sexta","Sábado","Domingo"))</f>
        <v/>
      </c>
      <c r="AD1198" s="17">
        <f>IF($B1198="","",TEXT($B1198,"MM/AAAA"))</f>
        <v/>
      </c>
      <c r="AE1198" s="18">
        <f>IF(COUNTA($B1198:$R1198)=0,"",IF($X1198="Cancelado",0,ROUND(N($Q1198)+N($S1198)+N($T1198)-N($U1198),2)))</f>
        <v/>
      </c>
      <c r="AF1198" s="9">
        <f>IF($G1198="","",IFERROR(INDEX(LINHAS_DRE_PLANO,MATCH($G1198,SUBCATEGORIAS_PLANO,0)),"Não classificado"))</f>
        <v/>
      </c>
      <c r="AG1198" s="17">
        <f>IF($G1198="","",IFERROR(INDEX(TIPOS_FLUXO_PLANO,MATCH($G1198,SUBCATEGORIAS_PLANO,0)),"Não classificado"))</f>
        <v/>
      </c>
      <c r="AH1198" s="9">
        <f>IF($G1198="","",IFERROR(INDEX(GRUPOS_PLANO,MATCH($G1198,SUBCATEGORIAS_PLANO,0)),"Não classificado"))</f>
        <v/>
      </c>
      <c r="AI1198" s="24">
        <f>IF(OR($C1198="",$X1198="Pago",$X1198="Recebido",$X1198="Cancelado"),"",$C1198-TODAY())</f>
        <v/>
      </c>
      <c r="AJ1198" s="24">
        <f>IF(OR($C1198="",$X1198="Pago",$X1198="Recebido",$X1198="Cancelado"),0,MAX(0,TODAY()-$C1198))</f>
        <v/>
      </c>
      <c r="AK1198" s="24">
        <f>IF($D1198="","",$D1198-$B1198)</f>
        <v/>
      </c>
      <c r="AL1198" s="18">
        <f>IF(OR($D1198="",$B1198=""),"",ROUND(N($R1198)*($D1198-$B1198),2))</f>
        <v/>
      </c>
      <c r="AM1198" s="17">
        <f>IF(AND($E1198="Saída",$W1198&gt;0,$C1198&lt;&gt;""),$C1198+ROW()/1000000,"")</f>
        <v/>
      </c>
      <c r="AN1198" s="17">
        <f>IF(AND($E1198="Entrada",$W1198&gt;0,$C1198&lt;&gt;""),$C1198+ROW()/1000000,"")</f>
        <v/>
      </c>
      <c r="AO1198" s="9">
        <f>IF(COUNTA($B1198:$R1198)=0,"",IF(AND($I1198&lt;&gt;"",COUNTIF(CLIENTES_NOMES,$I1198)+COUNTIF(CLIENTES_FANTASIA,$I1198)+COUNTIF(FORNECEDORES_NOMES,$I1198)+COUNTIF(FORNECEDORES_FANTASIA,$I1198)=0),"⚠ Cliente/Fornecedor não cadastrado",IF(AND($G1198&lt;&gt;"",COUNTIF(SUBCATEGORIAS_PLANO,$G1198)=0),"⚠ Subcategoria fora do plano de contas",IF(OR($Q1198="",N($Q1198)=0),"⚠ Valor previsto não informado",IF(AND(OR($X1198="Pago",$X1198="Recebido"),$D1198=""),"⚠ Status pago/recebido sem data",IF(AND($D1198&lt;&gt;"",N($R1198)=0),"⚠ Data de pagamento sem valor realizado",IF(AND(N($P1198)&gt;1,N($O1198)&gt;N($P1198)),"⚠ Nº da parcela maior que o total",IF(AND($C1198&lt;&gt;"",$B1198&lt;&gt;"",$C1198&lt;$B1198),"⚠ Vencimento anterior à competência","OK"))))))))</f>
        <v/>
      </c>
    </row>
    <row r="1199">
      <c r="A1199" s="14" t="n"/>
      <c r="B1199" s="36" t="n"/>
      <c r="C1199" s="36" t="n"/>
      <c r="D1199" s="36" t="n"/>
      <c r="E1199" s="14" t="n"/>
      <c r="F1199" s="29" t="n"/>
      <c r="G1199" s="29" t="n"/>
      <c r="H1199" s="29" t="n"/>
      <c r="I1199" s="29" t="n"/>
      <c r="J1199" s="29" t="n"/>
      <c r="K1199" s="14" t="n"/>
      <c r="L1199" s="29" t="n"/>
      <c r="M1199" s="14" t="n"/>
      <c r="N1199" s="29" t="n"/>
      <c r="O1199" s="13" t="n"/>
      <c r="P1199" s="13" t="n"/>
      <c r="Q1199" s="35" t="n"/>
      <c r="R1199" s="35" t="n"/>
      <c r="S1199" s="35" t="n"/>
      <c r="T1199" s="35" t="n"/>
      <c r="U1199" s="35" t="n"/>
      <c r="V1199" s="18">
        <f>IF(COUNTA($B1199:$R1199)=0,"",ROUND(N($R1199)+N($S1199)+N($T1199)-N($U1199),2))</f>
        <v/>
      </c>
      <c r="W1199" s="18">
        <f>IF(COUNTA($B1199:$R1199)=0,"",IF(OR($X1199="Pago",$X1199="Recebido",$X1199="Cancelado"),0,ROUND(N($Q1199)+N($S1199)+N($T1199)-N($U1199)-N($R1199),2)))</f>
        <v/>
      </c>
      <c r="X1199" s="14" t="n"/>
      <c r="Y1199" s="17">
        <f>IF(COUNTA($B1199:$R1199)=0,"",IF($X1199="Cancelado","Cancelado",IF(OR($X1199="Pago",$X1199="Recebido"),$X1199,IF(OR($X1199="Parcial",N($R1199)&gt;0),"Parcial",IF($C1199="","Sem vencimento",IF($C1199&lt;TODAY(),"Vencido",IF($C1199=TODAY(),"Vence hoje",IF($C1199&lt;=TODAY()+7,"Vence em 7 dias",IF($C1199&lt;=TODAY()+30,"Vence em 30 dias","Futuro")))))))))</f>
        <v/>
      </c>
      <c r="Z1199" s="24">
        <f>IF($B1199="","",MONTH($B1199))</f>
        <v/>
      </c>
      <c r="AA1199" s="24">
        <f>IF($B1199="","",YEAR($B1199))</f>
        <v/>
      </c>
      <c r="AB1199" s="24">
        <f>IF($B1199="","",ISOWEEKNUM($B1199))</f>
        <v/>
      </c>
      <c r="AC1199" s="17">
        <f>IF($B1199="","",CHOOSE(WEEKDAY($B1199,2),"Segunda","Terça","Quarta","Quinta","Sexta","Sábado","Domingo"))</f>
        <v/>
      </c>
      <c r="AD1199" s="17">
        <f>IF($B1199="","",TEXT($B1199,"MM/AAAA"))</f>
        <v/>
      </c>
      <c r="AE1199" s="18">
        <f>IF(COUNTA($B1199:$R1199)=0,"",IF($X1199="Cancelado",0,ROUND(N($Q1199)+N($S1199)+N($T1199)-N($U1199),2)))</f>
        <v/>
      </c>
      <c r="AF1199" s="9">
        <f>IF($G1199="","",IFERROR(INDEX(LINHAS_DRE_PLANO,MATCH($G1199,SUBCATEGORIAS_PLANO,0)),"Não classificado"))</f>
        <v/>
      </c>
      <c r="AG1199" s="17">
        <f>IF($G1199="","",IFERROR(INDEX(TIPOS_FLUXO_PLANO,MATCH($G1199,SUBCATEGORIAS_PLANO,0)),"Não classificado"))</f>
        <v/>
      </c>
      <c r="AH1199" s="9">
        <f>IF($G1199="","",IFERROR(INDEX(GRUPOS_PLANO,MATCH($G1199,SUBCATEGORIAS_PLANO,0)),"Não classificado"))</f>
        <v/>
      </c>
      <c r="AI1199" s="24">
        <f>IF(OR($C1199="",$X1199="Pago",$X1199="Recebido",$X1199="Cancelado"),"",$C1199-TODAY())</f>
        <v/>
      </c>
      <c r="AJ1199" s="24">
        <f>IF(OR($C1199="",$X1199="Pago",$X1199="Recebido",$X1199="Cancelado"),0,MAX(0,TODAY()-$C1199))</f>
        <v/>
      </c>
      <c r="AK1199" s="24">
        <f>IF($D1199="","",$D1199-$B1199)</f>
        <v/>
      </c>
      <c r="AL1199" s="18">
        <f>IF(OR($D1199="",$B1199=""),"",ROUND(N($R1199)*($D1199-$B1199),2))</f>
        <v/>
      </c>
      <c r="AM1199" s="17">
        <f>IF(AND($E1199="Saída",$W1199&gt;0,$C1199&lt;&gt;""),$C1199+ROW()/1000000,"")</f>
        <v/>
      </c>
      <c r="AN1199" s="17">
        <f>IF(AND($E1199="Entrada",$W1199&gt;0,$C1199&lt;&gt;""),$C1199+ROW()/1000000,"")</f>
        <v/>
      </c>
      <c r="AO1199" s="9">
        <f>IF(COUNTA($B1199:$R1199)=0,"",IF(AND($I1199&lt;&gt;"",COUNTIF(CLIENTES_NOMES,$I1199)+COUNTIF(CLIENTES_FANTASIA,$I1199)+COUNTIF(FORNECEDORES_NOMES,$I1199)+COUNTIF(FORNECEDORES_FANTASIA,$I1199)=0),"⚠ Cliente/Fornecedor não cadastrado",IF(AND($G1199&lt;&gt;"",COUNTIF(SUBCATEGORIAS_PLANO,$G1199)=0),"⚠ Subcategoria fora do plano de contas",IF(OR($Q1199="",N($Q1199)=0),"⚠ Valor previsto não informado",IF(AND(OR($X1199="Pago",$X1199="Recebido"),$D1199=""),"⚠ Status pago/recebido sem data",IF(AND($D1199&lt;&gt;"",N($R1199)=0),"⚠ Data de pagamento sem valor realizado",IF(AND(N($P1199)&gt;1,N($O1199)&gt;N($P1199)),"⚠ Nº da parcela maior que o total",IF(AND($C1199&lt;&gt;"",$B1199&lt;&gt;"",$C1199&lt;$B1199),"⚠ Vencimento anterior à competência","OK"))))))))</f>
        <v/>
      </c>
    </row>
    <row r="1200">
      <c r="A1200" s="14" t="n"/>
      <c r="B1200" s="36" t="n"/>
      <c r="C1200" s="36" t="n"/>
      <c r="D1200" s="36" t="n"/>
      <c r="E1200" s="14" t="n"/>
      <c r="F1200" s="29" t="n"/>
      <c r="G1200" s="29" t="n"/>
      <c r="H1200" s="29" t="n"/>
      <c r="I1200" s="29" t="n"/>
      <c r="J1200" s="29" t="n"/>
      <c r="K1200" s="14" t="n"/>
      <c r="L1200" s="29" t="n"/>
      <c r="M1200" s="14" t="n"/>
      <c r="N1200" s="29" t="n"/>
      <c r="O1200" s="13" t="n"/>
      <c r="P1200" s="13" t="n"/>
      <c r="Q1200" s="35" t="n"/>
      <c r="R1200" s="35" t="n"/>
      <c r="S1200" s="35" t="n"/>
      <c r="T1200" s="35" t="n"/>
      <c r="U1200" s="35" t="n"/>
      <c r="V1200" s="18">
        <f>IF(COUNTA($B1200:$R1200)=0,"",ROUND(N($R1200)+N($S1200)+N($T1200)-N($U1200),2))</f>
        <v/>
      </c>
      <c r="W1200" s="18">
        <f>IF(COUNTA($B1200:$R1200)=0,"",IF(OR($X1200="Pago",$X1200="Recebido",$X1200="Cancelado"),0,ROUND(N($Q1200)+N($S1200)+N($T1200)-N($U1200)-N($R1200),2)))</f>
        <v/>
      </c>
      <c r="X1200" s="14" t="n"/>
      <c r="Y1200" s="17">
        <f>IF(COUNTA($B1200:$R1200)=0,"",IF($X1200="Cancelado","Cancelado",IF(OR($X1200="Pago",$X1200="Recebido"),$X1200,IF(OR($X1200="Parcial",N($R1200)&gt;0),"Parcial",IF($C1200="","Sem vencimento",IF($C1200&lt;TODAY(),"Vencido",IF($C1200=TODAY(),"Vence hoje",IF($C1200&lt;=TODAY()+7,"Vence em 7 dias",IF($C1200&lt;=TODAY()+30,"Vence em 30 dias","Futuro")))))))))</f>
        <v/>
      </c>
      <c r="Z1200" s="24">
        <f>IF($B1200="","",MONTH($B1200))</f>
        <v/>
      </c>
      <c r="AA1200" s="24">
        <f>IF($B1200="","",YEAR($B1200))</f>
        <v/>
      </c>
      <c r="AB1200" s="24">
        <f>IF($B1200="","",ISOWEEKNUM($B1200))</f>
        <v/>
      </c>
      <c r="AC1200" s="17">
        <f>IF($B1200="","",CHOOSE(WEEKDAY($B1200,2),"Segunda","Terça","Quarta","Quinta","Sexta","Sábado","Domingo"))</f>
        <v/>
      </c>
      <c r="AD1200" s="17">
        <f>IF($B1200="","",TEXT($B1200,"MM/AAAA"))</f>
        <v/>
      </c>
      <c r="AE1200" s="18">
        <f>IF(COUNTA($B1200:$R1200)=0,"",IF($X1200="Cancelado",0,ROUND(N($Q1200)+N($S1200)+N($T1200)-N($U1200),2)))</f>
        <v/>
      </c>
      <c r="AF1200" s="9">
        <f>IF($G1200="","",IFERROR(INDEX(LINHAS_DRE_PLANO,MATCH($G1200,SUBCATEGORIAS_PLANO,0)),"Não classificado"))</f>
        <v/>
      </c>
      <c r="AG1200" s="17">
        <f>IF($G1200="","",IFERROR(INDEX(TIPOS_FLUXO_PLANO,MATCH($G1200,SUBCATEGORIAS_PLANO,0)),"Não classificado"))</f>
        <v/>
      </c>
      <c r="AH1200" s="9">
        <f>IF($G1200="","",IFERROR(INDEX(GRUPOS_PLANO,MATCH($G1200,SUBCATEGORIAS_PLANO,0)),"Não classificado"))</f>
        <v/>
      </c>
      <c r="AI1200" s="24">
        <f>IF(OR($C1200="",$X1200="Pago",$X1200="Recebido",$X1200="Cancelado"),"",$C1200-TODAY())</f>
        <v/>
      </c>
      <c r="AJ1200" s="24">
        <f>IF(OR($C1200="",$X1200="Pago",$X1200="Recebido",$X1200="Cancelado"),0,MAX(0,TODAY()-$C1200))</f>
        <v/>
      </c>
      <c r="AK1200" s="24">
        <f>IF($D1200="","",$D1200-$B1200)</f>
        <v/>
      </c>
      <c r="AL1200" s="18">
        <f>IF(OR($D1200="",$B1200=""),"",ROUND(N($R1200)*($D1200-$B1200),2))</f>
        <v/>
      </c>
      <c r="AM1200" s="17">
        <f>IF(AND($E1200="Saída",$W1200&gt;0,$C1200&lt;&gt;""),$C1200+ROW()/1000000,"")</f>
        <v/>
      </c>
      <c r="AN1200" s="17">
        <f>IF(AND($E1200="Entrada",$W1200&gt;0,$C1200&lt;&gt;""),$C1200+ROW()/1000000,"")</f>
        <v/>
      </c>
      <c r="AO1200" s="9">
        <f>IF(COUNTA($B1200:$R1200)=0,"",IF(AND($I1200&lt;&gt;"",COUNTIF(CLIENTES_NOMES,$I1200)+COUNTIF(CLIENTES_FANTASIA,$I1200)+COUNTIF(FORNECEDORES_NOMES,$I1200)+COUNTIF(FORNECEDORES_FANTASIA,$I1200)=0),"⚠ Cliente/Fornecedor não cadastrado",IF(AND($G1200&lt;&gt;"",COUNTIF(SUBCATEGORIAS_PLANO,$G1200)=0),"⚠ Subcategoria fora do plano de contas",IF(OR($Q1200="",N($Q1200)=0),"⚠ Valor previsto não informado",IF(AND(OR($X1200="Pago",$X1200="Recebido"),$D1200=""),"⚠ Status pago/recebido sem data",IF(AND($D1200&lt;&gt;"",N($R1200)=0),"⚠ Data de pagamento sem valor realizado",IF(AND(N($P1200)&gt;1,N($O1200)&gt;N($P1200)),"⚠ Nº da parcela maior que o total",IF(AND($C1200&lt;&gt;"",$B1200&lt;&gt;"",$C1200&lt;$B1200),"⚠ Vencimento anterior à competência","OK"))))))))</f>
        <v/>
      </c>
    </row>
    <row r="1201">
      <c r="A1201" s="14" t="n"/>
      <c r="B1201" s="36" t="n"/>
      <c r="C1201" s="36" t="n"/>
      <c r="D1201" s="36" t="n"/>
      <c r="E1201" s="14" t="n"/>
      <c r="F1201" s="29" t="n"/>
      <c r="G1201" s="29" t="n"/>
      <c r="H1201" s="29" t="n"/>
      <c r="I1201" s="29" t="n"/>
      <c r="J1201" s="29" t="n"/>
      <c r="K1201" s="14" t="n"/>
      <c r="L1201" s="29" t="n"/>
      <c r="M1201" s="14" t="n"/>
      <c r="N1201" s="29" t="n"/>
      <c r="O1201" s="13" t="n"/>
      <c r="P1201" s="13" t="n"/>
      <c r="Q1201" s="35" t="n"/>
      <c r="R1201" s="35" t="n"/>
      <c r="S1201" s="35" t="n"/>
      <c r="T1201" s="35" t="n"/>
      <c r="U1201" s="35" t="n"/>
      <c r="V1201" s="18">
        <f>IF(COUNTA($B1201:$R1201)=0,"",ROUND(N($R1201)+N($S1201)+N($T1201)-N($U1201),2))</f>
        <v/>
      </c>
      <c r="W1201" s="18">
        <f>IF(COUNTA($B1201:$R1201)=0,"",IF(OR($X1201="Pago",$X1201="Recebido",$X1201="Cancelado"),0,ROUND(N($Q1201)+N($S1201)+N($T1201)-N($U1201)-N($R1201),2)))</f>
        <v/>
      </c>
      <c r="X1201" s="14" t="n"/>
      <c r="Y1201" s="17">
        <f>IF(COUNTA($B1201:$R1201)=0,"",IF($X1201="Cancelado","Cancelado",IF(OR($X1201="Pago",$X1201="Recebido"),$X1201,IF(OR($X1201="Parcial",N($R1201)&gt;0),"Parcial",IF($C1201="","Sem vencimento",IF($C1201&lt;TODAY(),"Vencido",IF($C1201=TODAY(),"Vence hoje",IF($C1201&lt;=TODAY()+7,"Vence em 7 dias",IF($C1201&lt;=TODAY()+30,"Vence em 30 dias","Futuro")))))))))</f>
        <v/>
      </c>
      <c r="Z1201" s="24">
        <f>IF($B1201="","",MONTH($B1201))</f>
        <v/>
      </c>
      <c r="AA1201" s="24">
        <f>IF($B1201="","",YEAR($B1201))</f>
        <v/>
      </c>
      <c r="AB1201" s="24">
        <f>IF($B1201="","",ISOWEEKNUM($B1201))</f>
        <v/>
      </c>
      <c r="AC1201" s="17">
        <f>IF($B1201="","",CHOOSE(WEEKDAY($B1201,2),"Segunda","Terça","Quarta","Quinta","Sexta","Sábado","Domingo"))</f>
        <v/>
      </c>
      <c r="AD1201" s="17">
        <f>IF($B1201="","",TEXT($B1201,"MM/AAAA"))</f>
        <v/>
      </c>
      <c r="AE1201" s="18">
        <f>IF(COUNTA($B1201:$R1201)=0,"",IF($X1201="Cancelado",0,ROUND(N($Q1201)+N($S1201)+N($T1201)-N($U1201),2)))</f>
        <v/>
      </c>
      <c r="AF1201" s="9">
        <f>IF($G1201="","",IFERROR(INDEX(LINHAS_DRE_PLANO,MATCH($G1201,SUBCATEGORIAS_PLANO,0)),"Não classificado"))</f>
        <v/>
      </c>
      <c r="AG1201" s="17">
        <f>IF($G1201="","",IFERROR(INDEX(TIPOS_FLUXO_PLANO,MATCH($G1201,SUBCATEGORIAS_PLANO,0)),"Não classificado"))</f>
        <v/>
      </c>
      <c r="AH1201" s="9">
        <f>IF($G1201="","",IFERROR(INDEX(GRUPOS_PLANO,MATCH($G1201,SUBCATEGORIAS_PLANO,0)),"Não classificado"))</f>
        <v/>
      </c>
      <c r="AI1201" s="24">
        <f>IF(OR($C1201="",$X1201="Pago",$X1201="Recebido",$X1201="Cancelado"),"",$C1201-TODAY())</f>
        <v/>
      </c>
      <c r="AJ1201" s="24">
        <f>IF(OR($C1201="",$X1201="Pago",$X1201="Recebido",$X1201="Cancelado"),0,MAX(0,TODAY()-$C1201))</f>
        <v/>
      </c>
      <c r="AK1201" s="24">
        <f>IF($D1201="","",$D1201-$B1201)</f>
        <v/>
      </c>
      <c r="AL1201" s="18">
        <f>IF(OR($D1201="",$B1201=""),"",ROUND(N($R1201)*($D1201-$B1201),2))</f>
        <v/>
      </c>
      <c r="AM1201" s="17">
        <f>IF(AND($E1201="Saída",$W1201&gt;0,$C1201&lt;&gt;""),$C1201+ROW()/1000000,"")</f>
        <v/>
      </c>
      <c r="AN1201" s="17">
        <f>IF(AND($E1201="Entrada",$W1201&gt;0,$C1201&lt;&gt;""),$C1201+ROW()/1000000,"")</f>
        <v/>
      </c>
      <c r="AO1201" s="9">
        <f>IF(COUNTA($B1201:$R1201)=0,"",IF(AND($I1201&lt;&gt;"",COUNTIF(CLIENTES_NOMES,$I1201)+COUNTIF(CLIENTES_FANTASIA,$I1201)+COUNTIF(FORNECEDORES_NOMES,$I1201)+COUNTIF(FORNECEDORES_FANTASIA,$I1201)=0),"⚠ Cliente/Fornecedor não cadastrado",IF(AND($G1201&lt;&gt;"",COUNTIF(SUBCATEGORIAS_PLANO,$G1201)=0),"⚠ Subcategoria fora do plano de contas",IF(OR($Q1201="",N($Q1201)=0),"⚠ Valor previsto não informado",IF(AND(OR($X1201="Pago",$X1201="Recebido"),$D1201=""),"⚠ Status pago/recebido sem data",IF(AND($D1201&lt;&gt;"",N($R1201)=0),"⚠ Data de pagamento sem valor realizado",IF(AND(N($P1201)&gt;1,N($O1201)&gt;N($P1201)),"⚠ Nº da parcela maior que o total",IF(AND($C1201&lt;&gt;"",$B1201&lt;&gt;"",$C1201&lt;$B1201),"⚠ Vencimento anterior à competência","OK"))))))))</f>
        <v/>
      </c>
    </row>
    <row r="1202">
      <c r="A1202" s="14" t="n"/>
      <c r="B1202" s="36" t="n"/>
      <c r="C1202" s="36" t="n"/>
      <c r="D1202" s="36" t="n"/>
      <c r="E1202" s="14" t="n"/>
      <c r="F1202" s="29" t="n"/>
      <c r="G1202" s="29" t="n"/>
      <c r="H1202" s="29" t="n"/>
      <c r="I1202" s="29" t="n"/>
      <c r="J1202" s="29" t="n"/>
      <c r="K1202" s="14" t="n"/>
      <c r="L1202" s="29" t="n"/>
      <c r="M1202" s="14" t="n"/>
      <c r="N1202" s="29" t="n"/>
      <c r="O1202" s="13" t="n"/>
      <c r="P1202" s="13" t="n"/>
      <c r="Q1202" s="35" t="n"/>
      <c r="R1202" s="35" t="n"/>
      <c r="S1202" s="35" t="n"/>
      <c r="T1202" s="35" t="n"/>
      <c r="U1202" s="35" t="n"/>
      <c r="V1202" s="18">
        <f>IF(COUNTA($B1202:$R1202)=0,"",ROUND(N($R1202)+N($S1202)+N($T1202)-N($U1202),2))</f>
        <v/>
      </c>
      <c r="W1202" s="18">
        <f>IF(COUNTA($B1202:$R1202)=0,"",IF(OR($X1202="Pago",$X1202="Recebido",$X1202="Cancelado"),0,ROUND(N($Q1202)+N($S1202)+N($T1202)-N($U1202)-N($R1202),2)))</f>
        <v/>
      </c>
      <c r="X1202" s="14" t="n"/>
      <c r="Y1202" s="17">
        <f>IF(COUNTA($B1202:$R1202)=0,"",IF($X1202="Cancelado","Cancelado",IF(OR($X1202="Pago",$X1202="Recebido"),$X1202,IF(OR($X1202="Parcial",N($R1202)&gt;0),"Parcial",IF($C1202="","Sem vencimento",IF($C1202&lt;TODAY(),"Vencido",IF($C1202=TODAY(),"Vence hoje",IF($C1202&lt;=TODAY()+7,"Vence em 7 dias",IF($C1202&lt;=TODAY()+30,"Vence em 30 dias","Futuro")))))))))</f>
        <v/>
      </c>
      <c r="Z1202" s="24">
        <f>IF($B1202="","",MONTH($B1202))</f>
        <v/>
      </c>
      <c r="AA1202" s="24">
        <f>IF($B1202="","",YEAR($B1202))</f>
        <v/>
      </c>
      <c r="AB1202" s="24">
        <f>IF($B1202="","",ISOWEEKNUM($B1202))</f>
        <v/>
      </c>
      <c r="AC1202" s="17">
        <f>IF($B1202="","",CHOOSE(WEEKDAY($B1202,2),"Segunda","Terça","Quarta","Quinta","Sexta","Sábado","Domingo"))</f>
        <v/>
      </c>
      <c r="AD1202" s="17">
        <f>IF($B1202="","",TEXT($B1202,"MM/AAAA"))</f>
        <v/>
      </c>
      <c r="AE1202" s="18">
        <f>IF(COUNTA($B1202:$R1202)=0,"",IF($X1202="Cancelado",0,ROUND(N($Q1202)+N($S1202)+N($T1202)-N($U1202),2)))</f>
        <v/>
      </c>
      <c r="AF1202" s="9">
        <f>IF($G1202="","",IFERROR(INDEX(LINHAS_DRE_PLANO,MATCH($G1202,SUBCATEGORIAS_PLANO,0)),"Não classificado"))</f>
        <v/>
      </c>
      <c r="AG1202" s="17">
        <f>IF($G1202="","",IFERROR(INDEX(TIPOS_FLUXO_PLANO,MATCH($G1202,SUBCATEGORIAS_PLANO,0)),"Não classificado"))</f>
        <v/>
      </c>
      <c r="AH1202" s="9">
        <f>IF($G1202="","",IFERROR(INDEX(GRUPOS_PLANO,MATCH($G1202,SUBCATEGORIAS_PLANO,0)),"Não classificado"))</f>
        <v/>
      </c>
      <c r="AI1202" s="24">
        <f>IF(OR($C1202="",$X1202="Pago",$X1202="Recebido",$X1202="Cancelado"),"",$C1202-TODAY())</f>
        <v/>
      </c>
      <c r="AJ1202" s="24">
        <f>IF(OR($C1202="",$X1202="Pago",$X1202="Recebido",$X1202="Cancelado"),0,MAX(0,TODAY()-$C1202))</f>
        <v/>
      </c>
      <c r="AK1202" s="24">
        <f>IF($D1202="","",$D1202-$B1202)</f>
        <v/>
      </c>
      <c r="AL1202" s="18">
        <f>IF(OR($D1202="",$B1202=""),"",ROUND(N($R1202)*($D1202-$B1202),2))</f>
        <v/>
      </c>
      <c r="AM1202" s="17">
        <f>IF(AND($E1202="Saída",$W1202&gt;0,$C1202&lt;&gt;""),$C1202+ROW()/1000000,"")</f>
        <v/>
      </c>
      <c r="AN1202" s="17">
        <f>IF(AND($E1202="Entrada",$W1202&gt;0,$C1202&lt;&gt;""),$C1202+ROW()/1000000,"")</f>
        <v/>
      </c>
      <c r="AO1202" s="9">
        <f>IF(COUNTA($B1202:$R1202)=0,"",IF(AND($I1202&lt;&gt;"",COUNTIF(CLIENTES_NOMES,$I1202)+COUNTIF(CLIENTES_FANTASIA,$I1202)+COUNTIF(FORNECEDORES_NOMES,$I1202)+COUNTIF(FORNECEDORES_FANTASIA,$I1202)=0),"⚠ Cliente/Fornecedor não cadastrado",IF(AND($G1202&lt;&gt;"",COUNTIF(SUBCATEGORIAS_PLANO,$G1202)=0),"⚠ Subcategoria fora do plano de contas",IF(OR($Q1202="",N($Q1202)=0),"⚠ Valor previsto não informado",IF(AND(OR($X1202="Pago",$X1202="Recebido"),$D1202=""),"⚠ Status pago/recebido sem data",IF(AND($D1202&lt;&gt;"",N($R1202)=0),"⚠ Data de pagamento sem valor realizado",IF(AND(N($P1202)&gt;1,N($O1202)&gt;N($P1202)),"⚠ Nº da parcela maior que o total",IF(AND($C1202&lt;&gt;"",$B1202&lt;&gt;"",$C1202&lt;$B1202),"⚠ Vencimento anterior à competência","OK"))))))))</f>
        <v/>
      </c>
    </row>
    <row r="1203">
      <c r="A1203" s="14" t="n"/>
      <c r="B1203" s="36" t="n"/>
      <c r="C1203" s="36" t="n"/>
      <c r="D1203" s="36" t="n"/>
      <c r="E1203" s="14" t="n"/>
      <c r="F1203" s="29" t="n"/>
      <c r="G1203" s="29" t="n"/>
      <c r="H1203" s="29" t="n"/>
      <c r="I1203" s="29" t="n"/>
      <c r="J1203" s="29" t="n"/>
      <c r="K1203" s="14" t="n"/>
      <c r="L1203" s="29" t="n"/>
      <c r="M1203" s="14" t="n"/>
      <c r="N1203" s="29" t="n"/>
      <c r="O1203" s="13" t="n"/>
      <c r="P1203" s="13" t="n"/>
      <c r="Q1203" s="35" t="n"/>
      <c r="R1203" s="35" t="n"/>
      <c r="S1203" s="35" t="n"/>
      <c r="T1203" s="35" t="n"/>
      <c r="U1203" s="35" t="n"/>
      <c r="V1203" s="18">
        <f>IF(COUNTA($B1203:$R1203)=0,"",ROUND(N($R1203)+N($S1203)+N($T1203)-N($U1203),2))</f>
        <v/>
      </c>
      <c r="W1203" s="18">
        <f>IF(COUNTA($B1203:$R1203)=0,"",IF(OR($X1203="Pago",$X1203="Recebido",$X1203="Cancelado"),0,ROUND(N($Q1203)+N($S1203)+N($T1203)-N($U1203)-N($R1203),2)))</f>
        <v/>
      </c>
      <c r="X1203" s="14" t="n"/>
      <c r="Y1203" s="17">
        <f>IF(COUNTA($B1203:$R1203)=0,"",IF($X1203="Cancelado","Cancelado",IF(OR($X1203="Pago",$X1203="Recebido"),$X1203,IF(OR($X1203="Parcial",N($R1203)&gt;0),"Parcial",IF($C1203="","Sem vencimento",IF($C1203&lt;TODAY(),"Vencido",IF($C1203=TODAY(),"Vence hoje",IF($C1203&lt;=TODAY()+7,"Vence em 7 dias",IF($C1203&lt;=TODAY()+30,"Vence em 30 dias","Futuro")))))))))</f>
        <v/>
      </c>
      <c r="Z1203" s="24">
        <f>IF($B1203="","",MONTH($B1203))</f>
        <v/>
      </c>
      <c r="AA1203" s="24">
        <f>IF($B1203="","",YEAR($B1203))</f>
        <v/>
      </c>
      <c r="AB1203" s="24">
        <f>IF($B1203="","",ISOWEEKNUM($B1203))</f>
        <v/>
      </c>
      <c r="AC1203" s="17">
        <f>IF($B1203="","",CHOOSE(WEEKDAY($B1203,2),"Segunda","Terça","Quarta","Quinta","Sexta","Sábado","Domingo"))</f>
        <v/>
      </c>
      <c r="AD1203" s="17">
        <f>IF($B1203="","",TEXT($B1203,"MM/AAAA"))</f>
        <v/>
      </c>
      <c r="AE1203" s="18">
        <f>IF(COUNTA($B1203:$R1203)=0,"",IF($X1203="Cancelado",0,ROUND(N($Q1203)+N($S1203)+N($T1203)-N($U1203),2)))</f>
        <v/>
      </c>
      <c r="AF1203" s="9">
        <f>IF($G1203="","",IFERROR(INDEX(LINHAS_DRE_PLANO,MATCH($G1203,SUBCATEGORIAS_PLANO,0)),"Não classificado"))</f>
        <v/>
      </c>
      <c r="AG1203" s="17">
        <f>IF($G1203="","",IFERROR(INDEX(TIPOS_FLUXO_PLANO,MATCH($G1203,SUBCATEGORIAS_PLANO,0)),"Não classificado"))</f>
        <v/>
      </c>
      <c r="AH1203" s="9">
        <f>IF($G1203="","",IFERROR(INDEX(GRUPOS_PLANO,MATCH($G1203,SUBCATEGORIAS_PLANO,0)),"Não classificado"))</f>
        <v/>
      </c>
      <c r="AI1203" s="24">
        <f>IF(OR($C1203="",$X1203="Pago",$X1203="Recebido",$X1203="Cancelado"),"",$C1203-TODAY())</f>
        <v/>
      </c>
      <c r="AJ1203" s="24">
        <f>IF(OR($C1203="",$X1203="Pago",$X1203="Recebido",$X1203="Cancelado"),0,MAX(0,TODAY()-$C1203))</f>
        <v/>
      </c>
      <c r="AK1203" s="24">
        <f>IF($D1203="","",$D1203-$B1203)</f>
        <v/>
      </c>
      <c r="AL1203" s="18">
        <f>IF(OR($D1203="",$B1203=""),"",ROUND(N($R1203)*($D1203-$B1203),2))</f>
        <v/>
      </c>
      <c r="AM1203" s="17">
        <f>IF(AND($E1203="Saída",$W1203&gt;0,$C1203&lt;&gt;""),$C1203+ROW()/1000000,"")</f>
        <v/>
      </c>
      <c r="AN1203" s="17">
        <f>IF(AND($E1203="Entrada",$W1203&gt;0,$C1203&lt;&gt;""),$C1203+ROW()/1000000,"")</f>
        <v/>
      </c>
      <c r="AO1203" s="9">
        <f>IF(COUNTA($B1203:$R1203)=0,"",IF(AND($I1203&lt;&gt;"",COUNTIF(CLIENTES_NOMES,$I1203)+COUNTIF(CLIENTES_FANTASIA,$I1203)+COUNTIF(FORNECEDORES_NOMES,$I1203)+COUNTIF(FORNECEDORES_FANTASIA,$I1203)=0),"⚠ Cliente/Fornecedor não cadastrado",IF(AND($G1203&lt;&gt;"",COUNTIF(SUBCATEGORIAS_PLANO,$G1203)=0),"⚠ Subcategoria fora do plano de contas",IF(OR($Q1203="",N($Q1203)=0),"⚠ Valor previsto não informado",IF(AND(OR($X1203="Pago",$X1203="Recebido"),$D1203=""),"⚠ Status pago/recebido sem data",IF(AND($D1203&lt;&gt;"",N($R1203)=0),"⚠ Data de pagamento sem valor realizado",IF(AND(N($P1203)&gt;1,N($O1203)&gt;N($P1203)),"⚠ Nº da parcela maior que o total",IF(AND($C1203&lt;&gt;"",$B1203&lt;&gt;"",$C1203&lt;$B1203),"⚠ Vencimento anterior à competência","OK"))))))))</f>
        <v/>
      </c>
    </row>
    <row r="1204">
      <c r="A1204" s="14" t="n"/>
      <c r="B1204" s="36" t="n"/>
      <c r="C1204" s="36" t="n"/>
      <c r="D1204" s="36" t="n"/>
      <c r="E1204" s="14" t="n"/>
      <c r="F1204" s="29" t="n"/>
      <c r="G1204" s="29" t="n"/>
      <c r="H1204" s="29" t="n"/>
      <c r="I1204" s="29" t="n"/>
      <c r="J1204" s="29" t="n"/>
      <c r="K1204" s="14" t="n"/>
      <c r="L1204" s="29" t="n"/>
      <c r="M1204" s="14" t="n"/>
      <c r="N1204" s="29" t="n"/>
      <c r="O1204" s="13" t="n"/>
      <c r="P1204" s="13" t="n"/>
      <c r="Q1204" s="35" t="n"/>
      <c r="R1204" s="35" t="n"/>
      <c r="S1204" s="35" t="n"/>
      <c r="T1204" s="35" t="n"/>
      <c r="U1204" s="35" t="n"/>
      <c r="V1204" s="18">
        <f>IF(COUNTA($B1204:$R1204)=0,"",ROUND(N($R1204)+N($S1204)+N($T1204)-N($U1204),2))</f>
        <v/>
      </c>
      <c r="W1204" s="18">
        <f>IF(COUNTA($B1204:$R1204)=0,"",IF(OR($X1204="Pago",$X1204="Recebido",$X1204="Cancelado"),0,ROUND(N($Q1204)+N($S1204)+N($T1204)-N($U1204)-N($R1204),2)))</f>
        <v/>
      </c>
      <c r="X1204" s="14" t="n"/>
      <c r="Y1204" s="17">
        <f>IF(COUNTA($B1204:$R1204)=0,"",IF($X1204="Cancelado","Cancelado",IF(OR($X1204="Pago",$X1204="Recebido"),$X1204,IF(OR($X1204="Parcial",N($R1204)&gt;0),"Parcial",IF($C1204="","Sem vencimento",IF($C1204&lt;TODAY(),"Vencido",IF($C1204=TODAY(),"Vence hoje",IF($C1204&lt;=TODAY()+7,"Vence em 7 dias",IF($C1204&lt;=TODAY()+30,"Vence em 30 dias","Futuro")))))))))</f>
        <v/>
      </c>
      <c r="Z1204" s="24">
        <f>IF($B1204="","",MONTH($B1204))</f>
        <v/>
      </c>
      <c r="AA1204" s="24">
        <f>IF($B1204="","",YEAR($B1204))</f>
        <v/>
      </c>
      <c r="AB1204" s="24">
        <f>IF($B1204="","",ISOWEEKNUM($B1204))</f>
        <v/>
      </c>
      <c r="AC1204" s="17">
        <f>IF($B1204="","",CHOOSE(WEEKDAY($B1204,2),"Segunda","Terça","Quarta","Quinta","Sexta","Sábado","Domingo"))</f>
        <v/>
      </c>
      <c r="AD1204" s="17">
        <f>IF($B1204="","",TEXT($B1204,"MM/AAAA"))</f>
        <v/>
      </c>
      <c r="AE1204" s="18">
        <f>IF(COUNTA($B1204:$R1204)=0,"",IF($X1204="Cancelado",0,ROUND(N($Q1204)+N($S1204)+N($T1204)-N($U1204),2)))</f>
        <v/>
      </c>
      <c r="AF1204" s="9">
        <f>IF($G1204="","",IFERROR(INDEX(LINHAS_DRE_PLANO,MATCH($G1204,SUBCATEGORIAS_PLANO,0)),"Não classificado"))</f>
        <v/>
      </c>
      <c r="AG1204" s="17">
        <f>IF($G1204="","",IFERROR(INDEX(TIPOS_FLUXO_PLANO,MATCH($G1204,SUBCATEGORIAS_PLANO,0)),"Não classificado"))</f>
        <v/>
      </c>
      <c r="AH1204" s="9">
        <f>IF($G1204="","",IFERROR(INDEX(GRUPOS_PLANO,MATCH($G1204,SUBCATEGORIAS_PLANO,0)),"Não classificado"))</f>
        <v/>
      </c>
      <c r="AI1204" s="24">
        <f>IF(OR($C1204="",$X1204="Pago",$X1204="Recebido",$X1204="Cancelado"),"",$C1204-TODAY())</f>
        <v/>
      </c>
      <c r="AJ1204" s="24">
        <f>IF(OR($C1204="",$X1204="Pago",$X1204="Recebido",$X1204="Cancelado"),0,MAX(0,TODAY()-$C1204))</f>
        <v/>
      </c>
      <c r="AK1204" s="24">
        <f>IF($D1204="","",$D1204-$B1204)</f>
        <v/>
      </c>
      <c r="AL1204" s="18">
        <f>IF(OR($D1204="",$B1204=""),"",ROUND(N($R1204)*($D1204-$B1204),2))</f>
        <v/>
      </c>
      <c r="AM1204" s="17">
        <f>IF(AND($E1204="Saída",$W1204&gt;0,$C1204&lt;&gt;""),$C1204+ROW()/1000000,"")</f>
        <v/>
      </c>
      <c r="AN1204" s="17">
        <f>IF(AND($E1204="Entrada",$W1204&gt;0,$C1204&lt;&gt;""),$C1204+ROW()/1000000,"")</f>
        <v/>
      </c>
      <c r="AO1204" s="9">
        <f>IF(COUNTA($B1204:$R1204)=0,"",IF(AND($I1204&lt;&gt;"",COUNTIF(CLIENTES_NOMES,$I1204)+COUNTIF(CLIENTES_FANTASIA,$I1204)+COUNTIF(FORNECEDORES_NOMES,$I1204)+COUNTIF(FORNECEDORES_FANTASIA,$I1204)=0),"⚠ Cliente/Fornecedor não cadastrado",IF(AND($G1204&lt;&gt;"",COUNTIF(SUBCATEGORIAS_PLANO,$G1204)=0),"⚠ Subcategoria fora do plano de contas",IF(OR($Q1204="",N($Q1204)=0),"⚠ Valor previsto não informado",IF(AND(OR($X1204="Pago",$X1204="Recebido"),$D1204=""),"⚠ Status pago/recebido sem data",IF(AND($D1204&lt;&gt;"",N($R1204)=0),"⚠ Data de pagamento sem valor realizado",IF(AND(N($P1204)&gt;1,N($O1204)&gt;N($P1204)),"⚠ Nº da parcela maior que o total",IF(AND($C1204&lt;&gt;"",$B1204&lt;&gt;"",$C1204&lt;$B1204),"⚠ Vencimento anterior à competência","OK"))))))))</f>
        <v/>
      </c>
    </row>
    <row r="1205">
      <c r="A1205" s="14" t="n"/>
      <c r="B1205" s="36" t="n"/>
      <c r="C1205" s="36" t="n"/>
      <c r="D1205" s="36" t="n"/>
      <c r="E1205" s="14" t="n"/>
      <c r="F1205" s="29" t="n"/>
      <c r="G1205" s="29" t="n"/>
      <c r="H1205" s="29" t="n"/>
      <c r="I1205" s="29" t="n"/>
      <c r="J1205" s="29" t="n"/>
      <c r="K1205" s="14" t="n"/>
      <c r="L1205" s="29" t="n"/>
      <c r="M1205" s="14" t="n"/>
      <c r="N1205" s="29" t="n"/>
      <c r="O1205" s="13" t="n"/>
      <c r="P1205" s="13" t="n"/>
      <c r="Q1205" s="35" t="n"/>
      <c r="R1205" s="35" t="n"/>
      <c r="S1205" s="35" t="n"/>
      <c r="T1205" s="35" t="n"/>
      <c r="U1205" s="35" t="n"/>
      <c r="V1205" s="18">
        <f>IF(COUNTA($B1205:$R1205)=0,"",ROUND(N($R1205)+N($S1205)+N($T1205)-N($U1205),2))</f>
        <v/>
      </c>
      <c r="W1205" s="18">
        <f>IF(COUNTA($B1205:$R1205)=0,"",IF(OR($X1205="Pago",$X1205="Recebido",$X1205="Cancelado"),0,ROUND(N($Q1205)+N($S1205)+N($T1205)-N($U1205)-N($R1205),2)))</f>
        <v/>
      </c>
      <c r="X1205" s="14" t="n"/>
      <c r="Y1205" s="17">
        <f>IF(COUNTA($B1205:$R1205)=0,"",IF($X1205="Cancelado","Cancelado",IF(OR($X1205="Pago",$X1205="Recebido"),$X1205,IF(OR($X1205="Parcial",N($R1205)&gt;0),"Parcial",IF($C1205="","Sem vencimento",IF($C1205&lt;TODAY(),"Vencido",IF($C1205=TODAY(),"Vence hoje",IF($C1205&lt;=TODAY()+7,"Vence em 7 dias",IF($C1205&lt;=TODAY()+30,"Vence em 30 dias","Futuro")))))))))</f>
        <v/>
      </c>
      <c r="Z1205" s="24">
        <f>IF($B1205="","",MONTH($B1205))</f>
        <v/>
      </c>
      <c r="AA1205" s="24">
        <f>IF($B1205="","",YEAR($B1205))</f>
        <v/>
      </c>
      <c r="AB1205" s="24">
        <f>IF($B1205="","",ISOWEEKNUM($B1205))</f>
        <v/>
      </c>
      <c r="AC1205" s="17">
        <f>IF($B1205="","",CHOOSE(WEEKDAY($B1205,2),"Segunda","Terça","Quarta","Quinta","Sexta","Sábado","Domingo"))</f>
        <v/>
      </c>
      <c r="AD1205" s="17">
        <f>IF($B1205="","",TEXT($B1205,"MM/AAAA"))</f>
        <v/>
      </c>
      <c r="AE1205" s="18">
        <f>IF(COUNTA($B1205:$R1205)=0,"",IF($X1205="Cancelado",0,ROUND(N($Q1205)+N($S1205)+N($T1205)-N($U1205),2)))</f>
        <v/>
      </c>
      <c r="AF1205" s="9">
        <f>IF($G1205="","",IFERROR(INDEX(LINHAS_DRE_PLANO,MATCH($G1205,SUBCATEGORIAS_PLANO,0)),"Não classificado"))</f>
        <v/>
      </c>
      <c r="AG1205" s="17">
        <f>IF($G1205="","",IFERROR(INDEX(TIPOS_FLUXO_PLANO,MATCH($G1205,SUBCATEGORIAS_PLANO,0)),"Não classificado"))</f>
        <v/>
      </c>
      <c r="AH1205" s="9">
        <f>IF($G1205="","",IFERROR(INDEX(GRUPOS_PLANO,MATCH($G1205,SUBCATEGORIAS_PLANO,0)),"Não classificado"))</f>
        <v/>
      </c>
      <c r="AI1205" s="24">
        <f>IF(OR($C1205="",$X1205="Pago",$X1205="Recebido",$X1205="Cancelado"),"",$C1205-TODAY())</f>
        <v/>
      </c>
      <c r="AJ1205" s="24">
        <f>IF(OR($C1205="",$X1205="Pago",$X1205="Recebido",$X1205="Cancelado"),0,MAX(0,TODAY()-$C1205))</f>
        <v/>
      </c>
      <c r="AK1205" s="24">
        <f>IF($D1205="","",$D1205-$B1205)</f>
        <v/>
      </c>
      <c r="AL1205" s="18">
        <f>IF(OR($D1205="",$B1205=""),"",ROUND(N($R1205)*($D1205-$B1205),2))</f>
        <v/>
      </c>
      <c r="AM1205" s="17">
        <f>IF(AND($E1205="Saída",$W1205&gt;0,$C1205&lt;&gt;""),$C1205+ROW()/1000000,"")</f>
        <v/>
      </c>
      <c r="AN1205" s="17">
        <f>IF(AND($E1205="Entrada",$W1205&gt;0,$C1205&lt;&gt;""),$C1205+ROW()/1000000,"")</f>
        <v/>
      </c>
      <c r="AO1205" s="9">
        <f>IF(COUNTA($B1205:$R1205)=0,"",IF(AND($I1205&lt;&gt;"",COUNTIF(CLIENTES_NOMES,$I1205)+COUNTIF(CLIENTES_FANTASIA,$I1205)+COUNTIF(FORNECEDORES_NOMES,$I1205)+COUNTIF(FORNECEDORES_FANTASIA,$I1205)=0),"⚠ Cliente/Fornecedor não cadastrado",IF(AND($G1205&lt;&gt;"",COUNTIF(SUBCATEGORIAS_PLANO,$G1205)=0),"⚠ Subcategoria fora do plano de contas",IF(OR($Q1205="",N($Q1205)=0),"⚠ Valor previsto não informado",IF(AND(OR($X1205="Pago",$X1205="Recebido"),$D1205=""),"⚠ Status pago/recebido sem data",IF(AND($D1205&lt;&gt;"",N($R1205)=0),"⚠ Data de pagamento sem valor realizado",IF(AND(N($P1205)&gt;1,N($O1205)&gt;N($P1205)),"⚠ Nº da parcela maior que o total",IF(AND($C1205&lt;&gt;"",$B1205&lt;&gt;"",$C1205&lt;$B1205),"⚠ Vencimento anterior à competência","OK"))))))))</f>
        <v/>
      </c>
    </row>
    <row r="1206">
      <c r="A1206" s="14" t="n"/>
      <c r="B1206" s="36" t="n"/>
      <c r="C1206" s="36" t="n"/>
      <c r="D1206" s="36" t="n"/>
      <c r="E1206" s="14" t="n"/>
      <c r="F1206" s="29" t="n"/>
      <c r="G1206" s="29" t="n"/>
      <c r="H1206" s="29" t="n"/>
      <c r="I1206" s="29" t="n"/>
      <c r="J1206" s="29" t="n"/>
      <c r="K1206" s="14" t="n"/>
      <c r="L1206" s="29" t="n"/>
      <c r="M1206" s="14" t="n"/>
      <c r="N1206" s="29" t="n"/>
      <c r="O1206" s="13" t="n"/>
      <c r="P1206" s="13" t="n"/>
      <c r="Q1206" s="35" t="n"/>
      <c r="R1206" s="35" t="n"/>
      <c r="S1206" s="35" t="n"/>
      <c r="T1206" s="35" t="n"/>
      <c r="U1206" s="35" t="n"/>
      <c r="V1206" s="18">
        <f>IF(COUNTA($B1206:$R1206)=0,"",ROUND(N($R1206)+N($S1206)+N($T1206)-N($U1206),2))</f>
        <v/>
      </c>
      <c r="W1206" s="18">
        <f>IF(COUNTA($B1206:$R1206)=0,"",IF(OR($X1206="Pago",$X1206="Recebido",$X1206="Cancelado"),0,ROUND(N($Q1206)+N($S1206)+N($T1206)-N($U1206)-N($R1206),2)))</f>
        <v/>
      </c>
      <c r="X1206" s="14" t="n"/>
      <c r="Y1206" s="17">
        <f>IF(COUNTA($B1206:$R1206)=0,"",IF($X1206="Cancelado","Cancelado",IF(OR($X1206="Pago",$X1206="Recebido"),$X1206,IF(OR($X1206="Parcial",N($R1206)&gt;0),"Parcial",IF($C1206="","Sem vencimento",IF($C1206&lt;TODAY(),"Vencido",IF($C1206=TODAY(),"Vence hoje",IF($C1206&lt;=TODAY()+7,"Vence em 7 dias",IF($C1206&lt;=TODAY()+30,"Vence em 30 dias","Futuro")))))))))</f>
        <v/>
      </c>
      <c r="Z1206" s="24">
        <f>IF($B1206="","",MONTH($B1206))</f>
        <v/>
      </c>
      <c r="AA1206" s="24">
        <f>IF($B1206="","",YEAR($B1206))</f>
        <v/>
      </c>
      <c r="AB1206" s="24">
        <f>IF($B1206="","",ISOWEEKNUM($B1206))</f>
        <v/>
      </c>
      <c r="AC1206" s="17">
        <f>IF($B1206="","",CHOOSE(WEEKDAY($B1206,2),"Segunda","Terça","Quarta","Quinta","Sexta","Sábado","Domingo"))</f>
        <v/>
      </c>
      <c r="AD1206" s="17">
        <f>IF($B1206="","",TEXT($B1206,"MM/AAAA"))</f>
        <v/>
      </c>
      <c r="AE1206" s="18">
        <f>IF(COUNTA($B1206:$R1206)=0,"",IF($X1206="Cancelado",0,ROUND(N($Q1206)+N($S1206)+N($T1206)-N($U1206),2)))</f>
        <v/>
      </c>
      <c r="AF1206" s="9">
        <f>IF($G1206="","",IFERROR(INDEX(LINHAS_DRE_PLANO,MATCH($G1206,SUBCATEGORIAS_PLANO,0)),"Não classificado"))</f>
        <v/>
      </c>
      <c r="AG1206" s="17">
        <f>IF($G1206="","",IFERROR(INDEX(TIPOS_FLUXO_PLANO,MATCH($G1206,SUBCATEGORIAS_PLANO,0)),"Não classificado"))</f>
        <v/>
      </c>
      <c r="AH1206" s="9">
        <f>IF($G1206="","",IFERROR(INDEX(GRUPOS_PLANO,MATCH($G1206,SUBCATEGORIAS_PLANO,0)),"Não classificado"))</f>
        <v/>
      </c>
      <c r="AI1206" s="24">
        <f>IF(OR($C1206="",$X1206="Pago",$X1206="Recebido",$X1206="Cancelado"),"",$C1206-TODAY())</f>
        <v/>
      </c>
      <c r="AJ1206" s="24">
        <f>IF(OR($C1206="",$X1206="Pago",$X1206="Recebido",$X1206="Cancelado"),0,MAX(0,TODAY()-$C1206))</f>
        <v/>
      </c>
      <c r="AK1206" s="24">
        <f>IF($D1206="","",$D1206-$B1206)</f>
        <v/>
      </c>
      <c r="AL1206" s="18">
        <f>IF(OR($D1206="",$B1206=""),"",ROUND(N($R1206)*($D1206-$B1206),2))</f>
        <v/>
      </c>
      <c r="AM1206" s="17">
        <f>IF(AND($E1206="Saída",$W1206&gt;0,$C1206&lt;&gt;""),$C1206+ROW()/1000000,"")</f>
        <v/>
      </c>
      <c r="AN1206" s="17">
        <f>IF(AND($E1206="Entrada",$W1206&gt;0,$C1206&lt;&gt;""),$C1206+ROW()/1000000,"")</f>
        <v/>
      </c>
      <c r="AO1206" s="9">
        <f>IF(COUNTA($B1206:$R1206)=0,"",IF(AND($I1206&lt;&gt;"",COUNTIF(CLIENTES_NOMES,$I1206)+COUNTIF(CLIENTES_FANTASIA,$I1206)+COUNTIF(FORNECEDORES_NOMES,$I1206)+COUNTIF(FORNECEDORES_FANTASIA,$I1206)=0),"⚠ Cliente/Fornecedor não cadastrado",IF(AND($G1206&lt;&gt;"",COUNTIF(SUBCATEGORIAS_PLANO,$G1206)=0),"⚠ Subcategoria fora do plano de contas",IF(OR($Q1206="",N($Q1206)=0),"⚠ Valor previsto não informado",IF(AND(OR($X1206="Pago",$X1206="Recebido"),$D1206=""),"⚠ Status pago/recebido sem data",IF(AND($D1206&lt;&gt;"",N($R1206)=0),"⚠ Data de pagamento sem valor realizado",IF(AND(N($P1206)&gt;1,N($O1206)&gt;N($P1206)),"⚠ Nº da parcela maior que o total",IF(AND($C1206&lt;&gt;"",$B1206&lt;&gt;"",$C1206&lt;$B1206),"⚠ Vencimento anterior à competência","OK"))))))))</f>
        <v/>
      </c>
    </row>
    <row r="1207">
      <c r="A1207" s="14" t="n"/>
      <c r="B1207" s="36" t="n"/>
      <c r="C1207" s="36" t="n"/>
      <c r="D1207" s="36" t="n"/>
      <c r="E1207" s="14" t="n"/>
      <c r="F1207" s="29" t="n"/>
      <c r="G1207" s="29" t="n"/>
      <c r="H1207" s="29" t="n"/>
      <c r="I1207" s="29" t="n"/>
      <c r="J1207" s="29" t="n"/>
      <c r="K1207" s="14" t="n"/>
      <c r="L1207" s="29" t="n"/>
      <c r="M1207" s="14" t="n"/>
      <c r="N1207" s="29" t="n"/>
      <c r="O1207" s="13" t="n"/>
      <c r="P1207" s="13" t="n"/>
      <c r="Q1207" s="35" t="n"/>
      <c r="R1207" s="35" t="n"/>
      <c r="S1207" s="35" t="n"/>
      <c r="T1207" s="35" t="n"/>
      <c r="U1207" s="35" t="n"/>
      <c r="V1207" s="18">
        <f>IF(COUNTA($B1207:$R1207)=0,"",ROUND(N($R1207)+N($S1207)+N($T1207)-N($U1207),2))</f>
        <v/>
      </c>
      <c r="W1207" s="18">
        <f>IF(COUNTA($B1207:$R1207)=0,"",IF(OR($X1207="Pago",$X1207="Recebido",$X1207="Cancelado"),0,ROUND(N($Q1207)+N($S1207)+N($T1207)-N($U1207)-N($R1207),2)))</f>
        <v/>
      </c>
      <c r="X1207" s="14" t="n"/>
      <c r="Y1207" s="17">
        <f>IF(COUNTA($B1207:$R1207)=0,"",IF($X1207="Cancelado","Cancelado",IF(OR($X1207="Pago",$X1207="Recebido"),$X1207,IF(OR($X1207="Parcial",N($R1207)&gt;0),"Parcial",IF($C1207="","Sem vencimento",IF($C1207&lt;TODAY(),"Vencido",IF($C1207=TODAY(),"Vence hoje",IF($C1207&lt;=TODAY()+7,"Vence em 7 dias",IF($C1207&lt;=TODAY()+30,"Vence em 30 dias","Futuro")))))))))</f>
        <v/>
      </c>
      <c r="Z1207" s="24">
        <f>IF($B1207="","",MONTH($B1207))</f>
        <v/>
      </c>
      <c r="AA1207" s="24">
        <f>IF($B1207="","",YEAR($B1207))</f>
        <v/>
      </c>
      <c r="AB1207" s="24">
        <f>IF($B1207="","",ISOWEEKNUM($B1207))</f>
        <v/>
      </c>
      <c r="AC1207" s="17">
        <f>IF($B1207="","",CHOOSE(WEEKDAY($B1207,2),"Segunda","Terça","Quarta","Quinta","Sexta","Sábado","Domingo"))</f>
        <v/>
      </c>
      <c r="AD1207" s="17">
        <f>IF($B1207="","",TEXT($B1207,"MM/AAAA"))</f>
        <v/>
      </c>
      <c r="AE1207" s="18">
        <f>IF(COUNTA($B1207:$R1207)=0,"",IF($X1207="Cancelado",0,ROUND(N($Q1207)+N($S1207)+N($T1207)-N($U1207),2)))</f>
        <v/>
      </c>
      <c r="AF1207" s="9">
        <f>IF($G1207="","",IFERROR(INDEX(LINHAS_DRE_PLANO,MATCH($G1207,SUBCATEGORIAS_PLANO,0)),"Não classificado"))</f>
        <v/>
      </c>
      <c r="AG1207" s="17">
        <f>IF($G1207="","",IFERROR(INDEX(TIPOS_FLUXO_PLANO,MATCH($G1207,SUBCATEGORIAS_PLANO,0)),"Não classificado"))</f>
        <v/>
      </c>
      <c r="AH1207" s="9">
        <f>IF($G1207="","",IFERROR(INDEX(GRUPOS_PLANO,MATCH($G1207,SUBCATEGORIAS_PLANO,0)),"Não classificado"))</f>
        <v/>
      </c>
      <c r="AI1207" s="24">
        <f>IF(OR($C1207="",$X1207="Pago",$X1207="Recebido",$X1207="Cancelado"),"",$C1207-TODAY())</f>
        <v/>
      </c>
      <c r="AJ1207" s="24">
        <f>IF(OR($C1207="",$X1207="Pago",$X1207="Recebido",$X1207="Cancelado"),0,MAX(0,TODAY()-$C1207))</f>
        <v/>
      </c>
      <c r="AK1207" s="24">
        <f>IF($D1207="","",$D1207-$B1207)</f>
        <v/>
      </c>
      <c r="AL1207" s="18">
        <f>IF(OR($D1207="",$B1207=""),"",ROUND(N($R1207)*($D1207-$B1207),2))</f>
        <v/>
      </c>
      <c r="AM1207" s="17">
        <f>IF(AND($E1207="Saída",$W1207&gt;0,$C1207&lt;&gt;""),$C1207+ROW()/1000000,"")</f>
        <v/>
      </c>
      <c r="AN1207" s="17">
        <f>IF(AND($E1207="Entrada",$W1207&gt;0,$C1207&lt;&gt;""),$C1207+ROW()/1000000,"")</f>
        <v/>
      </c>
      <c r="AO1207" s="9">
        <f>IF(COUNTA($B1207:$R1207)=0,"",IF(AND($I1207&lt;&gt;"",COUNTIF(CLIENTES_NOMES,$I1207)+COUNTIF(CLIENTES_FANTASIA,$I1207)+COUNTIF(FORNECEDORES_NOMES,$I1207)+COUNTIF(FORNECEDORES_FANTASIA,$I1207)=0),"⚠ Cliente/Fornecedor não cadastrado",IF(AND($G1207&lt;&gt;"",COUNTIF(SUBCATEGORIAS_PLANO,$G1207)=0),"⚠ Subcategoria fora do plano de contas",IF(OR($Q1207="",N($Q1207)=0),"⚠ Valor previsto não informado",IF(AND(OR($X1207="Pago",$X1207="Recebido"),$D1207=""),"⚠ Status pago/recebido sem data",IF(AND($D1207&lt;&gt;"",N($R1207)=0),"⚠ Data de pagamento sem valor realizado",IF(AND(N($P1207)&gt;1,N($O1207)&gt;N($P1207)),"⚠ Nº da parcela maior que o total",IF(AND($C1207&lt;&gt;"",$B1207&lt;&gt;"",$C1207&lt;$B1207),"⚠ Vencimento anterior à competência","OK"))))))))</f>
        <v/>
      </c>
    </row>
    <row r="1208">
      <c r="A1208" s="14" t="n"/>
      <c r="B1208" s="36" t="n"/>
      <c r="C1208" s="36" t="n"/>
      <c r="D1208" s="36" t="n"/>
      <c r="E1208" s="14" t="n"/>
      <c r="F1208" s="29" t="n"/>
      <c r="G1208" s="29" t="n"/>
      <c r="H1208" s="29" t="n"/>
      <c r="I1208" s="29" t="n"/>
      <c r="J1208" s="29" t="n"/>
      <c r="K1208" s="14" t="n"/>
      <c r="L1208" s="29" t="n"/>
      <c r="M1208" s="14" t="n"/>
      <c r="N1208" s="29" t="n"/>
      <c r="O1208" s="13" t="n"/>
      <c r="P1208" s="13" t="n"/>
      <c r="Q1208" s="35" t="n"/>
      <c r="R1208" s="35" t="n"/>
      <c r="S1208" s="35" t="n"/>
      <c r="T1208" s="35" t="n"/>
      <c r="U1208" s="35" t="n"/>
      <c r="V1208" s="18">
        <f>IF(COUNTA($B1208:$R1208)=0,"",ROUND(N($R1208)+N($S1208)+N($T1208)-N($U1208),2))</f>
        <v/>
      </c>
      <c r="W1208" s="18">
        <f>IF(COUNTA($B1208:$R1208)=0,"",IF(OR($X1208="Pago",$X1208="Recebido",$X1208="Cancelado"),0,ROUND(N($Q1208)+N($S1208)+N($T1208)-N($U1208)-N($R1208),2)))</f>
        <v/>
      </c>
      <c r="X1208" s="14" t="n"/>
      <c r="Y1208" s="17">
        <f>IF(COUNTA($B1208:$R1208)=0,"",IF($X1208="Cancelado","Cancelado",IF(OR($X1208="Pago",$X1208="Recebido"),$X1208,IF(OR($X1208="Parcial",N($R1208)&gt;0),"Parcial",IF($C1208="","Sem vencimento",IF($C1208&lt;TODAY(),"Vencido",IF($C1208=TODAY(),"Vence hoje",IF($C1208&lt;=TODAY()+7,"Vence em 7 dias",IF($C1208&lt;=TODAY()+30,"Vence em 30 dias","Futuro")))))))))</f>
        <v/>
      </c>
      <c r="Z1208" s="24">
        <f>IF($B1208="","",MONTH($B1208))</f>
        <v/>
      </c>
      <c r="AA1208" s="24">
        <f>IF($B1208="","",YEAR($B1208))</f>
        <v/>
      </c>
      <c r="AB1208" s="24">
        <f>IF($B1208="","",ISOWEEKNUM($B1208))</f>
        <v/>
      </c>
      <c r="AC1208" s="17">
        <f>IF($B1208="","",CHOOSE(WEEKDAY($B1208,2),"Segunda","Terça","Quarta","Quinta","Sexta","Sábado","Domingo"))</f>
        <v/>
      </c>
      <c r="AD1208" s="17">
        <f>IF($B1208="","",TEXT($B1208,"MM/AAAA"))</f>
        <v/>
      </c>
      <c r="AE1208" s="18">
        <f>IF(COUNTA($B1208:$R1208)=0,"",IF($X1208="Cancelado",0,ROUND(N($Q1208)+N($S1208)+N($T1208)-N($U1208),2)))</f>
        <v/>
      </c>
      <c r="AF1208" s="9">
        <f>IF($G1208="","",IFERROR(INDEX(LINHAS_DRE_PLANO,MATCH($G1208,SUBCATEGORIAS_PLANO,0)),"Não classificado"))</f>
        <v/>
      </c>
      <c r="AG1208" s="17">
        <f>IF($G1208="","",IFERROR(INDEX(TIPOS_FLUXO_PLANO,MATCH($G1208,SUBCATEGORIAS_PLANO,0)),"Não classificado"))</f>
        <v/>
      </c>
      <c r="AH1208" s="9">
        <f>IF($G1208="","",IFERROR(INDEX(GRUPOS_PLANO,MATCH($G1208,SUBCATEGORIAS_PLANO,0)),"Não classificado"))</f>
        <v/>
      </c>
      <c r="AI1208" s="24">
        <f>IF(OR($C1208="",$X1208="Pago",$X1208="Recebido",$X1208="Cancelado"),"",$C1208-TODAY())</f>
        <v/>
      </c>
      <c r="AJ1208" s="24">
        <f>IF(OR($C1208="",$X1208="Pago",$X1208="Recebido",$X1208="Cancelado"),0,MAX(0,TODAY()-$C1208))</f>
        <v/>
      </c>
      <c r="AK1208" s="24">
        <f>IF($D1208="","",$D1208-$B1208)</f>
        <v/>
      </c>
      <c r="AL1208" s="18">
        <f>IF(OR($D1208="",$B1208=""),"",ROUND(N($R1208)*($D1208-$B1208),2))</f>
        <v/>
      </c>
      <c r="AM1208" s="17">
        <f>IF(AND($E1208="Saída",$W1208&gt;0,$C1208&lt;&gt;""),$C1208+ROW()/1000000,"")</f>
        <v/>
      </c>
      <c r="AN1208" s="17">
        <f>IF(AND($E1208="Entrada",$W1208&gt;0,$C1208&lt;&gt;""),$C1208+ROW()/1000000,"")</f>
        <v/>
      </c>
      <c r="AO1208" s="9">
        <f>IF(COUNTA($B1208:$R1208)=0,"",IF(AND($I1208&lt;&gt;"",COUNTIF(CLIENTES_NOMES,$I1208)+COUNTIF(CLIENTES_FANTASIA,$I1208)+COUNTIF(FORNECEDORES_NOMES,$I1208)+COUNTIF(FORNECEDORES_FANTASIA,$I1208)=0),"⚠ Cliente/Fornecedor não cadastrado",IF(AND($G1208&lt;&gt;"",COUNTIF(SUBCATEGORIAS_PLANO,$G1208)=0),"⚠ Subcategoria fora do plano de contas",IF(OR($Q1208="",N($Q1208)=0),"⚠ Valor previsto não informado",IF(AND(OR($X1208="Pago",$X1208="Recebido"),$D1208=""),"⚠ Status pago/recebido sem data",IF(AND($D1208&lt;&gt;"",N($R1208)=0),"⚠ Data de pagamento sem valor realizado",IF(AND(N($P1208)&gt;1,N($O1208)&gt;N($P1208)),"⚠ Nº da parcela maior que o total",IF(AND($C1208&lt;&gt;"",$B1208&lt;&gt;"",$C1208&lt;$B1208),"⚠ Vencimento anterior à competência","OK"))))))))</f>
        <v/>
      </c>
    </row>
    <row r="1209">
      <c r="A1209" s="14" t="n"/>
      <c r="B1209" s="36" t="n"/>
      <c r="C1209" s="36" t="n"/>
      <c r="D1209" s="36" t="n"/>
      <c r="E1209" s="14" t="n"/>
      <c r="F1209" s="29" t="n"/>
      <c r="G1209" s="29" t="n"/>
      <c r="H1209" s="29" t="n"/>
      <c r="I1209" s="29" t="n"/>
      <c r="J1209" s="29" t="n"/>
      <c r="K1209" s="14" t="n"/>
      <c r="L1209" s="29" t="n"/>
      <c r="M1209" s="14" t="n"/>
      <c r="N1209" s="29" t="n"/>
      <c r="O1209" s="13" t="n"/>
      <c r="P1209" s="13" t="n"/>
      <c r="Q1209" s="35" t="n"/>
      <c r="R1209" s="35" t="n"/>
      <c r="S1209" s="35" t="n"/>
      <c r="T1209" s="35" t="n"/>
      <c r="U1209" s="35" t="n"/>
      <c r="V1209" s="18">
        <f>IF(COUNTA($B1209:$R1209)=0,"",ROUND(N($R1209)+N($S1209)+N($T1209)-N($U1209),2))</f>
        <v/>
      </c>
      <c r="W1209" s="18">
        <f>IF(COUNTA($B1209:$R1209)=0,"",IF(OR($X1209="Pago",$X1209="Recebido",$X1209="Cancelado"),0,ROUND(N($Q1209)+N($S1209)+N($T1209)-N($U1209)-N($R1209),2)))</f>
        <v/>
      </c>
      <c r="X1209" s="14" t="n"/>
      <c r="Y1209" s="17">
        <f>IF(COUNTA($B1209:$R1209)=0,"",IF($X1209="Cancelado","Cancelado",IF(OR($X1209="Pago",$X1209="Recebido"),$X1209,IF(OR($X1209="Parcial",N($R1209)&gt;0),"Parcial",IF($C1209="","Sem vencimento",IF($C1209&lt;TODAY(),"Vencido",IF($C1209=TODAY(),"Vence hoje",IF($C1209&lt;=TODAY()+7,"Vence em 7 dias",IF($C1209&lt;=TODAY()+30,"Vence em 30 dias","Futuro")))))))))</f>
        <v/>
      </c>
      <c r="Z1209" s="24">
        <f>IF($B1209="","",MONTH($B1209))</f>
        <v/>
      </c>
      <c r="AA1209" s="24">
        <f>IF($B1209="","",YEAR($B1209))</f>
        <v/>
      </c>
      <c r="AB1209" s="24">
        <f>IF($B1209="","",ISOWEEKNUM($B1209))</f>
        <v/>
      </c>
      <c r="AC1209" s="17">
        <f>IF($B1209="","",CHOOSE(WEEKDAY($B1209,2),"Segunda","Terça","Quarta","Quinta","Sexta","Sábado","Domingo"))</f>
        <v/>
      </c>
      <c r="AD1209" s="17">
        <f>IF($B1209="","",TEXT($B1209,"MM/AAAA"))</f>
        <v/>
      </c>
      <c r="AE1209" s="18">
        <f>IF(COUNTA($B1209:$R1209)=0,"",IF($X1209="Cancelado",0,ROUND(N($Q1209)+N($S1209)+N($T1209)-N($U1209),2)))</f>
        <v/>
      </c>
      <c r="AF1209" s="9">
        <f>IF($G1209="","",IFERROR(INDEX(LINHAS_DRE_PLANO,MATCH($G1209,SUBCATEGORIAS_PLANO,0)),"Não classificado"))</f>
        <v/>
      </c>
      <c r="AG1209" s="17">
        <f>IF($G1209="","",IFERROR(INDEX(TIPOS_FLUXO_PLANO,MATCH($G1209,SUBCATEGORIAS_PLANO,0)),"Não classificado"))</f>
        <v/>
      </c>
      <c r="AH1209" s="9">
        <f>IF($G1209="","",IFERROR(INDEX(GRUPOS_PLANO,MATCH($G1209,SUBCATEGORIAS_PLANO,0)),"Não classificado"))</f>
        <v/>
      </c>
      <c r="AI1209" s="24">
        <f>IF(OR($C1209="",$X1209="Pago",$X1209="Recebido",$X1209="Cancelado"),"",$C1209-TODAY())</f>
        <v/>
      </c>
      <c r="AJ1209" s="24">
        <f>IF(OR($C1209="",$X1209="Pago",$X1209="Recebido",$X1209="Cancelado"),0,MAX(0,TODAY()-$C1209))</f>
        <v/>
      </c>
      <c r="AK1209" s="24">
        <f>IF($D1209="","",$D1209-$B1209)</f>
        <v/>
      </c>
      <c r="AL1209" s="18">
        <f>IF(OR($D1209="",$B1209=""),"",ROUND(N($R1209)*($D1209-$B1209),2))</f>
        <v/>
      </c>
      <c r="AM1209" s="17">
        <f>IF(AND($E1209="Saída",$W1209&gt;0,$C1209&lt;&gt;""),$C1209+ROW()/1000000,"")</f>
        <v/>
      </c>
      <c r="AN1209" s="17">
        <f>IF(AND($E1209="Entrada",$W1209&gt;0,$C1209&lt;&gt;""),$C1209+ROW()/1000000,"")</f>
        <v/>
      </c>
      <c r="AO1209" s="9">
        <f>IF(COUNTA($B1209:$R1209)=0,"",IF(AND($I1209&lt;&gt;"",COUNTIF(CLIENTES_NOMES,$I1209)+COUNTIF(CLIENTES_FANTASIA,$I1209)+COUNTIF(FORNECEDORES_NOMES,$I1209)+COUNTIF(FORNECEDORES_FANTASIA,$I1209)=0),"⚠ Cliente/Fornecedor não cadastrado",IF(AND($G1209&lt;&gt;"",COUNTIF(SUBCATEGORIAS_PLANO,$G1209)=0),"⚠ Subcategoria fora do plano de contas",IF(OR($Q1209="",N($Q1209)=0),"⚠ Valor previsto não informado",IF(AND(OR($X1209="Pago",$X1209="Recebido"),$D1209=""),"⚠ Status pago/recebido sem data",IF(AND($D1209&lt;&gt;"",N($R1209)=0),"⚠ Data de pagamento sem valor realizado",IF(AND(N($P1209)&gt;1,N($O1209)&gt;N($P1209)),"⚠ Nº da parcela maior que o total",IF(AND($C1209&lt;&gt;"",$B1209&lt;&gt;"",$C1209&lt;$B1209),"⚠ Vencimento anterior à competência","OK"))))))))</f>
        <v/>
      </c>
    </row>
    <row r="1210">
      <c r="A1210" s="14" t="n"/>
      <c r="B1210" s="36" t="n"/>
      <c r="C1210" s="36" t="n"/>
      <c r="D1210" s="36" t="n"/>
      <c r="E1210" s="14" t="n"/>
      <c r="F1210" s="29" t="n"/>
      <c r="G1210" s="29" t="n"/>
      <c r="H1210" s="29" t="n"/>
      <c r="I1210" s="29" t="n"/>
      <c r="J1210" s="29" t="n"/>
      <c r="K1210" s="14" t="n"/>
      <c r="L1210" s="29" t="n"/>
      <c r="M1210" s="14" t="n"/>
      <c r="N1210" s="29" t="n"/>
      <c r="O1210" s="13" t="n"/>
      <c r="P1210" s="13" t="n"/>
      <c r="Q1210" s="35" t="n"/>
      <c r="R1210" s="35" t="n"/>
      <c r="S1210" s="35" t="n"/>
      <c r="T1210" s="35" t="n"/>
      <c r="U1210" s="35" t="n"/>
      <c r="V1210" s="18">
        <f>IF(COUNTA($B1210:$R1210)=0,"",ROUND(N($R1210)+N($S1210)+N($T1210)-N($U1210),2))</f>
        <v/>
      </c>
      <c r="W1210" s="18">
        <f>IF(COUNTA($B1210:$R1210)=0,"",IF(OR($X1210="Pago",$X1210="Recebido",$X1210="Cancelado"),0,ROUND(N($Q1210)+N($S1210)+N($T1210)-N($U1210)-N($R1210),2)))</f>
        <v/>
      </c>
      <c r="X1210" s="14" t="n"/>
      <c r="Y1210" s="17">
        <f>IF(COUNTA($B1210:$R1210)=0,"",IF($X1210="Cancelado","Cancelado",IF(OR($X1210="Pago",$X1210="Recebido"),$X1210,IF(OR($X1210="Parcial",N($R1210)&gt;0),"Parcial",IF($C1210="","Sem vencimento",IF($C1210&lt;TODAY(),"Vencido",IF($C1210=TODAY(),"Vence hoje",IF($C1210&lt;=TODAY()+7,"Vence em 7 dias",IF($C1210&lt;=TODAY()+30,"Vence em 30 dias","Futuro")))))))))</f>
        <v/>
      </c>
      <c r="Z1210" s="24">
        <f>IF($B1210="","",MONTH($B1210))</f>
        <v/>
      </c>
      <c r="AA1210" s="24">
        <f>IF($B1210="","",YEAR($B1210))</f>
        <v/>
      </c>
      <c r="AB1210" s="24">
        <f>IF($B1210="","",ISOWEEKNUM($B1210))</f>
        <v/>
      </c>
      <c r="AC1210" s="17">
        <f>IF($B1210="","",CHOOSE(WEEKDAY($B1210,2),"Segunda","Terça","Quarta","Quinta","Sexta","Sábado","Domingo"))</f>
        <v/>
      </c>
      <c r="AD1210" s="17">
        <f>IF($B1210="","",TEXT($B1210,"MM/AAAA"))</f>
        <v/>
      </c>
      <c r="AE1210" s="18">
        <f>IF(COUNTA($B1210:$R1210)=0,"",IF($X1210="Cancelado",0,ROUND(N($Q1210)+N($S1210)+N($T1210)-N($U1210),2)))</f>
        <v/>
      </c>
      <c r="AF1210" s="9">
        <f>IF($G1210="","",IFERROR(INDEX(LINHAS_DRE_PLANO,MATCH($G1210,SUBCATEGORIAS_PLANO,0)),"Não classificado"))</f>
        <v/>
      </c>
      <c r="AG1210" s="17">
        <f>IF($G1210="","",IFERROR(INDEX(TIPOS_FLUXO_PLANO,MATCH($G1210,SUBCATEGORIAS_PLANO,0)),"Não classificado"))</f>
        <v/>
      </c>
      <c r="AH1210" s="9">
        <f>IF($G1210="","",IFERROR(INDEX(GRUPOS_PLANO,MATCH($G1210,SUBCATEGORIAS_PLANO,0)),"Não classificado"))</f>
        <v/>
      </c>
      <c r="AI1210" s="24">
        <f>IF(OR($C1210="",$X1210="Pago",$X1210="Recebido",$X1210="Cancelado"),"",$C1210-TODAY())</f>
        <v/>
      </c>
      <c r="AJ1210" s="24">
        <f>IF(OR($C1210="",$X1210="Pago",$X1210="Recebido",$X1210="Cancelado"),0,MAX(0,TODAY()-$C1210))</f>
        <v/>
      </c>
      <c r="AK1210" s="24">
        <f>IF($D1210="","",$D1210-$B1210)</f>
        <v/>
      </c>
      <c r="AL1210" s="18">
        <f>IF(OR($D1210="",$B1210=""),"",ROUND(N($R1210)*($D1210-$B1210),2))</f>
        <v/>
      </c>
      <c r="AM1210" s="17">
        <f>IF(AND($E1210="Saída",$W1210&gt;0,$C1210&lt;&gt;""),$C1210+ROW()/1000000,"")</f>
        <v/>
      </c>
      <c r="AN1210" s="17">
        <f>IF(AND($E1210="Entrada",$W1210&gt;0,$C1210&lt;&gt;""),$C1210+ROW()/1000000,"")</f>
        <v/>
      </c>
      <c r="AO1210" s="9">
        <f>IF(COUNTA($B1210:$R1210)=0,"",IF(AND($I1210&lt;&gt;"",COUNTIF(CLIENTES_NOMES,$I1210)+COUNTIF(CLIENTES_FANTASIA,$I1210)+COUNTIF(FORNECEDORES_NOMES,$I1210)+COUNTIF(FORNECEDORES_FANTASIA,$I1210)=0),"⚠ Cliente/Fornecedor não cadastrado",IF(AND($G1210&lt;&gt;"",COUNTIF(SUBCATEGORIAS_PLANO,$G1210)=0),"⚠ Subcategoria fora do plano de contas",IF(OR($Q1210="",N($Q1210)=0),"⚠ Valor previsto não informado",IF(AND(OR($X1210="Pago",$X1210="Recebido"),$D1210=""),"⚠ Status pago/recebido sem data",IF(AND($D1210&lt;&gt;"",N($R1210)=0),"⚠ Data de pagamento sem valor realizado",IF(AND(N($P1210)&gt;1,N($O1210)&gt;N($P1210)),"⚠ Nº da parcela maior que o total",IF(AND($C1210&lt;&gt;"",$B1210&lt;&gt;"",$C1210&lt;$B1210),"⚠ Vencimento anterior à competência","OK"))))))))</f>
        <v/>
      </c>
    </row>
    <row r="1211">
      <c r="A1211" s="14" t="n"/>
      <c r="B1211" s="36" t="n"/>
      <c r="C1211" s="36" t="n"/>
      <c r="D1211" s="36" t="n"/>
      <c r="E1211" s="14" t="n"/>
      <c r="F1211" s="29" t="n"/>
      <c r="G1211" s="29" t="n"/>
      <c r="H1211" s="29" t="n"/>
      <c r="I1211" s="29" t="n"/>
      <c r="J1211" s="29" t="n"/>
      <c r="K1211" s="14" t="n"/>
      <c r="L1211" s="29" t="n"/>
      <c r="M1211" s="14" t="n"/>
      <c r="N1211" s="29" t="n"/>
      <c r="O1211" s="13" t="n"/>
      <c r="P1211" s="13" t="n"/>
      <c r="Q1211" s="35" t="n"/>
      <c r="R1211" s="35" t="n"/>
      <c r="S1211" s="35" t="n"/>
      <c r="T1211" s="35" t="n"/>
      <c r="U1211" s="35" t="n"/>
      <c r="V1211" s="18">
        <f>IF(COUNTA($B1211:$R1211)=0,"",ROUND(N($R1211)+N($S1211)+N($T1211)-N($U1211),2))</f>
        <v/>
      </c>
      <c r="W1211" s="18">
        <f>IF(COUNTA($B1211:$R1211)=0,"",IF(OR($X1211="Pago",$X1211="Recebido",$X1211="Cancelado"),0,ROUND(N($Q1211)+N($S1211)+N($T1211)-N($U1211)-N($R1211),2)))</f>
        <v/>
      </c>
      <c r="X1211" s="14" t="n"/>
      <c r="Y1211" s="17">
        <f>IF(COUNTA($B1211:$R1211)=0,"",IF($X1211="Cancelado","Cancelado",IF(OR($X1211="Pago",$X1211="Recebido"),$X1211,IF(OR($X1211="Parcial",N($R1211)&gt;0),"Parcial",IF($C1211="","Sem vencimento",IF($C1211&lt;TODAY(),"Vencido",IF($C1211=TODAY(),"Vence hoje",IF($C1211&lt;=TODAY()+7,"Vence em 7 dias",IF($C1211&lt;=TODAY()+30,"Vence em 30 dias","Futuro")))))))))</f>
        <v/>
      </c>
      <c r="Z1211" s="24">
        <f>IF($B1211="","",MONTH($B1211))</f>
        <v/>
      </c>
      <c r="AA1211" s="24">
        <f>IF($B1211="","",YEAR($B1211))</f>
        <v/>
      </c>
      <c r="AB1211" s="24">
        <f>IF($B1211="","",ISOWEEKNUM($B1211))</f>
        <v/>
      </c>
      <c r="AC1211" s="17">
        <f>IF($B1211="","",CHOOSE(WEEKDAY($B1211,2),"Segunda","Terça","Quarta","Quinta","Sexta","Sábado","Domingo"))</f>
        <v/>
      </c>
      <c r="AD1211" s="17">
        <f>IF($B1211="","",TEXT($B1211,"MM/AAAA"))</f>
        <v/>
      </c>
      <c r="AE1211" s="18">
        <f>IF(COUNTA($B1211:$R1211)=0,"",IF($X1211="Cancelado",0,ROUND(N($Q1211)+N($S1211)+N($T1211)-N($U1211),2)))</f>
        <v/>
      </c>
      <c r="AF1211" s="9">
        <f>IF($G1211="","",IFERROR(INDEX(LINHAS_DRE_PLANO,MATCH($G1211,SUBCATEGORIAS_PLANO,0)),"Não classificado"))</f>
        <v/>
      </c>
      <c r="AG1211" s="17">
        <f>IF($G1211="","",IFERROR(INDEX(TIPOS_FLUXO_PLANO,MATCH($G1211,SUBCATEGORIAS_PLANO,0)),"Não classificado"))</f>
        <v/>
      </c>
      <c r="AH1211" s="9">
        <f>IF($G1211="","",IFERROR(INDEX(GRUPOS_PLANO,MATCH($G1211,SUBCATEGORIAS_PLANO,0)),"Não classificado"))</f>
        <v/>
      </c>
      <c r="AI1211" s="24">
        <f>IF(OR($C1211="",$X1211="Pago",$X1211="Recebido",$X1211="Cancelado"),"",$C1211-TODAY())</f>
        <v/>
      </c>
      <c r="AJ1211" s="24">
        <f>IF(OR($C1211="",$X1211="Pago",$X1211="Recebido",$X1211="Cancelado"),0,MAX(0,TODAY()-$C1211))</f>
        <v/>
      </c>
      <c r="AK1211" s="24">
        <f>IF($D1211="","",$D1211-$B1211)</f>
        <v/>
      </c>
      <c r="AL1211" s="18">
        <f>IF(OR($D1211="",$B1211=""),"",ROUND(N($R1211)*($D1211-$B1211),2))</f>
        <v/>
      </c>
      <c r="AM1211" s="17">
        <f>IF(AND($E1211="Saída",$W1211&gt;0,$C1211&lt;&gt;""),$C1211+ROW()/1000000,"")</f>
        <v/>
      </c>
      <c r="AN1211" s="17">
        <f>IF(AND($E1211="Entrada",$W1211&gt;0,$C1211&lt;&gt;""),$C1211+ROW()/1000000,"")</f>
        <v/>
      </c>
      <c r="AO1211" s="9">
        <f>IF(COUNTA($B1211:$R1211)=0,"",IF(AND($I1211&lt;&gt;"",COUNTIF(CLIENTES_NOMES,$I1211)+COUNTIF(CLIENTES_FANTASIA,$I1211)+COUNTIF(FORNECEDORES_NOMES,$I1211)+COUNTIF(FORNECEDORES_FANTASIA,$I1211)=0),"⚠ Cliente/Fornecedor não cadastrado",IF(AND($G1211&lt;&gt;"",COUNTIF(SUBCATEGORIAS_PLANO,$G1211)=0),"⚠ Subcategoria fora do plano de contas",IF(OR($Q1211="",N($Q1211)=0),"⚠ Valor previsto não informado",IF(AND(OR($X1211="Pago",$X1211="Recebido"),$D1211=""),"⚠ Status pago/recebido sem data",IF(AND($D1211&lt;&gt;"",N($R1211)=0),"⚠ Data de pagamento sem valor realizado",IF(AND(N($P1211)&gt;1,N($O1211)&gt;N($P1211)),"⚠ Nº da parcela maior que o total",IF(AND($C1211&lt;&gt;"",$B1211&lt;&gt;"",$C1211&lt;$B1211),"⚠ Vencimento anterior à competência","OK"))))))))</f>
        <v/>
      </c>
    </row>
    <row r="1212">
      <c r="A1212" s="14" t="n"/>
      <c r="B1212" s="36" t="n"/>
      <c r="C1212" s="36" t="n"/>
      <c r="D1212" s="36" t="n"/>
      <c r="E1212" s="14" t="n"/>
      <c r="F1212" s="29" t="n"/>
      <c r="G1212" s="29" t="n"/>
      <c r="H1212" s="29" t="n"/>
      <c r="I1212" s="29" t="n"/>
      <c r="J1212" s="29" t="n"/>
      <c r="K1212" s="14" t="n"/>
      <c r="L1212" s="29" t="n"/>
      <c r="M1212" s="14" t="n"/>
      <c r="N1212" s="29" t="n"/>
      <c r="O1212" s="13" t="n"/>
      <c r="P1212" s="13" t="n"/>
      <c r="Q1212" s="35" t="n"/>
      <c r="R1212" s="35" t="n"/>
      <c r="S1212" s="35" t="n"/>
      <c r="T1212" s="35" t="n"/>
      <c r="U1212" s="35" t="n"/>
      <c r="V1212" s="18">
        <f>IF(COUNTA($B1212:$R1212)=0,"",ROUND(N($R1212)+N($S1212)+N($T1212)-N($U1212),2))</f>
        <v/>
      </c>
      <c r="W1212" s="18">
        <f>IF(COUNTA($B1212:$R1212)=0,"",IF(OR($X1212="Pago",$X1212="Recebido",$X1212="Cancelado"),0,ROUND(N($Q1212)+N($S1212)+N($T1212)-N($U1212)-N($R1212),2)))</f>
        <v/>
      </c>
      <c r="X1212" s="14" t="n"/>
      <c r="Y1212" s="17">
        <f>IF(COUNTA($B1212:$R1212)=0,"",IF($X1212="Cancelado","Cancelado",IF(OR($X1212="Pago",$X1212="Recebido"),$X1212,IF(OR($X1212="Parcial",N($R1212)&gt;0),"Parcial",IF($C1212="","Sem vencimento",IF($C1212&lt;TODAY(),"Vencido",IF($C1212=TODAY(),"Vence hoje",IF($C1212&lt;=TODAY()+7,"Vence em 7 dias",IF($C1212&lt;=TODAY()+30,"Vence em 30 dias","Futuro")))))))))</f>
        <v/>
      </c>
      <c r="Z1212" s="24">
        <f>IF($B1212="","",MONTH($B1212))</f>
        <v/>
      </c>
      <c r="AA1212" s="24">
        <f>IF($B1212="","",YEAR($B1212))</f>
        <v/>
      </c>
      <c r="AB1212" s="24">
        <f>IF($B1212="","",ISOWEEKNUM($B1212))</f>
        <v/>
      </c>
      <c r="AC1212" s="17">
        <f>IF($B1212="","",CHOOSE(WEEKDAY($B1212,2),"Segunda","Terça","Quarta","Quinta","Sexta","Sábado","Domingo"))</f>
        <v/>
      </c>
      <c r="AD1212" s="17">
        <f>IF($B1212="","",TEXT($B1212,"MM/AAAA"))</f>
        <v/>
      </c>
      <c r="AE1212" s="18">
        <f>IF(COUNTA($B1212:$R1212)=0,"",IF($X1212="Cancelado",0,ROUND(N($Q1212)+N($S1212)+N($T1212)-N($U1212),2)))</f>
        <v/>
      </c>
      <c r="AF1212" s="9">
        <f>IF($G1212="","",IFERROR(INDEX(LINHAS_DRE_PLANO,MATCH($G1212,SUBCATEGORIAS_PLANO,0)),"Não classificado"))</f>
        <v/>
      </c>
      <c r="AG1212" s="17">
        <f>IF($G1212="","",IFERROR(INDEX(TIPOS_FLUXO_PLANO,MATCH($G1212,SUBCATEGORIAS_PLANO,0)),"Não classificado"))</f>
        <v/>
      </c>
      <c r="AH1212" s="9">
        <f>IF($G1212="","",IFERROR(INDEX(GRUPOS_PLANO,MATCH($G1212,SUBCATEGORIAS_PLANO,0)),"Não classificado"))</f>
        <v/>
      </c>
      <c r="AI1212" s="24">
        <f>IF(OR($C1212="",$X1212="Pago",$X1212="Recebido",$X1212="Cancelado"),"",$C1212-TODAY())</f>
        <v/>
      </c>
      <c r="AJ1212" s="24">
        <f>IF(OR($C1212="",$X1212="Pago",$X1212="Recebido",$X1212="Cancelado"),0,MAX(0,TODAY()-$C1212))</f>
        <v/>
      </c>
      <c r="AK1212" s="24">
        <f>IF($D1212="","",$D1212-$B1212)</f>
        <v/>
      </c>
      <c r="AL1212" s="18">
        <f>IF(OR($D1212="",$B1212=""),"",ROUND(N($R1212)*($D1212-$B1212),2))</f>
        <v/>
      </c>
      <c r="AM1212" s="17">
        <f>IF(AND($E1212="Saída",$W1212&gt;0,$C1212&lt;&gt;""),$C1212+ROW()/1000000,"")</f>
        <v/>
      </c>
      <c r="AN1212" s="17">
        <f>IF(AND($E1212="Entrada",$W1212&gt;0,$C1212&lt;&gt;""),$C1212+ROW()/1000000,"")</f>
        <v/>
      </c>
      <c r="AO1212" s="9">
        <f>IF(COUNTA($B1212:$R1212)=0,"",IF(AND($I1212&lt;&gt;"",COUNTIF(CLIENTES_NOMES,$I1212)+COUNTIF(CLIENTES_FANTASIA,$I1212)+COUNTIF(FORNECEDORES_NOMES,$I1212)+COUNTIF(FORNECEDORES_FANTASIA,$I1212)=0),"⚠ Cliente/Fornecedor não cadastrado",IF(AND($G1212&lt;&gt;"",COUNTIF(SUBCATEGORIAS_PLANO,$G1212)=0),"⚠ Subcategoria fora do plano de contas",IF(OR($Q1212="",N($Q1212)=0),"⚠ Valor previsto não informado",IF(AND(OR($X1212="Pago",$X1212="Recebido"),$D1212=""),"⚠ Status pago/recebido sem data",IF(AND($D1212&lt;&gt;"",N($R1212)=0),"⚠ Data de pagamento sem valor realizado",IF(AND(N($P1212)&gt;1,N($O1212)&gt;N($P1212)),"⚠ Nº da parcela maior que o total",IF(AND($C1212&lt;&gt;"",$B1212&lt;&gt;"",$C1212&lt;$B1212),"⚠ Vencimento anterior à competência","OK"))))))))</f>
        <v/>
      </c>
    </row>
    <row r="1213">
      <c r="A1213" s="14" t="n"/>
      <c r="B1213" s="36" t="n"/>
      <c r="C1213" s="36" t="n"/>
      <c r="D1213" s="36" t="n"/>
      <c r="E1213" s="14" t="n"/>
      <c r="F1213" s="29" t="n"/>
      <c r="G1213" s="29" t="n"/>
      <c r="H1213" s="29" t="n"/>
      <c r="I1213" s="29" t="n"/>
      <c r="J1213" s="29" t="n"/>
      <c r="K1213" s="14" t="n"/>
      <c r="L1213" s="29" t="n"/>
      <c r="M1213" s="14" t="n"/>
      <c r="N1213" s="29" t="n"/>
      <c r="O1213" s="13" t="n"/>
      <c r="P1213" s="13" t="n"/>
      <c r="Q1213" s="35" t="n"/>
      <c r="R1213" s="35" t="n"/>
      <c r="S1213" s="35" t="n"/>
      <c r="T1213" s="35" t="n"/>
      <c r="U1213" s="35" t="n"/>
      <c r="V1213" s="18">
        <f>IF(COUNTA($B1213:$R1213)=0,"",ROUND(N($R1213)+N($S1213)+N($T1213)-N($U1213),2))</f>
        <v/>
      </c>
      <c r="W1213" s="18">
        <f>IF(COUNTA($B1213:$R1213)=0,"",IF(OR($X1213="Pago",$X1213="Recebido",$X1213="Cancelado"),0,ROUND(N($Q1213)+N($S1213)+N($T1213)-N($U1213)-N($R1213),2)))</f>
        <v/>
      </c>
      <c r="X1213" s="14" t="n"/>
      <c r="Y1213" s="17">
        <f>IF(COUNTA($B1213:$R1213)=0,"",IF($X1213="Cancelado","Cancelado",IF(OR($X1213="Pago",$X1213="Recebido"),$X1213,IF(OR($X1213="Parcial",N($R1213)&gt;0),"Parcial",IF($C1213="","Sem vencimento",IF($C1213&lt;TODAY(),"Vencido",IF($C1213=TODAY(),"Vence hoje",IF($C1213&lt;=TODAY()+7,"Vence em 7 dias",IF($C1213&lt;=TODAY()+30,"Vence em 30 dias","Futuro")))))))))</f>
        <v/>
      </c>
      <c r="Z1213" s="24">
        <f>IF($B1213="","",MONTH($B1213))</f>
        <v/>
      </c>
      <c r="AA1213" s="24">
        <f>IF($B1213="","",YEAR($B1213))</f>
        <v/>
      </c>
      <c r="AB1213" s="24">
        <f>IF($B1213="","",ISOWEEKNUM($B1213))</f>
        <v/>
      </c>
      <c r="AC1213" s="17">
        <f>IF($B1213="","",CHOOSE(WEEKDAY($B1213,2),"Segunda","Terça","Quarta","Quinta","Sexta","Sábado","Domingo"))</f>
        <v/>
      </c>
      <c r="AD1213" s="17">
        <f>IF($B1213="","",TEXT($B1213,"MM/AAAA"))</f>
        <v/>
      </c>
      <c r="AE1213" s="18">
        <f>IF(COUNTA($B1213:$R1213)=0,"",IF($X1213="Cancelado",0,ROUND(N($Q1213)+N($S1213)+N($T1213)-N($U1213),2)))</f>
        <v/>
      </c>
      <c r="AF1213" s="9">
        <f>IF($G1213="","",IFERROR(INDEX(LINHAS_DRE_PLANO,MATCH($G1213,SUBCATEGORIAS_PLANO,0)),"Não classificado"))</f>
        <v/>
      </c>
      <c r="AG1213" s="17">
        <f>IF($G1213="","",IFERROR(INDEX(TIPOS_FLUXO_PLANO,MATCH($G1213,SUBCATEGORIAS_PLANO,0)),"Não classificado"))</f>
        <v/>
      </c>
      <c r="AH1213" s="9">
        <f>IF($G1213="","",IFERROR(INDEX(GRUPOS_PLANO,MATCH($G1213,SUBCATEGORIAS_PLANO,0)),"Não classificado"))</f>
        <v/>
      </c>
      <c r="AI1213" s="24">
        <f>IF(OR($C1213="",$X1213="Pago",$X1213="Recebido",$X1213="Cancelado"),"",$C1213-TODAY())</f>
        <v/>
      </c>
      <c r="AJ1213" s="24">
        <f>IF(OR($C1213="",$X1213="Pago",$X1213="Recebido",$X1213="Cancelado"),0,MAX(0,TODAY()-$C1213))</f>
        <v/>
      </c>
      <c r="AK1213" s="24">
        <f>IF($D1213="","",$D1213-$B1213)</f>
        <v/>
      </c>
      <c r="AL1213" s="18">
        <f>IF(OR($D1213="",$B1213=""),"",ROUND(N($R1213)*($D1213-$B1213),2))</f>
        <v/>
      </c>
      <c r="AM1213" s="17">
        <f>IF(AND($E1213="Saída",$W1213&gt;0,$C1213&lt;&gt;""),$C1213+ROW()/1000000,"")</f>
        <v/>
      </c>
      <c r="AN1213" s="17">
        <f>IF(AND($E1213="Entrada",$W1213&gt;0,$C1213&lt;&gt;""),$C1213+ROW()/1000000,"")</f>
        <v/>
      </c>
      <c r="AO1213" s="9">
        <f>IF(COUNTA($B1213:$R1213)=0,"",IF(AND($I1213&lt;&gt;"",COUNTIF(CLIENTES_NOMES,$I1213)+COUNTIF(CLIENTES_FANTASIA,$I1213)+COUNTIF(FORNECEDORES_NOMES,$I1213)+COUNTIF(FORNECEDORES_FANTASIA,$I1213)=0),"⚠ Cliente/Fornecedor não cadastrado",IF(AND($G1213&lt;&gt;"",COUNTIF(SUBCATEGORIAS_PLANO,$G1213)=0),"⚠ Subcategoria fora do plano de contas",IF(OR($Q1213="",N($Q1213)=0),"⚠ Valor previsto não informado",IF(AND(OR($X1213="Pago",$X1213="Recebido"),$D1213=""),"⚠ Status pago/recebido sem data",IF(AND($D1213&lt;&gt;"",N($R1213)=0),"⚠ Data de pagamento sem valor realizado",IF(AND(N($P1213)&gt;1,N($O1213)&gt;N($P1213)),"⚠ Nº da parcela maior que o total",IF(AND($C1213&lt;&gt;"",$B1213&lt;&gt;"",$C1213&lt;$B1213),"⚠ Vencimento anterior à competência","OK"))))))))</f>
        <v/>
      </c>
    </row>
    <row r="1214">
      <c r="A1214" s="14" t="n"/>
      <c r="B1214" s="36" t="n"/>
      <c r="C1214" s="36" t="n"/>
      <c r="D1214" s="36" t="n"/>
      <c r="E1214" s="14" t="n"/>
      <c r="F1214" s="29" t="n"/>
      <c r="G1214" s="29" t="n"/>
      <c r="H1214" s="29" t="n"/>
      <c r="I1214" s="29" t="n"/>
      <c r="J1214" s="29" t="n"/>
      <c r="K1214" s="14" t="n"/>
      <c r="L1214" s="29" t="n"/>
      <c r="M1214" s="14" t="n"/>
      <c r="N1214" s="29" t="n"/>
      <c r="O1214" s="13" t="n"/>
      <c r="P1214" s="13" t="n"/>
      <c r="Q1214" s="35" t="n"/>
      <c r="R1214" s="35" t="n"/>
      <c r="S1214" s="35" t="n"/>
      <c r="T1214" s="35" t="n"/>
      <c r="U1214" s="35" t="n"/>
      <c r="V1214" s="18">
        <f>IF(COUNTA($B1214:$R1214)=0,"",ROUND(N($R1214)+N($S1214)+N($T1214)-N($U1214),2))</f>
        <v/>
      </c>
      <c r="W1214" s="18">
        <f>IF(COUNTA($B1214:$R1214)=0,"",IF(OR($X1214="Pago",$X1214="Recebido",$X1214="Cancelado"),0,ROUND(N($Q1214)+N($S1214)+N($T1214)-N($U1214)-N($R1214),2)))</f>
        <v/>
      </c>
      <c r="X1214" s="14" t="n"/>
      <c r="Y1214" s="17">
        <f>IF(COUNTA($B1214:$R1214)=0,"",IF($X1214="Cancelado","Cancelado",IF(OR($X1214="Pago",$X1214="Recebido"),$X1214,IF(OR($X1214="Parcial",N($R1214)&gt;0),"Parcial",IF($C1214="","Sem vencimento",IF($C1214&lt;TODAY(),"Vencido",IF($C1214=TODAY(),"Vence hoje",IF($C1214&lt;=TODAY()+7,"Vence em 7 dias",IF($C1214&lt;=TODAY()+30,"Vence em 30 dias","Futuro")))))))))</f>
        <v/>
      </c>
      <c r="Z1214" s="24">
        <f>IF($B1214="","",MONTH($B1214))</f>
        <v/>
      </c>
      <c r="AA1214" s="24">
        <f>IF($B1214="","",YEAR($B1214))</f>
        <v/>
      </c>
      <c r="AB1214" s="24">
        <f>IF($B1214="","",ISOWEEKNUM($B1214))</f>
        <v/>
      </c>
      <c r="AC1214" s="17">
        <f>IF($B1214="","",CHOOSE(WEEKDAY($B1214,2),"Segunda","Terça","Quarta","Quinta","Sexta","Sábado","Domingo"))</f>
        <v/>
      </c>
      <c r="AD1214" s="17">
        <f>IF($B1214="","",TEXT($B1214,"MM/AAAA"))</f>
        <v/>
      </c>
      <c r="AE1214" s="18">
        <f>IF(COUNTA($B1214:$R1214)=0,"",IF($X1214="Cancelado",0,ROUND(N($Q1214)+N($S1214)+N($T1214)-N($U1214),2)))</f>
        <v/>
      </c>
      <c r="AF1214" s="9">
        <f>IF($G1214="","",IFERROR(INDEX(LINHAS_DRE_PLANO,MATCH($G1214,SUBCATEGORIAS_PLANO,0)),"Não classificado"))</f>
        <v/>
      </c>
      <c r="AG1214" s="17">
        <f>IF($G1214="","",IFERROR(INDEX(TIPOS_FLUXO_PLANO,MATCH($G1214,SUBCATEGORIAS_PLANO,0)),"Não classificado"))</f>
        <v/>
      </c>
      <c r="AH1214" s="9">
        <f>IF($G1214="","",IFERROR(INDEX(GRUPOS_PLANO,MATCH($G1214,SUBCATEGORIAS_PLANO,0)),"Não classificado"))</f>
        <v/>
      </c>
      <c r="AI1214" s="24">
        <f>IF(OR($C1214="",$X1214="Pago",$X1214="Recebido",$X1214="Cancelado"),"",$C1214-TODAY())</f>
        <v/>
      </c>
      <c r="AJ1214" s="24">
        <f>IF(OR($C1214="",$X1214="Pago",$X1214="Recebido",$X1214="Cancelado"),0,MAX(0,TODAY()-$C1214))</f>
        <v/>
      </c>
      <c r="AK1214" s="24">
        <f>IF($D1214="","",$D1214-$B1214)</f>
        <v/>
      </c>
      <c r="AL1214" s="18">
        <f>IF(OR($D1214="",$B1214=""),"",ROUND(N($R1214)*($D1214-$B1214),2))</f>
        <v/>
      </c>
      <c r="AM1214" s="17">
        <f>IF(AND($E1214="Saída",$W1214&gt;0,$C1214&lt;&gt;""),$C1214+ROW()/1000000,"")</f>
        <v/>
      </c>
      <c r="AN1214" s="17">
        <f>IF(AND($E1214="Entrada",$W1214&gt;0,$C1214&lt;&gt;""),$C1214+ROW()/1000000,"")</f>
        <v/>
      </c>
      <c r="AO1214" s="9">
        <f>IF(COUNTA($B1214:$R1214)=0,"",IF(AND($I1214&lt;&gt;"",COUNTIF(CLIENTES_NOMES,$I1214)+COUNTIF(CLIENTES_FANTASIA,$I1214)+COUNTIF(FORNECEDORES_NOMES,$I1214)+COUNTIF(FORNECEDORES_FANTASIA,$I1214)=0),"⚠ Cliente/Fornecedor não cadastrado",IF(AND($G1214&lt;&gt;"",COUNTIF(SUBCATEGORIAS_PLANO,$G1214)=0),"⚠ Subcategoria fora do plano de contas",IF(OR($Q1214="",N($Q1214)=0),"⚠ Valor previsto não informado",IF(AND(OR($X1214="Pago",$X1214="Recebido"),$D1214=""),"⚠ Status pago/recebido sem data",IF(AND($D1214&lt;&gt;"",N($R1214)=0),"⚠ Data de pagamento sem valor realizado",IF(AND(N($P1214)&gt;1,N($O1214)&gt;N($P1214)),"⚠ Nº da parcela maior que o total",IF(AND($C1214&lt;&gt;"",$B1214&lt;&gt;"",$C1214&lt;$B1214),"⚠ Vencimento anterior à competência","OK"))))))))</f>
        <v/>
      </c>
    </row>
    <row r="1215">
      <c r="A1215" s="14" t="n"/>
      <c r="B1215" s="36" t="n"/>
      <c r="C1215" s="36" t="n"/>
      <c r="D1215" s="36" t="n"/>
      <c r="E1215" s="14" t="n"/>
      <c r="F1215" s="29" t="n"/>
      <c r="G1215" s="29" t="n"/>
      <c r="H1215" s="29" t="n"/>
      <c r="I1215" s="29" t="n"/>
      <c r="J1215" s="29" t="n"/>
      <c r="K1215" s="14" t="n"/>
      <c r="L1215" s="29" t="n"/>
      <c r="M1215" s="14" t="n"/>
      <c r="N1215" s="29" t="n"/>
      <c r="O1215" s="13" t="n"/>
      <c r="P1215" s="13" t="n"/>
      <c r="Q1215" s="35" t="n"/>
      <c r="R1215" s="35" t="n"/>
      <c r="S1215" s="35" t="n"/>
      <c r="T1215" s="35" t="n"/>
      <c r="U1215" s="35" t="n"/>
      <c r="V1215" s="18">
        <f>IF(COUNTA($B1215:$R1215)=0,"",ROUND(N($R1215)+N($S1215)+N($T1215)-N($U1215),2))</f>
        <v/>
      </c>
      <c r="W1215" s="18">
        <f>IF(COUNTA($B1215:$R1215)=0,"",IF(OR($X1215="Pago",$X1215="Recebido",$X1215="Cancelado"),0,ROUND(N($Q1215)+N($S1215)+N($T1215)-N($U1215)-N($R1215),2)))</f>
        <v/>
      </c>
      <c r="X1215" s="14" t="n"/>
      <c r="Y1215" s="17">
        <f>IF(COUNTA($B1215:$R1215)=0,"",IF($X1215="Cancelado","Cancelado",IF(OR($X1215="Pago",$X1215="Recebido"),$X1215,IF(OR($X1215="Parcial",N($R1215)&gt;0),"Parcial",IF($C1215="","Sem vencimento",IF($C1215&lt;TODAY(),"Vencido",IF($C1215=TODAY(),"Vence hoje",IF($C1215&lt;=TODAY()+7,"Vence em 7 dias",IF($C1215&lt;=TODAY()+30,"Vence em 30 dias","Futuro")))))))))</f>
        <v/>
      </c>
      <c r="Z1215" s="24">
        <f>IF($B1215="","",MONTH($B1215))</f>
        <v/>
      </c>
      <c r="AA1215" s="24">
        <f>IF($B1215="","",YEAR($B1215))</f>
        <v/>
      </c>
      <c r="AB1215" s="24">
        <f>IF($B1215="","",ISOWEEKNUM($B1215))</f>
        <v/>
      </c>
      <c r="AC1215" s="17">
        <f>IF($B1215="","",CHOOSE(WEEKDAY($B1215,2),"Segunda","Terça","Quarta","Quinta","Sexta","Sábado","Domingo"))</f>
        <v/>
      </c>
      <c r="AD1215" s="17">
        <f>IF($B1215="","",TEXT($B1215,"MM/AAAA"))</f>
        <v/>
      </c>
      <c r="AE1215" s="18">
        <f>IF(COUNTA($B1215:$R1215)=0,"",IF($X1215="Cancelado",0,ROUND(N($Q1215)+N($S1215)+N($T1215)-N($U1215),2)))</f>
        <v/>
      </c>
      <c r="AF1215" s="9">
        <f>IF($G1215="","",IFERROR(INDEX(LINHAS_DRE_PLANO,MATCH($G1215,SUBCATEGORIAS_PLANO,0)),"Não classificado"))</f>
        <v/>
      </c>
      <c r="AG1215" s="17">
        <f>IF($G1215="","",IFERROR(INDEX(TIPOS_FLUXO_PLANO,MATCH($G1215,SUBCATEGORIAS_PLANO,0)),"Não classificado"))</f>
        <v/>
      </c>
      <c r="AH1215" s="9">
        <f>IF($G1215="","",IFERROR(INDEX(GRUPOS_PLANO,MATCH($G1215,SUBCATEGORIAS_PLANO,0)),"Não classificado"))</f>
        <v/>
      </c>
      <c r="AI1215" s="24">
        <f>IF(OR($C1215="",$X1215="Pago",$X1215="Recebido",$X1215="Cancelado"),"",$C1215-TODAY())</f>
        <v/>
      </c>
      <c r="AJ1215" s="24">
        <f>IF(OR($C1215="",$X1215="Pago",$X1215="Recebido",$X1215="Cancelado"),0,MAX(0,TODAY()-$C1215))</f>
        <v/>
      </c>
      <c r="AK1215" s="24">
        <f>IF($D1215="","",$D1215-$B1215)</f>
        <v/>
      </c>
      <c r="AL1215" s="18">
        <f>IF(OR($D1215="",$B1215=""),"",ROUND(N($R1215)*($D1215-$B1215),2))</f>
        <v/>
      </c>
      <c r="AM1215" s="17">
        <f>IF(AND($E1215="Saída",$W1215&gt;0,$C1215&lt;&gt;""),$C1215+ROW()/1000000,"")</f>
        <v/>
      </c>
      <c r="AN1215" s="17">
        <f>IF(AND($E1215="Entrada",$W1215&gt;0,$C1215&lt;&gt;""),$C1215+ROW()/1000000,"")</f>
        <v/>
      </c>
      <c r="AO1215" s="9">
        <f>IF(COUNTA($B1215:$R1215)=0,"",IF(AND($I1215&lt;&gt;"",COUNTIF(CLIENTES_NOMES,$I1215)+COUNTIF(CLIENTES_FANTASIA,$I1215)+COUNTIF(FORNECEDORES_NOMES,$I1215)+COUNTIF(FORNECEDORES_FANTASIA,$I1215)=0),"⚠ Cliente/Fornecedor não cadastrado",IF(AND($G1215&lt;&gt;"",COUNTIF(SUBCATEGORIAS_PLANO,$G1215)=0),"⚠ Subcategoria fora do plano de contas",IF(OR($Q1215="",N($Q1215)=0),"⚠ Valor previsto não informado",IF(AND(OR($X1215="Pago",$X1215="Recebido"),$D1215=""),"⚠ Status pago/recebido sem data",IF(AND($D1215&lt;&gt;"",N($R1215)=0),"⚠ Data de pagamento sem valor realizado",IF(AND(N($P1215)&gt;1,N($O1215)&gt;N($P1215)),"⚠ Nº da parcela maior que o total",IF(AND($C1215&lt;&gt;"",$B1215&lt;&gt;"",$C1215&lt;$B1215),"⚠ Vencimento anterior à competência","OK"))))))))</f>
        <v/>
      </c>
    </row>
    <row r="1216">
      <c r="A1216" s="14" t="n"/>
      <c r="B1216" s="36" t="n"/>
      <c r="C1216" s="36" t="n"/>
      <c r="D1216" s="36" t="n"/>
      <c r="E1216" s="14" t="n"/>
      <c r="F1216" s="29" t="n"/>
      <c r="G1216" s="29" t="n"/>
      <c r="H1216" s="29" t="n"/>
      <c r="I1216" s="29" t="n"/>
      <c r="J1216" s="29" t="n"/>
      <c r="K1216" s="14" t="n"/>
      <c r="L1216" s="29" t="n"/>
      <c r="M1216" s="14" t="n"/>
      <c r="N1216" s="29" t="n"/>
      <c r="O1216" s="13" t="n"/>
      <c r="P1216" s="13" t="n"/>
      <c r="Q1216" s="35" t="n"/>
      <c r="R1216" s="35" t="n"/>
      <c r="S1216" s="35" t="n"/>
      <c r="T1216" s="35" t="n"/>
      <c r="U1216" s="35" t="n"/>
      <c r="V1216" s="18">
        <f>IF(COUNTA($B1216:$R1216)=0,"",ROUND(N($R1216)+N($S1216)+N($T1216)-N($U1216),2))</f>
        <v/>
      </c>
      <c r="W1216" s="18">
        <f>IF(COUNTA($B1216:$R1216)=0,"",IF(OR($X1216="Pago",$X1216="Recebido",$X1216="Cancelado"),0,ROUND(N($Q1216)+N($S1216)+N($T1216)-N($U1216)-N($R1216),2)))</f>
        <v/>
      </c>
      <c r="X1216" s="14" t="n"/>
      <c r="Y1216" s="17">
        <f>IF(COUNTA($B1216:$R1216)=0,"",IF($X1216="Cancelado","Cancelado",IF(OR($X1216="Pago",$X1216="Recebido"),$X1216,IF(OR($X1216="Parcial",N($R1216)&gt;0),"Parcial",IF($C1216="","Sem vencimento",IF($C1216&lt;TODAY(),"Vencido",IF($C1216=TODAY(),"Vence hoje",IF($C1216&lt;=TODAY()+7,"Vence em 7 dias",IF($C1216&lt;=TODAY()+30,"Vence em 30 dias","Futuro")))))))))</f>
        <v/>
      </c>
      <c r="Z1216" s="24">
        <f>IF($B1216="","",MONTH($B1216))</f>
        <v/>
      </c>
      <c r="AA1216" s="24">
        <f>IF($B1216="","",YEAR($B1216))</f>
        <v/>
      </c>
      <c r="AB1216" s="24">
        <f>IF($B1216="","",ISOWEEKNUM($B1216))</f>
        <v/>
      </c>
      <c r="AC1216" s="17">
        <f>IF($B1216="","",CHOOSE(WEEKDAY($B1216,2),"Segunda","Terça","Quarta","Quinta","Sexta","Sábado","Domingo"))</f>
        <v/>
      </c>
      <c r="AD1216" s="17">
        <f>IF($B1216="","",TEXT($B1216,"MM/AAAA"))</f>
        <v/>
      </c>
      <c r="AE1216" s="18">
        <f>IF(COUNTA($B1216:$R1216)=0,"",IF($X1216="Cancelado",0,ROUND(N($Q1216)+N($S1216)+N($T1216)-N($U1216),2)))</f>
        <v/>
      </c>
      <c r="AF1216" s="9">
        <f>IF($G1216="","",IFERROR(INDEX(LINHAS_DRE_PLANO,MATCH($G1216,SUBCATEGORIAS_PLANO,0)),"Não classificado"))</f>
        <v/>
      </c>
      <c r="AG1216" s="17">
        <f>IF($G1216="","",IFERROR(INDEX(TIPOS_FLUXO_PLANO,MATCH($G1216,SUBCATEGORIAS_PLANO,0)),"Não classificado"))</f>
        <v/>
      </c>
      <c r="AH1216" s="9">
        <f>IF($G1216="","",IFERROR(INDEX(GRUPOS_PLANO,MATCH($G1216,SUBCATEGORIAS_PLANO,0)),"Não classificado"))</f>
        <v/>
      </c>
      <c r="AI1216" s="24">
        <f>IF(OR($C1216="",$X1216="Pago",$X1216="Recebido",$X1216="Cancelado"),"",$C1216-TODAY())</f>
        <v/>
      </c>
      <c r="AJ1216" s="24">
        <f>IF(OR($C1216="",$X1216="Pago",$X1216="Recebido",$X1216="Cancelado"),0,MAX(0,TODAY()-$C1216))</f>
        <v/>
      </c>
      <c r="AK1216" s="24">
        <f>IF($D1216="","",$D1216-$B1216)</f>
        <v/>
      </c>
      <c r="AL1216" s="18">
        <f>IF(OR($D1216="",$B1216=""),"",ROUND(N($R1216)*($D1216-$B1216),2))</f>
        <v/>
      </c>
      <c r="AM1216" s="17">
        <f>IF(AND($E1216="Saída",$W1216&gt;0,$C1216&lt;&gt;""),$C1216+ROW()/1000000,"")</f>
        <v/>
      </c>
      <c r="AN1216" s="17">
        <f>IF(AND($E1216="Entrada",$W1216&gt;0,$C1216&lt;&gt;""),$C1216+ROW()/1000000,"")</f>
        <v/>
      </c>
      <c r="AO1216" s="9">
        <f>IF(COUNTA($B1216:$R1216)=0,"",IF(AND($I1216&lt;&gt;"",COUNTIF(CLIENTES_NOMES,$I1216)+COUNTIF(CLIENTES_FANTASIA,$I1216)+COUNTIF(FORNECEDORES_NOMES,$I1216)+COUNTIF(FORNECEDORES_FANTASIA,$I1216)=0),"⚠ Cliente/Fornecedor não cadastrado",IF(AND($G1216&lt;&gt;"",COUNTIF(SUBCATEGORIAS_PLANO,$G1216)=0),"⚠ Subcategoria fora do plano de contas",IF(OR($Q1216="",N($Q1216)=0),"⚠ Valor previsto não informado",IF(AND(OR($X1216="Pago",$X1216="Recebido"),$D1216=""),"⚠ Status pago/recebido sem data",IF(AND($D1216&lt;&gt;"",N($R1216)=0),"⚠ Data de pagamento sem valor realizado",IF(AND(N($P1216)&gt;1,N($O1216)&gt;N($P1216)),"⚠ Nº da parcela maior que o total",IF(AND($C1216&lt;&gt;"",$B1216&lt;&gt;"",$C1216&lt;$B1216),"⚠ Vencimento anterior à competência","OK"))))))))</f>
        <v/>
      </c>
    </row>
    <row r="1217">
      <c r="A1217" s="14" t="n"/>
      <c r="B1217" s="36" t="n"/>
      <c r="C1217" s="36" t="n"/>
      <c r="D1217" s="36" t="n"/>
      <c r="E1217" s="14" t="n"/>
      <c r="F1217" s="29" t="n"/>
      <c r="G1217" s="29" t="n"/>
      <c r="H1217" s="29" t="n"/>
      <c r="I1217" s="29" t="n"/>
      <c r="J1217" s="29" t="n"/>
      <c r="K1217" s="14" t="n"/>
      <c r="L1217" s="29" t="n"/>
      <c r="M1217" s="14" t="n"/>
      <c r="N1217" s="29" t="n"/>
      <c r="O1217" s="13" t="n"/>
      <c r="P1217" s="13" t="n"/>
      <c r="Q1217" s="35" t="n"/>
      <c r="R1217" s="35" t="n"/>
      <c r="S1217" s="35" t="n"/>
      <c r="T1217" s="35" t="n"/>
      <c r="U1217" s="35" t="n"/>
      <c r="V1217" s="18">
        <f>IF(COUNTA($B1217:$R1217)=0,"",ROUND(N($R1217)+N($S1217)+N($T1217)-N($U1217),2))</f>
        <v/>
      </c>
      <c r="W1217" s="18">
        <f>IF(COUNTA($B1217:$R1217)=0,"",IF(OR($X1217="Pago",$X1217="Recebido",$X1217="Cancelado"),0,ROUND(N($Q1217)+N($S1217)+N($T1217)-N($U1217)-N($R1217),2)))</f>
        <v/>
      </c>
      <c r="X1217" s="14" t="n"/>
      <c r="Y1217" s="17">
        <f>IF(COUNTA($B1217:$R1217)=0,"",IF($X1217="Cancelado","Cancelado",IF(OR($X1217="Pago",$X1217="Recebido"),$X1217,IF(OR($X1217="Parcial",N($R1217)&gt;0),"Parcial",IF($C1217="","Sem vencimento",IF($C1217&lt;TODAY(),"Vencido",IF($C1217=TODAY(),"Vence hoje",IF($C1217&lt;=TODAY()+7,"Vence em 7 dias",IF($C1217&lt;=TODAY()+30,"Vence em 30 dias","Futuro")))))))))</f>
        <v/>
      </c>
      <c r="Z1217" s="24">
        <f>IF($B1217="","",MONTH($B1217))</f>
        <v/>
      </c>
      <c r="AA1217" s="24">
        <f>IF($B1217="","",YEAR($B1217))</f>
        <v/>
      </c>
      <c r="AB1217" s="24">
        <f>IF($B1217="","",ISOWEEKNUM($B1217))</f>
        <v/>
      </c>
      <c r="AC1217" s="17">
        <f>IF($B1217="","",CHOOSE(WEEKDAY($B1217,2),"Segunda","Terça","Quarta","Quinta","Sexta","Sábado","Domingo"))</f>
        <v/>
      </c>
      <c r="AD1217" s="17">
        <f>IF($B1217="","",TEXT($B1217,"MM/AAAA"))</f>
        <v/>
      </c>
      <c r="AE1217" s="18">
        <f>IF(COUNTA($B1217:$R1217)=0,"",IF($X1217="Cancelado",0,ROUND(N($Q1217)+N($S1217)+N($T1217)-N($U1217),2)))</f>
        <v/>
      </c>
      <c r="AF1217" s="9">
        <f>IF($G1217="","",IFERROR(INDEX(LINHAS_DRE_PLANO,MATCH($G1217,SUBCATEGORIAS_PLANO,0)),"Não classificado"))</f>
        <v/>
      </c>
      <c r="AG1217" s="17">
        <f>IF($G1217="","",IFERROR(INDEX(TIPOS_FLUXO_PLANO,MATCH($G1217,SUBCATEGORIAS_PLANO,0)),"Não classificado"))</f>
        <v/>
      </c>
      <c r="AH1217" s="9">
        <f>IF($G1217="","",IFERROR(INDEX(GRUPOS_PLANO,MATCH($G1217,SUBCATEGORIAS_PLANO,0)),"Não classificado"))</f>
        <v/>
      </c>
      <c r="AI1217" s="24">
        <f>IF(OR($C1217="",$X1217="Pago",$X1217="Recebido",$X1217="Cancelado"),"",$C1217-TODAY())</f>
        <v/>
      </c>
      <c r="AJ1217" s="24">
        <f>IF(OR($C1217="",$X1217="Pago",$X1217="Recebido",$X1217="Cancelado"),0,MAX(0,TODAY()-$C1217))</f>
        <v/>
      </c>
      <c r="AK1217" s="24">
        <f>IF($D1217="","",$D1217-$B1217)</f>
        <v/>
      </c>
      <c r="AL1217" s="18">
        <f>IF(OR($D1217="",$B1217=""),"",ROUND(N($R1217)*($D1217-$B1217),2))</f>
        <v/>
      </c>
      <c r="AM1217" s="17">
        <f>IF(AND($E1217="Saída",$W1217&gt;0,$C1217&lt;&gt;""),$C1217+ROW()/1000000,"")</f>
        <v/>
      </c>
      <c r="AN1217" s="17">
        <f>IF(AND($E1217="Entrada",$W1217&gt;0,$C1217&lt;&gt;""),$C1217+ROW()/1000000,"")</f>
        <v/>
      </c>
      <c r="AO1217" s="9">
        <f>IF(COUNTA($B1217:$R1217)=0,"",IF(AND($I1217&lt;&gt;"",COUNTIF(CLIENTES_NOMES,$I1217)+COUNTIF(CLIENTES_FANTASIA,$I1217)+COUNTIF(FORNECEDORES_NOMES,$I1217)+COUNTIF(FORNECEDORES_FANTASIA,$I1217)=0),"⚠ Cliente/Fornecedor não cadastrado",IF(AND($G1217&lt;&gt;"",COUNTIF(SUBCATEGORIAS_PLANO,$G1217)=0),"⚠ Subcategoria fora do plano de contas",IF(OR($Q1217="",N($Q1217)=0),"⚠ Valor previsto não informado",IF(AND(OR($X1217="Pago",$X1217="Recebido"),$D1217=""),"⚠ Status pago/recebido sem data",IF(AND($D1217&lt;&gt;"",N($R1217)=0),"⚠ Data de pagamento sem valor realizado",IF(AND(N($P1217)&gt;1,N($O1217)&gt;N($P1217)),"⚠ Nº da parcela maior que o total",IF(AND($C1217&lt;&gt;"",$B1217&lt;&gt;"",$C1217&lt;$B1217),"⚠ Vencimento anterior à competência","OK"))))))))</f>
        <v/>
      </c>
    </row>
    <row r="1218">
      <c r="A1218" s="14" t="n"/>
      <c r="B1218" s="36" t="n"/>
      <c r="C1218" s="36" t="n"/>
      <c r="D1218" s="36" t="n"/>
      <c r="E1218" s="14" t="n"/>
      <c r="F1218" s="29" t="n"/>
      <c r="G1218" s="29" t="n"/>
      <c r="H1218" s="29" t="n"/>
      <c r="I1218" s="29" t="n"/>
      <c r="J1218" s="29" t="n"/>
      <c r="K1218" s="14" t="n"/>
      <c r="L1218" s="29" t="n"/>
      <c r="M1218" s="14" t="n"/>
      <c r="N1218" s="29" t="n"/>
      <c r="O1218" s="13" t="n"/>
      <c r="P1218" s="13" t="n"/>
      <c r="Q1218" s="35" t="n"/>
      <c r="R1218" s="35" t="n"/>
      <c r="S1218" s="35" t="n"/>
      <c r="T1218" s="35" t="n"/>
      <c r="U1218" s="35" t="n"/>
      <c r="V1218" s="18">
        <f>IF(COUNTA($B1218:$R1218)=0,"",ROUND(N($R1218)+N($S1218)+N($T1218)-N($U1218),2))</f>
        <v/>
      </c>
      <c r="W1218" s="18">
        <f>IF(COUNTA($B1218:$R1218)=0,"",IF(OR($X1218="Pago",$X1218="Recebido",$X1218="Cancelado"),0,ROUND(N($Q1218)+N($S1218)+N($T1218)-N($U1218)-N($R1218),2)))</f>
        <v/>
      </c>
      <c r="X1218" s="14" t="n"/>
      <c r="Y1218" s="17">
        <f>IF(COUNTA($B1218:$R1218)=0,"",IF($X1218="Cancelado","Cancelado",IF(OR($X1218="Pago",$X1218="Recebido"),$X1218,IF(OR($X1218="Parcial",N($R1218)&gt;0),"Parcial",IF($C1218="","Sem vencimento",IF($C1218&lt;TODAY(),"Vencido",IF($C1218=TODAY(),"Vence hoje",IF($C1218&lt;=TODAY()+7,"Vence em 7 dias",IF($C1218&lt;=TODAY()+30,"Vence em 30 dias","Futuro")))))))))</f>
        <v/>
      </c>
      <c r="Z1218" s="24">
        <f>IF($B1218="","",MONTH($B1218))</f>
        <v/>
      </c>
      <c r="AA1218" s="24">
        <f>IF($B1218="","",YEAR($B1218))</f>
        <v/>
      </c>
      <c r="AB1218" s="24">
        <f>IF($B1218="","",ISOWEEKNUM($B1218))</f>
        <v/>
      </c>
      <c r="AC1218" s="17">
        <f>IF($B1218="","",CHOOSE(WEEKDAY($B1218,2),"Segunda","Terça","Quarta","Quinta","Sexta","Sábado","Domingo"))</f>
        <v/>
      </c>
      <c r="AD1218" s="17">
        <f>IF($B1218="","",TEXT($B1218,"MM/AAAA"))</f>
        <v/>
      </c>
      <c r="AE1218" s="18">
        <f>IF(COUNTA($B1218:$R1218)=0,"",IF($X1218="Cancelado",0,ROUND(N($Q1218)+N($S1218)+N($T1218)-N($U1218),2)))</f>
        <v/>
      </c>
      <c r="AF1218" s="9">
        <f>IF($G1218="","",IFERROR(INDEX(LINHAS_DRE_PLANO,MATCH($G1218,SUBCATEGORIAS_PLANO,0)),"Não classificado"))</f>
        <v/>
      </c>
      <c r="AG1218" s="17">
        <f>IF($G1218="","",IFERROR(INDEX(TIPOS_FLUXO_PLANO,MATCH($G1218,SUBCATEGORIAS_PLANO,0)),"Não classificado"))</f>
        <v/>
      </c>
      <c r="AH1218" s="9">
        <f>IF($G1218="","",IFERROR(INDEX(GRUPOS_PLANO,MATCH($G1218,SUBCATEGORIAS_PLANO,0)),"Não classificado"))</f>
        <v/>
      </c>
      <c r="AI1218" s="24">
        <f>IF(OR($C1218="",$X1218="Pago",$X1218="Recebido",$X1218="Cancelado"),"",$C1218-TODAY())</f>
        <v/>
      </c>
      <c r="AJ1218" s="24">
        <f>IF(OR($C1218="",$X1218="Pago",$X1218="Recebido",$X1218="Cancelado"),0,MAX(0,TODAY()-$C1218))</f>
        <v/>
      </c>
      <c r="AK1218" s="24">
        <f>IF($D1218="","",$D1218-$B1218)</f>
        <v/>
      </c>
      <c r="AL1218" s="18">
        <f>IF(OR($D1218="",$B1218=""),"",ROUND(N($R1218)*($D1218-$B1218),2))</f>
        <v/>
      </c>
      <c r="AM1218" s="17">
        <f>IF(AND($E1218="Saída",$W1218&gt;0,$C1218&lt;&gt;""),$C1218+ROW()/1000000,"")</f>
        <v/>
      </c>
      <c r="AN1218" s="17">
        <f>IF(AND($E1218="Entrada",$W1218&gt;0,$C1218&lt;&gt;""),$C1218+ROW()/1000000,"")</f>
        <v/>
      </c>
      <c r="AO1218" s="9">
        <f>IF(COUNTA($B1218:$R1218)=0,"",IF(AND($I1218&lt;&gt;"",COUNTIF(CLIENTES_NOMES,$I1218)+COUNTIF(CLIENTES_FANTASIA,$I1218)+COUNTIF(FORNECEDORES_NOMES,$I1218)+COUNTIF(FORNECEDORES_FANTASIA,$I1218)=0),"⚠ Cliente/Fornecedor não cadastrado",IF(AND($G1218&lt;&gt;"",COUNTIF(SUBCATEGORIAS_PLANO,$G1218)=0),"⚠ Subcategoria fora do plano de contas",IF(OR($Q1218="",N($Q1218)=0),"⚠ Valor previsto não informado",IF(AND(OR($X1218="Pago",$X1218="Recebido"),$D1218=""),"⚠ Status pago/recebido sem data",IF(AND($D1218&lt;&gt;"",N($R1218)=0),"⚠ Data de pagamento sem valor realizado",IF(AND(N($P1218)&gt;1,N($O1218)&gt;N($P1218)),"⚠ Nº da parcela maior que o total",IF(AND($C1218&lt;&gt;"",$B1218&lt;&gt;"",$C1218&lt;$B1218),"⚠ Vencimento anterior à competência","OK"))))))))</f>
        <v/>
      </c>
    </row>
    <row r="1219">
      <c r="A1219" s="14" t="n"/>
      <c r="B1219" s="36" t="n"/>
      <c r="C1219" s="36" t="n"/>
      <c r="D1219" s="36" t="n"/>
      <c r="E1219" s="14" t="n"/>
      <c r="F1219" s="29" t="n"/>
      <c r="G1219" s="29" t="n"/>
      <c r="H1219" s="29" t="n"/>
      <c r="I1219" s="29" t="n"/>
      <c r="J1219" s="29" t="n"/>
      <c r="K1219" s="14" t="n"/>
      <c r="L1219" s="29" t="n"/>
      <c r="M1219" s="14" t="n"/>
      <c r="N1219" s="29" t="n"/>
      <c r="O1219" s="13" t="n"/>
      <c r="P1219" s="13" t="n"/>
      <c r="Q1219" s="35" t="n"/>
      <c r="R1219" s="35" t="n"/>
      <c r="S1219" s="35" t="n"/>
      <c r="T1219" s="35" t="n"/>
      <c r="U1219" s="35" t="n"/>
      <c r="V1219" s="18">
        <f>IF(COUNTA($B1219:$R1219)=0,"",ROUND(N($R1219)+N($S1219)+N($T1219)-N($U1219),2))</f>
        <v/>
      </c>
      <c r="W1219" s="18">
        <f>IF(COUNTA($B1219:$R1219)=0,"",IF(OR($X1219="Pago",$X1219="Recebido",$X1219="Cancelado"),0,ROUND(N($Q1219)+N($S1219)+N($T1219)-N($U1219)-N($R1219),2)))</f>
        <v/>
      </c>
      <c r="X1219" s="14" t="n"/>
      <c r="Y1219" s="17">
        <f>IF(COUNTA($B1219:$R1219)=0,"",IF($X1219="Cancelado","Cancelado",IF(OR($X1219="Pago",$X1219="Recebido"),$X1219,IF(OR($X1219="Parcial",N($R1219)&gt;0),"Parcial",IF($C1219="","Sem vencimento",IF($C1219&lt;TODAY(),"Vencido",IF($C1219=TODAY(),"Vence hoje",IF($C1219&lt;=TODAY()+7,"Vence em 7 dias",IF($C1219&lt;=TODAY()+30,"Vence em 30 dias","Futuro")))))))))</f>
        <v/>
      </c>
      <c r="Z1219" s="24">
        <f>IF($B1219="","",MONTH($B1219))</f>
        <v/>
      </c>
      <c r="AA1219" s="24">
        <f>IF($B1219="","",YEAR($B1219))</f>
        <v/>
      </c>
      <c r="AB1219" s="24">
        <f>IF($B1219="","",ISOWEEKNUM($B1219))</f>
        <v/>
      </c>
      <c r="AC1219" s="17">
        <f>IF($B1219="","",CHOOSE(WEEKDAY($B1219,2),"Segunda","Terça","Quarta","Quinta","Sexta","Sábado","Domingo"))</f>
        <v/>
      </c>
      <c r="AD1219" s="17">
        <f>IF($B1219="","",TEXT($B1219,"MM/AAAA"))</f>
        <v/>
      </c>
      <c r="AE1219" s="18">
        <f>IF(COUNTA($B1219:$R1219)=0,"",IF($X1219="Cancelado",0,ROUND(N($Q1219)+N($S1219)+N($T1219)-N($U1219),2)))</f>
        <v/>
      </c>
      <c r="AF1219" s="9">
        <f>IF($G1219="","",IFERROR(INDEX(LINHAS_DRE_PLANO,MATCH($G1219,SUBCATEGORIAS_PLANO,0)),"Não classificado"))</f>
        <v/>
      </c>
      <c r="AG1219" s="17">
        <f>IF($G1219="","",IFERROR(INDEX(TIPOS_FLUXO_PLANO,MATCH($G1219,SUBCATEGORIAS_PLANO,0)),"Não classificado"))</f>
        <v/>
      </c>
      <c r="AH1219" s="9">
        <f>IF($G1219="","",IFERROR(INDEX(GRUPOS_PLANO,MATCH($G1219,SUBCATEGORIAS_PLANO,0)),"Não classificado"))</f>
        <v/>
      </c>
      <c r="AI1219" s="24">
        <f>IF(OR($C1219="",$X1219="Pago",$X1219="Recebido",$X1219="Cancelado"),"",$C1219-TODAY())</f>
        <v/>
      </c>
      <c r="AJ1219" s="24">
        <f>IF(OR($C1219="",$X1219="Pago",$X1219="Recebido",$X1219="Cancelado"),0,MAX(0,TODAY()-$C1219))</f>
        <v/>
      </c>
      <c r="AK1219" s="24">
        <f>IF($D1219="","",$D1219-$B1219)</f>
        <v/>
      </c>
      <c r="AL1219" s="18">
        <f>IF(OR($D1219="",$B1219=""),"",ROUND(N($R1219)*($D1219-$B1219),2))</f>
        <v/>
      </c>
      <c r="AM1219" s="17">
        <f>IF(AND($E1219="Saída",$W1219&gt;0,$C1219&lt;&gt;""),$C1219+ROW()/1000000,"")</f>
        <v/>
      </c>
      <c r="AN1219" s="17">
        <f>IF(AND($E1219="Entrada",$W1219&gt;0,$C1219&lt;&gt;""),$C1219+ROW()/1000000,"")</f>
        <v/>
      </c>
      <c r="AO1219" s="9">
        <f>IF(COUNTA($B1219:$R1219)=0,"",IF(AND($I1219&lt;&gt;"",COUNTIF(CLIENTES_NOMES,$I1219)+COUNTIF(CLIENTES_FANTASIA,$I1219)+COUNTIF(FORNECEDORES_NOMES,$I1219)+COUNTIF(FORNECEDORES_FANTASIA,$I1219)=0),"⚠ Cliente/Fornecedor não cadastrado",IF(AND($G1219&lt;&gt;"",COUNTIF(SUBCATEGORIAS_PLANO,$G1219)=0),"⚠ Subcategoria fora do plano de contas",IF(OR($Q1219="",N($Q1219)=0),"⚠ Valor previsto não informado",IF(AND(OR($X1219="Pago",$X1219="Recebido"),$D1219=""),"⚠ Status pago/recebido sem data",IF(AND($D1219&lt;&gt;"",N($R1219)=0),"⚠ Data de pagamento sem valor realizado",IF(AND(N($P1219)&gt;1,N($O1219)&gt;N($P1219)),"⚠ Nº da parcela maior que o total",IF(AND($C1219&lt;&gt;"",$B1219&lt;&gt;"",$C1219&lt;$B1219),"⚠ Vencimento anterior à competência","OK"))))))))</f>
        <v/>
      </c>
    </row>
    <row r="1220">
      <c r="A1220" s="14" t="n"/>
      <c r="B1220" s="36" t="n"/>
      <c r="C1220" s="36" t="n"/>
      <c r="D1220" s="36" t="n"/>
      <c r="E1220" s="14" t="n"/>
      <c r="F1220" s="29" t="n"/>
      <c r="G1220" s="29" t="n"/>
      <c r="H1220" s="29" t="n"/>
      <c r="I1220" s="29" t="n"/>
      <c r="J1220" s="29" t="n"/>
      <c r="K1220" s="14" t="n"/>
      <c r="L1220" s="29" t="n"/>
      <c r="M1220" s="14" t="n"/>
      <c r="N1220" s="29" t="n"/>
      <c r="O1220" s="13" t="n"/>
      <c r="P1220" s="13" t="n"/>
      <c r="Q1220" s="35" t="n"/>
      <c r="R1220" s="35" t="n"/>
      <c r="S1220" s="35" t="n"/>
      <c r="T1220" s="35" t="n"/>
      <c r="U1220" s="35" t="n"/>
      <c r="V1220" s="18">
        <f>IF(COUNTA($B1220:$R1220)=0,"",ROUND(N($R1220)+N($S1220)+N($T1220)-N($U1220),2))</f>
        <v/>
      </c>
      <c r="W1220" s="18">
        <f>IF(COUNTA($B1220:$R1220)=0,"",IF(OR($X1220="Pago",$X1220="Recebido",$X1220="Cancelado"),0,ROUND(N($Q1220)+N($S1220)+N($T1220)-N($U1220)-N($R1220),2)))</f>
        <v/>
      </c>
      <c r="X1220" s="14" t="n"/>
      <c r="Y1220" s="17">
        <f>IF(COUNTA($B1220:$R1220)=0,"",IF($X1220="Cancelado","Cancelado",IF(OR($X1220="Pago",$X1220="Recebido"),$X1220,IF(OR($X1220="Parcial",N($R1220)&gt;0),"Parcial",IF($C1220="","Sem vencimento",IF($C1220&lt;TODAY(),"Vencido",IF($C1220=TODAY(),"Vence hoje",IF($C1220&lt;=TODAY()+7,"Vence em 7 dias",IF($C1220&lt;=TODAY()+30,"Vence em 30 dias","Futuro")))))))))</f>
        <v/>
      </c>
      <c r="Z1220" s="24">
        <f>IF($B1220="","",MONTH($B1220))</f>
        <v/>
      </c>
      <c r="AA1220" s="24">
        <f>IF($B1220="","",YEAR($B1220))</f>
        <v/>
      </c>
      <c r="AB1220" s="24">
        <f>IF($B1220="","",ISOWEEKNUM($B1220))</f>
        <v/>
      </c>
      <c r="AC1220" s="17">
        <f>IF($B1220="","",CHOOSE(WEEKDAY($B1220,2),"Segunda","Terça","Quarta","Quinta","Sexta","Sábado","Domingo"))</f>
        <v/>
      </c>
      <c r="AD1220" s="17">
        <f>IF($B1220="","",TEXT($B1220,"MM/AAAA"))</f>
        <v/>
      </c>
      <c r="AE1220" s="18">
        <f>IF(COUNTA($B1220:$R1220)=0,"",IF($X1220="Cancelado",0,ROUND(N($Q1220)+N($S1220)+N($T1220)-N($U1220),2)))</f>
        <v/>
      </c>
      <c r="AF1220" s="9">
        <f>IF($G1220="","",IFERROR(INDEX(LINHAS_DRE_PLANO,MATCH($G1220,SUBCATEGORIAS_PLANO,0)),"Não classificado"))</f>
        <v/>
      </c>
      <c r="AG1220" s="17">
        <f>IF($G1220="","",IFERROR(INDEX(TIPOS_FLUXO_PLANO,MATCH($G1220,SUBCATEGORIAS_PLANO,0)),"Não classificado"))</f>
        <v/>
      </c>
      <c r="AH1220" s="9">
        <f>IF($G1220="","",IFERROR(INDEX(GRUPOS_PLANO,MATCH($G1220,SUBCATEGORIAS_PLANO,0)),"Não classificado"))</f>
        <v/>
      </c>
      <c r="AI1220" s="24">
        <f>IF(OR($C1220="",$X1220="Pago",$X1220="Recebido",$X1220="Cancelado"),"",$C1220-TODAY())</f>
        <v/>
      </c>
      <c r="AJ1220" s="24">
        <f>IF(OR($C1220="",$X1220="Pago",$X1220="Recebido",$X1220="Cancelado"),0,MAX(0,TODAY()-$C1220))</f>
        <v/>
      </c>
      <c r="AK1220" s="24">
        <f>IF($D1220="","",$D1220-$B1220)</f>
        <v/>
      </c>
      <c r="AL1220" s="18">
        <f>IF(OR($D1220="",$B1220=""),"",ROUND(N($R1220)*($D1220-$B1220),2))</f>
        <v/>
      </c>
      <c r="AM1220" s="17">
        <f>IF(AND($E1220="Saída",$W1220&gt;0,$C1220&lt;&gt;""),$C1220+ROW()/1000000,"")</f>
        <v/>
      </c>
      <c r="AN1220" s="17">
        <f>IF(AND($E1220="Entrada",$W1220&gt;0,$C1220&lt;&gt;""),$C1220+ROW()/1000000,"")</f>
        <v/>
      </c>
      <c r="AO1220" s="9">
        <f>IF(COUNTA($B1220:$R1220)=0,"",IF(AND($I1220&lt;&gt;"",COUNTIF(CLIENTES_NOMES,$I1220)+COUNTIF(CLIENTES_FANTASIA,$I1220)+COUNTIF(FORNECEDORES_NOMES,$I1220)+COUNTIF(FORNECEDORES_FANTASIA,$I1220)=0),"⚠ Cliente/Fornecedor não cadastrado",IF(AND($G1220&lt;&gt;"",COUNTIF(SUBCATEGORIAS_PLANO,$G1220)=0),"⚠ Subcategoria fora do plano de contas",IF(OR($Q1220="",N($Q1220)=0),"⚠ Valor previsto não informado",IF(AND(OR($X1220="Pago",$X1220="Recebido"),$D1220=""),"⚠ Status pago/recebido sem data",IF(AND($D1220&lt;&gt;"",N($R1220)=0),"⚠ Data de pagamento sem valor realizado",IF(AND(N($P1220)&gt;1,N($O1220)&gt;N($P1220)),"⚠ Nº da parcela maior que o total",IF(AND($C1220&lt;&gt;"",$B1220&lt;&gt;"",$C1220&lt;$B1220),"⚠ Vencimento anterior à competência","OK"))))))))</f>
        <v/>
      </c>
    </row>
    <row r="1221">
      <c r="A1221" s="14" t="n"/>
      <c r="B1221" s="36" t="n"/>
      <c r="C1221" s="36" t="n"/>
      <c r="D1221" s="36" t="n"/>
      <c r="E1221" s="14" t="n"/>
      <c r="F1221" s="29" t="n"/>
      <c r="G1221" s="29" t="n"/>
      <c r="H1221" s="29" t="n"/>
      <c r="I1221" s="29" t="n"/>
      <c r="J1221" s="29" t="n"/>
      <c r="K1221" s="14" t="n"/>
      <c r="L1221" s="29" t="n"/>
      <c r="M1221" s="14" t="n"/>
      <c r="N1221" s="29" t="n"/>
      <c r="O1221" s="13" t="n"/>
      <c r="P1221" s="13" t="n"/>
      <c r="Q1221" s="35" t="n"/>
      <c r="R1221" s="35" t="n"/>
      <c r="S1221" s="35" t="n"/>
      <c r="T1221" s="35" t="n"/>
      <c r="U1221" s="35" t="n"/>
      <c r="V1221" s="18">
        <f>IF(COUNTA($B1221:$R1221)=0,"",ROUND(N($R1221)+N($S1221)+N($T1221)-N($U1221),2))</f>
        <v/>
      </c>
      <c r="W1221" s="18">
        <f>IF(COUNTA($B1221:$R1221)=0,"",IF(OR($X1221="Pago",$X1221="Recebido",$X1221="Cancelado"),0,ROUND(N($Q1221)+N($S1221)+N($T1221)-N($U1221)-N($R1221),2)))</f>
        <v/>
      </c>
      <c r="X1221" s="14" t="n"/>
      <c r="Y1221" s="17">
        <f>IF(COUNTA($B1221:$R1221)=0,"",IF($X1221="Cancelado","Cancelado",IF(OR($X1221="Pago",$X1221="Recebido"),$X1221,IF(OR($X1221="Parcial",N($R1221)&gt;0),"Parcial",IF($C1221="","Sem vencimento",IF($C1221&lt;TODAY(),"Vencido",IF($C1221=TODAY(),"Vence hoje",IF($C1221&lt;=TODAY()+7,"Vence em 7 dias",IF($C1221&lt;=TODAY()+30,"Vence em 30 dias","Futuro")))))))))</f>
        <v/>
      </c>
      <c r="Z1221" s="24">
        <f>IF($B1221="","",MONTH($B1221))</f>
        <v/>
      </c>
      <c r="AA1221" s="24">
        <f>IF($B1221="","",YEAR($B1221))</f>
        <v/>
      </c>
      <c r="AB1221" s="24">
        <f>IF($B1221="","",ISOWEEKNUM($B1221))</f>
        <v/>
      </c>
      <c r="AC1221" s="17">
        <f>IF($B1221="","",CHOOSE(WEEKDAY($B1221,2),"Segunda","Terça","Quarta","Quinta","Sexta","Sábado","Domingo"))</f>
        <v/>
      </c>
      <c r="AD1221" s="17">
        <f>IF($B1221="","",TEXT($B1221,"MM/AAAA"))</f>
        <v/>
      </c>
      <c r="AE1221" s="18">
        <f>IF(COUNTA($B1221:$R1221)=0,"",IF($X1221="Cancelado",0,ROUND(N($Q1221)+N($S1221)+N($T1221)-N($U1221),2)))</f>
        <v/>
      </c>
      <c r="AF1221" s="9">
        <f>IF($G1221="","",IFERROR(INDEX(LINHAS_DRE_PLANO,MATCH($G1221,SUBCATEGORIAS_PLANO,0)),"Não classificado"))</f>
        <v/>
      </c>
      <c r="AG1221" s="17">
        <f>IF($G1221="","",IFERROR(INDEX(TIPOS_FLUXO_PLANO,MATCH($G1221,SUBCATEGORIAS_PLANO,0)),"Não classificado"))</f>
        <v/>
      </c>
      <c r="AH1221" s="9">
        <f>IF($G1221="","",IFERROR(INDEX(GRUPOS_PLANO,MATCH($G1221,SUBCATEGORIAS_PLANO,0)),"Não classificado"))</f>
        <v/>
      </c>
      <c r="AI1221" s="24">
        <f>IF(OR($C1221="",$X1221="Pago",$X1221="Recebido",$X1221="Cancelado"),"",$C1221-TODAY())</f>
        <v/>
      </c>
      <c r="AJ1221" s="24">
        <f>IF(OR($C1221="",$X1221="Pago",$X1221="Recebido",$X1221="Cancelado"),0,MAX(0,TODAY()-$C1221))</f>
        <v/>
      </c>
      <c r="AK1221" s="24">
        <f>IF($D1221="","",$D1221-$B1221)</f>
        <v/>
      </c>
      <c r="AL1221" s="18">
        <f>IF(OR($D1221="",$B1221=""),"",ROUND(N($R1221)*($D1221-$B1221),2))</f>
        <v/>
      </c>
      <c r="AM1221" s="17">
        <f>IF(AND($E1221="Saída",$W1221&gt;0,$C1221&lt;&gt;""),$C1221+ROW()/1000000,"")</f>
        <v/>
      </c>
      <c r="AN1221" s="17">
        <f>IF(AND($E1221="Entrada",$W1221&gt;0,$C1221&lt;&gt;""),$C1221+ROW()/1000000,"")</f>
        <v/>
      </c>
      <c r="AO1221" s="9">
        <f>IF(COUNTA($B1221:$R1221)=0,"",IF(AND($I1221&lt;&gt;"",COUNTIF(CLIENTES_NOMES,$I1221)+COUNTIF(CLIENTES_FANTASIA,$I1221)+COUNTIF(FORNECEDORES_NOMES,$I1221)+COUNTIF(FORNECEDORES_FANTASIA,$I1221)=0),"⚠ Cliente/Fornecedor não cadastrado",IF(AND($G1221&lt;&gt;"",COUNTIF(SUBCATEGORIAS_PLANO,$G1221)=0),"⚠ Subcategoria fora do plano de contas",IF(OR($Q1221="",N($Q1221)=0),"⚠ Valor previsto não informado",IF(AND(OR($X1221="Pago",$X1221="Recebido"),$D1221=""),"⚠ Status pago/recebido sem data",IF(AND($D1221&lt;&gt;"",N($R1221)=0),"⚠ Data de pagamento sem valor realizado",IF(AND(N($P1221)&gt;1,N($O1221)&gt;N($P1221)),"⚠ Nº da parcela maior que o total",IF(AND($C1221&lt;&gt;"",$B1221&lt;&gt;"",$C1221&lt;$B1221),"⚠ Vencimento anterior à competência","OK"))))))))</f>
        <v/>
      </c>
    </row>
    <row r="1222">
      <c r="A1222" s="14" t="n"/>
      <c r="B1222" s="36" t="n"/>
      <c r="C1222" s="36" t="n"/>
      <c r="D1222" s="36" t="n"/>
      <c r="E1222" s="14" t="n"/>
      <c r="F1222" s="29" t="n"/>
      <c r="G1222" s="29" t="n"/>
      <c r="H1222" s="29" t="n"/>
      <c r="I1222" s="29" t="n"/>
      <c r="J1222" s="29" t="n"/>
      <c r="K1222" s="14" t="n"/>
      <c r="L1222" s="29" t="n"/>
      <c r="M1222" s="14" t="n"/>
      <c r="N1222" s="29" t="n"/>
      <c r="O1222" s="13" t="n"/>
      <c r="P1222" s="13" t="n"/>
      <c r="Q1222" s="35" t="n"/>
      <c r="R1222" s="35" t="n"/>
      <c r="S1222" s="35" t="n"/>
      <c r="T1222" s="35" t="n"/>
      <c r="U1222" s="35" t="n"/>
      <c r="V1222" s="18">
        <f>IF(COUNTA($B1222:$R1222)=0,"",ROUND(N($R1222)+N($S1222)+N($T1222)-N($U1222),2))</f>
        <v/>
      </c>
      <c r="W1222" s="18">
        <f>IF(COUNTA($B1222:$R1222)=0,"",IF(OR($X1222="Pago",$X1222="Recebido",$X1222="Cancelado"),0,ROUND(N($Q1222)+N($S1222)+N($T1222)-N($U1222)-N($R1222),2)))</f>
        <v/>
      </c>
      <c r="X1222" s="14" t="n"/>
      <c r="Y1222" s="17">
        <f>IF(COUNTA($B1222:$R1222)=0,"",IF($X1222="Cancelado","Cancelado",IF(OR($X1222="Pago",$X1222="Recebido"),$X1222,IF(OR($X1222="Parcial",N($R1222)&gt;0),"Parcial",IF($C1222="","Sem vencimento",IF($C1222&lt;TODAY(),"Vencido",IF($C1222=TODAY(),"Vence hoje",IF($C1222&lt;=TODAY()+7,"Vence em 7 dias",IF($C1222&lt;=TODAY()+30,"Vence em 30 dias","Futuro")))))))))</f>
        <v/>
      </c>
      <c r="Z1222" s="24">
        <f>IF($B1222="","",MONTH($B1222))</f>
        <v/>
      </c>
      <c r="AA1222" s="24">
        <f>IF($B1222="","",YEAR($B1222))</f>
        <v/>
      </c>
      <c r="AB1222" s="24">
        <f>IF($B1222="","",ISOWEEKNUM($B1222))</f>
        <v/>
      </c>
      <c r="AC1222" s="17">
        <f>IF($B1222="","",CHOOSE(WEEKDAY($B1222,2),"Segunda","Terça","Quarta","Quinta","Sexta","Sábado","Domingo"))</f>
        <v/>
      </c>
      <c r="AD1222" s="17">
        <f>IF($B1222="","",TEXT($B1222,"MM/AAAA"))</f>
        <v/>
      </c>
      <c r="AE1222" s="18">
        <f>IF(COUNTA($B1222:$R1222)=0,"",IF($X1222="Cancelado",0,ROUND(N($Q1222)+N($S1222)+N($T1222)-N($U1222),2)))</f>
        <v/>
      </c>
      <c r="AF1222" s="9">
        <f>IF($G1222="","",IFERROR(INDEX(LINHAS_DRE_PLANO,MATCH($G1222,SUBCATEGORIAS_PLANO,0)),"Não classificado"))</f>
        <v/>
      </c>
      <c r="AG1222" s="17">
        <f>IF($G1222="","",IFERROR(INDEX(TIPOS_FLUXO_PLANO,MATCH($G1222,SUBCATEGORIAS_PLANO,0)),"Não classificado"))</f>
        <v/>
      </c>
      <c r="AH1222" s="9">
        <f>IF($G1222="","",IFERROR(INDEX(GRUPOS_PLANO,MATCH($G1222,SUBCATEGORIAS_PLANO,0)),"Não classificado"))</f>
        <v/>
      </c>
      <c r="AI1222" s="24">
        <f>IF(OR($C1222="",$X1222="Pago",$X1222="Recebido",$X1222="Cancelado"),"",$C1222-TODAY())</f>
        <v/>
      </c>
      <c r="AJ1222" s="24">
        <f>IF(OR($C1222="",$X1222="Pago",$X1222="Recebido",$X1222="Cancelado"),0,MAX(0,TODAY()-$C1222))</f>
        <v/>
      </c>
      <c r="AK1222" s="24">
        <f>IF($D1222="","",$D1222-$B1222)</f>
        <v/>
      </c>
      <c r="AL1222" s="18">
        <f>IF(OR($D1222="",$B1222=""),"",ROUND(N($R1222)*($D1222-$B1222),2))</f>
        <v/>
      </c>
      <c r="AM1222" s="17">
        <f>IF(AND($E1222="Saída",$W1222&gt;0,$C1222&lt;&gt;""),$C1222+ROW()/1000000,"")</f>
        <v/>
      </c>
      <c r="AN1222" s="17">
        <f>IF(AND($E1222="Entrada",$W1222&gt;0,$C1222&lt;&gt;""),$C1222+ROW()/1000000,"")</f>
        <v/>
      </c>
      <c r="AO1222" s="9">
        <f>IF(COUNTA($B1222:$R1222)=0,"",IF(AND($I1222&lt;&gt;"",COUNTIF(CLIENTES_NOMES,$I1222)+COUNTIF(CLIENTES_FANTASIA,$I1222)+COUNTIF(FORNECEDORES_NOMES,$I1222)+COUNTIF(FORNECEDORES_FANTASIA,$I1222)=0),"⚠ Cliente/Fornecedor não cadastrado",IF(AND($G1222&lt;&gt;"",COUNTIF(SUBCATEGORIAS_PLANO,$G1222)=0),"⚠ Subcategoria fora do plano de contas",IF(OR($Q1222="",N($Q1222)=0),"⚠ Valor previsto não informado",IF(AND(OR($X1222="Pago",$X1222="Recebido"),$D1222=""),"⚠ Status pago/recebido sem data",IF(AND($D1222&lt;&gt;"",N($R1222)=0),"⚠ Data de pagamento sem valor realizado",IF(AND(N($P1222)&gt;1,N($O1222)&gt;N($P1222)),"⚠ Nº da parcela maior que o total",IF(AND($C1222&lt;&gt;"",$B1222&lt;&gt;"",$C1222&lt;$B1222),"⚠ Vencimento anterior à competência","OK"))))))))</f>
        <v/>
      </c>
    </row>
    <row r="1223">
      <c r="A1223" s="14" t="n"/>
      <c r="B1223" s="36" t="n"/>
      <c r="C1223" s="36" t="n"/>
      <c r="D1223" s="36" t="n"/>
      <c r="E1223" s="14" t="n"/>
      <c r="F1223" s="29" t="n"/>
      <c r="G1223" s="29" t="n"/>
      <c r="H1223" s="29" t="n"/>
      <c r="I1223" s="29" t="n"/>
      <c r="J1223" s="29" t="n"/>
      <c r="K1223" s="14" t="n"/>
      <c r="L1223" s="29" t="n"/>
      <c r="M1223" s="14" t="n"/>
      <c r="N1223" s="29" t="n"/>
      <c r="O1223" s="13" t="n"/>
      <c r="P1223" s="13" t="n"/>
      <c r="Q1223" s="35" t="n"/>
      <c r="R1223" s="35" t="n"/>
      <c r="S1223" s="35" t="n"/>
      <c r="T1223" s="35" t="n"/>
      <c r="U1223" s="35" t="n"/>
      <c r="V1223" s="18">
        <f>IF(COUNTA($B1223:$R1223)=0,"",ROUND(N($R1223)+N($S1223)+N($T1223)-N($U1223),2))</f>
        <v/>
      </c>
      <c r="W1223" s="18">
        <f>IF(COUNTA($B1223:$R1223)=0,"",IF(OR($X1223="Pago",$X1223="Recebido",$X1223="Cancelado"),0,ROUND(N($Q1223)+N($S1223)+N($T1223)-N($U1223)-N($R1223),2)))</f>
        <v/>
      </c>
      <c r="X1223" s="14" t="n"/>
      <c r="Y1223" s="17">
        <f>IF(COUNTA($B1223:$R1223)=0,"",IF($X1223="Cancelado","Cancelado",IF(OR($X1223="Pago",$X1223="Recebido"),$X1223,IF(OR($X1223="Parcial",N($R1223)&gt;0),"Parcial",IF($C1223="","Sem vencimento",IF($C1223&lt;TODAY(),"Vencido",IF($C1223=TODAY(),"Vence hoje",IF($C1223&lt;=TODAY()+7,"Vence em 7 dias",IF($C1223&lt;=TODAY()+30,"Vence em 30 dias","Futuro")))))))))</f>
        <v/>
      </c>
      <c r="Z1223" s="24">
        <f>IF($B1223="","",MONTH($B1223))</f>
        <v/>
      </c>
      <c r="AA1223" s="24">
        <f>IF($B1223="","",YEAR($B1223))</f>
        <v/>
      </c>
      <c r="AB1223" s="24">
        <f>IF($B1223="","",ISOWEEKNUM($B1223))</f>
        <v/>
      </c>
      <c r="AC1223" s="17">
        <f>IF($B1223="","",CHOOSE(WEEKDAY($B1223,2),"Segunda","Terça","Quarta","Quinta","Sexta","Sábado","Domingo"))</f>
        <v/>
      </c>
      <c r="AD1223" s="17">
        <f>IF($B1223="","",TEXT($B1223,"MM/AAAA"))</f>
        <v/>
      </c>
      <c r="AE1223" s="18">
        <f>IF(COUNTA($B1223:$R1223)=0,"",IF($X1223="Cancelado",0,ROUND(N($Q1223)+N($S1223)+N($T1223)-N($U1223),2)))</f>
        <v/>
      </c>
      <c r="AF1223" s="9">
        <f>IF($G1223="","",IFERROR(INDEX(LINHAS_DRE_PLANO,MATCH($G1223,SUBCATEGORIAS_PLANO,0)),"Não classificado"))</f>
        <v/>
      </c>
      <c r="AG1223" s="17">
        <f>IF($G1223="","",IFERROR(INDEX(TIPOS_FLUXO_PLANO,MATCH($G1223,SUBCATEGORIAS_PLANO,0)),"Não classificado"))</f>
        <v/>
      </c>
      <c r="AH1223" s="9">
        <f>IF($G1223="","",IFERROR(INDEX(GRUPOS_PLANO,MATCH($G1223,SUBCATEGORIAS_PLANO,0)),"Não classificado"))</f>
        <v/>
      </c>
      <c r="AI1223" s="24">
        <f>IF(OR($C1223="",$X1223="Pago",$X1223="Recebido",$X1223="Cancelado"),"",$C1223-TODAY())</f>
        <v/>
      </c>
      <c r="AJ1223" s="24">
        <f>IF(OR($C1223="",$X1223="Pago",$X1223="Recebido",$X1223="Cancelado"),0,MAX(0,TODAY()-$C1223))</f>
        <v/>
      </c>
      <c r="AK1223" s="24">
        <f>IF($D1223="","",$D1223-$B1223)</f>
        <v/>
      </c>
      <c r="AL1223" s="18">
        <f>IF(OR($D1223="",$B1223=""),"",ROUND(N($R1223)*($D1223-$B1223),2))</f>
        <v/>
      </c>
      <c r="AM1223" s="17">
        <f>IF(AND($E1223="Saída",$W1223&gt;0,$C1223&lt;&gt;""),$C1223+ROW()/1000000,"")</f>
        <v/>
      </c>
      <c r="AN1223" s="17">
        <f>IF(AND($E1223="Entrada",$W1223&gt;0,$C1223&lt;&gt;""),$C1223+ROW()/1000000,"")</f>
        <v/>
      </c>
      <c r="AO1223" s="9">
        <f>IF(COUNTA($B1223:$R1223)=0,"",IF(AND($I1223&lt;&gt;"",COUNTIF(CLIENTES_NOMES,$I1223)+COUNTIF(CLIENTES_FANTASIA,$I1223)+COUNTIF(FORNECEDORES_NOMES,$I1223)+COUNTIF(FORNECEDORES_FANTASIA,$I1223)=0),"⚠ Cliente/Fornecedor não cadastrado",IF(AND($G1223&lt;&gt;"",COUNTIF(SUBCATEGORIAS_PLANO,$G1223)=0),"⚠ Subcategoria fora do plano de contas",IF(OR($Q1223="",N($Q1223)=0),"⚠ Valor previsto não informado",IF(AND(OR($X1223="Pago",$X1223="Recebido"),$D1223=""),"⚠ Status pago/recebido sem data",IF(AND($D1223&lt;&gt;"",N($R1223)=0),"⚠ Data de pagamento sem valor realizado",IF(AND(N($P1223)&gt;1,N($O1223)&gt;N($P1223)),"⚠ Nº da parcela maior que o total",IF(AND($C1223&lt;&gt;"",$B1223&lt;&gt;"",$C1223&lt;$B1223),"⚠ Vencimento anterior à competência","OK"))))))))</f>
        <v/>
      </c>
    </row>
    <row r="1224">
      <c r="A1224" s="14" t="n"/>
      <c r="B1224" s="36" t="n"/>
      <c r="C1224" s="36" t="n"/>
      <c r="D1224" s="36" t="n"/>
      <c r="E1224" s="14" t="n"/>
      <c r="F1224" s="29" t="n"/>
      <c r="G1224" s="29" t="n"/>
      <c r="H1224" s="29" t="n"/>
      <c r="I1224" s="29" t="n"/>
      <c r="J1224" s="29" t="n"/>
      <c r="K1224" s="14" t="n"/>
      <c r="L1224" s="29" t="n"/>
      <c r="M1224" s="14" t="n"/>
      <c r="N1224" s="29" t="n"/>
      <c r="O1224" s="13" t="n"/>
      <c r="P1224" s="13" t="n"/>
      <c r="Q1224" s="35" t="n"/>
      <c r="R1224" s="35" t="n"/>
      <c r="S1224" s="35" t="n"/>
      <c r="T1224" s="35" t="n"/>
      <c r="U1224" s="35" t="n"/>
      <c r="V1224" s="18">
        <f>IF(COUNTA($B1224:$R1224)=0,"",ROUND(N($R1224)+N($S1224)+N($T1224)-N($U1224),2))</f>
        <v/>
      </c>
      <c r="W1224" s="18">
        <f>IF(COUNTA($B1224:$R1224)=0,"",IF(OR($X1224="Pago",$X1224="Recebido",$X1224="Cancelado"),0,ROUND(N($Q1224)+N($S1224)+N($T1224)-N($U1224)-N($R1224),2)))</f>
        <v/>
      </c>
      <c r="X1224" s="14" t="n"/>
      <c r="Y1224" s="17">
        <f>IF(COUNTA($B1224:$R1224)=0,"",IF($X1224="Cancelado","Cancelado",IF(OR($X1224="Pago",$X1224="Recebido"),$X1224,IF(OR($X1224="Parcial",N($R1224)&gt;0),"Parcial",IF($C1224="","Sem vencimento",IF($C1224&lt;TODAY(),"Vencido",IF($C1224=TODAY(),"Vence hoje",IF($C1224&lt;=TODAY()+7,"Vence em 7 dias",IF($C1224&lt;=TODAY()+30,"Vence em 30 dias","Futuro")))))))))</f>
        <v/>
      </c>
      <c r="Z1224" s="24">
        <f>IF($B1224="","",MONTH($B1224))</f>
        <v/>
      </c>
      <c r="AA1224" s="24">
        <f>IF($B1224="","",YEAR($B1224))</f>
        <v/>
      </c>
      <c r="AB1224" s="24">
        <f>IF($B1224="","",ISOWEEKNUM($B1224))</f>
        <v/>
      </c>
      <c r="AC1224" s="17">
        <f>IF($B1224="","",CHOOSE(WEEKDAY($B1224,2),"Segunda","Terça","Quarta","Quinta","Sexta","Sábado","Domingo"))</f>
        <v/>
      </c>
      <c r="AD1224" s="17">
        <f>IF($B1224="","",TEXT($B1224,"MM/AAAA"))</f>
        <v/>
      </c>
      <c r="AE1224" s="18">
        <f>IF(COUNTA($B1224:$R1224)=0,"",IF($X1224="Cancelado",0,ROUND(N($Q1224)+N($S1224)+N($T1224)-N($U1224),2)))</f>
        <v/>
      </c>
      <c r="AF1224" s="9">
        <f>IF($G1224="","",IFERROR(INDEX(LINHAS_DRE_PLANO,MATCH($G1224,SUBCATEGORIAS_PLANO,0)),"Não classificado"))</f>
        <v/>
      </c>
      <c r="AG1224" s="17">
        <f>IF($G1224="","",IFERROR(INDEX(TIPOS_FLUXO_PLANO,MATCH($G1224,SUBCATEGORIAS_PLANO,0)),"Não classificado"))</f>
        <v/>
      </c>
      <c r="AH1224" s="9">
        <f>IF($G1224="","",IFERROR(INDEX(GRUPOS_PLANO,MATCH($G1224,SUBCATEGORIAS_PLANO,0)),"Não classificado"))</f>
        <v/>
      </c>
      <c r="AI1224" s="24">
        <f>IF(OR($C1224="",$X1224="Pago",$X1224="Recebido",$X1224="Cancelado"),"",$C1224-TODAY())</f>
        <v/>
      </c>
      <c r="AJ1224" s="24">
        <f>IF(OR($C1224="",$X1224="Pago",$X1224="Recebido",$X1224="Cancelado"),0,MAX(0,TODAY()-$C1224))</f>
        <v/>
      </c>
      <c r="AK1224" s="24">
        <f>IF($D1224="","",$D1224-$B1224)</f>
        <v/>
      </c>
      <c r="AL1224" s="18">
        <f>IF(OR($D1224="",$B1224=""),"",ROUND(N($R1224)*($D1224-$B1224),2))</f>
        <v/>
      </c>
      <c r="AM1224" s="17">
        <f>IF(AND($E1224="Saída",$W1224&gt;0,$C1224&lt;&gt;""),$C1224+ROW()/1000000,"")</f>
        <v/>
      </c>
      <c r="AN1224" s="17">
        <f>IF(AND($E1224="Entrada",$W1224&gt;0,$C1224&lt;&gt;""),$C1224+ROW()/1000000,"")</f>
        <v/>
      </c>
      <c r="AO1224" s="9">
        <f>IF(COUNTA($B1224:$R1224)=0,"",IF(AND($I1224&lt;&gt;"",COUNTIF(CLIENTES_NOMES,$I1224)+COUNTIF(CLIENTES_FANTASIA,$I1224)+COUNTIF(FORNECEDORES_NOMES,$I1224)+COUNTIF(FORNECEDORES_FANTASIA,$I1224)=0),"⚠ Cliente/Fornecedor não cadastrado",IF(AND($G1224&lt;&gt;"",COUNTIF(SUBCATEGORIAS_PLANO,$G1224)=0),"⚠ Subcategoria fora do plano de contas",IF(OR($Q1224="",N($Q1224)=0),"⚠ Valor previsto não informado",IF(AND(OR($X1224="Pago",$X1224="Recebido"),$D1224=""),"⚠ Status pago/recebido sem data",IF(AND($D1224&lt;&gt;"",N($R1224)=0),"⚠ Data de pagamento sem valor realizado",IF(AND(N($P1224)&gt;1,N($O1224)&gt;N($P1224)),"⚠ Nº da parcela maior que o total",IF(AND($C1224&lt;&gt;"",$B1224&lt;&gt;"",$C1224&lt;$B1224),"⚠ Vencimento anterior à competência","OK"))))))))</f>
        <v/>
      </c>
    </row>
    <row r="1225">
      <c r="A1225" s="14" t="n"/>
      <c r="B1225" s="36" t="n"/>
      <c r="C1225" s="36" t="n"/>
      <c r="D1225" s="36" t="n"/>
      <c r="E1225" s="14" t="n"/>
      <c r="F1225" s="29" t="n"/>
      <c r="G1225" s="29" t="n"/>
      <c r="H1225" s="29" t="n"/>
      <c r="I1225" s="29" t="n"/>
      <c r="J1225" s="29" t="n"/>
      <c r="K1225" s="14" t="n"/>
      <c r="L1225" s="29" t="n"/>
      <c r="M1225" s="14" t="n"/>
      <c r="N1225" s="29" t="n"/>
      <c r="O1225" s="13" t="n"/>
      <c r="P1225" s="13" t="n"/>
      <c r="Q1225" s="35" t="n"/>
      <c r="R1225" s="35" t="n"/>
      <c r="S1225" s="35" t="n"/>
      <c r="T1225" s="35" t="n"/>
      <c r="U1225" s="35" t="n"/>
      <c r="V1225" s="18">
        <f>IF(COUNTA($B1225:$R1225)=0,"",ROUND(N($R1225)+N($S1225)+N($T1225)-N($U1225),2))</f>
        <v/>
      </c>
      <c r="W1225" s="18">
        <f>IF(COUNTA($B1225:$R1225)=0,"",IF(OR($X1225="Pago",$X1225="Recebido",$X1225="Cancelado"),0,ROUND(N($Q1225)+N($S1225)+N($T1225)-N($U1225)-N($R1225),2)))</f>
        <v/>
      </c>
      <c r="X1225" s="14" t="n"/>
      <c r="Y1225" s="17">
        <f>IF(COUNTA($B1225:$R1225)=0,"",IF($X1225="Cancelado","Cancelado",IF(OR($X1225="Pago",$X1225="Recebido"),$X1225,IF(OR($X1225="Parcial",N($R1225)&gt;0),"Parcial",IF($C1225="","Sem vencimento",IF($C1225&lt;TODAY(),"Vencido",IF($C1225=TODAY(),"Vence hoje",IF($C1225&lt;=TODAY()+7,"Vence em 7 dias",IF($C1225&lt;=TODAY()+30,"Vence em 30 dias","Futuro")))))))))</f>
        <v/>
      </c>
      <c r="Z1225" s="24">
        <f>IF($B1225="","",MONTH($B1225))</f>
        <v/>
      </c>
      <c r="AA1225" s="24">
        <f>IF($B1225="","",YEAR($B1225))</f>
        <v/>
      </c>
      <c r="AB1225" s="24">
        <f>IF($B1225="","",ISOWEEKNUM($B1225))</f>
        <v/>
      </c>
      <c r="AC1225" s="17">
        <f>IF($B1225="","",CHOOSE(WEEKDAY($B1225,2),"Segunda","Terça","Quarta","Quinta","Sexta","Sábado","Domingo"))</f>
        <v/>
      </c>
      <c r="AD1225" s="17">
        <f>IF($B1225="","",TEXT($B1225,"MM/AAAA"))</f>
        <v/>
      </c>
      <c r="AE1225" s="18">
        <f>IF(COUNTA($B1225:$R1225)=0,"",IF($X1225="Cancelado",0,ROUND(N($Q1225)+N($S1225)+N($T1225)-N($U1225),2)))</f>
        <v/>
      </c>
      <c r="AF1225" s="9">
        <f>IF($G1225="","",IFERROR(INDEX(LINHAS_DRE_PLANO,MATCH($G1225,SUBCATEGORIAS_PLANO,0)),"Não classificado"))</f>
        <v/>
      </c>
      <c r="AG1225" s="17">
        <f>IF($G1225="","",IFERROR(INDEX(TIPOS_FLUXO_PLANO,MATCH($G1225,SUBCATEGORIAS_PLANO,0)),"Não classificado"))</f>
        <v/>
      </c>
      <c r="AH1225" s="9">
        <f>IF($G1225="","",IFERROR(INDEX(GRUPOS_PLANO,MATCH($G1225,SUBCATEGORIAS_PLANO,0)),"Não classificado"))</f>
        <v/>
      </c>
      <c r="AI1225" s="24">
        <f>IF(OR($C1225="",$X1225="Pago",$X1225="Recebido",$X1225="Cancelado"),"",$C1225-TODAY())</f>
        <v/>
      </c>
      <c r="AJ1225" s="24">
        <f>IF(OR($C1225="",$X1225="Pago",$X1225="Recebido",$X1225="Cancelado"),0,MAX(0,TODAY()-$C1225))</f>
        <v/>
      </c>
      <c r="AK1225" s="24">
        <f>IF($D1225="","",$D1225-$B1225)</f>
        <v/>
      </c>
      <c r="AL1225" s="18">
        <f>IF(OR($D1225="",$B1225=""),"",ROUND(N($R1225)*($D1225-$B1225),2))</f>
        <v/>
      </c>
      <c r="AM1225" s="17">
        <f>IF(AND($E1225="Saída",$W1225&gt;0,$C1225&lt;&gt;""),$C1225+ROW()/1000000,"")</f>
        <v/>
      </c>
      <c r="AN1225" s="17">
        <f>IF(AND($E1225="Entrada",$W1225&gt;0,$C1225&lt;&gt;""),$C1225+ROW()/1000000,"")</f>
        <v/>
      </c>
      <c r="AO1225" s="9">
        <f>IF(COUNTA($B1225:$R1225)=0,"",IF(AND($I1225&lt;&gt;"",COUNTIF(CLIENTES_NOMES,$I1225)+COUNTIF(CLIENTES_FANTASIA,$I1225)+COUNTIF(FORNECEDORES_NOMES,$I1225)+COUNTIF(FORNECEDORES_FANTASIA,$I1225)=0),"⚠ Cliente/Fornecedor não cadastrado",IF(AND($G1225&lt;&gt;"",COUNTIF(SUBCATEGORIAS_PLANO,$G1225)=0),"⚠ Subcategoria fora do plano de contas",IF(OR($Q1225="",N($Q1225)=0),"⚠ Valor previsto não informado",IF(AND(OR($X1225="Pago",$X1225="Recebido"),$D1225=""),"⚠ Status pago/recebido sem data",IF(AND($D1225&lt;&gt;"",N($R1225)=0),"⚠ Data de pagamento sem valor realizado",IF(AND(N($P1225)&gt;1,N($O1225)&gt;N($P1225)),"⚠ Nº da parcela maior que o total",IF(AND($C1225&lt;&gt;"",$B1225&lt;&gt;"",$C1225&lt;$B1225),"⚠ Vencimento anterior à competência","OK"))))))))</f>
        <v/>
      </c>
    </row>
    <row r="1226">
      <c r="A1226" s="14" t="n"/>
      <c r="B1226" s="36" t="n"/>
      <c r="C1226" s="36" t="n"/>
      <c r="D1226" s="36" t="n"/>
      <c r="E1226" s="14" t="n"/>
      <c r="F1226" s="29" t="n"/>
      <c r="G1226" s="29" t="n"/>
      <c r="H1226" s="29" t="n"/>
      <c r="I1226" s="29" t="n"/>
      <c r="J1226" s="29" t="n"/>
      <c r="K1226" s="14" t="n"/>
      <c r="L1226" s="29" t="n"/>
      <c r="M1226" s="14" t="n"/>
      <c r="N1226" s="29" t="n"/>
      <c r="O1226" s="13" t="n"/>
      <c r="P1226" s="13" t="n"/>
      <c r="Q1226" s="35" t="n"/>
      <c r="R1226" s="35" t="n"/>
      <c r="S1226" s="35" t="n"/>
      <c r="T1226" s="35" t="n"/>
      <c r="U1226" s="35" t="n"/>
      <c r="V1226" s="18">
        <f>IF(COUNTA($B1226:$R1226)=0,"",ROUND(N($R1226)+N($S1226)+N($T1226)-N($U1226),2))</f>
        <v/>
      </c>
      <c r="W1226" s="18">
        <f>IF(COUNTA($B1226:$R1226)=0,"",IF(OR($X1226="Pago",$X1226="Recebido",$X1226="Cancelado"),0,ROUND(N($Q1226)+N($S1226)+N($T1226)-N($U1226)-N($R1226),2)))</f>
        <v/>
      </c>
      <c r="X1226" s="14" t="n"/>
      <c r="Y1226" s="17">
        <f>IF(COUNTA($B1226:$R1226)=0,"",IF($X1226="Cancelado","Cancelado",IF(OR($X1226="Pago",$X1226="Recebido"),$X1226,IF(OR($X1226="Parcial",N($R1226)&gt;0),"Parcial",IF($C1226="","Sem vencimento",IF($C1226&lt;TODAY(),"Vencido",IF($C1226=TODAY(),"Vence hoje",IF($C1226&lt;=TODAY()+7,"Vence em 7 dias",IF($C1226&lt;=TODAY()+30,"Vence em 30 dias","Futuro")))))))))</f>
        <v/>
      </c>
      <c r="Z1226" s="24">
        <f>IF($B1226="","",MONTH($B1226))</f>
        <v/>
      </c>
      <c r="AA1226" s="24">
        <f>IF($B1226="","",YEAR($B1226))</f>
        <v/>
      </c>
      <c r="AB1226" s="24">
        <f>IF($B1226="","",ISOWEEKNUM($B1226))</f>
        <v/>
      </c>
      <c r="AC1226" s="17">
        <f>IF($B1226="","",CHOOSE(WEEKDAY($B1226,2),"Segunda","Terça","Quarta","Quinta","Sexta","Sábado","Domingo"))</f>
        <v/>
      </c>
      <c r="AD1226" s="17">
        <f>IF($B1226="","",TEXT($B1226,"MM/AAAA"))</f>
        <v/>
      </c>
      <c r="AE1226" s="18">
        <f>IF(COUNTA($B1226:$R1226)=0,"",IF($X1226="Cancelado",0,ROUND(N($Q1226)+N($S1226)+N($T1226)-N($U1226),2)))</f>
        <v/>
      </c>
      <c r="AF1226" s="9">
        <f>IF($G1226="","",IFERROR(INDEX(LINHAS_DRE_PLANO,MATCH($G1226,SUBCATEGORIAS_PLANO,0)),"Não classificado"))</f>
        <v/>
      </c>
      <c r="AG1226" s="17">
        <f>IF($G1226="","",IFERROR(INDEX(TIPOS_FLUXO_PLANO,MATCH($G1226,SUBCATEGORIAS_PLANO,0)),"Não classificado"))</f>
        <v/>
      </c>
      <c r="AH1226" s="9">
        <f>IF($G1226="","",IFERROR(INDEX(GRUPOS_PLANO,MATCH($G1226,SUBCATEGORIAS_PLANO,0)),"Não classificado"))</f>
        <v/>
      </c>
      <c r="AI1226" s="24">
        <f>IF(OR($C1226="",$X1226="Pago",$X1226="Recebido",$X1226="Cancelado"),"",$C1226-TODAY())</f>
        <v/>
      </c>
      <c r="AJ1226" s="24">
        <f>IF(OR($C1226="",$X1226="Pago",$X1226="Recebido",$X1226="Cancelado"),0,MAX(0,TODAY()-$C1226))</f>
        <v/>
      </c>
      <c r="AK1226" s="24">
        <f>IF($D1226="","",$D1226-$B1226)</f>
        <v/>
      </c>
      <c r="AL1226" s="18">
        <f>IF(OR($D1226="",$B1226=""),"",ROUND(N($R1226)*($D1226-$B1226),2))</f>
        <v/>
      </c>
      <c r="AM1226" s="17">
        <f>IF(AND($E1226="Saída",$W1226&gt;0,$C1226&lt;&gt;""),$C1226+ROW()/1000000,"")</f>
        <v/>
      </c>
      <c r="AN1226" s="17">
        <f>IF(AND($E1226="Entrada",$W1226&gt;0,$C1226&lt;&gt;""),$C1226+ROW()/1000000,"")</f>
        <v/>
      </c>
      <c r="AO1226" s="9">
        <f>IF(COUNTA($B1226:$R1226)=0,"",IF(AND($I1226&lt;&gt;"",COUNTIF(CLIENTES_NOMES,$I1226)+COUNTIF(CLIENTES_FANTASIA,$I1226)+COUNTIF(FORNECEDORES_NOMES,$I1226)+COUNTIF(FORNECEDORES_FANTASIA,$I1226)=0),"⚠ Cliente/Fornecedor não cadastrado",IF(AND($G1226&lt;&gt;"",COUNTIF(SUBCATEGORIAS_PLANO,$G1226)=0),"⚠ Subcategoria fora do plano de contas",IF(OR($Q1226="",N($Q1226)=0),"⚠ Valor previsto não informado",IF(AND(OR($X1226="Pago",$X1226="Recebido"),$D1226=""),"⚠ Status pago/recebido sem data",IF(AND($D1226&lt;&gt;"",N($R1226)=0),"⚠ Data de pagamento sem valor realizado",IF(AND(N($P1226)&gt;1,N($O1226)&gt;N($P1226)),"⚠ Nº da parcela maior que o total",IF(AND($C1226&lt;&gt;"",$B1226&lt;&gt;"",$C1226&lt;$B1226),"⚠ Vencimento anterior à competência","OK"))))))))</f>
        <v/>
      </c>
    </row>
    <row r="1227">
      <c r="A1227" s="14" t="n"/>
      <c r="B1227" s="36" t="n"/>
      <c r="C1227" s="36" t="n"/>
      <c r="D1227" s="36" t="n"/>
      <c r="E1227" s="14" t="n"/>
      <c r="F1227" s="29" t="n"/>
      <c r="G1227" s="29" t="n"/>
      <c r="H1227" s="29" t="n"/>
      <c r="I1227" s="29" t="n"/>
      <c r="J1227" s="29" t="n"/>
      <c r="K1227" s="14" t="n"/>
      <c r="L1227" s="29" t="n"/>
      <c r="M1227" s="14" t="n"/>
      <c r="N1227" s="29" t="n"/>
      <c r="O1227" s="13" t="n"/>
      <c r="P1227" s="13" t="n"/>
      <c r="Q1227" s="35" t="n"/>
      <c r="R1227" s="35" t="n"/>
      <c r="S1227" s="35" t="n"/>
      <c r="T1227" s="35" t="n"/>
      <c r="U1227" s="35" t="n"/>
      <c r="V1227" s="18">
        <f>IF(COUNTA($B1227:$R1227)=0,"",ROUND(N($R1227)+N($S1227)+N($T1227)-N($U1227),2))</f>
        <v/>
      </c>
      <c r="W1227" s="18">
        <f>IF(COUNTA($B1227:$R1227)=0,"",IF(OR($X1227="Pago",$X1227="Recebido",$X1227="Cancelado"),0,ROUND(N($Q1227)+N($S1227)+N($T1227)-N($U1227)-N($R1227),2)))</f>
        <v/>
      </c>
      <c r="X1227" s="14" t="n"/>
      <c r="Y1227" s="17">
        <f>IF(COUNTA($B1227:$R1227)=0,"",IF($X1227="Cancelado","Cancelado",IF(OR($X1227="Pago",$X1227="Recebido"),$X1227,IF(OR($X1227="Parcial",N($R1227)&gt;0),"Parcial",IF($C1227="","Sem vencimento",IF($C1227&lt;TODAY(),"Vencido",IF($C1227=TODAY(),"Vence hoje",IF($C1227&lt;=TODAY()+7,"Vence em 7 dias",IF($C1227&lt;=TODAY()+30,"Vence em 30 dias","Futuro")))))))))</f>
        <v/>
      </c>
      <c r="Z1227" s="24">
        <f>IF($B1227="","",MONTH($B1227))</f>
        <v/>
      </c>
      <c r="AA1227" s="24">
        <f>IF($B1227="","",YEAR($B1227))</f>
        <v/>
      </c>
      <c r="AB1227" s="24">
        <f>IF($B1227="","",ISOWEEKNUM($B1227))</f>
        <v/>
      </c>
      <c r="AC1227" s="17">
        <f>IF($B1227="","",CHOOSE(WEEKDAY($B1227,2),"Segunda","Terça","Quarta","Quinta","Sexta","Sábado","Domingo"))</f>
        <v/>
      </c>
      <c r="AD1227" s="17">
        <f>IF($B1227="","",TEXT($B1227,"MM/AAAA"))</f>
        <v/>
      </c>
      <c r="AE1227" s="18">
        <f>IF(COUNTA($B1227:$R1227)=0,"",IF($X1227="Cancelado",0,ROUND(N($Q1227)+N($S1227)+N($T1227)-N($U1227),2)))</f>
        <v/>
      </c>
      <c r="AF1227" s="9">
        <f>IF($G1227="","",IFERROR(INDEX(LINHAS_DRE_PLANO,MATCH($G1227,SUBCATEGORIAS_PLANO,0)),"Não classificado"))</f>
        <v/>
      </c>
      <c r="AG1227" s="17">
        <f>IF($G1227="","",IFERROR(INDEX(TIPOS_FLUXO_PLANO,MATCH($G1227,SUBCATEGORIAS_PLANO,0)),"Não classificado"))</f>
        <v/>
      </c>
      <c r="AH1227" s="9">
        <f>IF($G1227="","",IFERROR(INDEX(GRUPOS_PLANO,MATCH($G1227,SUBCATEGORIAS_PLANO,0)),"Não classificado"))</f>
        <v/>
      </c>
      <c r="AI1227" s="24">
        <f>IF(OR($C1227="",$X1227="Pago",$X1227="Recebido",$X1227="Cancelado"),"",$C1227-TODAY())</f>
        <v/>
      </c>
      <c r="AJ1227" s="24">
        <f>IF(OR($C1227="",$X1227="Pago",$X1227="Recebido",$X1227="Cancelado"),0,MAX(0,TODAY()-$C1227))</f>
        <v/>
      </c>
      <c r="AK1227" s="24">
        <f>IF($D1227="","",$D1227-$B1227)</f>
        <v/>
      </c>
      <c r="AL1227" s="18">
        <f>IF(OR($D1227="",$B1227=""),"",ROUND(N($R1227)*($D1227-$B1227),2))</f>
        <v/>
      </c>
      <c r="AM1227" s="17">
        <f>IF(AND($E1227="Saída",$W1227&gt;0,$C1227&lt;&gt;""),$C1227+ROW()/1000000,"")</f>
        <v/>
      </c>
      <c r="AN1227" s="17">
        <f>IF(AND($E1227="Entrada",$W1227&gt;0,$C1227&lt;&gt;""),$C1227+ROW()/1000000,"")</f>
        <v/>
      </c>
      <c r="AO1227" s="9">
        <f>IF(COUNTA($B1227:$R1227)=0,"",IF(AND($I1227&lt;&gt;"",COUNTIF(CLIENTES_NOMES,$I1227)+COUNTIF(CLIENTES_FANTASIA,$I1227)+COUNTIF(FORNECEDORES_NOMES,$I1227)+COUNTIF(FORNECEDORES_FANTASIA,$I1227)=0),"⚠ Cliente/Fornecedor não cadastrado",IF(AND($G1227&lt;&gt;"",COUNTIF(SUBCATEGORIAS_PLANO,$G1227)=0),"⚠ Subcategoria fora do plano de contas",IF(OR($Q1227="",N($Q1227)=0),"⚠ Valor previsto não informado",IF(AND(OR($X1227="Pago",$X1227="Recebido"),$D1227=""),"⚠ Status pago/recebido sem data",IF(AND($D1227&lt;&gt;"",N($R1227)=0),"⚠ Data de pagamento sem valor realizado",IF(AND(N($P1227)&gt;1,N($O1227)&gt;N($P1227)),"⚠ Nº da parcela maior que o total",IF(AND($C1227&lt;&gt;"",$B1227&lt;&gt;"",$C1227&lt;$B1227),"⚠ Vencimento anterior à competência","OK"))))))))</f>
        <v/>
      </c>
    </row>
    <row r="1228">
      <c r="A1228" s="14" t="n"/>
      <c r="B1228" s="36" t="n"/>
      <c r="C1228" s="36" t="n"/>
      <c r="D1228" s="36" t="n"/>
      <c r="E1228" s="14" t="n"/>
      <c r="F1228" s="29" t="n"/>
      <c r="G1228" s="29" t="n"/>
      <c r="H1228" s="29" t="n"/>
      <c r="I1228" s="29" t="n"/>
      <c r="J1228" s="29" t="n"/>
      <c r="K1228" s="14" t="n"/>
      <c r="L1228" s="29" t="n"/>
      <c r="M1228" s="14" t="n"/>
      <c r="N1228" s="29" t="n"/>
      <c r="O1228" s="13" t="n"/>
      <c r="P1228" s="13" t="n"/>
      <c r="Q1228" s="35" t="n"/>
      <c r="R1228" s="35" t="n"/>
      <c r="S1228" s="35" t="n"/>
      <c r="T1228" s="35" t="n"/>
      <c r="U1228" s="35" t="n"/>
      <c r="V1228" s="18">
        <f>IF(COUNTA($B1228:$R1228)=0,"",ROUND(N($R1228)+N($S1228)+N($T1228)-N($U1228),2))</f>
        <v/>
      </c>
      <c r="W1228" s="18">
        <f>IF(COUNTA($B1228:$R1228)=0,"",IF(OR($X1228="Pago",$X1228="Recebido",$X1228="Cancelado"),0,ROUND(N($Q1228)+N($S1228)+N($T1228)-N($U1228)-N($R1228),2)))</f>
        <v/>
      </c>
      <c r="X1228" s="14" t="n"/>
      <c r="Y1228" s="17">
        <f>IF(COUNTA($B1228:$R1228)=0,"",IF($X1228="Cancelado","Cancelado",IF(OR($X1228="Pago",$X1228="Recebido"),$X1228,IF(OR($X1228="Parcial",N($R1228)&gt;0),"Parcial",IF($C1228="","Sem vencimento",IF($C1228&lt;TODAY(),"Vencido",IF($C1228=TODAY(),"Vence hoje",IF($C1228&lt;=TODAY()+7,"Vence em 7 dias",IF($C1228&lt;=TODAY()+30,"Vence em 30 dias","Futuro")))))))))</f>
        <v/>
      </c>
      <c r="Z1228" s="24">
        <f>IF($B1228="","",MONTH($B1228))</f>
        <v/>
      </c>
      <c r="AA1228" s="24">
        <f>IF($B1228="","",YEAR($B1228))</f>
        <v/>
      </c>
      <c r="AB1228" s="24">
        <f>IF($B1228="","",ISOWEEKNUM($B1228))</f>
        <v/>
      </c>
      <c r="AC1228" s="17">
        <f>IF($B1228="","",CHOOSE(WEEKDAY($B1228,2),"Segunda","Terça","Quarta","Quinta","Sexta","Sábado","Domingo"))</f>
        <v/>
      </c>
      <c r="AD1228" s="17">
        <f>IF($B1228="","",TEXT($B1228,"MM/AAAA"))</f>
        <v/>
      </c>
      <c r="AE1228" s="18">
        <f>IF(COUNTA($B1228:$R1228)=0,"",IF($X1228="Cancelado",0,ROUND(N($Q1228)+N($S1228)+N($T1228)-N($U1228),2)))</f>
        <v/>
      </c>
      <c r="AF1228" s="9">
        <f>IF($G1228="","",IFERROR(INDEX(LINHAS_DRE_PLANO,MATCH($G1228,SUBCATEGORIAS_PLANO,0)),"Não classificado"))</f>
        <v/>
      </c>
      <c r="AG1228" s="17">
        <f>IF($G1228="","",IFERROR(INDEX(TIPOS_FLUXO_PLANO,MATCH($G1228,SUBCATEGORIAS_PLANO,0)),"Não classificado"))</f>
        <v/>
      </c>
      <c r="AH1228" s="9">
        <f>IF($G1228="","",IFERROR(INDEX(GRUPOS_PLANO,MATCH($G1228,SUBCATEGORIAS_PLANO,0)),"Não classificado"))</f>
        <v/>
      </c>
      <c r="AI1228" s="24">
        <f>IF(OR($C1228="",$X1228="Pago",$X1228="Recebido",$X1228="Cancelado"),"",$C1228-TODAY())</f>
        <v/>
      </c>
      <c r="AJ1228" s="24">
        <f>IF(OR($C1228="",$X1228="Pago",$X1228="Recebido",$X1228="Cancelado"),0,MAX(0,TODAY()-$C1228))</f>
        <v/>
      </c>
      <c r="AK1228" s="24">
        <f>IF($D1228="","",$D1228-$B1228)</f>
        <v/>
      </c>
      <c r="AL1228" s="18">
        <f>IF(OR($D1228="",$B1228=""),"",ROUND(N($R1228)*($D1228-$B1228),2))</f>
        <v/>
      </c>
      <c r="AM1228" s="17">
        <f>IF(AND($E1228="Saída",$W1228&gt;0,$C1228&lt;&gt;""),$C1228+ROW()/1000000,"")</f>
        <v/>
      </c>
      <c r="AN1228" s="17">
        <f>IF(AND($E1228="Entrada",$W1228&gt;0,$C1228&lt;&gt;""),$C1228+ROW()/1000000,"")</f>
        <v/>
      </c>
      <c r="AO1228" s="9">
        <f>IF(COUNTA($B1228:$R1228)=0,"",IF(AND($I1228&lt;&gt;"",COUNTIF(CLIENTES_NOMES,$I1228)+COUNTIF(CLIENTES_FANTASIA,$I1228)+COUNTIF(FORNECEDORES_NOMES,$I1228)+COUNTIF(FORNECEDORES_FANTASIA,$I1228)=0),"⚠ Cliente/Fornecedor não cadastrado",IF(AND($G1228&lt;&gt;"",COUNTIF(SUBCATEGORIAS_PLANO,$G1228)=0),"⚠ Subcategoria fora do plano de contas",IF(OR($Q1228="",N($Q1228)=0),"⚠ Valor previsto não informado",IF(AND(OR($X1228="Pago",$X1228="Recebido"),$D1228=""),"⚠ Status pago/recebido sem data",IF(AND($D1228&lt;&gt;"",N($R1228)=0),"⚠ Data de pagamento sem valor realizado",IF(AND(N($P1228)&gt;1,N($O1228)&gt;N($P1228)),"⚠ Nº da parcela maior que o total",IF(AND($C1228&lt;&gt;"",$B1228&lt;&gt;"",$C1228&lt;$B1228),"⚠ Vencimento anterior à competência","OK"))))))))</f>
        <v/>
      </c>
    </row>
    <row r="1229">
      <c r="A1229" s="14" t="n"/>
      <c r="B1229" s="36" t="n"/>
      <c r="C1229" s="36" t="n"/>
      <c r="D1229" s="36" t="n"/>
      <c r="E1229" s="14" t="n"/>
      <c r="F1229" s="29" t="n"/>
      <c r="G1229" s="29" t="n"/>
      <c r="H1229" s="29" t="n"/>
      <c r="I1229" s="29" t="n"/>
      <c r="J1229" s="29" t="n"/>
      <c r="K1229" s="14" t="n"/>
      <c r="L1229" s="29" t="n"/>
      <c r="M1229" s="14" t="n"/>
      <c r="N1229" s="29" t="n"/>
      <c r="O1229" s="13" t="n"/>
      <c r="P1229" s="13" t="n"/>
      <c r="Q1229" s="35" t="n"/>
      <c r="R1229" s="35" t="n"/>
      <c r="S1229" s="35" t="n"/>
      <c r="T1229" s="35" t="n"/>
      <c r="U1229" s="35" t="n"/>
      <c r="V1229" s="18">
        <f>IF(COUNTA($B1229:$R1229)=0,"",ROUND(N($R1229)+N($S1229)+N($T1229)-N($U1229),2))</f>
        <v/>
      </c>
      <c r="W1229" s="18">
        <f>IF(COUNTA($B1229:$R1229)=0,"",IF(OR($X1229="Pago",$X1229="Recebido",$X1229="Cancelado"),0,ROUND(N($Q1229)+N($S1229)+N($T1229)-N($U1229)-N($R1229),2)))</f>
        <v/>
      </c>
      <c r="X1229" s="14" t="n"/>
      <c r="Y1229" s="17">
        <f>IF(COUNTA($B1229:$R1229)=0,"",IF($X1229="Cancelado","Cancelado",IF(OR($X1229="Pago",$X1229="Recebido"),$X1229,IF(OR($X1229="Parcial",N($R1229)&gt;0),"Parcial",IF($C1229="","Sem vencimento",IF($C1229&lt;TODAY(),"Vencido",IF($C1229=TODAY(),"Vence hoje",IF($C1229&lt;=TODAY()+7,"Vence em 7 dias",IF($C1229&lt;=TODAY()+30,"Vence em 30 dias","Futuro")))))))))</f>
        <v/>
      </c>
      <c r="Z1229" s="24">
        <f>IF($B1229="","",MONTH($B1229))</f>
        <v/>
      </c>
      <c r="AA1229" s="24">
        <f>IF($B1229="","",YEAR($B1229))</f>
        <v/>
      </c>
      <c r="AB1229" s="24">
        <f>IF($B1229="","",ISOWEEKNUM($B1229))</f>
        <v/>
      </c>
      <c r="AC1229" s="17">
        <f>IF($B1229="","",CHOOSE(WEEKDAY($B1229,2),"Segunda","Terça","Quarta","Quinta","Sexta","Sábado","Domingo"))</f>
        <v/>
      </c>
      <c r="AD1229" s="17">
        <f>IF($B1229="","",TEXT($B1229,"MM/AAAA"))</f>
        <v/>
      </c>
      <c r="AE1229" s="18">
        <f>IF(COUNTA($B1229:$R1229)=0,"",IF($X1229="Cancelado",0,ROUND(N($Q1229)+N($S1229)+N($T1229)-N($U1229),2)))</f>
        <v/>
      </c>
      <c r="AF1229" s="9">
        <f>IF($G1229="","",IFERROR(INDEX(LINHAS_DRE_PLANO,MATCH($G1229,SUBCATEGORIAS_PLANO,0)),"Não classificado"))</f>
        <v/>
      </c>
      <c r="AG1229" s="17">
        <f>IF($G1229="","",IFERROR(INDEX(TIPOS_FLUXO_PLANO,MATCH($G1229,SUBCATEGORIAS_PLANO,0)),"Não classificado"))</f>
        <v/>
      </c>
      <c r="AH1229" s="9">
        <f>IF($G1229="","",IFERROR(INDEX(GRUPOS_PLANO,MATCH($G1229,SUBCATEGORIAS_PLANO,0)),"Não classificado"))</f>
        <v/>
      </c>
      <c r="AI1229" s="24">
        <f>IF(OR($C1229="",$X1229="Pago",$X1229="Recebido",$X1229="Cancelado"),"",$C1229-TODAY())</f>
        <v/>
      </c>
      <c r="AJ1229" s="24">
        <f>IF(OR($C1229="",$X1229="Pago",$X1229="Recebido",$X1229="Cancelado"),0,MAX(0,TODAY()-$C1229))</f>
        <v/>
      </c>
      <c r="AK1229" s="24">
        <f>IF($D1229="","",$D1229-$B1229)</f>
        <v/>
      </c>
      <c r="AL1229" s="18">
        <f>IF(OR($D1229="",$B1229=""),"",ROUND(N($R1229)*($D1229-$B1229),2))</f>
        <v/>
      </c>
      <c r="AM1229" s="17">
        <f>IF(AND($E1229="Saída",$W1229&gt;0,$C1229&lt;&gt;""),$C1229+ROW()/1000000,"")</f>
        <v/>
      </c>
      <c r="AN1229" s="17">
        <f>IF(AND($E1229="Entrada",$W1229&gt;0,$C1229&lt;&gt;""),$C1229+ROW()/1000000,"")</f>
        <v/>
      </c>
      <c r="AO1229" s="9">
        <f>IF(COUNTA($B1229:$R1229)=0,"",IF(AND($I1229&lt;&gt;"",COUNTIF(CLIENTES_NOMES,$I1229)+COUNTIF(CLIENTES_FANTASIA,$I1229)+COUNTIF(FORNECEDORES_NOMES,$I1229)+COUNTIF(FORNECEDORES_FANTASIA,$I1229)=0),"⚠ Cliente/Fornecedor não cadastrado",IF(AND($G1229&lt;&gt;"",COUNTIF(SUBCATEGORIAS_PLANO,$G1229)=0),"⚠ Subcategoria fora do plano de contas",IF(OR($Q1229="",N($Q1229)=0),"⚠ Valor previsto não informado",IF(AND(OR($X1229="Pago",$X1229="Recebido"),$D1229=""),"⚠ Status pago/recebido sem data",IF(AND($D1229&lt;&gt;"",N($R1229)=0),"⚠ Data de pagamento sem valor realizado",IF(AND(N($P1229)&gt;1,N($O1229)&gt;N($P1229)),"⚠ Nº da parcela maior que o total",IF(AND($C1229&lt;&gt;"",$B1229&lt;&gt;"",$C1229&lt;$B1229),"⚠ Vencimento anterior à competência","OK"))))))))</f>
        <v/>
      </c>
    </row>
    <row r="1230">
      <c r="A1230" s="14" t="n"/>
      <c r="B1230" s="36" t="n"/>
      <c r="C1230" s="36" t="n"/>
      <c r="D1230" s="36" t="n"/>
      <c r="E1230" s="14" t="n"/>
      <c r="F1230" s="29" t="n"/>
      <c r="G1230" s="29" t="n"/>
      <c r="H1230" s="29" t="n"/>
      <c r="I1230" s="29" t="n"/>
      <c r="J1230" s="29" t="n"/>
      <c r="K1230" s="14" t="n"/>
      <c r="L1230" s="29" t="n"/>
      <c r="M1230" s="14" t="n"/>
      <c r="N1230" s="29" t="n"/>
      <c r="O1230" s="13" t="n"/>
      <c r="P1230" s="13" t="n"/>
      <c r="Q1230" s="35" t="n"/>
      <c r="R1230" s="35" t="n"/>
      <c r="S1230" s="35" t="n"/>
      <c r="T1230" s="35" t="n"/>
      <c r="U1230" s="35" t="n"/>
      <c r="V1230" s="18">
        <f>IF(COUNTA($B1230:$R1230)=0,"",ROUND(N($R1230)+N($S1230)+N($T1230)-N($U1230),2))</f>
        <v/>
      </c>
      <c r="W1230" s="18">
        <f>IF(COUNTA($B1230:$R1230)=0,"",IF(OR($X1230="Pago",$X1230="Recebido",$X1230="Cancelado"),0,ROUND(N($Q1230)+N($S1230)+N($T1230)-N($U1230)-N($R1230),2)))</f>
        <v/>
      </c>
      <c r="X1230" s="14" t="n"/>
      <c r="Y1230" s="17">
        <f>IF(COUNTA($B1230:$R1230)=0,"",IF($X1230="Cancelado","Cancelado",IF(OR($X1230="Pago",$X1230="Recebido"),$X1230,IF(OR($X1230="Parcial",N($R1230)&gt;0),"Parcial",IF($C1230="","Sem vencimento",IF($C1230&lt;TODAY(),"Vencido",IF($C1230=TODAY(),"Vence hoje",IF($C1230&lt;=TODAY()+7,"Vence em 7 dias",IF($C1230&lt;=TODAY()+30,"Vence em 30 dias","Futuro")))))))))</f>
        <v/>
      </c>
      <c r="Z1230" s="24">
        <f>IF($B1230="","",MONTH($B1230))</f>
        <v/>
      </c>
      <c r="AA1230" s="24">
        <f>IF($B1230="","",YEAR($B1230))</f>
        <v/>
      </c>
      <c r="AB1230" s="24">
        <f>IF($B1230="","",ISOWEEKNUM($B1230))</f>
        <v/>
      </c>
      <c r="AC1230" s="17">
        <f>IF($B1230="","",CHOOSE(WEEKDAY($B1230,2),"Segunda","Terça","Quarta","Quinta","Sexta","Sábado","Domingo"))</f>
        <v/>
      </c>
      <c r="AD1230" s="17">
        <f>IF($B1230="","",TEXT($B1230,"MM/AAAA"))</f>
        <v/>
      </c>
      <c r="AE1230" s="18">
        <f>IF(COUNTA($B1230:$R1230)=0,"",IF($X1230="Cancelado",0,ROUND(N($Q1230)+N($S1230)+N($T1230)-N($U1230),2)))</f>
        <v/>
      </c>
      <c r="AF1230" s="9">
        <f>IF($G1230="","",IFERROR(INDEX(LINHAS_DRE_PLANO,MATCH($G1230,SUBCATEGORIAS_PLANO,0)),"Não classificado"))</f>
        <v/>
      </c>
      <c r="AG1230" s="17">
        <f>IF($G1230="","",IFERROR(INDEX(TIPOS_FLUXO_PLANO,MATCH($G1230,SUBCATEGORIAS_PLANO,0)),"Não classificado"))</f>
        <v/>
      </c>
      <c r="AH1230" s="9">
        <f>IF($G1230="","",IFERROR(INDEX(GRUPOS_PLANO,MATCH($G1230,SUBCATEGORIAS_PLANO,0)),"Não classificado"))</f>
        <v/>
      </c>
      <c r="AI1230" s="24">
        <f>IF(OR($C1230="",$X1230="Pago",$X1230="Recebido",$X1230="Cancelado"),"",$C1230-TODAY())</f>
        <v/>
      </c>
      <c r="AJ1230" s="24">
        <f>IF(OR($C1230="",$X1230="Pago",$X1230="Recebido",$X1230="Cancelado"),0,MAX(0,TODAY()-$C1230))</f>
        <v/>
      </c>
      <c r="AK1230" s="24">
        <f>IF($D1230="","",$D1230-$B1230)</f>
        <v/>
      </c>
      <c r="AL1230" s="18">
        <f>IF(OR($D1230="",$B1230=""),"",ROUND(N($R1230)*($D1230-$B1230),2))</f>
        <v/>
      </c>
      <c r="AM1230" s="17">
        <f>IF(AND($E1230="Saída",$W1230&gt;0,$C1230&lt;&gt;""),$C1230+ROW()/1000000,"")</f>
        <v/>
      </c>
      <c r="AN1230" s="17">
        <f>IF(AND($E1230="Entrada",$W1230&gt;0,$C1230&lt;&gt;""),$C1230+ROW()/1000000,"")</f>
        <v/>
      </c>
      <c r="AO1230" s="9">
        <f>IF(COUNTA($B1230:$R1230)=0,"",IF(AND($I1230&lt;&gt;"",COUNTIF(CLIENTES_NOMES,$I1230)+COUNTIF(CLIENTES_FANTASIA,$I1230)+COUNTIF(FORNECEDORES_NOMES,$I1230)+COUNTIF(FORNECEDORES_FANTASIA,$I1230)=0),"⚠ Cliente/Fornecedor não cadastrado",IF(AND($G1230&lt;&gt;"",COUNTIF(SUBCATEGORIAS_PLANO,$G1230)=0),"⚠ Subcategoria fora do plano de contas",IF(OR($Q1230="",N($Q1230)=0),"⚠ Valor previsto não informado",IF(AND(OR($X1230="Pago",$X1230="Recebido"),$D1230=""),"⚠ Status pago/recebido sem data",IF(AND($D1230&lt;&gt;"",N($R1230)=0),"⚠ Data de pagamento sem valor realizado",IF(AND(N($P1230)&gt;1,N($O1230)&gt;N($P1230)),"⚠ Nº da parcela maior que o total",IF(AND($C1230&lt;&gt;"",$B1230&lt;&gt;"",$C1230&lt;$B1230),"⚠ Vencimento anterior à competência","OK"))))))))</f>
        <v/>
      </c>
    </row>
    <row r="1231">
      <c r="A1231" s="14" t="n"/>
      <c r="B1231" s="36" t="n"/>
      <c r="C1231" s="36" t="n"/>
      <c r="D1231" s="36" t="n"/>
      <c r="E1231" s="14" t="n"/>
      <c r="F1231" s="29" t="n"/>
      <c r="G1231" s="29" t="n"/>
      <c r="H1231" s="29" t="n"/>
      <c r="I1231" s="29" t="n"/>
      <c r="J1231" s="29" t="n"/>
      <c r="K1231" s="14" t="n"/>
      <c r="L1231" s="29" t="n"/>
      <c r="M1231" s="14" t="n"/>
      <c r="N1231" s="29" t="n"/>
      <c r="O1231" s="13" t="n"/>
      <c r="P1231" s="13" t="n"/>
      <c r="Q1231" s="35" t="n"/>
      <c r="R1231" s="35" t="n"/>
      <c r="S1231" s="35" t="n"/>
      <c r="T1231" s="35" t="n"/>
      <c r="U1231" s="35" t="n"/>
      <c r="V1231" s="18">
        <f>IF(COUNTA($B1231:$R1231)=0,"",ROUND(N($R1231)+N($S1231)+N($T1231)-N($U1231),2))</f>
        <v/>
      </c>
      <c r="W1231" s="18">
        <f>IF(COUNTA($B1231:$R1231)=0,"",IF(OR($X1231="Pago",$X1231="Recebido",$X1231="Cancelado"),0,ROUND(N($Q1231)+N($S1231)+N($T1231)-N($U1231)-N($R1231),2)))</f>
        <v/>
      </c>
      <c r="X1231" s="14" t="n"/>
      <c r="Y1231" s="17">
        <f>IF(COUNTA($B1231:$R1231)=0,"",IF($X1231="Cancelado","Cancelado",IF(OR($X1231="Pago",$X1231="Recebido"),$X1231,IF(OR($X1231="Parcial",N($R1231)&gt;0),"Parcial",IF($C1231="","Sem vencimento",IF($C1231&lt;TODAY(),"Vencido",IF($C1231=TODAY(),"Vence hoje",IF($C1231&lt;=TODAY()+7,"Vence em 7 dias",IF($C1231&lt;=TODAY()+30,"Vence em 30 dias","Futuro")))))))))</f>
        <v/>
      </c>
      <c r="Z1231" s="24">
        <f>IF($B1231="","",MONTH($B1231))</f>
        <v/>
      </c>
      <c r="AA1231" s="24">
        <f>IF($B1231="","",YEAR($B1231))</f>
        <v/>
      </c>
      <c r="AB1231" s="24">
        <f>IF($B1231="","",ISOWEEKNUM($B1231))</f>
        <v/>
      </c>
      <c r="AC1231" s="17">
        <f>IF($B1231="","",CHOOSE(WEEKDAY($B1231,2),"Segunda","Terça","Quarta","Quinta","Sexta","Sábado","Domingo"))</f>
        <v/>
      </c>
      <c r="AD1231" s="17">
        <f>IF($B1231="","",TEXT($B1231,"MM/AAAA"))</f>
        <v/>
      </c>
      <c r="AE1231" s="18">
        <f>IF(COUNTA($B1231:$R1231)=0,"",IF($X1231="Cancelado",0,ROUND(N($Q1231)+N($S1231)+N($T1231)-N($U1231),2)))</f>
        <v/>
      </c>
      <c r="AF1231" s="9">
        <f>IF($G1231="","",IFERROR(INDEX(LINHAS_DRE_PLANO,MATCH($G1231,SUBCATEGORIAS_PLANO,0)),"Não classificado"))</f>
        <v/>
      </c>
      <c r="AG1231" s="17">
        <f>IF($G1231="","",IFERROR(INDEX(TIPOS_FLUXO_PLANO,MATCH($G1231,SUBCATEGORIAS_PLANO,0)),"Não classificado"))</f>
        <v/>
      </c>
      <c r="AH1231" s="9">
        <f>IF($G1231="","",IFERROR(INDEX(GRUPOS_PLANO,MATCH($G1231,SUBCATEGORIAS_PLANO,0)),"Não classificado"))</f>
        <v/>
      </c>
      <c r="AI1231" s="24">
        <f>IF(OR($C1231="",$X1231="Pago",$X1231="Recebido",$X1231="Cancelado"),"",$C1231-TODAY())</f>
        <v/>
      </c>
      <c r="AJ1231" s="24">
        <f>IF(OR($C1231="",$X1231="Pago",$X1231="Recebido",$X1231="Cancelado"),0,MAX(0,TODAY()-$C1231))</f>
        <v/>
      </c>
      <c r="AK1231" s="24">
        <f>IF($D1231="","",$D1231-$B1231)</f>
        <v/>
      </c>
      <c r="AL1231" s="18">
        <f>IF(OR($D1231="",$B1231=""),"",ROUND(N($R1231)*($D1231-$B1231),2))</f>
        <v/>
      </c>
      <c r="AM1231" s="17">
        <f>IF(AND($E1231="Saída",$W1231&gt;0,$C1231&lt;&gt;""),$C1231+ROW()/1000000,"")</f>
        <v/>
      </c>
      <c r="AN1231" s="17">
        <f>IF(AND($E1231="Entrada",$W1231&gt;0,$C1231&lt;&gt;""),$C1231+ROW()/1000000,"")</f>
        <v/>
      </c>
      <c r="AO1231" s="9">
        <f>IF(COUNTA($B1231:$R1231)=0,"",IF(AND($I1231&lt;&gt;"",COUNTIF(CLIENTES_NOMES,$I1231)+COUNTIF(CLIENTES_FANTASIA,$I1231)+COUNTIF(FORNECEDORES_NOMES,$I1231)+COUNTIF(FORNECEDORES_FANTASIA,$I1231)=0),"⚠ Cliente/Fornecedor não cadastrado",IF(AND($G1231&lt;&gt;"",COUNTIF(SUBCATEGORIAS_PLANO,$G1231)=0),"⚠ Subcategoria fora do plano de contas",IF(OR($Q1231="",N($Q1231)=0),"⚠ Valor previsto não informado",IF(AND(OR($X1231="Pago",$X1231="Recebido"),$D1231=""),"⚠ Status pago/recebido sem data",IF(AND($D1231&lt;&gt;"",N($R1231)=0),"⚠ Data de pagamento sem valor realizado",IF(AND(N($P1231)&gt;1,N($O1231)&gt;N($P1231)),"⚠ Nº da parcela maior que o total",IF(AND($C1231&lt;&gt;"",$B1231&lt;&gt;"",$C1231&lt;$B1231),"⚠ Vencimento anterior à competência","OK"))))))))</f>
        <v/>
      </c>
    </row>
    <row r="1232">
      <c r="A1232" s="14" t="n"/>
      <c r="B1232" s="36" t="n"/>
      <c r="C1232" s="36" t="n"/>
      <c r="D1232" s="36" t="n"/>
      <c r="E1232" s="14" t="n"/>
      <c r="F1232" s="29" t="n"/>
      <c r="G1232" s="29" t="n"/>
      <c r="H1232" s="29" t="n"/>
      <c r="I1232" s="29" t="n"/>
      <c r="J1232" s="29" t="n"/>
      <c r="K1232" s="14" t="n"/>
      <c r="L1232" s="29" t="n"/>
      <c r="M1232" s="14" t="n"/>
      <c r="N1232" s="29" t="n"/>
      <c r="O1232" s="13" t="n"/>
      <c r="P1232" s="13" t="n"/>
      <c r="Q1232" s="35" t="n"/>
      <c r="R1232" s="35" t="n"/>
      <c r="S1232" s="35" t="n"/>
      <c r="T1232" s="35" t="n"/>
      <c r="U1232" s="35" t="n"/>
      <c r="V1232" s="18">
        <f>IF(COUNTA($B1232:$R1232)=0,"",ROUND(N($R1232)+N($S1232)+N($T1232)-N($U1232),2))</f>
        <v/>
      </c>
      <c r="W1232" s="18">
        <f>IF(COUNTA($B1232:$R1232)=0,"",IF(OR($X1232="Pago",$X1232="Recebido",$X1232="Cancelado"),0,ROUND(N($Q1232)+N($S1232)+N($T1232)-N($U1232)-N($R1232),2)))</f>
        <v/>
      </c>
      <c r="X1232" s="14" t="n"/>
      <c r="Y1232" s="17">
        <f>IF(COUNTA($B1232:$R1232)=0,"",IF($X1232="Cancelado","Cancelado",IF(OR($X1232="Pago",$X1232="Recebido"),$X1232,IF(OR($X1232="Parcial",N($R1232)&gt;0),"Parcial",IF($C1232="","Sem vencimento",IF($C1232&lt;TODAY(),"Vencido",IF($C1232=TODAY(),"Vence hoje",IF($C1232&lt;=TODAY()+7,"Vence em 7 dias",IF($C1232&lt;=TODAY()+30,"Vence em 30 dias","Futuro")))))))))</f>
        <v/>
      </c>
      <c r="Z1232" s="24">
        <f>IF($B1232="","",MONTH($B1232))</f>
        <v/>
      </c>
      <c r="AA1232" s="24">
        <f>IF($B1232="","",YEAR($B1232))</f>
        <v/>
      </c>
      <c r="AB1232" s="24">
        <f>IF($B1232="","",ISOWEEKNUM($B1232))</f>
        <v/>
      </c>
      <c r="AC1232" s="17">
        <f>IF($B1232="","",CHOOSE(WEEKDAY($B1232,2),"Segunda","Terça","Quarta","Quinta","Sexta","Sábado","Domingo"))</f>
        <v/>
      </c>
      <c r="AD1232" s="17">
        <f>IF($B1232="","",TEXT($B1232,"MM/AAAA"))</f>
        <v/>
      </c>
      <c r="AE1232" s="18">
        <f>IF(COUNTA($B1232:$R1232)=0,"",IF($X1232="Cancelado",0,ROUND(N($Q1232)+N($S1232)+N($T1232)-N($U1232),2)))</f>
        <v/>
      </c>
      <c r="AF1232" s="9">
        <f>IF($G1232="","",IFERROR(INDEX(LINHAS_DRE_PLANO,MATCH($G1232,SUBCATEGORIAS_PLANO,0)),"Não classificado"))</f>
        <v/>
      </c>
      <c r="AG1232" s="17">
        <f>IF($G1232="","",IFERROR(INDEX(TIPOS_FLUXO_PLANO,MATCH($G1232,SUBCATEGORIAS_PLANO,0)),"Não classificado"))</f>
        <v/>
      </c>
      <c r="AH1232" s="9">
        <f>IF($G1232="","",IFERROR(INDEX(GRUPOS_PLANO,MATCH($G1232,SUBCATEGORIAS_PLANO,0)),"Não classificado"))</f>
        <v/>
      </c>
      <c r="AI1232" s="24">
        <f>IF(OR($C1232="",$X1232="Pago",$X1232="Recebido",$X1232="Cancelado"),"",$C1232-TODAY())</f>
        <v/>
      </c>
      <c r="AJ1232" s="24">
        <f>IF(OR($C1232="",$X1232="Pago",$X1232="Recebido",$X1232="Cancelado"),0,MAX(0,TODAY()-$C1232))</f>
        <v/>
      </c>
      <c r="AK1232" s="24">
        <f>IF($D1232="","",$D1232-$B1232)</f>
        <v/>
      </c>
      <c r="AL1232" s="18">
        <f>IF(OR($D1232="",$B1232=""),"",ROUND(N($R1232)*($D1232-$B1232),2))</f>
        <v/>
      </c>
      <c r="AM1232" s="17">
        <f>IF(AND($E1232="Saída",$W1232&gt;0,$C1232&lt;&gt;""),$C1232+ROW()/1000000,"")</f>
        <v/>
      </c>
      <c r="AN1232" s="17">
        <f>IF(AND($E1232="Entrada",$W1232&gt;0,$C1232&lt;&gt;""),$C1232+ROW()/1000000,"")</f>
        <v/>
      </c>
      <c r="AO1232" s="9">
        <f>IF(COUNTA($B1232:$R1232)=0,"",IF(AND($I1232&lt;&gt;"",COUNTIF(CLIENTES_NOMES,$I1232)+COUNTIF(CLIENTES_FANTASIA,$I1232)+COUNTIF(FORNECEDORES_NOMES,$I1232)+COUNTIF(FORNECEDORES_FANTASIA,$I1232)=0),"⚠ Cliente/Fornecedor não cadastrado",IF(AND($G1232&lt;&gt;"",COUNTIF(SUBCATEGORIAS_PLANO,$G1232)=0),"⚠ Subcategoria fora do plano de contas",IF(OR($Q1232="",N($Q1232)=0),"⚠ Valor previsto não informado",IF(AND(OR($X1232="Pago",$X1232="Recebido"),$D1232=""),"⚠ Status pago/recebido sem data",IF(AND($D1232&lt;&gt;"",N($R1232)=0),"⚠ Data de pagamento sem valor realizado",IF(AND(N($P1232)&gt;1,N($O1232)&gt;N($P1232)),"⚠ Nº da parcela maior que o total",IF(AND($C1232&lt;&gt;"",$B1232&lt;&gt;"",$C1232&lt;$B1232),"⚠ Vencimento anterior à competência","OK"))))))))</f>
        <v/>
      </c>
    </row>
    <row r="1233">
      <c r="A1233" s="14" t="n"/>
      <c r="B1233" s="36" t="n"/>
      <c r="C1233" s="36" t="n"/>
      <c r="D1233" s="36" t="n"/>
      <c r="E1233" s="14" t="n"/>
      <c r="F1233" s="29" t="n"/>
      <c r="G1233" s="29" t="n"/>
      <c r="H1233" s="29" t="n"/>
      <c r="I1233" s="29" t="n"/>
      <c r="J1233" s="29" t="n"/>
      <c r="K1233" s="14" t="n"/>
      <c r="L1233" s="29" t="n"/>
      <c r="M1233" s="14" t="n"/>
      <c r="N1233" s="29" t="n"/>
      <c r="O1233" s="13" t="n"/>
      <c r="P1233" s="13" t="n"/>
      <c r="Q1233" s="35" t="n"/>
      <c r="R1233" s="35" t="n"/>
      <c r="S1233" s="35" t="n"/>
      <c r="T1233" s="35" t="n"/>
      <c r="U1233" s="35" t="n"/>
      <c r="V1233" s="18">
        <f>IF(COUNTA($B1233:$R1233)=0,"",ROUND(N($R1233)+N($S1233)+N($T1233)-N($U1233),2))</f>
        <v/>
      </c>
      <c r="W1233" s="18">
        <f>IF(COUNTA($B1233:$R1233)=0,"",IF(OR($X1233="Pago",$X1233="Recebido",$X1233="Cancelado"),0,ROUND(N($Q1233)+N($S1233)+N($T1233)-N($U1233)-N($R1233),2)))</f>
        <v/>
      </c>
      <c r="X1233" s="14" t="n"/>
      <c r="Y1233" s="17">
        <f>IF(COUNTA($B1233:$R1233)=0,"",IF($X1233="Cancelado","Cancelado",IF(OR($X1233="Pago",$X1233="Recebido"),$X1233,IF(OR($X1233="Parcial",N($R1233)&gt;0),"Parcial",IF($C1233="","Sem vencimento",IF($C1233&lt;TODAY(),"Vencido",IF($C1233=TODAY(),"Vence hoje",IF($C1233&lt;=TODAY()+7,"Vence em 7 dias",IF($C1233&lt;=TODAY()+30,"Vence em 30 dias","Futuro")))))))))</f>
        <v/>
      </c>
      <c r="Z1233" s="24">
        <f>IF($B1233="","",MONTH($B1233))</f>
        <v/>
      </c>
      <c r="AA1233" s="24">
        <f>IF($B1233="","",YEAR($B1233))</f>
        <v/>
      </c>
      <c r="AB1233" s="24">
        <f>IF($B1233="","",ISOWEEKNUM($B1233))</f>
        <v/>
      </c>
      <c r="AC1233" s="17">
        <f>IF($B1233="","",CHOOSE(WEEKDAY($B1233,2),"Segunda","Terça","Quarta","Quinta","Sexta","Sábado","Domingo"))</f>
        <v/>
      </c>
      <c r="AD1233" s="17">
        <f>IF($B1233="","",TEXT($B1233,"MM/AAAA"))</f>
        <v/>
      </c>
      <c r="AE1233" s="18">
        <f>IF(COUNTA($B1233:$R1233)=0,"",IF($X1233="Cancelado",0,ROUND(N($Q1233)+N($S1233)+N($T1233)-N($U1233),2)))</f>
        <v/>
      </c>
      <c r="AF1233" s="9">
        <f>IF($G1233="","",IFERROR(INDEX(LINHAS_DRE_PLANO,MATCH($G1233,SUBCATEGORIAS_PLANO,0)),"Não classificado"))</f>
        <v/>
      </c>
      <c r="AG1233" s="17">
        <f>IF($G1233="","",IFERROR(INDEX(TIPOS_FLUXO_PLANO,MATCH($G1233,SUBCATEGORIAS_PLANO,0)),"Não classificado"))</f>
        <v/>
      </c>
      <c r="AH1233" s="9">
        <f>IF($G1233="","",IFERROR(INDEX(GRUPOS_PLANO,MATCH($G1233,SUBCATEGORIAS_PLANO,0)),"Não classificado"))</f>
        <v/>
      </c>
      <c r="AI1233" s="24">
        <f>IF(OR($C1233="",$X1233="Pago",$X1233="Recebido",$X1233="Cancelado"),"",$C1233-TODAY())</f>
        <v/>
      </c>
      <c r="AJ1233" s="24">
        <f>IF(OR($C1233="",$X1233="Pago",$X1233="Recebido",$X1233="Cancelado"),0,MAX(0,TODAY()-$C1233))</f>
        <v/>
      </c>
      <c r="AK1233" s="24">
        <f>IF($D1233="","",$D1233-$B1233)</f>
        <v/>
      </c>
      <c r="AL1233" s="18">
        <f>IF(OR($D1233="",$B1233=""),"",ROUND(N($R1233)*($D1233-$B1233),2))</f>
        <v/>
      </c>
      <c r="AM1233" s="17">
        <f>IF(AND($E1233="Saída",$W1233&gt;0,$C1233&lt;&gt;""),$C1233+ROW()/1000000,"")</f>
        <v/>
      </c>
      <c r="AN1233" s="17">
        <f>IF(AND($E1233="Entrada",$W1233&gt;0,$C1233&lt;&gt;""),$C1233+ROW()/1000000,"")</f>
        <v/>
      </c>
      <c r="AO1233" s="9">
        <f>IF(COUNTA($B1233:$R1233)=0,"",IF(AND($I1233&lt;&gt;"",COUNTIF(CLIENTES_NOMES,$I1233)+COUNTIF(CLIENTES_FANTASIA,$I1233)+COUNTIF(FORNECEDORES_NOMES,$I1233)+COUNTIF(FORNECEDORES_FANTASIA,$I1233)=0),"⚠ Cliente/Fornecedor não cadastrado",IF(AND($G1233&lt;&gt;"",COUNTIF(SUBCATEGORIAS_PLANO,$G1233)=0),"⚠ Subcategoria fora do plano de contas",IF(OR($Q1233="",N($Q1233)=0),"⚠ Valor previsto não informado",IF(AND(OR($X1233="Pago",$X1233="Recebido"),$D1233=""),"⚠ Status pago/recebido sem data",IF(AND($D1233&lt;&gt;"",N($R1233)=0),"⚠ Data de pagamento sem valor realizado",IF(AND(N($P1233)&gt;1,N($O1233)&gt;N($P1233)),"⚠ Nº da parcela maior que o total",IF(AND($C1233&lt;&gt;"",$B1233&lt;&gt;"",$C1233&lt;$B1233),"⚠ Vencimento anterior à competência","OK"))))))))</f>
        <v/>
      </c>
    </row>
    <row r="1234">
      <c r="A1234" s="14" t="n"/>
      <c r="B1234" s="36" t="n"/>
      <c r="C1234" s="36" t="n"/>
      <c r="D1234" s="36" t="n"/>
      <c r="E1234" s="14" t="n"/>
      <c r="F1234" s="29" t="n"/>
      <c r="G1234" s="29" t="n"/>
      <c r="H1234" s="29" t="n"/>
      <c r="I1234" s="29" t="n"/>
      <c r="J1234" s="29" t="n"/>
      <c r="K1234" s="14" t="n"/>
      <c r="L1234" s="29" t="n"/>
      <c r="M1234" s="14" t="n"/>
      <c r="N1234" s="29" t="n"/>
      <c r="O1234" s="13" t="n"/>
      <c r="P1234" s="13" t="n"/>
      <c r="Q1234" s="35" t="n"/>
      <c r="R1234" s="35" t="n"/>
      <c r="S1234" s="35" t="n"/>
      <c r="T1234" s="35" t="n"/>
      <c r="U1234" s="35" t="n"/>
      <c r="V1234" s="18">
        <f>IF(COUNTA($B1234:$R1234)=0,"",ROUND(N($R1234)+N($S1234)+N($T1234)-N($U1234),2))</f>
        <v/>
      </c>
      <c r="W1234" s="18">
        <f>IF(COUNTA($B1234:$R1234)=0,"",IF(OR($X1234="Pago",$X1234="Recebido",$X1234="Cancelado"),0,ROUND(N($Q1234)+N($S1234)+N($T1234)-N($U1234)-N($R1234),2)))</f>
        <v/>
      </c>
      <c r="X1234" s="14" t="n"/>
      <c r="Y1234" s="17">
        <f>IF(COUNTA($B1234:$R1234)=0,"",IF($X1234="Cancelado","Cancelado",IF(OR($X1234="Pago",$X1234="Recebido"),$X1234,IF(OR($X1234="Parcial",N($R1234)&gt;0),"Parcial",IF($C1234="","Sem vencimento",IF($C1234&lt;TODAY(),"Vencido",IF($C1234=TODAY(),"Vence hoje",IF($C1234&lt;=TODAY()+7,"Vence em 7 dias",IF($C1234&lt;=TODAY()+30,"Vence em 30 dias","Futuro")))))))))</f>
        <v/>
      </c>
      <c r="Z1234" s="24">
        <f>IF($B1234="","",MONTH($B1234))</f>
        <v/>
      </c>
      <c r="AA1234" s="24">
        <f>IF($B1234="","",YEAR($B1234))</f>
        <v/>
      </c>
      <c r="AB1234" s="24">
        <f>IF($B1234="","",ISOWEEKNUM($B1234))</f>
        <v/>
      </c>
      <c r="AC1234" s="17">
        <f>IF($B1234="","",CHOOSE(WEEKDAY($B1234,2),"Segunda","Terça","Quarta","Quinta","Sexta","Sábado","Domingo"))</f>
        <v/>
      </c>
      <c r="AD1234" s="17">
        <f>IF($B1234="","",TEXT($B1234,"MM/AAAA"))</f>
        <v/>
      </c>
      <c r="AE1234" s="18">
        <f>IF(COUNTA($B1234:$R1234)=0,"",IF($X1234="Cancelado",0,ROUND(N($Q1234)+N($S1234)+N($T1234)-N($U1234),2)))</f>
        <v/>
      </c>
      <c r="AF1234" s="9">
        <f>IF($G1234="","",IFERROR(INDEX(LINHAS_DRE_PLANO,MATCH($G1234,SUBCATEGORIAS_PLANO,0)),"Não classificado"))</f>
        <v/>
      </c>
      <c r="AG1234" s="17">
        <f>IF($G1234="","",IFERROR(INDEX(TIPOS_FLUXO_PLANO,MATCH($G1234,SUBCATEGORIAS_PLANO,0)),"Não classificado"))</f>
        <v/>
      </c>
      <c r="AH1234" s="9">
        <f>IF($G1234="","",IFERROR(INDEX(GRUPOS_PLANO,MATCH($G1234,SUBCATEGORIAS_PLANO,0)),"Não classificado"))</f>
        <v/>
      </c>
      <c r="AI1234" s="24">
        <f>IF(OR($C1234="",$X1234="Pago",$X1234="Recebido",$X1234="Cancelado"),"",$C1234-TODAY())</f>
        <v/>
      </c>
      <c r="AJ1234" s="24">
        <f>IF(OR($C1234="",$X1234="Pago",$X1234="Recebido",$X1234="Cancelado"),0,MAX(0,TODAY()-$C1234))</f>
        <v/>
      </c>
      <c r="AK1234" s="24">
        <f>IF($D1234="","",$D1234-$B1234)</f>
        <v/>
      </c>
      <c r="AL1234" s="18">
        <f>IF(OR($D1234="",$B1234=""),"",ROUND(N($R1234)*($D1234-$B1234),2))</f>
        <v/>
      </c>
      <c r="AM1234" s="17">
        <f>IF(AND($E1234="Saída",$W1234&gt;0,$C1234&lt;&gt;""),$C1234+ROW()/1000000,"")</f>
        <v/>
      </c>
      <c r="AN1234" s="17">
        <f>IF(AND($E1234="Entrada",$W1234&gt;0,$C1234&lt;&gt;""),$C1234+ROW()/1000000,"")</f>
        <v/>
      </c>
      <c r="AO1234" s="9">
        <f>IF(COUNTA($B1234:$R1234)=0,"",IF(AND($I1234&lt;&gt;"",COUNTIF(CLIENTES_NOMES,$I1234)+COUNTIF(CLIENTES_FANTASIA,$I1234)+COUNTIF(FORNECEDORES_NOMES,$I1234)+COUNTIF(FORNECEDORES_FANTASIA,$I1234)=0),"⚠ Cliente/Fornecedor não cadastrado",IF(AND($G1234&lt;&gt;"",COUNTIF(SUBCATEGORIAS_PLANO,$G1234)=0),"⚠ Subcategoria fora do plano de contas",IF(OR($Q1234="",N($Q1234)=0),"⚠ Valor previsto não informado",IF(AND(OR($X1234="Pago",$X1234="Recebido"),$D1234=""),"⚠ Status pago/recebido sem data",IF(AND($D1234&lt;&gt;"",N($R1234)=0),"⚠ Data de pagamento sem valor realizado",IF(AND(N($P1234)&gt;1,N($O1234)&gt;N($P1234)),"⚠ Nº da parcela maior que o total",IF(AND($C1234&lt;&gt;"",$B1234&lt;&gt;"",$C1234&lt;$B1234),"⚠ Vencimento anterior à competência","OK"))))))))</f>
        <v/>
      </c>
    </row>
    <row r="1235">
      <c r="A1235" s="14" t="n"/>
      <c r="B1235" s="36" t="n"/>
      <c r="C1235" s="36" t="n"/>
      <c r="D1235" s="36" t="n"/>
      <c r="E1235" s="14" t="n"/>
      <c r="F1235" s="29" t="n"/>
      <c r="G1235" s="29" t="n"/>
      <c r="H1235" s="29" t="n"/>
      <c r="I1235" s="29" t="n"/>
      <c r="J1235" s="29" t="n"/>
      <c r="K1235" s="14" t="n"/>
      <c r="L1235" s="29" t="n"/>
      <c r="M1235" s="14" t="n"/>
      <c r="N1235" s="29" t="n"/>
      <c r="O1235" s="13" t="n"/>
      <c r="P1235" s="13" t="n"/>
      <c r="Q1235" s="35" t="n"/>
      <c r="R1235" s="35" t="n"/>
      <c r="S1235" s="35" t="n"/>
      <c r="T1235" s="35" t="n"/>
      <c r="U1235" s="35" t="n"/>
      <c r="V1235" s="18">
        <f>IF(COUNTA($B1235:$R1235)=0,"",ROUND(N($R1235)+N($S1235)+N($T1235)-N($U1235),2))</f>
        <v/>
      </c>
      <c r="W1235" s="18">
        <f>IF(COUNTA($B1235:$R1235)=0,"",IF(OR($X1235="Pago",$X1235="Recebido",$X1235="Cancelado"),0,ROUND(N($Q1235)+N($S1235)+N($T1235)-N($U1235)-N($R1235),2)))</f>
        <v/>
      </c>
      <c r="X1235" s="14" t="n"/>
      <c r="Y1235" s="17">
        <f>IF(COUNTA($B1235:$R1235)=0,"",IF($X1235="Cancelado","Cancelado",IF(OR($X1235="Pago",$X1235="Recebido"),$X1235,IF(OR($X1235="Parcial",N($R1235)&gt;0),"Parcial",IF($C1235="","Sem vencimento",IF($C1235&lt;TODAY(),"Vencido",IF($C1235=TODAY(),"Vence hoje",IF($C1235&lt;=TODAY()+7,"Vence em 7 dias",IF($C1235&lt;=TODAY()+30,"Vence em 30 dias","Futuro")))))))))</f>
        <v/>
      </c>
      <c r="Z1235" s="24">
        <f>IF($B1235="","",MONTH($B1235))</f>
        <v/>
      </c>
      <c r="AA1235" s="24">
        <f>IF($B1235="","",YEAR($B1235))</f>
        <v/>
      </c>
      <c r="AB1235" s="24">
        <f>IF($B1235="","",ISOWEEKNUM($B1235))</f>
        <v/>
      </c>
      <c r="AC1235" s="17">
        <f>IF($B1235="","",CHOOSE(WEEKDAY($B1235,2),"Segunda","Terça","Quarta","Quinta","Sexta","Sábado","Domingo"))</f>
        <v/>
      </c>
      <c r="AD1235" s="17">
        <f>IF($B1235="","",TEXT($B1235,"MM/AAAA"))</f>
        <v/>
      </c>
      <c r="AE1235" s="18">
        <f>IF(COUNTA($B1235:$R1235)=0,"",IF($X1235="Cancelado",0,ROUND(N($Q1235)+N($S1235)+N($T1235)-N($U1235),2)))</f>
        <v/>
      </c>
      <c r="AF1235" s="9">
        <f>IF($G1235="","",IFERROR(INDEX(LINHAS_DRE_PLANO,MATCH($G1235,SUBCATEGORIAS_PLANO,0)),"Não classificado"))</f>
        <v/>
      </c>
      <c r="AG1235" s="17">
        <f>IF($G1235="","",IFERROR(INDEX(TIPOS_FLUXO_PLANO,MATCH($G1235,SUBCATEGORIAS_PLANO,0)),"Não classificado"))</f>
        <v/>
      </c>
      <c r="AH1235" s="9">
        <f>IF($G1235="","",IFERROR(INDEX(GRUPOS_PLANO,MATCH($G1235,SUBCATEGORIAS_PLANO,0)),"Não classificado"))</f>
        <v/>
      </c>
      <c r="AI1235" s="24">
        <f>IF(OR($C1235="",$X1235="Pago",$X1235="Recebido",$X1235="Cancelado"),"",$C1235-TODAY())</f>
        <v/>
      </c>
      <c r="AJ1235" s="24">
        <f>IF(OR($C1235="",$X1235="Pago",$X1235="Recebido",$X1235="Cancelado"),0,MAX(0,TODAY()-$C1235))</f>
        <v/>
      </c>
      <c r="AK1235" s="24">
        <f>IF($D1235="","",$D1235-$B1235)</f>
        <v/>
      </c>
      <c r="AL1235" s="18">
        <f>IF(OR($D1235="",$B1235=""),"",ROUND(N($R1235)*($D1235-$B1235),2))</f>
        <v/>
      </c>
      <c r="AM1235" s="17">
        <f>IF(AND($E1235="Saída",$W1235&gt;0,$C1235&lt;&gt;""),$C1235+ROW()/1000000,"")</f>
        <v/>
      </c>
      <c r="AN1235" s="17">
        <f>IF(AND($E1235="Entrada",$W1235&gt;0,$C1235&lt;&gt;""),$C1235+ROW()/1000000,"")</f>
        <v/>
      </c>
      <c r="AO1235" s="9">
        <f>IF(COUNTA($B1235:$R1235)=0,"",IF(AND($I1235&lt;&gt;"",COUNTIF(CLIENTES_NOMES,$I1235)+COUNTIF(CLIENTES_FANTASIA,$I1235)+COUNTIF(FORNECEDORES_NOMES,$I1235)+COUNTIF(FORNECEDORES_FANTASIA,$I1235)=0),"⚠ Cliente/Fornecedor não cadastrado",IF(AND($G1235&lt;&gt;"",COUNTIF(SUBCATEGORIAS_PLANO,$G1235)=0),"⚠ Subcategoria fora do plano de contas",IF(OR($Q1235="",N($Q1235)=0),"⚠ Valor previsto não informado",IF(AND(OR($X1235="Pago",$X1235="Recebido"),$D1235=""),"⚠ Status pago/recebido sem data",IF(AND($D1235&lt;&gt;"",N($R1235)=0),"⚠ Data de pagamento sem valor realizado",IF(AND(N($P1235)&gt;1,N($O1235)&gt;N($P1235)),"⚠ Nº da parcela maior que o total",IF(AND($C1235&lt;&gt;"",$B1235&lt;&gt;"",$C1235&lt;$B1235),"⚠ Vencimento anterior à competência","OK"))))))))</f>
        <v/>
      </c>
    </row>
    <row r="1236">
      <c r="A1236" s="14" t="n"/>
      <c r="B1236" s="36" t="n"/>
      <c r="C1236" s="36" t="n"/>
      <c r="D1236" s="36" t="n"/>
      <c r="E1236" s="14" t="n"/>
      <c r="F1236" s="29" t="n"/>
      <c r="G1236" s="29" t="n"/>
      <c r="H1236" s="29" t="n"/>
      <c r="I1236" s="29" t="n"/>
      <c r="J1236" s="29" t="n"/>
      <c r="K1236" s="14" t="n"/>
      <c r="L1236" s="29" t="n"/>
      <c r="M1236" s="14" t="n"/>
      <c r="N1236" s="29" t="n"/>
      <c r="O1236" s="13" t="n"/>
      <c r="P1236" s="13" t="n"/>
      <c r="Q1236" s="35" t="n"/>
      <c r="R1236" s="35" t="n"/>
      <c r="S1236" s="35" t="n"/>
      <c r="T1236" s="35" t="n"/>
      <c r="U1236" s="35" t="n"/>
      <c r="V1236" s="18">
        <f>IF(COUNTA($B1236:$R1236)=0,"",ROUND(N($R1236)+N($S1236)+N($T1236)-N($U1236),2))</f>
        <v/>
      </c>
      <c r="W1236" s="18">
        <f>IF(COUNTA($B1236:$R1236)=0,"",IF(OR($X1236="Pago",$X1236="Recebido",$X1236="Cancelado"),0,ROUND(N($Q1236)+N($S1236)+N($T1236)-N($U1236)-N($R1236),2)))</f>
        <v/>
      </c>
      <c r="X1236" s="14" t="n"/>
      <c r="Y1236" s="17">
        <f>IF(COUNTA($B1236:$R1236)=0,"",IF($X1236="Cancelado","Cancelado",IF(OR($X1236="Pago",$X1236="Recebido"),$X1236,IF(OR($X1236="Parcial",N($R1236)&gt;0),"Parcial",IF($C1236="","Sem vencimento",IF($C1236&lt;TODAY(),"Vencido",IF($C1236=TODAY(),"Vence hoje",IF($C1236&lt;=TODAY()+7,"Vence em 7 dias",IF($C1236&lt;=TODAY()+30,"Vence em 30 dias","Futuro")))))))))</f>
        <v/>
      </c>
      <c r="Z1236" s="24">
        <f>IF($B1236="","",MONTH($B1236))</f>
        <v/>
      </c>
      <c r="AA1236" s="24">
        <f>IF($B1236="","",YEAR($B1236))</f>
        <v/>
      </c>
      <c r="AB1236" s="24">
        <f>IF($B1236="","",ISOWEEKNUM($B1236))</f>
        <v/>
      </c>
      <c r="AC1236" s="17">
        <f>IF($B1236="","",CHOOSE(WEEKDAY($B1236,2),"Segunda","Terça","Quarta","Quinta","Sexta","Sábado","Domingo"))</f>
        <v/>
      </c>
      <c r="AD1236" s="17">
        <f>IF($B1236="","",TEXT($B1236,"MM/AAAA"))</f>
        <v/>
      </c>
      <c r="AE1236" s="18">
        <f>IF(COUNTA($B1236:$R1236)=0,"",IF($X1236="Cancelado",0,ROUND(N($Q1236)+N($S1236)+N($T1236)-N($U1236),2)))</f>
        <v/>
      </c>
      <c r="AF1236" s="9">
        <f>IF($G1236="","",IFERROR(INDEX(LINHAS_DRE_PLANO,MATCH($G1236,SUBCATEGORIAS_PLANO,0)),"Não classificado"))</f>
        <v/>
      </c>
      <c r="AG1236" s="17">
        <f>IF($G1236="","",IFERROR(INDEX(TIPOS_FLUXO_PLANO,MATCH($G1236,SUBCATEGORIAS_PLANO,0)),"Não classificado"))</f>
        <v/>
      </c>
      <c r="AH1236" s="9">
        <f>IF($G1236="","",IFERROR(INDEX(GRUPOS_PLANO,MATCH($G1236,SUBCATEGORIAS_PLANO,0)),"Não classificado"))</f>
        <v/>
      </c>
      <c r="AI1236" s="24">
        <f>IF(OR($C1236="",$X1236="Pago",$X1236="Recebido",$X1236="Cancelado"),"",$C1236-TODAY())</f>
        <v/>
      </c>
      <c r="AJ1236" s="24">
        <f>IF(OR($C1236="",$X1236="Pago",$X1236="Recebido",$X1236="Cancelado"),0,MAX(0,TODAY()-$C1236))</f>
        <v/>
      </c>
      <c r="AK1236" s="24">
        <f>IF($D1236="","",$D1236-$B1236)</f>
        <v/>
      </c>
      <c r="AL1236" s="18">
        <f>IF(OR($D1236="",$B1236=""),"",ROUND(N($R1236)*($D1236-$B1236),2))</f>
        <v/>
      </c>
      <c r="AM1236" s="17">
        <f>IF(AND($E1236="Saída",$W1236&gt;0,$C1236&lt;&gt;""),$C1236+ROW()/1000000,"")</f>
        <v/>
      </c>
      <c r="AN1236" s="17">
        <f>IF(AND($E1236="Entrada",$W1236&gt;0,$C1236&lt;&gt;""),$C1236+ROW()/1000000,"")</f>
        <v/>
      </c>
      <c r="AO1236" s="9">
        <f>IF(COUNTA($B1236:$R1236)=0,"",IF(AND($I1236&lt;&gt;"",COUNTIF(CLIENTES_NOMES,$I1236)+COUNTIF(CLIENTES_FANTASIA,$I1236)+COUNTIF(FORNECEDORES_NOMES,$I1236)+COUNTIF(FORNECEDORES_FANTASIA,$I1236)=0),"⚠ Cliente/Fornecedor não cadastrado",IF(AND($G1236&lt;&gt;"",COUNTIF(SUBCATEGORIAS_PLANO,$G1236)=0),"⚠ Subcategoria fora do plano de contas",IF(OR($Q1236="",N($Q1236)=0),"⚠ Valor previsto não informado",IF(AND(OR($X1236="Pago",$X1236="Recebido"),$D1236=""),"⚠ Status pago/recebido sem data",IF(AND($D1236&lt;&gt;"",N($R1236)=0),"⚠ Data de pagamento sem valor realizado",IF(AND(N($P1236)&gt;1,N($O1236)&gt;N($P1236)),"⚠ Nº da parcela maior que o total",IF(AND($C1236&lt;&gt;"",$B1236&lt;&gt;"",$C1236&lt;$B1236),"⚠ Vencimento anterior à competência","OK"))))))))</f>
        <v/>
      </c>
    </row>
    <row r="1237">
      <c r="A1237" s="14" t="n"/>
      <c r="B1237" s="36" t="n"/>
      <c r="C1237" s="36" t="n"/>
      <c r="D1237" s="36" t="n"/>
      <c r="E1237" s="14" t="n"/>
      <c r="F1237" s="29" t="n"/>
      <c r="G1237" s="29" t="n"/>
      <c r="H1237" s="29" t="n"/>
      <c r="I1237" s="29" t="n"/>
      <c r="J1237" s="29" t="n"/>
      <c r="K1237" s="14" t="n"/>
      <c r="L1237" s="29" t="n"/>
      <c r="M1237" s="14" t="n"/>
      <c r="N1237" s="29" t="n"/>
      <c r="O1237" s="13" t="n"/>
      <c r="P1237" s="13" t="n"/>
      <c r="Q1237" s="35" t="n"/>
      <c r="R1237" s="35" t="n"/>
      <c r="S1237" s="35" t="n"/>
      <c r="T1237" s="35" t="n"/>
      <c r="U1237" s="35" t="n"/>
      <c r="V1237" s="18">
        <f>IF(COUNTA($B1237:$R1237)=0,"",ROUND(N($R1237)+N($S1237)+N($T1237)-N($U1237),2))</f>
        <v/>
      </c>
      <c r="W1237" s="18">
        <f>IF(COUNTA($B1237:$R1237)=0,"",IF(OR($X1237="Pago",$X1237="Recebido",$X1237="Cancelado"),0,ROUND(N($Q1237)+N($S1237)+N($T1237)-N($U1237)-N($R1237),2)))</f>
        <v/>
      </c>
      <c r="X1237" s="14" t="n"/>
      <c r="Y1237" s="17">
        <f>IF(COUNTA($B1237:$R1237)=0,"",IF($X1237="Cancelado","Cancelado",IF(OR($X1237="Pago",$X1237="Recebido"),$X1237,IF(OR($X1237="Parcial",N($R1237)&gt;0),"Parcial",IF($C1237="","Sem vencimento",IF($C1237&lt;TODAY(),"Vencido",IF($C1237=TODAY(),"Vence hoje",IF($C1237&lt;=TODAY()+7,"Vence em 7 dias",IF($C1237&lt;=TODAY()+30,"Vence em 30 dias","Futuro")))))))))</f>
        <v/>
      </c>
      <c r="Z1237" s="24">
        <f>IF($B1237="","",MONTH($B1237))</f>
        <v/>
      </c>
      <c r="AA1237" s="24">
        <f>IF($B1237="","",YEAR($B1237))</f>
        <v/>
      </c>
      <c r="AB1237" s="24">
        <f>IF($B1237="","",ISOWEEKNUM($B1237))</f>
        <v/>
      </c>
      <c r="AC1237" s="17">
        <f>IF($B1237="","",CHOOSE(WEEKDAY($B1237,2),"Segunda","Terça","Quarta","Quinta","Sexta","Sábado","Domingo"))</f>
        <v/>
      </c>
      <c r="AD1237" s="17">
        <f>IF($B1237="","",TEXT($B1237,"MM/AAAA"))</f>
        <v/>
      </c>
      <c r="AE1237" s="18">
        <f>IF(COUNTA($B1237:$R1237)=0,"",IF($X1237="Cancelado",0,ROUND(N($Q1237)+N($S1237)+N($T1237)-N($U1237),2)))</f>
        <v/>
      </c>
      <c r="AF1237" s="9">
        <f>IF($G1237="","",IFERROR(INDEX(LINHAS_DRE_PLANO,MATCH($G1237,SUBCATEGORIAS_PLANO,0)),"Não classificado"))</f>
        <v/>
      </c>
      <c r="AG1237" s="17">
        <f>IF($G1237="","",IFERROR(INDEX(TIPOS_FLUXO_PLANO,MATCH($G1237,SUBCATEGORIAS_PLANO,0)),"Não classificado"))</f>
        <v/>
      </c>
      <c r="AH1237" s="9">
        <f>IF($G1237="","",IFERROR(INDEX(GRUPOS_PLANO,MATCH($G1237,SUBCATEGORIAS_PLANO,0)),"Não classificado"))</f>
        <v/>
      </c>
      <c r="AI1237" s="24">
        <f>IF(OR($C1237="",$X1237="Pago",$X1237="Recebido",$X1237="Cancelado"),"",$C1237-TODAY())</f>
        <v/>
      </c>
      <c r="AJ1237" s="24">
        <f>IF(OR($C1237="",$X1237="Pago",$X1237="Recebido",$X1237="Cancelado"),0,MAX(0,TODAY()-$C1237))</f>
        <v/>
      </c>
      <c r="AK1237" s="24">
        <f>IF($D1237="","",$D1237-$B1237)</f>
        <v/>
      </c>
      <c r="AL1237" s="18">
        <f>IF(OR($D1237="",$B1237=""),"",ROUND(N($R1237)*($D1237-$B1237),2))</f>
        <v/>
      </c>
      <c r="AM1237" s="17">
        <f>IF(AND($E1237="Saída",$W1237&gt;0,$C1237&lt;&gt;""),$C1237+ROW()/1000000,"")</f>
        <v/>
      </c>
      <c r="AN1237" s="17">
        <f>IF(AND($E1237="Entrada",$W1237&gt;0,$C1237&lt;&gt;""),$C1237+ROW()/1000000,"")</f>
        <v/>
      </c>
      <c r="AO1237" s="9">
        <f>IF(COUNTA($B1237:$R1237)=0,"",IF(AND($I1237&lt;&gt;"",COUNTIF(CLIENTES_NOMES,$I1237)+COUNTIF(CLIENTES_FANTASIA,$I1237)+COUNTIF(FORNECEDORES_NOMES,$I1237)+COUNTIF(FORNECEDORES_FANTASIA,$I1237)=0),"⚠ Cliente/Fornecedor não cadastrado",IF(AND($G1237&lt;&gt;"",COUNTIF(SUBCATEGORIAS_PLANO,$G1237)=0),"⚠ Subcategoria fora do plano de contas",IF(OR($Q1237="",N($Q1237)=0),"⚠ Valor previsto não informado",IF(AND(OR($X1237="Pago",$X1237="Recebido"),$D1237=""),"⚠ Status pago/recebido sem data",IF(AND($D1237&lt;&gt;"",N($R1237)=0),"⚠ Data de pagamento sem valor realizado",IF(AND(N($P1237)&gt;1,N($O1237)&gt;N($P1237)),"⚠ Nº da parcela maior que o total",IF(AND($C1237&lt;&gt;"",$B1237&lt;&gt;"",$C1237&lt;$B1237),"⚠ Vencimento anterior à competência","OK"))))))))</f>
        <v/>
      </c>
    </row>
    <row r="1238">
      <c r="A1238" s="14" t="n"/>
      <c r="B1238" s="36" t="n"/>
      <c r="C1238" s="36" t="n"/>
      <c r="D1238" s="36" t="n"/>
      <c r="E1238" s="14" t="n"/>
      <c r="F1238" s="29" t="n"/>
      <c r="G1238" s="29" t="n"/>
      <c r="H1238" s="29" t="n"/>
      <c r="I1238" s="29" t="n"/>
      <c r="J1238" s="29" t="n"/>
      <c r="K1238" s="14" t="n"/>
      <c r="L1238" s="29" t="n"/>
      <c r="M1238" s="14" t="n"/>
      <c r="N1238" s="29" t="n"/>
      <c r="O1238" s="13" t="n"/>
      <c r="P1238" s="13" t="n"/>
      <c r="Q1238" s="35" t="n"/>
      <c r="R1238" s="35" t="n"/>
      <c r="S1238" s="35" t="n"/>
      <c r="T1238" s="35" t="n"/>
      <c r="U1238" s="35" t="n"/>
      <c r="V1238" s="18">
        <f>IF(COUNTA($B1238:$R1238)=0,"",ROUND(N($R1238)+N($S1238)+N($T1238)-N($U1238),2))</f>
        <v/>
      </c>
      <c r="W1238" s="18">
        <f>IF(COUNTA($B1238:$R1238)=0,"",IF(OR($X1238="Pago",$X1238="Recebido",$X1238="Cancelado"),0,ROUND(N($Q1238)+N($S1238)+N($T1238)-N($U1238)-N($R1238),2)))</f>
        <v/>
      </c>
      <c r="X1238" s="14" t="n"/>
      <c r="Y1238" s="17">
        <f>IF(COUNTA($B1238:$R1238)=0,"",IF($X1238="Cancelado","Cancelado",IF(OR($X1238="Pago",$X1238="Recebido"),$X1238,IF(OR($X1238="Parcial",N($R1238)&gt;0),"Parcial",IF($C1238="","Sem vencimento",IF($C1238&lt;TODAY(),"Vencido",IF($C1238=TODAY(),"Vence hoje",IF($C1238&lt;=TODAY()+7,"Vence em 7 dias",IF($C1238&lt;=TODAY()+30,"Vence em 30 dias","Futuro")))))))))</f>
        <v/>
      </c>
      <c r="Z1238" s="24">
        <f>IF($B1238="","",MONTH($B1238))</f>
        <v/>
      </c>
      <c r="AA1238" s="24">
        <f>IF($B1238="","",YEAR($B1238))</f>
        <v/>
      </c>
      <c r="AB1238" s="24">
        <f>IF($B1238="","",ISOWEEKNUM($B1238))</f>
        <v/>
      </c>
      <c r="AC1238" s="17">
        <f>IF($B1238="","",CHOOSE(WEEKDAY($B1238,2),"Segunda","Terça","Quarta","Quinta","Sexta","Sábado","Domingo"))</f>
        <v/>
      </c>
      <c r="AD1238" s="17">
        <f>IF($B1238="","",TEXT($B1238,"MM/AAAA"))</f>
        <v/>
      </c>
      <c r="AE1238" s="18">
        <f>IF(COUNTA($B1238:$R1238)=0,"",IF($X1238="Cancelado",0,ROUND(N($Q1238)+N($S1238)+N($T1238)-N($U1238),2)))</f>
        <v/>
      </c>
      <c r="AF1238" s="9">
        <f>IF($G1238="","",IFERROR(INDEX(LINHAS_DRE_PLANO,MATCH($G1238,SUBCATEGORIAS_PLANO,0)),"Não classificado"))</f>
        <v/>
      </c>
      <c r="AG1238" s="17">
        <f>IF($G1238="","",IFERROR(INDEX(TIPOS_FLUXO_PLANO,MATCH($G1238,SUBCATEGORIAS_PLANO,0)),"Não classificado"))</f>
        <v/>
      </c>
      <c r="AH1238" s="9">
        <f>IF($G1238="","",IFERROR(INDEX(GRUPOS_PLANO,MATCH($G1238,SUBCATEGORIAS_PLANO,0)),"Não classificado"))</f>
        <v/>
      </c>
      <c r="AI1238" s="24">
        <f>IF(OR($C1238="",$X1238="Pago",$X1238="Recebido",$X1238="Cancelado"),"",$C1238-TODAY())</f>
        <v/>
      </c>
      <c r="AJ1238" s="24">
        <f>IF(OR($C1238="",$X1238="Pago",$X1238="Recebido",$X1238="Cancelado"),0,MAX(0,TODAY()-$C1238))</f>
        <v/>
      </c>
      <c r="AK1238" s="24">
        <f>IF($D1238="","",$D1238-$B1238)</f>
        <v/>
      </c>
      <c r="AL1238" s="18">
        <f>IF(OR($D1238="",$B1238=""),"",ROUND(N($R1238)*($D1238-$B1238),2))</f>
        <v/>
      </c>
      <c r="AM1238" s="17">
        <f>IF(AND($E1238="Saída",$W1238&gt;0,$C1238&lt;&gt;""),$C1238+ROW()/1000000,"")</f>
        <v/>
      </c>
      <c r="AN1238" s="17">
        <f>IF(AND($E1238="Entrada",$W1238&gt;0,$C1238&lt;&gt;""),$C1238+ROW()/1000000,"")</f>
        <v/>
      </c>
      <c r="AO1238" s="9">
        <f>IF(COUNTA($B1238:$R1238)=0,"",IF(AND($I1238&lt;&gt;"",COUNTIF(CLIENTES_NOMES,$I1238)+COUNTIF(CLIENTES_FANTASIA,$I1238)+COUNTIF(FORNECEDORES_NOMES,$I1238)+COUNTIF(FORNECEDORES_FANTASIA,$I1238)=0),"⚠ Cliente/Fornecedor não cadastrado",IF(AND($G1238&lt;&gt;"",COUNTIF(SUBCATEGORIAS_PLANO,$G1238)=0),"⚠ Subcategoria fora do plano de contas",IF(OR($Q1238="",N($Q1238)=0),"⚠ Valor previsto não informado",IF(AND(OR($X1238="Pago",$X1238="Recebido"),$D1238=""),"⚠ Status pago/recebido sem data",IF(AND($D1238&lt;&gt;"",N($R1238)=0),"⚠ Data de pagamento sem valor realizado",IF(AND(N($P1238)&gt;1,N($O1238)&gt;N($P1238)),"⚠ Nº da parcela maior que o total",IF(AND($C1238&lt;&gt;"",$B1238&lt;&gt;"",$C1238&lt;$B1238),"⚠ Vencimento anterior à competência","OK"))))))))</f>
        <v/>
      </c>
    </row>
    <row r="1239">
      <c r="A1239" s="14" t="n"/>
      <c r="B1239" s="36" t="n"/>
      <c r="C1239" s="36" t="n"/>
      <c r="D1239" s="36" t="n"/>
      <c r="E1239" s="14" t="n"/>
      <c r="F1239" s="29" t="n"/>
      <c r="G1239" s="29" t="n"/>
      <c r="H1239" s="29" t="n"/>
      <c r="I1239" s="29" t="n"/>
      <c r="J1239" s="29" t="n"/>
      <c r="K1239" s="14" t="n"/>
      <c r="L1239" s="29" t="n"/>
      <c r="M1239" s="14" t="n"/>
      <c r="N1239" s="29" t="n"/>
      <c r="O1239" s="13" t="n"/>
      <c r="P1239" s="13" t="n"/>
      <c r="Q1239" s="35" t="n"/>
      <c r="R1239" s="35" t="n"/>
      <c r="S1239" s="35" t="n"/>
      <c r="T1239" s="35" t="n"/>
      <c r="U1239" s="35" t="n"/>
      <c r="V1239" s="18">
        <f>IF(COUNTA($B1239:$R1239)=0,"",ROUND(N($R1239)+N($S1239)+N($T1239)-N($U1239),2))</f>
        <v/>
      </c>
      <c r="W1239" s="18">
        <f>IF(COUNTA($B1239:$R1239)=0,"",IF(OR($X1239="Pago",$X1239="Recebido",$X1239="Cancelado"),0,ROUND(N($Q1239)+N($S1239)+N($T1239)-N($U1239)-N($R1239),2)))</f>
        <v/>
      </c>
      <c r="X1239" s="14" t="n"/>
      <c r="Y1239" s="17">
        <f>IF(COUNTA($B1239:$R1239)=0,"",IF($X1239="Cancelado","Cancelado",IF(OR($X1239="Pago",$X1239="Recebido"),$X1239,IF(OR($X1239="Parcial",N($R1239)&gt;0),"Parcial",IF($C1239="","Sem vencimento",IF($C1239&lt;TODAY(),"Vencido",IF($C1239=TODAY(),"Vence hoje",IF($C1239&lt;=TODAY()+7,"Vence em 7 dias",IF($C1239&lt;=TODAY()+30,"Vence em 30 dias","Futuro")))))))))</f>
        <v/>
      </c>
      <c r="Z1239" s="24">
        <f>IF($B1239="","",MONTH($B1239))</f>
        <v/>
      </c>
      <c r="AA1239" s="24">
        <f>IF($B1239="","",YEAR($B1239))</f>
        <v/>
      </c>
      <c r="AB1239" s="24">
        <f>IF($B1239="","",ISOWEEKNUM($B1239))</f>
        <v/>
      </c>
      <c r="AC1239" s="17">
        <f>IF($B1239="","",CHOOSE(WEEKDAY($B1239,2),"Segunda","Terça","Quarta","Quinta","Sexta","Sábado","Domingo"))</f>
        <v/>
      </c>
      <c r="AD1239" s="17">
        <f>IF($B1239="","",TEXT($B1239,"MM/AAAA"))</f>
        <v/>
      </c>
      <c r="AE1239" s="18">
        <f>IF(COUNTA($B1239:$R1239)=0,"",IF($X1239="Cancelado",0,ROUND(N($Q1239)+N($S1239)+N($T1239)-N($U1239),2)))</f>
        <v/>
      </c>
      <c r="AF1239" s="9">
        <f>IF($G1239="","",IFERROR(INDEX(LINHAS_DRE_PLANO,MATCH($G1239,SUBCATEGORIAS_PLANO,0)),"Não classificado"))</f>
        <v/>
      </c>
      <c r="AG1239" s="17">
        <f>IF($G1239="","",IFERROR(INDEX(TIPOS_FLUXO_PLANO,MATCH($G1239,SUBCATEGORIAS_PLANO,0)),"Não classificado"))</f>
        <v/>
      </c>
      <c r="AH1239" s="9">
        <f>IF($G1239="","",IFERROR(INDEX(GRUPOS_PLANO,MATCH($G1239,SUBCATEGORIAS_PLANO,0)),"Não classificado"))</f>
        <v/>
      </c>
      <c r="AI1239" s="24">
        <f>IF(OR($C1239="",$X1239="Pago",$X1239="Recebido",$X1239="Cancelado"),"",$C1239-TODAY())</f>
        <v/>
      </c>
      <c r="AJ1239" s="24">
        <f>IF(OR($C1239="",$X1239="Pago",$X1239="Recebido",$X1239="Cancelado"),0,MAX(0,TODAY()-$C1239))</f>
        <v/>
      </c>
      <c r="AK1239" s="24">
        <f>IF($D1239="","",$D1239-$B1239)</f>
        <v/>
      </c>
      <c r="AL1239" s="18">
        <f>IF(OR($D1239="",$B1239=""),"",ROUND(N($R1239)*($D1239-$B1239),2))</f>
        <v/>
      </c>
      <c r="AM1239" s="17">
        <f>IF(AND($E1239="Saída",$W1239&gt;0,$C1239&lt;&gt;""),$C1239+ROW()/1000000,"")</f>
        <v/>
      </c>
      <c r="AN1239" s="17">
        <f>IF(AND($E1239="Entrada",$W1239&gt;0,$C1239&lt;&gt;""),$C1239+ROW()/1000000,"")</f>
        <v/>
      </c>
      <c r="AO1239" s="9">
        <f>IF(COUNTA($B1239:$R1239)=0,"",IF(AND($I1239&lt;&gt;"",COUNTIF(CLIENTES_NOMES,$I1239)+COUNTIF(CLIENTES_FANTASIA,$I1239)+COUNTIF(FORNECEDORES_NOMES,$I1239)+COUNTIF(FORNECEDORES_FANTASIA,$I1239)=0),"⚠ Cliente/Fornecedor não cadastrado",IF(AND($G1239&lt;&gt;"",COUNTIF(SUBCATEGORIAS_PLANO,$G1239)=0),"⚠ Subcategoria fora do plano de contas",IF(OR($Q1239="",N($Q1239)=0),"⚠ Valor previsto não informado",IF(AND(OR($X1239="Pago",$X1239="Recebido"),$D1239=""),"⚠ Status pago/recebido sem data",IF(AND($D1239&lt;&gt;"",N($R1239)=0),"⚠ Data de pagamento sem valor realizado",IF(AND(N($P1239)&gt;1,N($O1239)&gt;N($P1239)),"⚠ Nº da parcela maior que o total",IF(AND($C1239&lt;&gt;"",$B1239&lt;&gt;"",$C1239&lt;$B1239),"⚠ Vencimento anterior à competência","OK"))))))))</f>
        <v/>
      </c>
    </row>
    <row r="1240">
      <c r="A1240" s="14" t="n"/>
      <c r="B1240" s="36" t="n"/>
      <c r="C1240" s="36" t="n"/>
      <c r="D1240" s="36" t="n"/>
      <c r="E1240" s="14" t="n"/>
      <c r="F1240" s="29" t="n"/>
      <c r="G1240" s="29" t="n"/>
      <c r="H1240" s="29" t="n"/>
      <c r="I1240" s="29" t="n"/>
      <c r="J1240" s="29" t="n"/>
      <c r="K1240" s="14" t="n"/>
      <c r="L1240" s="29" t="n"/>
      <c r="M1240" s="14" t="n"/>
      <c r="N1240" s="29" t="n"/>
      <c r="O1240" s="13" t="n"/>
      <c r="P1240" s="13" t="n"/>
      <c r="Q1240" s="35" t="n"/>
      <c r="R1240" s="35" t="n"/>
      <c r="S1240" s="35" t="n"/>
      <c r="T1240" s="35" t="n"/>
      <c r="U1240" s="35" t="n"/>
      <c r="V1240" s="18">
        <f>IF(COUNTA($B1240:$R1240)=0,"",ROUND(N($R1240)+N($S1240)+N($T1240)-N($U1240),2))</f>
        <v/>
      </c>
      <c r="W1240" s="18">
        <f>IF(COUNTA($B1240:$R1240)=0,"",IF(OR($X1240="Pago",$X1240="Recebido",$X1240="Cancelado"),0,ROUND(N($Q1240)+N($S1240)+N($T1240)-N($U1240)-N($R1240),2)))</f>
        <v/>
      </c>
      <c r="X1240" s="14" t="n"/>
      <c r="Y1240" s="17">
        <f>IF(COUNTA($B1240:$R1240)=0,"",IF($X1240="Cancelado","Cancelado",IF(OR($X1240="Pago",$X1240="Recebido"),$X1240,IF(OR($X1240="Parcial",N($R1240)&gt;0),"Parcial",IF($C1240="","Sem vencimento",IF($C1240&lt;TODAY(),"Vencido",IF($C1240=TODAY(),"Vence hoje",IF($C1240&lt;=TODAY()+7,"Vence em 7 dias",IF($C1240&lt;=TODAY()+30,"Vence em 30 dias","Futuro")))))))))</f>
        <v/>
      </c>
      <c r="Z1240" s="24">
        <f>IF($B1240="","",MONTH($B1240))</f>
        <v/>
      </c>
      <c r="AA1240" s="24">
        <f>IF($B1240="","",YEAR($B1240))</f>
        <v/>
      </c>
      <c r="AB1240" s="24">
        <f>IF($B1240="","",ISOWEEKNUM($B1240))</f>
        <v/>
      </c>
      <c r="AC1240" s="17">
        <f>IF($B1240="","",CHOOSE(WEEKDAY($B1240,2),"Segunda","Terça","Quarta","Quinta","Sexta","Sábado","Domingo"))</f>
        <v/>
      </c>
      <c r="AD1240" s="17">
        <f>IF($B1240="","",TEXT($B1240,"MM/AAAA"))</f>
        <v/>
      </c>
      <c r="AE1240" s="18">
        <f>IF(COUNTA($B1240:$R1240)=0,"",IF($X1240="Cancelado",0,ROUND(N($Q1240)+N($S1240)+N($T1240)-N($U1240),2)))</f>
        <v/>
      </c>
      <c r="AF1240" s="9">
        <f>IF($G1240="","",IFERROR(INDEX(LINHAS_DRE_PLANO,MATCH($G1240,SUBCATEGORIAS_PLANO,0)),"Não classificado"))</f>
        <v/>
      </c>
      <c r="AG1240" s="17">
        <f>IF($G1240="","",IFERROR(INDEX(TIPOS_FLUXO_PLANO,MATCH($G1240,SUBCATEGORIAS_PLANO,0)),"Não classificado"))</f>
        <v/>
      </c>
      <c r="AH1240" s="9">
        <f>IF($G1240="","",IFERROR(INDEX(GRUPOS_PLANO,MATCH($G1240,SUBCATEGORIAS_PLANO,0)),"Não classificado"))</f>
        <v/>
      </c>
      <c r="AI1240" s="24">
        <f>IF(OR($C1240="",$X1240="Pago",$X1240="Recebido",$X1240="Cancelado"),"",$C1240-TODAY())</f>
        <v/>
      </c>
      <c r="AJ1240" s="24">
        <f>IF(OR($C1240="",$X1240="Pago",$X1240="Recebido",$X1240="Cancelado"),0,MAX(0,TODAY()-$C1240))</f>
        <v/>
      </c>
      <c r="AK1240" s="24">
        <f>IF($D1240="","",$D1240-$B1240)</f>
        <v/>
      </c>
      <c r="AL1240" s="18">
        <f>IF(OR($D1240="",$B1240=""),"",ROUND(N($R1240)*($D1240-$B1240),2))</f>
        <v/>
      </c>
      <c r="AM1240" s="17">
        <f>IF(AND($E1240="Saída",$W1240&gt;0,$C1240&lt;&gt;""),$C1240+ROW()/1000000,"")</f>
        <v/>
      </c>
      <c r="AN1240" s="17">
        <f>IF(AND($E1240="Entrada",$W1240&gt;0,$C1240&lt;&gt;""),$C1240+ROW()/1000000,"")</f>
        <v/>
      </c>
      <c r="AO1240" s="9">
        <f>IF(COUNTA($B1240:$R1240)=0,"",IF(AND($I1240&lt;&gt;"",COUNTIF(CLIENTES_NOMES,$I1240)+COUNTIF(CLIENTES_FANTASIA,$I1240)+COUNTIF(FORNECEDORES_NOMES,$I1240)+COUNTIF(FORNECEDORES_FANTASIA,$I1240)=0),"⚠ Cliente/Fornecedor não cadastrado",IF(AND($G1240&lt;&gt;"",COUNTIF(SUBCATEGORIAS_PLANO,$G1240)=0),"⚠ Subcategoria fora do plano de contas",IF(OR($Q1240="",N($Q1240)=0),"⚠ Valor previsto não informado",IF(AND(OR($X1240="Pago",$X1240="Recebido"),$D1240=""),"⚠ Status pago/recebido sem data",IF(AND($D1240&lt;&gt;"",N($R1240)=0),"⚠ Data de pagamento sem valor realizado",IF(AND(N($P1240)&gt;1,N($O1240)&gt;N($P1240)),"⚠ Nº da parcela maior que o total",IF(AND($C1240&lt;&gt;"",$B1240&lt;&gt;"",$C1240&lt;$B1240),"⚠ Vencimento anterior à competência","OK"))))))))</f>
        <v/>
      </c>
    </row>
    <row r="1241">
      <c r="A1241" s="14" t="n"/>
      <c r="B1241" s="36" t="n"/>
      <c r="C1241" s="36" t="n"/>
      <c r="D1241" s="36" t="n"/>
      <c r="E1241" s="14" t="n"/>
      <c r="F1241" s="29" t="n"/>
      <c r="G1241" s="29" t="n"/>
      <c r="H1241" s="29" t="n"/>
      <c r="I1241" s="29" t="n"/>
      <c r="J1241" s="29" t="n"/>
      <c r="K1241" s="14" t="n"/>
      <c r="L1241" s="29" t="n"/>
      <c r="M1241" s="14" t="n"/>
      <c r="N1241" s="29" t="n"/>
      <c r="O1241" s="13" t="n"/>
      <c r="P1241" s="13" t="n"/>
      <c r="Q1241" s="35" t="n"/>
      <c r="R1241" s="35" t="n"/>
      <c r="S1241" s="35" t="n"/>
      <c r="T1241" s="35" t="n"/>
      <c r="U1241" s="35" t="n"/>
      <c r="V1241" s="18">
        <f>IF(COUNTA($B1241:$R1241)=0,"",ROUND(N($R1241)+N($S1241)+N($T1241)-N($U1241),2))</f>
        <v/>
      </c>
      <c r="W1241" s="18">
        <f>IF(COUNTA($B1241:$R1241)=0,"",IF(OR($X1241="Pago",$X1241="Recebido",$X1241="Cancelado"),0,ROUND(N($Q1241)+N($S1241)+N($T1241)-N($U1241)-N($R1241),2)))</f>
        <v/>
      </c>
      <c r="X1241" s="14" t="n"/>
      <c r="Y1241" s="17">
        <f>IF(COUNTA($B1241:$R1241)=0,"",IF($X1241="Cancelado","Cancelado",IF(OR($X1241="Pago",$X1241="Recebido"),$X1241,IF(OR($X1241="Parcial",N($R1241)&gt;0),"Parcial",IF($C1241="","Sem vencimento",IF($C1241&lt;TODAY(),"Vencido",IF($C1241=TODAY(),"Vence hoje",IF($C1241&lt;=TODAY()+7,"Vence em 7 dias",IF($C1241&lt;=TODAY()+30,"Vence em 30 dias","Futuro")))))))))</f>
        <v/>
      </c>
      <c r="Z1241" s="24">
        <f>IF($B1241="","",MONTH($B1241))</f>
        <v/>
      </c>
      <c r="AA1241" s="24">
        <f>IF($B1241="","",YEAR($B1241))</f>
        <v/>
      </c>
      <c r="AB1241" s="24">
        <f>IF($B1241="","",ISOWEEKNUM($B1241))</f>
        <v/>
      </c>
      <c r="AC1241" s="17">
        <f>IF($B1241="","",CHOOSE(WEEKDAY($B1241,2),"Segunda","Terça","Quarta","Quinta","Sexta","Sábado","Domingo"))</f>
        <v/>
      </c>
      <c r="AD1241" s="17">
        <f>IF($B1241="","",TEXT($B1241,"MM/AAAA"))</f>
        <v/>
      </c>
      <c r="AE1241" s="18">
        <f>IF(COUNTA($B1241:$R1241)=0,"",IF($X1241="Cancelado",0,ROUND(N($Q1241)+N($S1241)+N($T1241)-N($U1241),2)))</f>
        <v/>
      </c>
      <c r="AF1241" s="9">
        <f>IF($G1241="","",IFERROR(INDEX(LINHAS_DRE_PLANO,MATCH($G1241,SUBCATEGORIAS_PLANO,0)),"Não classificado"))</f>
        <v/>
      </c>
      <c r="AG1241" s="17">
        <f>IF($G1241="","",IFERROR(INDEX(TIPOS_FLUXO_PLANO,MATCH($G1241,SUBCATEGORIAS_PLANO,0)),"Não classificado"))</f>
        <v/>
      </c>
      <c r="AH1241" s="9">
        <f>IF($G1241="","",IFERROR(INDEX(GRUPOS_PLANO,MATCH($G1241,SUBCATEGORIAS_PLANO,0)),"Não classificado"))</f>
        <v/>
      </c>
      <c r="AI1241" s="24">
        <f>IF(OR($C1241="",$X1241="Pago",$X1241="Recebido",$X1241="Cancelado"),"",$C1241-TODAY())</f>
        <v/>
      </c>
      <c r="AJ1241" s="24">
        <f>IF(OR($C1241="",$X1241="Pago",$X1241="Recebido",$X1241="Cancelado"),0,MAX(0,TODAY()-$C1241))</f>
        <v/>
      </c>
      <c r="AK1241" s="24">
        <f>IF($D1241="","",$D1241-$B1241)</f>
        <v/>
      </c>
      <c r="AL1241" s="18">
        <f>IF(OR($D1241="",$B1241=""),"",ROUND(N($R1241)*($D1241-$B1241),2))</f>
        <v/>
      </c>
      <c r="AM1241" s="17">
        <f>IF(AND($E1241="Saída",$W1241&gt;0,$C1241&lt;&gt;""),$C1241+ROW()/1000000,"")</f>
        <v/>
      </c>
      <c r="AN1241" s="17">
        <f>IF(AND($E1241="Entrada",$W1241&gt;0,$C1241&lt;&gt;""),$C1241+ROW()/1000000,"")</f>
        <v/>
      </c>
      <c r="AO1241" s="9">
        <f>IF(COUNTA($B1241:$R1241)=0,"",IF(AND($I1241&lt;&gt;"",COUNTIF(CLIENTES_NOMES,$I1241)+COUNTIF(CLIENTES_FANTASIA,$I1241)+COUNTIF(FORNECEDORES_NOMES,$I1241)+COUNTIF(FORNECEDORES_FANTASIA,$I1241)=0),"⚠ Cliente/Fornecedor não cadastrado",IF(AND($G1241&lt;&gt;"",COUNTIF(SUBCATEGORIAS_PLANO,$G1241)=0),"⚠ Subcategoria fora do plano de contas",IF(OR($Q1241="",N($Q1241)=0),"⚠ Valor previsto não informado",IF(AND(OR($X1241="Pago",$X1241="Recebido"),$D1241=""),"⚠ Status pago/recebido sem data",IF(AND($D1241&lt;&gt;"",N($R1241)=0),"⚠ Data de pagamento sem valor realizado",IF(AND(N($P1241)&gt;1,N($O1241)&gt;N($P1241)),"⚠ Nº da parcela maior que o total",IF(AND($C1241&lt;&gt;"",$B1241&lt;&gt;"",$C1241&lt;$B1241),"⚠ Vencimento anterior à competência","OK"))))))))</f>
        <v/>
      </c>
    </row>
    <row r="1242">
      <c r="A1242" s="14" t="n"/>
      <c r="B1242" s="36" t="n"/>
      <c r="C1242" s="36" t="n"/>
      <c r="D1242" s="36" t="n"/>
      <c r="E1242" s="14" t="n"/>
      <c r="F1242" s="29" t="n"/>
      <c r="G1242" s="29" t="n"/>
      <c r="H1242" s="29" t="n"/>
      <c r="I1242" s="29" t="n"/>
      <c r="J1242" s="29" t="n"/>
      <c r="K1242" s="14" t="n"/>
      <c r="L1242" s="29" t="n"/>
      <c r="M1242" s="14" t="n"/>
      <c r="N1242" s="29" t="n"/>
      <c r="O1242" s="13" t="n"/>
      <c r="P1242" s="13" t="n"/>
      <c r="Q1242" s="35" t="n"/>
      <c r="R1242" s="35" t="n"/>
      <c r="S1242" s="35" t="n"/>
      <c r="T1242" s="35" t="n"/>
      <c r="U1242" s="35" t="n"/>
      <c r="V1242" s="18">
        <f>IF(COUNTA($B1242:$R1242)=0,"",ROUND(N($R1242)+N($S1242)+N($T1242)-N($U1242),2))</f>
        <v/>
      </c>
      <c r="W1242" s="18">
        <f>IF(COUNTA($B1242:$R1242)=0,"",IF(OR($X1242="Pago",$X1242="Recebido",$X1242="Cancelado"),0,ROUND(N($Q1242)+N($S1242)+N($T1242)-N($U1242)-N($R1242),2)))</f>
        <v/>
      </c>
      <c r="X1242" s="14" t="n"/>
      <c r="Y1242" s="17">
        <f>IF(COUNTA($B1242:$R1242)=0,"",IF($X1242="Cancelado","Cancelado",IF(OR($X1242="Pago",$X1242="Recebido"),$X1242,IF(OR($X1242="Parcial",N($R1242)&gt;0),"Parcial",IF($C1242="","Sem vencimento",IF($C1242&lt;TODAY(),"Vencido",IF($C1242=TODAY(),"Vence hoje",IF($C1242&lt;=TODAY()+7,"Vence em 7 dias",IF($C1242&lt;=TODAY()+30,"Vence em 30 dias","Futuro")))))))))</f>
        <v/>
      </c>
      <c r="Z1242" s="24">
        <f>IF($B1242="","",MONTH($B1242))</f>
        <v/>
      </c>
      <c r="AA1242" s="24">
        <f>IF($B1242="","",YEAR($B1242))</f>
        <v/>
      </c>
      <c r="AB1242" s="24">
        <f>IF($B1242="","",ISOWEEKNUM($B1242))</f>
        <v/>
      </c>
      <c r="AC1242" s="17">
        <f>IF($B1242="","",CHOOSE(WEEKDAY($B1242,2),"Segunda","Terça","Quarta","Quinta","Sexta","Sábado","Domingo"))</f>
        <v/>
      </c>
      <c r="AD1242" s="17">
        <f>IF($B1242="","",TEXT($B1242,"MM/AAAA"))</f>
        <v/>
      </c>
      <c r="AE1242" s="18">
        <f>IF(COUNTA($B1242:$R1242)=0,"",IF($X1242="Cancelado",0,ROUND(N($Q1242)+N($S1242)+N($T1242)-N($U1242),2)))</f>
        <v/>
      </c>
      <c r="AF1242" s="9">
        <f>IF($G1242="","",IFERROR(INDEX(LINHAS_DRE_PLANO,MATCH($G1242,SUBCATEGORIAS_PLANO,0)),"Não classificado"))</f>
        <v/>
      </c>
      <c r="AG1242" s="17">
        <f>IF($G1242="","",IFERROR(INDEX(TIPOS_FLUXO_PLANO,MATCH($G1242,SUBCATEGORIAS_PLANO,0)),"Não classificado"))</f>
        <v/>
      </c>
      <c r="AH1242" s="9">
        <f>IF($G1242="","",IFERROR(INDEX(GRUPOS_PLANO,MATCH($G1242,SUBCATEGORIAS_PLANO,0)),"Não classificado"))</f>
        <v/>
      </c>
      <c r="AI1242" s="24">
        <f>IF(OR($C1242="",$X1242="Pago",$X1242="Recebido",$X1242="Cancelado"),"",$C1242-TODAY())</f>
        <v/>
      </c>
      <c r="AJ1242" s="24">
        <f>IF(OR($C1242="",$X1242="Pago",$X1242="Recebido",$X1242="Cancelado"),0,MAX(0,TODAY()-$C1242))</f>
        <v/>
      </c>
      <c r="AK1242" s="24">
        <f>IF($D1242="","",$D1242-$B1242)</f>
        <v/>
      </c>
      <c r="AL1242" s="18">
        <f>IF(OR($D1242="",$B1242=""),"",ROUND(N($R1242)*($D1242-$B1242),2))</f>
        <v/>
      </c>
      <c r="AM1242" s="17">
        <f>IF(AND($E1242="Saída",$W1242&gt;0,$C1242&lt;&gt;""),$C1242+ROW()/1000000,"")</f>
        <v/>
      </c>
      <c r="AN1242" s="17">
        <f>IF(AND($E1242="Entrada",$W1242&gt;0,$C1242&lt;&gt;""),$C1242+ROW()/1000000,"")</f>
        <v/>
      </c>
      <c r="AO1242" s="9">
        <f>IF(COUNTA($B1242:$R1242)=0,"",IF(AND($I1242&lt;&gt;"",COUNTIF(CLIENTES_NOMES,$I1242)+COUNTIF(CLIENTES_FANTASIA,$I1242)+COUNTIF(FORNECEDORES_NOMES,$I1242)+COUNTIF(FORNECEDORES_FANTASIA,$I1242)=0),"⚠ Cliente/Fornecedor não cadastrado",IF(AND($G1242&lt;&gt;"",COUNTIF(SUBCATEGORIAS_PLANO,$G1242)=0),"⚠ Subcategoria fora do plano de contas",IF(OR($Q1242="",N($Q1242)=0),"⚠ Valor previsto não informado",IF(AND(OR($X1242="Pago",$X1242="Recebido"),$D1242=""),"⚠ Status pago/recebido sem data",IF(AND($D1242&lt;&gt;"",N($R1242)=0),"⚠ Data de pagamento sem valor realizado",IF(AND(N($P1242)&gt;1,N($O1242)&gt;N($P1242)),"⚠ Nº da parcela maior que o total",IF(AND($C1242&lt;&gt;"",$B1242&lt;&gt;"",$C1242&lt;$B1242),"⚠ Vencimento anterior à competência","OK"))))))))</f>
        <v/>
      </c>
    </row>
    <row r="1243">
      <c r="A1243" s="14" t="n"/>
      <c r="B1243" s="36" t="n"/>
      <c r="C1243" s="36" t="n"/>
      <c r="D1243" s="36" t="n"/>
      <c r="E1243" s="14" t="n"/>
      <c r="F1243" s="29" t="n"/>
      <c r="G1243" s="29" t="n"/>
      <c r="H1243" s="29" t="n"/>
      <c r="I1243" s="29" t="n"/>
      <c r="J1243" s="29" t="n"/>
      <c r="K1243" s="14" t="n"/>
      <c r="L1243" s="29" t="n"/>
      <c r="M1243" s="14" t="n"/>
      <c r="N1243" s="29" t="n"/>
      <c r="O1243" s="13" t="n"/>
      <c r="P1243" s="13" t="n"/>
      <c r="Q1243" s="35" t="n"/>
      <c r="R1243" s="35" t="n"/>
      <c r="S1243" s="35" t="n"/>
      <c r="T1243" s="35" t="n"/>
      <c r="U1243" s="35" t="n"/>
      <c r="V1243" s="18">
        <f>IF(COUNTA($B1243:$R1243)=0,"",ROUND(N($R1243)+N($S1243)+N($T1243)-N($U1243),2))</f>
        <v/>
      </c>
      <c r="W1243" s="18">
        <f>IF(COUNTA($B1243:$R1243)=0,"",IF(OR($X1243="Pago",$X1243="Recebido",$X1243="Cancelado"),0,ROUND(N($Q1243)+N($S1243)+N($T1243)-N($U1243)-N($R1243),2)))</f>
        <v/>
      </c>
      <c r="X1243" s="14" t="n"/>
      <c r="Y1243" s="17">
        <f>IF(COUNTA($B1243:$R1243)=0,"",IF($X1243="Cancelado","Cancelado",IF(OR($X1243="Pago",$X1243="Recebido"),$X1243,IF(OR($X1243="Parcial",N($R1243)&gt;0),"Parcial",IF($C1243="","Sem vencimento",IF($C1243&lt;TODAY(),"Vencido",IF($C1243=TODAY(),"Vence hoje",IF($C1243&lt;=TODAY()+7,"Vence em 7 dias",IF($C1243&lt;=TODAY()+30,"Vence em 30 dias","Futuro")))))))))</f>
        <v/>
      </c>
      <c r="Z1243" s="24">
        <f>IF($B1243="","",MONTH($B1243))</f>
        <v/>
      </c>
      <c r="AA1243" s="24">
        <f>IF($B1243="","",YEAR($B1243))</f>
        <v/>
      </c>
      <c r="AB1243" s="24">
        <f>IF($B1243="","",ISOWEEKNUM($B1243))</f>
        <v/>
      </c>
      <c r="AC1243" s="17">
        <f>IF($B1243="","",CHOOSE(WEEKDAY($B1243,2),"Segunda","Terça","Quarta","Quinta","Sexta","Sábado","Domingo"))</f>
        <v/>
      </c>
      <c r="AD1243" s="17">
        <f>IF($B1243="","",TEXT($B1243,"MM/AAAA"))</f>
        <v/>
      </c>
      <c r="AE1243" s="18">
        <f>IF(COUNTA($B1243:$R1243)=0,"",IF($X1243="Cancelado",0,ROUND(N($Q1243)+N($S1243)+N($T1243)-N($U1243),2)))</f>
        <v/>
      </c>
      <c r="AF1243" s="9">
        <f>IF($G1243="","",IFERROR(INDEX(LINHAS_DRE_PLANO,MATCH($G1243,SUBCATEGORIAS_PLANO,0)),"Não classificado"))</f>
        <v/>
      </c>
      <c r="AG1243" s="17">
        <f>IF($G1243="","",IFERROR(INDEX(TIPOS_FLUXO_PLANO,MATCH($G1243,SUBCATEGORIAS_PLANO,0)),"Não classificado"))</f>
        <v/>
      </c>
      <c r="AH1243" s="9">
        <f>IF($G1243="","",IFERROR(INDEX(GRUPOS_PLANO,MATCH($G1243,SUBCATEGORIAS_PLANO,0)),"Não classificado"))</f>
        <v/>
      </c>
      <c r="AI1243" s="24">
        <f>IF(OR($C1243="",$X1243="Pago",$X1243="Recebido",$X1243="Cancelado"),"",$C1243-TODAY())</f>
        <v/>
      </c>
      <c r="AJ1243" s="24">
        <f>IF(OR($C1243="",$X1243="Pago",$X1243="Recebido",$X1243="Cancelado"),0,MAX(0,TODAY()-$C1243))</f>
        <v/>
      </c>
      <c r="AK1243" s="24">
        <f>IF($D1243="","",$D1243-$B1243)</f>
        <v/>
      </c>
      <c r="AL1243" s="18">
        <f>IF(OR($D1243="",$B1243=""),"",ROUND(N($R1243)*($D1243-$B1243),2))</f>
        <v/>
      </c>
      <c r="AM1243" s="17">
        <f>IF(AND($E1243="Saída",$W1243&gt;0,$C1243&lt;&gt;""),$C1243+ROW()/1000000,"")</f>
        <v/>
      </c>
      <c r="AN1243" s="17">
        <f>IF(AND($E1243="Entrada",$W1243&gt;0,$C1243&lt;&gt;""),$C1243+ROW()/1000000,"")</f>
        <v/>
      </c>
      <c r="AO1243" s="9">
        <f>IF(COUNTA($B1243:$R1243)=0,"",IF(AND($I1243&lt;&gt;"",COUNTIF(CLIENTES_NOMES,$I1243)+COUNTIF(CLIENTES_FANTASIA,$I1243)+COUNTIF(FORNECEDORES_NOMES,$I1243)+COUNTIF(FORNECEDORES_FANTASIA,$I1243)=0),"⚠ Cliente/Fornecedor não cadastrado",IF(AND($G1243&lt;&gt;"",COUNTIF(SUBCATEGORIAS_PLANO,$G1243)=0),"⚠ Subcategoria fora do plano de contas",IF(OR($Q1243="",N($Q1243)=0),"⚠ Valor previsto não informado",IF(AND(OR($X1243="Pago",$X1243="Recebido"),$D1243=""),"⚠ Status pago/recebido sem data",IF(AND($D1243&lt;&gt;"",N($R1243)=0),"⚠ Data de pagamento sem valor realizado",IF(AND(N($P1243)&gt;1,N($O1243)&gt;N($P1243)),"⚠ Nº da parcela maior que o total",IF(AND($C1243&lt;&gt;"",$B1243&lt;&gt;"",$C1243&lt;$B1243),"⚠ Vencimento anterior à competência","OK"))))))))</f>
        <v/>
      </c>
    </row>
    <row r="1244">
      <c r="A1244" s="14" t="n"/>
      <c r="B1244" s="36" t="n"/>
      <c r="C1244" s="36" t="n"/>
      <c r="D1244" s="36" t="n"/>
      <c r="E1244" s="14" t="n"/>
      <c r="F1244" s="29" t="n"/>
      <c r="G1244" s="29" t="n"/>
      <c r="H1244" s="29" t="n"/>
      <c r="I1244" s="29" t="n"/>
      <c r="J1244" s="29" t="n"/>
      <c r="K1244" s="14" t="n"/>
      <c r="L1244" s="29" t="n"/>
      <c r="M1244" s="14" t="n"/>
      <c r="N1244" s="29" t="n"/>
      <c r="O1244" s="13" t="n"/>
      <c r="P1244" s="13" t="n"/>
      <c r="Q1244" s="35" t="n"/>
      <c r="R1244" s="35" t="n"/>
      <c r="S1244" s="35" t="n"/>
      <c r="T1244" s="35" t="n"/>
      <c r="U1244" s="35" t="n"/>
      <c r="V1244" s="18">
        <f>IF(COUNTA($B1244:$R1244)=0,"",ROUND(N($R1244)+N($S1244)+N($T1244)-N($U1244),2))</f>
        <v/>
      </c>
      <c r="W1244" s="18">
        <f>IF(COUNTA($B1244:$R1244)=0,"",IF(OR($X1244="Pago",$X1244="Recebido",$X1244="Cancelado"),0,ROUND(N($Q1244)+N($S1244)+N($T1244)-N($U1244)-N($R1244),2)))</f>
        <v/>
      </c>
      <c r="X1244" s="14" t="n"/>
      <c r="Y1244" s="17">
        <f>IF(COUNTA($B1244:$R1244)=0,"",IF($X1244="Cancelado","Cancelado",IF(OR($X1244="Pago",$X1244="Recebido"),$X1244,IF(OR($X1244="Parcial",N($R1244)&gt;0),"Parcial",IF($C1244="","Sem vencimento",IF($C1244&lt;TODAY(),"Vencido",IF($C1244=TODAY(),"Vence hoje",IF($C1244&lt;=TODAY()+7,"Vence em 7 dias",IF($C1244&lt;=TODAY()+30,"Vence em 30 dias","Futuro")))))))))</f>
        <v/>
      </c>
      <c r="Z1244" s="24">
        <f>IF($B1244="","",MONTH($B1244))</f>
        <v/>
      </c>
      <c r="AA1244" s="24">
        <f>IF($B1244="","",YEAR($B1244))</f>
        <v/>
      </c>
      <c r="AB1244" s="24">
        <f>IF($B1244="","",ISOWEEKNUM($B1244))</f>
        <v/>
      </c>
      <c r="AC1244" s="17">
        <f>IF($B1244="","",CHOOSE(WEEKDAY($B1244,2),"Segunda","Terça","Quarta","Quinta","Sexta","Sábado","Domingo"))</f>
        <v/>
      </c>
      <c r="AD1244" s="17">
        <f>IF($B1244="","",TEXT($B1244,"MM/AAAA"))</f>
        <v/>
      </c>
      <c r="AE1244" s="18">
        <f>IF(COUNTA($B1244:$R1244)=0,"",IF($X1244="Cancelado",0,ROUND(N($Q1244)+N($S1244)+N($T1244)-N($U1244),2)))</f>
        <v/>
      </c>
      <c r="AF1244" s="9">
        <f>IF($G1244="","",IFERROR(INDEX(LINHAS_DRE_PLANO,MATCH($G1244,SUBCATEGORIAS_PLANO,0)),"Não classificado"))</f>
        <v/>
      </c>
      <c r="AG1244" s="17">
        <f>IF($G1244="","",IFERROR(INDEX(TIPOS_FLUXO_PLANO,MATCH($G1244,SUBCATEGORIAS_PLANO,0)),"Não classificado"))</f>
        <v/>
      </c>
      <c r="AH1244" s="9">
        <f>IF($G1244="","",IFERROR(INDEX(GRUPOS_PLANO,MATCH($G1244,SUBCATEGORIAS_PLANO,0)),"Não classificado"))</f>
        <v/>
      </c>
      <c r="AI1244" s="24">
        <f>IF(OR($C1244="",$X1244="Pago",$X1244="Recebido",$X1244="Cancelado"),"",$C1244-TODAY())</f>
        <v/>
      </c>
      <c r="AJ1244" s="24">
        <f>IF(OR($C1244="",$X1244="Pago",$X1244="Recebido",$X1244="Cancelado"),0,MAX(0,TODAY()-$C1244))</f>
        <v/>
      </c>
      <c r="AK1244" s="24">
        <f>IF($D1244="","",$D1244-$B1244)</f>
        <v/>
      </c>
      <c r="AL1244" s="18">
        <f>IF(OR($D1244="",$B1244=""),"",ROUND(N($R1244)*($D1244-$B1244),2))</f>
        <v/>
      </c>
      <c r="AM1244" s="17">
        <f>IF(AND($E1244="Saída",$W1244&gt;0,$C1244&lt;&gt;""),$C1244+ROW()/1000000,"")</f>
        <v/>
      </c>
      <c r="AN1244" s="17">
        <f>IF(AND($E1244="Entrada",$W1244&gt;0,$C1244&lt;&gt;""),$C1244+ROW()/1000000,"")</f>
        <v/>
      </c>
      <c r="AO1244" s="9">
        <f>IF(COUNTA($B1244:$R1244)=0,"",IF(AND($I1244&lt;&gt;"",COUNTIF(CLIENTES_NOMES,$I1244)+COUNTIF(CLIENTES_FANTASIA,$I1244)+COUNTIF(FORNECEDORES_NOMES,$I1244)+COUNTIF(FORNECEDORES_FANTASIA,$I1244)=0),"⚠ Cliente/Fornecedor não cadastrado",IF(AND($G1244&lt;&gt;"",COUNTIF(SUBCATEGORIAS_PLANO,$G1244)=0),"⚠ Subcategoria fora do plano de contas",IF(OR($Q1244="",N($Q1244)=0),"⚠ Valor previsto não informado",IF(AND(OR($X1244="Pago",$X1244="Recebido"),$D1244=""),"⚠ Status pago/recebido sem data",IF(AND($D1244&lt;&gt;"",N($R1244)=0),"⚠ Data de pagamento sem valor realizado",IF(AND(N($P1244)&gt;1,N($O1244)&gt;N($P1244)),"⚠ Nº da parcela maior que o total",IF(AND($C1244&lt;&gt;"",$B1244&lt;&gt;"",$C1244&lt;$B1244),"⚠ Vencimento anterior à competência","OK"))))))))</f>
        <v/>
      </c>
    </row>
    <row r="1245">
      <c r="A1245" s="14" t="n"/>
      <c r="B1245" s="36" t="n"/>
      <c r="C1245" s="36" t="n"/>
      <c r="D1245" s="36" t="n"/>
      <c r="E1245" s="14" t="n"/>
      <c r="F1245" s="29" t="n"/>
      <c r="G1245" s="29" t="n"/>
      <c r="H1245" s="29" t="n"/>
      <c r="I1245" s="29" t="n"/>
      <c r="J1245" s="29" t="n"/>
      <c r="K1245" s="14" t="n"/>
      <c r="L1245" s="29" t="n"/>
      <c r="M1245" s="14" t="n"/>
      <c r="N1245" s="29" t="n"/>
      <c r="O1245" s="13" t="n"/>
      <c r="P1245" s="13" t="n"/>
      <c r="Q1245" s="35" t="n"/>
      <c r="R1245" s="35" t="n"/>
      <c r="S1245" s="35" t="n"/>
      <c r="T1245" s="35" t="n"/>
      <c r="U1245" s="35" t="n"/>
      <c r="V1245" s="18">
        <f>IF(COUNTA($B1245:$R1245)=0,"",ROUND(N($R1245)+N($S1245)+N($T1245)-N($U1245),2))</f>
        <v/>
      </c>
      <c r="W1245" s="18">
        <f>IF(COUNTA($B1245:$R1245)=0,"",IF(OR($X1245="Pago",$X1245="Recebido",$X1245="Cancelado"),0,ROUND(N($Q1245)+N($S1245)+N($T1245)-N($U1245)-N($R1245),2)))</f>
        <v/>
      </c>
      <c r="X1245" s="14" t="n"/>
      <c r="Y1245" s="17">
        <f>IF(COUNTA($B1245:$R1245)=0,"",IF($X1245="Cancelado","Cancelado",IF(OR($X1245="Pago",$X1245="Recebido"),$X1245,IF(OR($X1245="Parcial",N($R1245)&gt;0),"Parcial",IF($C1245="","Sem vencimento",IF($C1245&lt;TODAY(),"Vencido",IF($C1245=TODAY(),"Vence hoje",IF($C1245&lt;=TODAY()+7,"Vence em 7 dias",IF($C1245&lt;=TODAY()+30,"Vence em 30 dias","Futuro")))))))))</f>
        <v/>
      </c>
      <c r="Z1245" s="24">
        <f>IF($B1245="","",MONTH($B1245))</f>
        <v/>
      </c>
      <c r="AA1245" s="24">
        <f>IF($B1245="","",YEAR($B1245))</f>
        <v/>
      </c>
      <c r="AB1245" s="24">
        <f>IF($B1245="","",ISOWEEKNUM($B1245))</f>
        <v/>
      </c>
      <c r="AC1245" s="17">
        <f>IF($B1245="","",CHOOSE(WEEKDAY($B1245,2),"Segunda","Terça","Quarta","Quinta","Sexta","Sábado","Domingo"))</f>
        <v/>
      </c>
      <c r="AD1245" s="17">
        <f>IF($B1245="","",TEXT($B1245,"MM/AAAA"))</f>
        <v/>
      </c>
      <c r="AE1245" s="18">
        <f>IF(COUNTA($B1245:$R1245)=0,"",IF($X1245="Cancelado",0,ROUND(N($Q1245)+N($S1245)+N($T1245)-N($U1245),2)))</f>
        <v/>
      </c>
      <c r="AF1245" s="9">
        <f>IF($G1245="","",IFERROR(INDEX(LINHAS_DRE_PLANO,MATCH($G1245,SUBCATEGORIAS_PLANO,0)),"Não classificado"))</f>
        <v/>
      </c>
      <c r="AG1245" s="17">
        <f>IF($G1245="","",IFERROR(INDEX(TIPOS_FLUXO_PLANO,MATCH($G1245,SUBCATEGORIAS_PLANO,0)),"Não classificado"))</f>
        <v/>
      </c>
      <c r="AH1245" s="9">
        <f>IF($G1245="","",IFERROR(INDEX(GRUPOS_PLANO,MATCH($G1245,SUBCATEGORIAS_PLANO,0)),"Não classificado"))</f>
        <v/>
      </c>
      <c r="AI1245" s="24">
        <f>IF(OR($C1245="",$X1245="Pago",$X1245="Recebido",$X1245="Cancelado"),"",$C1245-TODAY())</f>
        <v/>
      </c>
      <c r="AJ1245" s="24">
        <f>IF(OR($C1245="",$X1245="Pago",$X1245="Recebido",$X1245="Cancelado"),0,MAX(0,TODAY()-$C1245))</f>
        <v/>
      </c>
      <c r="AK1245" s="24">
        <f>IF($D1245="","",$D1245-$B1245)</f>
        <v/>
      </c>
      <c r="AL1245" s="18">
        <f>IF(OR($D1245="",$B1245=""),"",ROUND(N($R1245)*($D1245-$B1245),2))</f>
        <v/>
      </c>
      <c r="AM1245" s="17">
        <f>IF(AND($E1245="Saída",$W1245&gt;0,$C1245&lt;&gt;""),$C1245+ROW()/1000000,"")</f>
        <v/>
      </c>
      <c r="AN1245" s="17">
        <f>IF(AND($E1245="Entrada",$W1245&gt;0,$C1245&lt;&gt;""),$C1245+ROW()/1000000,"")</f>
        <v/>
      </c>
      <c r="AO1245" s="9">
        <f>IF(COUNTA($B1245:$R1245)=0,"",IF(AND($I1245&lt;&gt;"",COUNTIF(CLIENTES_NOMES,$I1245)+COUNTIF(CLIENTES_FANTASIA,$I1245)+COUNTIF(FORNECEDORES_NOMES,$I1245)+COUNTIF(FORNECEDORES_FANTASIA,$I1245)=0),"⚠ Cliente/Fornecedor não cadastrado",IF(AND($G1245&lt;&gt;"",COUNTIF(SUBCATEGORIAS_PLANO,$G1245)=0),"⚠ Subcategoria fora do plano de contas",IF(OR($Q1245="",N($Q1245)=0),"⚠ Valor previsto não informado",IF(AND(OR($X1245="Pago",$X1245="Recebido"),$D1245=""),"⚠ Status pago/recebido sem data",IF(AND($D1245&lt;&gt;"",N($R1245)=0),"⚠ Data de pagamento sem valor realizado",IF(AND(N($P1245)&gt;1,N($O1245)&gt;N($P1245)),"⚠ Nº da parcela maior que o total",IF(AND($C1245&lt;&gt;"",$B1245&lt;&gt;"",$C1245&lt;$B1245),"⚠ Vencimento anterior à competência","OK"))))))))</f>
        <v/>
      </c>
    </row>
    <row r="1246">
      <c r="A1246" s="14" t="n"/>
      <c r="B1246" s="36" t="n"/>
      <c r="C1246" s="36" t="n"/>
      <c r="D1246" s="36" t="n"/>
      <c r="E1246" s="14" t="n"/>
      <c r="F1246" s="29" t="n"/>
      <c r="G1246" s="29" t="n"/>
      <c r="H1246" s="29" t="n"/>
      <c r="I1246" s="29" t="n"/>
      <c r="J1246" s="29" t="n"/>
      <c r="K1246" s="14" t="n"/>
      <c r="L1246" s="29" t="n"/>
      <c r="M1246" s="14" t="n"/>
      <c r="N1246" s="29" t="n"/>
      <c r="O1246" s="13" t="n"/>
      <c r="P1246" s="13" t="n"/>
      <c r="Q1246" s="35" t="n"/>
      <c r="R1246" s="35" t="n"/>
      <c r="S1246" s="35" t="n"/>
      <c r="T1246" s="35" t="n"/>
      <c r="U1246" s="35" t="n"/>
      <c r="V1246" s="18">
        <f>IF(COUNTA($B1246:$R1246)=0,"",ROUND(N($R1246)+N($S1246)+N($T1246)-N($U1246),2))</f>
        <v/>
      </c>
      <c r="W1246" s="18">
        <f>IF(COUNTA($B1246:$R1246)=0,"",IF(OR($X1246="Pago",$X1246="Recebido",$X1246="Cancelado"),0,ROUND(N($Q1246)+N($S1246)+N($T1246)-N($U1246)-N($R1246),2)))</f>
        <v/>
      </c>
      <c r="X1246" s="14" t="n"/>
      <c r="Y1246" s="17">
        <f>IF(COUNTA($B1246:$R1246)=0,"",IF($X1246="Cancelado","Cancelado",IF(OR($X1246="Pago",$X1246="Recebido"),$X1246,IF(OR($X1246="Parcial",N($R1246)&gt;0),"Parcial",IF($C1246="","Sem vencimento",IF($C1246&lt;TODAY(),"Vencido",IF($C1246=TODAY(),"Vence hoje",IF($C1246&lt;=TODAY()+7,"Vence em 7 dias",IF($C1246&lt;=TODAY()+30,"Vence em 30 dias","Futuro")))))))))</f>
        <v/>
      </c>
      <c r="Z1246" s="24">
        <f>IF($B1246="","",MONTH($B1246))</f>
        <v/>
      </c>
      <c r="AA1246" s="24">
        <f>IF($B1246="","",YEAR($B1246))</f>
        <v/>
      </c>
      <c r="AB1246" s="24">
        <f>IF($B1246="","",ISOWEEKNUM($B1246))</f>
        <v/>
      </c>
      <c r="AC1246" s="17">
        <f>IF($B1246="","",CHOOSE(WEEKDAY($B1246,2),"Segunda","Terça","Quarta","Quinta","Sexta","Sábado","Domingo"))</f>
        <v/>
      </c>
      <c r="AD1246" s="17">
        <f>IF($B1246="","",TEXT($B1246,"MM/AAAA"))</f>
        <v/>
      </c>
      <c r="AE1246" s="18">
        <f>IF(COUNTA($B1246:$R1246)=0,"",IF($X1246="Cancelado",0,ROUND(N($Q1246)+N($S1246)+N($T1246)-N($U1246),2)))</f>
        <v/>
      </c>
      <c r="AF1246" s="9">
        <f>IF($G1246="","",IFERROR(INDEX(LINHAS_DRE_PLANO,MATCH($G1246,SUBCATEGORIAS_PLANO,0)),"Não classificado"))</f>
        <v/>
      </c>
      <c r="AG1246" s="17">
        <f>IF($G1246="","",IFERROR(INDEX(TIPOS_FLUXO_PLANO,MATCH($G1246,SUBCATEGORIAS_PLANO,0)),"Não classificado"))</f>
        <v/>
      </c>
      <c r="AH1246" s="9">
        <f>IF($G1246="","",IFERROR(INDEX(GRUPOS_PLANO,MATCH($G1246,SUBCATEGORIAS_PLANO,0)),"Não classificado"))</f>
        <v/>
      </c>
      <c r="AI1246" s="24">
        <f>IF(OR($C1246="",$X1246="Pago",$X1246="Recebido",$X1246="Cancelado"),"",$C1246-TODAY())</f>
        <v/>
      </c>
      <c r="AJ1246" s="24">
        <f>IF(OR($C1246="",$X1246="Pago",$X1246="Recebido",$X1246="Cancelado"),0,MAX(0,TODAY()-$C1246))</f>
        <v/>
      </c>
      <c r="AK1246" s="24">
        <f>IF($D1246="","",$D1246-$B1246)</f>
        <v/>
      </c>
      <c r="AL1246" s="18">
        <f>IF(OR($D1246="",$B1246=""),"",ROUND(N($R1246)*($D1246-$B1246),2))</f>
        <v/>
      </c>
      <c r="AM1246" s="17">
        <f>IF(AND($E1246="Saída",$W1246&gt;0,$C1246&lt;&gt;""),$C1246+ROW()/1000000,"")</f>
        <v/>
      </c>
      <c r="AN1246" s="17">
        <f>IF(AND($E1246="Entrada",$W1246&gt;0,$C1246&lt;&gt;""),$C1246+ROW()/1000000,"")</f>
        <v/>
      </c>
      <c r="AO1246" s="9">
        <f>IF(COUNTA($B1246:$R1246)=0,"",IF(AND($I1246&lt;&gt;"",COUNTIF(CLIENTES_NOMES,$I1246)+COUNTIF(CLIENTES_FANTASIA,$I1246)+COUNTIF(FORNECEDORES_NOMES,$I1246)+COUNTIF(FORNECEDORES_FANTASIA,$I1246)=0),"⚠ Cliente/Fornecedor não cadastrado",IF(AND($G1246&lt;&gt;"",COUNTIF(SUBCATEGORIAS_PLANO,$G1246)=0),"⚠ Subcategoria fora do plano de contas",IF(OR($Q1246="",N($Q1246)=0),"⚠ Valor previsto não informado",IF(AND(OR($X1246="Pago",$X1246="Recebido"),$D1246=""),"⚠ Status pago/recebido sem data",IF(AND($D1246&lt;&gt;"",N($R1246)=0),"⚠ Data de pagamento sem valor realizado",IF(AND(N($P1246)&gt;1,N($O1246)&gt;N($P1246)),"⚠ Nº da parcela maior que o total",IF(AND($C1246&lt;&gt;"",$B1246&lt;&gt;"",$C1246&lt;$B1246),"⚠ Vencimento anterior à competência","OK"))))))))</f>
        <v/>
      </c>
    </row>
    <row r="1247">
      <c r="A1247" s="14" t="n"/>
      <c r="B1247" s="36" t="n"/>
      <c r="C1247" s="36" t="n"/>
      <c r="D1247" s="36" t="n"/>
      <c r="E1247" s="14" t="n"/>
      <c r="F1247" s="29" t="n"/>
      <c r="G1247" s="29" t="n"/>
      <c r="H1247" s="29" t="n"/>
      <c r="I1247" s="29" t="n"/>
      <c r="J1247" s="29" t="n"/>
      <c r="K1247" s="14" t="n"/>
      <c r="L1247" s="29" t="n"/>
      <c r="M1247" s="14" t="n"/>
      <c r="N1247" s="29" t="n"/>
      <c r="O1247" s="13" t="n"/>
      <c r="P1247" s="13" t="n"/>
      <c r="Q1247" s="35" t="n"/>
      <c r="R1247" s="35" t="n"/>
      <c r="S1247" s="35" t="n"/>
      <c r="T1247" s="35" t="n"/>
      <c r="U1247" s="35" t="n"/>
      <c r="V1247" s="18">
        <f>IF(COUNTA($B1247:$R1247)=0,"",ROUND(N($R1247)+N($S1247)+N($T1247)-N($U1247),2))</f>
        <v/>
      </c>
      <c r="W1247" s="18">
        <f>IF(COUNTA($B1247:$R1247)=0,"",IF(OR($X1247="Pago",$X1247="Recebido",$X1247="Cancelado"),0,ROUND(N($Q1247)+N($S1247)+N($T1247)-N($U1247)-N($R1247),2)))</f>
        <v/>
      </c>
      <c r="X1247" s="14" t="n"/>
      <c r="Y1247" s="17">
        <f>IF(COUNTA($B1247:$R1247)=0,"",IF($X1247="Cancelado","Cancelado",IF(OR($X1247="Pago",$X1247="Recebido"),$X1247,IF(OR($X1247="Parcial",N($R1247)&gt;0),"Parcial",IF($C1247="","Sem vencimento",IF($C1247&lt;TODAY(),"Vencido",IF($C1247=TODAY(),"Vence hoje",IF($C1247&lt;=TODAY()+7,"Vence em 7 dias",IF($C1247&lt;=TODAY()+30,"Vence em 30 dias","Futuro")))))))))</f>
        <v/>
      </c>
      <c r="Z1247" s="24">
        <f>IF($B1247="","",MONTH($B1247))</f>
        <v/>
      </c>
      <c r="AA1247" s="24">
        <f>IF($B1247="","",YEAR($B1247))</f>
        <v/>
      </c>
      <c r="AB1247" s="24">
        <f>IF($B1247="","",ISOWEEKNUM($B1247))</f>
        <v/>
      </c>
      <c r="AC1247" s="17">
        <f>IF($B1247="","",CHOOSE(WEEKDAY($B1247,2),"Segunda","Terça","Quarta","Quinta","Sexta","Sábado","Domingo"))</f>
        <v/>
      </c>
      <c r="AD1247" s="17">
        <f>IF($B1247="","",TEXT($B1247,"MM/AAAA"))</f>
        <v/>
      </c>
      <c r="AE1247" s="18">
        <f>IF(COUNTA($B1247:$R1247)=0,"",IF($X1247="Cancelado",0,ROUND(N($Q1247)+N($S1247)+N($T1247)-N($U1247),2)))</f>
        <v/>
      </c>
      <c r="AF1247" s="9">
        <f>IF($G1247="","",IFERROR(INDEX(LINHAS_DRE_PLANO,MATCH($G1247,SUBCATEGORIAS_PLANO,0)),"Não classificado"))</f>
        <v/>
      </c>
      <c r="AG1247" s="17">
        <f>IF($G1247="","",IFERROR(INDEX(TIPOS_FLUXO_PLANO,MATCH($G1247,SUBCATEGORIAS_PLANO,0)),"Não classificado"))</f>
        <v/>
      </c>
      <c r="AH1247" s="9">
        <f>IF($G1247="","",IFERROR(INDEX(GRUPOS_PLANO,MATCH($G1247,SUBCATEGORIAS_PLANO,0)),"Não classificado"))</f>
        <v/>
      </c>
      <c r="AI1247" s="24">
        <f>IF(OR($C1247="",$X1247="Pago",$X1247="Recebido",$X1247="Cancelado"),"",$C1247-TODAY())</f>
        <v/>
      </c>
      <c r="AJ1247" s="24">
        <f>IF(OR($C1247="",$X1247="Pago",$X1247="Recebido",$X1247="Cancelado"),0,MAX(0,TODAY()-$C1247))</f>
        <v/>
      </c>
      <c r="AK1247" s="24">
        <f>IF($D1247="","",$D1247-$B1247)</f>
        <v/>
      </c>
      <c r="AL1247" s="18">
        <f>IF(OR($D1247="",$B1247=""),"",ROUND(N($R1247)*($D1247-$B1247),2))</f>
        <v/>
      </c>
      <c r="AM1247" s="17">
        <f>IF(AND($E1247="Saída",$W1247&gt;0,$C1247&lt;&gt;""),$C1247+ROW()/1000000,"")</f>
        <v/>
      </c>
      <c r="AN1247" s="17">
        <f>IF(AND($E1247="Entrada",$W1247&gt;0,$C1247&lt;&gt;""),$C1247+ROW()/1000000,"")</f>
        <v/>
      </c>
      <c r="AO1247" s="9">
        <f>IF(COUNTA($B1247:$R1247)=0,"",IF(AND($I1247&lt;&gt;"",COUNTIF(CLIENTES_NOMES,$I1247)+COUNTIF(CLIENTES_FANTASIA,$I1247)+COUNTIF(FORNECEDORES_NOMES,$I1247)+COUNTIF(FORNECEDORES_FANTASIA,$I1247)=0),"⚠ Cliente/Fornecedor não cadastrado",IF(AND($G1247&lt;&gt;"",COUNTIF(SUBCATEGORIAS_PLANO,$G1247)=0),"⚠ Subcategoria fora do plano de contas",IF(OR($Q1247="",N($Q1247)=0),"⚠ Valor previsto não informado",IF(AND(OR($X1247="Pago",$X1247="Recebido"),$D1247=""),"⚠ Status pago/recebido sem data",IF(AND($D1247&lt;&gt;"",N($R1247)=0),"⚠ Data de pagamento sem valor realizado",IF(AND(N($P1247)&gt;1,N($O1247)&gt;N($P1247)),"⚠ Nº da parcela maior que o total",IF(AND($C1247&lt;&gt;"",$B1247&lt;&gt;"",$C1247&lt;$B1247),"⚠ Vencimento anterior à competência","OK"))))))))</f>
        <v/>
      </c>
    </row>
    <row r="1248">
      <c r="A1248" s="14" t="n"/>
      <c r="B1248" s="36" t="n"/>
      <c r="C1248" s="36" t="n"/>
      <c r="D1248" s="36" t="n"/>
      <c r="E1248" s="14" t="n"/>
      <c r="F1248" s="29" t="n"/>
      <c r="G1248" s="29" t="n"/>
      <c r="H1248" s="29" t="n"/>
      <c r="I1248" s="29" t="n"/>
      <c r="J1248" s="29" t="n"/>
      <c r="K1248" s="14" t="n"/>
      <c r="L1248" s="29" t="n"/>
      <c r="M1248" s="14" t="n"/>
      <c r="N1248" s="29" t="n"/>
      <c r="O1248" s="13" t="n"/>
      <c r="P1248" s="13" t="n"/>
      <c r="Q1248" s="35" t="n"/>
      <c r="R1248" s="35" t="n"/>
      <c r="S1248" s="35" t="n"/>
      <c r="T1248" s="35" t="n"/>
      <c r="U1248" s="35" t="n"/>
      <c r="V1248" s="18">
        <f>IF(COUNTA($B1248:$R1248)=0,"",ROUND(N($R1248)+N($S1248)+N($T1248)-N($U1248),2))</f>
        <v/>
      </c>
      <c r="W1248" s="18">
        <f>IF(COUNTA($B1248:$R1248)=0,"",IF(OR($X1248="Pago",$X1248="Recebido",$X1248="Cancelado"),0,ROUND(N($Q1248)+N($S1248)+N($T1248)-N($U1248)-N($R1248),2)))</f>
        <v/>
      </c>
      <c r="X1248" s="14" t="n"/>
      <c r="Y1248" s="17">
        <f>IF(COUNTA($B1248:$R1248)=0,"",IF($X1248="Cancelado","Cancelado",IF(OR($X1248="Pago",$X1248="Recebido"),$X1248,IF(OR($X1248="Parcial",N($R1248)&gt;0),"Parcial",IF($C1248="","Sem vencimento",IF($C1248&lt;TODAY(),"Vencido",IF($C1248=TODAY(),"Vence hoje",IF($C1248&lt;=TODAY()+7,"Vence em 7 dias",IF($C1248&lt;=TODAY()+30,"Vence em 30 dias","Futuro")))))))))</f>
        <v/>
      </c>
      <c r="Z1248" s="24">
        <f>IF($B1248="","",MONTH($B1248))</f>
        <v/>
      </c>
      <c r="AA1248" s="24">
        <f>IF($B1248="","",YEAR($B1248))</f>
        <v/>
      </c>
      <c r="AB1248" s="24">
        <f>IF($B1248="","",ISOWEEKNUM($B1248))</f>
        <v/>
      </c>
      <c r="AC1248" s="17">
        <f>IF($B1248="","",CHOOSE(WEEKDAY($B1248,2),"Segunda","Terça","Quarta","Quinta","Sexta","Sábado","Domingo"))</f>
        <v/>
      </c>
      <c r="AD1248" s="17">
        <f>IF($B1248="","",TEXT($B1248,"MM/AAAA"))</f>
        <v/>
      </c>
      <c r="AE1248" s="18">
        <f>IF(COUNTA($B1248:$R1248)=0,"",IF($X1248="Cancelado",0,ROUND(N($Q1248)+N($S1248)+N($T1248)-N($U1248),2)))</f>
        <v/>
      </c>
      <c r="AF1248" s="9">
        <f>IF($G1248="","",IFERROR(INDEX(LINHAS_DRE_PLANO,MATCH($G1248,SUBCATEGORIAS_PLANO,0)),"Não classificado"))</f>
        <v/>
      </c>
      <c r="AG1248" s="17">
        <f>IF($G1248="","",IFERROR(INDEX(TIPOS_FLUXO_PLANO,MATCH($G1248,SUBCATEGORIAS_PLANO,0)),"Não classificado"))</f>
        <v/>
      </c>
      <c r="AH1248" s="9">
        <f>IF($G1248="","",IFERROR(INDEX(GRUPOS_PLANO,MATCH($G1248,SUBCATEGORIAS_PLANO,0)),"Não classificado"))</f>
        <v/>
      </c>
      <c r="AI1248" s="24">
        <f>IF(OR($C1248="",$X1248="Pago",$X1248="Recebido",$X1248="Cancelado"),"",$C1248-TODAY())</f>
        <v/>
      </c>
      <c r="AJ1248" s="24">
        <f>IF(OR($C1248="",$X1248="Pago",$X1248="Recebido",$X1248="Cancelado"),0,MAX(0,TODAY()-$C1248))</f>
        <v/>
      </c>
      <c r="AK1248" s="24">
        <f>IF($D1248="","",$D1248-$B1248)</f>
        <v/>
      </c>
      <c r="AL1248" s="18">
        <f>IF(OR($D1248="",$B1248=""),"",ROUND(N($R1248)*($D1248-$B1248),2))</f>
        <v/>
      </c>
      <c r="AM1248" s="17">
        <f>IF(AND($E1248="Saída",$W1248&gt;0,$C1248&lt;&gt;""),$C1248+ROW()/1000000,"")</f>
        <v/>
      </c>
      <c r="AN1248" s="17">
        <f>IF(AND($E1248="Entrada",$W1248&gt;0,$C1248&lt;&gt;""),$C1248+ROW()/1000000,"")</f>
        <v/>
      </c>
      <c r="AO1248" s="9">
        <f>IF(COUNTA($B1248:$R1248)=0,"",IF(AND($I1248&lt;&gt;"",COUNTIF(CLIENTES_NOMES,$I1248)+COUNTIF(CLIENTES_FANTASIA,$I1248)+COUNTIF(FORNECEDORES_NOMES,$I1248)+COUNTIF(FORNECEDORES_FANTASIA,$I1248)=0),"⚠ Cliente/Fornecedor não cadastrado",IF(AND($G1248&lt;&gt;"",COUNTIF(SUBCATEGORIAS_PLANO,$G1248)=0),"⚠ Subcategoria fora do plano de contas",IF(OR($Q1248="",N($Q1248)=0),"⚠ Valor previsto não informado",IF(AND(OR($X1248="Pago",$X1248="Recebido"),$D1248=""),"⚠ Status pago/recebido sem data",IF(AND($D1248&lt;&gt;"",N($R1248)=0),"⚠ Data de pagamento sem valor realizado",IF(AND(N($P1248)&gt;1,N($O1248)&gt;N($P1248)),"⚠ Nº da parcela maior que o total",IF(AND($C1248&lt;&gt;"",$B1248&lt;&gt;"",$C1248&lt;$B1248),"⚠ Vencimento anterior à competência","OK"))))))))</f>
        <v/>
      </c>
    </row>
    <row r="1249">
      <c r="A1249" s="14" t="n"/>
      <c r="B1249" s="36" t="n"/>
      <c r="C1249" s="36" t="n"/>
      <c r="D1249" s="36" t="n"/>
      <c r="E1249" s="14" t="n"/>
      <c r="F1249" s="29" t="n"/>
      <c r="G1249" s="29" t="n"/>
      <c r="H1249" s="29" t="n"/>
      <c r="I1249" s="29" t="n"/>
      <c r="J1249" s="29" t="n"/>
      <c r="K1249" s="14" t="n"/>
      <c r="L1249" s="29" t="n"/>
      <c r="M1249" s="14" t="n"/>
      <c r="N1249" s="29" t="n"/>
      <c r="O1249" s="13" t="n"/>
      <c r="P1249" s="13" t="n"/>
      <c r="Q1249" s="35" t="n"/>
      <c r="R1249" s="35" t="n"/>
      <c r="S1249" s="35" t="n"/>
      <c r="T1249" s="35" t="n"/>
      <c r="U1249" s="35" t="n"/>
      <c r="V1249" s="18">
        <f>IF(COUNTA($B1249:$R1249)=0,"",ROUND(N($R1249)+N($S1249)+N($T1249)-N($U1249),2))</f>
        <v/>
      </c>
      <c r="W1249" s="18">
        <f>IF(COUNTA($B1249:$R1249)=0,"",IF(OR($X1249="Pago",$X1249="Recebido",$X1249="Cancelado"),0,ROUND(N($Q1249)+N($S1249)+N($T1249)-N($U1249)-N($R1249),2)))</f>
        <v/>
      </c>
      <c r="X1249" s="14" t="n"/>
      <c r="Y1249" s="17">
        <f>IF(COUNTA($B1249:$R1249)=0,"",IF($X1249="Cancelado","Cancelado",IF(OR($X1249="Pago",$X1249="Recebido"),$X1249,IF(OR($X1249="Parcial",N($R1249)&gt;0),"Parcial",IF($C1249="","Sem vencimento",IF($C1249&lt;TODAY(),"Vencido",IF($C1249=TODAY(),"Vence hoje",IF($C1249&lt;=TODAY()+7,"Vence em 7 dias",IF($C1249&lt;=TODAY()+30,"Vence em 30 dias","Futuro")))))))))</f>
        <v/>
      </c>
      <c r="Z1249" s="24">
        <f>IF($B1249="","",MONTH($B1249))</f>
        <v/>
      </c>
      <c r="AA1249" s="24">
        <f>IF($B1249="","",YEAR($B1249))</f>
        <v/>
      </c>
      <c r="AB1249" s="24">
        <f>IF($B1249="","",ISOWEEKNUM($B1249))</f>
        <v/>
      </c>
      <c r="AC1249" s="17">
        <f>IF($B1249="","",CHOOSE(WEEKDAY($B1249,2),"Segunda","Terça","Quarta","Quinta","Sexta","Sábado","Domingo"))</f>
        <v/>
      </c>
      <c r="AD1249" s="17">
        <f>IF($B1249="","",TEXT($B1249,"MM/AAAA"))</f>
        <v/>
      </c>
      <c r="AE1249" s="18">
        <f>IF(COUNTA($B1249:$R1249)=0,"",IF($X1249="Cancelado",0,ROUND(N($Q1249)+N($S1249)+N($T1249)-N($U1249),2)))</f>
        <v/>
      </c>
      <c r="AF1249" s="9">
        <f>IF($G1249="","",IFERROR(INDEX(LINHAS_DRE_PLANO,MATCH($G1249,SUBCATEGORIAS_PLANO,0)),"Não classificado"))</f>
        <v/>
      </c>
      <c r="AG1249" s="17">
        <f>IF($G1249="","",IFERROR(INDEX(TIPOS_FLUXO_PLANO,MATCH($G1249,SUBCATEGORIAS_PLANO,0)),"Não classificado"))</f>
        <v/>
      </c>
      <c r="AH1249" s="9">
        <f>IF($G1249="","",IFERROR(INDEX(GRUPOS_PLANO,MATCH($G1249,SUBCATEGORIAS_PLANO,0)),"Não classificado"))</f>
        <v/>
      </c>
      <c r="AI1249" s="24">
        <f>IF(OR($C1249="",$X1249="Pago",$X1249="Recebido",$X1249="Cancelado"),"",$C1249-TODAY())</f>
        <v/>
      </c>
      <c r="AJ1249" s="24">
        <f>IF(OR($C1249="",$X1249="Pago",$X1249="Recebido",$X1249="Cancelado"),0,MAX(0,TODAY()-$C1249))</f>
        <v/>
      </c>
      <c r="AK1249" s="24">
        <f>IF($D1249="","",$D1249-$B1249)</f>
        <v/>
      </c>
      <c r="AL1249" s="18">
        <f>IF(OR($D1249="",$B1249=""),"",ROUND(N($R1249)*($D1249-$B1249),2))</f>
        <v/>
      </c>
      <c r="AM1249" s="17">
        <f>IF(AND($E1249="Saída",$W1249&gt;0,$C1249&lt;&gt;""),$C1249+ROW()/1000000,"")</f>
        <v/>
      </c>
      <c r="AN1249" s="17">
        <f>IF(AND($E1249="Entrada",$W1249&gt;0,$C1249&lt;&gt;""),$C1249+ROW()/1000000,"")</f>
        <v/>
      </c>
      <c r="AO1249" s="9">
        <f>IF(COUNTA($B1249:$R1249)=0,"",IF(AND($I1249&lt;&gt;"",COUNTIF(CLIENTES_NOMES,$I1249)+COUNTIF(CLIENTES_FANTASIA,$I1249)+COUNTIF(FORNECEDORES_NOMES,$I1249)+COUNTIF(FORNECEDORES_FANTASIA,$I1249)=0),"⚠ Cliente/Fornecedor não cadastrado",IF(AND($G1249&lt;&gt;"",COUNTIF(SUBCATEGORIAS_PLANO,$G1249)=0),"⚠ Subcategoria fora do plano de contas",IF(OR($Q1249="",N($Q1249)=0),"⚠ Valor previsto não informado",IF(AND(OR($X1249="Pago",$X1249="Recebido"),$D1249=""),"⚠ Status pago/recebido sem data",IF(AND($D1249&lt;&gt;"",N($R1249)=0),"⚠ Data de pagamento sem valor realizado",IF(AND(N($P1249)&gt;1,N($O1249)&gt;N($P1249)),"⚠ Nº da parcela maior que o total",IF(AND($C1249&lt;&gt;"",$B1249&lt;&gt;"",$C1249&lt;$B1249),"⚠ Vencimento anterior à competência","OK"))))))))</f>
        <v/>
      </c>
    </row>
    <row r="1250">
      <c r="A1250" s="14" t="n"/>
      <c r="B1250" s="36" t="n"/>
      <c r="C1250" s="36" t="n"/>
      <c r="D1250" s="36" t="n"/>
      <c r="E1250" s="14" t="n"/>
      <c r="F1250" s="29" t="n"/>
      <c r="G1250" s="29" t="n"/>
      <c r="H1250" s="29" t="n"/>
      <c r="I1250" s="29" t="n"/>
      <c r="J1250" s="29" t="n"/>
      <c r="K1250" s="14" t="n"/>
      <c r="L1250" s="29" t="n"/>
      <c r="M1250" s="14" t="n"/>
      <c r="N1250" s="29" t="n"/>
      <c r="O1250" s="13" t="n"/>
      <c r="P1250" s="13" t="n"/>
      <c r="Q1250" s="35" t="n"/>
      <c r="R1250" s="35" t="n"/>
      <c r="S1250" s="35" t="n"/>
      <c r="T1250" s="35" t="n"/>
      <c r="U1250" s="35" t="n"/>
      <c r="V1250" s="18">
        <f>IF(COUNTA($B1250:$R1250)=0,"",ROUND(N($R1250)+N($S1250)+N($T1250)-N($U1250),2))</f>
        <v/>
      </c>
      <c r="W1250" s="18">
        <f>IF(COUNTA($B1250:$R1250)=0,"",IF(OR($X1250="Pago",$X1250="Recebido",$X1250="Cancelado"),0,ROUND(N($Q1250)+N($S1250)+N($T1250)-N($U1250)-N($R1250),2)))</f>
        <v/>
      </c>
      <c r="X1250" s="14" t="n"/>
      <c r="Y1250" s="17">
        <f>IF(COUNTA($B1250:$R1250)=0,"",IF($X1250="Cancelado","Cancelado",IF(OR($X1250="Pago",$X1250="Recebido"),$X1250,IF(OR($X1250="Parcial",N($R1250)&gt;0),"Parcial",IF($C1250="","Sem vencimento",IF($C1250&lt;TODAY(),"Vencido",IF($C1250=TODAY(),"Vence hoje",IF($C1250&lt;=TODAY()+7,"Vence em 7 dias",IF($C1250&lt;=TODAY()+30,"Vence em 30 dias","Futuro")))))))))</f>
        <v/>
      </c>
      <c r="Z1250" s="24">
        <f>IF($B1250="","",MONTH($B1250))</f>
        <v/>
      </c>
      <c r="AA1250" s="24">
        <f>IF($B1250="","",YEAR($B1250))</f>
        <v/>
      </c>
      <c r="AB1250" s="24">
        <f>IF($B1250="","",ISOWEEKNUM($B1250))</f>
        <v/>
      </c>
      <c r="AC1250" s="17">
        <f>IF($B1250="","",CHOOSE(WEEKDAY($B1250,2),"Segunda","Terça","Quarta","Quinta","Sexta","Sábado","Domingo"))</f>
        <v/>
      </c>
      <c r="AD1250" s="17">
        <f>IF($B1250="","",TEXT($B1250,"MM/AAAA"))</f>
        <v/>
      </c>
      <c r="AE1250" s="18">
        <f>IF(COUNTA($B1250:$R1250)=0,"",IF($X1250="Cancelado",0,ROUND(N($Q1250)+N($S1250)+N($T1250)-N($U1250),2)))</f>
        <v/>
      </c>
      <c r="AF1250" s="9">
        <f>IF($G1250="","",IFERROR(INDEX(LINHAS_DRE_PLANO,MATCH($G1250,SUBCATEGORIAS_PLANO,0)),"Não classificado"))</f>
        <v/>
      </c>
      <c r="AG1250" s="17">
        <f>IF($G1250="","",IFERROR(INDEX(TIPOS_FLUXO_PLANO,MATCH($G1250,SUBCATEGORIAS_PLANO,0)),"Não classificado"))</f>
        <v/>
      </c>
      <c r="AH1250" s="9">
        <f>IF($G1250="","",IFERROR(INDEX(GRUPOS_PLANO,MATCH($G1250,SUBCATEGORIAS_PLANO,0)),"Não classificado"))</f>
        <v/>
      </c>
      <c r="AI1250" s="24">
        <f>IF(OR($C1250="",$X1250="Pago",$X1250="Recebido",$X1250="Cancelado"),"",$C1250-TODAY())</f>
        <v/>
      </c>
      <c r="AJ1250" s="24">
        <f>IF(OR($C1250="",$X1250="Pago",$X1250="Recebido",$X1250="Cancelado"),0,MAX(0,TODAY()-$C1250))</f>
        <v/>
      </c>
      <c r="AK1250" s="24">
        <f>IF($D1250="","",$D1250-$B1250)</f>
        <v/>
      </c>
      <c r="AL1250" s="18">
        <f>IF(OR($D1250="",$B1250=""),"",ROUND(N($R1250)*($D1250-$B1250),2))</f>
        <v/>
      </c>
      <c r="AM1250" s="17">
        <f>IF(AND($E1250="Saída",$W1250&gt;0,$C1250&lt;&gt;""),$C1250+ROW()/1000000,"")</f>
        <v/>
      </c>
      <c r="AN1250" s="17">
        <f>IF(AND($E1250="Entrada",$W1250&gt;0,$C1250&lt;&gt;""),$C1250+ROW()/1000000,"")</f>
        <v/>
      </c>
      <c r="AO1250" s="9">
        <f>IF(COUNTA($B1250:$R1250)=0,"",IF(AND($I1250&lt;&gt;"",COUNTIF(CLIENTES_NOMES,$I1250)+COUNTIF(CLIENTES_FANTASIA,$I1250)+COUNTIF(FORNECEDORES_NOMES,$I1250)+COUNTIF(FORNECEDORES_FANTASIA,$I1250)=0),"⚠ Cliente/Fornecedor não cadastrado",IF(AND($G1250&lt;&gt;"",COUNTIF(SUBCATEGORIAS_PLANO,$G1250)=0),"⚠ Subcategoria fora do plano de contas",IF(OR($Q1250="",N($Q1250)=0),"⚠ Valor previsto não informado",IF(AND(OR($X1250="Pago",$X1250="Recebido"),$D1250=""),"⚠ Status pago/recebido sem data",IF(AND($D1250&lt;&gt;"",N($R1250)=0),"⚠ Data de pagamento sem valor realizado",IF(AND(N($P1250)&gt;1,N($O1250)&gt;N($P1250)),"⚠ Nº da parcela maior que o total",IF(AND($C1250&lt;&gt;"",$B1250&lt;&gt;"",$C1250&lt;$B1250),"⚠ Vencimento anterior à competência","OK"))))))))</f>
        <v/>
      </c>
    </row>
    <row r="1251">
      <c r="A1251" s="14" t="n"/>
      <c r="B1251" s="36" t="n"/>
      <c r="C1251" s="36" t="n"/>
      <c r="D1251" s="36" t="n"/>
      <c r="E1251" s="14" t="n"/>
      <c r="F1251" s="29" t="n"/>
      <c r="G1251" s="29" t="n"/>
      <c r="H1251" s="29" t="n"/>
      <c r="I1251" s="29" t="n"/>
      <c r="J1251" s="29" t="n"/>
      <c r="K1251" s="14" t="n"/>
      <c r="L1251" s="29" t="n"/>
      <c r="M1251" s="14" t="n"/>
      <c r="N1251" s="29" t="n"/>
      <c r="O1251" s="13" t="n"/>
      <c r="P1251" s="13" t="n"/>
      <c r="Q1251" s="35" t="n"/>
      <c r="R1251" s="35" t="n"/>
      <c r="S1251" s="35" t="n"/>
      <c r="T1251" s="35" t="n"/>
      <c r="U1251" s="35" t="n"/>
      <c r="V1251" s="18">
        <f>IF(COUNTA($B1251:$R1251)=0,"",ROUND(N($R1251)+N($S1251)+N($T1251)-N($U1251),2))</f>
        <v/>
      </c>
      <c r="W1251" s="18">
        <f>IF(COUNTA($B1251:$R1251)=0,"",IF(OR($X1251="Pago",$X1251="Recebido",$X1251="Cancelado"),0,ROUND(N($Q1251)+N($S1251)+N($T1251)-N($U1251)-N($R1251),2)))</f>
        <v/>
      </c>
      <c r="X1251" s="14" t="n"/>
      <c r="Y1251" s="17">
        <f>IF(COUNTA($B1251:$R1251)=0,"",IF($X1251="Cancelado","Cancelado",IF(OR($X1251="Pago",$X1251="Recebido"),$X1251,IF(OR($X1251="Parcial",N($R1251)&gt;0),"Parcial",IF($C1251="","Sem vencimento",IF($C1251&lt;TODAY(),"Vencido",IF($C1251=TODAY(),"Vence hoje",IF($C1251&lt;=TODAY()+7,"Vence em 7 dias",IF($C1251&lt;=TODAY()+30,"Vence em 30 dias","Futuro")))))))))</f>
        <v/>
      </c>
      <c r="Z1251" s="24">
        <f>IF($B1251="","",MONTH($B1251))</f>
        <v/>
      </c>
      <c r="AA1251" s="24">
        <f>IF($B1251="","",YEAR($B1251))</f>
        <v/>
      </c>
      <c r="AB1251" s="24">
        <f>IF($B1251="","",ISOWEEKNUM($B1251))</f>
        <v/>
      </c>
      <c r="AC1251" s="17">
        <f>IF($B1251="","",CHOOSE(WEEKDAY($B1251,2),"Segunda","Terça","Quarta","Quinta","Sexta","Sábado","Domingo"))</f>
        <v/>
      </c>
      <c r="AD1251" s="17">
        <f>IF($B1251="","",TEXT($B1251,"MM/AAAA"))</f>
        <v/>
      </c>
      <c r="AE1251" s="18">
        <f>IF(COUNTA($B1251:$R1251)=0,"",IF($X1251="Cancelado",0,ROUND(N($Q1251)+N($S1251)+N($T1251)-N($U1251),2)))</f>
        <v/>
      </c>
      <c r="AF1251" s="9">
        <f>IF($G1251="","",IFERROR(INDEX(LINHAS_DRE_PLANO,MATCH($G1251,SUBCATEGORIAS_PLANO,0)),"Não classificado"))</f>
        <v/>
      </c>
      <c r="AG1251" s="17">
        <f>IF($G1251="","",IFERROR(INDEX(TIPOS_FLUXO_PLANO,MATCH($G1251,SUBCATEGORIAS_PLANO,0)),"Não classificado"))</f>
        <v/>
      </c>
      <c r="AH1251" s="9">
        <f>IF($G1251="","",IFERROR(INDEX(GRUPOS_PLANO,MATCH($G1251,SUBCATEGORIAS_PLANO,0)),"Não classificado"))</f>
        <v/>
      </c>
      <c r="AI1251" s="24">
        <f>IF(OR($C1251="",$X1251="Pago",$X1251="Recebido",$X1251="Cancelado"),"",$C1251-TODAY())</f>
        <v/>
      </c>
      <c r="AJ1251" s="24">
        <f>IF(OR($C1251="",$X1251="Pago",$X1251="Recebido",$X1251="Cancelado"),0,MAX(0,TODAY()-$C1251))</f>
        <v/>
      </c>
      <c r="AK1251" s="24">
        <f>IF($D1251="","",$D1251-$B1251)</f>
        <v/>
      </c>
      <c r="AL1251" s="18">
        <f>IF(OR($D1251="",$B1251=""),"",ROUND(N($R1251)*($D1251-$B1251),2))</f>
        <v/>
      </c>
      <c r="AM1251" s="17">
        <f>IF(AND($E1251="Saída",$W1251&gt;0,$C1251&lt;&gt;""),$C1251+ROW()/1000000,"")</f>
        <v/>
      </c>
      <c r="AN1251" s="17">
        <f>IF(AND($E1251="Entrada",$W1251&gt;0,$C1251&lt;&gt;""),$C1251+ROW()/1000000,"")</f>
        <v/>
      </c>
      <c r="AO1251" s="9">
        <f>IF(COUNTA($B1251:$R1251)=0,"",IF(AND($I1251&lt;&gt;"",COUNTIF(CLIENTES_NOMES,$I1251)+COUNTIF(CLIENTES_FANTASIA,$I1251)+COUNTIF(FORNECEDORES_NOMES,$I1251)+COUNTIF(FORNECEDORES_FANTASIA,$I1251)=0),"⚠ Cliente/Fornecedor não cadastrado",IF(AND($G1251&lt;&gt;"",COUNTIF(SUBCATEGORIAS_PLANO,$G1251)=0),"⚠ Subcategoria fora do plano de contas",IF(OR($Q1251="",N($Q1251)=0),"⚠ Valor previsto não informado",IF(AND(OR($X1251="Pago",$X1251="Recebido"),$D1251=""),"⚠ Status pago/recebido sem data",IF(AND($D1251&lt;&gt;"",N($R1251)=0),"⚠ Data de pagamento sem valor realizado",IF(AND(N($P1251)&gt;1,N($O1251)&gt;N($P1251)),"⚠ Nº da parcela maior que o total",IF(AND($C1251&lt;&gt;"",$B1251&lt;&gt;"",$C1251&lt;$B1251),"⚠ Vencimento anterior à competência","OK"))))))))</f>
        <v/>
      </c>
    </row>
    <row r="1252">
      <c r="A1252" s="14" t="n"/>
      <c r="B1252" s="36" t="n"/>
      <c r="C1252" s="36" t="n"/>
      <c r="D1252" s="36" t="n"/>
      <c r="E1252" s="14" t="n"/>
      <c r="F1252" s="29" t="n"/>
      <c r="G1252" s="29" t="n"/>
      <c r="H1252" s="29" t="n"/>
      <c r="I1252" s="29" t="n"/>
      <c r="J1252" s="29" t="n"/>
      <c r="K1252" s="14" t="n"/>
      <c r="L1252" s="29" t="n"/>
      <c r="M1252" s="14" t="n"/>
      <c r="N1252" s="29" t="n"/>
      <c r="O1252" s="13" t="n"/>
      <c r="P1252" s="13" t="n"/>
      <c r="Q1252" s="35" t="n"/>
      <c r="R1252" s="35" t="n"/>
      <c r="S1252" s="35" t="n"/>
      <c r="T1252" s="35" t="n"/>
      <c r="U1252" s="35" t="n"/>
      <c r="V1252" s="18">
        <f>IF(COUNTA($B1252:$R1252)=0,"",ROUND(N($R1252)+N($S1252)+N($T1252)-N($U1252),2))</f>
        <v/>
      </c>
      <c r="W1252" s="18">
        <f>IF(COUNTA($B1252:$R1252)=0,"",IF(OR($X1252="Pago",$X1252="Recebido",$X1252="Cancelado"),0,ROUND(N($Q1252)+N($S1252)+N($T1252)-N($U1252)-N($R1252),2)))</f>
        <v/>
      </c>
      <c r="X1252" s="14" t="n"/>
      <c r="Y1252" s="17">
        <f>IF(COUNTA($B1252:$R1252)=0,"",IF($X1252="Cancelado","Cancelado",IF(OR($X1252="Pago",$X1252="Recebido"),$X1252,IF(OR($X1252="Parcial",N($R1252)&gt;0),"Parcial",IF($C1252="","Sem vencimento",IF($C1252&lt;TODAY(),"Vencido",IF($C1252=TODAY(),"Vence hoje",IF($C1252&lt;=TODAY()+7,"Vence em 7 dias",IF($C1252&lt;=TODAY()+30,"Vence em 30 dias","Futuro")))))))))</f>
        <v/>
      </c>
      <c r="Z1252" s="24">
        <f>IF($B1252="","",MONTH($B1252))</f>
        <v/>
      </c>
      <c r="AA1252" s="24">
        <f>IF($B1252="","",YEAR($B1252))</f>
        <v/>
      </c>
      <c r="AB1252" s="24">
        <f>IF($B1252="","",ISOWEEKNUM($B1252))</f>
        <v/>
      </c>
      <c r="AC1252" s="17">
        <f>IF($B1252="","",CHOOSE(WEEKDAY($B1252,2),"Segunda","Terça","Quarta","Quinta","Sexta","Sábado","Domingo"))</f>
        <v/>
      </c>
      <c r="AD1252" s="17">
        <f>IF($B1252="","",TEXT($B1252,"MM/AAAA"))</f>
        <v/>
      </c>
      <c r="AE1252" s="18">
        <f>IF(COUNTA($B1252:$R1252)=0,"",IF($X1252="Cancelado",0,ROUND(N($Q1252)+N($S1252)+N($T1252)-N($U1252),2)))</f>
        <v/>
      </c>
      <c r="AF1252" s="9">
        <f>IF($G1252="","",IFERROR(INDEX(LINHAS_DRE_PLANO,MATCH($G1252,SUBCATEGORIAS_PLANO,0)),"Não classificado"))</f>
        <v/>
      </c>
      <c r="AG1252" s="17">
        <f>IF($G1252="","",IFERROR(INDEX(TIPOS_FLUXO_PLANO,MATCH($G1252,SUBCATEGORIAS_PLANO,0)),"Não classificado"))</f>
        <v/>
      </c>
      <c r="AH1252" s="9">
        <f>IF($G1252="","",IFERROR(INDEX(GRUPOS_PLANO,MATCH($G1252,SUBCATEGORIAS_PLANO,0)),"Não classificado"))</f>
        <v/>
      </c>
      <c r="AI1252" s="24">
        <f>IF(OR($C1252="",$X1252="Pago",$X1252="Recebido",$X1252="Cancelado"),"",$C1252-TODAY())</f>
        <v/>
      </c>
      <c r="AJ1252" s="24">
        <f>IF(OR($C1252="",$X1252="Pago",$X1252="Recebido",$X1252="Cancelado"),0,MAX(0,TODAY()-$C1252))</f>
        <v/>
      </c>
      <c r="AK1252" s="24">
        <f>IF($D1252="","",$D1252-$B1252)</f>
        <v/>
      </c>
      <c r="AL1252" s="18">
        <f>IF(OR($D1252="",$B1252=""),"",ROUND(N($R1252)*($D1252-$B1252),2))</f>
        <v/>
      </c>
      <c r="AM1252" s="17">
        <f>IF(AND($E1252="Saída",$W1252&gt;0,$C1252&lt;&gt;""),$C1252+ROW()/1000000,"")</f>
        <v/>
      </c>
      <c r="AN1252" s="17">
        <f>IF(AND($E1252="Entrada",$W1252&gt;0,$C1252&lt;&gt;""),$C1252+ROW()/1000000,"")</f>
        <v/>
      </c>
      <c r="AO1252" s="9">
        <f>IF(COUNTA($B1252:$R1252)=0,"",IF(AND($I1252&lt;&gt;"",COUNTIF(CLIENTES_NOMES,$I1252)+COUNTIF(CLIENTES_FANTASIA,$I1252)+COUNTIF(FORNECEDORES_NOMES,$I1252)+COUNTIF(FORNECEDORES_FANTASIA,$I1252)=0),"⚠ Cliente/Fornecedor não cadastrado",IF(AND($G1252&lt;&gt;"",COUNTIF(SUBCATEGORIAS_PLANO,$G1252)=0),"⚠ Subcategoria fora do plano de contas",IF(OR($Q1252="",N($Q1252)=0),"⚠ Valor previsto não informado",IF(AND(OR($X1252="Pago",$X1252="Recebido"),$D1252=""),"⚠ Status pago/recebido sem data",IF(AND($D1252&lt;&gt;"",N($R1252)=0),"⚠ Data de pagamento sem valor realizado",IF(AND(N($P1252)&gt;1,N($O1252)&gt;N($P1252)),"⚠ Nº da parcela maior que o total",IF(AND($C1252&lt;&gt;"",$B1252&lt;&gt;"",$C1252&lt;$B1252),"⚠ Vencimento anterior à competência","OK"))))))))</f>
        <v/>
      </c>
    </row>
    <row r="1253">
      <c r="A1253" s="14" t="n"/>
      <c r="B1253" s="36" t="n"/>
      <c r="C1253" s="36" t="n"/>
      <c r="D1253" s="36" t="n"/>
      <c r="E1253" s="14" t="n"/>
      <c r="F1253" s="29" t="n"/>
      <c r="G1253" s="29" t="n"/>
      <c r="H1253" s="29" t="n"/>
      <c r="I1253" s="29" t="n"/>
      <c r="J1253" s="29" t="n"/>
      <c r="K1253" s="14" t="n"/>
      <c r="L1253" s="29" t="n"/>
      <c r="M1253" s="14" t="n"/>
      <c r="N1253" s="29" t="n"/>
      <c r="O1253" s="13" t="n"/>
      <c r="P1253" s="13" t="n"/>
      <c r="Q1253" s="35" t="n"/>
      <c r="R1253" s="35" t="n"/>
      <c r="S1253" s="35" t="n"/>
      <c r="T1253" s="35" t="n"/>
      <c r="U1253" s="35" t="n"/>
      <c r="V1253" s="18">
        <f>IF(COUNTA($B1253:$R1253)=0,"",ROUND(N($R1253)+N($S1253)+N($T1253)-N($U1253),2))</f>
        <v/>
      </c>
      <c r="W1253" s="18">
        <f>IF(COUNTA($B1253:$R1253)=0,"",IF(OR($X1253="Pago",$X1253="Recebido",$X1253="Cancelado"),0,ROUND(N($Q1253)+N($S1253)+N($T1253)-N($U1253)-N($R1253),2)))</f>
        <v/>
      </c>
      <c r="X1253" s="14" t="n"/>
      <c r="Y1253" s="17">
        <f>IF(COUNTA($B1253:$R1253)=0,"",IF($X1253="Cancelado","Cancelado",IF(OR($X1253="Pago",$X1253="Recebido"),$X1253,IF(OR($X1253="Parcial",N($R1253)&gt;0),"Parcial",IF($C1253="","Sem vencimento",IF($C1253&lt;TODAY(),"Vencido",IF($C1253=TODAY(),"Vence hoje",IF($C1253&lt;=TODAY()+7,"Vence em 7 dias",IF($C1253&lt;=TODAY()+30,"Vence em 30 dias","Futuro")))))))))</f>
        <v/>
      </c>
      <c r="Z1253" s="24">
        <f>IF($B1253="","",MONTH($B1253))</f>
        <v/>
      </c>
      <c r="AA1253" s="24">
        <f>IF($B1253="","",YEAR($B1253))</f>
        <v/>
      </c>
      <c r="AB1253" s="24">
        <f>IF($B1253="","",ISOWEEKNUM($B1253))</f>
        <v/>
      </c>
      <c r="AC1253" s="17">
        <f>IF($B1253="","",CHOOSE(WEEKDAY($B1253,2),"Segunda","Terça","Quarta","Quinta","Sexta","Sábado","Domingo"))</f>
        <v/>
      </c>
      <c r="AD1253" s="17">
        <f>IF($B1253="","",TEXT($B1253,"MM/AAAA"))</f>
        <v/>
      </c>
      <c r="AE1253" s="18">
        <f>IF(COUNTA($B1253:$R1253)=0,"",IF($X1253="Cancelado",0,ROUND(N($Q1253)+N($S1253)+N($T1253)-N($U1253),2)))</f>
        <v/>
      </c>
      <c r="AF1253" s="9">
        <f>IF($G1253="","",IFERROR(INDEX(LINHAS_DRE_PLANO,MATCH($G1253,SUBCATEGORIAS_PLANO,0)),"Não classificado"))</f>
        <v/>
      </c>
      <c r="AG1253" s="17">
        <f>IF($G1253="","",IFERROR(INDEX(TIPOS_FLUXO_PLANO,MATCH($G1253,SUBCATEGORIAS_PLANO,0)),"Não classificado"))</f>
        <v/>
      </c>
      <c r="AH1253" s="9">
        <f>IF($G1253="","",IFERROR(INDEX(GRUPOS_PLANO,MATCH($G1253,SUBCATEGORIAS_PLANO,0)),"Não classificado"))</f>
        <v/>
      </c>
      <c r="AI1253" s="24">
        <f>IF(OR($C1253="",$X1253="Pago",$X1253="Recebido",$X1253="Cancelado"),"",$C1253-TODAY())</f>
        <v/>
      </c>
      <c r="AJ1253" s="24">
        <f>IF(OR($C1253="",$X1253="Pago",$X1253="Recebido",$X1253="Cancelado"),0,MAX(0,TODAY()-$C1253))</f>
        <v/>
      </c>
      <c r="AK1253" s="24">
        <f>IF($D1253="","",$D1253-$B1253)</f>
        <v/>
      </c>
      <c r="AL1253" s="18">
        <f>IF(OR($D1253="",$B1253=""),"",ROUND(N($R1253)*($D1253-$B1253),2))</f>
        <v/>
      </c>
      <c r="AM1253" s="17">
        <f>IF(AND($E1253="Saída",$W1253&gt;0,$C1253&lt;&gt;""),$C1253+ROW()/1000000,"")</f>
        <v/>
      </c>
      <c r="AN1253" s="17">
        <f>IF(AND($E1253="Entrada",$W1253&gt;0,$C1253&lt;&gt;""),$C1253+ROW()/1000000,"")</f>
        <v/>
      </c>
      <c r="AO1253" s="9">
        <f>IF(COUNTA($B1253:$R1253)=0,"",IF(AND($I1253&lt;&gt;"",COUNTIF(CLIENTES_NOMES,$I1253)+COUNTIF(CLIENTES_FANTASIA,$I1253)+COUNTIF(FORNECEDORES_NOMES,$I1253)+COUNTIF(FORNECEDORES_FANTASIA,$I1253)=0),"⚠ Cliente/Fornecedor não cadastrado",IF(AND($G1253&lt;&gt;"",COUNTIF(SUBCATEGORIAS_PLANO,$G1253)=0),"⚠ Subcategoria fora do plano de contas",IF(OR($Q1253="",N($Q1253)=0),"⚠ Valor previsto não informado",IF(AND(OR($X1253="Pago",$X1253="Recebido"),$D1253=""),"⚠ Status pago/recebido sem data",IF(AND($D1253&lt;&gt;"",N($R1253)=0),"⚠ Data de pagamento sem valor realizado",IF(AND(N($P1253)&gt;1,N($O1253)&gt;N($P1253)),"⚠ Nº da parcela maior que o total",IF(AND($C1253&lt;&gt;"",$B1253&lt;&gt;"",$C1253&lt;$B1253),"⚠ Vencimento anterior à competência","OK"))))))))</f>
        <v/>
      </c>
    </row>
    <row r="1254">
      <c r="A1254" s="14" t="n"/>
      <c r="B1254" s="36" t="n"/>
      <c r="C1254" s="36" t="n"/>
      <c r="D1254" s="36" t="n"/>
      <c r="E1254" s="14" t="n"/>
      <c r="F1254" s="29" t="n"/>
      <c r="G1254" s="29" t="n"/>
      <c r="H1254" s="29" t="n"/>
      <c r="I1254" s="29" t="n"/>
      <c r="J1254" s="29" t="n"/>
      <c r="K1254" s="14" t="n"/>
      <c r="L1254" s="29" t="n"/>
      <c r="M1254" s="14" t="n"/>
      <c r="N1254" s="29" t="n"/>
      <c r="O1254" s="13" t="n"/>
      <c r="P1254" s="13" t="n"/>
      <c r="Q1254" s="35" t="n"/>
      <c r="R1254" s="35" t="n"/>
      <c r="S1254" s="35" t="n"/>
      <c r="T1254" s="35" t="n"/>
      <c r="U1254" s="35" t="n"/>
      <c r="V1254" s="18">
        <f>IF(COUNTA($B1254:$R1254)=0,"",ROUND(N($R1254)+N($S1254)+N($T1254)-N($U1254),2))</f>
        <v/>
      </c>
      <c r="W1254" s="18">
        <f>IF(COUNTA($B1254:$R1254)=0,"",IF(OR($X1254="Pago",$X1254="Recebido",$X1254="Cancelado"),0,ROUND(N($Q1254)+N($S1254)+N($T1254)-N($U1254)-N($R1254),2)))</f>
        <v/>
      </c>
      <c r="X1254" s="14" t="n"/>
      <c r="Y1254" s="17">
        <f>IF(COUNTA($B1254:$R1254)=0,"",IF($X1254="Cancelado","Cancelado",IF(OR($X1254="Pago",$X1254="Recebido"),$X1254,IF(OR($X1254="Parcial",N($R1254)&gt;0),"Parcial",IF($C1254="","Sem vencimento",IF($C1254&lt;TODAY(),"Vencido",IF($C1254=TODAY(),"Vence hoje",IF($C1254&lt;=TODAY()+7,"Vence em 7 dias",IF($C1254&lt;=TODAY()+30,"Vence em 30 dias","Futuro")))))))))</f>
        <v/>
      </c>
      <c r="Z1254" s="24">
        <f>IF($B1254="","",MONTH($B1254))</f>
        <v/>
      </c>
      <c r="AA1254" s="24">
        <f>IF($B1254="","",YEAR($B1254))</f>
        <v/>
      </c>
      <c r="AB1254" s="24">
        <f>IF($B1254="","",ISOWEEKNUM($B1254))</f>
        <v/>
      </c>
      <c r="AC1254" s="17">
        <f>IF($B1254="","",CHOOSE(WEEKDAY($B1254,2),"Segunda","Terça","Quarta","Quinta","Sexta","Sábado","Domingo"))</f>
        <v/>
      </c>
      <c r="AD1254" s="17">
        <f>IF($B1254="","",TEXT($B1254,"MM/AAAA"))</f>
        <v/>
      </c>
      <c r="AE1254" s="18">
        <f>IF(COUNTA($B1254:$R1254)=0,"",IF($X1254="Cancelado",0,ROUND(N($Q1254)+N($S1254)+N($T1254)-N($U1254),2)))</f>
        <v/>
      </c>
      <c r="AF1254" s="9">
        <f>IF($G1254="","",IFERROR(INDEX(LINHAS_DRE_PLANO,MATCH($G1254,SUBCATEGORIAS_PLANO,0)),"Não classificado"))</f>
        <v/>
      </c>
      <c r="AG1254" s="17">
        <f>IF($G1254="","",IFERROR(INDEX(TIPOS_FLUXO_PLANO,MATCH($G1254,SUBCATEGORIAS_PLANO,0)),"Não classificado"))</f>
        <v/>
      </c>
      <c r="AH1254" s="9">
        <f>IF($G1254="","",IFERROR(INDEX(GRUPOS_PLANO,MATCH($G1254,SUBCATEGORIAS_PLANO,0)),"Não classificado"))</f>
        <v/>
      </c>
      <c r="AI1254" s="24">
        <f>IF(OR($C1254="",$X1254="Pago",$X1254="Recebido",$X1254="Cancelado"),"",$C1254-TODAY())</f>
        <v/>
      </c>
      <c r="AJ1254" s="24">
        <f>IF(OR($C1254="",$X1254="Pago",$X1254="Recebido",$X1254="Cancelado"),0,MAX(0,TODAY()-$C1254))</f>
        <v/>
      </c>
      <c r="AK1254" s="24">
        <f>IF($D1254="","",$D1254-$B1254)</f>
        <v/>
      </c>
      <c r="AL1254" s="18">
        <f>IF(OR($D1254="",$B1254=""),"",ROUND(N($R1254)*($D1254-$B1254),2))</f>
        <v/>
      </c>
      <c r="AM1254" s="17">
        <f>IF(AND($E1254="Saída",$W1254&gt;0,$C1254&lt;&gt;""),$C1254+ROW()/1000000,"")</f>
        <v/>
      </c>
      <c r="AN1254" s="17">
        <f>IF(AND($E1254="Entrada",$W1254&gt;0,$C1254&lt;&gt;""),$C1254+ROW()/1000000,"")</f>
        <v/>
      </c>
      <c r="AO1254" s="9">
        <f>IF(COUNTA($B1254:$R1254)=0,"",IF(AND($I1254&lt;&gt;"",COUNTIF(CLIENTES_NOMES,$I1254)+COUNTIF(CLIENTES_FANTASIA,$I1254)+COUNTIF(FORNECEDORES_NOMES,$I1254)+COUNTIF(FORNECEDORES_FANTASIA,$I1254)=0),"⚠ Cliente/Fornecedor não cadastrado",IF(AND($G1254&lt;&gt;"",COUNTIF(SUBCATEGORIAS_PLANO,$G1254)=0),"⚠ Subcategoria fora do plano de contas",IF(OR($Q1254="",N($Q1254)=0),"⚠ Valor previsto não informado",IF(AND(OR($X1254="Pago",$X1254="Recebido"),$D1254=""),"⚠ Status pago/recebido sem data",IF(AND($D1254&lt;&gt;"",N($R1254)=0),"⚠ Data de pagamento sem valor realizado",IF(AND(N($P1254)&gt;1,N($O1254)&gt;N($P1254)),"⚠ Nº da parcela maior que o total",IF(AND($C1254&lt;&gt;"",$B1254&lt;&gt;"",$C1254&lt;$B1254),"⚠ Vencimento anterior à competência","OK"))))))))</f>
        <v/>
      </c>
    </row>
    <row r="1255">
      <c r="A1255" s="14" t="n"/>
      <c r="B1255" s="36" t="n"/>
      <c r="C1255" s="36" t="n"/>
      <c r="D1255" s="36" t="n"/>
      <c r="E1255" s="14" t="n"/>
      <c r="F1255" s="29" t="n"/>
      <c r="G1255" s="29" t="n"/>
      <c r="H1255" s="29" t="n"/>
      <c r="I1255" s="29" t="n"/>
      <c r="J1255" s="29" t="n"/>
      <c r="K1255" s="14" t="n"/>
      <c r="L1255" s="29" t="n"/>
      <c r="M1255" s="14" t="n"/>
      <c r="N1255" s="29" t="n"/>
      <c r="O1255" s="13" t="n"/>
      <c r="P1255" s="13" t="n"/>
      <c r="Q1255" s="35" t="n"/>
      <c r="R1255" s="35" t="n"/>
      <c r="S1255" s="35" t="n"/>
      <c r="T1255" s="35" t="n"/>
      <c r="U1255" s="35" t="n"/>
      <c r="V1255" s="18">
        <f>IF(COUNTA($B1255:$R1255)=0,"",ROUND(N($R1255)+N($S1255)+N($T1255)-N($U1255),2))</f>
        <v/>
      </c>
      <c r="W1255" s="18">
        <f>IF(COUNTA($B1255:$R1255)=0,"",IF(OR($X1255="Pago",$X1255="Recebido",$X1255="Cancelado"),0,ROUND(N($Q1255)+N($S1255)+N($T1255)-N($U1255)-N($R1255),2)))</f>
        <v/>
      </c>
      <c r="X1255" s="14" t="n"/>
      <c r="Y1255" s="17">
        <f>IF(COUNTA($B1255:$R1255)=0,"",IF($X1255="Cancelado","Cancelado",IF(OR($X1255="Pago",$X1255="Recebido"),$X1255,IF(OR($X1255="Parcial",N($R1255)&gt;0),"Parcial",IF($C1255="","Sem vencimento",IF($C1255&lt;TODAY(),"Vencido",IF($C1255=TODAY(),"Vence hoje",IF($C1255&lt;=TODAY()+7,"Vence em 7 dias",IF($C1255&lt;=TODAY()+30,"Vence em 30 dias","Futuro")))))))))</f>
        <v/>
      </c>
      <c r="Z1255" s="24">
        <f>IF($B1255="","",MONTH($B1255))</f>
        <v/>
      </c>
      <c r="AA1255" s="24">
        <f>IF($B1255="","",YEAR($B1255))</f>
        <v/>
      </c>
      <c r="AB1255" s="24">
        <f>IF($B1255="","",ISOWEEKNUM($B1255))</f>
        <v/>
      </c>
      <c r="AC1255" s="17">
        <f>IF($B1255="","",CHOOSE(WEEKDAY($B1255,2),"Segunda","Terça","Quarta","Quinta","Sexta","Sábado","Domingo"))</f>
        <v/>
      </c>
      <c r="AD1255" s="17">
        <f>IF($B1255="","",TEXT($B1255,"MM/AAAA"))</f>
        <v/>
      </c>
      <c r="AE1255" s="18">
        <f>IF(COUNTA($B1255:$R1255)=0,"",IF($X1255="Cancelado",0,ROUND(N($Q1255)+N($S1255)+N($T1255)-N($U1255),2)))</f>
        <v/>
      </c>
      <c r="AF1255" s="9">
        <f>IF($G1255="","",IFERROR(INDEX(LINHAS_DRE_PLANO,MATCH($G1255,SUBCATEGORIAS_PLANO,0)),"Não classificado"))</f>
        <v/>
      </c>
      <c r="AG1255" s="17">
        <f>IF($G1255="","",IFERROR(INDEX(TIPOS_FLUXO_PLANO,MATCH($G1255,SUBCATEGORIAS_PLANO,0)),"Não classificado"))</f>
        <v/>
      </c>
      <c r="AH1255" s="9">
        <f>IF($G1255="","",IFERROR(INDEX(GRUPOS_PLANO,MATCH($G1255,SUBCATEGORIAS_PLANO,0)),"Não classificado"))</f>
        <v/>
      </c>
      <c r="AI1255" s="24">
        <f>IF(OR($C1255="",$X1255="Pago",$X1255="Recebido",$X1255="Cancelado"),"",$C1255-TODAY())</f>
        <v/>
      </c>
      <c r="AJ1255" s="24">
        <f>IF(OR($C1255="",$X1255="Pago",$X1255="Recebido",$X1255="Cancelado"),0,MAX(0,TODAY()-$C1255))</f>
        <v/>
      </c>
      <c r="AK1255" s="24">
        <f>IF($D1255="","",$D1255-$B1255)</f>
        <v/>
      </c>
      <c r="AL1255" s="18">
        <f>IF(OR($D1255="",$B1255=""),"",ROUND(N($R1255)*($D1255-$B1255),2))</f>
        <v/>
      </c>
      <c r="AM1255" s="17">
        <f>IF(AND($E1255="Saída",$W1255&gt;0,$C1255&lt;&gt;""),$C1255+ROW()/1000000,"")</f>
        <v/>
      </c>
      <c r="AN1255" s="17">
        <f>IF(AND($E1255="Entrada",$W1255&gt;0,$C1255&lt;&gt;""),$C1255+ROW()/1000000,"")</f>
        <v/>
      </c>
      <c r="AO1255" s="9">
        <f>IF(COUNTA($B1255:$R1255)=0,"",IF(AND($I1255&lt;&gt;"",COUNTIF(CLIENTES_NOMES,$I1255)+COUNTIF(CLIENTES_FANTASIA,$I1255)+COUNTIF(FORNECEDORES_NOMES,$I1255)+COUNTIF(FORNECEDORES_FANTASIA,$I1255)=0),"⚠ Cliente/Fornecedor não cadastrado",IF(AND($G1255&lt;&gt;"",COUNTIF(SUBCATEGORIAS_PLANO,$G1255)=0),"⚠ Subcategoria fora do plano de contas",IF(OR($Q1255="",N($Q1255)=0),"⚠ Valor previsto não informado",IF(AND(OR($X1255="Pago",$X1255="Recebido"),$D1255=""),"⚠ Status pago/recebido sem data",IF(AND($D1255&lt;&gt;"",N($R1255)=0),"⚠ Data de pagamento sem valor realizado",IF(AND(N($P1255)&gt;1,N($O1255)&gt;N($P1255)),"⚠ Nº da parcela maior que o total",IF(AND($C1255&lt;&gt;"",$B1255&lt;&gt;"",$C1255&lt;$B1255),"⚠ Vencimento anterior à competência","OK"))))))))</f>
        <v/>
      </c>
    </row>
    <row r="1256">
      <c r="A1256" s="14" t="n"/>
      <c r="B1256" s="36" t="n"/>
      <c r="C1256" s="36" t="n"/>
      <c r="D1256" s="36" t="n"/>
      <c r="E1256" s="14" t="n"/>
      <c r="F1256" s="29" t="n"/>
      <c r="G1256" s="29" t="n"/>
      <c r="H1256" s="29" t="n"/>
      <c r="I1256" s="29" t="n"/>
      <c r="J1256" s="29" t="n"/>
      <c r="K1256" s="14" t="n"/>
      <c r="L1256" s="29" t="n"/>
      <c r="M1256" s="14" t="n"/>
      <c r="N1256" s="29" t="n"/>
      <c r="O1256" s="13" t="n"/>
      <c r="P1256" s="13" t="n"/>
      <c r="Q1256" s="35" t="n"/>
      <c r="R1256" s="35" t="n"/>
      <c r="S1256" s="35" t="n"/>
      <c r="T1256" s="35" t="n"/>
      <c r="U1256" s="35" t="n"/>
      <c r="V1256" s="18">
        <f>IF(COUNTA($B1256:$R1256)=0,"",ROUND(N($R1256)+N($S1256)+N($T1256)-N($U1256),2))</f>
        <v/>
      </c>
      <c r="W1256" s="18">
        <f>IF(COUNTA($B1256:$R1256)=0,"",IF(OR($X1256="Pago",$X1256="Recebido",$X1256="Cancelado"),0,ROUND(N($Q1256)+N($S1256)+N($T1256)-N($U1256)-N($R1256),2)))</f>
        <v/>
      </c>
      <c r="X1256" s="14" t="n"/>
      <c r="Y1256" s="17">
        <f>IF(COUNTA($B1256:$R1256)=0,"",IF($X1256="Cancelado","Cancelado",IF(OR($X1256="Pago",$X1256="Recebido"),$X1256,IF(OR($X1256="Parcial",N($R1256)&gt;0),"Parcial",IF($C1256="","Sem vencimento",IF($C1256&lt;TODAY(),"Vencido",IF($C1256=TODAY(),"Vence hoje",IF($C1256&lt;=TODAY()+7,"Vence em 7 dias",IF($C1256&lt;=TODAY()+30,"Vence em 30 dias","Futuro")))))))))</f>
        <v/>
      </c>
      <c r="Z1256" s="24">
        <f>IF($B1256="","",MONTH($B1256))</f>
        <v/>
      </c>
      <c r="AA1256" s="24">
        <f>IF($B1256="","",YEAR($B1256))</f>
        <v/>
      </c>
      <c r="AB1256" s="24">
        <f>IF($B1256="","",ISOWEEKNUM($B1256))</f>
        <v/>
      </c>
      <c r="AC1256" s="17">
        <f>IF($B1256="","",CHOOSE(WEEKDAY($B1256,2),"Segunda","Terça","Quarta","Quinta","Sexta","Sábado","Domingo"))</f>
        <v/>
      </c>
      <c r="AD1256" s="17">
        <f>IF($B1256="","",TEXT($B1256,"MM/AAAA"))</f>
        <v/>
      </c>
      <c r="AE1256" s="18">
        <f>IF(COUNTA($B1256:$R1256)=0,"",IF($X1256="Cancelado",0,ROUND(N($Q1256)+N($S1256)+N($T1256)-N($U1256),2)))</f>
        <v/>
      </c>
      <c r="AF1256" s="9">
        <f>IF($G1256="","",IFERROR(INDEX(LINHAS_DRE_PLANO,MATCH($G1256,SUBCATEGORIAS_PLANO,0)),"Não classificado"))</f>
        <v/>
      </c>
      <c r="AG1256" s="17">
        <f>IF($G1256="","",IFERROR(INDEX(TIPOS_FLUXO_PLANO,MATCH($G1256,SUBCATEGORIAS_PLANO,0)),"Não classificado"))</f>
        <v/>
      </c>
      <c r="AH1256" s="9">
        <f>IF($G1256="","",IFERROR(INDEX(GRUPOS_PLANO,MATCH($G1256,SUBCATEGORIAS_PLANO,0)),"Não classificado"))</f>
        <v/>
      </c>
      <c r="AI1256" s="24">
        <f>IF(OR($C1256="",$X1256="Pago",$X1256="Recebido",$X1256="Cancelado"),"",$C1256-TODAY())</f>
        <v/>
      </c>
      <c r="AJ1256" s="24">
        <f>IF(OR($C1256="",$X1256="Pago",$X1256="Recebido",$X1256="Cancelado"),0,MAX(0,TODAY()-$C1256))</f>
        <v/>
      </c>
      <c r="AK1256" s="24">
        <f>IF($D1256="","",$D1256-$B1256)</f>
        <v/>
      </c>
      <c r="AL1256" s="18">
        <f>IF(OR($D1256="",$B1256=""),"",ROUND(N($R1256)*($D1256-$B1256),2))</f>
        <v/>
      </c>
      <c r="AM1256" s="17">
        <f>IF(AND($E1256="Saída",$W1256&gt;0,$C1256&lt;&gt;""),$C1256+ROW()/1000000,"")</f>
        <v/>
      </c>
      <c r="AN1256" s="17">
        <f>IF(AND($E1256="Entrada",$W1256&gt;0,$C1256&lt;&gt;""),$C1256+ROW()/1000000,"")</f>
        <v/>
      </c>
      <c r="AO1256" s="9">
        <f>IF(COUNTA($B1256:$R1256)=0,"",IF(AND($I1256&lt;&gt;"",COUNTIF(CLIENTES_NOMES,$I1256)+COUNTIF(CLIENTES_FANTASIA,$I1256)+COUNTIF(FORNECEDORES_NOMES,$I1256)+COUNTIF(FORNECEDORES_FANTASIA,$I1256)=0),"⚠ Cliente/Fornecedor não cadastrado",IF(AND($G1256&lt;&gt;"",COUNTIF(SUBCATEGORIAS_PLANO,$G1256)=0),"⚠ Subcategoria fora do plano de contas",IF(OR($Q1256="",N($Q1256)=0),"⚠ Valor previsto não informado",IF(AND(OR($X1256="Pago",$X1256="Recebido"),$D1256=""),"⚠ Status pago/recebido sem data",IF(AND($D1256&lt;&gt;"",N($R1256)=0),"⚠ Data de pagamento sem valor realizado",IF(AND(N($P1256)&gt;1,N($O1256)&gt;N($P1256)),"⚠ Nº da parcela maior que o total",IF(AND($C1256&lt;&gt;"",$B1256&lt;&gt;"",$C1256&lt;$B1256),"⚠ Vencimento anterior à competência","OK"))))))))</f>
        <v/>
      </c>
    </row>
    <row r="1257">
      <c r="A1257" s="14" t="n"/>
      <c r="B1257" s="36" t="n"/>
      <c r="C1257" s="36" t="n"/>
      <c r="D1257" s="36" t="n"/>
      <c r="E1257" s="14" t="n"/>
      <c r="F1257" s="29" t="n"/>
      <c r="G1257" s="29" t="n"/>
      <c r="H1257" s="29" t="n"/>
      <c r="I1257" s="29" t="n"/>
      <c r="J1257" s="29" t="n"/>
      <c r="K1257" s="14" t="n"/>
      <c r="L1257" s="29" t="n"/>
      <c r="M1257" s="14" t="n"/>
      <c r="N1257" s="29" t="n"/>
      <c r="O1257" s="13" t="n"/>
      <c r="P1257" s="13" t="n"/>
      <c r="Q1257" s="35" t="n"/>
      <c r="R1257" s="35" t="n"/>
      <c r="S1257" s="35" t="n"/>
      <c r="T1257" s="35" t="n"/>
      <c r="U1257" s="35" t="n"/>
      <c r="V1257" s="18">
        <f>IF(COUNTA($B1257:$R1257)=0,"",ROUND(N($R1257)+N($S1257)+N($T1257)-N($U1257),2))</f>
        <v/>
      </c>
      <c r="W1257" s="18">
        <f>IF(COUNTA($B1257:$R1257)=0,"",IF(OR($X1257="Pago",$X1257="Recebido",$X1257="Cancelado"),0,ROUND(N($Q1257)+N($S1257)+N($T1257)-N($U1257)-N($R1257),2)))</f>
        <v/>
      </c>
      <c r="X1257" s="14" t="n"/>
      <c r="Y1257" s="17">
        <f>IF(COUNTA($B1257:$R1257)=0,"",IF($X1257="Cancelado","Cancelado",IF(OR($X1257="Pago",$X1257="Recebido"),$X1257,IF(OR($X1257="Parcial",N($R1257)&gt;0),"Parcial",IF($C1257="","Sem vencimento",IF($C1257&lt;TODAY(),"Vencido",IF($C1257=TODAY(),"Vence hoje",IF($C1257&lt;=TODAY()+7,"Vence em 7 dias",IF($C1257&lt;=TODAY()+30,"Vence em 30 dias","Futuro")))))))))</f>
        <v/>
      </c>
      <c r="Z1257" s="24">
        <f>IF($B1257="","",MONTH($B1257))</f>
        <v/>
      </c>
      <c r="AA1257" s="24">
        <f>IF($B1257="","",YEAR($B1257))</f>
        <v/>
      </c>
      <c r="AB1257" s="24">
        <f>IF($B1257="","",ISOWEEKNUM($B1257))</f>
        <v/>
      </c>
      <c r="AC1257" s="17">
        <f>IF($B1257="","",CHOOSE(WEEKDAY($B1257,2),"Segunda","Terça","Quarta","Quinta","Sexta","Sábado","Domingo"))</f>
        <v/>
      </c>
      <c r="AD1257" s="17">
        <f>IF($B1257="","",TEXT($B1257,"MM/AAAA"))</f>
        <v/>
      </c>
      <c r="AE1257" s="18">
        <f>IF(COUNTA($B1257:$R1257)=0,"",IF($X1257="Cancelado",0,ROUND(N($Q1257)+N($S1257)+N($T1257)-N($U1257),2)))</f>
        <v/>
      </c>
      <c r="AF1257" s="9">
        <f>IF($G1257="","",IFERROR(INDEX(LINHAS_DRE_PLANO,MATCH($G1257,SUBCATEGORIAS_PLANO,0)),"Não classificado"))</f>
        <v/>
      </c>
      <c r="AG1257" s="17">
        <f>IF($G1257="","",IFERROR(INDEX(TIPOS_FLUXO_PLANO,MATCH($G1257,SUBCATEGORIAS_PLANO,0)),"Não classificado"))</f>
        <v/>
      </c>
      <c r="AH1257" s="9">
        <f>IF($G1257="","",IFERROR(INDEX(GRUPOS_PLANO,MATCH($G1257,SUBCATEGORIAS_PLANO,0)),"Não classificado"))</f>
        <v/>
      </c>
      <c r="AI1257" s="24">
        <f>IF(OR($C1257="",$X1257="Pago",$X1257="Recebido",$X1257="Cancelado"),"",$C1257-TODAY())</f>
        <v/>
      </c>
      <c r="AJ1257" s="24">
        <f>IF(OR($C1257="",$X1257="Pago",$X1257="Recebido",$X1257="Cancelado"),0,MAX(0,TODAY()-$C1257))</f>
        <v/>
      </c>
      <c r="AK1257" s="24">
        <f>IF($D1257="","",$D1257-$B1257)</f>
        <v/>
      </c>
      <c r="AL1257" s="18">
        <f>IF(OR($D1257="",$B1257=""),"",ROUND(N($R1257)*($D1257-$B1257),2))</f>
        <v/>
      </c>
      <c r="AM1257" s="17">
        <f>IF(AND($E1257="Saída",$W1257&gt;0,$C1257&lt;&gt;""),$C1257+ROW()/1000000,"")</f>
        <v/>
      </c>
      <c r="AN1257" s="17">
        <f>IF(AND($E1257="Entrada",$W1257&gt;0,$C1257&lt;&gt;""),$C1257+ROW()/1000000,"")</f>
        <v/>
      </c>
      <c r="AO1257" s="9">
        <f>IF(COUNTA($B1257:$R1257)=0,"",IF(AND($I1257&lt;&gt;"",COUNTIF(CLIENTES_NOMES,$I1257)+COUNTIF(CLIENTES_FANTASIA,$I1257)+COUNTIF(FORNECEDORES_NOMES,$I1257)+COUNTIF(FORNECEDORES_FANTASIA,$I1257)=0),"⚠ Cliente/Fornecedor não cadastrado",IF(AND($G1257&lt;&gt;"",COUNTIF(SUBCATEGORIAS_PLANO,$G1257)=0),"⚠ Subcategoria fora do plano de contas",IF(OR($Q1257="",N($Q1257)=0),"⚠ Valor previsto não informado",IF(AND(OR($X1257="Pago",$X1257="Recebido"),$D1257=""),"⚠ Status pago/recebido sem data",IF(AND($D1257&lt;&gt;"",N($R1257)=0),"⚠ Data de pagamento sem valor realizado",IF(AND(N($P1257)&gt;1,N($O1257)&gt;N($P1257)),"⚠ Nº da parcela maior que o total",IF(AND($C1257&lt;&gt;"",$B1257&lt;&gt;"",$C1257&lt;$B1257),"⚠ Vencimento anterior à competência","OK"))))))))</f>
        <v/>
      </c>
    </row>
    <row r="1258">
      <c r="A1258" s="14" t="n"/>
      <c r="B1258" s="36" t="n"/>
      <c r="C1258" s="36" t="n"/>
      <c r="D1258" s="36" t="n"/>
      <c r="E1258" s="14" t="n"/>
      <c r="F1258" s="29" t="n"/>
      <c r="G1258" s="29" t="n"/>
      <c r="H1258" s="29" t="n"/>
      <c r="I1258" s="29" t="n"/>
      <c r="J1258" s="29" t="n"/>
      <c r="K1258" s="14" t="n"/>
      <c r="L1258" s="29" t="n"/>
      <c r="M1258" s="14" t="n"/>
      <c r="N1258" s="29" t="n"/>
      <c r="O1258" s="13" t="n"/>
      <c r="P1258" s="13" t="n"/>
      <c r="Q1258" s="35" t="n"/>
      <c r="R1258" s="35" t="n"/>
      <c r="S1258" s="35" t="n"/>
      <c r="T1258" s="35" t="n"/>
      <c r="U1258" s="35" t="n"/>
      <c r="V1258" s="18">
        <f>IF(COUNTA($B1258:$R1258)=0,"",ROUND(N($R1258)+N($S1258)+N($T1258)-N($U1258),2))</f>
        <v/>
      </c>
      <c r="W1258" s="18">
        <f>IF(COUNTA($B1258:$R1258)=0,"",IF(OR($X1258="Pago",$X1258="Recebido",$X1258="Cancelado"),0,ROUND(N($Q1258)+N($S1258)+N($T1258)-N($U1258)-N($R1258),2)))</f>
        <v/>
      </c>
      <c r="X1258" s="14" t="n"/>
      <c r="Y1258" s="17">
        <f>IF(COUNTA($B1258:$R1258)=0,"",IF($X1258="Cancelado","Cancelado",IF(OR($X1258="Pago",$X1258="Recebido"),$X1258,IF(OR($X1258="Parcial",N($R1258)&gt;0),"Parcial",IF($C1258="","Sem vencimento",IF($C1258&lt;TODAY(),"Vencido",IF($C1258=TODAY(),"Vence hoje",IF($C1258&lt;=TODAY()+7,"Vence em 7 dias",IF($C1258&lt;=TODAY()+30,"Vence em 30 dias","Futuro")))))))))</f>
        <v/>
      </c>
      <c r="Z1258" s="24">
        <f>IF($B1258="","",MONTH($B1258))</f>
        <v/>
      </c>
      <c r="AA1258" s="24">
        <f>IF($B1258="","",YEAR($B1258))</f>
        <v/>
      </c>
      <c r="AB1258" s="24">
        <f>IF($B1258="","",ISOWEEKNUM($B1258))</f>
        <v/>
      </c>
      <c r="AC1258" s="17">
        <f>IF($B1258="","",CHOOSE(WEEKDAY($B1258,2),"Segunda","Terça","Quarta","Quinta","Sexta","Sábado","Domingo"))</f>
        <v/>
      </c>
      <c r="AD1258" s="17">
        <f>IF($B1258="","",TEXT($B1258,"MM/AAAA"))</f>
        <v/>
      </c>
      <c r="AE1258" s="18">
        <f>IF(COUNTA($B1258:$R1258)=0,"",IF($X1258="Cancelado",0,ROUND(N($Q1258)+N($S1258)+N($T1258)-N($U1258),2)))</f>
        <v/>
      </c>
      <c r="AF1258" s="9">
        <f>IF($G1258="","",IFERROR(INDEX(LINHAS_DRE_PLANO,MATCH($G1258,SUBCATEGORIAS_PLANO,0)),"Não classificado"))</f>
        <v/>
      </c>
      <c r="AG1258" s="17">
        <f>IF($G1258="","",IFERROR(INDEX(TIPOS_FLUXO_PLANO,MATCH($G1258,SUBCATEGORIAS_PLANO,0)),"Não classificado"))</f>
        <v/>
      </c>
      <c r="AH1258" s="9">
        <f>IF($G1258="","",IFERROR(INDEX(GRUPOS_PLANO,MATCH($G1258,SUBCATEGORIAS_PLANO,0)),"Não classificado"))</f>
        <v/>
      </c>
      <c r="AI1258" s="24">
        <f>IF(OR($C1258="",$X1258="Pago",$X1258="Recebido",$X1258="Cancelado"),"",$C1258-TODAY())</f>
        <v/>
      </c>
      <c r="AJ1258" s="24">
        <f>IF(OR($C1258="",$X1258="Pago",$X1258="Recebido",$X1258="Cancelado"),0,MAX(0,TODAY()-$C1258))</f>
        <v/>
      </c>
      <c r="AK1258" s="24">
        <f>IF($D1258="","",$D1258-$B1258)</f>
        <v/>
      </c>
      <c r="AL1258" s="18">
        <f>IF(OR($D1258="",$B1258=""),"",ROUND(N($R1258)*($D1258-$B1258),2))</f>
        <v/>
      </c>
      <c r="AM1258" s="17">
        <f>IF(AND($E1258="Saída",$W1258&gt;0,$C1258&lt;&gt;""),$C1258+ROW()/1000000,"")</f>
        <v/>
      </c>
      <c r="AN1258" s="17">
        <f>IF(AND($E1258="Entrada",$W1258&gt;0,$C1258&lt;&gt;""),$C1258+ROW()/1000000,"")</f>
        <v/>
      </c>
      <c r="AO1258" s="9">
        <f>IF(COUNTA($B1258:$R1258)=0,"",IF(AND($I1258&lt;&gt;"",COUNTIF(CLIENTES_NOMES,$I1258)+COUNTIF(CLIENTES_FANTASIA,$I1258)+COUNTIF(FORNECEDORES_NOMES,$I1258)+COUNTIF(FORNECEDORES_FANTASIA,$I1258)=0),"⚠ Cliente/Fornecedor não cadastrado",IF(AND($G1258&lt;&gt;"",COUNTIF(SUBCATEGORIAS_PLANO,$G1258)=0),"⚠ Subcategoria fora do plano de contas",IF(OR($Q1258="",N($Q1258)=0),"⚠ Valor previsto não informado",IF(AND(OR($X1258="Pago",$X1258="Recebido"),$D1258=""),"⚠ Status pago/recebido sem data",IF(AND($D1258&lt;&gt;"",N($R1258)=0),"⚠ Data de pagamento sem valor realizado",IF(AND(N($P1258)&gt;1,N($O1258)&gt;N($P1258)),"⚠ Nº da parcela maior que o total",IF(AND($C1258&lt;&gt;"",$B1258&lt;&gt;"",$C1258&lt;$B1258),"⚠ Vencimento anterior à competência","OK"))))))))</f>
        <v/>
      </c>
    </row>
    <row r="1259">
      <c r="A1259" s="14" t="n"/>
      <c r="B1259" s="36" t="n"/>
      <c r="C1259" s="36" t="n"/>
      <c r="D1259" s="36" t="n"/>
      <c r="E1259" s="14" t="n"/>
      <c r="F1259" s="29" t="n"/>
      <c r="G1259" s="29" t="n"/>
      <c r="H1259" s="29" t="n"/>
      <c r="I1259" s="29" t="n"/>
      <c r="J1259" s="29" t="n"/>
      <c r="K1259" s="14" t="n"/>
      <c r="L1259" s="29" t="n"/>
      <c r="M1259" s="14" t="n"/>
      <c r="N1259" s="29" t="n"/>
      <c r="O1259" s="13" t="n"/>
      <c r="P1259" s="13" t="n"/>
      <c r="Q1259" s="35" t="n"/>
      <c r="R1259" s="35" t="n"/>
      <c r="S1259" s="35" t="n"/>
      <c r="T1259" s="35" t="n"/>
      <c r="U1259" s="35" t="n"/>
      <c r="V1259" s="18">
        <f>IF(COUNTA($B1259:$R1259)=0,"",ROUND(N($R1259)+N($S1259)+N($T1259)-N($U1259),2))</f>
        <v/>
      </c>
      <c r="W1259" s="18">
        <f>IF(COUNTA($B1259:$R1259)=0,"",IF(OR($X1259="Pago",$X1259="Recebido",$X1259="Cancelado"),0,ROUND(N($Q1259)+N($S1259)+N($T1259)-N($U1259)-N($R1259),2)))</f>
        <v/>
      </c>
      <c r="X1259" s="14" t="n"/>
      <c r="Y1259" s="17">
        <f>IF(COUNTA($B1259:$R1259)=0,"",IF($X1259="Cancelado","Cancelado",IF(OR($X1259="Pago",$X1259="Recebido"),$X1259,IF(OR($X1259="Parcial",N($R1259)&gt;0),"Parcial",IF($C1259="","Sem vencimento",IF($C1259&lt;TODAY(),"Vencido",IF($C1259=TODAY(),"Vence hoje",IF($C1259&lt;=TODAY()+7,"Vence em 7 dias",IF($C1259&lt;=TODAY()+30,"Vence em 30 dias","Futuro")))))))))</f>
        <v/>
      </c>
      <c r="Z1259" s="24">
        <f>IF($B1259="","",MONTH($B1259))</f>
        <v/>
      </c>
      <c r="AA1259" s="24">
        <f>IF($B1259="","",YEAR($B1259))</f>
        <v/>
      </c>
      <c r="AB1259" s="24">
        <f>IF($B1259="","",ISOWEEKNUM($B1259))</f>
        <v/>
      </c>
      <c r="AC1259" s="17">
        <f>IF($B1259="","",CHOOSE(WEEKDAY($B1259,2),"Segunda","Terça","Quarta","Quinta","Sexta","Sábado","Domingo"))</f>
        <v/>
      </c>
      <c r="AD1259" s="17">
        <f>IF($B1259="","",TEXT($B1259,"MM/AAAA"))</f>
        <v/>
      </c>
      <c r="AE1259" s="18">
        <f>IF(COUNTA($B1259:$R1259)=0,"",IF($X1259="Cancelado",0,ROUND(N($Q1259)+N($S1259)+N($T1259)-N($U1259),2)))</f>
        <v/>
      </c>
      <c r="AF1259" s="9">
        <f>IF($G1259="","",IFERROR(INDEX(LINHAS_DRE_PLANO,MATCH($G1259,SUBCATEGORIAS_PLANO,0)),"Não classificado"))</f>
        <v/>
      </c>
      <c r="AG1259" s="17">
        <f>IF($G1259="","",IFERROR(INDEX(TIPOS_FLUXO_PLANO,MATCH($G1259,SUBCATEGORIAS_PLANO,0)),"Não classificado"))</f>
        <v/>
      </c>
      <c r="AH1259" s="9">
        <f>IF($G1259="","",IFERROR(INDEX(GRUPOS_PLANO,MATCH($G1259,SUBCATEGORIAS_PLANO,0)),"Não classificado"))</f>
        <v/>
      </c>
      <c r="AI1259" s="24">
        <f>IF(OR($C1259="",$X1259="Pago",$X1259="Recebido",$X1259="Cancelado"),"",$C1259-TODAY())</f>
        <v/>
      </c>
      <c r="AJ1259" s="24">
        <f>IF(OR($C1259="",$X1259="Pago",$X1259="Recebido",$X1259="Cancelado"),0,MAX(0,TODAY()-$C1259))</f>
        <v/>
      </c>
      <c r="AK1259" s="24">
        <f>IF($D1259="","",$D1259-$B1259)</f>
        <v/>
      </c>
      <c r="AL1259" s="18">
        <f>IF(OR($D1259="",$B1259=""),"",ROUND(N($R1259)*($D1259-$B1259),2))</f>
        <v/>
      </c>
      <c r="AM1259" s="17">
        <f>IF(AND($E1259="Saída",$W1259&gt;0,$C1259&lt;&gt;""),$C1259+ROW()/1000000,"")</f>
        <v/>
      </c>
      <c r="AN1259" s="17">
        <f>IF(AND($E1259="Entrada",$W1259&gt;0,$C1259&lt;&gt;""),$C1259+ROW()/1000000,"")</f>
        <v/>
      </c>
      <c r="AO1259" s="9">
        <f>IF(COUNTA($B1259:$R1259)=0,"",IF(AND($I1259&lt;&gt;"",COUNTIF(CLIENTES_NOMES,$I1259)+COUNTIF(CLIENTES_FANTASIA,$I1259)+COUNTIF(FORNECEDORES_NOMES,$I1259)+COUNTIF(FORNECEDORES_FANTASIA,$I1259)=0),"⚠ Cliente/Fornecedor não cadastrado",IF(AND($G1259&lt;&gt;"",COUNTIF(SUBCATEGORIAS_PLANO,$G1259)=0),"⚠ Subcategoria fora do plano de contas",IF(OR($Q1259="",N($Q1259)=0),"⚠ Valor previsto não informado",IF(AND(OR($X1259="Pago",$X1259="Recebido"),$D1259=""),"⚠ Status pago/recebido sem data",IF(AND($D1259&lt;&gt;"",N($R1259)=0),"⚠ Data de pagamento sem valor realizado",IF(AND(N($P1259)&gt;1,N($O1259)&gt;N($P1259)),"⚠ Nº da parcela maior que o total",IF(AND($C1259&lt;&gt;"",$B1259&lt;&gt;"",$C1259&lt;$B1259),"⚠ Vencimento anterior à competência","OK"))))))))</f>
        <v/>
      </c>
    </row>
    <row r="1260">
      <c r="A1260" s="14" t="n"/>
      <c r="B1260" s="36" t="n"/>
      <c r="C1260" s="36" t="n"/>
      <c r="D1260" s="36" t="n"/>
      <c r="E1260" s="14" t="n"/>
      <c r="F1260" s="29" t="n"/>
      <c r="G1260" s="29" t="n"/>
      <c r="H1260" s="29" t="n"/>
      <c r="I1260" s="29" t="n"/>
      <c r="J1260" s="29" t="n"/>
      <c r="K1260" s="14" t="n"/>
      <c r="L1260" s="29" t="n"/>
      <c r="M1260" s="14" t="n"/>
      <c r="N1260" s="29" t="n"/>
      <c r="O1260" s="13" t="n"/>
      <c r="P1260" s="13" t="n"/>
      <c r="Q1260" s="35" t="n"/>
      <c r="R1260" s="35" t="n"/>
      <c r="S1260" s="35" t="n"/>
      <c r="T1260" s="35" t="n"/>
      <c r="U1260" s="35" t="n"/>
      <c r="V1260" s="18">
        <f>IF(COUNTA($B1260:$R1260)=0,"",ROUND(N($R1260)+N($S1260)+N($T1260)-N($U1260),2))</f>
        <v/>
      </c>
      <c r="W1260" s="18">
        <f>IF(COUNTA($B1260:$R1260)=0,"",IF(OR($X1260="Pago",$X1260="Recebido",$X1260="Cancelado"),0,ROUND(N($Q1260)+N($S1260)+N($T1260)-N($U1260)-N($R1260),2)))</f>
        <v/>
      </c>
      <c r="X1260" s="14" t="n"/>
      <c r="Y1260" s="17">
        <f>IF(COUNTA($B1260:$R1260)=0,"",IF($X1260="Cancelado","Cancelado",IF(OR($X1260="Pago",$X1260="Recebido"),$X1260,IF(OR($X1260="Parcial",N($R1260)&gt;0),"Parcial",IF($C1260="","Sem vencimento",IF($C1260&lt;TODAY(),"Vencido",IF($C1260=TODAY(),"Vence hoje",IF($C1260&lt;=TODAY()+7,"Vence em 7 dias",IF($C1260&lt;=TODAY()+30,"Vence em 30 dias","Futuro")))))))))</f>
        <v/>
      </c>
      <c r="Z1260" s="24">
        <f>IF($B1260="","",MONTH($B1260))</f>
        <v/>
      </c>
      <c r="AA1260" s="24">
        <f>IF($B1260="","",YEAR($B1260))</f>
        <v/>
      </c>
      <c r="AB1260" s="24">
        <f>IF($B1260="","",ISOWEEKNUM($B1260))</f>
        <v/>
      </c>
      <c r="AC1260" s="17">
        <f>IF($B1260="","",CHOOSE(WEEKDAY($B1260,2),"Segunda","Terça","Quarta","Quinta","Sexta","Sábado","Domingo"))</f>
        <v/>
      </c>
      <c r="AD1260" s="17">
        <f>IF($B1260="","",TEXT($B1260,"MM/AAAA"))</f>
        <v/>
      </c>
      <c r="AE1260" s="18">
        <f>IF(COUNTA($B1260:$R1260)=0,"",IF($X1260="Cancelado",0,ROUND(N($Q1260)+N($S1260)+N($T1260)-N($U1260),2)))</f>
        <v/>
      </c>
      <c r="AF1260" s="9">
        <f>IF($G1260="","",IFERROR(INDEX(LINHAS_DRE_PLANO,MATCH($G1260,SUBCATEGORIAS_PLANO,0)),"Não classificado"))</f>
        <v/>
      </c>
      <c r="AG1260" s="17">
        <f>IF($G1260="","",IFERROR(INDEX(TIPOS_FLUXO_PLANO,MATCH($G1260,SUBCATEGORIAS_PLANO,0)),"Não classificado"))</f>
        <v/>
      </c>
      <c r="AH1260" s="9">
        <f>IF($G1260="","",IFERROR(INDEX(GRUPOS_PLANO,MATCH($G1260,SUBCATEGORIAS_PLANO,0)),"Não classificado"))</f>
        <v/>
      </c>
      <c r="AI1260" s="24">
        <f>IF(OR($C1260="",$X1260="Pago",$X1260="Recebido",$X1260="Cancelado"),"",$C1260-TODAY())</f>
        <v/>
      </c>
      <c r="AJ1260" s="24">
        <f>IF(OR($C1260="",$X1260="Pago",$X1260="Recebido",$X1260="Cancelado"),0,MAX(0,TODAY()-$C1260))</f>
        <v/>
      </c>
      <c r="AK1260" s="24">
        <f>IF($D1260="","",$D1260-$B1260)</f>
        <v/>
      </c>
      <c r="AL1260" s="18">
        <f>IF(OR($D1260="",$B1260=""),"",ROUND(N($R1260)*($D1260-$B1260),2))</f>
        <v/>
      </c>
      <c r="AM1260" s="17">
        <f>IF(AND($E1260="Saída",$W1260&gt;0,$C1260&lt;&gt;""),$C1260+ROW()/1000000,"")</f>
        <v/>
      </c>
      <c r="AN1260" s="17">
        <f>IF(AND($E1260="Entrada",$W1260&gt;0,$C1260&lt;&gt;""),$C1260+ROW()/1000000,"")</f>
        <v/>
      </c>
      <c r="AO1260" s="9">
        <f>IF(COUNTA($B1260:$R1260)=0,"",IF(AND($I1260&lt;&gt;"",COUNTIF(CLIENTES_NOMES,$I1260)+COUNTIF(CLIENTES_FANTASIA,$I1260)+COUNTIF(FORNECEDORES_NOMES,$I1260)+COUNTIF(FORNECEDORES_FANTASIA,$I1260)=0),"⚠ Cliente/Fornecedor não cadastrado",IF(AND($G1260&lt;&gt;"",COUNTIF(SUBCATEGORIAS_PLANO,$G1260)=0),"⚠ Subcategoria fora do plano de contas",IF(OR($Q1260="",N($Q1260)=0),"⚠ Valor previsto não informado",IF(AND(OR($X1260="Pago",$X1260="Recebido"),$D1260=""),"⚠ Status pago/recebido sem data",IF(AND($D1260&lt;&gt;"",N($R1260)=0),"⚠ Data de pagamento sem valor realizado",IF(AND(N($P1260)&gt;1,N($O1260)&gt;N($P1260)),"⚠ Nº da parcela maior que o total",IF(AND($C1260&lt;&gt;"",$B1260&lt;&gt;"",$C1260&lt;$B1260),"⚠ Vencimento anterior à competência","OK"))))))))</f>
        <v/>
      </c>
    </row>
    <row r="1261">
      <c r="A1261" s="14" t="n"/>
      <c r="B1261" s="36" t="n"/>
      <c r="C1261" s="36" t="n"/>
      <c r="D1261" s="36" t="n"/>
      <c r="E1261" s="14" t="n"/>
      <c r="F1261" s="29" t="n"/>
      <c r="G1261" s="29" t="n"/>
      <c r="H1261" s="29" t="n"/>
      <c r="I1261" s="29" t="n"/>
      <c r="J1261" s="29" t="n"/>
      <c r="K1261" s="14" t="n"/>
      <c r="L1261" s="29" t="n"/>
      <c r="M1261" s="14" t="n"/>
      <c r="N1261" s="29" t="n"/>
      <c r="O1261" s="13" t="n"/>
      <c r="P1261" s="13" t="n"/>
      <c r="Q1261" s="35" t="n"/>
      <c r="R1261" s="35" t="n"/>
      <c r="S1261" s="35" t="n"/>
      <c r="T1261" s="35" t="n"/>
      <c r="U1261" s="35" t="n"/>
      <c r="V1261" s="18">
        <f>IF(COUNTA($B1261:$R1261)=0,"",ROUND(N($R1261)+N($S1261)+N($T1261)-N($U1261),2))</f>
        <v/>
      </c>
      <c r="W1261" s="18">
        <f>IF(COUNTA($B1261:$R1261)=0,"",IF(OR($X1261="Pago",$X1261="Recebido",$X1261="Cancelado"),0,ROUND(N($Q1261)+N($S1261)+N($T1261)-N($U1261)-N($R1261),2)))</f>
        <v/>
      </c>
      <c r="X1261" s="14" t="n"/>
      <c r="Y1261" s="17">
        <f>IF(COUNTA($B1261:$R1261)=0,"",IF($X1261="Cancelado","Cancelado",IF(OR($X1261="Pago",$X1261="Recebido"),$X1261,IF(OR($X1261="Parcial",N($R1261)&gt;0),"Parcial",IF($C1261="","Sem vencimento",IF($C1261&lt;TODAY(),"Vencido",IF($C1261=TODAY(),"Vence hoje",IF($C1261&lt;=TODAY()+7,"Vence em 7 dias",IF($C1261&lt;=TODAY()+30,"Vence em 30 dias","Futuro")))))))))</f>
        <v/>
      </c>
      <c r="Z1261" s="24">
        <f>IF($B1261="","",MONTH($B1261))</f>
        <v/>
      </c>
      <c r="AA1261" s="24">
        <f>IF($B1261="","",YEAR($B1261))</f>
        <v/>
      </c>
      <c r="AB1261" s="24">
        <f>IF($B1261="","",ISOWEEKNUM($B1261))</f>
        <v/>
      </c>
      <c r="AC1261" s="17">
        <f>IF($B1261="","",CHOOSE(WEEKDAY($B1261,2),"Segunda","Terça","Quarta","Quinta","Sexta","Sábado","Domingo"))</f>
        <v/>
      </c>
      <c r="AD1261" s="17">
        <f>IF($B1261="","",TEXT($B1261,"MM/AAAA"))</f>
        <v/>
      </c>
      <c r="AE1261" s="18">
        <f>IF(COUNTA($B1261:$R1261)=0,"",IF($X1261="Cancelado",0,ROUND(N($Q1261)+N($S1261)+N($T1261)-N($U1261),2)))</f>
        <v/>
      </c>
      <c r="AF1261" s="9">
        <f>IF($G1261="","",IFERROR(INDEX(LINHAS_DRE_PLANO,MATCH($G1261,SUBCATEGORIAS_PLANO,0)),"Não classificado"))</f>
        <v/>
      </c>
      <c r="AG1261" s="17">
        <f>IF($G1261="","",IFERROR(INDEX(TIPOS_FLUXO_PLANO,MATCH($G1261,SUBCATEGORIAS_PLANO,0)),"Não classificado"))</f>
        <v/>
      </c>
      <c r="AH1261" s="9">
        <f>IF($G1261="","",IFERROR(INDEX(GRUPOS_PLANO,MATCH($G1261,SUBCATEGORIAS_PLANO,0)),"Não classificado"))</f>
        <v/>
      </c>
      <c r="AI1261" s="24">
        <f>IF(OR($C1261="",$X1261="Pago",$X1261="Recebido",$X1261="Cancelado"),"",$C1261-TODAY())</f>
        <v/>
      </c>
      <c r="AJ1261" s="24">
        <f>IF(OR($C1261="",$X1261="Pago",$X1261="Recebido",$X1261="Cancelado"),0,MAX(0,TODAY()-$C1261))</f>
        <v/>
      </c>
      <c r="AK1261" s="24">
        <f>IF($D1261="","",$D1261-$B1261)</f>
        <v/>
      </c>
      <c r="AL1261" s="18">
        <f>IF(OR($D1261="",$B1261=""),"",ROUND(N($R1261)*($D1261-$B1261),2))</f>
        <v/>
      </c>
      <c r="AM1261" s="17">
        <f>IF(AND($E1261="Saída",$W1261&gt;0,$C1261&lt;&gt;""),$C1261+ROW()/1000000,"")</f>
        <v/>
      </c>
      <c r="AN1261" s="17">
        <f>IF(AND($E1261="Entrada",$W1261&gt;0,$C1261&lt;&gt;""),$C1261+ROW()/1000000,"")</f>
        <v/>
      </c>
      <c r="AO1261" s="9">
        <f>IF(COUNTA($B1261:$R1261)=0,"",IF(AND($I1261&lt;&gt;"",COUNTIF(CLIENTES_NOMES,$I1261)+COUNTIF(CLIENTES_FANTASIA,$I1261)+COUNTIF(FORNECEDORES_NOMES,$I1261)+COUNTIF(FORNECEDORES_FANTASIA,$I1261)=0),"⚠ Cliente/Fornecedor não cadastrado",IF(AND($G1261&lt;&gt;"",COUNTIF(SUBCATEGORIAS_PLANO,$G1261)=0),"⚠ Subcategoria fora do plano de contas",IF(OR($Q1261="",N($Q1261)=0),"⚠ Valor previsto não informado",IF(AND(OR($X1261="Pago",$X1261="Recebido"),$D1261=""),"⚠ Status pago/recebido sem data",IF(AND($D1261&lt;&gt;"",N($R1261)=0),"⚠ Data de pagamento sem valor realizado",IF(AND(N($P1261)&gt;1,N($O1261)&gt;N($P1261)),"⚠ Nº da parcela maior que o total",IF(AND($C1261&lt;&gt;"",$B1261&lt;&gt;"",$C1261&lt;$B1261),"⚠ Vencimento anterior à competência","OK"))))))))</f>
        <v/>
      </c>
    </row>
    <row r="1262">
      <c r="A1262" s="14" t="n"/>
      <c r="B1262" s="36" t="n"/>
      <c r="C1262" s="36" t="n"/>
      <c r="D1262" s="36" t="n"/>
      <c r="E1262" s="14" t="n"/>
      <c r="F1262" s="29" t="n"/>
      <c r="G1262" s="29" t="n"/>
      <c r="H1262" s="29" t="n"/>
      <c r="I1262" s="29" t="n"/>
      <c r="J1262" s="29" t="n"/>
      <c r="K1262" s="14" t="n"/>
      <c r="L1262" s="29" t="n"/>
      <c r="M1262" s="14" t="n"/>
      <c r="N1262" s="29" t="n"/>
      <c r="O1262" s="13" t="n"/>
      <c r="P1262" s="13" t="n"/>
      <c r="Q1262" s="35" t="n"/>
      <c r="R1262" s="35" t="n"/>
      <c r="S1262" s="35" t="n"/>
      <c r="T1262" s="35" t="n"/>
      <c r="U1262" s="35" t="n"/>
      <c r="V1262" s="18">
        <f>IF(COUNTA($B1262:$R1262)=0,"",ROUND(N($R1262)+N($S1262)+N($T1262)-N($U1262),2))</f>
        <v/>
      </c>
      <c r="W1262" s="18">
        <f>IF(COUNTA($B1262:$R1262)=0,"",IF(OR($X1262="Pago",$X1262="Recebido",$X1262="Cancelado"),0,ROUND(N($Q1262)+N($S1262)+N($T1262)-N($U1262)-N($R1262),2)))</f>
        <v/>
      </c>
      <c r="X1262" s="14" t="n"/>
      <c r="Y1262" s="17">
        <f>IF(COUNTA($B1262:$R1262)=0,"",IF($X1262="Cancelado","Cancelado",IF(OR($X1262="Pago",$X1262="Recebido"),$X1262,IF(OR($X1262="Parcial",N($R1262)&gt;0),"Parcial",IF($C1262="","Sem vencimento",IF($C1262&lt;TODAY(),"Vencido",IF($C1262=TODAY(),"Vence hoje",IF($C1262&lt;=TODAY()+7,"Vence em 7 dias",IF($C1262&lt;=TODAY()+30,"Vence em 30 dias","Futuro")))))))))</f>
        <v/>
      </c>
      <c r="Z1262" s="24">
        <f>IF($B1262="","",MONTH($B1262))</f>
        <v/>
      </c>
      <c r="AA1262" s="24">
        <f>IF($B1262="","",YEAR($B1262))</f>
        <v/>
      </c>
      <c r="AB1262" s="24">
        <f>IF($B1262="","",ISOWEEKNUM($B1262))</f>
        <v/>
      </c>
      <c r="AC1262" s="17">
        <f>IF($B1262="","",CHOOSE(WEEKDAY($B1262,2),"Segunda","Terça","Quarta","Quinta","Sexta","Sábado","Domingo"))</f>
        <v/>
      </c>
      <c r="AD1262" s="17">
        <f>IF($B1262="","",TEXT($B1262,"MM/AAAA"))</f>
        <v/>
      </c>
      <c r="AE1262" s="18">
        <f>IF(COUNTA($B1262:$R1262)=0,"",IF($X1262="Cancelado",0,ROUND(N($Q1262)+N($S1262)+N($T1262)-N($U1262),2)))</f>
        <v/>
      </c>
      <c r="AF1262" s="9">
        <f>IF($G1262="","",IFERROR(INDEX(LINHAS_DRE_PLANO,MATCH($G1262,SUBCATEGORIAS_PLANO,0)),"Não classificado"))</f>
        <v/>
      </c>
      <c r="AG1262" s="17">
        <f>IF($G1262="","",IFERROR(INDEX(TIPOS_FLUXO_PLANO,MATCH($G1262,SUBCATEGORIAS_PLANO,0)),"Não classificado"))</f>
        <v/>
      </c>
      <c r="AH1262" s="9">
        <f>IF($G1262="","",IFERROR(INDEX(GRUPOS_PLANO,MATCH($G1262,SUBCATEGORIAS_PLANO,0)),"Não classificado"))</f>
        <v/>
      </c>
      <c r="AI1262" s="24">
        <f>IF(OR($C1262="",$X1262="Pago",$X1262="Recebido",$X1262="Cancelado"),"",$C1262-TODAY())</f>
        <v/>
      </c>
      <c r="AJ1262" s="24">
        <f>IF(OR($C1262="",$X1262="Pago",$X1262="Recebido",$X1262="Cancelado"),0,MAX(0,TODAY()-$C1262))</f>
        <v/>
      </c>
      <c r="AK1262" s="24">
        <f>IF($D1262="","",$D1262-$B1262)</f>
        <v/>
      </c>
      <c r="AL1262" s="18">
        <f>IF(OR($D1262="",$B1262=""),"",ROUND(N($R1262)*($D1262-$B1262),2))</f>
        <v/>
      </c>
      <c r="AM1262" s="17">
        <f>IF(AND($E1262="Saída",$W1262&gt;0,$C1262&lt;&gt;""),$C1262+ROW()/1000000,"")</f>
        <v/>
      </c>
      <c r="AN1262" s="17">
        <f>IF(AND($E1262="Entrada",$W1262&gt;0,$C1262&lt;&gt;""),$C1262+ROW()/1000000,"")</f>
        <v/>
      </c>
      <c r="AO1262" s="9">
        <f>IF(COUNTA($B1262:$R1262)=0,"",IF(AND($I1262&lt;&gt;"",COUNTIF(CLIENTES_NOMES,$I1262)+COUNTIF(CLIENTES_FANTASIA,$I1262)+COUNTIF(FORNECEDORES_NOMES,$I1262)+COUNTIF(FORNECEDORES_FANTASIA,$I1262)=0),"⚠ Cliente/Fornecedor não cadastrado",IF(AND($G1262&lt;&gt;"",COUNTIF(SUBCATEGORIAS_PLANO,$G1262)=0),"⚠ Subcategoria fora do plano de contas",IF(OR($Q1262="",N($Q1262)=0),"⚠ Valor previsto não informado",IF(AND(OR($X1262="Pago",$X1262="Recebido"),$D1262=""),"⚠ Status pago/recebido sem data",IF(AND($D1262&lt;&gt;"",N($R1262)=0),"⚠ Data de pagamento sem valor realizado",IF(AND(N($P1262)&gt;1,N($O1262)&gt;N($P1262)),"⚠ Nº da parcela maior que o total",IF(AND($C1262&lt;&gt;"",$B1262&lt;&gt;"",$C1262&lt;$B1262),"⚠ Vencimento anterior à competência","OK"))))))))</f>
        <v/>
      </c>
    </row>
    <row r="1263">
      <c r="A1263" s="14" t="n"/>
      <c r="B1263" s="36" t="n"/>
      <c r="C1263" s="36" t="n"/>
      <c r="D1263" s="36" t="n"/>
      <c r="E1263" s="14" t="n"/>
      <c r="F1263" s="29" t="n"/>
      <c r="G1263" s="29" t="n"/>
      <c r="H1263" s="29" t="n"/>
      <c r="I1263" s="29" t="n"/>
      <c r="J1263" s="29" t="n"/>
      <c r="K1263" s="14" t="n"/>
      <c r="L1263" s="29" t="n"/>
      <c r="M1263" s="14" t="n"/>
      <c r="N1263" s="29" t="n"/>
      <c r="O1263" s="13" t="n"/>
      <c r="P1263" s="13" t="n"/>
      <c r="Q1263" s="35" t="n"/>
      <c r="R1263" s="35" t="n"/>
      <c r="S1263" s="35" t="n"/>
      <c r="T1263" s="35" t="n"/>
      <c r="U1263" s="35" t="n"/>
      <c r="V1263" s="18">
        <f>IF(COUNTA($B1263:$R1263)=0,"",ROUND(N($R1263)+N($S1263)+N($T1263)-N($U1263),2))</f>
        <v/>
      </c>
      <c r="W1263" s="18">
        <f>IF(COUNTA($B1263:$R1263)=0,"",IF(OR($X1263="Pago",$X1263="Recebido",$X1263="Cancelado"),0,ROUND(N($Q1263)+N($S1263)+N($T1263)-N($U1263)-N($R1263),2)))</f>
        <v/>
      </c>
      <c r="X1263" s="14" t="n"/>
      <c r="Y1263" s="17">
        <f>IF(COUNTA($B1263:$R1263)=0,"",IF($X1263="Cancelado","Cancelado",IF(OR($X1263="Pago",$X1263="Recebido"),$X1263,IF(OR($X1263="Parcial",N($R1263)&gt;0),"Parcial",IF($C1263="","Sem vencimento",IF($C1263&lt;TODAY(),"Vencido",IF($C1263=TODAY(),"Vence hoje",IF($C1263&lt;=TODAY()+7,"Vence em 7 dias",IF($C1263&lt;=TODAY()+30,"Vence em 30 dias","Futuro")))))))))</f>
        <v/>
      </c>
      <c r="Z1263" s="24">
        <f>IF($B1263="","",MONTH($B1263))</f>
        <v/>
      </c>
      <c r="AA1263" s="24">
        <f>IF($B1263="","",YEAR($B1263))</f>
        <v/>
      </c>
      <c r="AB1263" s="24">
        <f>IF($B1263="","",ISOWEEKNUM($B1263))</f>
        <v/>
      </c>
      <c r="AC1263" s="17">
        <f>IF($B1263="","",CHOOSE(WEEKDAY($B1263,2),"Segunda","Terça","Quarta","Quinta","Sexta","Sábado","Domingo"))</f>
        <v/>
      </c>
      <c r="AD1263" s="17">
        <f>IF($B1263="","",TEXT($B1263,"MM/AAAA"))</f>
        <v/>
      </c>
      <c r="AE1263" s="18">
        <f>IF(COUNTA($B1263:$R1263)=0,"",IF($X1263="Cancelado",0,ROUND(N($Q1263)+N($S1263)+N($T1263)-N($U1263),2)))</f>
        <v/>
      </c>
      <c r="AF1263" s="9">
        <f>IF($G1263="","",IFERROR(INDEX(LINHAS_DRE_PLANO,MATCH($G1263,SUBCATEGORIAS_PLANO,0)),"Não classificado"))</f>
        <v/>
      </c>
      <c r="AG1263" s="17">
        <f>IF($G1263="","",IFERROR(INDEX(TIPOS_FLUXO_PLANO,MATCH($G1263,SUBCATEGORIAS_PLANO,0)),"Não classificado"))</f>
        <v/>
      </c>
      <c r="AH1263" s="9">
        <f>IF($G1263="","",IFERROR(INDEX(GRUPOS_PLANO,MATCH($G1263,SUBCATEGORIAS_PLANO,0)),"Não classificado"))</f>
        <v/>
      </c>
      <c r="AI1263" s="24">
        <f>IF(OR($C1263="",$X1263="Pago",$X1263="Recebido",$X1263="Cancelado"),"",$C1263-TODAY())</f>
        <v/>
      </c>
      <c r="AJ1263" s="24">
        <f>IF(OR($C1263="",$X1263="Pago",$X1263="Recebido",$X1263="Cancelado"),0,MAX(0,TODAY()-$C1263))</f>
        <v/>
      </c>
      <c r="AK1263" s="24">
        <f>IF($D1263="","",$D1263-$B1263)</f>
        <v/>
      </c>
      <c r="AL1263" s="18">
        <f>IF(OR($D1263="",$B1263=""),"",ROUND(N($R1263)*($D1263-$B1263),2))</f>
        <v/>
      </c>
      <c r="AM1263" s="17">
        <f>IF(AND($E1263="Saída",$W1263&gt;0,$C1263&lt;&gt;""),$C1263+ROW()/1000000,"")</f>
        <v/>
      </c>
      <c r="AN1263" s="17">
        <f>IF(AND($E1263="Entrada",$W1263&gt;0,$C1263&lt;&gt;""),$C1263+ROW()/1000000,"")</f>
        <v/>
      </c>
      <c r="AO1263" s="9">
        <f>IF(COUNTA($B1263:$R1263)=0,"",IF(AND($I1263&lt;&gt;"",COUNTIF(CLIENTES_NOMES,$I1263)+COUNTIF(CLIENTES_FANTASIA,$I1263)+COUNTIF(FORNECEDORES_NOMES,$I1263)+COUNTIF(FORNECEDORES_FANTASIA,$I1263)=0),"⚠ Cliente/Fornecedor não cadastrado",IF(AND($G1263&lt;&gt;"",COUNTIF(SUBCATEGORIAS_PLANO,$G1263)=0),"⚠ Subcategoria fora do plano de contas",IF(OR($Q1263="",N($Q1263)=0),"⚠ Valor previsto não informado",IF(AND(OR($X1263="Pago",$X1263="Recebido"),$D1263=""),"⚠ Status pago/recebido sem data",IF(AND($D1263&lt;&gt;"",N($R1263)=0),"⚠ Data de pagamento sem valor realizado",IF(AND(N($P1263)&gt;1,N($O1263)&gt;N($P1263)),"⚠ Nº da parcela maior que o total",IF(AND($C1263&lt;&gt;"",$B1263&lt;&gt;"",$C1263&lt;$B1263),"⚠ Vencimento anterior à competência","OK"))))))))</f>
        <v/>
      </c>
    </row>
    <row r="1264">
      <c r="A1264" s="14" t="n"/>
      <c r="B1264" s="36" t="n"/>
      <c r="C1264" s="36" t="n"/>
      <c r="D1264" s="36" t="n"/>
      <c r="E1264" s="14" t="n"/>
      <c r="F1264" s="29" t="n"/>
      <c r="G1264" s="29" t="n"/>
      <c r="H1264" s="29" t="n"/>
      <c r="I1264" s="29" t="n"/>
      <c r="J1264" s="29" t="n"/>
      <c r="K1264" s="14" t="n"/>
      <c r="L1264" s="29" t="n"/>
      <c r="M1264" s="14" t="n"/>
      <c r="N1264" s="29" t="n"/>
      <c r="O1264" s="13" t="n"/>
      <c r="P1264" s="13" t="n"/>
      <c r="Q1264" s="35" t="n"/>
      <c r="R1264" s="35" t="n"/>
      <c r="S1264" s="35" t="n"/>
      <c r="T1264" s="35" t="n"/>
      <c r="U1264" s="35" t="n"/>
      <c r="V1264" s="18">
        <f>IF(COUNTA($B1264:$R1264)=0,"",ROUND(N($R1264)+N($S1264)+N($T1264)-N($U1264),2))</f>
        <v/>
      </c>
      <c r="W1264" s="18">
        <f>IF(COUNTA($B1264:$R1264)=0,"",IF(OR($X1264="Pago",$X1264="Recebido",$X1264="Cancelado"),0,ROUND(N($Q1264)+N($S1264)+N($T1264)-N($U1264)-N($R1264),2)))</f>
        <v/>
      </c>
      <c r="X1264" s="14" t="n"/>
      <c r="Y1264" s="17">
        <f>IF(COUNTA($B1264:$R1264)=0,"",IF($X1264="Cancelado","Cancelado",IF(OR($X1264="Pago",$X1264="Recebido"),$X1264,IF(OR($X1264="Parcial",N($R1264)&gt;0),"Parcial",IF($C1264="","Sem vencimento",IF($C1264&lt;TODAY(),"Vencido",IF($C1264=TODAY(),"Vence hoje",IF($C1264&lt;=TODAY()+7,"Vence em 7 dias",IF($C1264&lt;=TODAY()+30,"Vence em 30 dias","Futuro")))))))))</f>
        <v/>
      </c>
      <c r="Z1264" s="24">
        <f>IF($B1264="","",MONTH($B1264))</f>
        <v/>
      </c>
      <c r="AA1264" s="24">
        <f>IF($B1264="","",YEAR($B1264))</f>
        <v/>
      </c>
      <c r="AB1264" s="24">
        <f>IF($B1264="","",ISOWEEKNUM($B1264))</f>
        <v/>
      </c>
      <c r="AC1264" s="17">
        <f>IF($B1264="","",CHOOSE(WEEKDAY($B1264,2),"Segunda","Terça","Quarta","Quinta","Sexta","Sábado","Domingo"))</f>
        <v/>
      </c>
      <c r="AD1264" s="17">
        <f>IF($B1264="","",TEXT($B1264,"MM/AAAA"))</f>
        <v/>
      </c>
      <c r="AE1264" s="18">
        <f>IF(COUNTA($B1264:$R1264)=0,"",IF($X1264="Cancelado",0,ROUND(N($Q1264)+N($S1264)+N($T1264)-N($U1264),2)))</f>
        <v/>
      </c>
      <c r="AF1264" s="9">
        <f>IF($G1264="","",IFERROR(INDEX(LINHAS_DRE_PLANO,MATCH($G1264,SUBCATEGORIAS_PLANO,0)),"Não classificado"))</f>
        <v/>
      </c>
      <c r="AG1264" s="17">
        <f>IF($G1264="","",IFERROR(INDEX(TIPOS_FLUXO_PLANO,MATCH($G1264,SUBCATEGORIAS_PLANO,0)),"Não classificado"))</f>
        <v/>
      </c>
      <c r="AH1264" s="9">
        <f>IF($G1264="","",IFERROR(INDEX(GRUPOS_PLANO,MATCH($G1264,SUBCATEGORIAS_PLANO,0)),"Não classificado"))</f>
        <v/>
      </c>
      <c r="AI1264" s="24">
        <f>IF(OR($C1264="",$X1264="Pago",$X1264="Recebido",$X1264="Cancelado"),"",$C1264-TODAY())</f>
        <v/>
      </c>
      <c r="AJ1264" s="24">
        <f>IF(OR($C1264="",$X1264="Pago",$X1264="Recebido",$X1264="Cancelado"),0,MAX(0,TODAY()-$C1264))</f>
        <v/>
      </c>
      <c r="AK1264" s="24">
        <f>IF($D1264="","",$D1264-$B1264)</f>
        <v/>
      </c>
      <c r="AL1264" s="18">
        <f>IF(OR($D1264="",$B1264=""),"",ROUND(N($R1264)*($D1264-$B1264),2))</f>
        <v/>
      </c>
      <c r="AM1264" s="17">
        <f>IF(AND($E1264="Saída",$W1264&gt;0,$C1264&lt;&gt;""),$C1264+ROW()/1000000,"")</f>
        <v/>
      </c>
      <c r="AN1264" s="17">
        <f>IF(AND($E1264="Entrada",$W1264&gt;0,$C1264&lt;&gt;""),$C1264+ROW()/1000000,"")</f>
        <v/>
      </c>
      <c r="AO1264" s="9">
        <f>IF(COUNTA($B1264:$R1264)=0,"",IF(AND($I1264&lt;&gt;"",COUNTIF(CLIENTES_NOMES,$I1264)+COUNTIF(CLIENTES_FANTASIA,$I1264)+COUNTIF(FORNECEDORES_NOMES,$I1264)+COUNTIF(FORNECEDORES_FANTASIA,$I1264)=0),"⚠ Cliente/Fornecedor não cadastrado",IF(AND($G1264&lt;&gt;"",COUNTIF(SUBCATEGORIAS_PLANO,$G1264)=0),"⚠ Subcategoria fora do plano de contas",IF(OR($Q1264="",N($Q1264)=0),"⚠ Valor previsto não informado",IF(AND(OR($X1264="Pago",$X1264="Recebido"),$D1264=""),"⚠ Status pago/recebido sem data",IF(AND($D1264&lt;&gt;"",N($R1264)=0),"⚠ Data de pagamento sem valor realizado",IF(AND(N($P1264)&gt;1,N($O1264)&gt;N($P1264)),"⚠ Nº da parcela maior que o total",IF(AND($C1264&lt;&gt;"",$B1264&lt;&gt;"",$C1264&lt;$B1264),"⚠ Vencimento anterior à competência","OK"))))))))</f>
        <v/>
      </c>
    </row>
    <row r="1265">
      <c r="A1265" s="14" t="n"/>
      <c r="B1265" s="36" t="n"/>
      <c r="C1265" s="36" t="n"/>
      <c r="D1265" s="36" t="n"/>
      <c r="E1265" s="14" t="n"/>
      <c r="F1265" s="29" t="n"/>
      <c r="G1265" s="29" t="n"/>
      <c r="H1265" s="29" t="n"/>
      <c r="I1265" s="29" t="n"/>
      <c r="J1265" s="29" t="n"/>
      <c r="K1265" s="14" t="n"/>
      <c r="L1265" s="29" t="n"/>
      <c r="M1265" s="14" t="n"/>
      <c r="N1265" s="29" t="n"/>
      <c r="O1265" s="13" t="n"/>
      <c r="P1265" s="13" t="n"/>
      <c r="Q1265" s="35" t="n"/>
      <c r="R1265" s="35" t="n"/>
      <c r="S1265" s="35" t="n"/>
      <c r="T1265" s="35" t="n"/>
      <c r="U1265" s="35" t="n"/>
      <c r="V1265" s="18">
        <f>IF(COUNTA($B1265:$R1265)=0,"",ROUND(N($R1265)+N($S1265)+N($T1265)-N($U1265),2))</f>
        <v/>
      </c>
      <c r="W1265" s="18">
        <f>IF(COUNTA($B1265:$R1265)=0,"",IF(OR($X1265="Pago",$X1265="Recebido",$X1265="Cancelado"),0,ROUND(N($Q1265)+N($S1265)+N($T1265)-N($U1265)-N($R1265),2)))</f>
        <v/>
      </c>
      <c r="X1265" s="14" t="n"/>
      <c r="Y1265" s="17">
        <f>IF(COUNTA($B1265:$R1265)=0,"",IF($X1265="Cancelado","Cancelado",IF(OR($X1265="Pago",$X1265="Recebido"),$X1265,IF(OR($X1265="Parcial",N($R1265)&gt;0),"Parcial",IF($C1265="","Sem vencimento",IF($C1265&lt;TODAY(),"Vencido",IF($C1265=TODAY(),"Vence hoje",IF($C1265&lt;=TODAY()+7,"Vence em 7 dias",IF($C1265&lt;=TODAY()+30,"Vence em 30 dias","Futuro")))))))))</f>
        <v/>
      </c>
      <c r="Z1265" s="24">
        <f>IF($B1265="","",MONTH($B1265))</f>
        <v/>
      </c>
      <c r="AA1265" s="24">
        <f>IF($B1265="","",YEAR($B1265))</f>
        <v/>
      </c>
      <c r="AB1265" s="24">
        <f>IF($B1265="","",ISOWEEKNUM($B1265))</f>
        <v/>
      </c>
      <c r="AC1265" s="17">
        <f>IF($B1265="","",CHOOSE(WEEKDAY($B1265,2),"Segunda","Terça","Quarta","Quinta","Sexta","Sábado","Domingo"))</f>
        <v/>
      </c>
      <c r="AD1265" s="17">
        <f>IF($B1265="","",TEXT($B1265,"MM/AAAA"))</f>
        <v/>
      </c>
      <c r="AE1265" s="18">
        <f>IF(COUNTA($B1265:$R1265)=0,"",IF($X1265="Cancelado",0,ROUND(N($Q1265)+N($S1265)+N($T1265)-N($U1265),2)))</f>
        <v/>
      </c>
      <c r="AF1265" s="9">
        <f>IF($G1265="","",IFERROR(INDEX(LINHAS_DRE_PLANO,MATCH($G1265,SUBCATEGORIAS_PLANO,0)),"Não classificado"))</f>
        <v/>
      </c>
      <c r="AG1265" s="17">
        <f>IF($G1265="","",IFERROR(INDEX(TIPOS_FLUXO_PLANO,MATCH($G1265,SUBCATEGORIAS_PLANO,0)),"Não classificado"))</f>
        <v/>
      </c>
      <c r="AH1265" s="9">
        <f>IF($G1265="","",IFERROR(INDEX(GRUPOS_PLANO,MATCH($G1265,SUBCATEGORIAS_PLANO,0)),"Não classificado"))</f>
        <v/>
      </c>
      <c r="AI1265" s="24">
        <f>IF(OR($C1265="",$X1265="Pago",$X1265="Recebido",$X1265="Cancelado"),"",$C1265-TODAY())</f>
        <v/>
      </c>
      <c r="AJ1265" s="24">
        <f>IF(OR($C1265="",$X1265="Pago",$X1265="Recebido",$X1265="Cancelado"),0,MAX(0,TODAY()-$C1265))</f>
        <v/>
      </c>
      <c r="AK1265" s="24">
        <f>IF($D1265="","",$D1265-$B1265)</f>
        <v/>
      </c>
      <c r="AL1265" s="18">
        <f>IF(OR($D1265="",$B1265=""),"",ROUND(N($R1265)*($D1265-$B1265),2))</f>
        <v/>
      </c>
      <c r="AM1265" s="17">
        <f>IF(AND($E1265="Saída",$W1265&gt;0,$C1265&lt;&gt;""),$C1265+ROW()/1000000,"")</f>
        <v/>
      </c>
      <c r="AN1265" s="17">
        <f>IF(AND($E1265="Entrada",$W1265&gt;0,$C1265&lt;&gt;""),$C1265+ROW()/1000000,"")</f>
        <v/>
      </c>
      <c r="AO1265" s="9">
        <f>IF(COUNTA($B1265:$R1265)=0,"",IF(AND($I1265&lt;&gt;"",COUNTIF(CLIENTES_NOMES,$I1265)+COUNTIF(CLIENTES_FANTASIA,$I1265)+COUNTIF(FORNECEDORES_NOMES,$I1265)+COUNTIF(FORNECEDORES_FANTASIA,$I1265)=0),"⚠ Cliente/Fornecedor não cadastrado",IF(AND($G1265&lt;&gt;"",COUNTIF(SUBCATEGORIAS_PLANO,$G1265)=0),"⚠ Subcategoria fora do plano de contas",IF(OR($Q1265="",N($Q1265)=0),"⚠ Valor previsto não informado",IF(AND(OR($X1265="Pago",$X1265="Recebido"),$D1265=""),"⚠ Status pago/recebido sem data",IF(AND($D1265&lt;&gt;"",N($R1265)=0),"⚠ Data de pagamento sem valor realizado",IF(AND(N($P1265)&gt;1,N($O1265)&gt;N($P1265)),"⚠ Nº da parcela maior que o total",IF(AND($C1265&lt;&gt;"",$B1265&lt;&gt;"",$C1265&lt;$B1265),"⚠ Vencimento anterior à competência","OK"))))))))</f>
        <v/>
      </c>
    </row>
    <row r="1266">
      <c r="A1266" s="14" t="n"/>
      <c r="B1266" s="36" t="n"/>
      <c r="C1266" s="36" t="n"/>
      <c r="D1266" s="36" t="n"/>
      <c r="E1266" s="14" t="n"/>
      <c r="F1266" s="29" t="n"/>
      <c r="G1266" s="29" t="n"/>
      <c r="H1266" s="29" t="n"/>
      <c r="I1266" s="29" t="n"/>
      <c r="J1266" s="29" t="n"/>
      <c r="K1266" s="14" t="n"/>
      <c r="L1266" s="29" t="n"/>
      <c r="M1266" s="14" t="n"/>
      <c r="N1266" s="29" t="n"/>
      <c r="O1266" s="13" t="n"/>
      <c r="P1266" s="13" t="n"/>
      <c r="Q1266" s="35" t="n"/>
      <c r="R1266" s="35" t="n"/>
      <c r="S1266" s="35" t="n"/>
      <c r="T1266" s="35" t="n"/>
      <c r="U1266" s="35" t="n"/>
      <c r="V1266" s="18">
        <f>IF(COUNTA($B1266:$R1266)=0,"",ROUND(N($R1266)+N($S1266)+N($T1266)-N($U1266),2))</f>
        <v/>
      </c>
      <c r="W1266" s="18">
        <f>IF(COUNTA($B1266:$R1266)=0,"",IF(OR($X1266="Pago",$X1266="Recebido",$X1266="Cancelado"),0,ROUND(N($Q1266)+N($S1266)+N($T1266)-N($U1266)-N($R1266),2)))</f>
        <v/>
      </c>
      <c r="X1266" s="14" t="n"/>
      <c r="Y1266" s="17">
        <f>IF(COUNTA($B1266:$R1266)=0,"",IF($X1266="Cancelado","Cancelado",IF(OR($X1266="Pago",$X1266="Recebido"),$X1266,IF(OR($X1266="Parcial",N($R1266)&gt;0),"Parcial",IF($C1266="","Sem vencimento",IF($C1266&lt;TODAY(),"Vencido",IF($C1266=TODAY(),"Vence hoje",IF($C1266&lt;=TODAY()+7,"Vence em 7 dias",IF($C1266&lt;=TODAY()+30,"Vence em 30 dias","Futuro")))))))))</f>
        <v/>
      </c>
      <c r="Z1266" s="24">
        <f>IF($B1266="","",MONTH($B1266))</f>
        <v/>
      </c>
      <c r="AA1266" s="24">
        <f>IF($B1266="","",YEAR($B1266))</f>
        <v/>
      </c>
      <c r="AB1266" s="24">
        <f>IF($B1266="","",ISOWEEKNUM($B1266))</f>
        <v/>
      </c>
      <c r="AC1266" s="17">
        <f>IF($B1266="","",CHOOSE(WEEKDAY($B1266,2),"Segunda","Terça","Quarta","Quinta","Sexta","Sábado","Domingo"))</f>
        <v/>
      </c>
      <c r="AD1266" s="17">
        <f>IF($B1266="","",TEXT($B1266,"MM/AAAA"))</f>
        <v/>
      </c>
      <c r="AE1266" s="18">
        <f>IF(COUNTA($B1266:$R1266)=0,"",IF($X1266="Cancelado",0,ROUND(N($Q1266)+N($S1266)+N($T1266)-N($U1266),2)))</f>
        <v/>
      </c>
      <c r="AF1266" s="9">
        <f>IF($G1266="","",IFERROR(INDEX(LINHAS_DRE_PLANO,MATCH($G1266,SUBCATEGORIAS_PLANO,0)),"Não classificado"))</f>
        <v/>
      </c>
      <c r="AG1266" s="17">
        <f>IF($G1266="","",IFERROR(INDEX(TIPOS_FLUXO_PLANO,MATCH($G1266,SUBCATEGORIAS_PLANO,0)),"Não classificado"))</f>
        <v/>
      </c>
      <c r="AH1266" s="9">
        <f>IF($G1266="","",IFERROR(INDEX(GRUPOS_PLANO,MATCH($G1266,SUBCATEGORIAS_PLANO,0)),"Não classificado"))</f>
        <v/>
      </c>
      <c r="AI1266" s="24">
        <f>IF(OR($C1266="",$X1266="Pago",$X1266="Recebido",$X1266="Cancelado"),"",$C1266-TODAY())</f>
        <v/>
      </c>
      <c r="AJ1266" s="24">
        <f>IF(OR($C1266="",$X1266="Pago",$X1266="Recebido",$X1266="Cancelado"),0,MAX(0,TODAY()-$C1266))</f>
        <v/>
      </c>
      <c r="AK1266" s="24">
        <f>IF($D1266="","",$D1266-$B1266)</f>
        <v/>
      </c>
      <c r="AL1266" s="18">
        <f>IF(OR($D1266="",$B1266=""),"",ROUND(N($R1266)*($D1266-$B1266),2))</f>
        <v/>
      </c>
      <c r="AM1266" s="17">
        <f>IF(AND($E1266="Saída",$W1266&gt;0,$C1266&lt;&gt;""),$C1266+ROW()/1000000,"")</f>
        <v/>
      </c>
      <c r="AN1266" s="17">
        <f>IF(AND($E1266="Entrada",$W1266&gt;0,$C1266&lt;&gt;""),$C1266+ROW()/1000000,"")</f>
        <v/>
      </c>
      <c r="AO1266" s="9">
        <f>IF(COUNTA($B1266:$R1266)=0,"",IF(AND($I1266&lt;&gt;"",COUNTIF(CLIENTES_NOMES,$I1266)+COUNTIF(CLIENTES_FANTASIA,$I1266)+COUNTIF(FORNECEDORES_NOMES,$I1266)+COUNTIF(FORNECEDORES_FANTASIA,$I1266)=0),"⚠ Cliente/Fornecedor não cadastrado",IF(AND($G1266&lt;&gt;"",COUNTIF(SUBCATEGORIAS_PLANO,$G1266)=0),"⚠ Subcategoria fora do plano de contas",IF(OR($Q1266="",N($Q1266)=0),"⚠ Valor previsto não informado",IF(AND(OR($X1266="Pago",$X1266="Recebido"),$D1266=""),"⚠ Status pago/recebido sem data",IF(AND($D1266&lt;&gt;"",N($R1266)=0),"⚠ Data de pagamento sem valor realizado",IF(AND(N($P1266)&gt;1,N($O1266)&gt;N($P1266)),"⚠ Nº da parcela maior que o total",IF(AND($C1266&lt;&gt;"",$B1266&lt;&gt;"",$C1266&lt;$B1266),"⚠ Vencimento anterior à competência","OK"))))))))</f>
        <v/>
      </c>
    </row>
    <row r="1267">
      <c r="A1267" s="14" t="n"/>
      <c r="B1267" s="36" t="n"/>
      <c r="C1267" s="36" t="n"/>
      <c r="D1267" s="36" t="n"/>
      <c r="E1267" s="14" t="n"/>
      <c r="F1267" s="29" t="n"/>
      <c r="G1267" s="29" t="n"/>
      <c r="H1267" s="29" t="n"/>
      <c r="I1267" s="29" t="n"/>
      <c r="J1267" s="29" t="n"/>
      <c r="K1267" s="14" t="n"/>
      <c r="L1267" s="29" t="n"/>
      <c r="M1267" s="14" t="n"/>
      <c r="N1267" s="29" t="n"/>
      <c r="O1267" s="13" t="n"/>
      <c r="P1267" s="13" t="n"/>
      <c r="Q1267" s="35" t="n"/>
      <c r="R1267" s="35" t="n"/>
      <c r="S1267" s="35" t="n"/>
      <c r="T1267" s="35" t="n"/>
      <c r="U1267" s="35" t="n"/>
      <c r="V1267" s="18">
        <f>IF(COUNTA($B1267:$R1267)=0,"",ROUND(N($R1267)+N($S1267)+N($T1267)-N($U1267),2))</f>
        <v/>
      </c>
      <c r="W1267" s="18">
        <f>IF(COUNTA($B1267:$R1267)=0,"",IF(OR($X1267="Pago",$X1267="Recebido",$X1267="Cancelado"),0,ROUND(N($Q1267)+N($S1267)+N($T1267)-N($U1267)-N($R1267),2)))</f>
        <v/>
      </c>
      <c r="X1267" s="14" t="n"/>
      <c r="Y1267" s="17">
        <f>IF(COUNTA($B1267:$R1267)=0,"",IF($X1267="Cancelado","Cancelado",IF(OR($X1267="Pago",$X1267="Recebido"),$X1267,IF(OR($X1267="Parcial",N($R1267)&gt;0),"Parcial",IF($C1267="","Sem vencimento",IF($C1267&lt;TODAY(),"Vencido",IF($C1267=TODAY(),"Vence hoje",IF($C1267&lt;=TODAY()+7,"Vence em 7 dias",IF($C1267&lt;=TODAY()+30,"Vence em 30 dias","Futuro")))))))))</f>
        <v/>
      </c>
      <c r="Z1267" s="24">
        <f>IF($B1267="","",MONTH($B1267))</f>
        <v/>
      </c>
      <c r="AA1267" s="24">
        <f>IF($B1267="","",YEAR($B1267))</f>
        <v/>
      </c>
      <c r="AB1267" s="24">
        <f>IF($B1267="","",ISOWEEKNUM($B1267))</f>
        <v/>
      </c>
      <c r="AC1267" s="17">
        <f>IF($B1267="","",CHOOSE(WEEKDAY($B1267,2),"Segunda","Terça","Quarta","Quinta","Sexta","Sábado","Domingo"))</f>
        <v/>
      </c>
      <c r="AD1267" s="17">
        <f>IF($B1267="","",TEXT($B1267,"MM/AAAA"))</f>
        <v/>
      </c>
      <c r="AE1267" s="18">
        <f>IF(COUNTA($B1267:$R1267)=0,"",IF($X1267="Cancelado",0,ROUND(N($Q1267)+N($S1267)+N($T1267)-N($U1267),2)))</f>
        <v/>
      </c>
      <c r="AF1267" s="9">
        <f>IF($G1267="","",IFERROR(INDEX(LINHAS_DRE_PLANO,MATCH($G1267,SUBCATEGORIAS_PLANO,0)),"Não classificado"))</f>
        <v/>
      </c>
      <c r="AG1267" s="17">
        <f>IF($G1267="","",IFERROR(INDEX(TIPOS_FLUXO_PLANO,MATCH($G1267,SUBCATEGORIAS_PLANO,0)),"Não classificado"))</f>
        <v/>
      </c>
      <c r="AH1267" s="9">
        <f>IF($G1267="","",IFERROR(INDEX(GRUPOS_PLANO,MATCH($G1267,SUBCATEGORIAS_PLANO,0)),"Não classificado"))</f>
        <v/>
      </c>
      <c r="AI1267" s="24">
        <f>IF(OR($C1267="",$X1267="Pago",$X1267="Recebido",$X1267="Cancelado"),"",$C1267-TODAY())</f>
        <v/>
      </c>
      <c r="AJ1267" s="24">
        <f>IF(OR($C1267="",$X1267="Pago",$X1267="Recebido",$X1267="Cancelado"),0,MAX(0,TODAY()-$C1267))</f>
        <v/>
      </c>
      <c r="AK1267" s="24">
        <f>IF($D1267="","",$D1267-$B1267)</f>
        <v/>
      </c>
      <c r="AL1267" s="18">
        <f>IF(OR($D1267="",$B1267=""),"",ROUND(N($R1267)*($D1267-$B1267),2))</f>
        <v/>
      </c>
      <c r="AM1267" s="17">
        <f>IF(AND($E1267="Saída",$W1267&gt;0,$C1267&lt;&gt;""),$C1267+ROW()/1000000,"")</f>
        <v/>
      </c>
      <c r="AN1267" s="17">
        <f>IF(AND($E1267="Entrada",$W1267&gt;0,$C1267&lt;&gt;""),$C1267+ROW()/1000000,"")</f>
        <v/>
      </c>
      <c r="AO1267" s="9">
        <f>IF(COUNTA($B1267:$R1267)=0,"",IF(AND($I1267&lt;&gt;"",COUNTIF(CLIENTES_NOMES,$I1267)+COUNTIF(CLIENTES_FANTASIA,$I1267)+COUNTIF(FORNECEDORES_NOMES,$I1267)+COUNTIF(FORNECEDORES_FANTASIA,$I1267)=0),"⚠ Cliente/Fornecedor não cadastrado",IF(AND($G1267&lt;&gt;"",COUNTIF(SUBCATEGORIAS_PLANO,$G1267)=0),"⚠ Subcategoria fora do plano de contas",IF(OR($Q1267="",N($Q1267)=0),"⚠ Valor previsto não informado",IF(AND(OR($X1267="Pago",$X1267="Recebido"),$D1267=""),"⚠ Status pago/recebido sem data",IF(AND($D1267&lt;&gt;"",N($R1267)=0),"⚠ Data de pagamento sem valor realizado",IF(AND(N($P1267)&gt;1,N($O1267)&gt;N($P1267)),"⚠ Nº da parcela maior que o total",IF(AND($C1267&lt;&gt;"",$B1267&lt;&gt;"",$C1267&lt;$B1267),"⚠ Vencimento anterior à competência","OK"))))))))</f>
        <v/>
      </c>
    </row>
    <row r="1268">
      <c r="A1268" s="14" t="n"/>
      <c r="B1268" s="36" t="n"/>
      <c r="C1268" s="36" t="n"/>
      <c r="D1268" s="36" t="n"/>
      <c r="E1268" s="14" t="n"/>
      <c r="F1268" s="29" t="n"/>
      <c r="G1268" s="29" t="n"/>
      <c r="H1268" s="29" t="n"/>
      <c r="I1268" s="29" t="n"/>
      <c r="J1268" s="29" t="n"/>
      <c r="K1268" s="14" t="n"/>
      <c r="L1268" s="29" t="n"/>
      <c r="M1268" s="14" t="n"/>
      <c r="N1268" s="29" t="n"/>
      <c r="O1268" s="13" t="n"/>
      <c r="P1268" s="13" t="n"/>
      <c r="Q1268" s="35" t="n"/>
      <c r="R1268" s="35" t="n"/>
      <c r="S1268" s="35" t="n"/>
      <c r="T1268" s="35" t="n"/>
      <c r="U1268" s="35" t="n"/>
      <c r="V1268" s="18">
        <f>IF(COUNTA($B1268:$R1268)=0,"",ROUND(N($R1268)+N($S1268)+N($T1268)-N($U1268),2))</f>
        <v/>
      </c>
      <c r="W1268" s="18">
        <f>IF(COUNTA($B1268:$R1268)=0,"",IF(OR($X1268="Pago",$X1268="Recebido",$X1268="Cancelado"),0,ROUND(N($Q1268)+N($S1268)+N($T1268)-N($U1268)-N($R1268),2)))</f>
        <v/>
      </c>
      <c r="X1268" s="14" t="n"/>
      <c r="Y1268" s="17">
        <f>IF(COUNTA($B1268:$R1268)=0,"",IF($X1268="Cancelado","Cancelado",IF(OR($X1268="Pago",$X1268="Recebido"),$X1268,IF(OR($X1268="Parcial",N($R1268)&gt;0),"Parcial",IF($C1268="","Sem vencimento",IF($C1268&lt;TODAY(),"Vencido",IF($C1268=TODAY(),"Vence hoje",IF($C1268&lt;=TODAY()+7,"Vence em 7 dias",IF($C1268&lt;=TODAY()+30,"Vence em 30 dias","Futuro")))))))))</f>
        <v/>
      </c>
      <c r="Z1268" s="24">
        <f>IF($B1268="","",MONTH($B1268))</f>
        <v/>
      </c>
      <c r="AA1268" s="24">
        <f>IF($B1268="","",YEAR($B1268))</f>
        <v/>
      </c>
      <c r="AB1268" s="24">
        <f>IF($B1268="","",ISOWEEKNUM($B1268))</f>
        <v/>
      </c>
      <c r="AC1268" s="17">
        <f>IF($B1268="","",CHOOSE(WEEKDAY($B1268,2),"Segunda","Terça","Quarta","Quinta","Sexta","Sábado","Domingo"))</f>
        <v/>
      </c>
      <c r="AD1268" s="17">
        <f>IF($B1268="","",TEXT($B1268,"MM/AAAA"))</f>
        <v/>
      </c>
      <c r="AE1268" s="18">
        <f>IF(COUNTA($B1268:$R1268)=0,"",IF($X1268="Cancelado",0,ROUND(N($Q1268)+N($S1268)+N($T1268)-N($U1268),2)))</f>
        <v/>
      </c>
      <c r="AF1268" s="9">
        <f>IF($G1268="","",IFERROR(INDEX(LINHAS_DRE_PLANO,MATCH($G1268,SUBCATEGORIAS_PLANO,0)),"Não classificado"))</f>
        <v/>
      </c>
      <c r="AG1268" s="17">
        <f>IF($G1268="","",IFERROR(INDEX(TIPOS_FLUXO_PLANO,MATCH($G1268,SUBCATEGORIAS_PLANO,0)),"Não classificado"))</f>
        <v/>
      </c>
      <c r="AH1268" s="9">
        <f>IF($G1268="","",IFERROR(INDEX(GRUPOS_PLANO,MATCH($G1268,SUBCATEGORIAS_PLANO,0)),"Não classificado"))</f>
        <v/>
      </c>
      <c r="AI1268" s="24">
        <f>IF(OR($C1268="",$X1268="Pago",$X1268="Recebido",$X1268="Cancelado"),"",$C1268-TODAY())</f>
        <v/>
      </c>
      <c r="AJ1268" s="24">
        <f>IF(OR($C1268="",$X1268="Pago",$X1268="Recebido",$X1268="Cancelado"),0,MAX(0,TODAY()-$C1268))</f>
        <v/>
      </c>
      <c r="AK1268" s="24">
        <f>IF($D1268="","",$D1268-$B1268)</f>
        <v/>
      </c>
      <c r="AL1268" s="18">
        <f>IF(OR($D1268="",$B1268=""),"",ROUND(N($R1268)*($D1268-$B1268),2))</f>
        <v/>
      </c>
      <c r="AM1268" s="17">
        <f>IF(AND($E1268="Saída",$W1268&gt;0,$C1268&lt;&gt;""),$C1268+ROW()/1000000,"")</f>
        <v/>
      </c>
      <c r="AN1268" s="17">
        <f>IF(AND($E1268="Entrada",$W1268&gt;0,$C1268&lt;&gt;""),$C1268+ROW()/1000000,"")</f>
        <v/>
      </c>
      <c r="AO1268" s="9">
        <f>IF(COUNTA($B1268:$R1268)=0,"",IF(AND($I1268&lt;&gt;"",COUNTIF(CLIENTES_NOMES,$I1268)+COUNTIF(CLIENTES_FANTASIA,$I1268)+COUNTIF(FORNECEDORES_NOMES,$I1268)+COUNTIF(FORNECEDORES_FANTASIA,$I1268)=0),"⚠ Cliente/Fornecedor não cadastrado",IF(AND($G1268&lt;&gt;"",COUNTIF(SUBCATEGORIAS_PLANO,$G1268)=0),"⚠ Subcategoria fora do plano de contas",IF(OR($Q1268="",N($Q1268)=0),"⚠ Valor previsto não informado",IF(AND(OR($X1268="Pago",$X1268="Recebido"),$D1268=""),"⚠ Status pago/recebido sem data",IF(AND($D1268&lt;&gt;"",N($R1268)=0),"⚠ Data de pagamento sem valor realizado",IF(AND(N($P1268)&gt;1,N($O1268)&gt;N($P1268)),"⚠ Nº da parcela maior que o total",IF(AND($C1268&lt;&gt;"",$B1268&lt;&gt;"",$C1268&lt;$B1268),"⚠ Vencimento anterior à competência","OK"))))))))</f>
        <v/>
      </c>
    </row>
    <row r="1269">
      <c r="A1269" s="14" t="n"/>
      <c r="B1269" s="36" t="n"/>
      <c r="C1269" s="36" t="n"/>
      <c r="D1269" s="36" t="n"/>
      <c r="E1269" s="14" t="n"/>
      <c r="F1269" s="29" t="n"/>
      <c r="G1269" s="29" t="n"/>
      <c r="H1269" s="29" t="n"/>
      <c r="I1269" s="29" t="n"/>
      <c r="J1269" s="29" t="n"/>
      <c r="K1269" s="14" t="n"/>
      <c r="L1269" s="29" t="n"/>
      <c r="M1269" s="14" t="n"/>
      <c r="N1269" s="29" t="n"/>
      <c r="O1269" s="13" t="n"/>
      <c r="P1269" s="13" t="n"/>
      <c r="Q1269" s="35" t="n"/>
      <c r="R1269" s="35" t="n"/>
      <c r="S1269" s="35" t="n"/>
      <c r="T1269" s="35" t="n"/>
      <c r="U1269" s="35" t="n"/>
      <c r="V1269" s="18">
        <f>IF(COUNTA($B1269:$R1269)=0,"",ROUND(N($R1269)+N($S1269)+N($T1269)-N($U1269),2))</f>
        <v/>
      </c>
      <c r="W1269" s="18">
        <f>IF(COUNTA($B1269:$R1269)=0,"",IF(OR($X1269="Pago",$X1269="Recebido",$X1269="Cancelado"),0,ROUND(N($Q1269)+N($S1269)+N($T1269)-N($U1269)-N($R1269),2)))</f>
        <v/>
      </c>
      <c r="X1269" s="14" t="n"/>
      <c r="Y1269" s="17">
        <f>IF(COUNTA($B1269:$R1269)=0,"",IF($X1269="Cancelado","Cancelado",IF(OR($X1269="Pago",$X1269="Recebido"),$X1269,IF(OR($X1269="Parcial",N($R1269)&gt;0),"Parcial",IF($C1269="","Sem vencimento",IF($C1269&lt;TODAY(),"Vencido",IF($C1269=TODAY(),"Vence hoje",IF($C1269&lt;=TODAY()+7,"Vence em 7 dias",IF($C1269&lt;=TODAY()+30,"Vence em 30 dias","Futuro")))))))))</f>
        <v/>
      </c>
      <c r="Z1269" s="24">
        <f>IF($B1269="","",MONTH($B1269))</f>
        <v/>
      </c>
      <c r="AA1269" s="24">
        <f>IF($B1269="","",YEAR($B1269))</f>
        <v/>
      </c>
      <c r="AB1269" s="24">
        <f>IF($B1269="","",ISOWEEKNUM($B1269))</f>
        <v/>
      </c>
      <c r="AC1269" s="17">
        <f>IF($B1269="","",CHOOSE(WEEKDAY($B1269,2),"Segunda","Terça","Quarta","Quinta","Sexta","Sábado","Domingo"))</f>
        <v/>
      </c>
      <c r="AD1269" s="17">
        <f>IF($B1269="","",TEXT($B1269,"MM/AAAA"))</f>
        <v/>
      </c>
      <c r="AE1269" s="18">
        <f>IF(COUNTA($B1269:$R1269)=0,"",IF($X1269="Cancelado",0,ROUND(N($Q1269)+N($S1269)+N($T1269)-N($U1269),2)))</f>
        <v/>
      </c>
      <c r="AF1269" s="9">
        <f>IF($G1269="","",IFERROR(INDEX(LINHAS_DRE_PLANO,MATCH($G1269,SUBCATEGORIAS_PLANO,0)),"Não classificado"))</f>
        <v/>
      </c>
      <c r="AG1269" s="17">
        <f>IF($G1269="","",IFERROR(INDEX(TIPOS_FLUXO_PLANO,MATCH($G1269,SUBCATEGORIAS_PLANO,0)),"Não classificado"))</f>
        <v/>
      </c>
      <c r="AH1269" s="9">
        <f>IF($G1269="","",IFERROR(INDEX(GRUPOS_PLANO,MATCH($G1269,SUBCATEGORIAS_PLANO,0)),"Não classificado"))</f>
        <v/>
      </c>
      <c r="AI1269" s="24">
        <f>IF(OR($C1269="",$X1269="Pago",$X1269="Recebido",$X1269="Cancelado"),"",$C1269-TODAY())</f>
        <v/>
      </c>
      <c r="AJ1269" s="24">
        <f>IF(OR($C1269="",$X1269="Pago",$X1269="Recebido",$X1269="Cancelado"),0,MAX(0,TODAY()-$C1269))</f>
        <v/>
      </c>
      <c r="AK1269" s="24">
        <f>IF($D1269="","",$D1269-$B1269)</f>
        <v/>
      </c>
      <c r="AL1269" s="18">
        <f>IF(OR($D1269="",$B1269=""),"",ROUND(N($R1269)*($D1269-$B1269),2))</f>
        <v/>
      </c>
      <c r="AM1269" s="17">
        <f>IF(AND($E1269="Saída",$W1269&gt;0,$C1269&lt;&gt;""),$C1269+ROW()/1000000,"")</f>
        <v/>
      </c>
      <c r="AN1269" s="17">
        <f>IF(AND($E1269="Entrada",$W1269&gt;0,$C1269&lt;&gt;""),$C1269+ROW()/1000000,"")</f>
        <v/>
      </c>
      <c r="AO1269" s="9">
        <f>IF(COUNTA($B1269:$R1269)=0,"",IF(AND($I1269&lt;&gt;"",COUNTIF(CLIENTES_NOMES,$I1269)+COUNTIF(CLIENTES_FANTASIA,$I1269)+COUNTIF(FORNECEDORES_NOMES,$I1269)+COUNTIF(FORNECEDORES_FANTASIA,$I1269)=0),"⚠ Cliente/Fornecedor não cadastrado",IF(AND($G1269&lt;&gt;"",COUNTIF(SUBCATEGORIAS_PLANO,$G1269)=0),"⚠ Subcategoria fora do plano de contas",IF(OR($Q1269="",N($Q1269)=0),"⚠ Valor previsto não informado",IF(AND(OR($X1269="Pago",$X1269="Recebido"),$D1269=""),"⚠ Status pago/recebido sem data",IF(AND($D1269&lt;&gt;"",N($R1269)=0),"⚠ Data de pagamento sem valor realizado",IF(AND(N($P1269)&gt;1,N($O1269)&gt;N($P1269)),"⚠ Nº da parcela maior que o total",IF(AND($C1269&lt;&gt;"",$B1269&lt;&gt;"",$C1269&lt;$B1269),"⚠ Vencimento anterior à competência","OK"))))))))</f>
        <v/>
      </c>
    </row>
    <row r="1270">
      <c r="A1270" s="14" t="n"/>
      <c r="B1270" s="36" t="n"/>
      <c r="C1270" s="36" t="n"/>
      <c r="D1270" s="36" t="n"/>
      <c r="E1270" s="14" t="n"/>
      <c r="F1270" s="29" t="n"/>
      <c r="G1270" s="29" t="n"/>
      <c r="H1270" s="29" t="n"/>
      <c r="I1270" s="29" t="n"/>
      <c r="J1270" s="29" t="n"/>
      <c r="K1270" s="14" t="n"/>
      <c r="L1270" s="29" t="n"/>
      <c r="M1270" s="14" t="n"/>
      <c r="N1270" s="29" t="n"/>
      <c r="O1270" s="13" t="n"/>
      <c r="P1270" s="13" t="n"/>
      <c r="Q1270" s="35" t="n"/>
      <c r="R1270" s="35" t="n"/>
      <c r="S1270" s="35" t="n"/>
      <c r="T1270" s="35" t="n"/>
      <c r="U1270" s="35" t="n"/>
      <c r="V1270" s="18">
        <f>IF(COUNTA($B1270:$R1270)=0,"",ROUND(N($R1270)+N($S1270)+N($T1270)-N($U1270),2))</f>
        <v/>
      </c>
      <c r="W1270" s="18">
        <f>IF(COUNTA($B1270:$R1270)=0,"",IF(OR($X1270="Pago",$X1270="Recebido",$X1270="Cancelado"),0,ROUND(N($Q1270)+N($S1270)+N($T1270)-N($U1270)-N($R1270),2)))</f>
        <v/>
      </c>
      <c r="X1270" s="14" t="n"/>
      <c r="Y1270" s="17">
        <f>IF(COUNTA($B1270:$R1270)=0,"",IF($X1270="Cancelado","Cancelado",IF(OR($X1270="Pago",$X1270="Recebido"),$X1270,IF(OR($X1270="Parcial",N($R1270)&gt;0),"Parcial",IF($C1270="","Sem vencimento",IF($C1270&lt;TODAY(),"Vencido",IF($C1270=TODAY(),"Vence hoje",IF($C1270&lt;=TODAY()+7,"Vence em 7 dias",IF($C1270&lt;=TODAY()+30,"Vence em 30 dias","Futuro")))))))))</f>
        <v/>
      </c>
      <c r="Z1270" s="24">
        <f>IF($B1270="","",MONTH($B1270))</f>
        <v/>
      </c>
      <c r="AA1270" s="24">
        <f>IF($B1270="","",YEAR($B1270))</f>
        <v/>
      </c>
      <c r="AB1270" s="24">
        <f>IF($B1270="","",ISOWEEKNUM($B1270))</f>
        <v/>
      </c>
      <c r="AC1270" s="17">
        <f>IF($B1270="","",CHOOSE(WEEKDAY($B1270,2),"Segunda","Terça","Quarta","Quinta","Sexta","Sábado","Domingo"))</f>
        <v/>
      </c>
      <c r="AD1270" s="17">
        <f>IF($B1270="","",TEXT($B1270,"MM/AAAA"))</f>
        <v/>
      </c>
      <c r="AE1270" s="18">
        <f>IF(COUNTA($B1270:$R1270)=0,"",IF($X1270="Cancelado",0,ROUND(N($Q1270)+N($S1270)+N($T1270)-N($U1270),2)))</f>
        <v/>
      </c>
      <c r="AF1270" s="9">
        <f>IF($G1270="","",IFERROR(INDEX(LINHAS_DRE_PLANO,MATCH($G1270,SUBCATEGORIAS_PLANO,0)),"Não classificado"))</f>
        <v/>
      </c>
      <c r="AG1270" s="17">
        <f>IF($G1270="","",IFERROR(INDEX(TIPOS_FLUXO_PLANO,MATCH($G1270,SUBCATEGORIAS_PLANO,0)),"Não classificado"))</f>
        <v/>
      </c>
      <c r="AH1270" s="9">
        <f>IF($G1270="","",IFERROR(INDEX(GRUPOS_PLANO,MATCH($G1270,SUBCATEGORIAS_PLANO,0)),"Não classificado"))</f>
        <v/>
      </c>
      <c r="AI1270" s="24">
        <f>IF(OR($C1270="",$X1270="Pago",$X1270="Recebido",$X1270="Cancelado"),"",$C1270-TODAY())</f>
        <v/>
      </c>
      <c r="AJ1270" s="24">
        <f>IF(OR($C1270="",$X1270="Pago",$X1270="Recebido",$X1270="Cancelado"),0,MAX(0,TODAY()-$C1270))</f>
        <v/>
      </c>
      <c r="AK1270" s="24">
        <f>IF($D1270="","",$D1270-$B1270)</f>
        <v/>
      </c>
      <c r="AL1270" s="18">
        <f>IF(OR($D1270="",$B1270=""),"",ROUND(N($R1270)*($D1270-$B1270),2))</f>
        <v/>
      </c>
      <c r="AM1270" s="17">
        <f>IF(AND($E1270="Saída",$W1270&gt;0,$C1270&lt;&gt;""),$C1270+ROW()/1000000,"")</f>
        <v/>
      </c>
      <c r="AN1270" s="17">
        <f>IF(AND($E1270="Entrada",$W1270&gt;0,$C1270&lt;&gt;""),$C1270+ROW()/1000000,"")</f>
        <v/>
      </c>
      <c r="AO1270" s="9">
        <f>IF(COUNTA($B1270:$R1270)=0,"",IF(AND($I1270&lt;&gt;"",COUNTIF(CLIENTES_NOMES,$I1270)+COUNTIF(CLIENTES_FANTASIA,$I1270)+COUNTIF(FORNECEDORES_NOMES,$I1270)+COUNTIF(FORNECEDORES_FANTASIA,$I1270)=0),"⚠ Cliente/Fornecedor não cadastrado",IF(AND($G1270&lt;&gt;"",COUNTIF(SUBCATEGORIAS_PLANO,$G1270)=0),"⚠ Subcategoria fora do plano de contas",IF(OR($Q1270="",N($Q1270)=0),"⚠ Valor previsto não informado",IF(AND(OR($X1270="Pago",$X1270="Recebido"),$D1270=""),"⚠ Status pago/recebido sem data",IF(AND($D1270&lt;&gt;"",N($R1270)=0),"⚠ Data de pagamento sem valor realizado",IF(AND(N($P1270)&gt;1,N($O1270)&gt;N($P1270)),"⚠ Nº da parcela maior que o total",IF(AND($C1270&lt;&gt;"",$B1270&lt;&gt;"",$C1270&lt;$B1270),"⚠ Vencimento anterior à competência","OK"))))))))</f>
        <v/>
      </c>
    </row>
    <row r="1271">
      <c r="A1271" s="14" t="n"/>
      <c r="B1271" s="36" t="n"/>
      <c r="C1271" s="36" t="n"/>
      <c r="D1271" s="36" t="n"/>
      <c r="E1271" s="14" t="n"/>
      <c r="F1271" s="29" t="n"/>
      <c r="G1271" s="29" t="n"/>
      <c r="H1271" s="29" t="n"/>
      <c r="I1271" s="29" t="n"/>
      <c r="J1271" s="29" t="n"/>
      <c r="K1271" s="14" t="n"/>
      <c r="L1271" s="29" t="n"/>
      <c r="M1271" s="14" t="n"/>
      <c r="N1271" s="29" t="n"/>
      <c r="O1271" s="13" t="n"/>
      <c r="P1271" s="13" t="n"/>
      <c r="Q1271" s="35" t="n"/>
      <c r="R1271" s="35" t="n"/>
      <c r="S1271" s="35" t="n"/>
      <c r="T1271" s="35" t="n"/>
      <c r="U1271" s="35" t="n"/>
      <c r="V1271" s="18">
        <f>IF(COUNTA($B1271:$R1271)=0,"",ROUND(N($R1271)+N($S1271)+N($T1271)-N($U1271),2))</f>
        <v/>
      </c>
      <c r="W1271" s="18">
        <f>IF(COUNTA($B1271:$R1271)=0,"",IF(OR($X1271="Pago",$X1271="Recebido",$X1271="Cancelado"),0,ROUND(N($Q1271)+N($S1271)+N($T1271)-N($U1271)-N($R1271),2)))</f>
        <v/>
      </c>
      <c r="X1271" s="14" t="n"/>
      <c r="Y1271" s="17">
        <f>IF(COUNTA($B1271:$R1271)=0,"",IF($X1271="Cancelado","Cancelado",IF(OR($X1271="Pago",$X1271="Recebido"),$X1271,IF(OR($X1271="Parcial",N($R1271)&gt;0),"Parcial",IF($C1271="","Sem vencimento",IF($C1271&lt;TODAY(),"Vencido",IF($C1271=TODAY(),"Vence hoje",IF($C1271&lt;=TODAY()+7,"Vence em 7 dias",IF($C1271&lt;=TODAY()+30,"Vence em 30 dias","Futuro")))))))))</f>
        <v/>
      </c>
      <c r="Z1271" s="24">
        <f>IF($B1271="","",MONTH($B1271))</f>
        <v/>
      </c>
      <c r="AA1271" s="24">
        <f>IF($B1271="","",YEAR($B1271))</f>
        <v/>
      </c>
      <c r="AB1271" s="24">
        <f>IF($B1271="","",ISOWEEKNUM($B1271))</f>
        <v/>
      </c>
      <c r="AC1271" s="17">
        <f>IF($B1271="","",CHOOSE(WEEKDAY($B1271,2),"Segunda","Terça","Quarta","Quinta","Sexta","Sábado","Domingo"))</f>
        <v/>
      </c>
      <c r="AD1271" s="17">
        <f>IF($B1271="","",TEXT($B1271,"MM/AAAA"))</f>
        <v/>
      </c>
      <c r="AE1271" s="18">
        <f>IF(COUNTA($B1271:$R1271)=0,"",IF($X1271="Cancelado",0,ROUND(N($Q1271)+N($S1271)+N($T1271)-N($U1271),2)))</f>
        <v/>
      </c>
      <c r="AF1271" s="9">
        <f>IF($G1271="","",IFERROR(INDEX(LINHAS_DRE_PLANO,MATCH($G1271,SUBCATEGORIAS_PLANO,0)),"Não classificado"))</f>
        <v/>
      </c>
      <c r="AG1271" s="17">
        <f>IF($G1271="","",IFERROR(INDEX(TIPOS_FLUXO_PLANO,MATCH($G1271,SUBCATEGORIAS_PLANO,0)),"Não classificado"))</f>
        <v/>
      </c>
      <c r="AH1271" s="9">
        <f>IF($G1271="","",IFERROR(INDEX(GRUPOS_PLANO,MATCH($G1271,SUBCATEGORIAS_PLANO,0)),"Não classificado"))</f>
        <v/>
      </c>
      <c r="AI1271" s="24">
        <f>IF(OR($C1271="",$X1271="Pago",$X1271="Recebido",$X1271="Cancelado"),"",$C1271-TODAY())</f>
        <v/>
      </c>
      <c r="AJ1271" s="24">
        <f>IF(OR($C1271="",$X1271="Pago",$X1271="Recebido",$X1271="Cancelado"),0,MAX(0,TODAY()-$C1271))</f>
        <v/>
      </c>
      <c r="AK1271" s="24">
        <f>IF($D1271="","",$D1271-$B1271)</f>
        <v/>
      </c>
      <c r="AL1271" s="18">
        <f>IF(OR($D1271="",$B1271=""),"",ROUND(N($R1271)*($D1271-$B1271),2))</f>
        <v/>
      </c>
      <c r="AM1271" s="17">
        <f>IF(AND($E1271="Saída",$W1271&gt;0,$C1271&lt;&gt;""),$C1271+ROW()/1000000,"")</f>
        <v/>
      </c>
      <c r="AN1271" s="17">
        <f>IF(AND($E1271="Entrada",$W1271&gt;0,$C1271&lt;&gt;""),$C1271+ROW()/1000000,"")</f>
        <v/>
      </c>
      <c r="AO1271" s="9">
        <f>IF(COUNTA($B1271:$R1271)=0,"",IF(AND($I1271&lt;&gt;"",COUNTIF(CLIENTES_NOMES,$I1271)+COUNTIF(CLIENTES_FANTASIA,$I1271)+COUNTIF(FORNECEDORES_NOMES,$I1271)+COUNTIF(FORNECEDORES_FANTASIA,$I1271)=0),"⚠ Cliente/Fornecedor não cadastrado",IF(AND($G1271&lt;&gt;"",COUNTIF(SUBCATEGORIAS_PLANO,$G1271)=0),"⚠ Subcategoria fora do plano de contas",IF(OR($Q1271="",N($Q1271)=0),"⚠ Valor previsto não informado",IF(AND(OR($X1271="Pago",$X1271="Recebido"),$D1271=""),"⚠ Status pago/recebido sem data",IF(AND($D1271&lt;&gt;"",N($R1271)=0),"⚠ Data de pagamento sem valor realizado",IF(AND(N($P1271)&gt;1,N($O1271)&gt;N($P1271)),"⚠ Nº da parcela maior que o total",IF(AND($C1271&lt;&gt;"",$B1271&lt;&gt;"",$C1271&lt;$B1271),"⚠ Vencimento anterior à competência","OK"))))))))</f>
        <v/>
      </c>
    </row>
    <row r="1272">
      <c r="A1272" s="14" t="n"/>
      <c r="B1272" s="36" t="n"/>
      <c r="C1272" s="36" t="n"/>
      <c r="D1272" s="36" t="n"/>
      <c r="E1272" s="14" t="n"/>
      <c r="F1272" s="29" t="n"/>
      <c r="G1272" s="29" t="n"/>
      <c r="H1272" s="29" t="n"/>
      <c r="I1272" s="29" t="n"/>
      <c r="J1272" s="29" t="n"/>
      <c r="K1272" s="14" t="n"/>
      <c r="L1272" s="29" t="n"/>
      <c r="M1272" s="14" t="n"/>
      <c r="N1272" s="29" t="n"/>
      <c r="O1272" s="13" t="n"/>
      <c r="P1272" s="13" t="n"/>
      <c r="Q1272" s="35" t="n"/>
      <c r="R1272" s="35" t="n"/>
      <c r="S1272" s="35" t="n"/>
      <c r="T1272" s="35" t="n"/>
      <c r="U1272" s="35" t="n"/>
      <c r="V1272" s="18">
        <f>IF(COUNTA($B1272:$R1272)=0,"",ROUND(N($R1272)+N($S1272)+N($T1272)-N($U1272),2))</f>
        <v/>
      </c>
      <c r="W1272" s="18">
        <f>IF(COUNTA($B1272:$R1272)=0,"",IF(OR($X1272="Pago",$X1272="Recebido",$X1272="Cancelado"),0,ROUND(N($Q1272)+N($S1272)+N($T1272)-N($U1272)-N($R1272),2)))</f>
        <v/>
      </c>
      <c r="X1272" s="14" t="n"/>
      <c r="Y1272" s="17">
        <f>IF(COUNTA($B1272:$R1272)=0,"",IF($X1272="Cancelado","Cancelado",IF(OR($X1272="Pago",$X1272="Recebido"),$X1272,IF(OR($X1272="Parcial",N($R1272)&gt;0),"Parcial",IF($C1272="","Sem vencimento",IF($C1272&lt;TODAY(),"Vencido",IF($C1272=TODAY(),"Vence hoje",IF($C1272&lt;=TODAY()+7,"Vence em 7 dias",IF($C1272&lt;=TODAY()+30,"Vence em 30 dias","Futuro")))))))))</f>
        <v/>
      </c>
      <c r="Z1272" s="24">
        <f>IF($B1272="","",MONTH($B1272))</f>
        <v/>
      </c>
      <c r="AA1272" s="24">
        <f>IF($B1272="","",YEAR($B1272))</f>
        <v/>
      </c>
      <c r="AB1272" s="24">
        <f>IF($B1272="","",ISOWEEKNUM($B1272))</f>
        <v/>
      </c>
      <c r="AC1272" s="17">
        <f>IF($B1272="","",CHOOSE(WEEKDAY($B1272,2),"Segunda","Terça","Quarta","Quinta","Sexta","Sábado","Domingo"))</f>
        <v/>
      </c>
      <c r="AD1272" s="17">
        <f>IF($B1272="","",TEXT($B1272,"MM/AAAA"))</f>
        <v/>
      </c>
      <c r="AE1272" s="18">
        <f>IF(COUNTA($B1272:$R1272)=0,"",IF($X1272="Cancelado",0,ROUND(N($Q1272)+N($S1272)+N($T1272)-N($U1272),2)))</f>
        <v/>
      </c>
      <c r="AF1272" s="9">
        <f>IF($G1272="","",IFERROR(INDEX(LINHAS_DRE_PLANO,MATCH($G1272,SUBCATEGORIAS_PLANO,0)),"Não classificado"))</f>
        <v/>
      </c>
      <c r="AG1272" s="17">
        <f>IF($G1272="","",IFERROR(INDEX(TIPOS_FLUXO_PLANO,MATCH($G1272,SUBCATEGORIAS_PLANO,0)),"Não classificado"))</f>
        <v/>
      </c>
      <c r="AH1272" s="9">
        <f>IF($G1272="","",IFERROR(INDEX(GRUPOS_PLANO,MATCH($G1272,SUBCATEGORIAS_PLANO,0)),"Não classificado"))</f>
        <v/>
      </c>
      <c r="AI1272" s="24">
        <f>IF(OR($C1272="",$X1272="Pago",$X1272="Recebido",$X1272="Cancelado"),"",$C1272-TODAY())</f>
        <v/>
      </c>
      <c r="AJ1272" s="24">
        <f>IF(OR($C1272="",$X1272="Pago",$X1272="Recebido",$X1272="Cancelado"),0,MAX(0,TODAY()-$C1272))</f>
        <v/>
      </c>
      <c r="AK1272" s="24">
        <f>IF($D1272="","",$D1272-$B1272)</f>
        <v/>
      </c>
      <c r="AL1272" s="18">
        <f>IF(OR($D1272="",$B1272=""),"",ROUND(N($R1272)*($D1272-$B1272),2))</f>
        <v/>
      </c>
      <c r="AM1272" s="17">
        <f>IF(AND($E1272="Saída",$W1272&gt;0,$C1272&lt;&gt;""),$C1272+ROW()/1000000,"")</f>
        <v/>
      </c>
      <c r="AN1272" s="17">
        <f>IF(AND($E1272="Entrada",$W1272&gt;0,$C1272&lt;&gt;""),$C1272+ROW()/1000000,"")</f>
        <v/>
      </c>
      <c r="AO1272" s="9">
        <f>IF(COUNTA($B1272:$R1272)=0,"",IF(AND($I1272&lt;&gt;"",COUNTIF(CLIENTES_NOMES,$I1272)+COUNTIF(CLIENTES_FANTASIA,$I1272)+COUNTIF(FORNECEDORES_NOMES,$I1272)+COUNTIF(FORNECEDORES_FANTASIA,$I1272)=0),"⚠ Cliente/Fornecedor não cadastrado",IF(AND($G1272&lt;&gt;"",COUNTIF(SUBCATEGORIAS_PLANO,$G1272)=0),"⚠ Subcategoria fora do plano de contas",IF(OR($Q1272="",N($Q1272)=0),"⚠ Valor previsto não informado",IF(AND(OR($X1272="Pago",$X1272="Recebido"),$D1272=""),"⚠ Status pago/recebido sem data",IF(AND($D1272&lt;&gt;"",N($R1272)=0),"⚠ Data de pagamento sem valor realizado",IF(AND(N($P1272)&gt;1,N($O1272)&gt;N($P1272)),"⚠ Nº da parcela maior que o total",IF(AND($C1272&lt;&gt;"",$B1272&lt;&gt;"",$C1272&lt;$B1272),"⚠ Vencimento anterior à competência","OK"))))))))</f>
        <v/>
      </c>
    </row>
    <row r="1273">
      <c r="A1273" s="14" t="n"/>
      <c r="B1273" s="36" t="n"/>
      <c r="C1273" s="36" t="n"/>
      <c r="D1273" s="36" t="n"/>
      <c r="E1273" s="14" t="n"/>
      <c r="F1273" s="29" t="n"/>
      <c r="G1273" s="29" t="n"/>
      <c r="H1273" s="29" t="n"/>
      <c r="I1273" s="29" t="n"/>
      <c r="J1273" s="29" t="n"/>
      <c r="K1273" s="14" t="n"/>
      <c r="L1273" s="29" t="n"/>
      <c r="M1273" s="14" t="n"/>
      <c r="N1273" s="29" t="n"/>
      <c r="O1273" s="13" t="n"/>
      <c r="P1273" s="13" t="n"/>
      <c r="Q1273" s="35" t="n"/>
      <c r="R1273" s="35" t="n"/>
      <c r="S1273" s="35" t="n"/>
      <c r="T1273" s="35" t="n"/>
      <c r="U1273" s="35" t="n"/>
      <c r="V1273" s="18">
        <f>IF(COUNTA($B1273:$R1273)=0,"",ROUND(N($R1273)+N($S1273)+N($T1273)-N($U1273),2))</f>
        <v/>
      </c>
      <c r="W1273" s="18">
        <f>IF(COUNTA($B1273:$R1273)=0,"",IF(OR($X1273="Pago",$X1273="Recebido",$X1273="Cancelado"),0,ROUND(N($Q1273)+N($S1273)+N($T1273)-N($U1273)-N($R1273),2)))</f>
        <v/>
      </c>
      <c r="X1273" s="14" t="n"/>
      <c r="Y1273" s="17">
        <f>IF(COUNTA($B1273:$R1273)=0,"",IF($X1273="Cancelado","Cancelado",IF(OR($X1273="Pago",$X1273="Recebido"),$X1273,IF(OR($X1273="Parcial",N($R1273)&gt;0),"Parcial",IF($C1273="","Sem vencimento",IF($C1273&lt;TODAY(),"Vencido",IF($C1273=TODAY(),"Vence hoje",IF($C1273&lt;=TODAY()+7,"Vence em 7 dias",IF($C1273&lt;=TODAY()+30,"Vence em 30 dias","Futuro")))))))))</f>
        <v/>
      </c>
      <c r="Z1273" s="24">
        <f>IF($B1273="","",MONTH($B1273))</f>
        <v/>
      </c>
      <c r="AA1273" s="24">
        <f>IF($B1273="","",YEAR($B1273))</f>
        <v/>
      </c>
      <c r="AB1273" s="24">
        <f>IF($B1273="","",ISOWEEKNUM($B1273))</f>
        <v/>
      </c>
      <c r="AC1273" s="17">
        <f>IF($B1273="","",CHOOSE(WEEKDAY($B1273,2),"Segunda","Terça","Quarta","Quinta","Sexta","Sábado","Domingo"))</f>
        <v/>
      </c>
      <c r="AD1273" s="17">
        <f>IF($B1273="","",TEXT($B1273,"MM/AAAA"))</f>
        <v/>
      </c>
      <c r="AE1273" s="18">
        <f>IF(COUNTA($B1273:$R1273)=0,"",IF($X1273="Cancelado",0,ROUND(N($Q1273)+N($S1273)+N($T1273)-N($U1273),2)))</f>
        <v/>
      </c>
      <c r="AF1273" s="9">
        <f>IF($G1273="","",IFERROR(INDEX(LINHAS_DRE_PLANO,MATCH($G1273,SUBCATEGORIAS_PLANO,0)),"Não classificado"))</f>
        <v/>
      </c>
      <c r="AG1273" s="17">
        <f>IF($G1273="","",IFERROR(INDEX(TIPOS_FLUXO_PLANO,MATCH($G1273,SUBCATEGORIAS_PLANO,0)),"Não classificado"))</f>
        <v/>
      </c>
      <c r="AH1273" s="9">
        <f>IF($G1273="","",IFERROR(INDEX(GRUPOS_PLANO,MATCH($G1273,SUBCATEGORIAS_PLANO,0)),"Não classificado"))</f>
        <v/>
      </c>
      <c r="AI1273" s="24">
        <f>IF(OR($C1273="",$X1273="Pago",$X1273="Recebido",$X1273="Cancelado"),"",$C1273-TODAY())</f>
        <v/>
      </c>
      <c r="AJ1273" s="24">
        <f>IF(OR($C1273="",$X1273="Pago",$X1273="Recebido",$X1273="Cancelado"),0,MAX(0,TODAY()-$C1273))</f>
        <v/>
      </c>
      <c r="AK1273" s="24">
        <f>IF($D1273="","",$D1273-$B1273)</f>
        <v/>
      </c>
      <c r="AL1273" s="18">
        <f>IF(OR($D1273="",$B1273=""),"",ROUND(N($R1273)*($D1273-$B1273),2))</f>
        <v/>
      </c>
      <c r="AM1273" s="17">
        <f>IF(AND($E1273="Saída",$W1273&gt;0,$C1273&lt;&gt;""),$C1273+ROW()/1000000,"")</f>
        <v/>
      </c>
      <c r="AN1273" s="17">
        <f>IF(AND($E1273="Entrada",$W1273&gt;0,$C1273&lt;&gt;""),$C1273+ROW()/1000000,"")</f>
        <v/>
      </c>
      <c r="AO1273" s="9">
        <f>IF(COUNTA($B1273:$R1273)=0,"",IF(AND($I1273&lt;&gt;"",COUNTIF(CLIENTES_NOMES,$I1273)+COUNTIF(CLIENTES_FANTASIA,$I1273)+COUNTIF(FORNECEDORES_NOMES,$I1273)+COUNTIF(FORNECEDORES_FANTASIA,$I1273)=0),"⚠ Cliente/Fornecedor não cadastrado",IF(AND($G1273&lt;&gt;"",COUNTIF(SUBCATEGORIAS_PLANO,$G1273)=0),"⚠ Subcategoria fora do plano de contas",IF(OR($Q1273="",N($Q1273)=0),"⚠ Valor previsto não informado",IF(AND(OR($X1273="Pago",$X1273="Recebido"),$D1273=""),"⚠ Status pago/recebido sem data",IF(AND($D1273&lt;&gt;"",N($R1273)=0),"⚠ Data de pagamento sem valor realizado",IF(AND(N($P1273)&gt;1,N($O1273)&gt;N($P1273)),"⚠ Nº da parcela maior que o total",IF(AND($C1273&lt;&gt;"",$B1273&lt;&gt;"",$C1273&lt;$B1273),"⚠ Vencimento anterior à competência","OK"))))))))</f>
        <v/>
      </c>
    </row>
    <row r="1274">
      <c r="A1274" s="14" t="n"/>
      <c r="B1274" s="36" t="n"/>
      <c r="C1274" s="36" t="n"/>
      <c r="D1274" s="36" t="n"/>
      <c r="E1274" s="14" t="n"/>
      <c r="F1274" s="29" t="n"/>
      <c r="G1274" s="29" t="n"/>
      <c r="H1274" s="29" t="n"/>
      <c r="I1274" s="29" t="n"/>
      <c r="J1274" s="29" t="n"/>
      <c r="K1274" s="14" t="n"/>
      <c r="L1274" s="29" t="n"/>
      <c r="M1274" s="14" t="n"/>
      <c r="N1274" s="29" t="n"/>
      <c r="O1274" s="13" t="n"/>
      <c r="P1274" s="13" t="n"/>
      <c r="Q1274" s="35" t="n"/>
      <c r="R1274" s="35" t="n"/>
      <c r="S1274" s="35" t="n"/>
      <c r="T1274" s="35" t="n"/>
      <c r="U1274" s="35" t="n"/>
      <c r="V1274" s="18">
        <f>IF(COUNTA($B1274:$R1274)=0,"",ROUND(N($R1274)+N($S1274)+N($T1274)-N($U1274),2))</f>
        <v/>
      </c>
      <c r="W1274" s="18">
        <f>IF(COUNTA($B1274:$R1274)=0,"",IF(OR($X1274="Pago",$X1274="Recebido",$X1274="Cancelado"),0,ROUND(N($Q1274)+N($S1274)+N($T1274)-N($U1274)-N($R1274),2)))</f>
        <v/>
      </c>
      <c r="X1274" s="14" t="n"/>
      <c r="Y1274" s="17">
        <f>IF(COUNTA($B1274:$R1274)=0,"",IF($X1274="Cancelado","Cancelado",IF(OR($X1274="Pago",$X1274="Recebido"),$X1274,IF(OR($X1274="Parcial",N($R1274)&gt;0),"Parcial",IF($C1274="","Sem vencimento",IF($C1274&lt;TODAY(),"Vencido",IF($C1274=TODAY(),"Vence hoje",IF($C1274&lt;=TODAY()+7,"Vence em 7 dias",IF($C1274&lt;=TODAY()+30,"Vence em 30 dias","Futuro")))))))))</f>
        <v/>
      </c>
      <c r="Z1274" s="24">
        <f>IF($B1274="","",MONTH($B1274))</f>
        <v/>
      </c>
      <c r="AA1274" s="24">
        <f>IF($B1274="","",YEAR($B1274))</f>
        <v/>
      </c>
      <c r="AB1274" s="24">
        <f>IF($B1274="","",ISOWEEKNUM($B1274))</f>
        <v/>
      </c>
      <c r="AC1274" s="17">
        <f>IF($B1274="","",CHOOSE(WEEKDAY($B1274,2),"Segunda","Terça","Quarta","Quinta","Sexta","Sábado","Domingo"))</f>
        <v/>
      </c>
      <c r="AD1274" s="17">
        <f>IF($B1274="","",TEXT($B1274,"MM/AAAA"))</f>
        <v/>
      </c>
      <c r="AE1274" s="18">
        <f>IF(COUNTA($B1274:$R1274)=0,"",IF($X1274="Cancelado",0,ROUND(N($Q1274)+N($S1274)+N($T1274)-N($U1274),2)))</f>
        <v/>
      </c>
      <c r="AF1274" s="9">
        <f>IF($G1274="","",IFERROR(INDEX(LINHAS_DRE_PLANO,MATCH($G1274,SUBCATEGORIAS_PLANO,0)),"Não classificado"))</f>
        <v/>
      </c>
      <c r="AG1274" s="17">
        <f>IF($G1274="","",IFERROR(INDEX(TIPOS_FLUXO_PLANO,MATCH($G1274,SUBCATEGORIAS_PLANO,0)),"Não classificado"))</f>
        <v/>
      </c>
      <c r="AH1274" s="9">
        <f>IF($G1274="","",IFERROR(INDEX(GRUPOS_PLANO,MATCH($G1274,SUBCATEGORIAS_PLANO,0)),"Não classificado"))</f>
        <v/>
      </c>
      <c r="AI1274" s="24">
        <f>IF(OR($C1274="",$X1274="Pago",$X1274="Recebido",$X1274="Cancelado"),"",$C1274-TODAY())</f>
        <v/>
      </c>
      <c r="AJ1274" s="24">
        <f>IF(OR($C1274="",$X1274="Pago",$X1274="Recebido",$X1274="Cancelado"),0,MAX(0,TODAY()-$C1274))</f>
        <v/>
      </c>
      <c r="AK1274" s="24">
        <f>IF($D1274="","",$D1274-$B1274)</f>
        <v/>
      </c>
      <c r="AL1274" s="18">
        <f>IF(OR($D1274="",$B1274=""),"",ROUND(N($R1274)*($D1274-$B1274),2))</f>
        <v/>
      </c>
      <c r="AM1274" s="17">
        <f>IF(AND($E1274="Saída",$W1274&gt;0,$C1274&lt;&gt;""),$C1274+ROW()/1000000,"")</f>
        <v/>
      </c>
      <c r="AN1274" s="17">
        <f>IF(AND($E1274="Entrada",$W1274&gt;0,$C1274&lt;&gt;""),$C1274+ROW()/1000000,"")</f>
        <v/>
      </c>
      <c r="AO1274" s="9">
        <f>IF(COUNTA($B1274:$R1274)=0,"",IF(AND($I1274&lt;&gt;"",COUNTIF(CLIENTES_NOMES,$I1274)+COUNTIF(CLIENTES_FANTASIA,$I1274)+COUNTIF(FORNECEDORES_NOMES,$I1274)+COUNTIF(FORNECEDORES_FANTASIA,$I1274)=0),"⚠ Cliente/Fornecedor não cadastrado",IF(AND($G1274&lt;&gt;"",COUNTIF(SUBCATEGORIAS_PLANO,$G1274)=0),"⚠ Subcategoria fora do plano de contas",IF(OR($Q1274="",N($Q1274)=0),"⚠ Valor previsto não informado",IF(AND(OR($X1274="Pago",$X1274="Recebido"),$D1274=""),"⚠ Status pago/recebido sem data",IF(AND($D1274&lt;&gt;"",N($R1274)=0),"⚠ Data de pagamento sem valor realizado",IF(AND(N($P1274)&gt;1,N($O1274)&gt;N($P1274)),"⚠ Nº da parcela maior que o total",IF(AND($C1274&lt;&gt;"",$B1274&lt;&gt;"",$C1274&lt;$B1274),"⚠ Vencimento anterior à competência","OK"))))))))</f>
        <v/>
      </c>
    </row>
    <row r="1275">
      <c r="A1275" s="14" t="n"/>
      <c r="B1275" s="36" t="n"/>
      <c r="C1275" s="36" t="n"/>
      <c r="D1275" s="36" t="n"/>
      <c r="E1275" s="14" t="n"/>
      <c r="F1275" s="29" t="n"/>
      <c r="G1275" s="29" t="n"/>
      <c r="H1275" s="29" t="n"/>
      <c r="I1275" s="29" t="n"/>
      <c r="J1275" s="29" t="n"/>
      <c r="K1275" s="14" t="n"/>
      <c r="L1275" s="29" t="n"/>
      <c r="M1275" s="14" t="n"/>
      <c r="N1275" s="29" t="n"/>
      <c r="O1275" s="13" t="n"/>
      <c r="P1275" s="13" t="n"/>
      <c r="Q1275" s="35" t="n"/>
      <c r="R1275" s="35" t="n"/>
      <c r="S1275" s="35" t="n"/>
      <c r="T1275" s="35" t="n"/>
      <c r="U1275" s="35" t="n"/>
      <c r="V1275" s="18">
        <f>IF(COUNTA($B1275:$R1275)=0,"",ROUND(N($R1275)+N($S1275)+N($T1275)-N($U1275),2))</f>
        <v/>
      </c>
      <c r="W1275" s="18">
        <f>IF(COUNTA($B1275:$R1275)=0,"",IF(OR($X1275="Pago",$X1275="Recebido",$X1275="Cancelado"),0,ROUND(N($Q1275)+N($S1275)+N($T1275)-N($U1275)-N($R1275),2)))</f>
        <v/>
      </c>
      <c r="X1275" s="14" t="n"/>
      <c r="Y1275" s="17">
        <f>IF(COUNTA($B1275:$R1275)=0,"",IF($X1275="Cancelado","Cancelado",IF(OR($X1275="Pago",$X1275="Recebido"),$X1275,IF(OR($X1275="Parcial",N($R1275)&gt;0),"Parcial",IF($C1275="","Sem vencimento",IF($C1275&lt;TODAY(),"Vencido",IF($C1275=TODAY(),"Vence hoje",IF($C1275&lt;=TODAY()+7,"Vence em 7 dias",IF($C1275&lt;=TODAY()+30,"Vence em 30 dias","Futuro")))))))))</f>
        <v/>
      </c>
      <c r="Z1275" s="24">
        <f>IF($B1275="","",MONTH($B1275))</f>
        <v/>
      </c>
      <c r="AA1275" s="24">
        <f>IF($B1275="","",YEAR($B1275))</f>
        <v/>
      </c>
      <c r="AB1275" s="24">
        <f>IF($B1275="","",ISOWEEKNUM($B1275))</f>
        <v/>
      </c>
      <c r="AC1275" s="17">
        <f>IF($B1275="","",CHOOSE(WEEKDAY($B1275,2),"Segunda","Terça","Quarta","Quinta","Sexta","Sábado","Domingo"))</f>
        <v/>
      </c>
      <c r="AD1275" s="17">
        <f>IF($B1275="","",TEXT($B1275,"MM/AAAA"))</f>
        <v/>
      </c>
      <c r="AE1275" s="18">
        <f>IF(COUNTA($B1275:$R1275)=0,"",IF($X1275="Cancelado",0,ROUND(N($Q1275)+N($S1275)+N($T1275)-N($U1275),2)))</f>
        <v/>
      </c>
      <c r="AF1275" s="9">
        <f>IF($G1275="","",IFERROR(INDEX(LINHAS_DRE_PLANO,MATCH($G1275,SUBCATEGORIAS_PLANO,0)),"Não classificado"))</f>
        <v/>
      </c>
      <c r="AG1275" s="17">
        <f>IF($G1275="","",IFERROR(INDEX(TIPOS_FLUXO_PLANO,MATCH($G1275,SUBCATEGORIAS_PLANO,0)),"Não classificado"))</f>
        <v/>
      </c>
      <c r="AH1275" s="9">
        <f>IF($G1275="","",IFERROR(INDEX(GRUPOS_PLANO,MATCH($G1275,SUBCATEGORIAS_PLANO,0)),"Não classificado"))</f>
        <v/>
      </c>
      <c r="AI1275" s="24">
        <f>IF(OR($C1275="",$X1275="Pago",$X1275="Recebido",$X1275="Cancelado"),"",$C1275-TODAY())</f>
        <v/>
      </c>
      <c r="AJ1275" s="24">
        <f>IF(OR($C1275="",$X1275="Pago",$X1275="Recebido",$X1275="Cancelado"),0,MAX(0,TODAY()-$C1275))</f>
        <v/>
      </c>
      <c r="AK1275" s="24">
        <f>IF($D1275="","",$D1275-$B1275)</f>
        <v/>
      </c>
      <c r="AL1275" s="18">
        <f>IF(OR($D1275="",$B1275=""),"",ROUND(N($R1275)*($D1275-$B1275),2))</f>
        <v/>
      </c>
      <c r="AM1275" s="17">
        <f>IF(AND($E1275="Saída",$W1275&gt;0,$C1275&lt;&gt;""),$C1275+ROW()/1000000,"")</f>
        <v/>
      </c>
      <c r="AN1275" s="17">
        <f>IF(AND($E1275="Entrada",$W1275&gt;0,$C1275&lt;&gt;""),$C1275+ROW()/1000000,"")</f>
        <v/>
      </c>
      <c r="AO1275" s="9">
        <f>IF(COUNTA($B1275:$R1275)=0,"",IF(AND($I1275&lt;&gt;"",COUNTIF(CLIENTES_NOMES,$I1275)+COUNTIF(CLIENTES_FANTASIA,$I1275)+COUNTIF(FORNECEDORES_NOMES,$I1275)+COUNTIF(FORNECEDORES_FANTASIA,$I1275)=0),"⚠ Cliente/Fornecedor não cadastrado",IF(AND($G1275&lt;&gt;"",COUNTIF(SUBCATEGORIAS_PLANO,$G1275)=0),"⚠ Subcategoria fora do plano de contas",IF(OR($Q1275="",N($Q1275)=0),"⚠ Valor previsto não informado",IF(AND(OR($X1275="Pago",$X1275="Recebido"),$D1275=""),"⚠ Status pago/recebido sem data",IF(AND($D1275&lt;&gt;"",N($R1275)=0),"⚠ Data de pagamento sem valor realizado",IF(AND(N($P1275)&gt;1,N($O1275)&gt;N($P1275)),"⚠ Nº da parcela maior que o total",IF(AND($C1275&lt;&gt;"",$B1275&lt;&gt;"",$C1275&lt;$B1275),"⚠ Vencimento anterior à competência","OK"))))))))</f>
        <v/>
      </c>
    </row>
    <row r="1276">
      <c r="A1276" s="14" t="n"/>
      <c r="B1276" s="36" t="n"/>
      <c r="C1276" s="36" t="n"/>
      <c r="D1276" s="36" t="n"/>
      <c r="E1276" s="14" t="n"/>
      <c r="F1276" s="29" t="n"/>
      <c r="G1276" s="29" t="n"/>
      <c r="H1276" s="29" t="n"/>
      <c r="I1276" s="29" t="n"/>
      <c r="J1276" s="29" t="n"/>
      <c r="K1276" s="14" t="n"/>
      <c r="L1276" s="29" t="n"/>
      <c r="M1276" s="14" t="n"/>
      <c r="N1276" s="29" t="n"/>
      <c r="O1276" s="13" t="n"/>
      <c r="P1276" s="13" t="n"/>
      <c r="Q1276" s="35" t="n"/>
      <c r="R1276" s="35" t="n"/>
      <c r="S1276" s="35" t="n"/>
      <c r="T1276" s="35" t="n"/>
      <c r="U1276" s="35" t="n"/>
      <c r="V1276" s="18">
        <f>IF(COUNTA($B1276:$R1276)=0,"",ROUND(N($R1276)+N($S1276)+N($T1276)-N($U1276),2))</f>
        <v/>
      </c>
      <c r="W1276" s="18">
        <f>IF(COUNTA($B1276:$R1276)=0,"",IF(OR($X1276="Pago",$X1276="Recebido",$X1276="Cancelado"),0,ROUND(N($Q1276)+N($S1276)+N($T1276)-N($U1276)-N($R1276),2)))</f>
        <v/>
      </c>
      <c r="X1276" s="14" t="n"/>
      <c r="Y1276" s="17">
        <f>IF(COUNTA($B1276:$R1276)=0,"",IF($X1276="Cancelado","Cancelado",IF(OR($X1276="Pago",$X1276="Recebido"),$X1276,IF(OR($X1276="Parcial",N($R1276)&gt;0),"Parcial",IF($C1276="","Sem vencimento",IF($C1276&lt;TODAY(),"Vencido",IF($C1276=TODAY(),"Vence hoje",IF($C1276&lt;=TODAY()+7,"Vence em 7 dias",IF($C1276&lt;=TODAY()+30,"Vence em 30 dias","Futuro")))))))))</f>
        <v/>
      </c>
      <c r="Z1276" s="24">
        <f>IF($B1276="","",MONTH($B1276))</f>
        <v/>
      </c>
      <c r="AA1276" s="24">
        <f>IF($B1276="","",YEAR($B1276))</f>
        <v/>
      </c>
      <c r="AB1276" s="24">
        <f>IF($B1276="","",ISOWEEKNUM($B1276))</f>
        <v/>
      </c>
      <c r="AC1276" s="17">
        <f>IF($B1276="","",CHOOSE(WEEKDAY($B1276,2),"Segunda","Terça","Quarta","Quinta","Sexta","Sábado","Domingo"))</f>
        <v/>
      </c>
      <c r="AD1276" s="17">
        <f>IF($B1276="","",TEXT($B1276,"MM/AAAA"))</f>
        <v/>
      </c>
      <c r="AE1276" s="18">
        <f>IF(COUNTA($B1276:$R1276)=0,"",IF($X1276="Cancelado",0,ROUND(N($Q1276)+N($S1276)+N($T1276)-N($U1276),2)))</f>
        <v/>
      </c>
      <c r="AF1276" s="9">
        <f>IF($G1276="","",IFERROR(INDEX(LINHAS_DRE_PLANO,MATCH($G1276,SUBCATEGORIAS_PLANO,0)),"Não classificado"))</f>
        <v/>
      </c>
      <c r="AG1276" s="17">
        <f>IF($G1276="","",IFERROR(INDEX(TIPOS_FLUXO_PLANO,MATCH($G1276,SUBCATEGORIAS_PLANO,0)),"Não classificado"))</f>
        <v/>
      </c>
      <c r="AH1276" s="9">
        <f>IF($G1276="","",IFERROR(INDEX(GRUPOS_PLANO,MATCH($G1276,SUBCATEGORIAS_PLANO,0)),"Não classificado"))</f>
        <v/>
      </c>
      <c r="AI1276" s="24">
        <f>IF(OR($C1276="",$X1276="Pago",$X1276="Recebido",$X1276="Cancelado"),"",$C1276-TODAY())</f>
        <v/>
      </c>
      <c r="AJ1276" s="24">
        <f>IF(OR($C1276="",$X1276="Pago",$X1276="Recebido",$X1276="Cancelado"),0,MAX(0,TODAY()-$C1276))</f>
        <v/>
      </c>
      <c r="AK1276" s="24">
        <f>IF($D1276="","",$D1276-$B1276)</f>
        <v/>
      </c>
      <c r="AL1276" s="18">
        <f>IF(OR($D1276="",$B1276=""),"",ROUND(N($R1276)*($D1276-$B1276),2))</f>
        <v/>
      </c>
      <c r="AM1276" s="17">
        <f>IF(AND($E1276="Saída",$W1276&gt;0,$C1276&lt;&gt;""),$C1276+ROW()/1000000,"")</f>
        <v/>
      </c>
      <c r="AN1276" s="17">
        <f>IF(AND($E1276="Entrada",$W1276&gt;0,$C1276&lt;&gt;""),$C1276+ROW()/1000000,"")</f>
        <v/>
      </c>
      <c r="AO1276" s="9">
        <f>IF(COUNTA($B1276:$R1276)=0,"",IF(AND($I1276&lt;&gt;"",COUNTIF(CLIENTES_NOMES,$I1276)+COUNTIF(CLIENTES_FANTASIA,$I1276)+COUNTIF(FORNECEDORES_NOMES,$I1276)+COUNTIF(FORNECEDORES_FANTASIA,$I1276)=0),"⚠ Cliente/Fornecedor não cadastrado",IF(AND($G1276&lt;&gt;"",COUNTIF(SUBCATEGORIAS_PLANO,$G1276)=0),"⚠ Subcategoria fora do plano de contas",IF(OR($Q1276="",N($Q1276)=0),"⚠ Valor previsto não informado",IF(AND(OR($X1276="Pago",$X1276="Recebido"),$D1276=""),"⚠ Status pago/recebido sem data",IF(AND($D1276&lt;&gt;"",N($R1276)=0),"⚠ Data de pagamento sem valor realizado",IF(AND(N($P1276)&gt;1,N($O1276)&gt;N($P1276)),"⚠ Nº da parcela maior que o total",IF(AND($C1276&lt;&gt;"",$B1276&lt;&gt;"",$C1276&lt;$B1276),"⚠ Vencimento anterior à competência","OK"))))))))</f>
        <v/>
      </c>
    </row>
    <row r="1277">
      <c r="A1277" s="14" t="n"/>
      <c r="B1277" s="36" t="n"/>
      <c r="C1277" s="36" t="n"/>
      <c r="D1277" s="36" t="n"/>
      <c r="E1277" s="14" t="n"/>
      <c r="F1277" s="29" t="n"/>
      <c r="G1277" s="29" t="n"/>
      <c r="H1277" s="29" t="n"/>
      <c r="I1277" s="29" t="n"/>
      <c r="J1277" s="29" t="n"/>
      <c r="K1277" s="14" t="n"/>
      <c r="L1277" s="29" t="n"/>
      <c r="M1277" s="14" t="n"/>
      <c r="N1277" s="29" t="n"/>
      <c r="O1277" s="13" t="n"/>
      <c r="P1277" s="13" t="n"/>
      <c r="Q1277" s="35" t="n"/>
      <c r="R1277" s="35" t="n"/>
      <c r="S1277" s="35" t="n"/>
      <c r="T1277" s="35" t="n"/>
      <c r="U1277" s="35" t="n"/>
      <c r="V1277" s="18">
        <f>IF(COUNTA($B1277:$R1277)=0,"",ROUND(N($R1277)+N($S1277)+N($T1277)-N($U1277),2))</f>
        <v/>
      </c>
      <c r="W1277" s="18">
        <f>IF(COUNTA($B1277:$R1277)=0,"",IF(OR($X1277="Pago",$X1277="Recebido",$X1277="Cancelado"),0,ROUND(N($Q1277)+N($S1277)+N($T1277)-N($U1277)-N($R1277),2)))</f>
        <v/>
      </c>
      <c r="X1277" s="14" t="n"/>
      <c r="Y1277" s="17">
        <f>IF(COUNTA($B1277:$R1277)=0,"",IF($X1277="Cancelado","Cancelado",IF(OR($X1277="Pago",$X1277="Recebido"),$X1277,IF(OR($X1277="Parcial",N($R1277)&gt;0),"Parcial",IF($C1277="","Sem vencimento",IF($C1277&lt;TODAY(),"Vencido",IF($C1277=TODAY(),"Vence hoje",IF($C1277&lt;=TODAY()+7,"Vence em 7 dias",IF($C1277&lt;=TODAY()+30,"Vence em 30 dias","Futuro")))))))))</f>
        <v/>
      </c>
      <c r="Z1277" s="24">
        <f>IF($B1277="","",MONTH($B1277))</f>
        <v/>
      </c>
      <c r="AA1277" s="24">
        <f>IF($B1277="","",YEAR($B1277))</f>
        <v/>
      </c>
      <c r="AB1277" s="24">
        <f>IF($B1277="","",ISOWEEKNUM($B1277))</f>
        <v/>
      </c>
      <c r="AC1277" s="17">
        <f>IF($B1277="","",CHOOSE(WEEKDAY($B1277,2),"Segunda","Terça","Quarta","Quinta","Sexta","Sábado","Domingo"))</f>
        <v/>
      </c>
      <c r="AD1277" s="17">
        <f>IF($B1277="","",TEXT($B1277,"MM/AAAA"))</f>
        <v/>
      </c>
      <c r="AE1277" s="18">
        <f>IF(COUNTA($B1277:$R1277)=0,"",IF($X1277="Cancelado",0,ROUND(N($Q1277)+N($S1277)+N($T1277)-N($U1277),2)))</f>
        <v/>
      </c>
      <c r="AF1277" s="9">
        <f>IF($G1277="","",IFERROR(INDEX(LINHAS_DRE_PLANO,MATCH($G1277,SUBCATEGORIAS_PLANO,0)),"Não classificado"))</f>
        <v/>
      </c>
      <c r="AG1277" s="17">
        <f>IF($G1277="","",IFERROR(INDEX(TIPOS_FLUXO_PLANO,MATCH($G1277,SUBCATEGORIAS_PLANO,0)),"Não classificado"))</f>
        <v/>
      </c>
      <c r="AH1277" s="9">
        <f>IF($G1277="","",IFERROR(INDEX(GRUPOS_PLANO,MATCH($G1277,SUBCATEGORIAS_PLANO,0)),"Não classificado"))</f>
        <v/>
      </c>
      <c r="AI1277" s="24">
        <f>IF(OR($C1277="",$X1277="Pago",$X1277="Recebido",$X1277="Cancelado"),"",$C1277-TODAY())</f>
        <v/>
      </c>
      <c r="AJ1277" s="24">
        <f>IF(OR($C1277="",$X1277="Pago",$X1277="Recebido",$X1277="Cancelado"),0,MAX(0,TODAY()-$C1277))</f>
        <v/>
      </c>
      <c r="AK1277" s="24">
        <f>IF($D1277="","",$D1277-$B1277)</f>
        <v/>
      </c>
      <c r="AL1277" s="18">
        <f>IF(OR($D1277="",$B1277=""),"",ROUND(N($R1277)*($D1277-$B1277),2))</f>
        <v/>
      </c>
      <c r="AM1277" s="17">
        <f>IF(AND($E1277="Saída",$W1277&gt;0,$C1277&lt;&gt;""),$C1277+ROW()/1000000,"")</f>
        <v/>
      </c>
      <c r="AN1277" s="17">
        <f>IF(AND($E1277="Entrada",$W1277&gt;0,$C1277&lt;&gt;""),$C1277+ROW()/1000000,"")</f>
        <v/>
      </c>
      <c r="AO1277" s="9">
        <f>IF(COUNTA($B1277:$R1277)=0,"",IF(AND($I1277&lt;&gt;"",COUNTIF(CLIENTES_NOMES,$I1277)+COUNTIF(CLIENTES_FANTASIA,$I1277)+COUNTIF(FORNECEDORES_NOMES,$I1277)+COUNTIF(FORNECEDORES_FANTASIA,$I1277)=0),"⚠ Cliente/Fornecedor não cadastrado",IF(AND($G1277&lt;&gt;"",COUNTIF(SUBCATEGORIAS_PLANO,$G1277)=0),"⚠ Subcategoria fora do plano de contas",IF(OR($Q1277="",N($Q1277)=0),"⚠ Valor previsto não informado",IF(AND(OR($X1277="Pago",$X1277="Recebido"),$D1277=""),"⚠ Status pago/recebido sem data",IF(AND($D1277&lt;&gt;"",N($R1277)=0),"⚠ Data de pagamento sem valor realizado",IF(AND(N($P1277)&gt;1,N($O1277)&gt;N($P1277)),"⚠ Nº da parcela maior que o total",IF(AND($C1277&lt;&gt;"",$B1277&lt;&gt;"",$C1277&lt;$B1277),"⚠ Vencimento anterior à competência","OK"))))))))</f>
        <v/>
      </c>
    </row>
    <row r="1278">
      <c r="A1278" s="14" t="n"/>
      <c r="B1278" s="36" t="n"/>
      <c r="C1278" s="36" t="n"/>
      <c r="D1278" s="36" t="n"/>
      <c r="E1278" s="14" t="n"/>
      <c r="F1278" s="29" t="n"/>
      <c r="G1278" s="29" t="n"/>
      <c r="H1278" s="29" t="n"/>
      <c r="I1278" s="29" t="n"/>
      <c r="J1278" s="29" t="n"/>
      <c r="K1278" s="14" t="n"/>
      <c r="L1278" s="29" t="n"/>
      <c r="M1278" s="14" t="n"/>
      <c r="N1278" s="29" t="n"/>
      <c r="O1278" s="13" t="n"/>
      <c r="P1278" s="13" t="n"/>
      <c r="Q1278" s="35" t="n"/>
      <c r="R1278" s="35" t="n"/>
      <c r="S1278" s="35" t="n"/>
      <c r="T1278" s="35" t="n"/>
      <c r="U1278" s="35" t="n"/>
      <c r="V1278" s="18">
        <f>IF(COUNTA($B1278:$R1278)=0,"",ROUND(N($R1278)+N($S1278)+N($T1278)-N($U1278),2))</f>
        <v/>
      </c>
      <c r="W1278" s="18">
        <f>IF(COUNTA($B1278:$R1278)=0,"",IF(OR($X1278="Pago",$X1278="Recebido",$X1278="Cancelado"),0,ROUND(N($Q1278)+N($S1278)+N($T1278)-N($U1278)-N($R1278),2)))</f>
        <v/>
      </c>
      <c r="X1278" s="14" t="n"/>
      <c r="Y1278" s="17">
        <f>IF(COUNTA($B1278:$R1278)=0,"",IF($X1278="Cancelado","Cancelado",IF(OR($X1278="Pago",$X1278="Recebido"),$X1278,IF(OR($X1278="Parcial",N($R1278)&gt;0),"Parcial",IF($C1278="","Sem vencimento",IF($C1278&lt;TODAY(),"Vencido",IF($C1278=TODAY(),"Vence hoje",IF($C1278&lt;=TODAY()+7,"Vence em 7 dias",IF($C1278&lt;=TODAY()+30,"Vence em 30 dias","Futuro")))))))))</f>
        <v/>
      </c>
      <c r="Z1278" s="24">
        <f>IF($B1278="","",MONTH($B1278))</f>
        <v/>
      </c>
      <c r="AA1278" s="24">
        <f>IF($B1278="","",YEAR($B1278))</f>
        <v/>
      </c>
      <c r="AB1278" s="24">
        <f>IF($B1278="","",ISOWEEKNUM($B1278))</f>
        <v/>
      </c>
      <c r="AC1278" s="17">
        <f>IF($B1278="","",CHOOSE(WEEKDAY($B1278,2),"Segunda","Terça","Quarta","Quinta","Sexta","Sábado","Domingo"))</f>
        <v/>
      </c>
      <c r="AD1278" s="17">
        <f>IF($B1278="","",TEXT($B1278,"MM/AAAA"))</f>
        <v/>
      </c>
      <c r="AE1278" s="18">
        <f>IF(COUNTA($B1278:$R1278)=0,"",IF($X1278="Cancelado",0,ROUND(N($Q1278)+N($S1278)+N($T1278)-N($U1278),2)))</f>
        <v/>
      </c>
      <c r="AF1278" s="9">
        <f>IF($G1278="","",IFERROR(INDEX(LINHAS_DRE_PLANO,MATCH($G1278,SUBCATEGORIAS_PLANO,0)),"Não classificado"))</f>
        <v/>
      </c>
      <c r="AG1278" s="17">
        <f>IF($G1278="","",IFERROR(INDEX(TIPOS_FLUXO_PLANO,MATCH($G1278,SUBCATEGORIAS_PLANO,0)),"Não classificado"))</f>
        <v/>
      </c>
      <c r="AH1278" s="9">
        <f>IF($G1278="","",IFERROR(INDEX(GRUPOS_PLANO,MATCH($G1278,SUBCATEGORIAS_PLANO,0)),"Não classificado"))</f>
        <v/>
      </c>
      <c r="AI1278" s="24">
        <f>IF(OR($C1278="",$X1278="Pago",$X1278="Recebido",$X1278="Cancelado"),"",$C1278-TODAY())</f>
        <v/>
      </c>
      <c r="AJ1278" s="24">
        <f>IF(OR($C1278="",$X1278="Pago",$X1278="Recebido",$X1278="Cancelado"),0,MAX(0,TODAY()-$C1278))</f>
        <v/>
      </c>
      <c r="AK1278" s="24">
        <f>IF($D1278="","",$D1278-$B1278)</f>
        <v/>
      </c>
      <c r="AL1278" s="18">
        <f>IF(OR($D1278="",$B1278=""),"",ROUND(N($R1278)*($D1278-$B1278),2))</f>
        <v/>
      </c>
      <c r="AM1278" s="17">
        <f>IF(AND($E1278="Saída",$W1278&gt;0,$C1278&lt;&gt;""),$C1278+ROW()/1000000,"")</f>
        <v/>
      </c>
      <c r="AN1278" s="17">
        <f>IF(AND($E1278="Entrada",$W1278&gt;0,$C1278&lt;&gt;""),$C1278+ROW()/1000000,"")</f>
        <v/>
      </c>
      <c r="AO1278" s="9">
        <f>IF(COUNTA($B1278:$R1278)=0,"",IF(AND($I1278&lt;&gt;"",COUNTIF(CLIENTES_NOMES,$I1278)+COUNTIF(CLIENTES_FANTASIA,$I1278)+COUNTIF(FORNECEDORES_NOMES,$I1278)+COUNTIF(FORNECEDORES_FANTASIA,$I1278)=0),"⚠ Cliente/Fornecedor não cadastrado",IF(AND($G1278&lt;&gt;"",COUNTIF(SUBCATEGORIAS_PLANO,$G1278)=0),"⚠ Subcategoria fora do plano de contas",IF(OR($Q1278="",N($Q1278)=0),"⚠ Valor previsto não informado",IF(AND(OR($X1278="Pago",$X1278="Recebido"),$D1278=""),"⚠ Status pago/recebido sem data",IF(AND($D1278&lt;&gt;"",N($R1278)=0),"⚠ Data de pagamento sem valor realizado",IF(AND(N($P1278)&gt;1,N($O1278)&gt;N($P1278)),"⚠ Nº da parcela maior que o total",IF(AND($C1278&lt;&gt;"",$B1278&lt;&gt;"",$C1278&lt;$B1278),"⚠ Vencimento anterior à competência","OK"))))))))</f>
        <v/>
      </c>
    </row>
    <row r="1279">
      <c r="A1279" s="14" t="n"/>
      <c r="B1279" s="36" t="n"/>
      <c r="C1279" s="36" t="n"/>
      <c r="D1279" s="36" t="n"/>
      <c r="E1279" s="14" t="n"/>
      <c r="F1279" s="29" t="n"/>
      <c r="G1279" s="29" t="n"/>
      <c r="H1279" s="29" t="n"/>
      <c r="I1279" s="29" t="n"/>
      <c r="J1279" s="29" t="n"/>
      <c r="K1279" s="14" t="n"/>
      <c r="L1279" s="29" t="n"/>
      <c r="M1279" s="14" t="n"/>
      <c r="N1279" s="29" t="n"/>
      <c r="O1279" s="13" t="n"/>
      <c r="P1279" s="13" t="n"/>
      <c r="Q1279" s="35" t="n"/>
      <c r="R1279" s="35" t="n"/>
      <c r="S1279" s="35" t="n"/>
      <c r="T1279" s="35" t="n"/>
      <c r="U1279" s="35" t="n"/>
      <c r="V1279" s="18">
        <f>IF(COUNTA($B1279:$R1279)=0,"",ROUND(N($R1279)+N($S1279)+N($T1279)-N($U1279),2))</f>
        <v/>
      </c>
      <c r="W1279" s="18">
        <f>IF(COUNTA($B1279:$R1279)=0,"",IF(OR($X1279="Pago",$X1279="Recebido",$X1279="Cancelado"),0,ROUND(N($Q1279)+N($S1279)+N($T1279)-N($U1279)-N($R1279),2)))</f>
        <v/>
      </c>
      <c r="X1279" s="14" t="n"/>
      <c r="Y1279" s="17">
        <f>IF(COUNTA($B1279:$R1279)=0,"",IF($X1279="Cancelado","Cancelado",IF(OR($X1279="Pago",$X1279="Recebido"),$X1279,IF(OR($X1279="Parcial",N($R1279)&gt;0),"Parcial",IF($C1279="","Sem vencimento",IF($C1279&lt;TODAY(),"Vencido",IF($C1279=TODAY(),"Vence hoje",IF($C1279&lt;=TODAY()+7,"Vence em 7 dias",IF($C1279&lt;=TODAY()+30,"Vence em 30 dias","Futuro")))))))))</f>
        <v/>
      </c>
      <c r="Z1279" s="24">
        <f>IF($B1279="","",MONTH($B1279))</f>
        <v/>
      </c>
      <c r="AA1279" s="24">
        <f>IF($B1279="","",YEAR($B1279))</f>
        <v/>
      </c>
      <c r="AB1279" s="24">
        <f>IF($B1279="","",ISOWEEKNUM($B1279))</f>
        <v/>
      </c>
      <c r="AC1279" s="17">
        <f>IF($B1279="","",CHOOSE(WEEKDAY($B1279,2),"Segunda","Terça","Quarta","Quinta","Sexta","Sábado","Domingo"))</f>
        <v/>
      </c>
      <c r="AD1279" s="17">
        <f>IF($B1279="","",TEXT($B1279,"MM/AAAA"))</f>
        <v/>
      </c>
      <c r="AE1279" s="18">
        <f>IF(COUNTA($B1279:$R1279)=0,"",IF($X1279="Cancelado",0,ROUND(N($Q1279)+N($S1279)+N($T1279)-N($U1279),2)))</f>
        <v/>
      </c>
      <c r="AF1279" s="9">
        <f>IF($G1279="","",IFERROR(INDEX(LINHAS_DRE_PLANO,MATCH($G1279,SUBCATEGORIAS_PLANO,0)),"Não classificado"))</f>
        <v/>
      </c>
      <c r="AG1279" s="17">
        <f>IF($G1279="","",IFERROR(INDEX(TIPOS_FLUXO_PLANO,MATCH($G1279,SUBCATEGORIAS_PLANO,0)),"Não classificado"))</f>
        <v/>
      </c>
      <c r="AH1279" s="9">
        <f>IF($G1279="","",IFERROR(INDEX(GRUPOS_PLANO,MATCH($G1279,SUBCATEGORIAS_PLANO,0)),"Não classificado"))</f>
        <v/>
      </c>
      <c r="AI1279" s="24">
        <f>IF(OR($C1279="",$X1279="Pago",$X1279="Recebido",$X1279="Cancelado"),"",$C1279-TODAY())</f>
        <v/>
      </c>
      <c r="AJ1279" s="24">
        <f>IF(OR($C1279="",$X1279="Pago",$X1279="Recebido",$X1279="Cancelado"),0,MAX(0,TODAY()-$C1279))</f>
        <v/>
      </c>
      <c r="AK1279" s="24">
        <f>IF($D1279="","",$D1279-$B1279)</f>
        <v/>
      </c>
      <c r="AL1279" s="18">
        <f>IF(OR($D1279="",$B1279=""),"",ROUND(N($R1279)*($D1279-$B1279),2))</f>
        <v/>
      </c>
      <c r="AM1279" s="17">
        <f>IF(AND($E1279="Saída",$W1279&gt;0,$C1279&lt;&gt;""),$C1279+ROW()/1000000,"")</f>
        <v/>
      </c>
      <c r="AN1279" s="17">
        <f>IF(AND($E1279="Entrada",$W1279&gt;0,$C1279&lt;&gt;""),$C1279+ROW()/1000000,"")</f>
        <v/>
      </c>
      <c r="AO1279" s="9">
        <f>IF(COUNTA($B1279:$R1279)=0,"",IF(AND($I1279&lt;&gt;"",COUNTIF(CLIENTES_NOMES,$I1279)+COUNTIF(CLIENTES_FANTASIA,$I1279)+COUNTIF(FORNECEDORES_NOMES,$I1279)+COUNTIF(FORNECEDORES_FANTASIA,$I1279)=0),"⚠ Cliente/Fornecedor não cadastrado",IF(AND($G1279&lt;&gt;"",COUNTIF(SUBCATEGORIAS_PLANO,$G1279)=0),"⚠ Subcategoria fora do plano de contas",IF(OR($Q1279="",N($Q1279)=0),"⚠ Valor previsto não informado",IF(AND(OR($X1279="Pago",$X1279="Recebido"),$D1279=""),"⚠ Status pago/recebido sem data",IF(AND($D1279&lt;&gt;"",N($R1279)=0),"⚠ Data de pagamento sem valor realizado",IF(AND(N($P1279)&gt;1,N($O1279)&gt;N($P1279)),"⚠ Nº da parcela maior que o total",IF(AND($C1279&lt;&gt;"",$B1279&lt;&gt;"",$C1279&lt;$B1279),"⚠ Vencimento anterior à competência","OK"))))))))</f>
        <v/>
      </c>
    </row>
    <row r="1280">
      <c r="A1280" s="14" t="n"/>
      <c r="B1280" s="36" t="n"/>
      <c r="C1280" s="36" t="n"/>
      <c r="D1280" s="36" t="n"/>
      <c r="E1280" s="14" t="n"/>
      <c r="F1280" s="29" t="n"/>
      <c r="G1280" s="29" t="n"/>
      <c r="H1280" s="29" t="n"/>
      <c r="I1280" s="29" t="n"/>
      <c r="J1280" s="29" t="n"/>
      <c r="K1280" s="14" t="n"/>
      <c r="L1280" s="29" t="n"/>
      <c r="M1280" s="14" t="n"/>
      <c r="N1280" s="29" t="n"/>
      <c r="O1280" s="13" t="n"/>
      <c r="P1280" s="13" t="n"/>
      <c r="Q1280" s="35" t="n"/>
      <c r="R1280" s="35" t="n"/>
      <c r="S1280" s="35" t="n"/>
      <c r="T1280" s="35" t="n"/>
      <c r="U1280" s="35" t="n"/>
      <c r="V1280" s="18">
        <f>IF(COUNTA($B1280:$R1280)=0,"",ROUND(N($R1280)+N($S1280)+N($T1280)-N($U1280),2))</f>
        <v/>
      </c>
      <c r="W1280" s="18">
        <f>IF(COUNTA($B1280:$R1280)=0,"",IF(OR($X1280="Pago",$X1280="Recebido",$X1280="Cancelado"),0,ROUND(N($Q1280)+N($S1280)+N($T1280)-N($U1280)-N($R1280),2)))</f>
        <v/>
      </c>
      <c r="X1280" s="14" t="n"/>
      <c r="Y1280" s="17">
        <f>IF(COUNTA($B1280:$R1280)=0,"",IF($X1280="Cancelado","Cancelado",IF(OR($X1280="Pago",$X1280="Recebido"),$X1280,IF(OR($X1280="Parcial",N($R1280)&gt;0),"Parcial",IF($C1280="","Sem vencimento",IF($C1280&lt;TODAY(),"Vencido",IF($C1280=TODAY(),"Vence hoje",IF($C1280&lt;=TODAY()+7,"Vence em 7 dias",IF($C1280&lt;=TODAY()+30,"Vence em 30 dias","Futuro")))))))))</f>
        <v/>
      </c>
      <c r="Z1280" s="24">
        <f>IF($B1280="","",MONTH($B1280))</f>
        <v/>
      </c>
      <c r="AA1280" s="24">
        <f>IF($B1280="","",YEAR($B1280))</f>
        <v/>
      </c>
      <c r="AB1280" s="24">
        <f>IF($B1280="","",ISOWEEKNUM($B1280))</f>
        <v/>
      </c>
      <c r="AC1280" s="17">
        <f>IF($B1280="","",CHOOSE(WEEKDAY($B1280,2),"Segunda","Terça","Quarta","Quinta","Sexta","Sábado","Domingo"))</f>
        <v/>
      </c>
      <c r="AD1280" s="17">
        <f>IF($B1280="","",TEXT($B1280,"MM/AAAA"))</f>
        <v/>
      </c>
      <c r="AE1280" s="18">
        <f>IF(COUNTA($B1280:$R1280)=0,"",IF($X1280="Cancelado",0,ROUND(N($Q1280)+N($S1280)+N($T1280)-N($U1280),2)))</f>
        <v/>
      </c>
      <c r="AF1280" s="9">
        <f>IF($G1280="","",IFERROR(INDEX(LINHAS_DRE_PLANO,MATCH($G1280,SUBCATEGORIAS_PLANO,0)),"Não classificado"))</f>
        <v/>
      </c>
      <c r="AG1280" s="17">
        <f>IF($G1280="","",IFERROR(INDEX(TIPOS_FLUXO_PLANO,MATCH($G1280,SUBCATEGORIAS_PLANO,0)),"Não classificado"))</f>
        <v/>
      </c>
      <c r="AH1280" s="9">
        <f>IF($G1280="","",IFERROR(INDEX(GRUPOS_PLANO,MATCH($G1280,SUBCATEGORIAS_PLANO,0)),"Não classificado"))</f>
        <v/>
      </c>
      <c r="AI1280" s="24">
        <f>IF(OR($C1280="",$X1280="Pago",$X1280="Recebido",$X1280="Cancelado"),"",$C1280-TODAY())</f>
        <v/>
      </c>
      <c r="AJ1280" s="24">
        <f>IF(OR($C1280="",$X1280="Pago",$X1280="Recebido",$X1280="Cancelado"),0,MAX(0,TODAY()-$C1280))</f>
        <v/>
      </c>
      <c r="AK1280" s="24">
        <f>IF($D1280="","",$D1280-$B1280)</f>
        <v/>
      </c>
      <c r="AL1280" s="18">
        <f>IF(OR($D1280="",$B1280=""),"",ROUND(N($R1280)*($D1280-$B1280),2))</f>
        <v/>
      </c>
      <c r="AM1280" s="17">
        <f>IF(AND($E1280="Saída",$W1280&gt;0,$C1280&lt;&gt;""),$C1280+ROW()/1000000,"")</f>
        <v/>
      </c>
      <c r="AN1280" s="17">
        <f>IF(AND($E1280="Entrada",$W1280&gt;0,$C1280&lt;&gt;""),$C1280+ROW()/1000000,"")</f>
        <v/>
      </c>
      <c r="AO1280" s="9">
        <f>IF(COUNTA($B1280:$R1280)=0,"",IF(AND($I1280&lt;&gt;"",COUNTIF(CLIENTES_NOMES,$I1280)+COUNTIF(CLIENTES_FANTASIA,$I1280)+COUNTIF(FORNECEDORES_NOMES,$I1280)+COUNTIF(FORNECEDORES_FANTASIA,$I1280)=0),"⚠ Cliente/Fornecedor não cadastrado",IF(AND($G1280&lt;&gt;"",COUNTIF(SUBCATEGORIAS_PLANO,$G1280)=0),"⚠ Subcategoria fora do plano de contas",IF(OR($Q1280="",N($Q1280)=0),"⚠ Valor previsto não informado",IF(AND(OR($X1280="Pago",$X1280="Recebido"),$D1280=""),"⚠ Status pago/recebido sem data",IF(AND($D1280&lt;&gt;"",N($R1280)=0),"⚠ Data de pagamento sem valor realizado",IF(AND(N($P1280)&gt;1,N($O1280)&gt;N($P1280)),"⚠ Nº da parcela maior que o total",IF(AND($C1280&lt;&gt;"",$B1280&lt;&gt;"",$C1280&lt;$B1280),"⚠ Vencimento anterior à competência","OK"))))))))</f>
        <v/>
      </c>
    </row>
    <row r="1281">
      <c r="A1281" s="14" t="n"/>
      <c r="B1281" s="36" t="n"/>
      <c r="C1281" s="36" t="n"/>
      <c r="D1281" s="36" t="n"/>
      <c r="E1281" s="14" t="n"/>
      <c r="F1281" s="29" t="n"/>
      <c r="G1281" s="29" t="n"/>
      <c r="H1281" s="29" t="n"/>
      <c r="I1281" s="29" t="n"/>
      <c r="J1281" s="29" t="n"/>
      <c r="K1281" s="14" t="n"/>
      <c r="L1281" s="29" t="n"/>
      <c r="M1281" s="14" t="n"/>
      <c r="N1281" s="29" t="n"/>
      <c r="O1281" s="13" t="n"/>
      <c r="P1281" s="13" t="n"/>
      <c r="Q1281" s="35" t="n"/>
      <c r="R1281" s="35" t="n"/>
      <c r="S1281" s="35" t="n"/>
      <c r="T1281" s="35" t="n"/>
      <c r="U1281" s="35" t="n"/>
      <c r="V1281" s="18">
        <f>IF(COUNTA($B1281:$R1281)=0,"",ROUND(N($R1281)+N($S1281)+N($T1281)-N($U1281),2))</f>
        <v/>
      </c>
      <c r="W1281" s="18">
        <f>IF(COUNTA($B1281:$R1281)=0,"",IF(OR($X1281="Pago",$X1281="Recebido",$X1281="Cancelado"),0,ROUND(N($Q1281)+N($S1281)+N($T1281)-N($U1281)-N($R1281),2)))</f>
        <v/>
      </c>
      <c r="X1281" s="14" t="n"/>
      <c r="Y1281" s="17">
        <f>IF(COUNTA($B1281:$R1281)=0,"",IF($X1281="Cancelado","Cancelado",IF(OR($X1281="Pago",$X1281="Recebido"),$X1281,IF(OR($X1281="Parcial",N($R1281)&gt;0),"Parcial",IF($C1281="","Sem vencimento",IF($C1281&lt;TODAY(),"Vencido",IF($C1281=TODAY(),"Vence hoje",IF($C1281&lt;=TODAY()+7,"Vence em 7 dias",IF($C1281&lt;=TODAY()+30,"Vence em 30 dias","Futuro")))))))))</f>
        <v/>
      </c>
      <c r="Z1281" s="24">
        <f>IF($B1281="","",MONTH($B1281))</f>
        <v/>
      </c>
      <c r="AA1281" s="24">
        <f>IF($B1281="","",YEAR($B1281))</f>
        <v/>
      </c>
      <c r="AB1281" s="24">
        <f>IF($B1281="","",ISOWEEKNUM($B1281))</f>
        <v/>
      </c>
      <c r="AC1281" s="17">
        <f>IF($B1281="","",CHOOSE(WEEKDAY($B1281,2),"Segunda","Terça","Quarta","Quinta","Sexta","Sábado","Domingo"))</f>
        <v/>
      </c>
      <c r="AD1281" s="17">
        <f>IF($B1281="","",TEXT($B1281,"MM/AAAA"))</f>
        <v/>
      </c>
      <c r="AE1281" s="18">
        <f>IF(COUNTA($B1281:$R1281)=0,"",IF($X1281="Cancelado",0,ROUND(N($Q1281)+N($S1281)+N($T1281)-N($U1281),2)))</f>
        <v/>
      </c>
      <c r="AF1281" s="9">
        <f>IF($G1281="","",IFERROR(INDEX(LINHAS_DRE_PLANO,MATCH($G1281,SUBCATEGORIAS_PLANO,0)),"Não classificado"))</f>
        <v/>
      </c>
      <c r="AG1281" s="17">
        <f>IF($G1281="","",IFERROR(INDEX(TIPOS_FLUXO_PLANO,MATCH($G1281,SUBCATEGORIAS_PLANO,0)),"Não classificado"))</f>
        <v/>
      </c>
      <c r="AH1281" s="9">
        <f>IF($G1281="","",IFERROR(INDEX(GRUPOS_PLANO,MATCH($G1281,SUBCATEGORIAS_PLANO,0)),"Não classificado"))</f>
        <v/>
      </c>
      <c r="AI1281" s="24">
        <f>IF(OR($C1281="",$X1281="Pago",$X1281="Recebido",$X1281="Cancelado"),"",$C1281-TODAY())</f>
        <v/>
      </c>
      <c r="AJ1281" s="24">
        <f>IF(OR($C1281="",$X1281="Pago",$X1281="Recebido",$X1281="Cancelado"),0,MAX(0,TODAY()-$C1281))</f>
        <v/>
      </c>
      <c r="AK1281" s="24">
        <f>IF($D1281="","",$D1281-$B1281)</f>
        <v/>
      </c>
      <c r="AL1281" s="18">
        <f>IF(OR($D1281="",$B1281=""),"",ROUND(N($R1281)*($D1281-$B1281),2))</f>
        <v/>
      </c>
      <c r="AM1281" s="17">
        <f>IF(AND($E1281="Saída",$W1281&gt;0,$C1281&lt;&gt;""),$C1281+ROW()/1000000,"")</f>
        <v/>
      </c>
      <c r="AN1281" s="17">
        <f>IF(AND($E1281="Entrada",$W1281&gt;0,$C1281&lt;&gt;""),$C1281+ROW()/1000000,"")</f>
        <v/>
      </c>
      <c r="AO1281" s="9">
        <f>IF(COUNTA($B1281:$R1281)=0,"",IF(AND($I1281&lt;&gt;"",COUNTIF(CLIENTES_NOMES,$I1281)+COUNTIF(CLIENTES_FANTASIA,$I1281)+COUNTIF(FORNECEDORES_NOMES,$I1281)+COUNTIF(FORNECEDORES_FANTASIA,$I1281)=0),"⚠ Cliente/Fornecedor não cadastrado",IF(AND($G1281&lt;&gt;"",COUNTIF(SUBCATEGORIAS_PLANO,$G1281)=0),"⚠ Subcategoria fora do plano de contas",IF(OR($Q1281="",N($Q1281)=0),"⚠ Valor previsto não informado",IF(AND(OR($X1281="Pago",$X1281="Recebido"),$D1281=""),"⚠ Status pago/recebido sem data",IF(AND($D1281&lt;&gt;"",N($R1281)=0),"⚠ Data de pagamento sem valor realizado",IF(AND(N($P1281)&gt;1,N($O1281)&gt;N($P1281)),"⚠ Nº da parcela maior que o total",IF(AND($C1281&lt;&gt;"",$B1281&lt;&gt;"",$C1281&lt;$B1281),"⚠ Vencimento anterior à competência","OK"))))))))</f>
        <v/>
      </c>
    </row>
    <row r="1282">
      <c r="A1282" s="14" t="n"/>
      <c r="B1282" s="36" t="n"/>
      <c r="C1282" s="36" t="n"/>
      <c r="D1282" s="36" t="n"/>
      <c r="E1282" s="14" t="n"/>
      <c r="F1282" s="29" t="n"/>
      <c r="G1282" s="29" t="n"/>
      <c r="H1282" s="29" t="n"/>
      <c r="I1282" s="29" t="n"/>
      <c r="J1282" s="29" t="n"/>
      <c r="K1282" s="14" t="n"/>
      <c r="L1282" s="29" t="n"/>
      <c r="M1282" s="14" t="n"/>
      <c r="N1282" s="29" t="n"/>
      <c r="O1282" s="13" t="n"/>
      <c r="P1282" s="13" t="n"/>
      <c r="Q1282" s="35" t="n"/>
      <c r="R1282" s="35" t="n"/>
      <c r="S1282" s="35" t="n"/>
      <c r="T1282" s="35" t="n"/>
      <c r="U1282" s="35" t="n"/>
      <c r="V1282" s="18">
        <f>IF(COUNTA($B1282:$R1282)=0,"",ROUND(N($R1282)+N($S1282)+N($T1282)-N($U1282),2))</f>
        <v/>
      </c>
      <c r="W1282" s="18">
        <f>IF(COUNTA($B1282:$R1282)=0,"",IF(OR($X1282="Pago",$X1282="Recebido",$X1282="Cancelado"),0,ROUND(N($Q1282)+N($S1282)+N($T1282)-N($U1282)-N($R1282),2)))</f>
        <v/>
      </c>
      <c r="X1282" s="14" t="n"/>
      <c r="Y1282" s="17">
        <f>IF(COUNTA($B1282:$R1282)=0,"",IF($X1282="Cancelado","Cancelado",IF(OR($X1282="Pago",$X1282="Recebido"),$X1282,IF(OR($X1282="Parcial",N($R1282)&gt;0),"Parcial",IF($C1282="","Sem vencimento",IF($C1282&lt;TODAY(),"Vencido",IF($C1282=TODAY(),"Vence hoje",IF($C1282&lt;=TODAY()+7,"Vence em 7 dias",IF($C1282&lt;=TODAY()+30,"Vence em 30 dias","Futuro")))))))))</f>
        <v/>
      </c>
      <c r="Z1282" s="24">
        <f>IF($B1282="","",MONTH($B1282))</f>
        <v/>
      </c>
      <c r="AA1282" s="24">
        <f>IF($B1282="","",YEAR($B1282))</f>
        <v/>
      </c>
      <c r="AB1282" s="24">
        <f>IF($B1282="","",ISOWEEKNUM($B1282))</f>
        <v/>
      </c>
      <c r="AC1282" s="17">
        <f>IF($B1282="","",CHOOSE(WEEKDAY($B1282,2),"Segunda","Terça","Quarta","Quinta","Sexta","Sábado","Domingo"))</f>
        <v/>
      </c>
      <c r="AD1282" s="17">
        <f>IF($B1282="","",TEXT($B1282,"MM/AAAA"))</f>
        <v/>
      </c>
      <c r="AE1282" s="18">
        <f>IF(COUNTA($B1282:$R1282)=0,"",IF($X1282="Cancelado",0,ROUND(N($Q1282)+N($S1282)+N($T1282)-N($U1282),2)))</f>
        <v/>
      </c>
      <c r="AF1282" s="9">
        <f>IF($G1282="","",IFERROR(INDEX(LINHAS_DRE_PLANO,MATCH($G1282,SUBCATEGORIAS_PLANO,0)),"Não classificado"))</f>
        <v/>
      </c>
      <c r="AG1282" s="17">
        <f>IF($G1282="","",IFERROR(INDEX(TIPOS_FLUXO_PLANO,MATCH($G1282,SUBCATEGORIAS_PLANO,0)),"Não classificado"))</f>
        <v/>
      </c>
      <c r="AH1282" s="9">
        <f>IF($G1282="","",IFERROR(INDEX(GRUPOS_PLANO,MATCH($G1282,SUBCATEGORIAS_PLANO,0)),"Não classificado"))</f>
        <v/>
      </c>
      <c r="AI1282" s="24">
        <f>IF(OR($C1282="",$X1282="Pago",$X1282="Recebido",$X1282="Cancelado"),"",$C1282-TODAY())</f>
        <v/>
      </c>
      <c r="AJ1282" s="24">
        <f>IF(OR($C1282="",$X1282="Pago",$X1282="Recebido",$X1282="Cancelado"),0,MAX(0,TODAY()-$C1282))</f>
        <v/>
      </c>
      <c r="AK1282" s="24">
        <f>IF($D1282="","",$D1282-$B1282)</f>
        <v/>
      </c>
      <c r="AL1282" s="18">
        <f>IF(OR($D1282="",$B1282=""),"",ROUND(N($R1282)*($D1282-$B1282),2))</f>
        <v/>
      </c>
      <c r="AM1282" s="17">
        <f>IF(AND($E1282="Saída",$W1282&gt;0,$C1282&lt;&gt;""),$C1282+ROW()/1000000,"")</f>
        <v/>
      </c>
      <c r="AN1282" s="17">
        <f>IF(AND($E1282="Entrada",$W1282&gt;0,$C1282&lt;&gt;""),$C1282+ROW()/1000000,"")</f>
        <v/>
      </c>
      <c r="AO1282" s="9">
        <f>IF(COUNTA($B1282:$R1282)=0,"",IF(AND($I1282&lt;&gt;"",COUNTIF(CLIENTES_NOMES,$I1282)+COUNTIF(CLIENTES_FANTASIA,$I1282)+COUNTIF(FORNECEDORES_NOMES,$I1282)+COUNTIF(FORNECEDORES_FANTASIA,$I1282)=0),"⚠ Cliente/Fornecedor não cadastrado",IF(AND($G1282&lt;&gt;"",COUNTIF(SUBCATEGORIAS_PLANO,$G1282)=0),"⚠ Subcategoria fora do plano de contas",IF(OR($Q1282="",N($Q1282)=0),"⚠ Valor previsto não informado",IF(AND(OR($X1282="Pago",$X1282="Recebido"),$D1282=""),"⚠ Status pago/recebido sem data",IF(AND($D1282&lt;&gt;"",N($R1282)=0),"⚠ Data de pagamento sem valor realizado",IF(AND(N($P1282)&gt;1,N($O1282)&gt;N($P1282)),"⚠ Nº da parcela maior que o total",IF(AND($C1282&lt;&gt;"",$B1282&lt;&gt;"",$C1282&lt;$B1282),"⚠ Vencimento anterior à competência","OK"))))))))</f>
        <v/>
      </c>
    </row>
    <row r="1283">
      <c r="A1283" s="14" t="n"/>
      <c r="B1283" s="36" t="n"/>
      <c r="C1283" s="36" t="n"/>
      <c r="D1283" s="36" t="n"/>
      <c r="E1283" s="14" t="n"/>
      <c r="F1283" s="29" t="n"/>
      <c r="G1283" s="29" t="n"/>
      <c r="H1283" s="29" t="n"/>
      <c r="I1283" s="29" t="n"/>
      <c r="J1283" s="29" t="n"/>
      <c r="K1283" s="14" t="n"/>
      <c r="L1283" s="29" t="n"/>
      <c r="M1283" s="14" t="n"/>
      <c r="N1283" s="29" t="n"/>
      <c r="O1283" s="13" t="n"/>
      <c r="P1283" s="13" t="n"/>
      <c r="Q1283" s="35" t="n"/>
      <c r="R1283" s="35" t="n"/>
      <c r="S1283" s="35" t="n"/>
      <c r="T1283" s="35" t="n"/>
      <c r="U1283" s="35" t="n"/>
      <c r="V1283" s="18">
        <f>IF(COUNTA($B1283:$R1283)=0,"",ROUND(N($R1283)+N($S1283)+N($T1283)-N($U1283),2))</f>
        <v/>
      </c>
      <c r="W1283" s="18">
        <f>IF(COUNTA($B1283:$R1283)=0,"",IF(OR($X1283="Pago",$X1283="Recebido",$X1283="Cancelado"),0,ROUND(N($Q1283)+N($S1283)+N($T1283)-N($U1283)-N($R1283),2)))</f>
        <v/>
      </c>
      <c r="X1283" s="14" t="n"/>
      <c r="Y1283" s="17">
        <f>IF(COUNTA($B1283:$R1283)=0,"",IF($X1283="Cancelado","Cancelado",IF(OR($X1283="Pago",$X1283="Recebido"),$X1283,IF(OR($X1283="Parcial",N($R1283)&gt;0),"Parcial",IF($C1283="","Sem vencimento",IF($C1283&lt;TODAY(),"Vencido",IF($C1283=TODAY(),"Vence hoje",IF($C1283&lt;=TODAY()+7,"Vence em 7 dias",IF($C1283&lt;=TODAY()+30,"Vence em 30 dias","Futuro")))))))))</f>
        <v/>
      </c>
      <c r="Z1283" s="24">
        <f>IF($B1283="","",MONTH($B1283))</f>
        <v/>
      </c>
      <c r="AA1283" s="24">
        <f>IF($B1283="","",YEAR($B1283))</f>
        <v/>
      </c>
      <c r="AB1283" s="24">
        <f>IF($B1283="","",ISOWEEKNUM($B1283))</f>
        <v/>
      </c>
      <c r="AC1283" s="17">
        <f>IF($B1283="","",CHOOSE(WEEKDAY($B1283,2),"Segunda","Terça","Quarta","Quinta","Sexta","Sábado","Domingo"))</f>
        <v/>
      </c>
      <c r="AD1283" s="17">
        <f>IF($B1283="","",TEXT($B1283,"MM/AAAA"))</f>
        <v/>
      </c>
      <c r="AE1283" s="18">
        <f>IF(COUNTA($B1283:$R1283)=0,"",IF($X1283="Cancelado",0,ROUND(N($Q1283)+N($S1283)+N($T1283)-N($U1283),2)))</f>
        <v/>
      </c>
      <c r="AF1283" s="9">
        <f>IF($G1283="","",IFERROR(INDEX(LINHAS_DRE_PLANO,MATCH($G1283,SUBCATEGORIAS_PLANO,0)),"Não classificado"))</f>
        <v/>
      </c>
      <c r="AG1283" s="17">
        <f>IF($G1283="","",IFERROR(INDEX(TIPOS_FLUXO_PLANO,MATCH($G1283,SUBCATEGORIAS_PLANO,0)),"Não classificado"))</f>
        <v/>
      </c>
      <c r="AH1283" s="9">
        <f>IF($G1283="","",IFERROR(INDEX(GRUPOS_PLANO,MATCH($G1283,SUBCATEGORIAS_PLANO,0)),"Não classificado"))</f>
        <v/>
      </c>
      <c r="AI1283" s="24">
        <f>IF(OR($C1283="",$X1283="Pago",$X1283="Recebido",$X1283="Cancelado"),"",$C1283-TODAY())</f>
        <v/>
      </c>
      <c r="AJ1283" s="24">
        <f>IF(OR($C1283="",$X1283="Pago",$X1283="Recebido",$X1283="Cancelado"),0,MAX(0,TODAY()-$C1283))</f>
        <v/>
      </c>
      <c r="AK1283" s="24">
        <f>IF($D1283="","",$D1283-$B1283)</f>
        <v/>
      </c>
      <c r="AL1283" s="18">
        <f>IF(OR($D1283="",$B1283=""),"",ROUND(N($R1283)*($D1283-$B1283),2))</f>
        <v/>
      </c>
      <c r="AM1283" s="17">
        <f>IF(AND($E1283="Saída",$W1283&gt;0,$C1283&lt;&gt;""),$C1283+ROW()/1000000,"")</f>
        <v/>
      </c>
      <c r="AN1283" s="17">
        <f>IF(AND($E1283="Entrada",$W1283&gt;0,$C1283&lt;&gt;""),$C1283+ROW()/1000000,"")</f>
        <v/>
      </c>
      <c r="AO1283" s="9">
        <f>IF(COUNTA($B1283:$R1283)=0,"",IF(AND($I1283&lt;&gt;"",COUNTIF(CLIENTES_NOMES,$I1283)+COUNTIF(CLIENTES_FANTASIA,$I1283)+COUNTIF(FORNECEDORES_NOMES,$I1283)+COUNTIF(FORNECEDORES_FANTASIA,$I1283)=0),"⚠ Cliente/Fornecedor não cadastrado",IF(AND($G1283&lt;&gt;"",COUNTIF(SUBCATEGORIAS_PLANO,$G1283)=0),"⚠ Subcategoria fora do plano de contas",IF(OR($Q1283="",N($Q1283)=0),"⚠ Valor previsto não informado",IF(AND(OR($X1283="Pago",$X1283="Recebido"),$D1283=""),"⚠ Status pago/recebido sem data",IF(AND($D1283&lt;&gt;"",N($R1283)=0),"⚠ Data de pagamento sem valor realizado",IF(AND(N($P1283)&gt;1,N($O1283)&gt;N($P1283)),"⚠ Nº da parcela maior que o total",IF(AND($C1283&lt;&gt;"",$B1283&lt;&gt;"",$C1283&lt;$B1283),"⚠ Vencimento anterior à competência","OK"))))))))</f>
        <v/>
      </c>
    </row>
    <row r="1284">
      <c r="A1284" s="14" t="n"/>
      <c r="B1284" s="36" t="n"/>
      <c r="C1284" s="36" t="n"/>
      <c r="D1284" s="36" t="n"/>
      <c r="E1284" s="14" t="n"/>
      <c r="F1284" s="29" t="n"/>
      <c r="G1284" s="29" t="n"/>
      <c r="H1284" s="29" t="n"/>
      <c r="I1284" s="29" t="n"/>
      <c r="J1284" s="29" t="n"/>
      <c r="K1284" s="14" t="n"/>
      <c r="L1284" s="29" t="n"/>
      <c r="M1284" s="14" t="n"/>
      <c r="N1284" s="29" t="n"/>
      <c r="O1284" s="13" t="n"/>
      <c r="P1284" s="13" t="n"/>
      <c r="Q1284" s="35" t="n"/>
      <c r="R1284" s="35" t="n"/>
      <c r="S1284" s="35" t="n"/>
      <c r="T1284" s="35" t="n"/>
      <c r="U1284" s="35" t="n"/>
      <c r="V1284" s="18">
        <f>IF(COUNTA($B1284:$R1284)=0,"",ROUND(N($R1284)+N($S1284)+N($T1284)-N($U1284),2))</f>
        <v/>
      </c>
      <c r="W1284" s="18">
        <f>IF(COUNTA($B1284:$R1284)=0,"",IF(OR($X1284="Pago",$X1284="Recebido",$X1284="Cancelado"),0,ROUND(N($Q1284)+N($S1284)+N($T1284)-N($U1284)-N($R1284),2)))</f>
        <v/>
      </c>
      <c r="X1284" s="14" t="n"/>
      <c r="Y1284" s="17">
        <f>IF(COUNTA($B1284:$R1284)=0,"",IF($X1284="Cancelado","Cancelado",IF(OR($X1284="Pago",$X1284="Recebido"),$X1284,IF(OR($X1284="Parcial",N($R1284)&gt;0),"Parcial",IF($C1284="","Sem vencimento",IF($C1284&lt;TODAY(),"Vencido",IF($C1284=TODAY(),"Vence hoje",IF($C1284&lt;=TODAY()+7,"Vence em 7 dias",IF($C1284&lt;=TODAY()+30,"Vence em 30 dias","Futuro")))))))))</f>
        <v/>
      </c>
      <c r="Z1284" s="24">
        <f>IF($B1284="","",MONTH($B1284))</f>
        <v/>
      </c>
      <c r="AA1284" s="24">
        <f>IF($B1284="","",YEAR($B1284))</f>
        <v/>
      </c>
      <c r="AB1284" s="24">
        <f>IF($B1284="","",ISOWEEKNUM($B1284))</f>
        <v/>
      </c>
      <c r="AC1284" s="17">
        <f>IF($B1284="","",CHOOSE(WEEKDAY($B1284,2),"Segunda","Terça","Quarta","Quinta","Sexta","Sábado","Domingo"))</f>
        <v/>
      </c>
      <c r="AD1284" s="17">
        <f>IF($B1284="","",TEXT($B1284,"MM/AAAA"))</f>
        <v/>
      </c>
      <c r="AE1284" s="18">
        <f>IF(COUNTA($B1284:$R1284)=0,"",IF($X1284="Cancelado",0,ROUND(N($Q1284)+N($S1284)+N($T1284)-N($U1284),2)))</f>
        <v/>
      </c>
      <c r="AF1284" s="9">
        <f>IF($G1284="","",IFERROR(INDEX(LINHAS_DRE_PLANO,MATCH($G1284,SUBCATEGORIAS_PLANO,0)),"Não classificado"))</f>
        <v/>
      </c>
      <c r="AG1284" s="17">
        <f>IF($G1284="","",IFERROR(INDEX(TIPOS_FLUXO_PLANO,MATCH($G1284,SUBCATEGORIAS_PLANO,0)),"Não classificado"))</f>
        <v/>
      </c>
      <c r="AH1284" s="9">
        <f>IF($G1284="","",IFERROR(INDEX(GRUPOS_PLANO,MATCH($G1284,SUBCATEGORIAS_PLANO,0)),"Não classificado"))</f>
        <v/>
      </c>
      <c r="AI1284" s="24">
        <f>IF(OR($C1284="",$X1284="Pago",$X1284="Recebido",$X1284="Cancelado"),"",$C1284-TODAY())</f>
        <v/>
      </c>
      <c r="AJ1284" s="24">
        <f>IF(OR($C1284="",$X1284="Pago",$X1284="Recebido",$X1284="Cancelado"),0,MAX(0,TODAY()-$C1284))</f>
        <v/>
      </c>
      <c r="AK1284" s="24">
        <f>IF($D1284="","",$D1284-$B1284)</f>
        <v/>
      </c>
      <c r="AL1284" s="18">
        <f>IF(OR($D1284="",$B1284=""),"",ROUND(N($R1284)*($D1284-$B1284),2))</f>
        <v/>
      </c>
      <c r="AM1284" s="17">
        <f>IF(AND($E1284="Saída",$W1284&gt;0,$C1284&lt;&gt;""),$C1284+ROW()/1000000,"")</f>
        <v/>
      </c>
      <c r="AN1284" s="17">
        <f>IF(AND($E1284="Entrada",$W1284&gt;0,$C1284&lt;&gt;""),$C1284+ROW()/1000000,"")</f>
        <v/>
      </c>
      <c r="AO1284" s="9">
        <f>IF(COUNTA($B1284:$R1284)=0,"",IF(AND($I1284&lt;&gt;"",COUNTIF(CLIENTES_NOMES,$I1284)+COUNTIF(CLIENTES_FANTASIA,$I1284)+COUNTIF(FORNECEDORES_NOMES,$I1284)+COUNTIF(FORNECEDORES_FANTASIA,$I1284)=0),"⚠ Cliente/Fornecedor não cadastrado",IF(AND($G1284&lt;&gt;"",COUNTIF(SUBCATEGORIAS_PLANO,$G1284)=0),"⚠ Subcategoria fora do plano de contas",IF(OR($Q1284="",N($Q1284)=0),"⚠ Valor previsto não informado",IF(AND(OR($X1284="Pago",$X1284="Recebido"),$D1284=""),"⚠ Status pago/recebido sem data",IF(AND($D1284&lt;&gt;"",N($R1284)=0),"⚠ Data de pagamento sem valor realizado",IF(AND(N($P1284)&gt;1,N($O1284)&gt;N($P1284)),"⚠ Nº da parcela maior que o total",IF(AND($C1284&lt;&gt;"",$B1284&lt;&gt;"",$C1284&lt;$B1284),"⚠ Vencimento anterior à competência","OK"))))))))</f>
        <v/>
      </c>
    </row>
    <row r="1285">
      <c r="A1285" s="14" t="n"/>
      <c r="B1285" s="36" t="n"/>
      <c r="C1285" s="36" t="n"/>
      <c r="D1285" s="36" t="n"/>
      <c r="E1285" s="14" t="n"/>
      <c r="F1285" s="29" t="n"/>
      <c r="G1285" s="29" t="n"/>
      <c r="H1285" s="29" t="n"/>
      <c r="I1285" s="29" t="n"/>
      <c r="J1285" s="29" t="n"/>
      <c r="K1285" s="14" t="n"/>
      <c r="L1285" s="29" t="n"/>
      <c r="M1285" s="14" t="n"/>
      <c r="N1285" s="29" t="n"/>
      <c r="O1285" s="13" t="n"/>
      <c r="P1285" s="13" t="n"/>
      <c r="Q1285" s="35" t="n"/>
      <c r="R1285" s="35" t="n"/>
      <c r="S1285" s="35" t="n"/>
      <c r="T1285" s="35" t="n"/>
      <c r="U1285" s="35" t="n"/>
      <c r="V1285" s="18">
        <f>IF(COUNTA($B1285:$R1285)=0,"",ROUND(N($R1285)+N($S1285)+N($T1285)-N($U1285),2))</f>
        <v/>
      </c>
      <c r="W1285" s="18">
        <f>IF(COUNTA($B1285:$R1285)=0,"",IF(OR($X1285="Pago",$X1285="Recebido",$X1285="Cancelado"),0,ROUND(N($Q1285)+N($S1285)+N($T1285)-N($U1285)-N($R1285),2)))</f>
        <v/>
      </c>
      <c r="X1285" s="14" t="n"/>
      <c r="Y1285" s="17">
        <f>IF(COUNTA($B1285:$R1285)=0,"",IF($X1285="Cancelado","Cancelado",IF(OR($X1285="Pago",$X1285="Recebido"),$X1285,IF(OR($X1285="Parcial",N($R1285)&gt;0),"Parcial",IF($C1285="","Sem vencimento",IF($C1285&lt;TODAY(),"Vencido",IF($C1285=TODAY(),"Vence hoje",IF($C1285&lt;=TODAY()+7,"Vence em 7 dias",IF($C1285&lt;=TODAY()+30,"Vence em 30 dias","Futuro")))))))))</f>
        <v/>
      </c>
      <c r="Z1285" s="24">
        <f>IF($B1285="","",MONTH($B1285))</f>
        <v/>
      </c>
      <c r="AA1285" s="24">
        <f>IF($B1285="","",YEAR($B1285))</f>
        <v/>
      </c>
      <c r="AB1285" s="24">
        <f>IF($B1285="","",ISOWEEKNUM($B1285))</f>
        <v/>
      </c>
      <c r="AC1285" s="17">
        <f>IF($B1285="","",CHOOSE(WEEKDAY($B1285,2),"Segunda","Terça","Quarta","Quinta","Sexta","Sábado","Domingo"))</f>
        <v/>
      </c>
      <c r="AD1285" s="17">
        <f>IF($B1285="","",TEXT($B1285,"MM/AAAA"))</f>
        <v/>
      </c>
      <c r="AE1285" s="18">
        <f>IF(COUNTA($B1285:$R1285)=0,"",IF($X1285="Cancelado",0,ROUND(N($Q1285)+N($S1285)+N($T1285)-N($U1285),2)))</f>
        <v/>
      </c>
      <c r="AF1285" s="9">
        <f>IF($G1285="","",IFERROR(INDEX(LINHAS_DRE_PLANO,MATCH($G1285,SUBCATEGORIAS_PLANO,0)),"Não classificado"))</f>
        <v/>
      </c>
      <c r="AG1285" s="17">
        <f>IF($G1285="","",IFERROR(INDEX(TIPOS_FLUXO_PLANO,MATCH($G1285,SUBCATEGORIAS_PLANO,0)),"Não classificado"))</f>
        <v/>
      </c>
      <c r="AH1285" s="9">
        <f>IF($G1285="","",IFERROR(INDEX(GRUPOS_PLANO,MATCH($G1285,SUBCATEGORIAS_PLANO,0)),"Não classificado"))</f>
        <v/>
      </c>
      <c r="AI1285" s="24">
        <f>IF(OR($C1285="",$X1285="Pago",$X1285="Recebido",$X1285="Cancelado"),"",$C1285-TODAY())</f>
        <v/>
      </c>
      <c r="AJ1285" s="24">
        <f>IF(OR($C1285="",$X1285="Pago",$X1285="Recebido",$X1285="Cancelado"),0,MAX(0,TODAY()-$C1285))</f>
        <v/>
      </c>
      <c r="AK1285" s="24">
        <f>IF($D1285="","",$D1285-$B1285)</f>
        <v/>
      </c>
      <c r="AL1285" s="18">
        <f>IF(OR($D1285="",$B1285=""),"",ROUND(N($R1285)*($D1285-$B1285),2))</f>
        <v/>
      </c>
      <c r="AM1285" s="17">
        <f>IF(AND($E1285="Saída",$W1285&gt;0,$C1285&lt;&gt;""),$C1285+ROW()/1000000,"")</f>
        <v/>
      </c>
      <c r="AN1285" s="17">
        <f>IF(AND($E1285="Entrada",$W1285&gt;0,$C1285&lt;&gt;""),$C1285+ROW()/1000000,"")</f>
        <v/>
      </c>
      <c r="AO1285" s="9">
        <f>IF(COUNTA($B1285:$R1285)=0,"",IF(AND($I1285&lt;&gt;"",COUNTIF(CLIENTES_NOMES,$I1285)+COUNTIF(CLIENTES_FANTASIA,$I1285)+COUNTIF(FORNECEDORES_NOMES,$I1285)+COUNTIF(FORNECEDORES_FANTASIA,$I1285)=0),"⚠ Cliente/Fornecedor não cadastrado",IF(AND($G1285&lt;&gt;"",COUNTIF(SUBCATEGORIAS_PLANO,$G1285)=0),"⚠ Subcategoria fora do plano de contas",IF(OR($Q1285="",N($Q1285)=0),"⚠ Valor previsto não informado",IF(AND(OR($X1285="Pago",$X1285="Recebido"),$D1285=""),"⚠ Status pago/recebido sem data",IF(AND($D1285&lt;&gt;"",N($R1285)=0),"⚠ Data de pagamento sem valor realizado",IF(AND(N($P1285)&gt;1,N($O1285)&gt;N($P1285)),"⚠ Nº da parcela maior que o total",IF(AND($C1285&lt;&gt;"",$B1285&lt;&gt;"",$C1285&lt;$B1285),"⚠ Vencimento anterior à competência","OK"))))))))</f>
        <v/>
      </c>
    </row>
    <row r="1286">
      <c r="A1286" s="14" t="n"/>
      <c r="B1286" s="36" t="n"/>
      <c r="C1286" s="36" t="n"/>
      <c r="D1286" s="36" t="n"/>
      <c r="E1286" s="14" t="n"/>
      <c r="F1286" s="29" t="n"/>
      <c r="G1286" s="29" t="n"/>
      <c r="H1286" s="29" t="n"/>
      <c r="I1286" s="29" t="n"/>
      <c r="J1286" s="29" t="n"/>
      <c r="K1286" s="14" t="n"/>
      <c r="L1286" s="29" t="n"/>
      <c r="M1286" s="14" t="n"/>
      <c r="N1286" s="29" t="n"/>
      <c r="O1286" s="13" t="n"/>
      <c r="P1286" s="13" t="n"/>
      <c r="Q1286" s="35" t="n"/>
      <c r="R1286" s="35" t="n"/>
      <c r="S1286" s="35" t="n"/>
      <c r="T1286" s="35" t="n"/>
      <c r="U1286" s="35" t="n"/>
      <c r="V1286" s="18">
        <f>IF(COUNTA($B1286:$R1286)=0,"",ROUND(N($R1286)+N($S1286)+N($T1286)-N($U1286),2))</f>
        <v/>
      </c>
      <c r="W1286" s="18">
        <f>IF(COUNTA($B1286:$R1286)=0,"",IF(OR($X1286="Pago",$X1286="Recebido",$X1286="Cancelado"),0,ROUND(N($Q1286)+N($S1286)+N($T1286)-N($U1286)-N($R1286),2)))</f>
        <v/>
      </c>
      <c r="X1286" s="14" t="n"/>
      <c r="Y1286" s="17">
        <f>IF(COUNTA($B1286:$R1286)=0,"",IF($X1286="Cancelado","Cancelado",IF(OR($X1286="Pago",$X1286="Recebido"),$X1286,IF(OR($X1286="Parcial",N($R1286)&gt;0),"Parcial",IF($C1286="","Sem vencimento",IF($C1286&lt;TODAY(),"Vencido",IF($C1286=TODAY(),"Vence hoje",IF($C1286&lt;=TODAY()+7,"Vence em 7 dias",IF($C1286&lt;=TODAY()+30,"Vence em 30 dias","Futuro")))))))))</f>
        <v/>
      </c>
      <c r="Z1286" s="24">
        <f>IF($B1286="","",MONTH($B1286))</f>
        <v/>
      </c>
      <c r="AA1286" s="24">
        <f>IF($B1286="","",YEAR($B1286))</f>
        <v/>
      </c>
      <c r="AB1286" s="24">
        <f>IF($B1286="","",ISOWEEKNUM($B1286))</f>
        <v/>
      </c>
      <c r="AC1286" s="17">
        <f>IF($B1286="","",CHOOSE(WEEKDAY($B1286,2),"Segunda","Terça","Quarta","Quinta","Sexta","Sábado","Domingo"))</f>
        <v/>
      </c>
      <c r="AD1286" s="17">
        <f>IF($B1286="","",TEXT($B1286,"MM/AAAA"))</f>
        <v/>
      </c>
      <c r="AE1286" s="18">
        <f>IF(COUNTA($B1286:$R1286)=0,"",IF($X1286="Cancelado",0,ROUND(N($Q1286)+N($S1286)+N($T1286)-N($U1286),2)))</f>
        <v/>
      </c>
      <c r="AF1286" s="9">
        <f>IF($G1286="","",IFERROR(INDEX(LINHAS_DRE_PLANO,MATCH($G1286,SUBCATEGORIAS_PLANO,0)),"Não classificado"))</f>
        <v/>
      </c>
      <c r="AG1286" s="17">
        <f>IF($G1286="","",IFERROR(INDEX(TIPOS_FLUXO_PLANO,MATCH($G1286,SUBCATEGORIAS_PLANO,0)),"Não classificado"))</f>
        <v/>
      </c>
      <c r="AH1286" s="9">
        <f>IF($G1286="","",IFERROR(INDEX(GRUPOS_PLANO,MATCH($G1286,SUBCATEGORIAS_PLANO,0)),"Não classificado"))</f>
        <v/>
      </c>
      <c r="AI1286" s="24">
        <f>IF(OR($C1286="",$X1286="Pago",$X1286="Recebido",$X1286="Cancelado"),"",$C1286-TODAY())</f>
        <v/>
      </c>
      <c r="AJ1286" s="24">
        <f>IF(OR($C1286="",$X1286="Pago",$X1286="Recebido",$X1286="Cancelado"),0,MAX(0,TODAY()-$C1286))</f>
        <v/>
      </c>
      <c r="AK1286" s="24">
        <f>IF($D1286="","",$D1286-$B1286)</f>
        <v/>
      </c>
      <c r="AL1286" s="18">
        <f>IF(OR($D1286="",$B1286=""),"",ROUND(N($R1286)*($D1286-$B1286),2))</f>
        <v/>
      </c>
      <c r="AM1286" s="17">
        <f>IF(AND($E1286="Saída",$W1286&gt;0,$C1286&lt;&gt;""),$C1286+ROW()/1000000,"")</f>
        <v/>
      </c>
      <c r="AN1286" s="17">
        <f>IF(AND($E1286="Entrada",$W1286&gt;0,$C1286&lt;&gt;""),$C1286+ROW()/1000000,"")</f>
        <v/>
      </c>
      <c r="AO1286" s="9">
        <f>IF(COUNTA($B1286:$R1286)=0,"",IF(AND($I1286&lt;&gt;"",COUNTIF(CLIENTES_NOMES,$I1286)+COUNTIF(CLIENTES_FANTASIA,$I1286)+COUNTIF(FORNECEDORES_NOMES,$I1286)+COUNTIF(FORNECEDORES_FANTASIA,$I1286)=0),"⚠ Cliente/Fornecedor não cadastrado",IF(AND($G1286&lt;&gt;"",COUNTIF(SUBCATEGORIAS_PLANO,$G1286)=0),"⚠ Subcategoria fora do plano de contas",IF(OR($Q1286="",N($Q1286)=0),"⚠ Valor previsto não informado",IF(AND(OR($X1286="Pago",$X1286="Recebido"),$D1286=""),"⚠ Status pago/recebido sem data",IF(AND($D1286&lt;&gt;"",N($R1286)=0),"⚠ Data de pagamento sem valor realizado",IF(AND(N($P1286)&gt;1,N($O1286)&gt;N($P1286)),"⚠ Nº da parcela maior que o total",IF(AND($C1286&lt;&gt;"",$B1286&lt;&gt;"",$C1286&lt;$B1286),"⚠ Vencimento anterior à competência","OK"))))))))</f>
        <v/>
      </c>
    </row>
    <row r="1287">
      <c r="A1287" s="14" t="n"/>
      <c r="B1287" s="36" t="n"/>
      <c r="C1287" s="36" t="n"/>
      <c r="D1287" s="36" t="n"/>
      <c r="E1287" s="14" t="n"/>
      <c r="F1287" s="29" t="n"/>
      <c r="G1287" s="29" t="n"/>
      <c r="H1287" s="29" t="n"/>
      <c r="I1287" s="29" t="n"/>
      <c r="J1287" s="29" t="n"/>
      <c r="K1287" s="14" t="n"/>
      <c r="L1287" s="29" t="n"/>
      <c r="M1287" s="14" t="n"/>
      <c r="N1287" s="29" t="n"/>
      <c r="O1287" s="13" t="n"/>
      <c r="P1287" s="13" t="n"/>
      <c r="Q1287" s="35" t="n"/>
      <c r="R1287" s="35" t="n"/>
      <c r="S1287" s="35" t="n"/>
      <c r="T1287" s="35" t="n"/>
      <c r="U1287" s="35" t="n"/>
      <c r="V1287" s="18">
        <f>IF(COUNTA($B1287:$R1287)=0,"",ROUND(N($R1287)+N($S1287)+N($T1287)-N($U1287),2))</f>
        <v/>
      </c>
      <c r="W1287" s="18">
        <f>IF(COUNTA($B1287:$R1287)=0,"",IF(OR($X1287="Pago",$X1287="Recebido",$X1287="Cancelado"),0,ROUND(N($Q1287)+N($S1287)+N($T1287)-N($U1287)-N($R1287),2)))</f>
        <v/>
      </c>
      <c r="X1287" s="14" t="n"/>
      <c r="Y1287" s="17">
        <f>IF(COUNTA($B1287:$R1287)=0,"",IF($X1287="Cancelado","Cancelado",IF(OR($X1287="Pago",$X1287="Recebido"),$X1287,IF(OR($X1287="Parcial",N($R1287)&gt;0),"Parcial",IF($C1287="","Sem vencimento",IF($C1287&lt;TODAY(),"Vencido",IF($C1287=TODAY(),"Vence hoje",IF($C1287&lt;=TODAY()+7,"Vence em 7 dias",IF($C1287&lt;=TODAY()+30,"Vence em 30 dias","Futuro")))))))))</f>
        <v/>
      </c>
      <c r="Z1287" s="24">
        <f>IF($B1287="","",MONTH($B1287))</f>
        <v/>
      </c>
      <c r="AA1287" s="24">
        <f>IF($B1287="","",YEAR($B1287))</f>
        <v/>
      </c>
      <c r="AB1287" s="24">
        <f>IF($B1287="","",ISOWEEKNUM($B1287))</f>
        <v/>
      </c>
      <c r="AC1287" s="17">
        <f>IF($B1287="","",CHOOSE(WEEKDAY($B1287,2),"Segunda","Terça","Quarta","Quinta","Sexta","Sábado","Domingo"))</f>
        <v/>
      </c>
      <c r="AD1287" s="17">
        <f>IF($B1287="","",TEXT($B1287,"MM/AAAA"))</f>
        <v/>
      </c>
      <c r="AE1287" s="18">
        <f>IF(COUNTA($B1287:$R1287)=0,"",IF($X1287="Cancelado",0,ROUND(N($Q1287)+N($S1287)+N($T1287)-N($U1287),2)))</f>
        <v/>
      </c>
      <c r="AF1287" s="9">
        <f>IF($G1287="","",IFERROR(INDEX(LINHAS_DRE_PLANO,MATCH($G1287,SUBCATEGORIAS_PLANO,0)),"Não classificado"))</f>
        <v/>
      </c>
      <c r="AG1287" s="17">
        <f>IF($G1287="","",IFERROR(INDEX(TIPOS_FLUXO_PLANO,MATCH($G1287,SUBCATEGORIAS_PLANO,0)),"Não classificado"))</f>
        <v/>
      </c>
      <c r="AH1287" s="9">
        <f>IF($G1287="","",IFERROR(INDEX(GRUPOS_PLANO,MATCH($G1287,SUBCATEGORIAS_PLANO,0)),"Não classificado"))</f>
        <v/>
      </c>
      <c r="AI1287" s="24">
        <f>IF(OR($C1287="",$X1287="Pago",$X1287="Recebido",$X1287="Cancelado"),"",$C1287-TODAY())</f>
        <v/>
      </c>
      <c r="AJ1287" s="24">
        <f>IF(OR($C1287="",$X1287="Pago",$X1287="Recebido",$X1287="Cancelado"),0,MAX(0,TODAY()-$C1287))</f>
        <v/>
      </c>
      <c r="AK1287" s="24">
        <f>IF($D1287="","",$D1287-$B1287)</f>
        <v/>
      </c>
      <c r="AL1287" s="18">
        <f>IF(OR($D1287="",$B1287=""),"",ROUND(N($R1287)*($D1287-$B1287),2))</f>
        <v/>
      </c>
      <c r="AM1287" s="17">
        <f>IF(AND($E1287="Saída",$W1287&gt;0,$C1287&lt;&gt;""),$C1287+ROW()/1000000,"")</f>
        <v/>
      </c>
      <c r="AN1287" s="17">
        <f>IF(AND($E1287="Entrada",$W1287&gt;0,$C1287&lt;&gt;""),$C1287+ROW()/1000000,"")</f>
        <v/>
      </c>
      <c r="AO1287" s="9">
        <f>IF(COUNTA($B1287:$R1287)=0,"",IF(AND($I1287&lt;&gt;"",COUNTIF(CLIENTES_NOMES,$I1287)+COUNTIF(CLIENTES_FANTASIA,$I1287)+COUNTIF(FORNECEDORES_NOMES,$I1287)+COUNTIF(FORNECEDORES_FANTASIA,$I1287)=0),"⚠ Cliente/Fornecedor não cadastrado",IF(AND($G1287&lt;&gt;"",COUNTIF(SUBCATEGORIAS_PLANO,$G1287)=0),"⚠ Subcategoria fora do plano de contas",IF(OR($Q1287="",N($Q1287)=0),"⚠ Valor previsto não informado",IF(AND(OR($X1287="Pago",$X1287="Recebido"),$D1287=""),"⚠ Status pago/recebido sem data",IF(AND($D1287&lt;&gt;"",N($R1287)=0),"⚠ Data de pagamento sem valor realizado",IF(AND(N($P1287)&gt;1,N($O1287)&gt;N($P1287)),"⚠ Nº da parcela maior que o total",IF(AND($C1287&lt;&gt;"",$B1287&lt;&gt;"",$C1287&lt;$B1287),"⚠ Vencimento anterior à competência","OK"))))))))</f>
        <v/>
      </c>
    </row>
    <row r="1288">
      <c r="A1288" s="14" t="n"/>
      <c r="B1288" s="36" t="n"/>
      <c r="C1288" s="36" t="n"/>
      <c r="D1288" s="36" t="n"/>
      <c r="E1288" s="14" t="n"/>
      <c r="F1288" s="29" t="n"/>
      <c r="G1288" s="29" t="n"/>
      <c r="H1288" s="29" t="n"/>
      <c r="I1288" s="29" t="n"/>
      <c r="J1288" s="29" t="n"/>
      <c r="K1288" s="14" t="n"/>
      <c r="L1288" s="29" t="n"/>
      <c r="M1288" s="14" t="n"/>
      <c r="N1288" s="29" t="n"/>
      <c r="O1288" s="13" t="n"/>
      <c r="P1288" s="13" t="n"/>
      <c r="Q1288" s="35" t="n"/>
      <c r="R1288" s="35" t="n"/>
      <c r="S1288" s="35" t="n"/>
      <c r="T1288" s="35" t="n"/>
      <c r="U1288" s="35" t="n"/>
      <c r="V1288" s="18">
        <f>IF(COUNTA($B1288:$R1288)=0,"",ROUND(N($R1288)+N($S1288)+N($T1288)-N($U1288),2))</f>
        <v/>
      </c>
      <c r="W1288" s="18">
        <f>IF(COUNTA($B1288:$R1288)=0,"",IF(OR($X1288="Pago",$X1288="Recebido",$X1288="Cancelado"),0,ROUND(N($Q1288)+N($S1288)+N($T1288)-N($U1288)-N($R1288),2)))</f>
        <v/>
      </c>
      <c r="X1288" s="14" t="n"/>
      <c r="Y1288" s="17">
        <f>IF(COUNTA($B1288:$R1288)=0,"",IF($X1288="Cancelado","Cancelado",IF(OR($X1288="Pago",$X1288="Recebido"),$X1288,IF(OR($X1288="Parcial",N($R1288)&gt;0),"Parcial",IF($C1288="","Sem vencimento",IF($C1288&lt;TODAY(),"Vencido",IF($C1288=TODAY(),"Vence hoje",IF($C1288&lt;=TODAY()+7,"Vence em 7 dias",IF($C1288&lt;=TODAY()+30,"Vence em 30 dias","Futuro")))))))))</f>
        <v/>
      </c>
      <c r="Z1288" s="24">
        <f>IF($B1288="","",MONTH($B1288))</f>
        <v/>
      </c>
      <c r="AA1288" s="24">
        <f>IF($B1288="","",YEAR($B1288))</f>
        <v/>
      </c>
      <c r="AB1288" s="24">
        <f>IF($B1288="","",ISOWEEKNUM($B1288))</f>
        <v/>
      </c>
      <c r="AC1288" s="17">
        <f>IF($B1288="","",CHOOSE(WEEKDAY($B1288,2),"Segunda","Terça","Quarta","Quinta","Sexta","Sábado","Domingo"))</f>
        <v/>
      </c>
      <c r="AD1288" s="17">
        <f>IF($B1288="","",TEXT($B1288,"MM/AAAA"))</f>
        <v/>
      </c>
      <c r="AE1288" s="18">
        <f>IF(COUNTA($B1288:$R1288)=0,"",IF($X1288="Cancelado",0,ROUND(N($Q1288)+N($S1288)+N($T1288)-N($U1288),2)))</f>
        <v/>
      </c>
      <c r="AF1288" s="9">
        <f>IF($G1288="","",IFERROR(INDEX(LINHAS_DRE_PLANO,MATCH($G1288,SUBCATEGORIAS_PLANO,0)),"Não classificado"))</f>
        <v/>
      </c>
      <c r="AG1288" s="17">
        <f>IF($G1288="","",IFERROR(INDEX(TIPOS_FLUXO_PLANO,MATCH($G1288,SUBCATEGORIAS_PLANO,0)),"Não classificado"))</f>
        <v/>
      </c>
      <c r="AH1288" s="9">
        <f>IF($G1288="","",IFERROR(INDEX(GRUPOS_PLANO,MATCH($G1288,SUBCATEGORIAS_PLANO,0)),"Não classificado"))</f>
        <v/>
      </c>
      <c r="AI1288" s="24">
        <f>IF(OR($C1288="",$X1288="Pago",$X1288="Recebido",$X1288="Cancelado"),"",$C1288-TODAY())</f>
        <v/>
      </c>
      <c r="AJ1288" s="24">
        <f>IF(OR($C1288="",$X1288="Pago",$X1288="Recebido",$X1288="Cancelado"),0,MAX(0,TODAY()-$C1288))</f>
        <v/>
      </c>
      <c r="AK1288" s="24">
        <f>IF($D1288="","",$D1288-$B1288)</f>
        <v/>
      </c>
      <c r="AL1288" s="18">
        <f>IF(OR($D1288="",$B1288=""),"",ROUND(N($R1288)*($D1288-$B1288),2))</f>
        <v/>
      </c>
      <c r="AM1288" s="17">
        <f>IF(AND($E1288="Saída",$W1288&gt;0,$C1288&lt;&gt;""),$C1288+ROW()/1000000,"")</f>
        <v/>
      </c>
      <c r="AN1288" s="17">
        <f>IF(AND($E1288="Entrada",$W1288&gt;0,$C1288&lt;&gt;""),$C1288+ROW()/1000000,"")</f>
        <v/>
      </c>
      <c r="AO1288" s="9">
        <f>IF(COUNTA($B1288:$R1288)=0,"",IF(AND($I1288&lt;&gt;"",COUNTIF(CLIENTES_NOMES,$I1288)+COUNTIF(CLIENTES_FANTASIA,$I1288)+COUNTIF(FORNECEDORES_NOMES,$I1288)+COUNTIF(FORNECEDORES_FANTASIA,$I1288)=0),"⚠ Cliente/Fornecedor não cadastrado",IF(AND($G1288&lt;&gt;"",COUNTIF(SUBCATEGORIAS_PLANO,$G1288)=0),"⚠ Subcategoria fora do plano de contas",IF(OR($Q1288="",N($Q1288)=0),"⚠ Valor previsto não informado",IF(AND(OR($X1288="Pago",$X1288="Recebido"),$D1288=""),"⚠ Status pago/recebido sem data",IF(AND($D1288&lt;&gt;"",N($R1288)=0),"⚠ Data de pagamento sem valor realizado",IF(AND(N($P1288)&gt;1,N($O1288)&gt;N($P1288)),"⚠ Nº da parcela maior que o total",IF(AND($C1288&lt;&gt;"",$B1288&lt;&gt;"",$C1288&lt;$B1288),"⚠ Vencimento anterior à competência","OK"))))))))</f>
        <v/>
      </c>
    </row>
    <row r="1289">
      <c r="A1289" s="14" t="n"/>
      <c r="B1289" s="36" t="n"/>
      <c r="C1289" s="36" t="n"/>
      <c r="D1289" s="36" t="n"/>
      <c r="E1289" s="14" t="n"/>
      <c r="F1289" s="29" t="n"/>
      <c r="G1289" s="29" t="n"/>
      <c r="H1289" s="29" t="n"/>
      <c r="I1289" s="29" t="n"/>
      <c r="J1289" s="29" t="n"/>
      <c r="K1289" s="14" t="n"/>
      <c r="L1289" s="29" t="n"/>
      <c r="M1289" s="14" t="n"/>
      <c r="N1289" s="29" t="n"/>
      <c r="O1289" s="13" t="n"/>
      <c r="P1289" s="13" t="n"/>
      <c r="Q1289" s="35" t="n"/>
      <c r="R1289" s="35" t="n"/>
      <c r="S1289" s="35" t="n"/>
      <c r="T1289" s="35" t="n"/>
      <c r="U1289" s="35" t="n"/>
      <c r="V1289" s="18">
        <f>IF(COUNTA($B1289:$R1289)=0,"",ROUND(N($R1289)+N($S1289)+N($T1289)-N($U1289),2))</f>
        <v/>
      </c>
      <c r="W1289" s="18">
        <f>IF(COUNTA($B1289:$R1289)=0,"",IF(OR($X1289="Pago",$X1289="Recebido",$X1289="Cancelado"),0,ROUND(N($Q1289)+N($S1289)+N($T1289)-N($U1289)-N($R1289),2)))</f>
        <v/>
      </c>
      <c r="X1289" s="14" t="n"/>
      <c r="Y1289" s="17">
        <f>IF(COUNTA($B1289:$R1289)=0,"",IF($X1289="Cancelado","Cancelado",IF(OR($X1289="Pago",$X1289="Recebido"),$X1289,IF(OR($X1289="Parcial",N($R1289)&gt;0),"Parcial",IF($C1289="","Sem vencimento",IF($C1289&lt;TODAY(),"Vencido",IF($C1289=TODAY(),"Vence hoje",IF($C1289&lt;=TODAY()+7,"Vence em 7 dias",IF($C1289&lt;=TODAY()+30,"Vence em 30 dias","Futuro")))))))))</f>
        <v/>
      </c>
      <c r="Z1289" s="24">
        <f>IF($B1289="","",MONTH($B1289))</f>
        <v/>
      </c>
      <c r="AA1289" s="24">
        <f>IF($B1289="","",YEAR($B1289))</f>
        <v/>
      </c>
      <c r="AB1289" s="24">
        <f>IF($B1289="","",ISOWEEKNUM($B1289))</f>
        <v/>
      </c>
      <c r="AC1289" s="17">
        <f>IF($B1289="","",CHOOSE(WEEKDAY($B1289,2),"Segunda","Terça","Quarta","Quinta","Sexta","Sábado","Domingo"))</f>
        <v/>
      </c>
      <c r="AD1289" s="17">
        <f>IF($B1289="","",TEXT($B1289,"MM/AAAA"))</f>
        <v/>
      </c>
      <c r="AE1289" s="18">
        <f>IF(COUNTA($B1289:$R1289)=0,"",IF($X1289="Cancelado",0,ROUND(N($Q1289)+N($S1289)+N($T1289)-N($U1289),2)))</f>
        <v/>
      </c>
      <c r="AF1289" s="9">
        <f>IF($G1289="","",IFERROR(INDEX(LINHAS_DRE_PLANO,MATCH($G1289,SUBCATEGORIAS_PLANO,0)),"Não classificado"))</f>
        <v/>
      </c>
      <c r="AG1289" s="17">
        <f>IF($G1289="","",IFERROR(INDEX(TIPOS_FLUXO_PLANO,MATCH($G1289,SUBCATEGORIAS_PLANO,0)),"Não classificado"))</f>
        <v/>
      </c>
      <c r="AH1289" s="9">
        <f>IF($G1289="","",IFERROR(INDEX(GRUPOS_PLANO,MATCH($G1289,SUBCATEGORIAS_PLANO,0)),"Não classificado"))</f>
        <v/>
      </c>
      <c r="AI1289" s="24">
        <f>IF(OR($C1289="",$X1289="Pago",$X1289="Recebido",$X1289="Cancelado"),"",$C1289-TODAY())</f>
        <v/>
      </c>
      <c r="AJ1289" s="24">
        <f>IF(OR($C1289="",$X1289="Pago",$X1289="Recebido",$X1289="Cancelado"),0,MAX(0,TODAY()-$C1289))</f>
        <v/>
      </c>
      <c r="AK1289" s="24">
        <f>IF($D1289="","",$D1289-$B1289)</f>
        <v/>
      </c>
      <c r="AL1289" s="18">
        <f>IF(OR($D1289="",$B1289=""),"",ROUND(N($R1289)*($D1289-$B1289),2))</f>
        <v/>
      </c>
      <c r="AM1289" s="17">
        <f>IF(AND($E1289="Saída",$W1289&gt;0,$C1289&lt;&gt;""),$C1289+ROW()/1000000,"")</f>
        <v/>
      </c>
      <c r="AN1289" s="17">
        <f>IF(AND($E1289="Entrada",$W1289&gt;0,$C1289&lt;&gt;""),$C1289+ROW()/1000000,"")</f>
        <v/>
      </c>
      <c r="AO1289" s="9">
        <f>IF(COUNTA($B1289:$R1289)=0,"",IF(AND($I1289&lt;&gt;"",COUNTIF(CLIENTES_NOMES,$I1289)+COUNTIF(CLIENTES_FANTASIA,$I1289)+COUNTIF(FORNECEDORES_NOMES,$I1289)+COUNTIF(FORNECEDORES_FANTASIA,$I1289)=0),"⚠ Cliente/Fornecedor não cadastrado",IF(AND($G1289&lt;&gt;"",COUNTIF(SUBCATEGORIAS_PLANO,$G1289)=0),"⚠ Subcategoria fora do plano de contas",IF(OR($Q1289="",N($Q1289)=0),"⚠ Valor previsto não informado",IF(AND(OR($X1289="Pago",$X1289="Recebido"),$D1289=""),"⚠ Status pago/recebido sem data",IF(AND($D1289&lt;&gt;"",N($R1289)=0),"⚠ Data de pagamento sem valor realizado",IF(AND(N($P1289)&gt;1,N($O1289)&gt;N($P1289)),"⚠ Nº da parcela maior que o total",IF(AND($C1289&lt;&gt;"",$B1289&lt;&gt;"",$C1289&lt;$B1289),"⚠ Vencimento anterior à competência","OK"))))))))</f>
        <v/>
      </c>
    </row>
    <row r="1290">
      <c r="A1290" s="14" t="n"/>
      <c r="B1290" s="36" t="n"/>
      <c r="C1290" s="36" t="n"/>
      <c r="D1290" s="36" t="n"/>
      <c r="E1290" s="14" t="n"/>
      <c r="F1290" s="29" t="n"/>
      <c r="G1290" s="29" t="n"/>
      <c r="H1290" s="29" t="n"/>
      <c r="I1290" s="29" t="n"/>
      <c r="J1290" s="29" t="n"/>
      <c r="K1290" s="14" t="n"/>
      <c r="L1290" s="29" t="n"/>
      <c r="M1290" s="14" t="n"/>
      <c r="N1290" s="29" t="n"/>
      <c r="O1290" s="13" t="n"/>
      <c r="P1290" s="13" t="n"/>
      <c r="Q1290" s="35" t="n"/>
      <c r="R1290" s="35" t="n"/>
      <c r="S1290" s="35" t="n"/>
      <c r="T1290" s="35" t="n"/>
      <c r="U1290" s="35" t="n"/>
      <c r="V1290" s="18">
        <f>IF(COUNTA($B1290:$R1290)=0,"",ROUND(N($R1290)+N($S1290)+N($T1290)-N($U1290),2))</f>
        <v/>
      </c>
      <c r="W1290" s="18">
        <f>IF(COUNTA($B1290:$R1290)=0,"",IF(OR($X1290="Pago",$X1290="Recebido",$X1290="Cancelado"),0,ROUND(N($Q1290)+N($S1290)+N($T1290)-N($U1290)-N($R1290),2)))</f>
        <v/>
      </c>
      <c r="X1290" s="14" t="n"/>
      <c r="Y1290" s="17">
        <f>IF(COUNTA($B1290:$R1290)=0,"",IF($X1290="Cancelado","Cancelado",IF(OR($X1290="Pago",$X1290="Recebido"),$X1290,IF(OR($X1290="Parcial",N($R1290)&gt;0),"Parcial",IF($C1290="","Sem vencimento",IF($C1290&lt;TODAY(),"Vencido",IF($C1290=TODAY(),"Vence hoje",IF($C1290&lt;=TODAY()+7,"Vence em 7 dias",IF($C1290&lt;=TODAY()+30,"Vence em 30 dias","Futuro")))))))))</f>
        <v/>
      </c>
      <c r="Z1290" s="24">
        <f>IF($B1290="","",MONTH($B1290))</f>
        <v/>
      </c>
      <c r="AA1290" s="24">
        <f>IF($B1290="","",YEAR($B1290))</f>
        <v/>
      </c>
      <c r="AB1290" s="24">
        <f>IF($B1290="","",ISOWEEKNUM($B1290))</f>
        <v/>
      </c>
      <c r="AC1290" s="17">
        <f>IF($B1290="","",CHOOSE(WEEKDAY($B1290,2),"Segunda","Terça","Quarta","Quinta","Sexta","Sábado","Domingo"))</f>
        <v/>
      </c>
      <c r="AD1290" s="17">
        <f>IF($B1290="","",TEXT($B1290,"MM/AAAA"))</f>
        <v/>
      </c>
      <c r="AE1290" s="18">
        <f>IF(COUNTA($B1290:$R1290)=0,"",IF($X1290="Cancelado",0,ROUND(N($Q1290)+N($S1290)+N($T1290)-N($U1290),2)))</f>
        <v/>
      </c>
      <c r="AF1290" s="9">
        <f>IF($G1290="","",IFERROR(INDEX(LINHAS_DRE_PLANO,MATCH($G1290,SUBCATEGORIAS_PLANO,0)),"Não classificado"))</f>
        <v/>
      </c>
      <c r="AG1290" s="17">
        <f>IF($G1290="","",IFERROR(INDEX(TIPOS_FLUXO_PLANO,MATCH($G1290,SUBCATEGORIAS_PLANO,0)),"Não classificado"))</f>
        <v/>
      </c>
      <c r="AH1290" s="9">
        <f>IF($G1290="","",IFERROR(INDEX(GRUPOS_PLANO,MATCH($G1290,SUBCATEGORIAS_PLANO,0)),"Não classificado"))</f>
        <v/>
      </c>
      <c r="AI1290" s="24">
        <f>IF(OR($C1290="",$X1290="Pago",$X1290="Recebido",$X1290="Cancelado"),"",$C1290-TODAY())</f>
        <v/>
      </c>
      <c r="AJ1290" s="24">
        <f>IF(OR($C1290="",$X1290="Pago",$X1290="Recebido",$X1290="Cancelado"),0,MAX(0,TODAY()-$C1290))</f>
        <v/>
      </c>
      <c r="AK1290" s="24">
        <f>IF($D1290="","",$D1290-$B1290)</f>
        <v/>
      </c>
      <c r="AL1290" s="18">
        <f>IF(OR($D1290="",$B1290=""),"",ROUND(N($R1290)*($D1290-$B1290),2))</f>
        <v/>
      </c>
      <c r="AM1290" s="17">
        <f>IF(AND($E1290="Saída",$W1290&gt;0,$C1290&lt;&gt;""),$C1290+ROW()/1000000,"")</f>
        <v/>
      </c>
      <c r="AN1290" s="17">
        <f>IF(AND($E1290="Entrada",$W1290&gt;0,$C1290&lt;&gt;""),$C1290+ROW()/1000000,"")</f>
        <v/>
      </c>
      <c r="AO1290" s="9">
        <f>IF(COUNTA($B1290:$R1290)=0,"",IF(AND($I1290&lt;&gt;"",COUNTIF(CLIENTES_NOMES,$I1290)+COUNTIF(CLIENTES_FANTASIA,$I1290)+COUNTIF(FORNECEDORES_NOMES,$I1290)+COUNTIF(FORNECEDORES_FANTASIA,$I1290)=0),"⚠ Cliente/Fornecedor não cadastrado",IF(AND($G1290&lt;&gt;"",COUNTIF(SUBCATEGORIAS_PLANO,$G1290)=0),"⚠ Subcategoria fora do plano de contas",IF(OR($Q1290="",N($Q1290)=0),"⚠ Valor previsto não informado",IF(AND(OR($X1290="Pago",$X1290="Recebido"),$D1290=""),"⚠ Status pago/recebido sem data",IF(AND($D1290&lt;&gt;"",N($R1290)=0),"⚠ Data de pagamento sem valor realizado",IF(AND(N($P1290)&gt;1,N($O1290)&gt;N($P1290)),"⚠ Nº da parcela maior que o total",IF(AND($C1290&lt;&gt;"",$B1290&lt;&gt;"",$C1290&lt;$B1290),"⚠ Vencimento anterior à competência","OK"))))))))</f>
        <v/>
      </c>
    </row>
    <row r="1291">
      <c r="A1291" s="14" t="n"/>
      <c r="B1291" s="36" t="n"/>
      <c r="C1291" s="36" t="n"/>
      <c r="D1291" s="36" t="n"/>
      <c r="E1291" s="14" t="n"/>
      <c r="F1291" s="29" t="n"/>
      <c r="G1291" s="29" t="n"/>
      <c r="H1291" s="29" t="n"/>
      <c r="I1291" s="29" t="n"/>
      <c r="J1291" s="29" t="n"/>
      <c r="K1291" s="14" t="n"/>
      <c r="L1291" s="29" t="n"/>
      <c r="M1291" s="14" t="n"/>
      <c r="N1291" s="29" t="n"/>
      <c r="O1291" s="13" t="n"/>
      <c r="P1291" s="13" t="n"/>
      <c r="Q1291" s="35" t="n"/>
      <c r="R1291" s="35" t="n"/>
      <c r="S1291" s="35" t="n"/>
      <c r="T1291" s="35" t="n"/>
      <c r="U1291" s="35" t="n"/>
      <c r="V1291" s="18">
        <f>IF(COUNTA($B1291:$R1291)=0,"",ROUND(N($R1291)+N($S1291)+N($T1291)-N($U1291),2))</f>
        <v/>
      </c>
      <c r="W1291" s="18">
        <f>IF(COUNTA($B1291:$R1291)=0,"",IF(OR($X1291="Pago",$X1291="Recebido",$X1291="Cancelado"),0,ROUND(N($Q1291)+N($S1291)+N($T1291)-N($U1291)-N($R1291),2)))</f>
        <v/>
      </c>
      <c r="X1291" s="14" t="n"/>
      <c r="Y1291" s="17">
        <f>IF(COUNTA($B1291:$R1291)=0,"",IF($X1291="Cancelado","Cancelado",IF(OR($X1291="Pago",$X1291="Recebido"),$X1291,IF(OR($X1291="Parcial",N($R1291)&gt;0),"Parcial",IF($C1291="","Sem vencimento",IF($C1291&lt;TODAY(),"Vencido",IF($C1291=TODAY(),"Vence hoje",IF($C1291&lt;=TODAY()+7,"Vence em 7 dias",IF($C1291&lt;=TODAY()+30,"Vence em 30 dias","Futuro")))))))))</f>
        <v/>
      </c>
      <c r="Z1291" s="24">
        <f>IF($B1291="","",MONTH($B1291))</f>
        <v/>
      </c>
      <c r="AA1291" s="24">
        <f>IF($B1291="","",YEAR($B1291))</f>
        <v/>
      </c>
      <c r="AB1291" s="24">
        <f>IF($B1291="","",ISOWEEKNUM($B1291))</f>
        <v/>
      </c>
      <c r="AC1291" s="17">
        <f>IF($B1291="","",CHOOSE(WEEKDAY($B1291,2),"Segunda","Terça","Quarta","Quinta","Sexta","Sábado","Domingo"))</f>
        <v/>
      </c>
      <c r="AD1291" s="17">
        <f>IF($B1291="","",TEXT($B1291,"MM/AAAA"))</f>
        <v/>
      </c>
      <c r="AE1291" s="18">
        <f>IF(COUNTA($B1291:$R1291)=0,"",IF($X1291="Cancelado",0,ROUND(N($Q1291)+N($S1291)+N($T1291)-N($U1291),2)))</f>
        <v/>
      </c>
      <c r="AF1291" s="9">
        <f>IF($G1291="","",IFERROR(INDEX(LINHAS_DRE_PLANO,MATCH($G1291,SUBCATEGORIAS_PLANO,0)),"Não classificado"))</f>
        <v/>
      </c>
      <c r="AG1291" s="17">
        <f>IF($G1291="","",IFERROR(INDEX(TIPOS_FLUXO_PLANO,MATCH($G1291,SUBCATEGORIAS_PLANO,0)),"Não classificado"))</f>
        <v/>
      </c>
      <c r="AH1291" s="9">
        <f>IF($G1291="","",IFERROR(INDEX(GRUPOS_PLANO,MATCH($G1291,SUBCATEGORIAS_PLANO,0)),"Não classificado"))</f>
        <v/>
      </c>
      <c r="AI1291" s="24">
        <f>IF(OR($C1291="",$X1291="Pago",$X1291="Recebido",$X1291="Cancelado"),"",$C1291-TODAY())</f>
        <v/>
      </c>
      <c r="AJ1291" s="24">
        <f>IF(OR($C1291="",$X1291="Pago",$X1291="Recebido",$X1291="Cancelado"),0,MAX(0,TODAY()-$C1291))</f>
        <v/>
      </c>
      <c r="AK1291" s="24">
        <f>IF($D1291="","",$D1291-$B1291)</f>
        <v/>
      </c>
      <c r="AL1291" s="18">
        <f>IF(OR($D1291="",$B1291=""),"",ROUND(N($R1291)*($D1291-$B1291),2))</f>
        <v/>
      </c>
      <c r="AM1291" s="17">
        <f>IF(AND($E1291="Saída",$W1291&gt;0,$C1291&lt;&gt;""),$C1291+ROW()/1000000,"")</f>
        <v/>
      </c>
      <c r="AN1291" s="17">
        <f>IF(AND($E1291="Entrada",$W1291&gt;0,$C1291&lt;&gt;""),$C1291+ROW()/1000000,"")</f>
        <v/>
      </c>
      <c r="AO1291" s="9">
        <f>IF(COUNTA($B1291:$R1291)=0,"",IF(AND($I1291&lt;&gt;"",COUNTIF(CLIENTES_NOMES,$I1291)+COUNTIF(CLIENTES_FANTASIA,$I1291)+COUNTIF(FORNECEDORES_NOMES,$I1291)+COUNTIF(FORNECEDORES_FANTASIA,$I1291)=0),"⚠ Cliente/Fornecedor não cadastrado",IF(AND($G1291&lt;&gt;"",COUNTIF(SUBCATEGORIAS_PLANO,$G1291)=0),"⚠ Subcategoria fora do plano de contas",IF(OR($Q1291="",N($Q1291)=0),"⚠ Valor previsto não informado",IF(AND(OR($X1291="Pago",$X1291="Recebido"),$D1291=""),"⚠ Status pago/recebido sem data",IF(AND($D1291&lt;&gt;"",N($R1291)=0),"⚠ Data de pagamento sem valor realizado",IF(AND(N($P1291)&gt;1,N($O1291)&gt;N($P1291)),"⚠ Nº da parcela maior que o total",IF(AND($C1291&lt;&gt;"",$B1291&lt;&gt;"",$C1291&lt;$B1291),"⚠ Vencimento anterior à competência","OK"))))))))</f>
        <v/>
      </c>
    </row>
    <row r="1292">
      <c r="A1292" s="14" t="n"/>
      <c r="B1292" s="36" t="n"/>
      <c r="C1292" s="36" t="n"/>
      <c r="D1292" s="36" t="n"/>
      <c r="E1292" s="14" t="n"/>
      <c r="F1292" s="29" t="n"/>
      <c r="G1292" s="29" t="n"/>
      <c r="H1292" s="29" t="n"/>
      <c r="I1292" s="29" t="n"/>
      <c r="J1292" s="29" t="n"/>
      <c r="K1292" s="14" t="n"/>
      <c r="L1292" s="29" t="n"/>
      <c r="M1292" s="14" t="n"/>
      <c r="N1292" s="29" t="n"/>
      <c r="O1292" s="13" t="n"/>
      <c r="P1292" s="13" t="n"/>
      <c r="Q1292" s="35" t="n"/>
      <c r="R1292" s="35" t="n"/>
      <c r="S1292" s="35" t="n"/>
      <c r="T1292" s="35" t="n"/>
      <c r="U1292" s="35" t="n"/>
      <c r="V1292" s="18">
        <f>IF(COUNTA($B1292:$R1292)=0,"",ROUND(N($R1292)+N($S1292)+N($T1292)-N($U1292),2))</f>
        <v/>
      </c>
      <c r="W1292" s="18">
        <f>IF(COUNTA($B1292:$R1292)=0,"",IF(OR($X1292="Pago",$X1292="Recebido",$X1292="Cancelado"),0,ROUND(N($Q1292)+N($S1292)+N($T1292)-N($U1292)-N($R1292),2)))</f>
        <v/>
      </c>
      <c r="X1292" s="14" t="n"/>
      <c r="Y1292" s="17">
        <f>IF(COUNTA($B1292:$R1292)=0,"",IF($X1292="Cancelado","Cancelado",IF(OR($X1292="Pago",$X1292="Recebido"),$X1292,IF(OR($X1292="Parcial",N($R1292)&gt;0),"Parcial",IF($C1292="","Sem vencimento",IF($C1292&lt;TODAY(),"Vencido",IF($C1292=TODAY(),"Vence hoje",IF($C1292&lt;=TODAY()+7,"Vence em 7 dias",IF($C1292&lt;=TODAY()+30,"Vence em 30 dias","Futuro")))))))))</f>
        <v/>
      </c>
      <c r="Z1292" s="24">
        <f>IF($B1292="","",MONTH($B1292))</f>
        <v/>
      </c>
      <c r="AA1292" s="24">
        <f>IF($B1292="","",YEAR($B1292))</f>
        <v/>
      </c>
      <c r="AB1292" s="24">
        <f>IF($B1292="","",ISOWEEKNUM($B1292))</f>
        <v/>
      </c>
      <c r="AC1292" s="17">
        <f>IF($B1292="","",CHOOSE(WEEKDAY($B1292,2),"Segunda","Terça","Quarta","Quinta","Sexta","Sábado","Domingo"))</f>
        <v/>
      </c>
      <c r="AD1292" s="17">
        <f>IF($B1292="","",TEXT($B1292,"MM/AAAA"))</f>
        <v/>
      </c>
      <c r="AE1292" s="18">
        <f>IF(COUNTA($B1292:$R1292)=0,"",IF($X1292="Cancelado",0,ROUND(N($Q1292)+N($S1292)+N($T1292)-N($U1292),2)))</f>
        <v/>
      </c>
      <c r="AF1292" s="9">
        <f>IF($G1292="","",IFERROR(INDEX(LINHAS_DRE_PLANO,MATCH($G1292,SUBCATEGORIAS_PLANO,0)),"Não classificado"))</f>
        <v/>
      </c>
      <c r="AG1292" s="17">
        <f>IF($G1292="","",IFERROR(INDEX(TIPOS_FLUXO_PLANO,MATCH($G1292,SUBCATEGORIAS_PLANO,0)),"Não classificado"))</f>
        <v/>
      </c>
      <c r="AH1292" s="9">
        <f>IF($G1292="","",IFERROR(INDEX(GRUPOS_PLANO,MATCH($G1292,SUBCATEGORIAS_PLANO,0)),"Não classificado"))</f>
        <v/>
      </c>
      <c r="AI1292" s="24">
        <f>IF(OR($C1292="",$X1292="Pago",$X1292="Recebido",$X1292="Cancelado"),"",$C1292-TODAY())</f>
        <v/>
      </c>
      <c r="AJ1292" s="24">
        <f>IF(OR($C1292="",$X1292="Pago",$X1292="Recebido",$X1292="Cancelado"),0,MAX(0,TODAY()-$C1292))</f>
        <v/>
      </c>
      <c r="AK1292" s="24">
        <f>IF($D1292="","",$D1292-$B1292)</f>
        <v/>
      </c>
      <c r="AL1292" s="18">
        <f>IF(OR($D1292="",$B1292=""),"",ROUND(N($R1292)*($D1292-$B1292),2))</f>
        <v/>
      </c>
      <c r="AM1292" s="17">
        <f>IF(AND($E1292="Saída",$W1292&gt;0,$C1292&lt;&gt;""),$C1292+ROW()/1000000,"")</f>
        <v/>
      </c>
      <c r="AN1292" s="17">
        <f>IF(AND($E1292="Entrada",$W1292&gt;0,$C1292&lt;&gt;""),$C1292+ROW()/1000000,"")</f>
        <v/>
      </c>
      <c r="AO1292" s="9">
        <f>IF(COUNTA($B1292:$R1292)=0,"",IF(AND($I1292&lt;&gt;"",COUNTIF(CLIENTES_NOMES,$I1292)+COUNTIF(CLIENTES_FANTASIA,$I1292)+COUNTIF(FORNECEDORES_NOMES,$I1292)+COUNTIF(FORNECEDORES_FANTASIA,$I1292)=0),"⚠ Cliente/Fornecedor não cadastrado",IF(AND($G1292&lt;&gt;"",COUNTIF(SUBCATEGORIAS_PLANO,$G1292)=0),"⚠ Subcategoria fora do plano de contas",IF(OR($Q1292="",N($Q1292)=0),"⚠ Valor previsto não informado",IF(AND(OR($X1292="Pago",$X1292="Recebido"),$D1292=""),"⚠ Status pago/recebido sem data",IF(AND($D1292&lt;&gt;"",N($R1292)=0),"⚠ Data de pagamento sem valor realizado",IF(AND(N($P1292)&gt;1,N($O1292)&gt;N($P1292)),"⚠ Nº da parcela maior que o total",IF(AND($C1292&lt;&gt;"",$B1292&lt;&gt;"",$C1292&lt;$B1292),"⚠ Vencimento anterior à competência","OK"))))))))</f>
        <v/>
      </c>
    </row>
    <row r="1293">
      <c r="A1293" s="14" t="n"/>
      <c r="B1293" s="36" t="n"/>
      <c r="C1293" s="36" t="n"/>
      <c r="D1293" s="36" t="n"/>
      <c r="E1293" s="14" t="n"/>
      <c r="F1293" s="29" t="n"/>
      <c r="G1293" s="29" t="n"/>
      <c r="H1293" s="29" t="n"/>
      <c r="I1293" s="29" t="n"/>
      <c r="J1293" s="29" t="n"/>
      <c r="K1293" s="14" t="n"/>
      <c r="L1293" s="29" t="n"/>
      <c r="M1293" s="14" t="n"/>
      <c r="N1293" s="29" t="n"/>
      <c r="O1293" s="13" t="n"/>
      <c r="P1293" s="13" t="n"/>
      <c r="Q1293" s="35" t="n"/>
      <c r="R1293" s="35" t="n"/>
      <c r="S1293" s="35" t="n"/>
      <c r="T1293" s="35" t="n"/>
      <c r="U1293" s="35" t="n"/>
      <c r="V1293" s="18">
        <f>IF(COUNTA($B1293:$R1293)=0,"",ROUND(N($R1293)+N($S1293)+N($T1293)-N($U1293),2))</f>
        <v/>
      </c>
      <c r="W1293" s="18">
        <f>IF(COUNTA($B1293:$R1293)=0,"",IF(OR($X1293="Pago",$X1293="Recebido",$X1293="Cancelado"),0,ROUND(N($Q1293)+N($S1293)+N($T1293)-N($U1293)-N($R1293),2)))</f>
        <v/>
      </c>
      <c r="X1293" s="14" t="n"/>
      <c r="Y1293" s="17">
        <f>IF(COUNTA($B1293:$R1293)=0,"",IF($X1293="Cancelado","Cancelado",IF(OR($X1293="Pago",$X1293="Recebido"),$X1293,IF(OR($X1293="Parcial",N($R1293)&gt;0),"Parcial",IF($C1293="","Sem vencimento",IF($C1293&lt;TODAY(),"Vencido",IF($C1293=TODAY(),"Vence hoje",IF($C1293&lt;=TODAY()+7,"Vence em 7 dias",IF($C1293&lt;=TODAY()+30,"Vence em 30 dias","Futuro")))))))))</f>
        <v/>
      </c>
      <c r="Z1293" s="24">
        <f>IF($B1293="","",MONTH($B1293))</f>
        <v/>
      </c>
      <c r="AA1293" s="24">
        <f>IF($B1293="","",YEAR($B1293))</f>
        <v/>
      </c>
      <c r="AB1293" s="24">
        <f>IF($B1293="","",ISOWEEKNUM($B1293))</f>
        <v/>
      </c>
      <c r="AC1293" s="17">
        <f>IF($B1293="","",CHOOSE(WEEKDAY($B1293,2),"Segunda","Terça","Quarta","Quinta","Sexta","Sábado","Domingo"))</f>
        <v/>
      </c>
      <c r="AD1293" s="17">
        <f>IF($B1293="","",TEXT($B1293,"MM/AAAA"))</f>
        <v/>
      </c>
      <c r="AE1293" s="18">
        <f>IF(COUNTA($B1293:$R1293)=0,"",IF($X1293="Cancelado",0,ROUND(N($Q1293)+N($S1293)+N($T1293)-N($U1293),2)))</f>
        <v/>
      </c>
      <c r="AF1293" s="9">
        <f>IF($G1293="","",IFERROR(INDEX(LINHAS_DRE_PLANO,MATCH($G1293,SUBCATEGORIAS_PLANO,0)),"Não classificado"))</f>
        <v/>
      </c>
      <c r="AG1293" s="17">
        <f>IF($G1293="","",IFERROR(INDEX(TIPOS_FLUXO_PLANO,MATCH($G1293,SUBCATEGORIAS_PLANO,0)),"Não classificado"))</f>
        <v/>
      </c>
      <c r="AH1293" s="9">
        <f>IF($G1293="","",IFERROR(INDEX(GRUPOS_PLANO,MATCH($G1293,SUBCATEGORIAS_PLANO,0)),"Não classificado"))</f>
        <v/>
      </c>
      <c r="AI1293" s="24">
        <f>IF(OR($C1293="",$X1293="Pago",$X1293="Recebido",$X1293="Cancelado"),"",$C1293-TODAY())</f>
        <v/>
      </c>
      <c r="AJ1293" s="24">
        <f>IF(OR($C1293="",$X1293="Pago",$X1293="Recebido",$X1293="Cancelado"),0,MAX(0,TODAY()-$C1293))</f>
        <v/>
      </c>
      <c r="AK1293" s="24">
        <f>IF($D1293="","",$D1293-$B1293)</f>
        <v/>
      </c>
      <c r="AL1293" s="18">
        <f>IF(OR($D1293="",$B1293=""),"",ROUND(N($R1293)*($D1293-$B1293),2))</f>
        <v/>
      </c>
      <c r="AM1293" s="17">
        <f>IF(AND($E1293="Saída",$W1293&gt;0,$C1293&lt;&gt;""),$C1293+ROW()/1000000,"")</f>
        <v/>
      </c>
      <c r="AN1293" s="17">
        <f>IF(AND($E1293="Entrada",$W1293&gt;0,$C1293&lt;&gt;""),$C1293+ROW()/1000000,"")</f>
        <v/>
      </c>
      <c r="AO1293" s="9">
        <f>IF(COUNTA($B1293:$R1293)=0,"",IF(AND($I1293&lt;&gt;"",COUNTIF(CLIENTES_NOMES,$I1293)+COUNTIF(CLIENTES_FANTASIA,$I1293)+COUNTIF(FORNECEDORES_NOMES,$I1293)+COUNTIF(FORNECEDORES_FANTASIA,$I1293)=0),"⚠ Cliente/Fornecedor não cadastrado",IF(AND($G1293&lt;&gt;"",COUNTIF(SUBCATEGORIAS_PLANO,$G1293)=0),"⚠ Subcategoria fora do plano de contas",IF(OR($Q1293="",N($Q1293)=0),"⚠ Valor previsto não informado",IF(AND(OR($X1293="Pago",$X1293="Recebido"),$D1293=""),"⚠ Status pago/recebido sem data",IF(AND($D1293&lt;&gt;"",N($R1293)=0),"⚠ Data de pagamento sem valor realizado",IF(AND(N($P1293)&gt;1,N($O1293)&gt;N($P1293)),"⚠ Nº da parcela maior que o total",IF(AND($C1293&lt;&gt;"",$B1293&lt;&gt;"",$C1293&lt;$B1293),"⚠ Vencimento anterior à competência","OK"))))))))</f>
        <v/>
      </c>
    </row>
    <row r="1294">
      <c r="A1294" s="14" t="n"/>
      <c r="B1294" s="36" t="n"/>
      <c r="C1294" s="36" t="n"/>
      <c r="D1294" s="36" t="n"/>
      <c r="E1294" s="14" t="n"/>
      <c r="F1294" s="29" t="n"/>
      <c r="G1294" s="29" t="n"/>
      <c r="H1294" s="29" t="n"/>
      <c r="I1294" s="29" t="n"/>
      <c r="J1294" s="29" t="n"/>
      <c r="K1294" s="14" t="n"/>
      <c r="L1294" s="29" t="n"/>
      <c r="M1294" s="14" t="n"/>
      <c r="N1294" s="29" t="n"/>
      <c r="O1294" s="13" t="n"/>
      <c r="P1294" s="13" t="n"/>
      <c r="Q1294" s="35" t="n"/>
      <c r="R1294" s="35" t="n"/>
      <c r="S1294" s="35" t="n"/>
      <c r="T1294" s="35" t="n"/>
      <c r="U1294" s="35" t="n"/>
      <c r="V1294" s="18">
        <f>IF(COUNTA($B1294:$R1294)=0,"",ROUND(N($R1294)+N($S1294)+N($T1294)-N($U1294),2))</f>
        <v/>
      </c>
      <c r="W1294" s="18">
        <f>IF(COUNTA($B1294:$R1294)=0,"",IF(OR($X1294="Pago",$X1294="Recebido",$X1294="Cancelado"),0,ROUND(N($Q1294)+N($S1294)+N($T1294)-N($U1294)-N($R1294),2)))</f>
        <v/>
      </c>
      <c r="X1294" s="14" t="n"/>
      <c r="Y1294" s="17">
        <f>IF(COUNTA($B1294:$R1294)=0,"",IF($X1294="Cancelado","Cancelado",IF(OR($X1294="Pago",$X1294="Recebido"),$X1294,IF(OR($X1294="Parcial",N($R1294)&gt;0),"Parcial",IF($C1294="","Sem vencimento",IF($C1294&lt;TODAY(),"Vencido",IF($C1294=TODAY(),"Vence hoje",IF($C1294&lt;=TODAY()+7,"Vence em 7 dias",IF($C1294&lt;=TODAY()+30,"Vence em 30 dias","Futuro")))))))))</f>
        <v/>
      </c>
      <c r="Z1294" s="24">
        <f>IF($B1294="","",MONTH($B1294))</f>
        <v/>
      </c>
      <c r="AA1294" s="24">
        <f>IF($B1294="","",YEAR($B1294))</f>
        <v/>
      </c>
      <c r="AB1294" s="24">
        <f>IF($B1294="","",ISOWEEKNUM($B1294))</f>
        <v/>
      </c>
      <c r="AC1294" s="17">
        <f>IF($B1294="","",CHOOSE(WEEKDAY($B1294,2),"Segunda","Terça","Quarta","Quinta","Sexta","Sábado","Domingo"))</f>
        <v/>
      </c>
      <c r="AD1294" s="17">
        <f>IF($B1294="","",TEXT($B1294,"MM/AAAA"))</f>
        <v/>
      </c>
      <c r="AE1294" s="18">
        <f>IF(COUNTA($B1294:$R1294)=0,"",IF($X1294="Cancelado",0,ROUND(N($Q1294)+N($S1294)+N($T1294)-N($U1294),2)))</f>
        <v/>
      </c>
      <c r="AF1294" s="9">
        <f>IF($G1294="","",IFERROR(INDEX(LINHAS_DRE_PLANO,MATCH($G1294,SUBCATEGORIAS_PLANO,0)),"Não classificado"))</f>
        <v/>
      </c>
      <c r="AG1294" s="17">
        <f>IF($G1294="","",IFERROR(INDEX(TIPOS_FLUXO_PLANO,MATCH($G1294,SUBCATEGORIAS_PLANO,0)),"Não classificado"))</f>
        <v/>
      </c>
      <c r="AH1294" s="9">
        <f>IF($G1294="","",IFERROR(INDEX(GRUPOS_PLANO,MATCH($G1294,SUBCATEGORIAS_PLANO,0)),"Não classificado"))</f>
        <v/>
      </c>
      <c r="AI1294" s="24">
        <f>IF(OR($C1294="",$X1294="Pago",$X1294="Recebido",$X1294="Cancelado"),"",$C1294-TODAY())</f>
        <v/>
      </c>
      <c r="AJ1294" s="24">
        <f>IF(OR($C1294="",$X1294="Pago",$X1294="Recebido",$X1294="Cancelado"),0,MAX(0,TODAY()-$C1294))</f>
        <v/>
      </c>
      <c r="AK1294" s="24">
        <f>IF($D1294="","",$D1294-$B1294)</f>
        <v/>
      </c>
      <c r="AL1294" s="18">
        <f>IF(OR($D1294="",$B1294=""),"",ROUND(N($R1294)*($D1294-$B1294),2))</f>
        <v/>
      </c>
      <c r="AM1294" s="17">
        <f>IF(AND($E1294="Saída",$W1294&gt;0,$C1294&lt;&gt;""),$C1294+ROW()/1000000,"")</f>
        <v/>
      </c>
      <c r="AN1294" s="17">
        <f>IF(AND($E1294="Entrada",$W1294&gt;0,$C1294&lt;&gt;""),$C1294+ROW()/1000000,"")</f>
        <v/>
      </c>
      <c r="AO1294" s="9">
        <f>IF(COUNTA($B1294:$R1294)=0,"",IF(AND($I1294&lt;&gt;"",COUNTIF(CLIENTES_NOMES,$I1294)+COUNTIF(CLIENTES_FANTASIA,$I1294)+COUNTIF(FORNECEDORES_NOMES,$I1294)+COUNTIF(FORNECEDORES_FANTASIA,$I1294)=0),"⚠ Cliente/Fornecedor não cadastrado",IF(AND($G1294&lt;&gt;"",COUNTIF(SUBCATEGORIAS_PLANO,$G1294)=0),"⚠ Subcategoria fora do plano de contas",IF(OR($Q1294="",N($Q1294)=0),"⚠ Valor previsto não informado",IF(AND(OR($X1294="Pago",$X1294="Recebido"),$D1294=""),"⚠ Status pago/recebido sem data",IF(AND($D1294&lt;&gt;"",N($R1294)=0),"⚠ Data de pagamento sem valor realizado",IF(AND(N($P1294)&gt;1,N($O1294)&gt;N($P1294)),"⚠ Nº da parcela maior que o total",IF(AND($C1294&lt;&gt;"",$B1294&lt;&gt;"",$C1294&lt;$B1294),"⚠ Vencimento anterior à competência","OK"))))))))</f>
        <v/>
      </c>
    </row>
    <row r="1295">
      <c r="A1295" s="14" t="n"/>
      <c r="B1295" s="36" t="n"/>
      <c r="C1295" s="36" t="n"/>
      <c r="D1295" s="36" t="n"/>
      <c r="E1295" s="14" t="n"/>
      <c r="F1295" s="29" t="n"/>
      <c r="G1295" s="29" t="n"/>
      <c r="H1295" s="29" t="n"/>
      <c r="I1295" s="29" t="n"/>
      <c r="J1295" s="29" t="n"/>
      <c r="K1295" s="14" t="n"/>
      <c r="L1295" s="29" t="n"/>
      <c r="M1295" s="14" t="n"/>
      <c r="N1295" s="29" t="n"/>
      <c r="O1295" s="13" t="n"/>
      <c r="P1295" s="13" t="n"/>
      <c r="Q1295" s="35" t="n"/>
      <c r="R1295" s="35" t="n"/>
      <c r="S1295" s="35" t="n"/>
      <c r="T1295" s="35" t="n"/>
      <c r="U1295" s="35" t="n"/>
      <c r="V1295" s="18">
        <f>IF(COUNTA($B1295:$R1295)=0,"",ROUND(N($R1295)+N($S1295)+N($T1295)-N($U1295),2))</f>
        <v/>
      </c>
      <c r="W1295" s="18">
        <f>IF(COUNTA($B1295:$R1295)=0,"",IF(OR($X1295="Pago",$X1295="Recebido",$X1295="Cancelado"),0,ROUND(N($Q1295)+N($S1295)+N($T1295)-N($U1295)-N($R1295),2)))</f>
        <v/>
      </c>
      <c r="X1295" s="14" t="n"/>
      <c r="Y1295" s="17">
        <f>IF(COUNTA($B1295:$R1295)=0,"",IF($X1295="Cancelado","Cancelado",IF(OR($X1295="Pago",$X1295="Recebido"),$X1295,IF(OR($X1295="Parcial",N($R1295)&gt;0),"Parcial",IF($C1295="","Sem vencimento",IF($C1295&lt;TODAY(),"Vencido",IF($C1295=TODAY(),"Vence hoje",IF($C1295&lt;=TODAY()+7,"Vence em 7 dias",IF($C1295&lt;=TODAY()+30,"Vence em 30 dias","Futuro")))))))))</f>
        <v/>
      </c>
      <c r="Z1295" s="24">
        <f>IF($B1295="","",MONTH($B1295))</f>
        <v/>
      </c>
      <c r="AA1295" s="24">
        <f>IF($B1295="","",YEAR($B1295))</f>
        <v/>
      </c>
      <c r="AB1295" s="24">
        <f>IF($B1295="","",ISOWEEKNUM($B1295))</f>
        <v/>
      </c>
      <c r="AC1295" s="17">
        <f>IF($B1295="","",CHOOSE(WEEKDAY($B1295,2),"Segunda","Terça","Quarta","Quinta","Sexta","Sábado","Domingo"))</f>
        <v/>
      </c>
      <c r="AD1295" s="17">
        <f>IF($B1295="","",TEXT($B1295,"MM/AAAA"))</f>
        <v/>
      </c>
      <c r="AE1295" s="18">
        <f>IF(COUNTA($B1295:$R1295)=0,"",IF($X1295="Cancelado",0,ROUND(N($Q1295)+N($S1295)+N($T1295)-N($U1295),2)))</f>
        <v/>
      </c>
      <c r="AF1295" s="9">
        <f>IF($G1295="","",IFERROR(INDEX(LINHAS_DRE_PLANO,MATCH($G1295,SUBCATEGORIAS_PLANO,0)),"Não classificado"))</f>
        <v/>
      </c>
      <c r="AG1295" s="17">
        <f>IF($G1295="","",IFERROR(INDEX(TIPOS_FLUXO_PLANO,MATCH($G1295,SUBCATEGORIAS_PLANO,0)),"Não classificado"))</f>
        <v/>
      </c>
      <c r="AH1295" s="9">
        <f>IF($G1295="","",IFERROR(INDEX(GRUPOS_PLANO,MATCH($G1295,SUBCATEGORIAS_PLANO,0)),"Não classificado"))</f>
        <v/>
      </c>
      <c r="AI1295" s="24">
        <f>IF(OR($C1295="",$X1295="Pago",$X1295="Recebido",$X1295="Cancelado"),"",$C1295-TODAY())</f>
        <v/>
      </c>
      <c r="AJ1295" s="24">
        <f>IF(OR($C1295="",$X1295="Pago",$X1295="Recebido",$X1295="Cancelado"),0,MAX(0,TODAY()-$C1295))</f>
        <v/>
      </c>
      <c r="AK1295" s="24">
        <f>IF($D1295="","",$D1295-$B1295)</f>
        <v/>
      </c>
      <c r="AL1295" s="18">
        <f>IF(OR($D1295="",$B1295=""),"",ROUND(N($R1295)*($D1295-$B1295),2))</f>
        <v/>
      </c>
      <c r="AM1295" s="17">
        <f>IF(AND($E1295="Saída",$W1295&gt;0,$C1295&lt;&gt;""),$C1295+ROW()/1000000,"")</f>
        <v/>
      </c>
      <c r="AN1295" s="17">
        <f>IF(AND($E1295="Entrada",$W1295&gt;0,$C1295&lt;&gt;""),$C1295+ROW()/1000000,"")</f>
        <v/>
      </c>
      <c r="AO1295" s="9">
        <f>IF(COUNTA($B1295:$R1295)=0,"",IF(AND($I1295&lt;&gt;"",COUNTIF(CLIENTES_NOMES,$I1295)+COUNTIF(CLIENTES_FANTASIA,$I1295)+COUNTIF(FORNECEDORES_NOMES,$I1295)+COUNTIF(FORNECEDORES_FANTASIA,$I1295)=0),"⚠ Cliente/Fornecedor não cadastrado",IF(AND($G1295&lt;&gt;"",COUNTIF(SUBCATEGORIAS_PLANO,$G1295)=0),"⚠ Subcategoria fora do plano de contas",IF(OR($Q1295="",N($Q1295)=0),"⚠ Valor previsto não informado",IF(AND(OR($X1295="Pago",$X1295="Recebido"),$D1295=""),"⚠ Status pago/recebido sem data",IF(AND($D1295&lt;&gt;"",N($R1295)=0),"⚠ Data de pagamento sem valor realizado",IF(AND(N($P1295)&gt;1,N($O1295)&gt;N($P1295)),"⚠ Nº da parcela maior que o total",IF(AND($C1295&lt;&gt;"",$B1295&lt;&gt;"",$C1295&lt;$B1295),"⚠ Vencimento anterior à competência","OK"))))))))</f>
        <v/>
      </c>
    </row>
    <row r="1296">
      <c r="A1296" s="14" t="n"/>
      <c r="B1296" s="36" t="n"/>
      <c r="C1296" s="36" t="n"/>
      <c r="D1296" s="36" t="n"/>
      <c r="E1296" s="14" t="n"/>
      <c r="F1296" s="29" t="n"/>
      <c r="G1296" s="29" t="n"/>
      <c r="H1296" s="29" t="n"/>
      <c r="I1296" s="29" t="n"/>
      <c r="J1296" s="29" t="n"/>
      <c r="K1296" s="14" t="n"/>
      <c r="L1296" s="29" t="n"/>
      <c r="M1296" s="14" t="n"/>
      <c r="N1296" s="29" t="n"/>
      <c r="O1296" s="13" t="n"/>
      <c r="P1296" s="13" t="n"/>
      <c r="Q1296" s="35" t="n"/>
      <c r="R1296" s="35" t="n"/>
      <c r="S1296" s="35" t="n"/>
      <c r="T1296" s="35" t="n"/>
      <c r="U1296" s="35" t="n"/>
      <c r="V1296" s="18">
        <f>IF(COUNTA($B1296:$R1296)=0,"",ROUND(N($R1296)+N($S1296)+N($T1296)-N($U1296),2))</f>
        <v/>
      </c>
      <c r="W1296" s="18">
        <f>IF(COUNTA($B1296:$R1296)=0,"",IF(OR($X1296="Pago",$X1296="Recebido",$X1296="Cancelado"),0,ROUND(N($Q1296)+N($S1296)+N($T1296)-N($U1296)-N($R1296),2)))</f>
        <v/>
      </c>
      <c r="X1296" s="14" t="n"/>
      <c r="Y1296" s="17">
        <f>IF(COUNTA($B1296:$R1296)=0,"",IF($X1296="Cancelado","Cancelado",IF(OR($X1296="Pago",$X1296="Recebido"),$X1296,IF(OR($X1296="Parcial",N($R1296)&gt;0),"Parcial",IF($C1296="","Sem vencimento",IF($C1296&lt;TODAY(),"Vencido",IF($C1296=TODAY(),"Vence hoje",IF($C1296&lt;=TODAY()+7,"Vence em 7 dias",IF($C1296&lt;=TODAY()+30,"Vence em 30 dias","Futuro")))))))))</f>
        <v/>
      </c>
      <c r="Z1296" s="24">
        <f>IF($B1296="","",MONTH($B1296))</f>
        <v/>
      </c>
      <c r="AA1296" s="24">
        <f>IF($B1296="","",YEAR($B1296))</f>
        <v/>
      </c>
      <c r="AB1296" s="24">
        <f>IF($B1296="","",ISOWEEKNUM($B1296))</f>
        <v/>
      </c>
      <c r="AC1296" s="17">
        <f>IF($B1296="","",CHOOSE(WEEKDAY($B1296,2),"Segunda","Terça","Quarta","Quinta","Sexta","Sábado","Domingo"))</f>
        <v/>
      </c>
      <c r="AD1296" s="17">
        <f>IF($B1296="","",TEXT($B1296,"MM/AAAA"))</f>
        <v/>
      </c>
      <c r="AE1296" s="18">
        <f>IF(COUNTA($B1296:$R1296)=0,"",IF($X1296="Cancelado",0,ROUND(N($Q1296)+N($S1296)+N($T1296)-N($U1296),2)))</f>
        <v/>
      </c>
      <c r="AF1296" s="9">
        <f>IF($G1296="","",IFERROR(INDEX(LINHAS_DRE_PLANO,MATCH($G1296,SUBCATEGORIAS_PLANO,0)),"Não classificado"))</f>
        <v/>
      </c>
      <c r="AG1296" s="17">
        <f>IF($G1296="","",IFERROR(INDEX(TIPOS_FLUXO_PLANO,MATCH($G1296,SUBCATEGORIAS_PLANO,0)),"Não classificado"))</f>
        <v/>
      </c>
      <c r="AH1296" s="9">
        <f>IF($G1296="","",IFERROR(INDEX(GRUPOS_PLANO,MATCH($G1296,SUBCATEGORIAS_PLANO,0)),"Não classificado"))</f>
        <v/>
      </c>
      <c r="AI1296" s="24">
        <f>IF(OR($C1296="",$X1296="Pago",$X1296="Recebido",$X1296="Cancelado"),"",$C1296-TODAY())</f>
        <v/>
      </c>
      <c r="AJ1296" s="24">
        <f>IF(OR($C1296="",$X1296="Pago",$X1296="Recebido",$X1296="Cancelado"),0,MAX(0,TODAY()-$C1296))</f>
        <v/>
      </c>
      <c r="AK1296" s="24">
        <f>IF($D1296="","",$D1296-$B1296)</f>
        <v/>
      </c>
      <c r="AL1296" s="18">
        <f>IF(OR($D1296="",$B1296=""),"",ROUND(N($R1296)*($D1296-$B1296),2))</f>
        <v/>
      </c>
      <c r="AM1296" s="17">
        <f>IF(AND($E1296="Saída",$W1296&gt;0,$C1296&lt;&gt;""),$C1296+ROW()/1000000,"")</f>
        <v/>
      </c>
      <c r="AN1296" s="17">
        <f>IF(AND($E1296="Entrada",$W1296&gt;0,$C1296&lt;&gt;""),$C1296+ROW()/1000000,"")</f>
        <v/>
      </c>
      <c r="AO1296" s="9">
        <f>IF(COUNTA($B1296:$R1296)=0,"",IF(AND($I1296&lt;&gt;"",COUNTIF(CLIENTES_NOMES,$I1296)+COUNTIF(CLIENTES_FANTASIA,$I1296)+COUNTIF(FORNECEDORES_NOMES,$I1296)+COUNTIF(FORNECEDORES_FANTASIA,$I1296)=0),"⚠ Cliente/Fornecedor não cadastrado",IF(AND($G1296&lt;&gt;"",COUNTIF(SUBCATEGORIAS_PLANO,$G1296)=0),"⚠ Subcategoria fora do plano de contas",IF(OR($Q1296="",N($Q1296)=0),"⚠ Valor previsto não informado",IF(AND(OR($X1296="Pago",$X1296="Recebido"),$D1296=""),"⚠ Status pago/recebido sem data",IF(AND($D1296&lt;&gt;"",N($R1296)=0),"⚠ Data de pagamento sem valor realizado",IF(AND(N($P1296)&gt;1,N($O1296)&gt;N($P1296)),"⚠ Nº da parcela maior que o total",IF(AND($C1296&lt;&gt;"",$B1296&lt;&gt;"",$C1296&lt;$B1296),"⚠ Vencimento anterior à competência","OK"))))))))</f>
        <v/>
      </c>
    </row>
    <row r="1297">
      <c r="A1297" s="14" t="n"/>
      <c r="B1297" s="36" t="n"/>
      <c r="C1297" s="36" t="n"/>
      <c r="D1297" s="36" t="n"/>
      <c r="E1297" s="14" t="n"/>
      <c r="F1297" s="29" t="n"/>
      <c r="G1297" s="29" t="n"/>
      <c r="H1297" s="29" t="n"/>
      <c r="I1297" s="29" t="n"/>
      <c r="J1297" s="29" t="n"/>
      <c r="K1297" s="14" t="n"/>
      <c r="L1297" s="29" t="n"/>
      <c r="M1297" s="14" t="n"/>
      <c r="N1297" s="29" t="n"/>
      <c r="O1297" s="13" t="n"/>
      <c r="P1297" s="13" t="n"/>
      <c r="Q1297" s="35" t="n"/>
      <c r="R1297" s="35" t="n"/>
      <c r="S1297" s="35" t="n"/>
      <c r="T1297" s="35" t="n"/>
      <c r="U1297" s="35" t="n"/>
      <c r="V1297" s="18">
        <f>IF(COUNTA($B1297:$R1297)=0,"",ROUND(N($R1297)+N($S1297)+N($T1297)-N($U1297),2))</f>
        <v/>
      </c>
      <c r="W1297" s="18">
        <f>IF(COUNTA($B1297:$R1297)=0,"",IF(OR($X1297="Pago",$X1297="Recebido",$X1297="Cancelado"),0,ROUND(N($Q1297)+N($S1297)+N($T1297)-N($U1297)-N($R1297),2)))</f>
        <v/>
      </c>
      <c r="X1297" s="14" t="n"/>
      <c r="Y1297" s="17">
        <f>IF(COUNTA($B1297:$R1297)=0,"",IF($X1297="Cancelado","Cancelado",IF(OR($X1297="Pago",$X1297="Recebido"),$X1297,IF(OR($X1297="Parcial",N($R1297)&gt;0),"Parcial",IF($C1297="","Sem vencimento",IF($C1297&lt;TODAY(),"Vencido",IF($C1297=TODAY(),"Vence hoje",IF($C1297&lt;=TODAY()+7,"Vence em 7 dias",IF($C1297&lt;=TODAY()+30,"Vence em 30 dias","Futuro")))))))))</f>
        <v/>
      </c>
      <c r="Z1297" s="24">
        <f>IF($B1297="","",MONTH($B1297))</f>
        <v/>
      </c>
      <c r="AA1297" s="24">
        <f>IF($B1297="","",YEAR($B1297))</f>
        <v/>
      </c>
      <c r="AB1297" s="24">
        <f>IF($B1297="","",ISOWEEKNUM($B1297))</f>
        <v/>
      </c>
      <c r="AC1297" s="17">
        <f>IF($B1297="","",CHOOSE(WEEKDAY($B1297,2),"Segunda","Terça","Quarta","Quinta","Sexta","Sábado","Domingo"))</f>
        <v/>
      </c>
      <c r="AD1297" s="17">
        <f>IF($B1297="","",TEXT($B1297,"MM/AAAA"))</f>
        <v/>
      </c>
      <c r="AE1297" s="18">
        <f>IF(COUNTA($B1297:$R1297)=0,"",IF($X1297="Cancelado",0,ROUND(N($Q1297)+N($S1297)+N($T1297)-N($U1297),2)))</f>
        <v/>
      </c>
      <c r="AF1297" s="9">
        <f>IF($G1297="","",IFERROR(INDEX(LINHAS_DRE_PLANO,MATCH($G1297,SUBCATEGORIAS_PLANO,0)),"Não classificado"))</f>
        <v/>
      </c>
      <c r="AG1297" s="17">
        <f>IF($G1297="","",IFERROR(INDEX(TIPOS_FLUXO_PLANO,MATCH($G1297,SUBCATEGORIAS_PLANO,0)),"Não classificado"))</f>
        <v/>
      </c>
      <c r="AH1297" s="9">
        <f>IF($G1297="","",IFERROR(INDEX(GRUPOS_PLANO,MATCH($G1297,SUBCATEGORIAS_PLANO,0)),"Não classificado"))</f>
        <v/>
      </c>
      <c r="AI1297" s="24">
        <f>IF(OR($C1297="",$X1297="Pago",$X1297="Recebido",$X1297="Cancelado"),"",$C1297-TODAY())</f>
        <v/>
      </c>
      <c r="AJ1297" s="24">
        <f>IF(OR($C1297="",$X1297="Pago",$X1297="Recebido",$X1297="Cancelado"),0,MAX(0,TODAY()-$C1297))</f>
        <v/>
      </c>
      <c r="AK1297" s="24">
        <f>IF($D1297="","",$D1297-$B1297)</f>
        <v/>
      </c>
      <c r="AL1297" s="18">
        <f>IF(OR($D1297="",$B1297=""),"",ROUND(N($R1297)*($D1297-$B1297),2))</f>
        <v/>
      </c>
      <c r="AM1297" s="17">
        <f>IF(AND($E1297="Saída",$W1297&gt;0,$C1297&lt;&gt;""),$C1297+ROW()/1000000,"")</f>
        <v/>
      </c>
      <c r="AN1297" s="17">
        <f>IF(AND($E1297="Entrada",$W1297&gt;0,$C1297&lt;&gt;""),$C1297+ROW()/1000000,"")</f>
        <v/>
      </c>
      <c r="AO1297" s="9">
        <f>IF(COUNTA($B1297:$R1297)=0,"",IF(AND($I1297&lt;&gt;"",COUNTIF(CLIENTES_NOMES,$I1297)+COUNTIF(CLIENTES_FANTASIA,$I1297)+COUNTIF(FORNECEDORES_NOMES,$I1297)+COUNTIF(FORNECEDORES_FANTASIA,$I1297)=0),"⚠ Cliente/Fornecedor não cadastrado",IF(AND($G1297&lt;&gt;"",COUNTIF(SUBCATEGORIAS_PLANO,$G1297)=0),"⚠ Subcategoria fora do plano de contas",IF(OR($Q1297="",N($Q1297)=0),"⚠ Valor previsto não informado",IF(AND(OR($X1297="Pago",$X1297="Recebido"),$D1297=""),"⚠ Status pago/recebido sem data",IF(AND($D1297&lt;&gt;"",N($R1297)=0),"⚠ Data de pagamento sem valor realizado",IF(AND(N($P1297)&gt;1,N($O1297)&gt;N($P1297)),"⚠ Nº da parcela maior que o total",IF(AND($C1297&lt;&gt;"",$B1297&lt;&gt;"",$C1297&lt;$B1297),"⚠ Vencimento anterior à competência","OK"))))))))</f>
        <v/>
      </c>
    </row>
    <row r="1298">
      <c r="A1298" s="14" t="n"/>
      <c r="B1298" s="36" t="n"/>
      <c r="C1298" s="36" t="n"/>
      <c r="D1298" s="36" t="n"/>
      <c r="E1298" s="14" t="n"/>
      <c r="F1298" s="29" t="n"/>
      <c r="G1298" s="29" t="n"/>
      <c r="H1298" s="29" t="n"/>
      <c r="I1298" s="29" t="n"/>
      <c r="J1298" s="29" t="n"/>
      <c r="K1298" s="14" t="n"/>
      <c r="L1298" s="29" t="n"/>
      <c r="M1298" s="14" t="n"/>
      <c r="N1298" s="29" t="n"/>
      <c r="O1298" s="13" t="n"/>
      <c r="P1298" s="13" t="n"/>
      <c r="Q1298" s="35" t="n"/>
      <c r="R1298" s="35" t="n"/>
      <c r="S1298" s="35" t="n"/>
      <c r="T1298" s="35" t="n"/>
      <c r="U1298" s="35" t="n"/>
      <c r="V1298" s="18">
        <f>IF(COUNTA($B1298:$R1298)=0,"",ROUND(N($R1298)+N($S1298)+N($T1298)-N($U1298),2))</f>
        <v/>
      </c>
      <c r="W1298" s="18">
        <f>IF(COUNTA($B1298:$R1298)=0,"",IF(OR($X1298="Pago",$X1298="Recebido",$X1298="Cancelado"),0,ROUND(N($Q1298)+N($S1298)+N($T1298)-N($U1298)-N($R1298),2)))</f>
        <v/>
      </c>
      <c r="X1298" s="14" t="n"/>
      <c r="Y1298" s="17">
        <f>IF(COUNTA($B1298:$R1298)=0,"",IF($X1298="Cancelado","Cancelado",IF(OR($X1298="Pago",$X1298="Recebido"),$X1298,IF(OR($X1298="Parcial",N($R1298)&gt;0),"Parcial",IF($C1298="","Sem vencimento",IF($C1298&lt;TODAY(),"Vencido",IF($C1298=TODAY(),"Vence hoje",IF($C1298&lt;=TODAY()+7,"Vence em 7 dias",IF($C1298&lt;=TODAY()+30,"Vence em 30 dias","Futuro")))))))))</f>
        <v/>
      </c>
      <c r="Z1298" s="24">
        <f>IF($B1298="","",MONTH($B1298))</f>
        <v/>
      </c>
      <c r="AA1298" s="24">
        <f>IF($B1298="","",YEAR($B1298))</f>
        <v/>
      </c>
      <c r="AB1298" s="24">
        <f>IF($B1298="","",ISOWEEKNUM($B1298))</f>
        <v/>
      </c>
      <c r="AC1298" s="17">
        <f>IF($B1298="","",CHOOSE(WEEKDAY($B1298,2),"Segunda","Terça","Quarta","Quinta","Sexta","Sábado","Domingo"))</f>
        <v/>
      </c>
      <c r="AD1298" s="17">
        <f>IF($B1298="","",TEXT($B1298,"MM/AAAA"))</f>
        <v/>
      </c>
      <c r="AE1298" s="18">
        <f>IF(COUNTA($B1298:$R1298)=0,"",IF($X1298="Cancelado",0,ROUND(N($Q1298)+N($S1298)+N($T1298)-N($U1298),2)))</f>
        <v/>
      </c>
      <c r="AF1298" s="9">
        <f>IF($G1298="","",IFERROR(INDEX(LINHAS_DRE_PLANO,MATCH($G1298,SUBCATEGORIAS_PLANO,0)),"Não classificado"))</f>
        <v/>
      </c>
      <c r="AG1298" s="17">
        <f>IF($G1298="","",IFERROR(INDEX(TIPOS_FLUXO_PLANO,MATCH($G1298,SUBCATEGORIAS_PLANO,0)),"Não classificado"))</f>
        <v/>
      </c>
      <c r="AH1298" s="9">
        <f>IF($G1298="","",IFERROR(INDEX(GRUPOS_PLANO,MATCH($G1298,SUBCATEGORIAS_PLANO,0)),"Não classificado"))</f>
        <v/>
      </c>
      <c r="AI1298" s="24">
        <f>IF(OR($C1298="",$X1298="Pago",$X1298="Recebido",$X1298="Cancelado"),"",$C1298-TODAY())</f>
        <v/>
      </c>
      <c r="AJ1298" s="24">
        <f>IF(OR($C1298="",$X1298="Pago",$X1298="Recebido",$X1298="Cancelado"),0,MAX(0,TODAY()-$C1298))</f>
        <v/>
      </c>
      <c r="AK1298" s="24">
        <f>IF($D1298="","",$D1298-$B1298)</f>
        <v/>
      </c>
      <c r="AL1298" s="18">
        <f>IF(OR($D1298="",$B1298=""),"",ROUND(N($R1298)*($D1298-$B1298),2))</f>
        <v/>
      </c>
      <c r="AM1298" s="17">
        <f>IF(AND($E1298="Saída",$W1298&gt;0,$C1298&lt;&gt;""),$C1298+ROW()/1000000,"")</f>
        <v/>
      </c>
      <c r="AN1298" s="17">
        <f>IF(AND($E1298="Entrada",$W1298&gt;0,$C1298&lt;&gt;""),$C1298+ROW()/1000000,"")</f>
        <v/>
      </c>
      <c r="AO1298" s="9">
        <f>IF(COUNTA($B1298:$R1298)=0,"",IF(AND($I1298&lt;&gt;"",COUNTIF(CLIENTES_NOMES,$I1298)+COUNTIF(CLIENTES_FANTASIA,$I1298)+COUNTIF(FORNECEDORES_NOMES,$I1298)+COUNTIF(FORNECEDORES_FANTASIA,$I1298)=0),"⚠ Cliente/Fornecedor não cadastrado",IF(AND($G1298&lt;&gt;"",COUNTIF(SUBCATEGORIAS_PLANO,$G1298)=0),"⚠ Subcategoria fora do plano de contas",IF(OR($Q1298="",N($Q1298)=0),"⚠ Valor previsto não informado",IF(AND(OR($X1298="Pago",$X1298="Recebido"),$D1298=""),"⚠ Status pago/recebido sem data",IF(AND($D1298&lt;&gt;"",N($R1298)=0),"⚠ Data de pagamento sem valor realizado",IF(AND(N($P1298)&gt;1,N($O1298)&gt;N($P1298)),"⚠ Nº da parcela maior que o total",IF(AND($C1298&lt;&gt;"",$B1298&lt;&gt;"",$C1298&lt;$B1298),"⚠ Vencimento anterior à competência","OK"))))))))</f>
        <v/>
      </c>
    </row>
    <row r="1299">
      <c r="A1299" s="14" t="n"/>
      <c r="B1299" s="36" t="n"/>
      <c r="C1299" s="36" t="n"/>
      <c r="D1299" s="36" t="n"/>
      <c r="E1299" s="14" t="n"/>
      <c r="F1299" s="29" t="n"/>
      <c r="G1299" s="29" t="n"/>
      <c r="H1299" s="29" t="n"/>
      <c r="I1299" s="29" t="n"/>
      <c r="J1299" s="29" t="n"/>
      <c r="K1299" s="14" t="n"/>
      <c r="L1299" s="29" t="n"/>
      <c r="M1299" s="14" t="n"/>
      <c r="N1299" s="29" t="n"/>
      <c r="O1299" s="13" t="n"/>
      <c r="P1299" s="13" t="n"/>
      <c r="Q1299" s="35" t="n"/>
      <c r="R1299" s="35" t="n"/>
      <c r="S1299" s="35" t="n"/>
      <c r="T1299" s="35" t="n"/>
      <c r="U1299" s="35" t="n"/>
      <c r="V1299" s="18">
        <f>IF(COUNTA($B1299:$R1299)=0,"",ROUND(N($R1299)+N($S1299)+N($T1299)-N($U1299),2))</f>
        <v/>
      </c>
      <c r="W1299" s="18">
        <f>IF(COUNTA($B1299:$R1299)=0,"",IF(OR($X1299="Pago",$X1299="Recebido",$X1299="Cancelado"),0,ROUND(N($Q1299)+N($S1299)+N($T1299)-N($U1299)-N($R1299),2)))</f>
        <v/>
      </c>
      <c r="X1299" s="14" t="n"/>
      <c r="Y1299" s="17">
        <f>IF(COUNTA($B1299:$R1299)=0,"",IF($X1299="Cancelado","Cancelado",IF(OR($X1299="Pago",$X1299="Recebido"),$X1299,IF(OR($X1299="Parcial",N($R1299)&gt;0),"Parcial",IF($C1299="","Sem vencimento",IF($C1299&lt;TODAY(),"Vencido",IF($C1299=TODAY(),"Vence hoje",IF($C1299&lt;=TODAY()+7,"Vence em 7 dias",IF($C1299&lt;=TODAY()+30,"Vence em 30 dias","Futuro")))))))))</f>
        <v/>
      </c>
      <c r="Z1299" s="24">
        <f>IF($B1299="","",MONTH($B1299))</f>
        <v/>
      </c>
      <c r="AA1299" s="24">
        <f>IF($B1299="","",YEAR($B1299))</f>
        <v/>
      </c>
      <c r="AB1299" s="24">
        <f>IF($B1299="","",ISOWEEKNUM($B1299))</f>
        <v/>
      </c>
      <c r="AC1299" s="17">
        <f>IF($B1299="","",CHOOSE(WEEKDAY($B1299,2),"Segunda","Terça","Quarta","Quinta","Sexta","Sábado","Domingo"))</f>
        <v/>
      </c>
      <c r="AD1299" s="17">
        <f>IF($B1299="","",TEXT($B1299,"MM/AAAA"))</f>
        <v/>
      </c>
      <c r="AE1299" s="18">
        <f>IF(COUNTA($B1299:$R1299)=0,"",IF($X1299="Cancelado",0,ROUND(N($Q1299)+N($S1299)+N($T1299)-N($U1299),2)))</f>
        <v/>
      </c>
      <c r="AF1299" s="9">
        <f>IF($G1299="","",IFERROR(INDEX(LINHAS_DRE_PLANO,MATCH($G1299,SUBCATEGORIAS_PLANO,0)),"Não classificado"))</f>
        <v/>
      </c>
      <c r="AG1299" s="17">
        <f>IF($G1299="","",IFERROR(INDEX(TIPOS_FLUXO_PLANO,MATCH($G1299,SUBCATEGORIAS_PLANO,0)),"Não classificado"))</f>
        <v/>
      </c>
      <c r="AH1299" s="9">
        <f>IF($G1299="","",IFERROR(INDEX(GRUPOS_PLANO,MATCH($G1299,SUBCATEGORIAS_PLANO,0)),"Não classificado"))</f>
        <v/>
      </c>
      <c r="AI1299" s="24">
        <f>IF(OR($C1299="",$X1299="Pago",$X1299="Recebido",$X1299="Cancelado"),"",$C1299-TODAY())</f>
        <v/>
      </c>
      <c r="AJ1299" s="24">
        <f>IF(OR($C1299="",$X1299="Pago",$X1299="Recebido",$X1299="Cancelado"),0,MAX(0,TODAY()-$C1299))</f>
        <v/>
      </c>
      <c r="AK1299" s="24">
        <f>IF($D1299="","",$D1299-$B1299)</f>
        <v/>
      </c>
      <c r="AL1299" s="18">
        <f>IF(OR($D1299="",$B1299=""),"",ROUND(N($R1299)*($D1299-$B1299),2))</f>
        <v/>
      </c>
      <c r="AM1299" s="17">
        <f>IF(AND($E1299="Saída",$W1299&gt;0,$C1299&lt;&gt;""),$C1299+ROW()/1000000,"")</f>
        <v/>
      </c>
      <c r="AN1299" s="17">
        <f>IF(AND($E1299="Entrada",$W1299&gt;0,$C1299&lt;&gt;""),$C1299+ROW()/1000000,"")</f>
        <v/>
      </c>
      <c r="AO1299" s="9">
        <f>IF(COUNTA($B1299:$R1299)=0,"",IF(AND($I1299&lt;&gt;"",COUNTIF(CLIENTES_NOMES,$I1299)+COUNTIF(CLIENTES_FANTASIA,$I1299)+COUNTIF(FORNECEDORES_NOMES,$I1299)+COUNTIF(FORNECEDORES_FANTASIA,$I1299)=0),"⚠ Cliente/Fornecedor não cadastrado",IF(AND($G1299&lt;&gt;"",COUNTIF(SUBCATEGORIAS_PLANO,$G1299)=0),"⚠ Subcategoria fora do plano de contas",IF(OR($Q1299="",N($Q1299)=0),"⚠ Valor previsto não informado",IF(AND(OR($X1299="Pago",$X1299="Recebido"),$D1299=""),"⚠ Status pago/recebido sem data",IF(AND($D1299&lt;&gt;"",N($R1299)=0),"⚠ Data de pagamento sem valor realizado",IF(AND(N($P1299)&gt;1,N($O1299)&gt;N($P1299)),"⚠ Nº da parcela maior que o total",IF(AND($C1299&lt;&gt;"",$B1299&lt;&gt;"",$C1299&lt;$B1299),"⚠ Vencimento anterior à competência","OK"))))))))</f>
        <v/>
      </c>
    </row>
    <row r="1300">
      <c r="A1300" s="14" t="n"/>
      <c r="B1300" s="36" t="n"/>
      <c r="C1300" s="36" t="n"/>
      <c r="D1300" s="36" t="n"/>
      <c r="E1300" s="14" t="n"/>
      <c r="F1300" s="29" t="n"/>
      <c r="G1300" s="29" t="n"/>
      <c r="H1300" s="29" t="n"/>
      <c r="I1300" s="29" t="n"/>
      <c r="J1300" s="29" t="n"/>
      <c r="K1300" s="14" t="n"/>
      <c r="L1300" s="29" t="n"/>
      <c r="M1300" s="14" t="n"/>
      <c r="N1300" s="29" t="n"/>
      <c r="O1300" s="13" t="n"/>
      <c r="P1300" s="13" t="n"/>
      <c r="Q1300" s="35" t="n"/>
      <c r="R1300" s="35" t="n"/>
      <c r="S1300" s="35" t="n"/>
      <c r="T1300" s="35" t="n"/>
      <c r="U1300" s="35" t="n"/>
      <c r="V1300" s="18">
        <f>IF(COUNTA($B1300:$R1300)=0,"",ROUND(N($R1300)+N($S1300)+N($T1300)-N($U1300),2))</f>
        <v/>
      </c>
      <c r="W1300" s="18">
        <f>IF(COUNTA($B1300:$R1300)=0,"",IF(OR($X1300="Pago",$X1300="Recebido",$X1300="Cancelado"),0,ROUND(N($Q1300)+N($S1300)+N($T1300)-N($U1300)-N($R1300),2)))</f>
        <v/>
      </c>
      <c r="X1300" s="14" t="n"/>
      <c r="Y1300" s="17">
        <f>IF(COUNTA($B1300:$R1300)=0,"",IF($X1300="Cancelado","Cancelado",IF(OR($X1300="Pago",$X1300="Recebido"),$X1300,IF(OR($X1300="Parcial",N($R1300)&gt;0),"Parcial",IF($C1300="","Sem vencimento",IF($C1300&lt;TODAY(),"Vencido",IF($C1300=TODAY(),"Vence hoje",IF($C1300&lt;=TODAY()+7,"Vence em 7 dias",IF($C1300&lt;=TODAY()+30,"Vence em 30 dias","Futuro")))))))))</f>
        <v/>
      </c>
      <c r="Z1300" s="24">
        <f>IF($B1300="","",MONTH($B1300))</f>
        <v/>
      </c>
      <c r="AA1300" s="24">
        <f>IF($B1300="","",YEAR($B1300))</f>
        <v/>
      </c>
      <c r="AB1300" s="24">
        <f>IF($B1300="","",ISOWEEKNUM($B1300))</f>
        <v/>
      </c>
      <c r="AC1300" s="17">
        <f>IF($B1300="","",CHOOSE(WEEKDAY($B1300,2),"Segunda","Terça","Quarta","Quinta","Sexta","Sábado","Domingo"))</f>
        <v/>
      </c>
      <c r="AD1300" s="17">
        <f>IF($B1300="","",TEXT($B1300,"MM/AAAA"))</f>
        <v/>
      </c>
      <c r="AE1300" s="18">
        <f>IF(COUNTA($B1300:$R1300)=0,"",IF($X1300="Cancelado",0,ROUND(N($Q1300)+N($S1300)+N($T1300)-N($U1300),2)))</f>
        <v/>
      </c>
      <c r="AF1300" s="9">
        <f>IF($G1300="","",IFERROR(INDEX(LINHAS_DRE_PLANO,MATCH($G1300,SUBCATEGORIAS_PLANO,0)),"Não classificado"))</f>
        <v/>
      </c>
      <c r="AG1300" s="17">
        <f>IF($G1300="","",IFERROR(INDEX(TIPOS_FLUXO_PLANO,MATCH($G1300,SUBCATEGORIAS_PLANO,0)),"Não classificado"))</f>
        <v/>
      </c>
      <c r="AH1300" s="9">
        <f>IF($G1300="","",IFERROR(INDEX(GRUPOS_PLANO,MATCH($G1300,SUBCATEGORIAS_PLANO,0)),"Não classificado"))</f>
        <v/>
      </c>
      <c r="AI1300" s="24">
        <f>IF(OR($C1300="",$X1300="Pago",$X1300="Recebido",$X1300="Cancelado"),"",$C1300-TODAY())</f>
        <v/>
      </c>
      <c r="AJ1300" s="24">
        <f>IF(OR($C1300="",$X1300="Pago",$X1300="Recebido",$X1300="Cancelado"),0,MAX(0,TODAY()-$C1300))</f>
        <v/>
      </c>
      <c r="AK1300" s="24">
        <f>IF($D1300="","",$D1300-$B1300)</f>
        <v/>
      </c>
      <c r="AL1300" s="18">
        <f>IF(OR($D1300="",$B1300=""),"",ROUND(N($R1300)*($D1300-$B1300),2))</f>
        <v/>
      </c>
      <c r="AM1300" s="17">
        <f>IF(AND($E1300="Saída",$W1300&gt;0,$C1300&lt;&gt;""),$C1300+ROW()/1000000,"")</f>
        <v/>
      </c>
      <c r="AN1300" s="17">
        <f>IF(AND($E1300="Entrada",$W1300&gt;0,$C1300&lt;&gt;""),$C1300+ROW()/1000000,"")</f>
        <v/>
      </c>
      <c r="AO1300" s="9">
        <f>IF(COUNTA($B1300:$R1300)=0,"",IF(AND($I1300&lt;&gt;"",COUNTIF(CLIENTES_NOMES,$I1300)+COUNTIF(CLIENTES_FANTASIA,$I1300)+COUNTIF(FORNECEDORES_NOMES,$I1300)+COUNTIF(FORNECEDORES_FANTASIA,$I1300)=0),"⚠ Cliente/Fornecedor não cadastrado",IF(AND($G1300&lt;&gt;"",COUNTIF(SUBCATEGORIAS_PLANO,$G1300)=0),"⚠ Subcategoria fora do plano de contas",IF(OR($Q1300="",N($Q1300)=0),"⚠ Valor previsto não informado",IF(AND(OR($X1300="Pago",$X1300="Recebido"),$D1300=""),"⚠ Status pago/recebido sem data",IF(AND($D1300&lt;&gt;"",N($R1300)=0),"⚠ Data de pagamento sem valor realizado",IF(AND(N($P1300)&gt;1,N($O1300)&gt;N($P1300)),"⚠ Nº da parcela maior que o total",IF(AND($C1300&lt;&gt;"",$B1300&lt;&gt;"",$C1300&lt;$B1300),"⚠ Vencimento anterior à competência","OK"))))))))</f>
        <v/>
      </c>
    </row>
    <row r="1301">
      <c r="A1301" s="14" t="n"/>
      <c r="B1301" s="36" t="n"/>
      <c r="C1301" s="36" t="n"/>
      <c r="D1301" s="36" t="n"/>
      <c r="E1301" s="14" t="n"/>
      <c r="F1301" s="29" t="n"/>
      <c r="G1301" s="29" t="n"/>
      <c r="H1301" s="29" t="n"/>
      <c r="I1301" s="29" t="n"/>
      <c r="J1301" s="29" t="n"/>
      <c r="K1301" s="14" t="n"/>
      <c r="L1301" s="29" t="n"/>
      <c r="M1301" s="14" t="n"/>
      <c r="N1301" s="29" t="n"/>
      <c r="O1301" s="13" t="n"/>
      <c r="P1301" s="13" t="n"/>
      <c r="Q1301" s="35" t="n"/>
      <c r="R1301" s="35" t="n"/>
      <c r="S1301" s="35" t="n"/>
      <c r="T1301" s="35" t="n"/>
      <c r="U1301" s="35" t="n"/>
      <c r="V1301" s="18">
        <f>IF(COUNTA($B1301:$R1301)=0,"",ROUND(N($R1301)+N($S1301)+N($T1301)-N($U1301),2))</f>
        <v/>
      </c>
      <c r="W1301" s="18">
        <f>IF(COUNTA($B1301:$R1301)=0,"",IF(OR($X1301="Pago",$X1301="Recebido",$X1301="Cancelado"),0,ROUND(N($Q1301)+N($S1301)+N($T1301)-N($U1301)-N($R1301),2)))</f>
        <v/>
      </c>
      <c r="X1301" s="14" t="n"/>
      <c r="Y1301" s="17">
        <f>IF(COUNTA($B1301:$R1301)=0,"",IF($X1301="Cancelado","Cancelado",IF(OR($X1301="Pago",$X1301="Recebido"),$X1301,IF(OR($X1301="Parcial",N($R1301)&gt;0),"Parcial",IF($C1301="","Sem vencimento",IF($C1301&lt;TODAY(),"Vencido",IF($C1301=TODAY(),"Vence hoje",IF($C1301&lt;=TODAY()+7,"Vence em 7 dias",IF($C1301&lt;=TODAY()+30,"Vence em 30 dias","Futuro")))))))))</f>
        <v/>
      </c>
      <c r="Z1301" s="24">
        <f>IF($B1301="","",MONTH($B1301))</f>
        <v/>
      </c>
      <c r="AA1301" s="24">
        <f>IF($B1301="","",YEAR($B1301))</f>
        <v/>
      </c>
      <c r="AB1301" s="24">
        <f>IF($B1301="","",ISOWEEKNUM($B1301))</f>
        <v/>
      </c>
      <c r="AC1301" s="17">
        <f>IF($B1301="","",CHOOSE(WEEKDAY($B1301,2),"Segunda","Terça","Quarta","Quinta","Sexta","Sábado","Domingo"))</f>
        <v/>
      </c>
      <c r="AD1301" s="17">
        <f>IF($B1301="","",TEXT($B1301,"MM/AAAA"))</f>
        <v/>
      </c>
      <c r="AE1301" s="18">
        <f>IF(COUNTA($B1301:$R1301)=0,"",IF($X1301="Cancelado",0,ROUND(N($Q1301)+N($S1301)+N($T1301)-N($U1301),2)))</f>
        <v/>
      </c>
      <c r="AF1301" s="9">
        <f>IF($G1301="","",IFERROR(INDEX(LINHAS_DRE_PLANO,MATCH($G1301,SUBCATEGORIAS_PLANO,0)),"Não classificado"))</f>
        <v/>
      </c>
      <c r="AG1301" s="17">
        <f>IF($G1301="","",IFERROR(INDEX(TIPOS_FLUXO_PLANO,MATCH($G1301,SUBCATEGORIAS_PLANO,0)),"Não classificado"))</f>
        <v/>
      </c>
      <c r="AH1301" s="9">
        <f>IF($G1301="","",IFERROR(INDEX(GRUPOS_PLANO,MATCH($G1301,SUBCATEGORIAS_PLANO,0)),"Não classificado"))</f>
        <v/>
      </c>
      <c r="AI1301" s="24">
        <f>IF(OR($C1301="",$X1301="Pago",$X1301="Recebido",$X1301="Cancelado"),"",$C1301-TODAY())</f>
        <v/>
      </c>
      <c r="AJ1301" s="24">
        <f>IF(OR($C1301="",$X1301="Pago",$X1301="Recebido",$X1301="Cancelado"),0,MAX(0,TODAY()-$C1301))</f>
        <v/>
      </c>
      <c r="AK1301" s="24">
        <f>IF($D1301="","",$D1301-$B1301)</f>
        <v/>
      </c>
      <c r="AL1301" s="18">
        <f>IF(OR($D1301="",$B1301=""),"",ROUND(N($R1301)*($D1301-$B1301),2))</f>
        <v/>
      </c>
      <c r="AM1301" s="17">
        <f>IF(AND($E1301="Saída",$W1301&gt;0,$C1301&lt;&gt;""),$C1301+ROW()/1000000,"")</f>
        <v/>
      </c>
      <c r="AN1301" s="17">
        <f>IF(AND($E1301="Entrada",$W1301&gt;0,$C1301&lt;&gt;""),$C1301+ROW()/1000000,"")</f>
        <v/>
      </c>
      <c r="AO1301" s="9">
        <f>IF(COUNTA($B1301:$R1301)=0,"",IF(AND($I1301&lt;&gt;"",COUNTIF(CLIENTES_NOMES,$I1301)+COUNTIF(CLIENTES_FANTASIA,$I1301)+COUNTIF(FORNECEDORES_NOMES,$I1301)+COUNTIF(FORNECEDORES_FANTASIA,$I1301)=0),"⚠ Cliente/Fornecedor não cadastrado",IF(AND($G1301&lt;&gt;"",COUNTIF(SUBCATEGORIAS_PLANO,$G1301)=0),"⚠ Subcategoria fora do plano de contas",IF(OR($Q1301="",N($Q1301)=0),"⚠ Valor previsto não informado",IF(AND(OR($X1301="Pago",$X1301="Recebido"),$D1301=""),"⚠ Status pago/recebido sem data",IF(AND($D1301&lt;&gt;"",N($R1301)=0),"⚠ Data de pagamento sem valor realizado",IF(AND(N($P1301)&gt;1,N($O1301)&gt;N($P1301)),"⚠ Nº da parcela maior que o total",IF(AND($C1301&lt;&gt;"",$B1301&lt;&gt;"",$C1301&lt;$B1301),"⚠ Vencimento anterior à competência","OK"))))))))</f>
        <v/>
      </c>
    </row>
    <row r="1302">
      <c r="A1302" s="14" t="n"/>
      <c r="B1302" s="36" t="n"/>
      <c r="C1302" s="36" t="n"/>
      <c r="D1302" s="36" t="n"/>
      <c r="E1302" s="14" t="n"/>
      <c r="F1302" s="29" t="n"/>
      <c r="G1302" s="29" t="n"/>
      <c r="H1302" s="29" t="n"/>
      <c r="I1302" s="29" t="n"/>
      <c r="J1302" s="29" t="n"/>
      <c r="K1302" s="14" t="n"/>
      <c r="L1302" s="29" t="n"/>
      <c r="M1302" s="14" t="n"/>
      <c r="N1302" s="29" t="n"/>
      <c r="O1302" s="13" t="n"/>
      <c r="P1302" s="13" t="n"/>
      <c r="Q1302" s="35" t="n"/>
      <c r="R1302" s="35" t="n"/>
      <c r="S1302" s="35" t="n"/>
      <c r="T1302" s="35" t="n"/>
      <c r="U1302" s="35" t="n"/>
      <c r="V1302" s="18">
        <f>IF(COUNTA($B1302:$R1302)=0,"",ROUND(N($R1302)+N($S1302)+N($T1302)-N($U1302),2))</f>
        <v/>
      </c>
      <c r="W1302" s="18">
        <f>IF(COUNTA($B1302:$R1302)=0,"",IF(OR($X1302="Pago",$X1302="Recebido",$X1302="Cancelado"),0,ROUND(N($Q1302)+N($S1302)+N($T1302)-N($U1302)-N($R1302),2)))</f>
        <v/>
      </c>
      <c r="X1302" s="14" t="n"/>
      <c r="Y1302" s="17">
        <f>IF(COUNTA($B1302:$R1302)=0,"",IF($X1302="Cancelado","Cancelado",IF(OR($X1302="Pago",$X1302="Recebido"),$X1302,IF(OR($X1302="Parcial",N($R1302)&gt;0),"Parcial",IF($C1302="","Sem vencimento",IF($C1302&lt;TODAY(),"Vencido",IF($C1302=TODAY(),"Vence hoje",IF($C1302&lt;=TODAY()+7,"Vence em 7 dias",IF($C1302&lt;=TODAY()+30,"Vence em 30 dias","Futuro")))))))))</f>
        <v/>
      </c>
      <c r="Z1302" s="24">
        <f>IF($B1302="","",MONTH($B1302))</f>
        <v/>
      </c>
      <c r="AA1302" s="24">
        <f>IF($B1302="","",YEAR($B1302))</f>
        <v/>
      </c>
      <c r="AB1302" s="24">
        <f>IF($B1302="","",ISOWEEKNUM($B1302))</f>
        <v/>
      </c>
      <c r="AC1302" s="17">
        <f>IF($B1302="","",CHOOSE(WEEKDAY($B1302,2),"Segunda","Terça","Quarta","Quinta","Sexta","Sábado","Domingo"))</f>
        <v/>
      </c>
      <c r="AD1302" s="17">
        <f>IF($B1302="","",TEXT($B1302,"MM/AAAA"))</f>
        <v/>
      </c>
      <c r="AE1302" s="18">
        <f>IF(COUNTA($B1302:$R1302)=0,"",IF($X1302="Cancelado",0,ROUND(N($Q1302)+N($S1302)+N($T1302)-N($U1302),2)))</f>
        <v/>
      </c>
      <c r="AF1302" s="9">
        <f>IF($G1302="","",IFERROR(INDEX(LINHAS_DRE_PLANO,MATCH($G1302,SUBCATEGORIAS_PLANO,0)),"Não classificado"))</f>
        <v/>
      </c>
      <c r="AG1302" s="17">
        <f>IF($G1302="","",IFERROR(INDEX(TIPOS_FLUXO_PLANO,MATCH($G1302,SUBCATEGORIAS_PLANO,0)),"Não classificado"))</f>
        <v/>
      </c>
      <c r="AH1302" s="9">
        <f>IF($G1302="","",IFERROR(INDEX(GRUPOS_PLANO,MATCH($G1302,SUBCATEGORIAS_PLANO,0)),"Não classificado"))</f>
        <v/>
      </c>
      <c r="AI1302" s="24">
        <f>IF(OR($C1302="",$X1302="Pago",$X1302="Recebido",$X1302="Cancelado"),"",$C1302-TODAY())</f>
        <v/>
      </c>
      <c r="AJ1302" s="24">
        <f>IF(OR($C1302="",$X1302="Pago",$X1302="Recebido",$X1302="Cancelado"),0,MAX(0,TODAY()-$C1302))</f>
        <v/>
      </c>
      <c r="AK1302" s="24">
        <f>IF($D1302="","",$D1302-$B1302)</f>
        <v/>
      </c>
      <c r="AL1302" s="18">
        <f>IF(OR($D1302="",$B1302=""),"",ROUND(N($R1302)*($D1302-$B1302),2))</f>
        <v/>
      </c>
      <c r="AM1302" s="17">
        <f>IF(AND($E1302="Saída",$W1302&gt;0,$C1302&lt;&gt;""),$C1302+ROW()/1000000,"")</f>
        <v/>
      </c>
      <c r="AN1302" s="17">
        <f>IF(AND($E1302="Entrada",$W1302&gt;0,$C1302&lt;&gt;""),$C1302+ROW()/1000000,"")</f>
        <v/>
      </c>
      <c r="AO1302" s="9">
        <f>IF(COUNTA($B1302:$R1302)=0,"",IF(AND($I1302&lt;&gt;"",COUNTIF(CLIENTES_NOMES,$I1302)+COUNTIF(CLIENTES_FANTASIA,$I1302)+COUNTIF(FORNECEDORES_NOMES,$I1302)+COUNTIF(FORNECEDORES_FANTASIA,$I1302)=0),"⚠ Cliente/Fornecedor não cadastrado",IF(AND($G1302&lt;&gt;"",COUNTIF(SUBCATEGORIAS_PLANO,$G1302)=0),"⚠ Subcategoria fora do plano de contas",IF(OR($Q1302="",N($Q1302)=0),"⚠ Valor previsto não informado",IF(AND(OR($X1302="Pago",$X1302="Recebido"),$D1302=""),"⚠ Status pago/recebido sem data",IF(AND($D1302&lt;&gt;"",N($R1302)=0),"⚠ Data de pagamento sem valor realizado",IF(AND(N($P1302)&gt;1,N($O1302)&gt;N($P1302)),"⚠ Nº da parcela maior que o total",IF(AND($C1302&lt;&gt;"",$B1302&lt;&gt;"",$C1302&lt;$B1302),"⚠ Vencimento anterior à competência","OK"))))))))</f>
        <v/>
      </c>
    </row>
    <row r="1303">
      <c r="A1303" s="14" t="n"/>
      <c r="B1303" s="36" t="n"/>
      <c r="C1303" s="36" t="n"/>
      <c r="D1303" s="36" t="n"/>
      <c r="E1303" s="14" t="n"/>
      <c r="F1303" s="29" t="n"/>
      <c r="G1303" s="29" t="n"/>
      <c r="H1303" s="29" t="n"/>
      <c r="I1303" s="29" t="n"/>
      <c r="J1303" s="29" t="n"/>
      <c r="K1303" s="14" t="n"/>
      <c r="L1303" s="29" t="n"/>
      <c r="M1303" s="14" t="n"/>
      <c r="N1303" s="29" t="n"/>
      <c r="O1303" s="13" t="n"/>
      <c r="P1303" s="13" t="n"/>
      <c r="Q1303" s="35" t="n"/>
      <c r="R1303" s="35" t="n"/>
      <c r="S1303" s="35" t="n"/>
      <c r="T1303" s="35" t="n"/>
      <c r="U1303" s="35" t="n"/>
      <c r="V1303" s="18">
        <f>IF(COUNTA($B1303:$R1303)=0,"",ROUND(N($R1303)+N($S1303)+N($T1303)-N($U1303),2))</f>
        <v/>
      </c>
      <c r="W1303" s="18">
        <f>IF(COUNTA($B1303:$R1303)=0,"",IF(OR($X1303="Pago",$X1303="Recebido",$X1303="Cancelado"),0,ROUND(N($Q1303)+N($S1303)+N($T1303)-N($U1303)-N($R1303),2)))</f>
        <v/>
      </c>
      <c r="X1303" s="14" t="n"/>
      <c r="Y1303" s="17">
        <f>IF(COUNTA($B1303:$R1303)=0,"",IF($X1303="Cancelado","Cancelado",IF(OR($X1303="Pago",$X1303="Recebido"),$X1303,IF(OR($X1303="Parcial",N($R1303)&gt;0),"Parcial",IF($C1303="","Sem vencimento",IF($C1303&lt;TODAY(),"Vencido",IF($C1303=TODAY(),"Vence hoje",IF($C1303&lt;=TODAY()+7,"Vence em 7 dias",IF($C1303&lt;=TODAY()+30,"Vence em 30 dias","Futuro")))))))))</f>
        <v/>
      </c>
      <c r="Z1303" s="24">
        <f>IF($B1303="","",MONTH($B1303))</f>
        <v/>
      </c>
      <c r="AA1303" s="24">
        <f>IF($B1303="","",YEAR($B1303))</f>
        <v/>
      </c>
      <c r="AB1303" s="24">
        <f>IF($B1303="","",ISOWEEKNUM($B1303))</f>
        <v/>
      </c>
      <c r="AC1303" s="17">
        <f>IF($B1303="","",CHOOSE(WEEKDAY($B1303,2),"Segunda","Terça","Quarta","Quinta","Sexta","Sábado","Domingo"))</f>
        <v/>
      </c>
      <c r="AD1303" s="17">
        <f>IF($B1303="","",TEXT($B1303,"MM/AAAA"))</f>
        <v/>
      </c>
      <c r="AE1303" s="18">
        <f>IF(COUNTA($B1303:$R1303)=0,"",IF($X1303="Cancelado",0,ROUND(N($Q1303)+N($S1303)+N($T1303)-N($U1303),2)))</f>
        <v/>
      </c>
      <c r="AF1303" s="9">
        <f>IF($G1303="","",IFERROR(INDEX(LINHAS_DRE_PLANO,MATCH($G1303,SUBCATEGORIAS_PLANO,0)),"Não classificado"))</f>
        <v/>
      </c>
      <c r="AG1303" s="17">
        <f>IF($G1303="","",IFERROR(INDEX(TIPOS_FLUXO_PLANO,MATCH($G1303,SUBCATEGORIAS_PLANO,0)),"Não classificado"))</f>
        <v/>
      </c>
      <c r="AH1303" s="9">
        <f>IF($G1303="","",IFERROR(INDEX(GRUPOS_PLANO,MATCH($G1303,SUBCATEGORIAS_PLANO,0)),"Não classificado"))</f>
        <v/>
      </c>
      <c r="AI1303" s="24">
        <f>IF(OR($C1303="",$X1303="Pago",$X1303="Recebido",$X1303="Cancelado"),"",$C1303-TODAY())</f>
        <v/>
      </c>
      <c r="AJ1303" s="24">
        <f>IF(OR($C1303="",$X1303="Pago",$X1303="Recebido",$X1303="Cancelado"),0,MAX(0,TODAY()-$C1303))</f>
        <v/>
      </c>
      <c r="AK1303" s="24">
        <f>IF($D1303="","",$D1303-$B1303)</f>
        <v/>
      </c>
      <c r="AL1303" s="18">
        <f>IF(OR($D1303="",$B1303=""),"",ROUND(N($R1303)*($D1303-$B1303),2))</f>
        <v/>
      </c>
      <c r="AM1303" s="17">
        <f>IF(AND($E1303="Saída",$W1303&gt;0,$C1303&lt;&gt;""),$C1303+ROW()/1000000,"")</f>
        <v/>
      </c>
      <c r="AN1303" s="17">
        <f>IF(AND($E1303="Entrada",$W1303&gt;0,$C1303&lt;&gt;""),$C1303+ROW()/1000000,"")</f>
        <v/>
      </c>
      <c r="AO1303" s="9">
        <f>IF(COUNTA($B1303:$R1303)=0,"",IF(AND($I1303&lt;&gt;"",COUNTIF(CLIENTES_NOMES,$I1303)+COUNTIF(CLIENTES_FANTASIA,$I1303)+COUNTIF(FORNECEDORES_NOMES,$I1303)+COUNTIF(FORNECEDORES_FANTASIA,$I1303)=0),"⚠ Cliente/Fornecedor não cadastrado",IF(AND($G1303&lt;&gt;"",COUNTIF(SUBCATEGORIAS_PLANO,$G1303)=0),"⚠ Subcategoria fora do plano de contas",IF(OR($Q1303="",N($Q1303)=0),"⚠ Valor previsto não informado",IF(AND(OR($X1303="Pago",$X1303="Recebido"),$D1303=""),"⚠ Status pago/recebido sem data",IF(AND($D1303&lt;&gt;"",N($R1303)=0),"⚠ Data de pagamento sem valor realizado",IF(AND(N($P1303)&gt;1,N($O1303)&gt;N($P1303)),"⚠ Nº da parcela maior que o total",IF(AND($C1303&lt;&gt;"",$B1303&lt;&gt;"",$C1303&lt;$B1303),"⚠ Vencimento anterior à competência","OK"))))))))</f>
        <v/>
      </c>
    </row>
    <row r="1304">
      <c r="A1304" s="14" t="n"/>
      <c r="B1304" s="36" t="n"/>
      <c r="C1304" s="36" t="n"/>
      <c r="D1304" s="36" t="n"/>
      <c r="E1304" s="14" t="n"/>
      <c r="F1304" s="29" t="n"/>
      <c r="G1304" s="29" t="n"/>
      <c r="H1304" s="29" t="n"/>
      <c r="I1304" s="29" t="n"/>
      <c r="J1304" s="29" t="n"/>
      <c r="K1304" s="14" t="n"/>
      <c r="L1304" s="29" t="n"/>
      <c r="M1304" s="14" t="n"/>
      <c r="N1304" s="29" t="n"/>
      <c r="O1304" s="13" t="n"/>
      <c r="P1304" s="13" t="n"/>
      <c r="Q1304" s="35" t="n"/>
      <c r="R1304" s="35" t="n"/>
      <c r="S1304" s="35" t="n"/>
      <c r="T1304" s="35" t="n"/>
      <c r="U1304" s="35" t="n"/>
      <c r="V1304" s="18">
        <f>IF(COUNTA($B1304:$R1304)=0,"",ROUND(N($R1304)+N($S1304)+N($T1304)-N($U1304),2))</f>
        <v/>
      </c>
      <c r="W1304" s="18">
        <f>IF(COUNTA($B1304:$R1304)=0,"",IF(OR($X1304="Pago",$X1304="Recebido",$X1304="Cancelado"),0,ROUND(N($Q1304)+N($S1304)+N($T1304)-N($U1304)-N($R1304),2)))</f>
        <v/>
      </c>
      <c r="X1304" s="14" t="n"/>
      <c r="Y1304" s="17">
        <f>IF(COUNTA($B1304:$R1304)=0,"",IF($X1304="Cancelado","Cancelado",IF(OR($X1304="Pago",$X1304="Recebido"),$X1304,IF(OR($X1304="Parcial",N($R1304)&gt;0),"Parcial",IF($C1304="","Sem vencimento",IF($C1304&lt;TODAY(),"Vencido",IF($C1304=TODAY(),"Vence hoje",IF($C1304&lt;=TODAY()+7,"Vence em 7 dias",IF($C1304&lt;=TODAY()+30,"Vence em 30 dias","Futuro")))))))))</f>
        <v/>
      </c>
      <c r="Z1304" s="24">
        <f>IF($B1304="","",MONTH($B1304))</f>
        <v/>
      </c>
      <c r="AA1304" s="24">
        <f>IF($B1304="","",YEAR($B1304))</f>
        <v/>
      </c>
      <c r="AB1304" s="24">
        <f>IF($B1304="","",ISOWEEKNUM($B1304))</f>
        <v/>
      </c>
      <c r="AC1304" s="17">
        <f>IF($B1304="","",CHOOSE(WEEKDAY($B1304,2),"Segunda","Terça","Quarta","Quinta","Sexta","Sábado","Domingo"))</f>
        <v/>
      </c>
      <c r="AD1304" s="17">
        <f>IF($B1304="","",TEXT($B1304,"MM/AAAA"))</f>
        <v/>
      </c>
      <c r="AE1304" s="18">
        <f>IF(COUNTA($B1304:$R1304)=0,"",IF($X1304="Cancelado",0,ROUND(N($Q1304)+N($S1304)+N($T1304)-N($U1304),2)))</f>
        <v/>
      </c>
      <c r="AF1304" s="9">
        <f>IF($G1304="","",IFERROR(INDEX(LINHAS_DRE_PLANO,MATCH($G1304,SUBCATEGORIAS_PLANO,0)),"Não classificado"))</f>
        <v/>
      </c>
      <c r="AG1304" s="17">
        <f>IF($G1304="","",IFERROR(INDEX(TIPOS_FLUXO_PLANO,MATCH($G1304,SUBCATEGORIAS_PLANO,0)),"Não classificado"))</f>
        <v/>
      </c>
      <c r="AH1304" s="9">
        <f>IF($G1304="","",IFERROR(INDEX(GRUPOS_PLANO,MATCH($G1304,SUBCATEGORIAS_PLANO,0)),"Não classificado"))</f>
        <v/>
      </c>
      <c r="AI1304" s="24">
        <f>IF(OR($C1304="",$X1304="Pago",$X1304="Recebido",$X1304="Cancelado"),"",$C1304-TODAY())</f>
        <v/>
      </c>
      <c r="AJ1304" s="24">
        <f>IF(OR($C1304="",$X1304="Pago",$X1304="Recebido",$X1304="Cancelado"),0,MAX(0,TODAY()-$C1304))</f>
        <v/>
      </c>
      <c r="AK1304" s="24">
        <f>IF($D1304="","",$D1304-$B1304)</f>
        <v/>
      </c>
      <c r="AL1304" s="18">
        <f>IF(OR($D1304="",$B1304=""),"",ROUND(N($R1304)*($D1304-$B1304),2))</f>
        <v/>
      </c>
      <c r="AM1304" s="17">
        <f>IF(AND($E1304="Saída",$W1304&gt;0,$C1304&lt;&gt;""),$C1304+ROW()/1000000,"")</f>
        <v/>
      </c>
      <c r="AN1304" s="17">
        <f>IF(AND($E1304="Entrada",$W1304&gt;0,$C1304&lt;&gt;""),$C1304+ROW()/1000000,"")</f>
        <v/>
      </c>
      <c r="AO1304" s="9">
        <f>IF(COUNTA($B1304:$R1304)=0,"",IF(AND($I1304&lt;&gt;"",COUNTIF(CLIENTES_NOMES,$I1304)+COUNTIF(CLIENTES_FANTASIA,$I1304)+COUNTIF(FORNECEDORES_NOMES,$I1304)+COUNTIF(FORNECEDORES_FANTASIA,$I1304)=0),"⚠ Cliente/Fornecedor não cadastrado",IF(AND($G1304&lt;&gt;"",COUNTIF(SUBCATEGORIAS_PLANO,$G1304)=0),"⚠ Subcategoria fora do plano de contas",IF(OR($Q1304="",N($Q1304)=0),"⚠ Valor previsto não informado",IF(AND(OR($X1304="Pago",$X1304="Recebido"),$D1304=""),"⚠ Status pago/recebido sem data",IF(AND($D1304&lt;&gt;"",N($R1304)=0),"⚠ Data de pagamento sem valor realizado",IF(AND(N($P1304)&gt;1,N($O1304)&gt;N($P1304)),"⚠ Nº da parcela maior que o total",IF(AND($C1304&lt;&gt;"",$B1304&lt;&gt;"",$C1304&lt;$B1304),"⚠ Vencimento anterior à competência","OK"))))))))</f>
        <v/>
      </c>
    </row>
    <row r="1305">
      <c r="A1305" s="14" t="n"/>
      <c r="B1305" s="36" t="n"/>
      <c r="C1305" s="36" t="n"/>
      <c r="D1305" s="36" t="n"/>
      <c r="E1305" s="14" t="n"/>
      <c r="F1305" s="29" t="n"/>
      <c r="G1305" s="29" t="n"/>
      <c r="H1305" s="29" t="n"/>
      <c r="I1305" s="29" t="n"/>
      <c r="J1305" s="29" t="n"/>
      <c r="K1305" s="14" t="n"/>
      <c r="L1305" s="29" t="n"/>
      <c r="M1305" s="14" t="n"/>
      <c r="N1305" s="29" t="n"/>
      <c r="O1305" s="13" t="n"/>
      <c r="P1305" s="13" t="n"/>
      <c r="Q1305" s="35" t="n"/>
      <c r="R1305" s="35" t="n"/>
      <c r="S1305" s="35" t="n"/>
      <c r="T1305" s="35" t="n"/>
      <c r="U1305" s="35" t="n"/>
      <c r="V1305" s="18">
        <f>IF(COUNTA($B1305:$R1305)=0,"",ROUND(N($R1305)+N($S1305)+N($T1305)-N($U1305),2))</f>
        <v/>
      </c>
      <c r="W1305" s="18">
        <f>IF(COUNTA($B1305:$R1305)=0,"",IF(OR($X1305="Pago",$X1305="Recebido",$X1305="Cancelado"),0,ROUND(N($Q1305)+N($S1305)+N($T1305)-N($U1305)-N($R1305),2)))</f>
        <v/>
      </c>
      <c r="X1305" s="14" t="n"/>
      <c r="Y1305" s="17">
        <f>IF(COUNTA($B1305:$R1305)=0,"",IF($X1305="Cancelado","Cancelado",IF(OR($X1305="Pago",$X1305="Recebido"),$X1305,IF(OR($X1305="Parcial",N($R1305)&gt;0),"Parcial",IF($C1305="","Sem vencimento",IF($C1305&lt;TODAY(),"Vencido",IF($C1305=TODAY(),"Vence hoje",IF($C1305&lt;=TODAY()+7,"Vence em 7 dias",IF($C1305&lt;=TODAY()+30,"Vence em 30 dias","Futuro")))))))))</f>
        <v/>
      </c>
      <c r="Z1305" s="24">
        <f>IF($B1305="","",MONTH($B1305))</f>
        <v/>
      </c>
      <c r="AA1305" s="24">
        <f>IF($B1305="","",YEAR($B1305))</f>
        <v/>
      </c>
      <c r="AB1305" s="24">
        <f>IF($B1305="","",ISOWEEKNUM($B1305))</f>
        <v/>
      </c>
      <c r="AC1305" s="17">
        <f>IF($B1305="","",CHOOSE(WEEKDAY($B1305,2),"Segunda","Terça","Quarta","Quinta","Sexta","Sábado","Domingo"))</f>
        <v/>
      </c>
      <c r="AD1305" s="17">
        <f>IF($B1305="","",TEXT($B1305,"MM/AAAA"))</f>
        <v/>
      </c>
      <c r="AE1305" s="18">
        <f>IF(COUNTA($B1305:$R1305)=0,"",IF($X1305="Cancelado",0,ROUND(N($Q1305)+N($S1305)+N($T1305)-N($U1305),2)))</f>
        <v/>
      </c>
      <c r="AF1305" s="9">
        <f>IF($G1305="","",IFERROR(INDEX(LINHAS_DRE_PLANO,MATCH($G1305,SUBCATEGORIAS_PLANO,0)),"Não classificado"))</f>
        <v/>
      </c>
      <c r="AG1305" s="17">
        <f>IF($G1305="","",IFERROR(INDEX(TIPOS_FLUXO_PLANO,MATCH($G1305,SUBCATEGORIAS_PLANO,0)),"Não classificado"))</f>
        <v/>
      </c>
      <c r="AH1305" s="9">
        <f>IF($G1305="","",IFERROR(INDEX(GRUPOS_PLANO,MATCH($G1305,SUBCATEGORIAS_PLANO,0)),"Não classificado"))</f>
        <v/>
      </c>
      <c r="AI1305" s="24">
        <f>IF(OR($C1305="",$X1305="Pago",$X1305="Recebido",$X1305="Cancelado"),"",$C1305-TODAY())</f>
        <v/>
      </c>
      <c r="AJ1305" s="24">
        <f>IF(OR($C1305="",$X1305="Pago",$X1305="Recebido",$X1305="Cancelado"),0,MAX(0,TODAY()-$C1305))</f>
        <v/>
      </c>
      <c r="AK1305" s="24">
        <f>IF($D1305="","",$D1305-$B1305)</f>
        <v/>
      </c>
      <c r="AL1305" s="18">
        <f>IF(OR($D1305="",$B1305=""),"",ROUND(N($R1305)*($D1305-$B1305),2))</f>
        <v/>
      </c>
      <c r="AM1305" s="17">
        <f>IF(AND($E1305="Saída",$W1305&gt;0,$C1305&lt;&gt;""),$C1305+ROW()/1000000,"")</f>
        <v/>
      </c>
      <c r="AN1305" s="17">
        <f>IF(AND($E1305="Entrada",$W1305&gt;0,$C1305&lt;&gt;""),$C1305+ROW()/1000000,"")</f>
        <v/>
      </c>
      <c r="AO1305" s="9">
        <f>IF(COUNTA($B1305:$R1305)=0,"",IF(AND($I1305&lt;&gt;"",COUNTIF(CLIENTES_NOMES,$I1305)+COUNTIF(CLIENTES_FANTASIA,$I1305)+COUNTIF(FORNECEDORES_NOMES,$I1305)+COUNTIF(FORNECEDORES_FANTASIA,$I1305)=0),"⚠ Cliente/Fornecedor não cadastrado",IF(AND($G1305&lt;&gt;"",COUNTIF(SUBCATEGORIAS_PLANO,$G1305)=0),"⚠ Subcategoria fora do plano de contas",IF(OR($Q1305="",N($Q1305)=0),"⚠ Valor previsto não informado",IF(AND(OR($X1305="Pago",$X1305="Recebido"),$D1305=""),"⚠ Status pago/recebido sem data",IF(AND($D1305&lt;&gt;"",N($R1305)=0),"⚠ Data de pagamento sem valor realizado",IF(AND(N($P1305)&gt;1,N($O1305)&gt;N($P1305)),"⚠ Nº da parcela maior que o total",IF(AND($C1305&lt;&gt;"",$B1305&lt;&gt;"",$C1305&lt;$B1305),"⚠ Vencimento anterior à competência","OK"))))))))</f>
        <v/>
      </c>
    </row>
    <row r="1306">
      <c r="A1306" s="14" t="n"/>
      <c r="B1306" s="36" t="n"/>
      <c r="C1306" s="36" t="n"/>
      <c r="D1306" s="36" t="n"/>
      <c r="E1306" s="14" t="n"/>
      <c r="F1306" s="29" t="n"/>
      <c r="G1306" s="29" t="n"/>
      <c r="H1306" s="29" t="n"/>
      <c r="I1306" s="29" t="n"/>
      <c r="J1306" s="29" t="n"/>
      <c r="K1306" s="14" t="n"/>
      <c r="L1306" s="29" t="n"/>
      <c r="M1306" s="14" t="n"/>
      <c r="N1306" s="29" t="n"/>
      <c r="O1306" s="13" t="n"/>
      <c r="P1306" s="13" t="n"/>
      <c r="Q1306" s="35" t="n"/>
      <c r="R1306" s="35" t="n"/>
      <c r="S1306" s="35" t="n"/>
      <c r="T1306" s="35" t="n"/>
      <c r="U1306" s="35" t="n"/>
      <c r="V1306" s="18">
        <f>IF(COUNTA($B1306:$R1306)=0,"",ROUND(N($R1306)+N($S1306)+N($T1306)-N($U1306),2))</f>
        <v/>
      </c>
      <c r="W1306" s="18">
        <f>IF(COUNTA($B1306:$R1306)=0,"",IF(OR($X1306="Pago",$X1306="Recebido",$X1306="Cancelado"),0,ROUND(N($Q1306)+N($S1306)+N($T1306)-N($U1306)-N($R1306),2)))</f>
        <v/>
      </c>
      <c r="X1306" s="14" t="n"/>
      <c r="Y1306" s="17">
        <f>IF(COUNTA($B1306:$R1306)=0,"",IF($X1306="Cancelado","Cancelado",IF(OR($X1306="Pago",$X1306="Recebido"),$X1306,IF(OR($X1306="Parcial",N($R1306)&gt;0),"Parcial",IF($C1306="","Sem vencimento",IF($C1306&lt;TODAY(),"Vencido",IF($C1306=TODAY(),"Vence hoje",IF($C1306&lt;=TODAY()+7,"Vence em 7 dias",IF($C1306&lt;=TODAY()+30,"Vence em 30 dias","Futuro")))))))))</f>
        <v/>
      </c>
      <c r="Z1306" s="24">
        <f>IF($B1306="","",MONTH($B1306))</f>
        <v/>
      </c>
      <c r="AA1306" s="24">
        <f>IF($B1306="","",YEAR($B1306))</f>
        <v/>
      </c>
      <c r="AB1306" s="24">
        <f>IF($B1306="","",ISOWEEKNUM($B1306))</f>
        <v/>
      </c>
      <c r="AC1306" s="17">
        <f>IF($B1306="","",CHOOSE(WEEKDAY($B1306,2),"Segunda","Terça","Quarta","Quinta","Sexta","Sábado","Domingo"))</f>
        <v/>
      </c>
      <c r="AD1306" s="17">
        <f>IF($B1306="","",TEXT($B1306,"MM/AAAA"))</f>
        <v/>
      </c>
      <c r="AE1306" s="18">
        <f>IF(COUNTA($B1306:$R1306)=0,"",IF($X1306="Cancelado",0,ROUND(N($Q1306)+N($S1306)+N($T1306)-N($U1306),2)))</f>
        <v/>
      </c>
      <c r="AF1306" s="9">
        <f>IF($G1306="","",IFERROR(INDEX(LINHAS_DRE_PLANO,MATCH($G1306,SUBCATEGORIAS_PLANO,0)),"Não classificado"))</f>
        <v/>
      </c>
      <c r="AG1306" s="17">
        <f>IF($G1306="","",IFERROR(INDEX(TIPOS_FLUXO_PLANO,MATCH($G1306,SUBCATEGORIAS_PLANO,0)),"Não classificado"))</f>
        <v/>
      </c>
      <c r="AH1306" s="9">
        <f>IF($G1306="","",IFERROR(INDEX(GRUPOS_PLANO,MATCH($G1306,SUBCATEGORIAS_PLANO,0)),"Não classificado"))</f>
        <v/>
      </c>
      <c r="AI1306" s="24">
        <f>IF(OR($C1306="",$X1306="Pago",$X1306="Recebido",$X1306="Cancelado"),"",$C1306-TODAY())</f>
        <v/>
      </c>
      <c r="AJ1306" s="24">
        <f>IF(OR($C1306="",$X1306="Pago",$X1306="Recebido",$X1306="Cancelado"),0,MAX(0,TODAY()-$C1306))</f>
        <v/>
      </c>
      <c r="AK1306" s="24">
        <f>IF($D1306="","",$D1306-$B1306)</f>
        <v/>
      </c>
      <c r="AL1306" s="18">
        <f>IF(OR($D1306="",$B1306=""),"",ROUND(N($R1306)*($D1306-$B1306),2))</f>
        <v/>
      </c>
      <c r="AM1306" s="17">
        <f>IF(AND($E1306="Saída",$W1306&gt;0,$C1306&lt;&gt;""),$C1306+ROW()/1000000,"")</f>
        <v/>
      </c>
      <c r="AN1306" s="17">
        <f>IF(AND($E1306="Entrada",$W1306&gt;0,$C1306&lt;&gt;""),$C1306+ROW()/1000000,"")</f>
        <v/>
      </c>
      <c r="AO1306" s="9">
        <f>IF(COUNTA($B1306:$R1306)=0,"",IF(AND($I1306&lt;&gt;"",COUNTIF(CLIENTES_NOMES,$I1306)+COUNTIF(CLIENTES_FANTASIA,$I1306)+COUNTIF(FORNECEDORES_NOMES,$I1306)+COUNTIF(FORNECEDORES_FANTASIA,$I1306)=0),"⚠ Cliente/Fornecedor não cadastrado",IF(AND($G1306&lt;&gt;"",COUNTIF(SUBCATEGORIAS_PLANO,$G1306)=0),"⚠ Subcategoria fora do plano de contas",IF(OR($Q1306="",N($Q1306)=0),"⚠ Valor previsto não informado",IF(AND(OR($X1306="Pago",$X1306="Recebido"),$D1306=""),"⚠ Status pago/recebido sem data",IF(AND($D1306&lt;&gt;"",N($R1306)=0),"⚠ Data de pagamento sem valor realizado",IF(AND(N($P1306)&gt;1,N($O1306)&gt;N($P1306)),"⚠ Nº da parcela maior que o total",IF(AND($C1306&lt;&gt;"",$B1306&lt;&gt;"",$C1306&lt;$B1306),"⚠ Vencimento anterior à competência","OK"))))))))</f>
        <v/>
      </c>
    </row>
    <row r="1307">
      <c r="A1307" s="14" t="n"/>
      <c r="B1307" s="36" t="n"/>
      <c r="C1307" s="36" t="n"/>
      <c r="D1307" s="36" t="n"/>
      <c r="E1307" s="14" t="n"/>
      <c r="F1307" s="29" t="n"/>
      <c r="G1307" s="29" t="n"/>
      <c r="H1307" s="29" t="n"/>
      <c r="I1307" s="29" t="n"/>
      <c r="J1307" s="29" t="n"/>
      <c r="K1307" s="14" t="n"/>
      <c r="L1307" s="29" t="n"/>
      <c r="M1307" s="14" t="n"/>
      <c r="N1307" s="29" t="n"/>
      <c r="O1307" s="13" t="n"/>
      <c r="P1307" s="13" t="n"/>
      <c r="Q1307" s="35" t="n"/>
      <c r="R1307" s="35" t="n"/>
      <c r="S1307" s="35" t="n"/>
      <c r="T1307" s="35" t="n"/>
      <c r="U1307" s="35" t="n"/>
      <c r="V1307" s="18">
        <f>IF(COUNTA($B1307:$R1307)=0,"",ROUND(N($R1307)+N($S1307)+N($T1307)-N($U1307),2))</f>
        <v/>
      </c>
      <c r="W1307" s="18">
        <f>IF(COUNTA($B1307:$R1307)=0,"",IF(OR($X1307="Pago",$X1307="Recebido",$X1307="Cancelado"),0,ROUND(N($Q1307)+N($S1307)+N($T1307)-N($U1307)-N($R1307),2)))</f>
        <v/>
      </c>
      <c r="X1307" s="14" t="n"/>
      <c r="Y1307" s="17">
        <f>IF(COUNTA($B1307:$R1307)=0,"",IF($X1307="Cancelado","Cancelado",IF(OR($X1307="Pago",$X1307="Recebido"),$X1307,IF(OR($X1307="Parcial",N($R1307)&gt;0),"Parcial",IF($C1307="","Sem vencimento",IF($C1307&lt;TODAY(),"Vencido",IF($C1307=TODAY(),"Vence hoje",IF($C1307&lt;=TODAY()+7,"Vence em 7 dias",IF($C1307&lt;=TODAY()+30,"Vence em 30 dias","Futuro")))))))))</f>
        <v/>
      </c>
      <c r="Z1307" s="24">
        <f>IF($B1307="","",MONTH($B1307))</f>
        <v/>
      </c>
      <c r="AA1307" s="24">
        <f>IF($B1307="","",YEAR($B1307))</f>
        <v/>
      </c>
      <c r="AB1307" s="24">
        <f>IF($B1307="","",ISOWEEKNUM($B1307))</f>
        <v/>
      </c>
      <c r="AC1307" s="17">
        <f>IF($B1307="","",CHOOSE(WEEKDAY($B1307,2),"Segunda","Terça","Quarta","Quinta","Sexta","Sábado","Domingo"))</f>
        <v/>
      </c>
      <c r="AD1307" s="17">
        <f>IF($B1307="","",TEXT($B1307,"MM/AAAA"))</f>
        <v/>
      </c>
      <c r="AE1307" s="18">
        <f>IF(COUNTA($B1307:$R1307)=0,"",IF($X1307="Cancelado",0,ROUND(N($Q1307)+N($S1307)+N($T1307)-N($U1307),2)))</f>
        <v/>
      </c>
      <c r="AF1307" s="9">
        <f>IF($G1307="","",IFERROR(INDEX(LINHAS_DRE_PLANO,MATCH($G1307,SUBCATEGORIAS_PLANO,0)),"Não classificado"))</f>
        <v/>
      </c>
      <c r="AG1307" s="17">
        <f>IF($G1307="","",IFERROR(INDEX(TIPOS_FLUXO_PLANO,MATCH($G1307,SUBCATEGORIAS_PLANO,0)),"Não classificado"))</f>
        <v/>
      </c>
      <c r="AH1307" s="9">
        <f>IF($G1307="","",IFERROR(INDEX(GRUPOS_PLANO,MATCH($G1307,SUBCATEGORIAS_PLANO,0)),"Não classificado"))</f>
        <v/>
      </c>
      <c r="AI1307" s="24">
        <f>IF(OR($C1307="",$X1307="Pago",$X1307="Recebido",$X1307="Cancelado"),"",$C1307-TODAY())</f>
        <v/>
      </c>
      <c r="AJ1307" s="24">
        <f>IF(OR($C1307="",$X1307="Pago",$X1307="Recebido",$X1307="Cancelado"),0,MAX(0,TODAY()-$C1307))</f>
        <v/>
      </c>
      <c r="AK1307" s="24">
        <f>IF($D1307="","",$D1307-$B1307)</f>
        <v/>
      </c>
      <c r="AL1307" s="18">
        <f>IF(OR($D1307="",$B1307=""),"",ROUND(N($R1307)*($D1307-$B1307),2))</f>
        <v/>
      </c>
      <c r="AM1307" s="17">
        <f>IF(AND($E1307="Saída",$W1307&gt;0,$C1307&lt;&gt;""),$C1307+ROW()/1000000,"")</f>
        <v/>
      </c>
      <c r="AN1307" s="17">
        <f>IF(AND($E1307="Entrada",$W1307&gt;0,$C1307&lt;&gt;""),$C1307+ROW()/1000000,"")</f>
        <v/>
      </c>
      <c r="AO1307" s="9">
        <f>IF(COUNTA($B1307:$R1307)=0,"",IF(AND($I1307&lt;&gt;"",COUNTIF(CLIENTES_NOMES,$I1307)+COUNTIF(CLIENTES_FANTASIA,$I1307)+COUNTIF(FORNECEDORES_NOMES,$I1307)+COUNTIF(FORNECEDORES_FANTASIA,$I1307)=0),"⚠ Cliente/Fornecedor não cadastrado",IF(AND($G1307&lt;&gt;"",COUNTIF(SUBCATEGORIAS_PLANO,$G1307)=0),"⚠ Subcategoria fora do plano de contas",IF(OR($Q1307="",N($Q1307)=0),"⚠ Valor previsto não informado",IF(AND(OR($X1307="Pago",$X1307="Recebido"),$D1307=""),"⚠ Status pago/recebido sem data",IF(AND($D1307&lt;&gt;"",N($R1307)=0),"⚠ Data de pagamento sem valor realizado",IF(AND(N($P1307)&gt;1,N($O1307)&gt;N($P1307)),"⚠ Nº da parcela maior que o total",IF(AND($C1307&lt;&gt;"",$B1307&lt;&gt;"",$C1307&lt;$B1307),"⚠ Vencimento anterior à competência","OK"))))))))</f>
        <v/>
      </c>
    </row>
    <row r="1308">
      <c r="A1308" s="14" t="n"/>
      <c r="B1308" s="36" t="n"/>
      <c r="C1308" s="36" t="n"/>
      <c r="D1308" s="36" t="n"/>
      <c r="E1308" s="14" t="n"/>
      <c r="F1308" s="29" t="n"/>
      <c r="G1308" s="29" t="n"/>
      <c r="H1308" s="29" t="n"/>
      <c r="I1308" s="29" t="n"/>
      <c r="J1308" s="29" t="n"/>
      <c r="K1308" s="14" t="n"/>
      <c r="L1308" s="29" t="n"/>
      <c r="M1308" s="14" t="n"/>
      <c r="N1308" s="29" t="n"/>
      <c r="O1308" s="13" t="n"/>
      <c r="P1308" s="13" t="n"/>
      <c r="Q1308" s="35" t="n"/>
      <c r="R1308" s="35" t="n"/>
      <c r="S1308" s="35" t="n"/>
      <c r="T1308" s="35" t="n"/>
      <c r="U1308" s="35" t="n"/>
      <c r="V1308" s="18">
        <f>IF(COUNTA($B1308:$R1308)=0,"",ROUND(N($R1308)+N($S1308)+N($T1308)-N($U1308),2))</f>
        <v/>
      </c>
      <c r="W1308" s="18">
        <f>IF(COUNTA($B1308:$R1308)=0,"",IF(OR($X1308="Pago",$X1308="Recebido",$X1308="Cancelado"),0,ROUND(N($Q1308)+N($S1308)+N($T1308)-N($U1308)-N($R1308),2)))</f>
        <v/>
      </c>
      <c r="X1308" s="14" t="n"/>
      <c r="Y1308" s="17">
        <f>IF(COUNTA($B1308:$R1308)=0,"",IF($X1308="Cancelado","Cancelado",IF(OR($X1308="Pago",$X1308="Recebido"),$X1308,IF(OR($X1308="Parcial",N($R1308)&gt;0),"Parcial",IF($C1308="","Sem vencimento",IF($C1308&lt;TODAY(),"Vencido",IF($C1308=TODAY(),"Vence hoje",IF($C1308&lt;=TODAY()+7,"Vence em 7 dias",IF($C1308&lt;=TODAY()+30,"Vence em 30 dias","Futuro")))))))))</f>
        <v/>
      </c>
      <c r="Z1308" s="24">
        <f>IF($B1308="","",MONTH($B1308))</f>
        <v/>
      </c>
      <c r="AA1308" s="24">
        <f>IF($B1308="","",YEAR($B1308))</f>
        <v/>
      </c>
      <c r="AB1308" s="24">
        <f>IF($B1308="","",ISOWEEKNUM($B1308))</f>
        <v/>
      </c>
      <c r="AC1308" s="17">
        <f>IF($B1308="","",CHOOSE(WEEKDAY($B1308,2),"Segunda","Terça","Quarta","Quinta","Sexta","Sábado","Domingo"))</f>
        <v/>
      </c>
      <c r="AD1308" s="17">
        <f>IF($B1308="","",TEXT($B1308,"MM/AAAA"))</f>
        <v/>
      </c>
      <c r="AE1308" s="18">
        <f>IF(COUNTA($B1308:$R1308)=0,"",IF($X1308="Cancelado",0,ROUND(N($Q1308)+N($S1308)+N($T1308)-N($U1308),2)))</f>
        <v/>
      </c>
      <c r="AF1308" s="9">
        <f>IF($G1308="","",IFERROR(INDEX(LINHAS_DRE_PLANO,MATCH($G1308,SUBCATEGORIAS_PLANO,0)),"Não classificado"))</f>
        <v/>
      </c>
      <c r="AG1308" s="17">
        <f>IF($G1308="","",IFERROR(INDEX(TIPOS_FLUXO_PLANO,MATCH($G1308,SUBCATEGORIAS_PLANO,0)),"Não classificado"))</f>
        <v/>
      </c>
      <c r="AH1308" s="9">
        <f>IF($G1308="","",IFERROR(INDEX(GRUPOS_PLANO,MATCH($G1308,SUBCATEGORIAS_PLANO,0)),"Não classificado"))</f>
        <v/>
      </c>
      <c r="AI1308" s="24">
        <f>IF(OR($C1308="",$X1308="Pago",$X1308="Recebido",$X1308="Cancelado"),"",$C1308-TODAY())</f>
        <v/>
      </c>
      <c r="AJ1308" s="24">
        <f>IF(OR($C1308="",$X1308="Pago",$X1308="Recebido",$X1308="Cancelado"),0,MAX(0,TODAY()-$C1308))</f>
        <v/>
      </c>
      <c r="AK1308" s="24">
        <f>IF($D1308="","",$D1308-$B1308)</f>
        <v/>
      </c>
      <c r="AL1308" s="18">
        <f>IF(OR($D1308="",$B1308=""),"",ROUND(N($R1308)*($D1308-$B1308),2))</f>
        <v/>
      </c>
      <c r="AM1308" s="17">
        <f>IF(AND($E1308="Saída",$W1308&gt;0,$C1308&lt;&gt;""),$C1308+ROW()/1000000,"")</f>
        <v/>
      </c>
      <c r="AN1308" s="17">
        <f>IF(AND($E1308="Entrada",$W1308&gt;0,$C1308&lt;&gt;""),$C1308+ROW()/1000000,"")</f>
        <v/>
      </c>
      <c r="AO1308" s="9">
        <f>IF(COUNTA($B1308:$R1308)=0,"",IF(AND($I1308&lt;&gt;"",COUNTIF(CLIENTES_NOMES,$I1308)+COUNTIF(CLIENTES_FANTASIA,$I1308)+COUNTIF(FORNECEDORES_NOMES,$I1308)+COUNTIF(FORNECEDORES_FANTASIA,$I1308)=0),"⚠ Cliente/Fornecedor não cadastrado",IF(AND($G1308&lt;&gt;"",COUNTIF(SUBCATEGORIAS_PLANO,$G1308)=0),"⚠ Subcategoria fora do plano de contas",IF(OR($Q1308="",N($Q1308)=0),"⚠ Valor previsto não informado",IF(AND(OR($X1308="Pago",$X1308="Recebido"),$D1308=""),"⚠ Status pago/recebido sem data",IF(AND($D1308&lt;&gt;"",N($R1308)=0),"⚠ Data de pagamento sem valor realizado",IF(AND(N($P1308)&gt;1,N($O1308)&gt;N($P1308)),"⚠ Nº da parcela maior que o total",IF(AND($C1308&lt;&gt;"",$B1308&lt;&gt;"",$C1308&lt;$B1308),"⚠ Vencimento anterior à competência","OK"))))))))</f>
        <v/>
      </c>
    </row>
    <row r="1309">
      <c r="A1309" s="14" t="n"/>
      <c r="B1309" s="36" t="n"/>
      <c r="C1309" s="36" t="n"/>
      <c r="D1309" s="36" t="n"/>
      <c r="E1309" s="14" t="n"/>
      <c r="F1309" s="29" t="n"/>
      <c r="G1309" s="29" t="n"/>
      <c r="H1309" s="29" t="n"/>
      <c r="I1309" s="29" t="n"/>
      <c r="J1309" s="29" t="n"/>
      <c r="K1309" s="14" t="n"/>
      <c r="L1309" s="29" t="n"/>
      <c r="M1309" s="14" t="n"/>
      <c r="N1309" s="29" t="n"/>
      <c r="O1309" s="13" t="n"/>
      <c r="P1309" s="13" t="n"/>
      <c r="Q1309" s="35" t="n"/>
      <c r="R1309" s="35" t="n"/>
      <c r="S1309" s="35" t="n"/>
      <c r="T1309" s="35" t="n"/>
      <c r="U1309" s="35" t="n"/>
      <c r="V1309" s="18">
        <f>IF(COUNTA($B1309:$R1309)=0,"",ROUND(N($R1309)+N($S1309)+N($T1309)-N($U1309),2))</f>
        <v/>
      </c>
      <c r="W1309" s="18">
        <f>IF(COUNTA($B1309:$R1309)=0,"",IF(OR($X1309="Pago",$X1309="Recebido",$X1309="Cancelado"),0,ROUND(N($Q1309)+N($S1309)+N($T1309)-N($U1309)-N($R1309),2)))</f>
        <v/>
      </c>
      <c r="X1309" s="14" t="n"/>
      <c r="Y1309" s="17">
        <f>IF(COUNTA($B1309:$R1309)=0,"",IF($X1309="Cancelado","Cancelado",IF(OR($X1309="Pago",$X1309="Recebido"),$X1309,IF(OR($X1309="Parcial",N($R1309)&gt;0),"Parcial",IF($C1309="","Sem vencimento",IF($C1309&lt;TODAY(),"Vencido",IF($C1309=TODAY(),"Vence hoje",IF($C1309&lt;=TODAY()+7,"Vence em 7 dias",IF($C1309&lt;=TODAY()+30,"Vence em 30 dias","Futuro")))))))))</f>
        <v/>
      </c>
      <c r="Z1309" s="24">
        <f>IF($B1309="","",MONTH($B1309))</f>
        <v/>
      </c>
      <c r="AA1309" s="24">
        <f>IF($B1309="","",YEAR($B1309))</f>
        <v/>
      </c>
      <c r="AB1309" s="24">
        <f>IF($B1309="","",ISOWEEKNUM($B1309))</f>
        <v/>
      </c>
      <c r="AC1309" s="17">
        <f>IF($B1309="","",CHOOSE(WEEKDAY($B1309,2),"Segunda","Terça","Quarta","Quinta","Sexta","Sábado","Domingo"))</f>
        <v/>
      </c>
      <c r="AD1309" s="17">
        <f>IF($B1309="","",TEXT($B1309,"MM/AAAA"))</f>
        <v/>
      </c>
      <c r="AE1309" s="18">
        <f>IF(COUNTA($B1309:$R1309)=0,"",IF($X1309="Cancelado",0,ROUND(N($Q1309)+N($S1309)+N($T1309)-N($U1309),2)))</f>
        <v/>
      </c>
      <c r="AF1309" s="9">
        <f>IF($G1309="","",IFERROR(INDEX(LINHAS_DRE_PLANO,MATCH($G1309,SUBCATEGORIAS_PLANO,0)),"Não classificado"))</f>
        <v/>
      </c>
      <c r="AG1309" s="17">
        <f>IF($G1309="","",IFERROR(INDEX(TIPOS_FLUXO_PLANO,MATCH($G1309,SUBCATEGORIAS_PLANO,0)),"Não classificado"))</f>
        <v/>
      </c>
      <c r="AH1309" s="9">
        <f>IF($G1309="","",IFERROR(INDEX(GRUPOS_PLANO,MATCH($G1309,SUBCATEGORIAS_PLANO,0)),"Não classificado"))</f>
        <v/>
      </c>
      <c r="AI1309" s="24">
        <f>IF(OR($C1309="",$X1309="Pago",$X1309="Recebido",$X1309="Cancelado"),"",$C1309-TODAY())</f>
        <v/>
      </c>
      <c r="AJ1309" s="24">
        <f>IF(OR($C1309="",$X1309="Pago",$X1309="Recebido",$X1309="Cancelado"),0,MAX(0,TODAY()-$C1309))</f>
        <v/>
      </c>
      <c r="AK1309" s="24">
        <f>IF($D1309="","",$D1309-$B1309)</f>
        <v/>
      </c>
      <c r="AL1309" s="18">
        <f>IF(OR($D1309="",$B1309=""),"",ROUND(N($R1309)*($D1309-$B1309),2))</f>
        <v/>
      </c>
      <c r="AM1309" s="17">
        <f>IF(AND($E1309="Saída",$W1309&gt;0,$C1309&lt;&gt;""),$C1309+ROW()/1000000,"")</f>
        <v/>
      </c>
      <c r="AN1309" s="17">
        <f>IF(AND($E1309="Entrada",$W1309&gt;0,$C1309&lt;&gt;""),$C1309+ROW()/1000000,"")</f>
        <v/>
      </c>
      <c r="AO1309" s="9">
        <f>IF(COUNTA($B1309:$R1309)=0,"",IF(AND($I1309&lt;&gt;"",COUNTIF(CLIENTES_NOMES,$I1309)+COUNTIF(CLIENTES_FANTASIA,$I1309)+COUNTIF(FORNECEDORES_NOMES,$I1309)+COUNTIF(FORNECEDORES_FANTASIA,$I1309)=0),"⚠ Cliente/Fornecedor não cadastrado",IF(AND($G1309&lt;&gt;"",COUNTIF(SUBCATEGORIAS_PLANO,$G1309)=0),"⚠ Subcategoria fora do plano de contas",IF(OR($Q1309="",N($Q1309)=0),"⚠ Valor previsto não informado",IF(AND(OR($X1309="Pago",$X1309="Recebido"),$D1309=""),"⚠ Status pago/recebido sem data",IF(AND($D1309&lt;&gt;"",N($R1309)=0),"⚠ Data de pagamento sem valor realizado",IF(AND(N($P1309)&gt;1,N($O1309)&gt;N($P1309)),"⚠ Nº da parcela maior que o total",IF(AND($C1309&lt;&gt;"",$B1309&lt;&gt;"",$C1309&lt;$B1309),"⚠ Vencimento anterior à competência","OK"))))))))</f>
        <v/>
      </c>
    </row>
    <row r="1310">
      <c r="A1310" s="14" t="n"/>
      <c r="B1310" s="36" t="n"/>
      <c r="C1310" s="36" t="n"/>
      <c r="D1310" s="36" t="n"/>
      <c r="E1310" s="14" t="n"/>
      <c r="F1310" s="29" t="n"/>
      <c r="G1310" s="29" t="n"/>
      <c r="H1310" s="29" t="n"/>
      <c r="I1310" s="29" t="n"/>
      <c r="J1310" s="29" t="n"/>
      <c r="K1310" s="14" t="n"/>
      <c r="L1310" s="29" t="n"/>
      <c r="M1310" s="14" t="n"/>
      <c r="N1310" s="29" t="n"/>
      <c r="O1310" s="13" t="n"/>
      <c r="P1310" s="13" t="n"/>
      <c r="Q1310" s="35" t="n"/>
      <c r="R1310" s="35" t="n"/>
      <c r="S1310" s="35" t="n"/>
      <c r="T1310" s="35" t="n"/>
      <c r="U1310" s="35" t="n"/>
      <c r="V1310" s="18">
        <f>IF(COUNTA($B1310:$R1310)=0,"",ROUND(N($R1310)+N($S1310)+N($T1310)-N($U1310),2))</f>
        <v/>
      </c>
      <c r="W1310" s="18">
        <f>IF(COUNTA($B1310:$R1310)=0,"",IF(OR($X1310="Pago",$X1310="Recebido",$X1310="Cancelado"),0,ROUND(N($Q1310)+N($S1310)+N($T1310)-N($U1310)-N($R1310),2)))</f>
        <v/>
      </c>
      <c r="X1310" s="14" t="n"/>
      <c r="Y1310" s="17">
        <f>IF(COUNTA($B1310:$R1310)=0,"",IF($X1310="Cancelado","Cancelado",IF(OR($X1310="Pago",$X1310="Recebido"),$X1310,IF(OR($X1310="Parcial",N($R1310)&gt;0),"Parcial",IF($C1310="","Sem vencimento",IF($C1310&lt;TODAY(),"Vencido",IF($C1310=TODAY(),"Vence hoje",IF($C1310&lt;=TODAY()+7,"Vence em 7 dias",IF($C1310&lt;=TODAY()+30,"Vence em 30 dias","Futuro")))))))))</f>
        <v/>
      </c>
      <c r="Z1310" s="24">
        <f>IF($B1310="","",MONTH($B1310))</f>
        <v/>
      </c>
      <c r="AA1310" s="24">
        <f>IF($B1310="","",YEAR($B1310))</f>
        <v/>
      </c>
      <c r="AB1310" s="24">
        <f>IF($B1310="","",ISOWEEKNUM($B1310))</f>
        <v/>
      </c>
      <c r="AC1310" s="17">
        <f>IF($B1310="","",CHOOSE(WEEKDAY($B1310,2),"Segunda","Terça","Quarta","Quinta","Sexta","Sábado","Domingo"))</f>
        <v/>
      </c>
      <c r="AD1310" s="17">
        <f>IF($B1310="","",TEXT($B1310,"MM/AAAA"))</f>
        <v/>
      </c>
      <c r="AE1310" s="18">
        <f>IF(COUNTA($B1310:$R1310)=0,"",IF($X1310="Cancelado",0,ROUND(N($Q1310)+N($S1310)+N($T1310)-N($U1310),2)))</f>
        <v/>
      </c>
      <c r="AF1310" s="9">
        <f>IF($G1310="","",IFERROR(INDEX(LINHAS_DRE_PLANO,MATCH($G1310,SUBCATEGORIAS_PLANO,0)),"Não classificado"))</f>
        <v/>
      </c>
      <c r="AG1310" s="17">
        <f>IF($G1310="","",IFERROR(INDEX(TIPOS_FLUXO_PLANO,MATCH($G1310,SUBCATEGORIAS_PLANO,0)),"Não classificado"))</f>
        <v/>
      </c>
      <c r="AH1310" s="9">
        <f>IF($G1310="","",IFERROR(INDEX(GRUPOS_PLANO,MATCH($G1310,SUBCATEGORIAS_PLANO,0)),"Não classificado"))</f>
        <v/>
      </c>
      <c r="AI1310" s="24">
        <f>IF(OR($C1310="",$X1310="Pago",$X1310="Recebido",$X1310="Cancelado"),"",$C1310-TODAY())</f>
        <v/>
      </c>
      <c r="AJ1310" s="24">
        <f>IF(OR($C1310="",$X1310="Pago",$X1310="Recebido",$X1310="Cancelado"),0,MAX(0,TODAY()-$C1310))</f>
        <v/>
      </c>
      <c r="AK1310" s="24">
        <f>IF($D1310="","",$D1310-$B1310)</f>
        <v/>
      </c>
      <c r="AL1310" s="18">
        <f>IF(OR($D1310="",$B1310=""),"",ROUND(N($R1310)*($D1310-$B1310),2))</f>
        <v/>
      </c>
      <c r="AM1310" s="17">
        <f>IF(AND($E1310="Saída",$W1310&gt;0,$C1310&lt;&gt;""),$C1310+ROW()/1000000,"")</f>
        <v/>
      </c>
      <c r="AN1310" s="17">
        <f>IF(AND($E1310="Entrada",$W1310&gt;0,$C1310&lt;&gt;""),$C1310+ROW()/1000000,"")</f>
        <v/>
      </c>
      <c r="AO1310" s="9">
        <f>IF(COUNTA($B1310:$R1310)=0,"",IF(AND($I1310&lt;&gt;"",COUNTIF(CLIENTES_NOMES,$I1310)+COUNTIF(CLIENTES_FANTASIA,$I1310)+COUNTIF(FORNECEDORES_NOMES,$I1310)+COUNTIF(FORNECEDORES_FANTASIA,$I1310)=0),"⚠ Cliente/Fornecedor não cadastrado",IF(AND($G1310&lt;&gt;"",COUNTIF(SUBCATEGORIAS_PLANO,$G1310)=0),"⚠ Subcategoria fora do plano de contas",IF(OR($Q1310="",N($Q1310)=0),"⚠ Valor previsto não informado",IF(AND(OR($X1310="Pago",$X1310="Recebido"),$D1310=""),"⚠ Status pago/recebido sem data",IF(AND($D1310&lt;&gt;"",N($R1310)=0),"⚠ Data de pagamento sem valor realizado",IF(AND(N($P1310)&gt;1,N($O1310)&gt;N($P1310)),"⚠ Nº da parcela maior que o total",IF(AND($C1310&lt;&gt;"",$B1310&lt;&gt;"",$C1310&lt;$B1310),"⚠ Vencimento anterior à competência","OK"))))))))</f>
        <v/>
      </c>
    </row>
    <row r="1311">
      <c r="A1311" s="14" t="n"/>
      <c r="B1311" s="36" t="n"/>
      <c r="C1311" s="36" t="n"/>
      <c r="D1311" s="36" t="n"/>
      <c r="E1311" s="14" t="n"/>
      <c r="F1311" s="29" t="n"/>
      <c r="G1311" s="29" t="n"/>
      <c r="H1311" s="29" t="n"/>
      <c r="I1311" s="29" t="n"/>
      <c r="J1311" s="29" t="n"/>
      <c r="K1311" s="14" t="n"/>
      <c r="L1311" s="29" t="n"/>
      <c r="M1311" s="14" t="n"/>
      <c r="N1311" s="29" t="n"/>
      <c r="O1311" s="13" t="n"/>
      <c r="P1311" s="13" t="n"/>
      <c r="Q1311" s="35" t="n"/>
      <c r="R1311" s="35" t="n"/>
      <c r="S1311" s="35" t="n"/>
      <c r="T1311" s="35" t="n"/>
      <c r="U1311" s="35" t="n"/>
      <c r="V1311" s="18">
        <f>IF(COUNTA($B1311:$R1311)=0,"",ROUND(N($R1311)+N($S1311)+N($T1311)-N($U1311),2))</f>
        <v/>
      </c>
      <c r="W1311" s="18">
        <f>IF(COUNTA($B1311:$R1311)=0,"",IF(OR($X1311="Pago",$X1311="Recebido",$X1311="Cancelado"),0,ROUND(N($Q1311)+N($S1311)+N($T1311)-N($U1311)-N($R1311),2)))</f>
        <v/>
      </c>
      <c r="X1311" s="14" t="n"/>
      <c r="Y1311" s="17">
        <f>IF(COUNTA($B1311:$R1311)=0,"",IF($X1311="Cancelado","Cancelado",IF(OR($X1311="Pago",$X1311="Recebido"),$X1311,IF(OR($X1311="Parcial",N($R1311)&gt;0),"Parcial",IF($C1311="","Sem vencimento",IF($C1311&lt;TODAY(),"Vencido",IF($C1311=TODAY(),"Vence hoje",IF($C1311&lt;=TODAY()+7,"Vence em 7 dias",IF($C1311&lt;=TODAY()+30,"Vence em 30 dias","Futuro")))))))))</f>
        <v/>
      </c>
      <c r="Z1311" s="24">
        <f>IF($B1311="","",MONTH($B1311))</f>
        <v/>
      </c>
      <c r="AA1311" s="24">
        <f>IF($B1311="","",YEAR($B1311))</f>
        <v/>
      </c>
      <c r="AB1311" s="24">
        <f>IF($B1311="","",ISOWEEKNUM($B1311))</f>
        <v/>
      </c>
      <c r="AC1311" s="17">
        <f>IF($B1311="","",CHOOSE(WEEKDAY($B1311,2),"Segunda","Terça","Quarta","Quinta","Sexta","Sábado","Domingo"))</f>
        <v/>
      </c>
      <c r="AD1311" s="17">
        <f>IF($B1311="","",TEXT($B1311,"MM/AAAA"))</f>
        <v/>
      </c>
      <c r="AE1311" s="18">
        <f>IF(COUNTA($B1311:$R1311)=0,"",IF($X1311="Cancelado",0,ROUND(N($Q1311)+N($S1311)+N($T1311)-N($U1311),2)))</f>
        <v/>
      </c>
      <c r="AF1311" s="9">
        <f>IF($G1311="","",IFERROR(INDEX(LINHAS_DRE_PLANO,MATCH($G1311,SUBCATEGORIAS_PLANO,0)),"Não classificado"))</f>
        <v/>
      </c>
      <c r="AG1311" s="17">
        <f>IF($G1311="","",IFERROR(INDEX(TIPOS_FLUXO_PLANO,MATCH($G1311,SUBCATEGORIAS_PLANO,0)),"Não classificado"))</f>
        <v/>
      </c>
      <c r="AH1311" s="9">
        <f>IF($G1311="","",IFERROR(INDEX(GRUPOS_PLANO,MATCH($G1311,SUBCATEGORIAS_PLANO,0)),"Não classificado"))</f>
        <v/>
      </c>
      <c r="AI1311" s="24">
        <f>IF(OR($C1311="",$X1311="Pago",$X1311="Recebido",$X1311="Cancelado"),"",$C1311-TODAY())</f>
        <v/>
      </c>
      <c r="AJ1311" s="24">
        <f>IF(OR($C1311="",$X1311="Pago",$X1311="Recebido",$X1311="Cancelado"),0,MAX(0,TODAY()-$C1311))</f>
        <v/>
      </c>
      <c r="AK1311" s="24">
        <f>IF($D1311="","",$D1311-$B1311)</f>
        <v/>
      </c>
      <c r="AL1311" s="18">
        <f>IF(OR($D1311="",$B1311=""),"",ROUND(N($R1311)*($D1311-$B1311),2))</f>
        <v/>
      </c>
      <c r="AM1311" s="17">
        <f>IF(AND($E1311="Saída",$W1311&gt;0,$C1311&lt;&gt;""),$C1311+ROW()/1000000,"")</f>
        <v/>
      </c>
      <c r="AN1311" s="17">
        <f>IF(AND($E1311="Entrada",$W1311&gt;0,$C1311&lt;&gt;""),$C1311+ROW()/1000000,"")</f>
        <v/>
      </c>
      <c r="AO1311" s="9">
        <f>IF(COUNTA($B1311:$R1311)=0,"",IF(AND($I1311&lt;&gt;"",COUNTIF(CLIENTES_NOMES,$I1311)+COUNTIF(CLIENTES_FANTASIA,$I1311)+COUNTIF(FORNECEDORES_NOMES,$I1311)+COUNTIF(FORNECEDORES_FANTASIA,$I1311)=0),"⚠ Cliente/Fornecedor não cadastrado",IF(AND($G1311&lt;&gt;"",COUNTIF(SUBCATEGORIAS_PLANO,$G1311)=0),"⚠ Subcategoria fora do plano de contas",IF(OR($Q1311="",N($Q1311)=0),"⚠ Valor previsto não informado",IF(AND(OR($X1311="Pago",$X1311="Recebido"),$D1311=""),"⚠ Status pago/recebido sem data",IF(AND($D1311&lt;&gt;"",N($R1311)=0),"⚠ Data de pagamento sem valor realizado",IF(AND(N($P1311)&gt;1,N($O1311)&gt;N($P1311)),"⚠ Nº da parcela maior que o total",IF(AND($C1311&lt;&gt;"",$B1311&lt;&gt;"",$C1311&lt;$B1311),"⚠ Vencimento anterior à competência","OK"))))))))</f>
        <v/>
      </c>
    </row>
    <row r="1312">
      <c r="A1312" s="14" t="n"/>
      <c r="B1312" s="36" t="n"/>
      <c r="C1312" s="36" t="n"/>
      <c r="D1312" s="36" t="n"/>
      <c r="E1312" s="14" t="n"/>
      <c r="F1312" s="29" t="n"/>
      <c r="G1312" s="29" t="n"/>
      <c r="H1312" s="29" t="n"/>
      <c r="I1312" s="29" t="n"/>
      <c r="J1312" s="29" t="n"/>
      <c r="K1312" s="14" t="n"/>
      <c r="L1312" s="29" t="n"/>
      <c r="M1312" s="14" t="n"/>
      <c r="N1312" s="29" t="n"/>
      <c r="O1312" s="13" t="n"/>
      <c r="P1312" s="13" t="n"/>
      <c r="Q1312" s="35" t="n"/>
      <c r="R1312" s="35" t="n"/>
      <c r="S1312" s="35" t="n"/>
      <c r="T1312" s="35" t="n"/>
      <c r="U1312" s="35" t="n"/>
      <c r="V1312" s="18">
        <f>IF(COUNTA($B1312:$R1312)=0,"",ROUND(N($R1312)+N($S1312)+N($T1312)-N($U1312),2))</f>
        <v/>
      </c>
      <c r="W1312" s="18">
        <f>IF(COUNTA($B1312:$R1312)=0,"",IF(OR($X1312="Pago",$X1312="Recebido",$X1312="Cancelado"),0,ROUND(N($Q1312)+N($S1312)+N($T1312)-N($U1312)-N($R1312),2)))</f>
        <v/>
      </c>
      <c r="X1312" s="14" t="n"/>
      <c r="Y1312" s="17">
        <f>IF(COUNTA($B1312:$R1312)=0,"",IF($X1312="Cancelado","Cancelado",IF(OR($X1312="Pago",$X1312="Recebido"),$X1312,IF(OR($X1312="Parcial",N($R1312)&gt;0),"Parcial",IF($C1312="","Sem vencimento",IF($C1312&lt;TODAY(),"Vencido",IF($C1312=TODAY(),"Vence hoje",IF($C1312&lt;=TODAY()+7,"Vence em 7 dias",IF($C1312&lt;=TODAY()+30,"Vence em 30 dias","Futuro")))))))))</f>
        <v/>
      </c>
      <c r="Z1312" s="24">
        <f>IF($B1312="","",MONTH($B1312))</f>
        <v/>
      </c>
      <c r="AA1312" s="24">
        <f>IF($B1312="","",YEAR($B1312))</f>
        <v/>
      </c>
      <c r="AB1312" s="24">
        <f>IF($B1312="","",ISOWEEKNUM($B1312))</f>
        <v/>
      </c>
      <c r="AC1312" s="17">
        <f>IF($B1312="","",CHOOSE(WEEKDAY($B1312,2),"Segunda","Terça","Quarta","Quinta","Sexta","Sábado","Domingo"))</f>
        <v/>
      </c>
      <c r="AD1312" s="17">
        <f>IF($B1312="","",TEXT($B1312,"MM/AAAA"))</f>
        <v/>
      </c>
      <c r="AE1312" s="18">
        <f>IF(COUNTA($B1312:$R1312)=0,"",IF($X1312="Cancelado",0,ROUND(N($Q1312)+N($S1312)+N($T1312)-N($U1312),2)))</f>
        <v/>
      </c>
      <c r="AF1312" s="9">
        <f>IF($G1312="","",IFERROR(INDEX(LINHAS_DRE_PLANO,MATCH($G1312,SUBCATEGORIAS_PLANO,0)),"Não classificado"))</f>
        <v/>
      </c>
      <c r="AG1312" s="17">
        <f>IF($G1312="","",IFERROR(INDEX(TIPOS_FLUXO_PLANO,MATCH($G1312,SUBCATEGORIAS_PLANO,0)),"Não classificado"))</f>
        <v/>
      </c>
      <c r="AH1312" s="9">
        <f>IF($G1312="","",IFERROR(INDEX(GRUPOS_PLANO,MATCH($G1312,SUBCATEGORIAS_PLANO,0)),"Não classificado"))</f>
        <v/>
      </c>
      <c r="AI1312" s="24">
        <f>IF(OR($C1312="",$X1312="Pago",$X1312="Recebido",$X1312="Cancelado"),"",$C1312-TODAY())</f>
        <v/>
      </c>
      <c r="AJ1312" s="24">
        <f>IF(OR($C1312="",$X1312="Pago",$X1312="Recebido",$X1312="Cancelado"),0,MAX(0,TODAY()-$C1312))</f>
        <v/>
      </c>
      <c r="AK1312" s="24">
        <f>IF($D1312="","",$D1312-$B1312)</f>
        <v/>
      </c>
      <c r="AL1312" s="18">
        <f>IF(OR($D1312="",$B1312=""),"",ROUND(N($R1312)*($D1312-$B1312),2))</f>
        <v/>
      </c>
      <c r="AM1312" s="17">
        <f>IF(AND($E1312="Saída",$W1312&gt;0,$C1312&lt;&gt;""),$C1312+ROW()/1000000,"")</f>
        <v/>
      </c>
      <c r="AN1312" s="17">
        <f>IF(AND($E1312="Entrada",$W1312&gt;0,$C1312&lt;&gt;""),$C1312+ROW()/1000000,"")</f>
        <v/>
      </c>
      <c r="AO1312" s="9">
        <f>IF(COUNTA($B1312:$R1312)=0,"",IF(AND($I1312&lt;&gt;"",COUNTIF(CLIENTES_NOMES,$I1312)+COUNTIF(CLIENTES_FANTASIA,$I1312)+COUNTIF(FORNECEDORES_NOMES,$I1312)+COUNTIF(FORNECEDORES_FANTASIA,$I1312)=0),"⚠ Cliente/Fornecedor não cadastrado",IF(AND($G1312&lt;&gt;"",COUNTIF(SUBCATEGORIAS_PLANO,$G1312)=0),"⚠ Subcategoria fora do plano de contas",IF(OR($Q1312="",N($Q1312)=0),"⚠ Valor previsto não informado",IF(AND(OR($X1312="Pago",$X1312="Recebido"),$D1312=""),"⚠ Status pago/recebido sem data",IF(AND($D1312&lt;&gt;"",N($R1312)=0),"⚠ Data de pagamento sem valor realizado",IF(AND(N($P1312)&gt;1,N($O1312)&gt;N($P1312)),"⚠ Nº da parcela maior que o total",IF(AND($C1312&lt;&gt;"",$B1312&lt;&gt;"",$C1312&lt;$B1312),"⚠ Vencimento anterior à competência","OK"))))))))</f>
        <v/>
      </c>
    </row>
    <row r="1313">
      <c r="A1313" s="14" t="n"/>
      <c r="B1313" s="36" t="n"/>
      <c r="C1313" s="36" t="n"/>
      <c r="D1313" s="36" t="n"/>
      <c r="E1313" s="14" t="n"/>
      <c r="F1313" s="29" t="n"/>
      <c r="G1313" s="29" t="n"/>
      <c r="H1313" s="29" t="n"/>
      <c r="I1313" s="29" t="n"/>
      <c r="J1313" s="29" t="n"/>
      <c r="K1313" s="14" t="n"/>
      <c r="L1313" s="29" t="n"/>
      <c r="M1313" s="14" t="n"/>
      <c r="N1313" s="29" t="n"/>
      <c r="O1313" s="13" t="n"/>
      <c r="P1313" s="13" t="n"/>
      <c r="Q1313" s="35" t="n"/>
      <c r="R1313" s="35" t="n"/>
      <c r="S1313" s="35" t="n"/>
      <c r="T1313" s="35" t="n"/>
      <c r="U1313" s="35" t="n"/>
      <c r="V1313" s="18">
        <f>IF(COUNTA($B1313:$R1313)=0,"",ROUND(N($R1313)+N($S1313)+N($T1313)-N($U1313),2))</f>
        <v/>
      </c>
      <c r="W1313" s="18">
        <f>IF(COUNTA($B1313:$R1313)=0,"",IF(OR($X1313="Pago",$X1313="Recebido",$X1313="Cancelado"),0,ROUND(N($Q1313)+N($S1313)+N($T1313)-N($U1313)-N($R1313),2)))</f>
        <v/>
      </c>
      <c r="X1313" s="14" t="n"/>
      <c r="Y1313" s="17">
        <f>IF(COUNTA($B1313:$R1313)=0,"",IF($X1313="Cancelado","Cancelado",IF(OR($X1313="Pago",$X1313="Recebido"),$X1313,IF(OR($X1313="Parcial",N($R1313)&gt;0),"Parcial",IF($C1313="","Sem vencimento",IF($C1313&lt;TODAY(),"Vencido",IF($C1313=TODAY(),"Vence hoje",IF($C1313&lt;=TODAY()+7,"Vence em 7 dias",IF($C1313&lt;=TODAY()+30,"Vence em 30 dias","Futuro")))))))))</f>
        <v/>
      </c>
      <c r="Z1313" s="24">
        <f>IF($B1313="","",MONTH($B1313))</f>
        <v/>
      </c>
      <c r="AA1313" s="24">
        <f>IF($B1313="","",YEAR($B1313))</f>
        <v/>
      </c>
      <c r="AB1313" s="24">
        <f>IF($B1313="","",ISOWEEKNUM($B1313))</f>
        <v/>
      </c>
      <c r="AC1313" s="17">
        <f>IF($B1313="","",CHOOSE(WEEKDAY($B1313,2),"Segunda","Terça","Quarta","Quinta","Sexta","Sábado","Domingo"))</f>
        <v/>
      </c>
      <c r="AD1313" s="17">
        <f>IF($B1313="","",TEXT($B1313,"MM/AAAA"))</f>
        <v/>
      </c>
      <c r="AE1313" s="18">
        <f>IF(COUNTA($B1313:$R1313)=0,"",IF($X1313="Cancelado",0,ROUND(N($Q1313)+N($S1313)+N($T1313)-N($U1313),2)))</f>
        <v/>
      </c>
      <c r="AF1313" s="9">
        <f>IF($G1313="","",IFERROR(INDEX(LINHAS_DRE_PLANO,MATCH($G1313,SUBCATEGORIAS_PLANO,0)),"Não classificado"))</f>
        <v/>
      </c>
      <c r="AG1313" s="17">
        <f>IF($G1313="","",IFERROR(INDEX(TIPOS_FLUXO_PLANO,MATCH($G1313,SUBCATEGORIAS_PLANO,0)),"Não classificado"))</f>
        <v/>
      </c>
      <c r="AH1313" s="9">
        <f>IF($G1313="","",IFERROR(INDEX(GRUPOS_PLANO,MATCH($G1313,SUBCATEGORIAS_PLANO,0)),"Não classificado"))</f>
        <v/>
      </c>
      <c r="AI1313" s="24">
        <f>IF(OR($C1313="",$X1313="Pago",$X1313="Recebido",$X1313="Cancelado"),"",$C1313-TODAY())</f>
        <v/>
      </c>
      <c r="AJ1313" s="24">
        <f>IF(OR($C1313="",$X1313="Pago",$X1313="Recebido",$X1313="Cancelado"),0,MAX(0,TODAY()-$C1313))</f>
        <v/>
      </c>
      <c r="AK1313" s="24">
        <f>IF($D1313="","",$D1313-$B1313)</f>
        <v/>
      </c>
      <c r="AL1313" s="18">
        <f>IF(OR($D1313="",$B1313=""),"",ROUND(N($R1313)*($D1313-$B1313),2))</f>
        <v/>
      </c>
      <c r="AM1313" s="17">
        <f>IF(AND($E1313="Saída",$W1313&gt;0,$C1313&lt;&gt;""),$C1313+ROW()/1000000,"")</f>
        <v/>
      </c>
      <c r="AN1313" s="17">
        <f>IF(AND($E1313="Entrada",$W1313&gt;0,$C1313&lt;&gt;""),$C1313+ROW()/1000000,"")</f>
        <v/>
      </c>
      <c r="AO1313" s="9">
        <f>IF(COUNTA($B1313:$R1313)=0,"",IF(AND($I1313&lt;&gt;"",COUNTIF(CLIENTES_NOMES,$I1313)+COUNTIF(CLIENTES_FANTASIA,$I1313)+COUNTIF(FORNECEDORES_NOMES,$I1313)+COUNTIF(FORNECEDORES_FANTASIA,$I1313)=0),"⚠ Cliente/Fornecedor não cadastrado",IF(AND($G1313&lt;&gt;"",COUNTIF(SUBCATEGORIAS_PLANO,$G1313)=0),"⚠ Subcategoria fora do plano de contas",IF(OR($Q1313="",N($Q1313)=0),"⚠ Valor previsto não informado",IF(AND(OR($X1313="Pago",$X1313="Recebido"),$D1313=""),"⚠ Status pago/recebido sem data",IF(AND($D1313&lt;&gt;"",N($R1313)=0),"⚠ Data de pagamento sem valor realizado",IF(AND(N($P1313)&gt;1,N($O1313)&gt;N($P1313)),"⚠ Nº da parcela maior que o total",IF(AND($C1313&lt;&gt;"",$B1313&lt;&gt;"",$C1313&lt;$B1313),"⚠ Vencimento anterior à competência","OK"))))))))</f>
        <v/>
      </c>
    </row>
    <row r="1314">
      <c r="A1314" s="14" t="n"/>
      <c r="B1314" s="36" t="n"/>
      <c r="C1314" s="36" t="n"/>
      <c r="D1314" s="36" t="n"/>
      <c r="E1314" s="14" t="n"/>
      <c r="F1314" s="29" t="n"/>
      <c r="G1314" s="29" t="n"/>
      <c r="H1314" s="29" t="n"/>
      <c r="I1314" s="29" t="n"/>
      <c r="J1314" s="29" t="n"/>
      <c r="K1314" s="14" t="n"/>
      <c r="L1314" s="29" t="n"/>
      <c r="M1314" s="14" t="n"/>
      <c r="N1314" s="29" t="n"/>
      <c r="O1314" s="13" t="n"/>
      <c r="P1314" s="13" t="n"/>
      <c r="Q1314" s="35" t="n"/>
      <c r="R1314" s="35" t="n"/>
      <c r="S1314" s="35" t="n"/>
      <c r="T1314" s="35" t="n"/>
      <c r="U1314" s="35" t="n"/>
      <c r="V1314" s="18">
        <f>IF(COUNTA($B1314:$R1314)=0,"",ROUND(N($R1314)+N($S1314)+N($T1314)-N($U1314),2))</f>
        <v/>
      </c>
      <c r="W1314" s="18">
        <f>IF(COUNTA($B1314:$R1314)=0,"",IF(OR($X1314="Pago",$X1314="Recebido",$X1314="Cancelado"),0,ROUND(N($Q1314)+N($S1314)+N($T1314)-N($U1314)-N($R1314),2)))</f>
        <v/>
      </c>
      <c r="X1314" s="14" t="n"/>
      <c r="Y1314" s="17">
        <f>IF(COUNTA($B1314:$R1314)=0,"",IF($X1314="Cancelado","Cancelado",IF(OR($X1314="Pago",$X1314="Recebido"),$X1314,IF(OR($X1314="Parcial",N($R1314)&gt;0),"Parcial",IF($C1314="","Sem vencimento",IF($C1314&lt;TODAY(),"Vencido",IF($C1314=TODAY(),"Vence hoje",IF($C1314&lt;=TODAY()+7,"Vence em 7 dias",IF($C1314&lt;=TODAY()+30,"Vence em 30 dias","Futuro")))))))))</f>
        <v/>
      </c>
      <c r="Z1314" s="24">
        <f>IF($B1314="","",MONTH($B1314))</f>
        <v/>
      </c>
      <c r="AA1314" s="24">
        <f>IF($B1314="","",YEAR($B1314))</f>
        <v/>
      </c>
      <c r="AB1314" s="24">
        <f>IF($B1314="","",ISOWEEKNUM($B1314))</f>
        <v/>
      </c>
      <c r="AC1314" s="17">
        <f>IF($B1314="","",CHOOSE(WEEKDAY($B1314,2),"Segunda","Terça","Quarta","Quinta","Sexta","Sábado","Domingo"))</f>
        <v/>
      </c>
      <c r="AD1314" s="17">
        <f>IF($B1314="","",TEXT($B1314,"MM/AAAA"))</f>
        <v/>
      </c>
      <c r="AE1314" s="18">
        <f>IF(COUNTA($B1314:$R1314)=0,"",IF($X1314="Cancelado",0,ROUND(N($Q1314)+N($S1314)+N($T1314)-N($U1314),2)))</f>
        <v/>
      </c>
      <c r="AF1314" s="9">
        <f>IF($G1314="","",IFERROR(INDEX(LINHAS_DRE_PLANO,MATCH($G1314,SUBCATEGORIAS_PLANO,0)),"Não classificado"))</f>
        <v/>
      </c>
      <c r="AG1314" s="17">
        <f>IF($G1314="","",IFERROR(INDEX(TIPOS_FLUXO_PLANO,MATCH($G1314,SUBCATEGORIAS_PLANO,0)),"Não classificado"))</f>
        <v/>
      </c>
      <c r="AH1314" s="9">
        <f>IF($G1314="","",IFERROR(INDEX(GRUPOS_PLANO,MATCH($G1314,SUBCATEGORIAS_PLANO,0)),"Não classificado"))</f>
        <v/>
      </c>
      <c r="AI1314" s="24">
        <f>IF(OR($C1314="",$X1314="Pago",$X1314="Recebido",$X1314="Cancelado"),"",$C1314-TODAY())</f>
        <v/>
      </c>
      <c r="AJ1314" s="24">
        <f>IF(OR($C1314="",$X1314="Pago",$X1314="Recebido",$X1314="Cancelado"),0,MAX(0,TODAY()-$C1314))</f>
        <v/>
      </c>
      <c r="AK1314" s="24">
        <f>IF($D1314="","",$D1314-$B1314)</f>
        <v/>
      </c>
      <c r="AL1314" s="18">
        <f>IF(OR($D1314="",$B1314=""),"",ROUND(N($R1314)*($D1314-$B1314),2))</f>
        <v/>
      </c>
      <c r="AM1314" s="17">
        <f>IF(AND($E1314="Saída",$W1314&gt;0,$C1314&lt;&gt;""),$C1314+ROW()/1000000,"")</f>
        <v/>
      </c>
      <c r="AN1314" s="17">
        <f>IF(AND($E1314="Entrada",$W1314&gt;0,$C1314&lt;&gt;""),$C1314+ROW()/1000000,"")</f>
        <v/>
      </c>
      <c r="AO1314" s="9">
        <f>IF(COUNTA($B1314:$R1314)=0,"",IF(AND($I1314&lt;&gt;"",COUNTIF(CLIENTES_NOMES,$I1314)+COUNTIF(CLIENTES_FANTASIA,$I1314)+COUNTIF(FORNECEDORES_NOMES,$I1314)+COUNTIF(FORNECEDORES_FANTASIA,$I1314)=0),"⚠ Cliente/Fornecedor não cadastrado",IF(AND($G1314&lt;&gt;"",COUNTIF(SUBCATEGORIAS_PLANO,$G1314)=0),"⚠ Subcategoria fora do plano de contas",IF(OR($Q1314="",N($Q1314)=0),"⚠ Valor previsto não informado",IF(AND(OR($X1314="Pago",$X1314="Recebido"),$D1314=""),"⚠ Status pago/recebido sem data",IF(AND($D1314&lt;&gt;"",N($R1314)=0),"⚠ Data de pagamento sem valor realizado",IF(AND(N($P1314)&gt;1,N($O1314)&gt;N($P1314)),"⚠ Nº da parcela maior que o total",IF(AND($C1314&lt;&gt;"",$B1314&lt;&gt;"",$C1314&lt;$B1314),"⚠ Vencimento anterior à competência","OK"))))))))</f>
        <v/>
      </c>
    </row>
    <row r="1315">
      <c r="A1315" s="14" t="n"/>
      <c r="B1315" s="36" t="n"/>
      <c r="C1315" s="36" t="n"/>
      <c r="D1315" s="36" t="n"/>
      <c r="E1315" s="14" t="n"/>
      <c r="F1315" s="29" t="n"/>
      <c r="G1315" s="29" t="n"/>
      <c r="H1315" s="29" t="n"/>
      <c r="I1315" s="29" t="n"/>
      <c r="J1315" s="29" t="n"/>
      <c r="K1315" s="14" t="n"/>
      <c r="L1315" s="29" t="n"/>
      <c r="M1315" s="14" t="n"/>
      <c r="N1315" s="29" t="n"/>
      <c r="O1315" s="13" t="n"/>
      <c r="P1315" s="13" t="n"/>
      <c r="Q1315" s="35" t="n"/>
      <c r="R1315" s="35" t="n"/>
      <c r="S1315" s="35" t="n"/>
      <c r="T1315" s="35" t="n"/>
      <c r="U1315" s="35" t="n"/>
      <c r="V1315" s="18">
        <f>IF(COUNTA($B1315:$R1315)=0,"",ROUND(N($R1315)+N($S1315)+N($T1315)-N($U1315),2))</f>
        <v/>
      </c>
      <c r="W1315" s="18">
        <f>IF(COUNTA($B1315:$R1315)=0,"",IF(OR($X1315="Pago",$X1315="Recebido",$X1315="Cancelado"),0,ROUND(N($Q1315)+N($S1315)+N($T1315)-N($U1315)-N($R1315),2)))</f>
        <v/>
      </c>
      <c r="X1315" s="14" t="n"/>
      <c r="Y1315" s="17">
        <f>IF(COUNTA($B1315:$R1315)=0,"",IF($X1315="Cancelado","Cancelado",IF(OR($X1315="Pago",$X1315="Recebido"),$X1315,IF(OR($X1315="Parcial",N($R1315)&gt;0),"Parcial",IF($C1315="","Sem vencimento",IF($C1315&lt;TODAY(),"Vencido",IF($C1315=TODAY(),"Vence hoje",IF($C1315&lt;=TODAY()+7,"Vence em 7 dias",IF($C1315&lt;=TODAY()+30,"Vence em 30 dias","Futuro")))))))))</f>
        <v/>
      </c>
      <c r="Z1315" s="24">
        <f>IF($B1315="","",MONTH($B1315))</f>
        <v/>
      </c>
      <c r="AA1315" s="24">
        <f>IF($B1315="","",YEAR($B1315))</f>
        <v/>
      </c>
      <c r="AB1315" s="24">
        <f>IF($B1315="","",ISOWEEKNUM($B1315))</f>
        <v/>
      </c>
      <c r="AC1315" s="17">
        <f>IF($B1315="","",CHOOSE(WEEKDAY($B1315,2),"Segunda","Terça","Quarta","Quinta","Sexta","Sábado","Domingo"))</f>
        <v/>
      </c>
      <c r="AD1315" s="17">
        <f>IF($B1315="","",TEXT($B1315,"MM/AAAA"))</f>
        <v/>
      </c>
      <c r="AE1315" s="18">
        <f>IF(COUNTA($B1315:$R1315)=0,"",IF($X1315="Cancelado",0,ROUND(N($Q1315)+N($S1315)+N($T1315)-N($U1315),2)))</f>
        <v/>
      </c>
      <c r="AF1315" s="9">
        <f>IF($G1315="","",IFERROR(INDEX(LINHAS_DRE_PLANO,MATCH($G1315,SUBCATEGORIAS_PLANO,0)),"Não classificado"))</f>
        <v/>
      </c>
      <c r="AG1315" s="17">
        <f>IF($G1315="","",IFERROR(INDEX(TIPOS_FLUXO_PLANO,MATCH($G1315,SUBCATEGORIAS_PLANO,0)),"Não classificado"))</f>
        <v/>
      </c>
      <c r="AH1315" s="9">
        <f>IF($G1315="","",IFERROR(INDEX(GRUPOS_PLANO,MATCH($G1315,SUBCATEGORIAS_PLANO,0)),"Não classificado"))</f>
        <v/>
      </c>
      <c r="AI1315" s="24">
        <f>IF(OR($C1315="",$X1315="Pago",$X1315="Recebido",$X1315="Cancelado"),"",$C1315-TODAY())</f>
        <v/>
      </c>
      <c r="AJ1315" s="24">
        <f>IF(OR($C1315="",$X1315="Pago",$X1315="Recebido",$X1315="Cancelado"),0,MAX(0,TODAY()-$C1315))</f>
        <v/>
      </c>
      <c r="AK1315" s="24">
        <f>IF($D1315="","",$D1315-$B1315)</f>
        <v/>
      </c>
      <c r="AL1315" s="18">
        <f>IF(OR($D1315="",$B1315=""),"",ROUND(N($R1315)*($D1315-$B1315),2))</f>
        <v/>
      </c>
      <c r="AM1315" s="17">
        <f>IF(AND($E1315="Saída",$W1315&gt;0,$C1315&lt;&gt;""),$C1315+ROW()/1000000,"")</f>
        <v/>
      </c>
      <c r="AN1315" s="17">
        <f>IF(AND($E1315="Entrada",$W1315&gt;0,$C1315&lt;&gt;""),$C1315+ROW()/1000000,"")</f>
        <v/>
      </c>
      <c r="AO1315" s="9">
        <f>IF(COUNTA($B1315:$R1315)=0,"",IF(AND($I1315&lt;&gt;"",COUNTIF(CLIENTES_NOMES,$I1315)+COUNTIF(CLIENTES_FANTASIA,$I1315)+COUNTIF(FORNECEDORES_NOMES,$I1315)+COUNTIF(FORNECEDORES_FANTASIA,$I1315)=0),"⚠ Cliente/Fornecedor não cadastrado",IF(AND($G1315&lt;&gt;"",COUNTIF(SUBCATEGORIAS_PLANO,$G1315)=0),"⚠ Subcategoria fora do plano de contas",IF(OR($Q1315="",N($Q1315)=0),"⚠ Valor previsto não informado",IF(AND(OR($X1315="Pago",$X1315="Recebido"),$D1315=""),"⚠ Status pago/recebido sem data",IF(AND($D1315&lt;&gt;"",N($R1315)=0),"⚠ Data de pagamento sem valor realizado",IF(AND(N($P1315)&gt;1,N($O1315)&gt;N($P1315)),"⚠ Nº da parcela maior que o total",IF(AND($C1315&lt;&gt;"",$B1315&lt;&gt;"",$C1315&lt;$B1315),"⚠ Vencimento anterior à competência","OK"))))))))</f>
        <v/>
      </c>
    </row>
    <row r="1316">
      <c r="A1316" s="14" t="n"/>
      <c r="B1316" s="36" t="n"/>
      <c r="C1316" s="36" t="n"/>
      <c r="D1316" s="36" t="n"/>
      <c r="E1316" s="14" t="n"/>
      <c r="F1316" s="29" t="n"/>
      <c r="G1316" s="29" t="n"/>
      <c r="H1316" s="29" t="n"/>
      <c r="I1316" s="29" t="n"/>
      <c r="J1316" s="29" t="n"/>
      <c r="K1316" s="14" t="n"/>
      <c r="L1316" s="29" t="n"/>
      <c r="M1316" s="14" t="n"/>
      <c r="N1316" s="29" t="n"/>
      <c r="O1316" s="13" t="n"/>
      <c r="P1316" s="13" t="n"/>
      <c r="Q1316" s="35" t="n"/>
      <c r="R1316" s="35" t="n"/>
      <c r="S1316" s="35" t="n"/>
      <c r="T1316" s="35" t="n"/>
      <c r="U1316" s="35" t="n"/>
      <c r="V1316" s="18">
        <f>IF(COUNTA($B1316:$R1316)=0,"",ROUND(N($R1316)+N($S1316)+N($T1316)-N($U1316),2))</f>
        <v/>
      </c>
      <c r="W1316" s="18">
        <f>IF(COUNTA($B1316:$R1316)=0,"",IF(OR($X1316="Pago",$X1316="Recebido",$X1316="Cancelado"),0,ROUND(N($Q1316)+N($S1316)+N($T1316)-N($U1316)-N($R1316),2)))</f>
        <v/>
      </c>
      <c r="X1316" s="14" t="n"/>
      <c r="Y1316" s="17">
        <f>IF(COUNTA($B1316:$R1316)=0,"",IF($X1316="Cancelado","Cancelado",IF(OR($X1316="Pago",$X1316="Recebido"),$X1316,IF(OR($X1316="Parcial",N($R1316)&gt;0),"Parcial",IF($C1316="","Sem vencimento",IF($C1316&lt;TODAY(),"Vencido",IF($C1316=TODAY(),"Vence hoje",IF($C1316&lt;=TODAY()+7,"Vence em 7 dias",IF($C1316&lt;=TODAY()+30,"Vence em 30 dias","Futuro")))))))))</f>
        <v/>
      </c>
      <c r="Z1316" s="24">
        <f>IF($B1316="","",MONTH($B1316))</f>
        <v/>
      </c>
      <c r="AA1316" s="24">
        <f>IF($B1316="","",YEAR($B1316))</f>
        <v/>
      </c>
      <c r="AB1316" s="24">
        <f>IF($B1316="","",ISOWEEKNUM($B1316))</f>
        <v/>
      </c>
      <c r="AC1316" s="17">
        <f>IF($B1316="","",CHOOSE(WEEKDAY($B1316,2),"Segunda","Terça","Quarta","Quinta","Sexta","Sábado","Domingo"))</f>
        <v/>
      </c>
      <c r="AD1316" s="17">
        <f>IF($B1316="","",TEXT($B1316,"MM/AAAA"))</f>
        <v/>
      </c>
      <c r="AE1316" s="18">
        <f>IF(COUNTA($B1316:$R1316)=0,"",IF($X1316="Cancelado",0,ROUND(N($Q1316)+N($S1316)+N($T1316)-N($U1316),2)))</f>
        <v/>
      </c>
      <c r="AF1316" s="9">
        <f>IF($G1316="","",IFERROR(INDEX(LINHAS_DRE_PLANO,MATCH($G1316,SUBCATEGORIAS_PLANO,0)),"Não classificado"))</f>
        <v/>
      </c>
      <c r="AG1316" s="17">
        <f>IF($G1316="","",IFERROR(INDEX(TIPOS_FLUXO_PLANO,MATCH($G1316,SUBCATEGORIAS_PLANO,0)),"Não classificado"))</f>
        <v/>
      </c>
      <c r="AH1316" s="9">
        <f>IF($G1316="","",IFERROR(INDEX(GRUPOS_PLANO,MATCH($G1316,SUBCATEGORIAS_PLANO,0)),"Não classificado"))</f>
        <v/>
      </c>
      <c r="AI1316" s="24">
        <f>IF(OR($C1316="",$X1316="Pago",$X1316="Recebido",$X1316="Cancelado"),"",$C1316-TODAY())</f>
        <v/>
      </c>
      <c r="AJ1316" s="24">
        <f>IF(OR($C1316="",$X1316="Pago",$X1316="Recebido",$X1316="Cancelado"),0,MAX(0,TODAY()-$C1316))</f>
        <v/>
      </c>
      <c r="AK1316" s="24">
        <f>IF($D1316="","",$D1316-$B1316)</f>
        <v/>
      </c>
      <c r="AL1316" s="18">
        <f>IF(OR($D1316="",$B1316=""),"",ROUND(N($R1316)*($D1316-$B1316),2))</f>
        <v/>
      </c>
      <c r="AM1316" s="17">
        <f>IF(AND($E1316="Saída",$W1316&gt;0,$C1316&lt;&gt;""),$C1316+ROW()/1000000,"")</f>
        <v/>
      </c>
      <c r="AN1316" s="17">
        <f>IF(AND($E1316="Entrada",$W1316&gt;0,$C1316&lt;&gt;""),$C1316+ROW()/1000000,"")</f>
        <v/>
      </c>
      <c r="AO1316" s="9">
        <f>IF(COUNTA($B1316:$R1316)=0,"",IF(AND($I1316&lt;&gt;"",COUNTIF(CLIENTES_NOMES,$I1316)+COUNTIF(CLIENTES_FANTASIA,$I1316)+COUNTIF(FORNECEDORES_NOMES,$I1316)+COUNTIF(FORNECEDORES_FANTASIA,$I1316)=0),"⚠ Cliente/Fornecedor não cadastrado",IF(AND($G1316&lt;&gt;"",COUNTIF(SUBCATEGORIAS_PLANO,$G1316)=0),"⚠ Subcategoria fora do plano de contas",IF(OR($Q1316="",N($Q1316)=0),"⚠ Valor previsto não informado",IF(AND(OR($X1316="Pago",$X1316="Recebido"),$D1316=""),"⚠ Status pago/recebido sem data",IF(AND($D1316&lt;&gt;"",N($R1316)=0),"⚠ Data de pagamento sem valor realizado",IF(AND(N($P1316)&gt;1,N($O1316)&gt;N($P1316)),"⚠ Nº da parcela maior que o total",IF(AND($C1316&lt;&gt;"",$B1316&lt;&gt;"",$C1316&lt;$B1316),"⚠ Vencimento anterior à competência","OK"))))))))</f>
        <v/>
      </c>
    </row>
    <row r="1317">
      <c r="A1317" s="14" t="n"/>
      <c r="B1317" s="36" t="n"/>
      <c r="C1317" s="36" t="n"/>
      <c r="D1317" s="36" t="n"/>
      <c r="E1317" s="14" t="n"/>
      <c r="F1317" s="29" t="n"/>
      <c r="G1317" s="29" t="n"/>
      <c r="H1317" s="29" t="n"/>
      <c r="I1317" s="29" t="n"/>
      <c r="J1317" s="29" t="n"/>
      <c r="K1317" s="14" t="n"/>
      <c r="L1317" s="29" t="n"/>
      <c r="M1317" s="14" t="n"/>
      <c r="N1317" s="29" t="n"/>
      <c r="O1317" s="13" t="n"/>
      <c r="P1317" s="13" t="n"/>
      <c r="Q1317" s="35" t="n"/>
      <c r="R1317" s="35" t="n"/>
      <c r="S1317" s="35" t="n"/>
      <c r="T1317" s="35" t="n"/>
      <c r="U1317" s="35" t="n"/>
      <c r="V1317" s="18">
        <f>IF(COUNTA($B1317:$R1317)=0,"",ROUND(N($R1317)+N($S1317)+N($T1317)-N($U1317),2))</f>
        <v/>
      </c>
      <c r="W1317" s="18">
        <f>IF(COUNTA($B1317:$R1317)=0,"",IF(OR($X1317="Pago",$X1317="Recebido",$X1317="Cancelado"),0,ROUND(N($Q1317)+N($S1317)+N($T1317)-N($U1317)-N($R1317),2)))</f>
        <v/>
      </c>
      <c r="X1317" s="14" t="n"/>
      <c r="Y1317" s="17">
        <f>IF(COUNTA($B1317:$R1317)=0,"",IF($X1317="Cancelado","Cancelado",IF(OR($X1317="Pago",$X1317="Recebido"),$X1317,IF(OR($X1317="Parcial",N($R1317)&gt;0),"Parcial",IF($C1317="","Sem vencimento",IF($C1317&lt;TODAY(),"Vencido",IF($C1317=TODAY(),"Vence hoje",IF($C1317&lt;=TODAY()+7,"Vence em 7 dias",IF($C1317&lt;=TODAY()+30,"Vence em 30 dias","Futuro")))))))))</f>
        <v/>
      </c>
      <c r="Z1317" s="24">
        <f>IF($B1317="","",MONTH($B1317))</f>
        <v/>
      </c>
      <c r="AA1317" s="24">
        <f>IF($B1317="","",YEAR($B1317))</f>
        <v/>
      </c>
      <c r="AB1317" s="24">
        <f>IF($B1317="","",ISOWEEKNUM($B1317))</f>
        <v/>
      </c>
      <c r="AC1317" s="17">
        <f>IF($B1317="","",CHOOSE(WEEKDAY($B1317,2),"Segunda","Terça","Quarta","Quinta","Sexta","Sábado","Domingo"))</f>
        <v/>
      </c>
      <c r="AD1317" s="17">
        <f>IF($B1317="","",TEXT($B1317,"MM/AAAA"))</f>
        <v/>
      </c>
      <c r="AE1317" s="18">
        <f>IF(COUNTA($B1317:$R1317)=0,"",IF($X1317="Cancelado",0,ROUND(N($Q1317)+N($S1317)+N($T1317)-N($U1317),2)))</f>
        <v/>
      </c>
      <c r="AF1317" s="9">
        <f>IF($G1317="","",IFERROR(INDEX(LINHAS_DRE_PLANO,MATCH($G1317,SUBCATEGORIAS_PLANO,0)),"Não classificado"))</f>
        <v/>
      </c>
      <c r="AG1317" s="17">
        <f>IF($G1317="","",IFERROR(INDEX(TIPOS_FLUXO_PLANO,MATCH($G1317,SUBCATEGORIAS_PLANO,0)),"Não classificado"))</f>
        <v/>
      </c>
      <c r="AH1317" s="9">
        <f>IF($G1317="","",IFERROR(INDEX(GRUPOS_PLANO,MATCH($G1317,SUBCATEGORIAS_PLANO,0)),"Não classificado"))</f>
        <v/>
      </c>
      <c r="AI1317" s="24">
        <f>IF(OR($C1317="",$X1317="Pago",$X1317="Recebido",$X1317="Cancelado"),"",$C1317-TODAY())</f>
        <v/>
      </c>
      <c r="AJ1317" s="24">
        <f>IF(OR($C1317="",$X1317="Pago",$X1317="Recebido",$X1317="Cancelado"),0,MAX(0,TODAY()-$C1317))</f>
        <v/>
      </c>
      <c r="AK1317" s="24">
        <f>IF($D1317="","",$D1317-$B1317)</f>
        <v/>
      </c>
      <c r="AL1317" s="18">
        <f>IF(OR($D1317="",$B1317=""),"",ROUND(N($R1317)*($D1317-$B1317),2))</f>
        <v/>
      </c>
      <c r="AM1317" s="17">
        <f>IF(AND($E1317="Saída",$W1317&gt;0,$C1317&lt;&gt;""),$C1317+ROW()/1000000,"")</f>
        <v/>
      </c>
      <c r="AN1317" s="17">
        <f>IF(AND($E1317="Entrada",$W1317&gt;0,$C1317&lt;&gt;""),$C1317+ROW()/1000000,"")</f>
        <v/>
      </c>
      <c r="AO1317" s="9">
        <f>IF(COUNTA($B1317:$R1317)=0,"",IF(AND($I1317&lt;&gt;"",COUNTIF(CLIENTES_NOMES,$I1317)+COUNTIF(CLIENTES_FANTASIA,$I1317)+COUNTIF(FORNECEDORES_NOMES,$I1317)+COUNTIF(FORNECEDORES_FANTASIA,$I1317)=0),"⚠ Cliente/Fornecedor não cadastrado",IF(AND($G1317&lt;&gt;"",COUNTIF(SUBCATEGORIAS_PLANO,$G1317)=0),"⚠ Subcategoria fora do plano de contas",IF(OR($Q1317="",N($Q1317)=0),"⚠ Valor previsto não informado",IF(AND(OR($X1317="Pago",$X1317="Recebido"),$D1317=""),"⚠ Status pago/recebido sem data",IF(AND($D1317&lt;&gt;"",N($R1317)=0),"⚠ Data de pagamento sem valor realizado",IF(AND(N($P1317)&gt;1,N($O1317)&gt;N($P1317)),"⚠ Nº da parcela maior que o total",IF(AND($C1317&lt;&gt;"",$B1317&lt;&gt;"",$C1317&lt;$B1317),"⚠ Vencimento anterior à competência","OK"))))))))</f>
        <v/>
      </c>
    </row>
    <row r="1318">
      <c r="A1318" s="14" t="n"/>
      <c r="B1318" s="36" t="n"/>
      <c r="C1318" s="36" t="n"/>
      <c r="D1318" s="36" t="n"/>
      <c r="E1318" s="14" t="n"/>
      <c r="F1318" s="29" t="n"/>
      <c r="G1318" s="29" t="n"/>
      <c r="H1318" s="29" t="n"/>
      <c r="I1318" s="29" t="n"/>
      <c r="J1318" s="29" t="n"/>
      <c r="K1318" s="14" t="n"/>
      <c r="L1318" s="29" t="n"/>
      <c r="M1318" s="14" t="n"/>
      <c r="N1318" s="29" t="n"/>
      <c r="O1318" s="13" t="n"/>
      <c r="P1318" s="13" t="n"/>
      <c r="Q1318" s="35" t="n"/>
      <c r="R1318" s="35" t="n"/>
      <c r="S1318" s="35" t="n"/>
      <c r="T1318" s="35" t="n"/>
      <c r="U1318" s="35" t="n"/>
      <c r="V1318" s="18">
        <f>IF(COUNTA($B1318:$R1318)=0,"",ROUND(N($R1318)+N($S1318)+N($T1318)-N($U1318),2))</f>
        <v/>
      </c>
      <c r="W1318" s="18">
        <f>IF(COUNTA($B1318:$R1318)=0,"",IF(OR($X1318="Pago",$X1318="Recebido",$X1318="Cancelado"),0,ROUND(N($Q1318)+N($S1318)+N($T1318)-N($U1318)-N($R1318),2)))</f>
        <v/>
      </c>
      <c r="X1318" s="14" t="n"/>
      <c r="Y1318" s="17">
        <f>IF(COUNTA($B1318:$R1318)=0,"",IF($X1318="Cancelado","Cancelado",IF(OR($X1318="Pago",$X1318="Recebido"),$X1318,IF(OR($X1318="Parcial",N($R1318)&gt;0),"Parcial",IF($C1318="","Sem vencimento",IF($C1318&lt;TODAY(),"Vencido",IF($C1318=TODAY(),"Vence hoje",IF($C1318&lt;=TODAY()+7,"Vence em 7 dias",IF($C1318&lt;=TODAY()+30,"Vence em 30 dias","Futuro")))))))))</f>
        <v/>
      </c>
      <c r="Z1318" s="24">
        <f>IF($B1318="","",MONTH($B1318))</f>
        <v/>
      </c>
      <c r="AA1318" s="24">
        <f>IF($B1318="","",YEAR($B1318))</f>
        <v/>
      </c>
      <c r="AB1318" s="24">
        <f>IF($B1318="","",ISOWEEKNUM($B1318))</f>
        <v/>
      </c>
      <c r="AC1318" s="17">
        <f>IF($B1318="","",CHOOSE(WEEKDAY($B1318,2),"Segunda","Terça","Quarta","Quinta","Sexta","Sábado","Domingo"))</f>
        <v/>
      </c>
      <c r="AD1318" s="17">
        <f>IF($B1318="","",TEXT($B1318,"MM/AAAA"))</f>
        <v/>
      </c>
      <c r="AE1318" s="18">
        <f>IF(COUNTA($B1318:$R1318)=0,"",IF($X1318="Cancelado",0,ROUND(N($Q1318)+N($S1318)+N($T1318)-N($U1318),2)))</f>
        <v/>
      </c>
      <c r="AF1318" s="9">
        <f>IF($G1318="","",IFERROR(INDEX(LINHAS_DRE_PLANO,MATCH($G1318,SUBCATEGORIAS_PLANO,0)),"Não classificado"))</f>
        <v/>
      </c>
      <c r="AG1318" s="17">
        <f>IF($G1318="","",IFERROR(INDEX(TIPOS_FLUXO_PLANO,MATCH($G1318,SUBCATEGORIAS_PLANO,0)),"Não classificado"))</f>
        <v/>
      </c>
      <c r="AH1318" s="9">
        <f>IF($G1318="","",IFERROR(INDEX(GRUPOS_PLANO,MATCH($G1318,SUBCATEGORIAS_PLANO,0)),"Não classificado"))</f>
        <v/>
      </c>
      <c r="AI1318" s="24">
        <f>IF(OR($C1318="",$X1318="Pago",$X1318="Recebido",$X1318="Cancelado"),"",$C1318-TODAY())</f>
        <v/>
      </c>
      <c r="AJ1318" s="24">
        <f>IF(OR($C1318="",$X1318="Pago",$X1318="Recebido",$X1318="Cancelado"),0,MAX(0,TODAY()-$C1318))</f>
        <v/>
      </c>
      <c r="AK1318" s="24">
        <f>IF($D1318="","",$D1318-$B1318)</f>
        <v/>
      </c>
      <c r="AL1318" s="18">
        <f>IF(OR($D1318="",$B1318=""),"",ROUND(N($R1318)*($D1318-$B1318),2))</f>
        <v/>
      </c>
      <c r="AM1318" s="17">
        <f>IF(AND($E1318="Saída",$W1318&gt;0,$C1318&lt;&gt;""),$C1318+ROW()/1000000,"")</f>
        <v/>
      </c>
      <c r="AN1318" s="17">
        <f>IF(AND($E1318="Entrada",$W1318&gt;0,$C1318&lt;&gt;""),$C1318+ROW()/1000000,"")</f>
        <v/>
      </c>
      <c r="AO1318" s="9">
        <f>IF(COUNTA($B1318:$R1318)=0,"",IF(AND($I1318&lt;&gt;"",COUNTIF(CLIENTES_NOMES,$I1318)+COUNTIF(CLIENTES_FANTASIA,$I1318)+COUNTIF(FORNECEDORES_NOMES,$I1318)+COUNTIF(FORNECEDORES_FANTASIA,$I1318)=0),"⚠ Cliente/Fornecedor não cadastrado",IF(AND($G1318&lt;&gt;"",COUNTIF(SUBCATEGORIAS_PLANO,$G1318)=0),"⚠ Subcategoria fora do plano de contas",IF(OR($Q1318="",N($Q1318)=0),"⚠ Valor previsto não informado",IF(AND(OR($X1318="Pago",$X1318="Recebido"),$D1318=""),"⚠ Status pago/recebido sem data",IF(AND($D1318&lt;&gt;"",N($R1318)=0),"⚠ Data de pagamento sem valor realizado",IF(AND(N($P1318)&gt;1,N($O1318)&gt;N($P1318)),"⚠ Nº da parcela maior que o total",IF(AND($C1318&lt;&gt;"",$B1318&lt;&gt;"",$C1318&lt;$B1318),"⚠ Vencimento anterior à competência","OK"))))))))</f>
        <v/>
      </c>
    </row>
    <row r="1319">
      <c r="A1319" s="14" t="n"/>
      <c r="B1319" s="36" t="n"/>
      <c r="C1319" s="36" t="n"/>
      <c r="D1319" s="36" t="n"/>
      <c r="E1319" s="14" t="n"/>
      <c r="F1319" s="29" t="n"/>
      <c r="G1319" s="29" t="n"/>
      <c r="H1319" s="29" t="n"/>
      <c r="I1319" s="29" t="n"/>
      <c r="J1319" s="29" t="n"/>
      <c r="K1319" s="14" t="n"/>
      <c r="L1319" s="29" t="n"/>
      <c r="M1319" s="14" t="n"/>
      <c r="N1319" s="29" t="n"/>
      <c r="O1319" s="13" t="n"/>
      <c r="P1319" s="13" t="n"/>
      <c r="Q1319" s="35" t="n"/>
      <c r="R1319" s="35" t="n"/>
      <c r="S1319" s="35" t="n"/>
      <c r="T1319" s="35" t="n"/>
      <c r="U1319" s="35" t="n"/>
      <c r="V1319" s="18">
        <f>IF(COUNTA($B1319:$R1319)=0,"",ROUND(N($R1319)+N($S1319)+N($T1319)-N($U1319),2))</f>
        <v/>
      </c>
      <c r="W1319" s="18">
        <f>IF(COUNTA($B1319:$R1319)=0,"",IF(OR($X1319="Pago",$X1319="Recebido",$X1319="Cancelado"),0,ROUND(N($Q1319)+N($S1319)+N($T1319)-N($U1319)-N($R1319),2)))</f>
        <v/>
      </c>
      <c r="X1319" s="14" t="n"/>
      <c r="Y1319" s="17">
        <f>IF(COUNTA($B1319:$R1319)=0,"",IF($X1319="Cancelado","Cancelado",IF(OR($X1319="Pago",$X1319="Recebido"),$X1319,IF(OR($X1319="Parcial",N($R1319)&gt;0),"Parcial",IF($C1319="","Sem vencimento",IF($C1319&lt;TODAY(),"Vencido",IF($C1319=TODAY(),"Vence hoje",IF($C1319&lt;=TODAY()+7,"Vence em 7 dias",IF($C1319&lt;=TODAY()+30,"Vence em 30 dias","Futuro")))))))))</f>
        <v/>
      </c>
      <c r="Z1319" s="24">
        <f>IF($B1319="","",MONTH($B1319))</f>
        <v/>
      </c>
      <c r="AA1319" s="24">
        <f>IF($B1319="","",YEAR($B1319))</f>
        <v/>
      </c>
      <c r="AB1319" s="24">
        <f>IF($B1319="","",ISOWEEKNUM($B1319))</f>
        <v/>
      </c>
      <c r="AC1319" s="17">
        <f>IF($B1319="","",CHOOSE(WEEKDAY($B1319,2),"Segunda","Terça","Quarta","Quinta","Sexta","Sábado","Domingo"))</f>
        <v/>
      </c>
      <c r="AD1319" s="17">
        <f>IF($B1319="","",TEXT($B1319,"MM/AAAA"))</f>
        <v/>
      </c>
      <c r="AE1319" s="18">
        <f>IF(COUNTA($B1319:$R1319)=0,"",IF($X1319="Cancelado",0,ROUND(N($Q1319)+N($S1319)+N($T1319)-N($U1319),2)))</f>
        <v/>
      </c>
      <c r="AF1319" s="9">
        <f>IF($G1319="","",IFERROR(INDEX(LINHAS_DRE_PLANO,MATCH($G1319,SUBCATEGORIAS_PLANO,0)),"Não classificado"))</f>
        <v/>
      </c>
      <c r="AG1319" s="17">
        <f>IF($G1319="","",IFERROR(INDEX(TIPOS_FLUXO_PLANO,MATCH($G1319,SUBCATEGORIAS_PLANO,0)),"Não classificado"))</f>
        <v/>
      </c>
      <c r="AH1319" s="9">
        <f>IF($G1319="","",IFERROR(INDEX(GRUPOS_PLANO,MATCH($G1319,SUBCATEGORIAS_PLANO,0)),"Não classificado"))</f>
        <v/>
      </c>
      <c r="AI1319" s="24">
        <f>IF(OR($C1319="",$X1319="Pago",$X1319="Recebido",$X1319="Cancelado"),"",$C1319-TODAY())</f>
        <v/>
      </c>
      <c r="AJ1319" s="24">
        <f>IF(OR($C1319="",$X1319="Pago",$X1319="Recebido",$X1319="Cancelado"),0,MAX(0,TODAY()-$C1319))</f>
        <v/>
      </c>
      <c r="AK1319" s="24">
        <f>IF($D1319="","",$D1319-$B1319)</f>
        <v/>
      </c>
      <c r="AL1319" s="18">
        <f>IF(OR($D1319="",$B1319=""),"",ROUND(N($R1319)*($D1319-$B1319),2))</f>
        <v/>
      </c>
      <c r="AM1319" s="17">
        <f>IF(AND($E1319="Saída",$W1319&gt;0,$C1319&lt;&gt;""),$C1319+ROW()/1000000,"")</f>
        <v/>
      </c>
      <c r="AN1319" s="17">
        <f>IF(AND($E1319="Entrada",$W1319&gt;0,$C1319&lt;&gt;""),$C1319+ROW()/1000000,"")</f>
        <v/>
      </c>
      <c r="AO1319" s="9">
        <f>IF(COUNTA($B1319:$R1319)=0,"",IF(AND($I1319&lt;&gt;"",COUNTIF(CLIENTES_NOMES,$I1319)+COUNTIF(CLIENTES_FANTASIA,$I1319)+COUNTIF(FORNECEDORES_NOMES,$I1319)+COUNTIF(FORNECEDORES_FANTASIA,$I1319)=0),"⚠ Cliente/Fornecedor não cadastrado",IF(AND($G1319&lt;&gt;"",COUNTIF(SUBCATEGORIAS_PLANO,$G1319)=0),"⚠ Subcategoria fora do plano de contas",IF(OR($Q1319="",N($Q1319)=0),"⚠ Valor previsto não informado",IF(AND(OR($X1319="Pago",$X1319="Recebido"),$D1319=""),"⚠ Status pago/recebido sem data",IF(AND($D1319&lt;&gt;"",N($R1319)=0),"⚠ Data de pagamento sem valor realizado",IF(AND(N($P1319)&gt;1,N($O1319)&gt;N($P1319)),"⚠ Nº da parcela maior que o total",IF(AND($C1319&lt;&gt;"",$B1319&lt;&gt;"",$C1319&lt;$B1319),"⚠ Vencimento anterior à competência","OK"))))))))</f>
        <v/>
      </c>
    </row>
    <row r="1320">
      <c r="A1320" s="14" t="n"/>
      <c r="B1320" s="36" t="n"/>
      <c r="C1320" s="36" t="n"/>
      <c r="D1320" s="36" t="n"/>
      <c r="E1320" s="14" t="n"/>
      <c r="F1320" s="29" t="n"/>
      <c r="G1320" s="29" t="n"/>
      <c r="H1320" s="29" t="n"/>
      <c r="I1320" s="29" t="n"/>
      <c r="J1320" s="29" t="n"/>
      <c r="K1320" s="14" t="n"/>
      <c r="L1320" s="29" t="n"/>
      <c r="M1320" s="14" t="n"/>
      <c r="N1320" s="29" t="n"/>
      <c r="O1320" s="13" t="n"/>
      <c r="P1320" s="13" t="n"/>
      <c r="Q1320" s="35" t="n"/>
      <c r="R1320" s="35" t="n"/>
      <c r="S1320" s="35" t="n"/>
      <c r="T1320" s="35" t="n"/>
      <c r="U1320" s="35" t="n"/>
      <c r="V1320" s="18">
        <f>IF(COUNTA($B1320:$R1320)=0,"",ROUND(N($R1320)+N($S1320)+N($T1320)-N($U1320),2))</f>
        <v/>
      </c>
      <c r="W1320" s="18">
        <f>IF(COUNTA($B1320:$R1320)=0,"",IF(OR($X1320="Pago",$X1320="Recebido",$X1320="Cancelado"),0,ROUND(N($Q1320)+N($S1320)+N($T1320)-N($U1320)-N($R1320),2)))</f>
        <v/>
      </c>
      <c r="X1320" s="14" t="n"/>
      <c r="Y1320" s="17">
        <f>IF(COUNTA($B1320:$R1320)=0,"",IF($X1320="Cancelado","Cancelado",IF(OR($X1320="Pago",$X1320="Recebido"),$X1320,IF(OR($X1320="Parcial",N($R1320)&gt;0),"Parcial",IF($C1320="","Sem vencimento",IF($C1320&lt;TODAY(),"Vencido",IF($C1320=TODAY(),"Vence hoje",IF($C1320&lt;=TODAY()+7,"Vence em 7 dias",IF($C1320&lt;=TODAY()+30,"Vence em 30 dias","Futuro")))))))))</f>
        <v/>
      </c>
      <c r="Z1320" s="24">
        <f>IF($B1320="","",MONTH($B1320))</f>
        <v/>
      </c>
      <c r="AA1320" s="24">
        <f>IF($B1320="","",YEAR($B1320))</f>
        <v/>
      </c>
      <c r="AB1320" s="24">
        <f>IF($B1320="","",ISOWEEKNUM($B1320))</f>
        <v/>
      </c>
      <c r="AC1320" s="17">
        <f>IF($B1320="","",CHOOSE(WEEKDAY($B1320,2),"Segunda","Terça","Quarta","Quinta","Sexta","Sábado","Domingo"))</f>
        <v/>
      </c>
      <c r="AD1320" s="17">
        <f>IF($B1320="","",TEXT($B1320,"MM/AAAA"))</f>
        <v/>
      </c>
      <c r="AE1320" s="18">
        <f>IF(COUNTA($B1320:$R1320)=0,"",IF($X1320="Cancelado",0,ROUND(N($Q1320)+N($S1320)+N($T1320)-N($U1320),2)))</f>
        <v/>
      </c>
      <c r="AF1320" s="9">
        <f>IF($G1320="","",IFERROR(INDEX(LINHAS_DRE_PLANO,MATCH($G1320,SUBCATEGORIAS_PLANO,0)),"Não classificado"))</f>
        <v/>
      </c>
      <c r="AG1320" s="17">
        <f>IF($G1320="","",IFERROR(INDEX(TIPOS_FLUXO_PLANO,MATCH($G1320,SUBCATEGORIAS_PLANO,0)),"Não classificado"))</f>
        <v/>
      </c>
      <c r="AH1320" s="9">
        <f>IF($G1320="","",IFERROR(INDEX(GRUPOS_PLANO,MATCH($G1320,SUBCATEGORIAS_PLANO,0)),"Não classificado"))</f>
        <v/>
      </c>
      <c r="AI1320" s="24">
        <f>IF(OR($C1320="",$X1320="Pago",$X1320="Recebido",$X1320="Cancelado"),"",$C1320-TODAY())</f>
        <v/>
      </c>
      <c r="AJ1320" s="24">
        <f>IF(OR($C1320="",$X1320="Pago",$X1320="Recebido",$X1320="Cancelado"),0,MAX(0,TODAY()-$C1320))</f>
        <v/>
      </c>
      <c r="AK1320" s="24">
        <f>IF($D1320="","",$D1320-$B1320)</f>
        <v/>
      </c>
      <c r="AL1320" s="18">
        <f>IF(OR($D1320="",$B1320=""),"",ROUND(N($R1320)*($D1320-$B1320),2))</f>
        <v/>
      </c>
      <c r="AM1320" s="17">
        <f>IF(AND($E1320="Saída",$W1320&gt;0,$C1320&lt;&gt;""),$C1320+ROW()/1000000,"")</f>
        <v/>
      </c>
      <c r="AN1320" s="17">
        <f>IF(AND($E1320="Entrada",$W1320&gt;0,$C1320&lt;&gt;""),$C1320+ROW()/1000000,"")</f>
        <v/>
      </c>
      <c r="AO1320" s="9">
        <f>IF(COUNTA($B1320:$R1320)=0,"",IF(AND($I1320&lt;&gt;"",COUNTIF(CLIENTES_NOMES,$I1320)+COUNTIF(CLIENTES_FANTASIA,$I1320)+COUNTIF(FORNECEDORES_NOMES,$I1320)+COUNTIF(FORNECEDORES_FANTASIA,$I1320)=0),"⚠ Cliente/Fornecedor não cadastrado",IF(AND($G1320&lt;&gt;"",COUNTIF(SUBCATEGORIAS_PLANO,$G1320)=0),"⚠ Subcategoria fora do plano de contas",IF(OR($Q1320="",N($Q1320)=0),"⚠ Valor previsto não informado",IF(AND(OR($X1320="Pago",$X1320="Recebido"),$D1320=""),"⚠ Status pago/recebido sem data",IF(AND($D1320&lt;&gt;"",N($R1320)=0),"⚠ Data de pagamento sem valor realizado",IF(AND(N($P1320)&gt;1,N($O1320)&gt;N($P1320)),"⚠ Nº da parcela maior que o total",IF(AND($C1320&lt;&gt;"",$B1320&lt;&gt;"",$C1320&lt;$B1320),"⚠ Vencimento anterior à competência","OK"))))))))</f>
        <v/>
      </c>
    </row>
    <row r="1321">
      <c r="A1321" s="14" t="n"/>
      <c r="B1321" s="36" t="n"/>
      <c r="C1321" s="36" t="n"/>
      <c r="D1321" s="36" t="n"/>
      <c r="E1321" s="14" t="n"/>
      <c r="F1321" s="29" t="n"/>
      <c r="G1321" s="29" t="n"/>
      <c r="H1321" s="29" t="n"/>
      <c r="I1321" s="29" t="n"/>
      <c r="J1321" s="29" t="n"/>
      <c r="K1321" s="14" t="n"/>
      <c r="L1321" s="29" t="n"/>
      <c r="M1321" s="14" t="n"/>
      <c r="N1321" s="29" t="n"/>
      <c r="O1321" s="13" t="n"/>
      <c r="P1321" s="13" t="n"/>
      <c r="Q1321" s="35" t="n"/>
      <c r="R1321" s="35" t="n"/>
      <c r="S1321" s="35" t="n"/>
      <c r="T1321" s="35" t="n"/>
      <c r="U1321" s="35" t="n"/>
      <c r="V1321" s="18">
        <f>IF(COUNTA($B1321:$R1321)=0,"",ROUND(N($R1321)+N($S1321)+N($T1321)-N($U1321),2))</f>
        <v/>
      </c>
      <c r="W1321" s="18">
        <f>IF(COUNTA($B1321:$R1321)=0,"",IF(OR($X1321="Pago",$X1321="Recebido",$X1321="Cancelado"),0,ROUND(N($Q1321)+N($S1321)+N($T1321)-N($U1321)-N($R1321),2)))</f>
        <v/>
      </c>
      <c r="X1321" s="14" t="n"/>
      <c r="Y1321" s="17">
        <f>IF(COUNTA($B1321:$R1321)=0,"",IF($X1321="Cancelado","Cancelado",IF(OR($X1321="Pago",$X1321="Recebido"),$X1321,IF(OR($X1321="Parcial",N($R1321)&gt;0),"Parcial",IF($C1321="","Sem vencimento",IF($C1321&lt;TODAY(),"Vencido",IF($C1321=TODAY(),"Vence hoje",IF($C1321&lt;=TODAY()+7,"Vence em 7 dias",IF($C1321&lt;=TODAY()+30,"Vence em 30 dias","Futuro")))))))))</f>
        <v/>
      </c>
      <c r="Z1321" s="24">
        <f>IF($B1321="","",MONTH($B1321))</f>
        <v/>
      </c>
      <c r="AA1321" s="24">
        <f>IF($B1321="","",YEAR($B1321))</f>
        <v/>
      </c>
      <c r="AB1321" s="24">
        <f>IF($B1321="","",ISOWEEKNUM($B1321))</f>
        <v/>
      </c>
      <c r="AC1321" s="17">
        <f>IF($B1321="","",CHOOSE(WEEKDAY($B1321,2),"Segunda","Terça","Quarta","Quinta","Sexta","Sábado","Domingo"))</f>
        <v/>
      </c>
      <c r="AD1321" s="17">
        <f>IF($B1321="","",TEXT($B1321,"MM/AAAA"))</f>
        <v/>
      </c>
      <c r="AE1321" s="18">
        <f>IF(COUNTA($B1321:$R1321)=0,"",IF($X1321="Cancelado",0,ROUND(N($Q1321)+N($S1321)+N($T1321)-N($U1321),2)))</f>
        <v/>
      </c>
      <c r="AF1321" s="9">
        <f>IF($G1321="","",IFERROR(INDEX(LINHAS_DRE_PLANO,MATCH($G1321,SUBCATEGORIAS_PLANO,0)),"Não classificado"))</f>
        <v/>
      </c>
      <c r="AG1321" s="17">
        <f>IF($G1321="","",IFERROR(INDEX(TIPOS_FLUXO_PLANO,MATCH($G1321,SUBCATEGORIAS_PLANO,0)),"Não classificado"))</f>
        <v/>
      </c>
      <c r="AH1321" s="9">
        <f>IF($G1321="","",IFERROR(INDEX(GRUPOS_PLANO,MATCH($G1321,SUBCATEGORIAS_PLANO,0)),"Não classificado"))</f>
        <v/>
      </c>
      <c r="AI1321" s="24">
        <f>IF(OR($C1321="",$X1321="Pago",$X1321="Recebido",$X1321="Cancelado"),"",$C1321-TODAY())</f>
        <v/>
      </c>
      <c r="AJ1321" s="24">
        <f>IF(OR($C1321="",$X1321="Pago",$X1321="Recebido",$X1321="Cancelado"),0,MAX(0,TODAY()-$C1321))</f>
        <v/>
      </c>
      <c r="AK1321" s="24">
        <f>IF($D1321="","",$D1321-$B1321)</f>
        <v/>
      </c>
      <c r="AL1321" s="18">
        <f>IF(OR($D1321="",$B1321=""),"",ROUND(N($R1321)*($D1321-$B1321),2))</f>
        <v/>
      </c>
      <c r="AM1321" s="17">
        <f>IF(AND($E1321="Saída",$W1321&gt;0,$C1321&lt;&gt;""),$C1321+ROW()/1000000,"")</f>
        <v/>
      </c>
      <c r="AN1321" s="17">
        <f>IF(AND($E1321="Entrada",$W1321&gt;0,$C1321&lt;&gt;""),$C1321+ROW()/1000000,"")</f>
        <v/>
      </c>
      <c r="AO1321" s="9">
        <f>IF(COUNTA($B1321:$R1321)=0,"",IF(AND($I1321&lt;&gt;"",COUNTIF(CLIENTES_NOMES,$I1321)+COUNTIF(CLIENTES_FANTASIA,$I1321)+COUNTIF(FORNECEDORES_NOMES,$I1321)+COUNTIF(FORNECEDORES_FANTASIA,$I1321)=0),"⚠ Cliente/Fornecedor não cadastrado",IF(AND($G1321&lt;&gt;"",COUNTIF(SUBCATEGORIAS_PLANO,$G1321)=0),"⚠ Subcategoria fora do plano de contas",IF(OR($Q1321="",N($Q1321)=0),"⚠ Valor previsto não informado",IF(AND(OR($X1321="Pago",$X1321="Recebido"),$D1321=""),"⚠ Status pago/recebido sem data",IF(AND($D1321&lt;&gt;"",N($R1321)=0),"⚠ Data de pagamento sem valor realizado",IF(AND(N($P1321)&gt;1,N($O1321)&gt;N($P1321)),"⚠ Nº da parcela maior que o total",IF(AND($C1321&lt;&gt;"",$B1321&lt;&gt;"",$C1321&lt;$B1321),"⚠ Vencimento anterior à competência","OK"))))))))</f>
        <v/>
      </c>
    </row>
    <row r="1322">
      <c r="A1322" s="14" t="n"/>
      <c r="B1322" s="36" t="n"/>
      <c r="C1322" s="36" t="n"/>
      <c r="D1322" s="36" t="n"/>
      <c r="E1322" s="14" t="n"/>
      <c r="F1322" s="29" t="n"/>
      <c r="G1322" s="29" t="n"/>
      <c r="H1322" s="29" t="n"/>
      <c r="I1322" s="29" t="n"/>
      <c r="J1322" s="29" t="n"/>
      <c r="K1322" s="14" t="n"/>
      <c r="L1322" s="29" t="n"/>
      <c r="M1322" s="14" t="n"/>
      <c r="N1322" s="29" t="n"/>
      <c r="O1322" s="13" t="n"/>
      <c r="P1322" s="13" t="n"/>
      <c r="Q1322" s="35" t="n"/>
      <c r="R1322" s="35" t="n"/>
      <c r="S1322" s="35" t="n"/>
      <c r="T1322" s="35" t="n"/>
      <c r="U1322" s="35" t="n"/>
      <c r="V1322" s="18">
        <f>IF(COUNTA($B1322:$R1322)=0,"",ROUND(N($R1322)+N($S1322)+N($T1322)-N($U1322),2))</f>
        <v/>
      </c>
      <c r="W1322" s="18">
        <f>IF(COUNTA($B1322:$R1322)=0,"",IF(OR($X1322="Pago",$X1322="Recebido",$X1322="Cancelado"),0,ROUND(N($Q1322)+N($S1322)+N($T1322)-N($U1322)-N($R1322),2)))</f>
        <v/>
      </c>
      <c r="X1322" s="14" t="n"/>
      <c r="Y1322" s="17">
        <f>IF(COUNTA($B1322:$R1322)=0,"",IF($X1322="Cancelado","Cancelado",IF(OR($X1322="Pago",$X1322="Recebido"),$X1322,IF(OR($X1322="Parcial",N($R1322)&gt;0),"Parcial",IF($C1322="","Sem vencimento",IF($C1322&lt;TODAY(),"Vencido",IF($C1322=TODAY(),"Vence hoje",IF($C1322&lt;=TODAY()+7,"Vence em 7 dias",IF($C1322&lt;=TODAY()+30,"Vence em 30 dias","Futuro")))))))))</f>
        <v/>
      </c>
      <c r="Z1322" s="24">
        <f>IF($B1322="","",MONTH($B1322))</f>
        <v/>
      </c>
      <c r="AA1322" s="24">
        <f>IF($B1322="","",YEAR($B1322))</f>
        <v/>
      </c>
      <c r="AB1322" s="24">
        <f>IF($B1322="","",ISOWEEKNUM($B1322))</f>
        <v/>
      </c>
      <c r="AC1322" s="17">
        <f>IF($B1322="","",CHOOSE(WEEKDAY($B1322,2),"Segunda","Terça","Quarta","Quinta","Sexta","Sábado","Domingo"))</f>
        <v/>
      </c>
      <c r="AD1322" s="17">
        <f>IF($B1322="","",TEXT($B1322,"MM/AAAA"))</f>
        <v/>
      </c>
      <c r="AE1322" s="18">
        <f>IF(COUNTA($B1322:$R1322)=0,"",IF($X1322="Cancelado",0,ROUND(N($Q1322)+N($S1322)+N($T1322)-N($U1322),2)))</f>
        <v/>
      </c>
      <c r="AF1322" s="9">
        <f>IF($G1322="","",IFERROR(INDEX(LINHAS_DRE_PLANO,MATCH($G1322,SUBCATEGORIAS_PLANO,0)),"Não classificado"))</f>
        <v/>
      </c>
      <c r="AG1322" s="17">
        <f>IF($G1322="","",IFERROR(INDEX(TIPOS_FLUXO_PLANO,MATCH($G1322,SUBCATEGORIAS_PLANO,0)),"Não classificado"))</f>
        <v/>
      </c>
      <c r="AH1322" s="9">
        <f>IF($G1322="","",IFERROR(INDEX(GRUPOS_PLANO,MATCH($G1322,SUBCATEGORIAS_PLANO,0)),"Não classificado"))</f>
        <v/>
      </c>
      <c r="AI1322" s="24">
        <f>IF(OR($C1322="",$X1322="Pago",$X1322="Recebido",$X1322="Cancelado"),"",$C1322-TODAY())</f>
        <v/>
      </c>
      <c r="AJ1322" s="24">
        <f>IF(OR($C1322="",$X1322="Pago",$X1322="Recebido",$X1322="Cancelado"),0,MAX(0,TODAY()-$C1322))</f>
        <v/>
      </c>
      <c r="AK1322" s="24">
        <f>IF($D1322="","",$D1322-$B1322)</f>
        <v/>
      </c>
      <c r="AL1322" s="18">
        <f>IF(OR($D1322="",$B1322=""),"",ROUND(N($R1322)*($D1322-$B1322),2))</f>
        <v/>
      </c>
      <c r="AM1322" s="17">
        <f>IF(AND($E1322="Saída",$W1322&gt;0,$C1322&lt;&gt;""),$C1322+ROW()/1000000,"")</f>
        <v/>
      </c>
      <c r="AN1322" s="17">
        <f>IF(AND($E1322="Entrada",$W1322&gt;0,$C1322&lt;&gt;""),$C1322+ROW()/1000000,"")</f>
        <v/>
      </c>
      <c r="AO1322" s="9">
        <f>IF(COUNTA($B1322:$R1322)=0,"",IF(AND($I1322&lt;&gt;"",COUNTIF(CLIENTES_NOMES,$I1322)+COUNTIF(CLIENTES_FANTASIA,$I1322)+COUNTIF(FORNECEDORES_NOMES,$I1322)+COUNTIF(FORNECEDORES_FANTASIA,$I1322)=0),"⚠ Cliente/Fornecedor não cadastrado",IF(AND($G1322&lt;&gt;"",COUNTIF(SUBCATEGORIAS_PLANO,$G1322)=0),"⚠ Subcategoria fora do plano de contas",IF(OR($Q1322="",N($Q1322)=0),"⚠ Valor previsto não informado",IF(AND(OR($X1322="Pago",$X1322="Recebido"),$D1322=""),"⚠ Status pago/recebido sem data",IF(AND($D1322&lt;&gt;"",N($R1322)=0),"⚠ Data de pagamento sem valor realizado",IF(AND(N($P1322)&gt;1,N($O1322)&gt;N($P1322)),"⚠ Nº da parcela maior que o total",IF(AND($C1322&lt;&gt;"",$B1322&lt;&gt;"",$C1322&lt;$B1322),"⚠ Vencimento anterior à competência","OK"))))))))</f>
        <v/>
      </c>
    </row>
    <row r="1323">
      <c r="A1323" s="14" t="n"/>
      <c r="B1323" s="36" t="n"/>
      <c r="C1323" s="36" t="n"/>
      <c r="D1323" s="36" t="n"/>
      <c r="E1323" s="14" t="n"/>
      <c r="F1323" s="29" t="n"/>
      <c r="G1323" s="29" t="n"/>
      <c r="H1323" s="29" t="n"/>
      <c r="I1323" s="29" t="n"/>
      <c r="J1323" s="29" t="n"/>
      <c r="K1323" s="14" t="n"/>
      <c r="L1323" s="29" t="n"/>
      <c r="M1323" s="14" t="n"/>
      <c r="N1323" s="29" t="n"/>
      <c r="O1323" s="13" t="n"/>
      <c r="P1323" s="13" t="n"/>
      <c r="Q1323" s="35" t="n"/>
      <c r="R1323" s="35" t="n"/>
      <c r="S1323" s="35" t="n"/>
      <c r="T1323" s="35" t="n"/>
      <c r="U1323" s="35" t="n"/>
      <c r="V1323" s="18">
        <f>IF(COUNTA($B1323:$R1323)=0,"",ROUND(N($R1323)+N($S1323)+N($T1323)-N($U1323),2))</f>
        <v/>
      </c>
      <c r="W1323" s="18">
        <f>IF(COUNTA($B1323:$R1323)=0,"",IF(OR($X1323="Pago",$X1323="Recebido",$X1323="Cancelado"),0,ROUND(N($Q1323)+N($S1323)+N($T1323)-N($U1323)-N($R1323),2)))</f>
        <v/>
      </c>
      <c r="X1323" s="14" t="n"/>
      <c r="Y1323" s="17">
        <f>IF(COUNTA($B1323:$R1323)=0,"",IF($X1323="Cancelado","Cancelado",IF(OR($X1323="Pago",$X1323="Recebido"),$X1323,IF(OR($X1323="Parcial",N($R1323)&gt;0),"Parcial",IF($C1323="","Sem vencimento",IF($C1323&lt;TODAY(),"Vencido",IF($C1323=TODAY(),"Vence hoje",IF($C1323&lt;=TODAY()+7,"Vence em 7 dias",IF($C1323&lt;=TODAY()+30,"Vence em 30 dias","Futuro")))))))))</f>
        <v/>
      </c>
      <c r="Z1323" s="24">
        <f>IF($B1323="","",MONTH($B1323))</f>
        <v/>
      </c>
      <c r="AA1323" s="24">
        <f>IF($B1323="","",YEAR($B1323))</f>
        <v/>
      </c>
      <c r="AB1323" s="24">
        <f>IF($B1323="","",ISOWEEKNUM($B1323))</f>
        <v/>
      </c>
      <c r="AC1323" s="17">
        <f>IF($B1323="","",CHOOSE(WEEKDAY($B1323,2),"Segunda","Terça","Quarta","Quinta","Sexta","Sábado","Domingo"))</f>
        <v/>
      </c>
      <c r="AD1323" s="17">
        <f>IF($B1323="","",TEXT($B1323,"MM/AAAA"))</f>
        <v/>
      </c>
      <c r="AE1323" s="18">
        <f>IF(COUNTA($B1323:$R1323)=0,"",IF($X1323="Cancelado",0,ROUND(N($Q1323)+N($S1323)+N($T1323)-N($U1323),2)))</f>
        <v/>
      </c>
      <c r="AF1323" s="9">
        <f>IF($G1323="","",IFERROR(INDEX(LINHAS_DRE_PLANO,MATCH($G1323,SUBCATEGORIAS_PLANO,0)),"Não classificado"))</f>
        <v/>
      </c>
      <c r="AG1323" s="17">
        <f>IF($G1323="","",IFERROR(INDEX(TIPOS_FLUXO_PLANO,MATCH($G1323,SUBCATEGORIAS_PLANO,0)),"Não classificado"))</f>
        <v/>
      </c>
      <c r="AH1323" s="9">
        <f>IF($G1323="","",IFERROR(INDEX(GRUPOS_PLANO,MATCH($G1323,SUBCATEGORIAS_PLANO,0)),"Não classificado"))</f>
        <v/>
      </c>
      <c r="AI1323" s="24">
        <f>IF(OR($C1323="",$X1323="Pago",$X1323="Recebido",$X1323="Cancelado"),"",$C1323-TODAY())</f>
        <v/>
      </c>
      <c r="AJ1323" s="24">
        <f>IF(OR($C1323="",$X1323="Pago",$X1323="Recebido",$X1323="Cancelado"),0,MAX(0,TODAY()-$C1323))</f>
        <v/>
      </c>
      <c r="AK1323" s="24">
        <f>IF($D1323="","",$D1323-$B1323)</f>
        <v/>
      </c>
      <c r="AL1323" s="18">
        <f>IF(OR($D1323="",$B1323=""),"",ROUND(N($R1323)*($D1323-$B1323),2))</f>
        <v/>
      </c>
      <c r="AM1323" s="17">
        <f>IF(AND($E1323="Saída",$W1323&gt;0,$C1323&lt;&gt;""),$C1323+ROW()/1000000,"")</f>
        <v/>
      </c>
      <c r="AN1323" s="17">
        <f>IF(AND($E1323="Entrada",$W1323&gt;0,$C1323&lt;&gt;""),$C1323+ROW()/1000000,"")</f>
        <v/>
      </c>
      <c r="AO1323" s="9">
        <f>IF(COUNTA($B1323:$R1323)=0,"",IF(AND($I1323&lt;&gt;"",COUNTIF(CLIENTES_NOMES,$I1323)+COUNTIF(CLIENTES_FANTASIA,$I1323)+COUNTIF(FORNECEDORES_NOMES,$I1323)+COUNTIF(FORNECEDORES_FANTASIA,$I1323)=0),"⚠ Cliente/Fornecedor não cadastrado",IF(AND($G1323&lt;&gt;"",COUNTIF(SUBCATEGORIAS_PLANO,$G1323)=0),"⚠ Subcategoria fora do plano de contas",IF(OR($Q1323="",N($Q1323)=0),"⚠ Valor previsto não informado",IF(AND(OR($X1323="Pago",$X1323="Recebido"),$D1323=""),"⚠ Status pago/recebido sem data",IF(AND($D1323&lt;&gt;"",N($R1323)=0),"⚠ Data de pagamento sem valor realizado",IF(AND(N($P1323)&gt;1,N($O1323)&gt;N($P1323)),"⚠ Nº da parcela maior que o total",IF(AND($C1323&lt;&gt;"",$B1323&lt;&gt;"",$C1323&lt;$B1323),"⚠ Vencimento anterior à competência","OK"))))))))</f>
        <v/>
      </c>
    </row>
    <row r="1324">
      <c r="A1324" s="14" t="n"/>
      <c r="B1324" s="36" t="n"/>
      <c r="C1324" s="36" t="n"/>
      <c r="D1324" s="36" t="n"/>
      <c r="E1324" s="14" t="n"/>
      <c r="F1324" s="29" t="n"/>
      <c r="G1324" s="29" t="n"/>
      <c r="H1324" s="29" t="n"/>
      <c r="I1324" s="29" t="n"/>
      <c r="J1324" s="29" t="n"/>
      <c r="K1324" s="14" t="n"/>
      <c r="L1324" s="29" t="n"/>
      <c r="M1324" s="14" t="n"/>
      <c r="N1324" s="29" t="n"/>
      <c r="O1324" s="13" t="n"/>
      <c r="P1324" s="13" t="n"/>
      <c r="Q1324" s="35" t="n"/>
      <c r="R1324" s="35" t="n"/>
      <c r="S1324" s="35" t="n"/>
      <c r="T1324" s="35" t="n"/>
      <c r="U1324" s="35" t="n"/>
      <c r="V1324" s="18">
        <f>IF(COUNTA($B1324:$R1324)=0,"",ROUND(N($R1324)+N($S1324)+N($T1324)-N($U1324),2))</f>
        <v/>
      </c>
      <c r="W1324" s="18">
        <f>IF(COUNTA($B1324:$R1324)=0,"",IF(OR($X1324="Pago",$X1324="Recebido",$X1324="Cancelado"),0,ROUND(N($Q1324)+N($S1324)+N($T1324)-N($U1324)-N($R1324),2)))</f>
        <v/>
      </c>
      <c r="X1324" s="14" t="n"/>
      <c r="Y1324" s="17">
        <f>IF(COUNTA($B1324:$R1324)=0,"",IF($X1324="Cancelado","Cancelado",IF(OR($X1324="Pago",$X1324="Recebido"),$X1324,IF(OR($X1324="Parcial",N($R1324)&gt;0),"Parcial",IF($C1324="","Sem vencimento",IF($C1324&lt;TODAY(),"Vencido",IF($C1324=TODAY(),"Vence hoje",IF($C1324&lt;=TODAY()+7,"Vence em 7 dias",IF($C1324&lt;=TODAY()+30,"Vence em 30 dias","Futuro")))))))))</f>
        <v/>
      </c>
      <c r="Z1324" s="24">
        <f>IF($B1324="","",MONTH($B1324))</f>
        <v/>
      </c>
      <c r="AA1324" s="24">
        <f>IF($B1324="","",YEAR($B1324))</f>
        <v/>
      </c>
      <c r="AB1324" s="24">
        <f>IF($B1324="","",ISOWEEKNUM($B1324))</f>
        <v/>
      </c>
      <c r="AC1324" s="17">
        <f>IF($B1324="","",CHOOSE(WEEKDAY($B1324,2),"Segunda","Terça","Quarta","Quinta","Sexta","Sábado","Domingo"))</f>
        <v/>
      </c>
      <c r="AD1324" s="17">
        <f>IF($B1324="","",TEXT($B1324,"MM/AAAA"))</f>
        <v/>
      </c>
      <c r="AE1324" s="18">
        <f>IF(COUNTA($B1324:$R1324)=0,"",IF($X1324="Cancelado",0,ROUND(N($Q1324)+N($S1324)+N($T1324)-N($U1324),2)))</f>
        <v/>
      </c>
      <c r="AF1324" s="9">
        <f>IF($G1324="","",IFERROR(INDEX(LINHAS_DRE_PLANO,MATCH($G1324,SUBCATEGORIAS_PLANO,0)),"Não classificado"))</f>
        <v/>
      </c>
      <c r="AG1324" s="17">
        <f>IF($G1324="","",IFERROR(INDEX(TIPOS_FLUXO_PLANO,MATCH($G1324,SUBCATEGORIAS_PLANO,0)),"Não classificado"))</f>
        <v/>
      </c>
      <c r="AH1324" s="9">
        <f>IF($G1324="","",IFERROR(INDEX(GRUPOS_PLANO,MATCH($G1324,SUBCATEGORIAS_PLANO,0)),"Não classificado"))</f>
        <v/>
      </c>
      <c r="AI1324" s="24">
        <f>IF(OR($C1324="",$X1324="Pago",$X1324="Recebido",$X1324="Cancelado"),"",$C1324-TODAY())</f>
        <v/>
      </c>
      <c r="AJ1324" s="24">
        <f>IF(OR($C1324="",$X1324="Pago",$X1324="Recebido",$X1324="Cancelado"),0,MAX(0,TODAY()-$C1324))</f>
        <v/>
      </c>
      <c r="AK1324" s="24">
        <f>IF($D1324="","",$D1324-$B1324)</f>
        <v/>
      </c>
      <c r="AL1324" s="18">
        <f>IF(OR($D1324="",$B1324=""),"",ROUND(N($R1324)*($D1324-$B1324),2))</f>
        <v/>
      </c>
      <c r="AM1324" s="17">
        <f>IF(AND($E1324="Saída",$W1324&gt;0,$C1324&lt;&gt;""),$C1324+ROW()/1000000,"")</f>
        <v/>
      </c>
      <c r="AN1324" s="17">
        <f>IF(AND($E1324="Entrada",$W1324&gt;0,$C1324&lt;&gt;""),$C1324+ROW()/1000000,"")</f>
        <v/>
      </c>
      <c r="AO1324" s="9">
        <f>IF(COUNTA($B1324:$R1324)=0,"",IF(AND($I1324&lt;&gt;"",COUNTIF(CLIENTES_NOMES,$I1324)+COUNTIF(CLIENTES_FANTASIA,$I1324)+COUNTIF(FORNECEDORES_NOMES,$I1324)+COUNTIF(FORNECEDORES_FANTASIA,$I1324)=0),"⚠ Cliente/Fornecedor não cadastrado",IF(AND($G1324&lt;&gt;"",COUNTIF(SUBCATEGORIAS_PLANO,$G1324)=0),"⚠ Subcategoria fora do plano de contas",IF(OR($Q1324="",N($Q1324)=0),"⚠ Valor previsto não informado",IF(AND(OR($X1324="Pago",$X1324="Recebido"),$D1324=""),"⚠ Status pago/recebido sem data",IF(AND($D1324&lt;&gt;"",N($R1324)=0),"⚠ Data de pagamento sem valor realizado",IF(AND(N($P1324)&gt;1,N($O1324)&gt;N($P1324)),"⚠ Nº da parcela maior que o total",IF(AND($C1324&lt;&gt;"",$B1324&lt;&gt;"",$C1324&lt;$B1324),"⚠ Vencimento anterior à competência","OK"))))))))</f>
        <v/>
      </c>
    </row>
    <row r="1325">
      <c r="A1325" s="14" t="n"/>
      <c r="B1325" s="36" t="n"/>
      <c r="C1325" s="36" t="n"/>
      <c r="D1325" s="36" t="n"/>
      <c r="E1325" s="14" t="n"/>
      <c r="F1325" s="29" t="n"/>
      <c r="G1325" s="29" t="n"/>
      <c r="H1325" s="29" t="n"/>
      <c r="I1325" s="29" t="n"/>
      <c r="J1325" s="29" t="n"/>
      <c r="K1325" s="14" t="n"/>
      <c r="L1325" s="29" t="n"/>
      <c r="M1325" s="14" t="n"/>
      <c r="N1325" s="29" t="n"/>
      <c r="O1325" s="13" t="n"/>
      <c r="P1325" s="13" t="n"/>
      <c r="Q1325" s="35" t="n"/>
      <c r="R1325" s="35" t="n"/>
      <c r="S1325" s="35" t="n"/>
      <c r="T1325" s="35" t="n"/>
      <c r="U1325" s="35" t="n"/>
      <c r="V1325" s="18">
        <f>IF(COUNTA($B1325:$R1325)=0,"",ROUND(N($R1325)+N($S1325)+N($T1325)-N($U1325),2))</f>
        <v/>
      </c>
      <c r="W1325" s="18">
        <f>IF(COUNTA($B1325:$R1325)=0,"",IF(OR($X1325="Pago",$X1325="Recebido",$X1325="Cancelado"),0,ROUND(N($Q1325)+N($S1325)+N($T1325)-N($U1325)-N($R1325),2)))</f>
        <v/>
      </c>
      <c r="X1325" s="14" t="n"/>
      <c r="Y1325" s="17">
        <f>IF(COUNTA($B1325:$R1325)=0,"",IF($X1325="Cancelado","Cancelado",IF(OR($X1325="Pago",$X1325="Recebido"),$X1325,IF(OR($X1325="Parcial",N($R1325)&gt;0),"Parcial",IF($C1325="","Sem vencimento",IF($C1325&lt;TODAY(),"Vencido",IF($C1325=TODAY(),"Vence hoje",IF($C1325&lt;=TODAY()+7,"Vence em 7 dias",IF($C1325&lt;=TODAY()+30,"Vence em 30 dias","Futuro")))))))))</f>
        <v/>
      </c>
      <c r="Z1325" s="24">
        <f>IF($B1325="","",MONTH($B1325))</f>
        <v/>
      </c>
      <c r="AA1325" s="24">
        <f>IF($B1325="","",YEAR($B1325))</f>
        <v/>
      </c>
      <c r="AB1325" s="24">
        <f>IF($B1325="","",ISOWEEKNUM($B1325))</f>
        <v/>
      </c>
      <c r="AC1325" s="17">
        <f>IF($B1325="","",CHOOSE(WEEKDAY($B1325,2),"Segunda","Terça","Quarta","Quinta","Sexta","Sábado","Domingo"))</f>
        <v/>
      </c>
      <c r="AD1325" s="17">
        <f>IF($B1325="","",TEXT($B1325,"MM/AAAA"))</f>
        <v/>
      </c>
      <c r="AE1325" s="18">
        <f>IF(COUNTA($B1325:$R1325)=0,"",IF($X1325="Cancelado",0,ROUND(N($Q1325)+N($S1325)+N($T1325)-N($U1325),2)))</f>
        <v/>
      </c>
      <c r="AF1325" s="9">
        <f>IF($G1325="","",IFERROR(INDEX(LINHAS_DRE_PLANO,MATCH($G1325,SUBCATEGORIAS_PLANO,0)),"Não classificado"))</f>
        <v/>
      </c>
      <c r="AG1325" s="17">
        <f>IF($G1325="","",IFERROR(INDEX(TIPOS_FLUXO_PLANO,MATCH($G1325,SUBCATEGORIAS_PLANO,0)),"Não classificado"))</f>
        <v/>
      </c>
      <c r="AH1325" s="9">
        <f>IF($G1325="","",IFERROR(INDEX(GRUPOS_PLANO,MATCH($G1325,SUBCATEGORIAS_PLANO,0)),"Não classificado"))</f>
        <v/>
      </c>
      <c r="AI1325" s="24">
        <f>IF(OR($C1325="",$X1325="Pago",$X1325="Recebido",$X1325="Cancelado"),"",$C1325-TODAY())</f>
        <v/>
      </c>
      <c r="AJ1325" s="24">
        <f>IF(OR($C1325="",$X1325="Pago",$X1325="Recebido",$X1325="Cancelado"),0,MAX(0,TODAY()-$C1325))</f>
        <v/>
      </c>
      <c r="AK1325" s="24">
        <f>IF($D1325="","",$D1325-$B1325)</f>
        <v/>
      </c>
      <c r="AL1325" s="18">
        <f>IF(OR($D1325="",$B1325=""),"",ROUND(N($R1325)*($D1325-$B1325),2))</f>
        <v/>
      </c>
      <c r="AM1325" s="17">
        <f>IF(AND($E1325="Saída",$W1325&gt;0,$C1325&lt;&gt;""),$C1325+ROW()/1000000,"")</f>
        <v/>
      </c>
      <c r="AN1325" s="17">
        <f>IF(AND($E1325="Entrada",$W1325&gt;0,$C1325&lt;&gt;""),$C1325+ROW()/1000000,"")</f>
        <v/>
      </c>
      <c r="AO1325" s="9">
        <f>IF(COUNTA($B1325:$R1325)=0,"",IF(AND($I1325&lt;&gt;"",COUNTIF(CLIENTES_NOMES,$I1325)+COUNTIF(CLIENTES_FANTASIA,$I1325)+COUNTIF(FORNECEDORES_NOMES,$I1325)+COUNTIF(FORNECEDORES_FANTASIA,$I1325)=0),"⚠ Cliente/Fornecedor não cadastrado",IF(AND($G1325&lt;&gt;"",COUNTIF(SUBCATEGORIAS_PLANO,$G1325)=0),"⚠ Subcategoria fora do plano de contas",IF(OR($Q1325="",N($Q1325)=0),"⚠ Valor previsto não informado",IF(AND(OR($X1325="Pago",$X1325="Recebido"),$D1325=""),"⚠ Status pago/recebido sem data",IF(AND($D1325&lt;&gt;"",N($R1325)=0),"⚠ Data de pagamento sem valor realizado",IF(AND(N($P1325)&gt;1,N($O1325)&gt;N($P1325)),"⚠ Nº da parcela maior que o total",IF(AND($C1325&lt;&gt;"",$B1325&lt;&gt;"",$C1325&lt;$B1325),"⚠ Vencimento anterior à competência","OK"))))))))</f>
        <v/>
      </c>
    </row>
    <row r="1326">
      <c r="A1326" s="14" t="n"/>
      <c r="B1326" s="36" t="n"/>
      <c r="C1326" s="36" t="n"/>
      <c r="D1326" s="36" t="n"/>
      <c r="E1326" s="14" t="n"/>
      <c r="F1326" s="29" t="n"/>
      <c r="G1326" s="29" t="n"/>
      <c r="H1326" s="29" t="n"/>
      <c r="I1326" s="29" t="n"/>
      <c r="J1326" s="29" t="n"/>
      <c r="K1326" s="14" t="n"/>
      <c r="L1326" s="29" t="n"/>
      <c r="M1326" s="14" t="n"/>
      <c r="N1326" s="29" t="n"/>
      <c r="O1326" s="13" t="n"/>
      <c r="P1326" s="13" t="n"/>
      <c r="Q1326" s="35" t="n"/>
      <c r="R1326" s="35" t="n"/>
      <c r="S1326" s="35" t="n"/>
      <c r="T1326" s="35" t="n"/>
      <c r="U1326" s="35" t="n"/>
      <c r="V1326" s="18">
        <f>IF(COUNTA($B1326:$R1326)=0,"",ROUND(N($R1326)+N($S1326)+N($T1326)-N($U1326),2))</f>
        <v/>
      </c>
      <c r="W1326" s="18">
        <f>IF(COUNTA($B1326:$R1326)=0,"",IF(OR($X1326="Pago",$X1326="Recebido",$X1326="Cancelado"),0,ROUND(N($Q1326)+N($S1326)+N($T1326)-N($U1326)-N($R1326),2)))</f>
        <v/>
      </c>
      <c r="X1326" s="14" t="n"/>
      <c r="Y1326" s="17">
        <f>IF(COUNTA($B1326:$R1326)=0,"",IF($X1326="Cancelado","Cancelado",IF(OR($X1326="Pago",$X1326="Recebido"),$X1326,IF(OR($X1326="Parcial",N($R1326)&gt;0),"Parcial",IF($C1326="","Sem vencimento",IF($C1326&lt;TODAY(),"Vencido",IF($C1326=TODAY(),"Vence hoje",IF($C1326&lt;=TODAY()+7,"Vence em 7 dias",IF($C1326&lt;=TODAY()+30,"Vence em 30 dias","Futuro")))))))))</f>
        <v/>
      </c>
      <c r="Z1326" s="24">
        <f>IF($B1326="","",MONTH($B1326))</f>
        <v/>
      </c>
      <c r="AA1326" s="24">
        <f>IF($B1326="","",YEAR($B1326))</f>
        <v/>
      </c>
      <c r="AB1326" s="24">
        <f>IF($B1326="","",ISOWEEKNUM($B1326))</f>
        <v/>
      </c>
      <c r="AC1326" s="17">
        <f>IF($B1326="","",CHOOSE(WEEKDAY($B1326,2),"Segunda","Terça","Quarta","Quinta","Sexta","Sábado","Domingo"))</f>
        <v/>
      </c>
      <c r="AD1326" s="17">
        <f>IF($B1326="","",TEXT($B1326,"MM/AAAA"))</f>
        <v/>
      </c>
      <c r="AE1326" s="18">
        <f>IF(COUNTA($B1326:$R1326)=0,"",IF($X1326="Cancelado",0,ROUND(N($Q1326)+N($S1326)+N($T1326)-N($U1326),2)))</f>
        <v/>
      </c>
      <c r="AF1326" s="9">
        <f>IF($G1326="","",IFERROR(INDEX(LINHAS_DRE_PLANO,MATCH($G1326,SUBCATEGORIAS_PLANO,0)),"Não classificado"))</f>
        <v/>
      </c>
      <c r="AG1326" s="17">
        <f>IF($G1326="","",IFERROR(INDEX(TIPOS_FLUXO_PLANO,MATCH($G1326,SUBCATEGORIAS_PLANO,0)),"Não classificado"))</f>
        <v/>
      </c>
      <c r="AH1326" s="9">
        <f>IF($G1326="","",IFERROR(INDEX(GRUPOS_PLANO,MATCH($G1326,SUBCATEGORIAS_PLANO,0)),"Não classificado"))</f>
        <v/>
      </c>
      <c r="AI1326" s="24">
        <f>IF(OR($C1326="",$X1326="Pago",$X1326="Recebido",$X1326="Cancelado"),"",$C1326-TODAY())</f>
        <v/>
      </c>
      <c r="AJ1326" s="24">
        <f>IF(OR($C1326="",$X1326="Pago",$X1326="Recebido",$X1326="Cancelado"),0,MAX(0,TODAY()-$C1326))</f>
        <v/>
      </c>
      <c r="AK1326" s="24">
        <f>IF($D1326="","",$D1326-$B1326)</f>
        <v/>
      </c>
      <c r="AL1326" s="18">
        <f>IF(OR($D1326="",$B1326=""),"",ROUND(N($R1326)*($D1326-$B1326),2))</f>
        <v/>
      </c>
      <c r="AM1326" s="17">
        <f>IF(AND($E1326="Saída",$W1326&gt;0,$C1326&lt;&gt;""),$C1326+ROW()/1000000,"")</f>
        <v/>
      </c>
      <c r="AN1326" s="17">
        <f>IF(AND($E1326="Entrada",$W1326&gt;0,$C1326&lt;&gt;""),$C1326+ROW()/1000000,"")</f>
        <v/>
      </c>
      <c r="AO1326" s="9">
        <f>IF(COUNTA($B1326:$R1326)=0,"",IF(AND($I1326&lt;&gt;"",COUNTIF(CLIENTES_NOMES,$I1326)+COUNTIF(CLIENTES_FANTASIA,$I1326)+COUNTIF(FORNECEDORES_NOMES,$I1326)+COUNTIF(FORNECEDORES_FANTASIA,$I1326)=0),"⚠ Cliente/Fornecedor não cadastrado",IF(AND($G1326&lt;&gt;"",COUNTIF(SUBCATEGORIAS_PLANO,$G1326)=0),"⚠ Subcategoria fora do plano de contas",IF(OR($Q1326="",N($Q1326)=0),"⚠ Valor previsto não informado",IF(AND(OR($X1326="Pago",$X1326="Recebido"),$D1326=""),"⚠ Status pago/recebido sem data",IF(AND($D1326&lt;&gt;"",N($R1326)=0),"⚠ Data de pagamento sem valor realizado",IF(AND(N($P1326)&gt;1,N($O1326)&gt;N($P1326)),"⚠ Nº da parcela maior que o total",IF(AND($C1326&lt;&gt;"",$B1326&lt;&gt;"",$C1326&lt;$B1326),"⚠ Vencimento anterior à competência","OK"))))))))</f>
        <v/>
      </c>
    </row>
    <row r="1327">
      <c r="A1327" s="14" t="n"/>
      <c r="B1327" s="36" t="n"/>
      <c r="C1327" s="36" t="n"/>
      <c r="D1327" s="36" t="n"/>
      <c r="E1327" s="14" t="n"/>
      <c r="F1327" s="29" t="n"/>
      <c r="G1327" s="29" t="n"/>
      <c r="H1327" s="29" t="n"/>
      <c r="I1327" s="29" t="n"/>
      <c r="J1327" s="29" t="n"/>
      <c r="K1327" s="14" t="n"/>
      <c r="L1327" s="29" t="n"/>
      <c r="M1327" s="14" t="n"/>
      <c r="N1327" s="29" t="n"/>
      <c r="O1327" s="13" t="n"/>
      <c r="P1327" s="13" t="n"/>
      <c r="Q1327" s="35" t="n"/>
      <c r="R1327" s="35" t="n"/>
      <c r="S1327" s="35" t="n"/>
      <c r="T1327" s="35" t="n"/>
      <c r="U1327" s="35" t="n"/>
      <c r="V1327" s="18">
        <f>IF(COUNTA($B1327:$R1327)=0,"",ROUND(N($R1327)+N($S1327)+N($T1327)-N($U1327),2))</f>
        <v/>
      </c>
      <c r="W1327" s="18">
        <f>IF(COUNTA($B1327:$R1327)=0,"",IF(OR($X1327="Pago",$X1327="Recebido",$X1327="Cancelado"),0,ROUND(N($Q1327)+N($S1327)+N($T1327)-N($U1327)-N($R1327),2)))</f>
        <v/>
      </c>
      <c r="X1327" s="14" t="n"/>
      <c r="Y1327" s="17">
        <f>IF(COUNTA($B1327:$R1327)=0,"",IF($X1327="Cancelado","Cancelado",IF(OR($X1327="Pago",$X1327="Recebido"),$X1327,IF(OR($X1327="Parcial",N($R1327)&gt;0),"Parcial",IF($C1327="","Sem vencimento",IF($C1327&lt;TODAY(),"Vencido",IF($C1327=TODAY(),"Vence hoje",IF($C1327&lt;=TODAY()+7,"Vence em 7 dias",IF($C1327&lt;=TODAY()+30,"Vence em 30 dias","Futuro")))))))))</f>
        <v/>
      </c>
      <c r="Z1327" s="24">
        <f>IF($B1327="","",MONTH($B1327))</f>
        <v/>
      </c>
      <c r="AA1327" s="24">
        <f>IF($B1327="","",YEAR($B1327))</f>
        <v/>
      </c>
      <c r="AB1327" s="24">
        <f>IF($B1327="","",ISOWEEKNUM($B1327))</f>
        <v/>
      </c>
      <c r="AC1327" s="17">
        <f>IF($B1327="","",CHOOSE(WEEKDAY($B1327,2),"Segunda","Terça","Quarta","Quinta","Sexta","Sábado","Domingo"))</f>
        <v/>
      </c>
      <c r="AD1327" s="17">
        <f>IF($B1327="","",TEXT($B1327,"MM/AAAA"))</f>
        <v/>
      </c>
      <c r="AE1327" s="18">
        <f>IF(COUNTA($B1327:$R1327)=0,"",IF($X1327="Cancelado",0,ROUND(N($Q1327)+N($S1327)+N($T1327)-N($U1327),2)))</f>
        <v/>
      </c>
      <c r="AF1327" s="9">
        <f>IF($G1327="","",IFERROR(INDEX(LINHAS_DRE_PLANO,MATCH($G1327,SUBCATEGORIAS_PLANO,0)),"Não classificado"))</f>
        <v/>
      </c>
      <c r="AG1327" s="17">
        <f>IF($G1327="","",IFERROR(INDEX(TIPOS_FLUXO_PLANO,MATCH($G1327,SUBCATEGORIAS_PLANO,0)),"Não classificado"))</f>
        <v/>
      </c>
      <c r="AH1327" s="9">
        <f>IF($G1327="","",IFERROR(INDEX(GRUPOS_PLANO,MATCH($G1327,SUBCATEGORIAS_PLANO,0)),"Não classificado"))</f>
        <v/>
      </c>
      <c r="AI1327" s="24">
        <f>IF(OR($C1327="",$X1327="Pago",$X1327="Recebido",$X1327="Cancelado"),"",$C1327-TODAY())</f>
        <v/>
      </c>
      <c r="AJ1327" s="24">
        <f>IF(OR($C1327="",$X1327="Pago",$X1327="Recebido",$X1327="Cancelado"),0,MAX(0,TODAY()-$C1327))</f>
        <v/>
      </c>
      <c r="AK1327" s="24">
        <f>IF($D1327="","",$D1327-$B1327)</f>
        <v/>
      </c>
      <c r="AL1327" s="18">
        <f>IF(OR($D1327="",$B1327=""),"",ROUND(N($R1327)*($D1327-$B1327),2))</f>
        <v/>
      </c>
      <c r="AM1327" s="17">
        <f>IF(AND($E1327="Saída",$W1327&gt;0,$C1327&lt;&gt;""),$C1327+ROW()/1000000,"")</f>
        <v/>
      </c>
      <c r="AN1327" s="17">
        <f>IF(AND($E1327="Entrada",$W1327&gt;0,$C1327&lt;&gt;""),$C1327+ROW()/1000000,"")</f>
        <v/>
      </c>
      <c r="AO1327" s="9">
        <f>IF(COUNTA($B1327:$R1327)=0,"",IF(AND($I1327&lt;&gt;"",COUNTIF(CLIENTES_NOMES,$I1327)+COUNTIF(CLIENTES_FANTASIA,$I1327)+COUNTIF(FORNECEDORES_NOMES,$I1327)+COUNTIF(FORNECEDORES_FANTASIA,$I1327)=0),"⚠ Cliente/Fornecedor não cadastrado",IF(AND($G1327&lt;&gt;"",COUNTIF(SUBCATEGORIAS_PLANO,$G1327)=0),"⚠ Subcategoria fora do plano de contas",IF(OR($Q1327="",N($Q1327)=0),"⚠ Valor previsto não informado",IF(AND(OR($X1327="Pago",$X1327="Recebido"),$D1327=""),"⚠ Status pago/recebido sem data",IF(AND($D1327&lt;&gt;"",N($R1327)=0),"⚠ Data de pagamento sem valor realizado",IF(AND(N($P1327)&gt;1,N($O1327)&gt;N($P1327)),"⚠ Nº da parcela maior que o total",IF(AND($C1327&lt;&gt;"",$B1327&lt;&gt;"",$C1327&lt;$B1327),"⚠ Vencimento anterior à competência","OK"))))))))</f>
        <v/>
      </c>
    </row>
    <row r="1328">
      <c r="A1328" s="14" t="n"/>
      <c r="B1328" s="36" t="n"/>
      <c r="C1328" s="36" t="n"/>
      <c r="D1328" s="36" t="n"/>
      <c r="E1328" s="14" t="n"/>
      <c r="F1328" s="29" t="n"/>
      <c r="G1328" s="29" t="n"/>
      <c r="H1328" s="29" t="n"/>
      <c r="I1328" s="29" t="n"/>
      <c r="J1328" s="29" t="n"/>
      <c r="K1328" s="14" t="n"/>
      <c r="L1328" s="29" t="n"/>
      <c r="M1328" s="14" t="n"/>
      <c r="N1328" s="29" t="n"/>
      <c r="O1328" s="13" t="n"/>
      <c r="P1328" s="13" t="n"/>
      <c r="Q1328" s="35" t="n"/>
      <c r="R1328" s="35" t="n"/>
      <c r="S1328" s="35" t="n"/>
      <c r="T1328" s="35" t="n"/>
      <c r="U1328" s="35" t="n"/>
      <c r="V1328" s="18">
        <f>IF(COUNTA($B1328:$R1328)=0,"",ROUND(N($R1328)+N($S1328)+N($T1328)-N($U1328),2))</f>
        <v/>
      </c>
      <c r="W1328" s="18">
        <f>IF(COUNTA($B1328:$R1328)=0,"",IF(OR($X1328="Pago",$X1328="Recebido",$X1328="Cancelado"),0,ROUND(N($Q1328)+N($S1328)+N($T1328)-N($U1328)-N($R1328),2)))</f>
        <v/>
      </c>
      <c r="X1328" s="14" t="n"/>
      <c r="Y1328" s="17">
        <f>IF(COUNTA($B1328:$R1328)=0,"",IF($X1328="Cancelado","Cancelado",IF(OR($X1328="Pago",$X1328="Recebido"),$X1328,IF(OR($X1328="Parcial",N($R1328)&gt;0),"Parcial",IF($C1328="","Sem vencimento",IF($C1328&lt;TODAY(),"Vencido",IF($C1328=TODAY(),"Vence hoje",IF($C1328&lt;=TODAY()+7,"Vence em 7 dias",IF($C1328&lt;=TODAY()+30,"Vence em 30 dias","Futuro")))))))))</f>
        <v/>
      </c>
      <c r="Z1328" s="24">
        <f>IF($B1328="","",MONTH($B1328))</f>
        <v/>
      </c>
      <c r="AA1328" s="24">
        <f>IF($B1328="","",YEAR($B1328))</f>
        <v/>
      </c>
      <c r="AB1328" s="24">
        <f>IF($B1328="","",ISOWEEKNUM($B1328))</f>
        <v/>
      </c>
      <c r="AC1328" s="17">
        <f>IF($B1328="","",CHOOSE(WEEKDAY($B1328,2),"Segunda","Terça","Quarta","Quinta","Sexta","Sábado","Domingo"))</f>
        <v/>
      </c>
      <c r="AD1328" s="17">
        <f>IF($B1328="","",TEXT($B1328,"MM/AAAA"))</f>
        <v/>
      </c>
      <c r="AE1328" s="18">
        <f>IF(COUNTA($B1328:$R1328)=0,"",IF($X1328="Cancelado",0,ROUND(N($Q1328)+N($S1328)+N($T1328)-N($U1328),2)))</f>
        <v/>
      </c>
      <c r="AF1328" s="9">
        <f>IF($G1328="","",IFERROR(INDEX(LINHAS_DRE_PLANO,MATCH($G1328,SUBCATEGORIAS_PLANO,0)),"Não classificado"))</f>
        <v/>
      </c>
      <c r="AG1328" s="17">
        <f>IF($G1328="","",IFERROR(INDEX(TIPOS_FLUXO_PLANO,MATCH($G1328,SUBCATEGORIAS_PLANO,0)),"Não classificado"))</f>
        <v/>
      </c>
      <c r="AH1328" s="9">
        <f>IF($G1328="","",IFERROR(INDEX(GRUPOS_PLANO,MATCH($G1328,SUBCATEGORIAS_PLANO,0)),"Não classificado"))</f>
        <v/>
      </c>
      <c r="AI1328" s="24">
        <f>IF(OR($C1328="",$X1328="Pago",$X1328="Recebido",$X1328="Cancelado"),"",$C1328-TODAY())</f>
        <v/>
      </c>
      <c r="AJ1328" s="24">
        <f>IF(OR($C1328="",$X1328="Pago",$X1328="Recebido",$X1328="Cancelado"),0,MAX(0,TODAY()-$C1328))</f>
        <v/>
      </c>
      <c r="AK1328" s="24">
        <f>IF($D1328="","",$D1328-$B1328)</f>
        <v/>
      </c>
      <c r="AL1328" s="18">
        <f>IF(OR($D1328="",$B1328=""),"",ROUND(N($R1328)*($D1328-$B1328),2))</f>
        <v/>
      </c>
      <c r="AM1328" s="17">
        <f>IF(AND($E1328="Saída",$W1328&gt;0,$C1328&lt;&gt;""),$C1328+ROW()/1000000,"")</f>
        <v/>
      </c>
      <c r="AN1328" s="17">
        <f>IF(AND($E1328="Entrada",$W1328&gt;0,$C1328&lt;&gt;""),$C1328+ROW()/1000000,"")</f>
        <v/>
      </c>
      <c r="AO1328" s="9">
        <f>IF(COUNTA($B1328:$R1328)=0,"",IF(AND($I1328&lt;&gt;"",COUNTIF(CLIENTES_NOMES,$I1328)+COUNTIF(CLIENTES_FANTASIA,$I1328)+COUNTIF(FORNECEDORES_NOMES,$I1328)+COUNTIF(FORNECEDORES_FANTASIA,$I1328)=0),"⚠ Cliente/Fornecedor não cadastrado",IF(AND($G1328&lt;&gt;"",COUNTIF(SUBCATEGORIAS_PLANO,$G1328)=0),"⚠ Subcategoria fora do plano de contas",IF(OR($Q1328="",N($Q1328)=0),"⚠ Valor previsto não informado",IF(AND(OR($X1328="Pago",$X1328="Recebido"),$D1328=""),"⚠ Status pago/recebido sem data",IF(AND($D1328&lt;&gt;"",N($R1328)=0),"⚠ Data de pagamento sem valor realizado",IF(AND(N($P1328)&gt;1,N($O1328)&gt;N($P1328)),"⚠ Nº da parcela maior que o total",IF(AND($C1328&lt;&gt;"",$B1328&lt;&gt;"",$C1328&lt;$B1328),"⚠ Vencimento anterior à competência","OK"))))))))</f>
        <v/>
      </c>
    </row>
    <row r="1329">
      <c r="A1329" s="14" t="n"/>
      <c r="B1329" s="36" t="n"/>
      <c r="C1329" s="36" t="n"/>
      <c r="D1329" s="36" t="n"/>
      <c r="E1329" s="14" t="n"/>
      <c r="F1329" s="29" t="n"/>
      <c r="G1329" s="29" t="n"/>
      <c r="H1329" s="29" t="n"/>
      <c r="I1329" s="29" t="n"/>
      <c r="J1329" s="29" t="n"/>
      <c r="K1329" s="14" t="n"/>
      <c r="L1329" s="29" t="n"/>
      <c r="M1329" s="14" t="n"/>
      <c r="N1329" s="29" t="n"/>
      <c r="O1329" s="13" t="n"/>
      <c r="P1329" s="13" t="n"/>
      <c r="Q1329" s="35" t="n"/>
      <c r="R1329" s="35" t="n"/>
      <c r="S1329" s="35" t="n"/>
      <c r="T1329" s="35" t="n"/>
      <c r="U1329" s="35" t="n"/>
      <c r="V1329" s="18">
        <f>IF(COUNTA($B1329:$R1329)=0,"",ROUND(N($R1329)+N($S1329)+N($T1329)-N($U1329),2))</f>
        <v/>
      </c>
      <c r="W1329" s="18">
        <f>IF(COUNTA($B1329:$R1329)=0,"",IF(OR($X1329="Pago",$X1329="Recebido",$X1329="Cancelado"),0,ROUND(N($Q1329)+N($S1329)+N($T1329)-N($U1329)-N($R1329),2)))</f>
        <v/>
      </c>
      <c r="X1329" s="14" t="n"/>
      <c r="Y1329" s="17">
        <f>IF(COUNTA($B1329:$R1329)=0,"",IF($X1329="Cancelado","Cancelado",IF(OR($X1329="Pago",$X1329="Recebido"),$X1329,IF(OR($X1329="Parcial",N($R1329)&gt;0),"Parcial",IF($C1329="","Sem vencimento",IF($C1329&lt;TODAY(),"Vencido",IF($C1329=TODAY(),"Vence hoje",IF($C1329&lt;=TODAY()+7,"Vence em 7 dias",IF($C1329&lt;=TODAY()+30,"Vence em 30 dias","Futuro")))))))))</f>
        <v/>
      </c>
      <c r="Z1329" s="24">
        <f>IF($B1329="","",MONTH($B1329))</f>
        <v/>
      </c>
      <c r="AA1329" s="24">
        <f>IF($B1329="","",YEAR($B1329))</f>
        <v/>
      </c>
      <c r="AB1329" s="24">
        <f>IF($B1329="","",ISOWEEKNUM($B1329))</f>
        <v/>
      </c>
      <c r="AC1329" s="17">
        <f>IF($B1329="","",CHOOSE(WEEKDAY($B1329,2),"Segunda","Terça","Quarta","Quinta","Sexta","Sábado","Domingo"))</f>
        <v/>
      </c>
      <c r="AD1329" s="17">
        <f>IF($B1329="","",TEXT($B1329,"MM/AAAA"))</f>
        <v/>
      </c>
      <c r="AE1329" s="18">
        <f>IF(COUNTA($B1329:$R1329)=0,"",IF($X1329="Cancelado",0,ROUND(N($Q1329)+N($S1329)+N($T1329)-N($U1329),2)))</f>
        <v/>
      </c>
      <c r="AF1329" s="9">
        <f>IF($G1329="","",IFERROR(INDEX(LINHAS_DRE_PLANO,MATCH($G1329,SUBCATEGORIAS_PLANO,0)),"Não classificado"))</f>
        <v/>
      </c>
      <c r="AG1329" s="17">
        <f>IF($G1329="","",IFERROR(INDEX(TIPOS_FLUXO_PLANO,MATCH($G1329,SUBCATEGORIAS_PLANO,0)),"Não classificado"))</f>
        <v/>
      </c>
      <c r="AH1329" s="9">
        <f>IF($G1329="","",IFERROR(INDEX(GRUPOS_PLANO,MATCH($G1329,SUBCATEGORIAS_PLANO,0)),"Não classificado"))</f>
        <v/>
      </c>
      <c r="AI1329" s="24">
        <f>IF(OR($C1329="",$X1329="Pago",$X1329="Recebido",$X1329="Cancelado"),"",$C1329-TODAY())</f>
        <v/>
      </c>
      <c r="AJ1329" s="24">
        <f>IF(OR($C1329="",$X1329="Pago",$X1329="Recebido",$X1329="Cancelado"),0,MAX(0,TODAY()-$C1329))</f>
        <v/>
      </c>
      <c r="AK1329" s="24">
        <f>IF($D1329="","",$D1329-$B1329)</f>
        <v/>
      </c>
      <c r="AL1329" s="18">
        <f>IF(OR($D1329="",$B1329=""),"",ROUND(N($R1329)*($D1329-$B1329),2))</f>
        <v/>
      </c>
      <c r="AM1329" s="17">
        <f>IF(AND($E1329="Saída",$W1329&gt;0,$C1329&lt;&gt;""),$C1329+ROW()/1000000,"")</f>
        <v/>
      </c>
      <c r="AN1329" s="17">
        <f>IF(AND($E1329="Entrada",$W1329&gt;0,$C1329&lt;&gt;""),$C1329+ROW()/1000000,"")</f>
        <v/>
      </c>
      <c r="AO1329" s="9">
        <f>IF(COUNTA($B1329:$R1329)=0,"",IF(AND($I1329&lt;&gt;"",COUNTIF(CLIENTES_NOMES,$I1329)+COUNTIF(CLIENTES_FANTASIA,$I1329)+COUNTIF(FORNECEDORES_NOMES,$I1329)+COUNTIF(FORNECEDORES_FANTASIA,$I1329)=0),"⚠ Cliente/Fornecedor não cadastrado",IF(AND($G1329&lt;&gt;"",COUNTIF(SUBCATEGORIAS_PLANO,$G1329)=0),"⚠ Subcategoria fora do plano de contas",IF(OR($Q1329="",N($Q1329)=0),"⚠ Valor previsto não informado",IF(AND(OR($X1329="Pago",$X1329="Recebido"),$D1329=""),"⚠ Status pago/recebido sem data",IF(AND($D1329&lt;&gt;"",N($R1329)=0),"⚠ Data de pagamento sem valor realizado",IF(AND(N($P1329)&gt;1,N($O1329)&gt;N($P1329)),"⚠ Nº da parcela maior que o total",IF(AND($C1329&lt;&gt;"",$B1329&lt;&gt;"",$C1329&lt;$B1329),"⚠ Vencimento anterior à competência","OK"))))))))</f>
        <v/>
      </c>
    </row>
    <row r="1330">
      <c r="A1330" s="14" t="n"/>
      <c r="B1330" s="36" t="n"/>
      <c r="C1330" s="36" t="n"/>
      <c r="D1330" s="36" t="n"/>
      <c r="E1330" s="14" t="n"/>
      <c r="F1330" s="29" t="n"/>
      <c r="G1330" s="29" t="n"/>
      <c r="H1330" s="29" t="n"/>
      <c r="I1330" s="29" t="n"/>
      <c r="J1330" s="29" t="n"/>
      <c r="K1330" s="14" t="n"/>
      <c r="L1330" s="29" t="n"/>
      <c r="M1330" s="14" t="n"/>
      <c r="N1330" s="29" t="n"/>
      <c r="O1330" s="13" t="n"/>
      <c r="P1330" s="13" t="n"/>
      <c r="Q1330" s="35" t="n"/>
      <c r="R1330" s="35" t="n"/>
      <c r="S1330" s="35" t="n"/>
      <c r="T1330" s="35" t="n"/>
      <c r="U1330" s="35" t="n"/>
      <c r="V1330" s="18">
        <f>IF(COUNTA($B1330:$R1330)=0,"",ROUND(N($R1330)+N($S1330)+N($T1330)-N($U1330),2))</f>
        <v/>
      </c>
      <c r="W1330" s="18">
        <f>IF(COUNTA($B1330:$R1330)=0,"",IF(OR($X1330="Pago",$X1330="Recebido",$X1330="Cancelado"),0,ROUND(N($Q1330)+N($S1330)+N($T1330)-N($U1330)-N($R1330),2)))</f>
        <v/>
      </c>
      <c r="X1330" s="14" t="n"/>
      <c r="Y1330" s="17">
        <f>IF(COUNTA($B1330:$R1330)=0,"",IF($X1330="Cancelado","Cancelado",IF(OR($X1330="Pago",$X1330="Recebido"),$X1330,IF(OR($X1330="Parcial",N($R1330)&gt;0),"Parcial",IF($C1330="","Sem vencimento",IF($C1330&lt;TODAY(),"Vencido",IF($C1330=TODAY(),"Vence hoje",IF($C1330&lt;=TODAY()+7,"Vence em 7 dias",IF($C1330&lt;=TODAY()+30,"Vence em 30 dias","Futuro")))))))))</f>
        <v/>
      </c>
      <c r="Z1330" s="24">
        <f>IF($B1330="","",MONTH($B1330))</f>
        <v/>
      </c>
      <c r="AA1330" s="24">
        <f>IF($B1330="","",YEAR($B1330))</f>
        <v/>
      </c>
      <c r="AB1330" s="24">
        <f>IF($B1330="","",ISOWEEKNUM($B1330))</f>
        <v/>
      </c>
      <c r="AC1330" s="17">
        <f>IF($B1330="","",CHOOSE(WEEKDAY($B1330,2),"Segunda","Terça","Quarta","Quinta","Sexta","Sábado","Domingo"))</f>
        <v/>
      </c>
      <c r="AD1330" s="17">
        <f>IF($B1330="","",TEXT($B1330,"MM/AAAA"))</f>
        <v/>
      </c>
      <c r="AE1330" s="18">
        <f>IF(COUNTA($B1330:$R1330)=0,"",IF($X1330="Cancelado",0,ROUND(N($Q1330)+N($S1330)+N($T1330)-N($U1330),2)))</f>
        <v/>
      </c>
      <c r="AF1330" s="9">
        <f>IF($G1330="","",IFERROR(INDEX(LINHAS_DRE_PLANO,MATCH($G1330,SUBCATEGORIAS_PLANO,0)),"Não classificado"))</f>
        <v/>
      </c>
      <c r="AG1330" s="17">
        <f>IF($G1330="","",IFERROR(INDEX(TIPOS_FLUXO_PLANO,MATCH($G1330,SUBCATEGORIAS_PLANO,0)),"Não classificado"))</f>
        <v/>
      </c>
      <c r="AH1330" s="9">
        <f>IF($G1330="","",IFERROR(INDEX(GRUPOS_PLANO,MATCH($G1330,SUBCATEGORIAS_PLANO,0)),"Não classificado"))</f>
        <v/>
      </c>
      <c r="AI1330" s="24">
        <f>IF(OR($C1330="",$X1330="Pago",$X1330="Recebido",$X1330="Cancelado"),"",$C1330-TODAY())</f>
        <v/>
      </c>
      <c r="AJ1330" s="24">
        <f>IF(OR($C1330="",$X1330="Pago",$X1330="Recebido",$X1330="Cancelado"),0,MAX(0,TODAY()-$C1330))</f>
        <v/>
      </c>
      <c r="AK1330" s="24">
        <f>IF($D1330="","",$D1330-$B1330)</f>
        <v/>
      </c>
      <c r="AL1330" s="18">
        <f>IF(OR($D1330="",$B1330=""),"",ROUND(N($R1330)*($D1330-$B1330),2))</f>
        <v/>
      </c>
      <c r="AM1330" s="17">
        <f>IF(AND($E1330="Saída",$W1330&gt;0,$C1330&lt;&gt;""),$C1330+ROW()/1000000,"")</f>
        <v/>
      </c>
      <c r="AN1330" s="17">
        <f>IF(AND($E1330="Entrada",$W1330&gt;0,$C1330&lt;&gt;""),$C1330+ROW()/1000000,"")</f>
        <v/>
      </c>
      <c r="AO1330" s="9">
        <f>IF(COUNTA($B1330:$R1330)=0,"",IF(AND($I1330&lt;&gt;"",COUNTIF(CLIENTES_NOMES,$I1330)+COUNTIF(CLIENTES_FANTASIA,$I1330)+COUNTIF(FORNECEDORES_NOMES,$I1330)+COUNTIF(FORNECEDORES_FANTASIA,$I1330)=0),"⚠ Cliente/Fornecedor não cadastrado",IF(AND($G1330&lt;&gt;"",COUNTIF(SUBCATEGORIAS_PLANO,$G1330)=0),"⚠ Subcategoria fora do plano de contas",IF(OR($Q1330="",N($Q1330)=0),"⚠ Valor previsto não informado",IF(AND(OR($X1330="Pago",$X1330="Recebido"),$D1330=""),"⚠ Status pago/recebido sem data",IF(AND($D1330&lt;&gt;"",N($R1330)=0),"⚠ Data de pagamento sem valor realizado",IF(AND(N($P1330)&gt;1,N($O1330)&gt;N($P1330)),"⚠ Nº da parcela maior que o total",IF(AND($C1330&lt;&gt;"",$B1330&lt;&gt;"",$C1330&lt;$B1330),"⚠ Vencimento anterior à competência","OK"))))))))</f>
        <v/>
      </c>
    </row>
    <row r="1331">
      <c r="A1331" s="14" t="n"/>
      <c r="B1331" s="36" t="n"/>
      <c r="C1331" s="36" t="n"/>
      <c r="D1331" s="36" t="n"/>
      <c r="E1331" s="14" t="n"/>
      <c r="F1331" s="29" t="n"/>
      <c r="G1331" s="29" t="n"/>
      <c r="H1331" s="29" t="n"/>
      <c r="I1331" s="29" t="n"/>
      <c r="J1331" s="29" t="n"/>
      <c r="K1331" s="14" t="n"/>
      <c r="L1331" s="29" t="n"/>
      <c r="M1331" s="14" t="n"/>
      <c r="N1331" s="29" t="n"/>
      <c r="O1331" s="13" t="n"/>
      <c r="P1331" s="13" t="n"/>
      <c r="Q1331" s="35" t="n"/>
      <c r="R1331" s="35" t="n"/>
      <c r="S1331" s="35" t="n"/>
      <c r="T1331" s="35" t="n"/>
      <c r="U1331" s="35" t="n"/>
      <c r="V1331" s="18">
        <f>IF(COUNTA($B1331:$R1331)=0,"",ROUND(N($R1331)+N($S1331)+N($T1331)-N($U1331),2))</f>
        <v/>
      </c>
      <c r="W1331" s="18">
        <f>IF(COUNTA($B1331:$R1331)=0,"",IF(OR($X1331="Pago",$X1331="Recebido",$X1331="Cancelado"),0,ROUND(N($Q1331)+N($S1331)+N($T1331)-N($U1331)-N($R1331),2)))</f>
        <v/>
      </c>
      <c r="X1331" s="14" t="n"/>
      <c r="Y1331" s="17">
        <f>IF(COUNTA($B1331:$R1331)=0,"",IF($X1331="Cancelado","Cancelado",IF(OR($X1331="Pago",$X1331="Recebido"),$X1331,IF(OR($X1331="Parcial",N($R1331)&gt;0),"Parcial",IF($C1331="","Sem vencimento",IF($C1331&lt;TODAY(),"Vencido",IF($C1331=TODAY(),"Vence hoje",IF($C1331&lt;=TODAY()+7,"Vence em 7 dias",IF($C1331&lt;=TODAY()+30,"Vence em 30 dias","Futuro")))))))))</f>
        <v/>
      </c>
      <c r="Z1331" s="24">
        <f>IF($B1331="","",MONTH($B1331))</f>
        <v/>
      </c>
      <c r="AA1331" s="24">
        <f>IF($B1331="","",YEAR($B1331))</f>
        <v/>
      </c>
      <c r="AB1331" s="24">
        <f>IF($B1331="","",ISOWEEKNUM($B1331))</f>
        <v/>
      </c>
      <c r="AC1331" s="17">
        <f>IF($B1331="","",CHOOSE(WEEKDAY($B1331,2),"Segunda","Terça","Quarta","Quinta","Sexta","Sábado","Domingo"))</f>
        <v/>
      </c>
      <c r="AD1331" s="17">
        <f>IF($B1331="","",TEXT($B1331,"MM/AAAA"))</f>
        <v/>
      </c>
      <c r="AE1331" s="18">
        <f>IF(COUNTA($B1331:$R1331)=0,"",IF($X1331="Cancelado",0,ROUND(N($Q1331)+N($S1331)+N($T1331)-N($U1331),2)))</f>
        <v/>
      </c>
      <c r="AF1331" s="9">
        <f>IF($G1331="","",IFERROR(INDEX(LINHAS_DRE_PLANO,MATCH($G1331,SUBCATEGORIAS_PLANO,0)),"Não classificado"))</f>
        <v/>
      </c>
      <c r="AG1331" s="17">
        <f>IF($G1331="","",IFERROR(INDEX(TIPOS_FLUXO_PLANO,MATCH($G1331,SUBCATEGORIAS_PLANO,0)),"Não classificado"))</f>
        <v/>
      </c>
      <c r="AH1331" s="9">
        <f>IF($G1331="","",IFERROR(INDEX(GRUPOS_PLANO,MATCH($G1331,SUBCATEGORIAS_PLANO,0)),"Não classificado"))</f>
        <v/>
      </c>
      <c r="AI1331" s="24">
        <f>IF(OR($C1331="",$X1331="Pago",$X1331="Recebido",$X1331="Cancelado"),"",$C1331-TODAY())</f>
        <v/>
      </c>
      <c r="AJ1331" s="24">
        <f>IF(OR($C1331="",$X1331="Pago",$X1331="Recebido",$X1331="Cancelado"),0,MAX(0,TODAY()-$C1331))</f>
        <v/>
      </c>
      <c r="AK1331" s="24">
        <f>IF($D1331="","",$D1331-$B1331)</f>
        <v/>
      </c>
      <c r="AL1331" s="18">
        <f>IF(OR($D1331="",$B1331=""),"",ROUND(N($R1331)*($D1331-$B1331),2))</f>
        <v/>
      </c>
      <c r="AM1331" s="17">
        <f>IF(AND($E1331="Saída",$W1331&gt;0,$C1331&lt;&gt;""),$C1331+ROW()/1000000,"")</f>
        <v/>
      </c>
      <c r="AN1331" s="17">
        <f>IF(AND($E1331="Entrada",$W1331&gt;0,$C1331&lt;&gt;""),$C1331+ROW()/1000000,"")</f>
        <v/>
      </c>
      <c r="AO1331" s="9">
        <f>IF(COUNTA($B1331:$R1331)=0,"",IF(AND($I1331&lt;&gt;"",COUNTIF(CLIENTES_NOMES,$I1331)+COUNTIF(CLIENTES_FANTASIA,$I1331)+COUNTIF(FORNECEDORES_NOMES,$I1331)+COUNTIF(FORNECEDORES_FANTASIA,$I1331)=0),"⚠ Cliente/Fornecedor não cadastrado",IF(AND($G1331&lt;&gt;"",COUNTIF(SUBCATEGORIAS_PLANO,$G1331)=0),"⚠ Subcategoria fora do plano de contas",IF(OR($Q1331="",N($Q1331)=0),"⚠ Valor previsto não informado",IF(AND(OR($X1331="Pago",$X1331="Recebido"),$D1331=""),"⚠ Status pago/recebido sem data",IF(AND($D1331&lt;&gt;"",N($R1331)=0),"⚠ Data de pagamento sem valor realizado",IF(AND(N($P1331)&gt;1,N($O1331)&gt;N($P1331)),"⚠ Nº da parcela maior que o total",IF(AND($C1331&lt;&gt;"",$B1331&lt;&gt;"",$C1331&lt;$B1331),"⚠ Vencimento anterior à competência","OK"))))))))</f>
        <v/>
      </c>
    </row>
    <row r="1332">
      <c r="A1332" s="14" t="n"/>
      <c r="B1332" s="36" t="n"/>
      <c r="C1332" s="36" t="n"/>
      <c r="D1332" s="36" t="n"/>
      <c r="E1332" s="14" t="n"/>
      <c r="F1332" s="29" t="n"/>
      <c r="G1332" s="29" t="n"/>
      <c r="H1332" s="29" t="n"/>
      <c r="I1332" s="29" t="n"/>
      <c r="J1332" s="29" t="n"/>
      <c r="K1332" s="14" t="n"/>
      <c r="L1332" s="29" t="n"/>
      <c r="M1332" s="14" t="n"/>
      <c r="N1332" s="29" t="n"/>
      <c r="O1332" s="13" t="n"/>
      <c r="P1332" s="13" t="n"/>
      <c r="Q1332" s="35" t="n"/>
      <c r="R1332" s="35" t="n"/>
      <c r="S1332" s="35" t="n"/>
      <c r="T1332" s="35" t="n"/>
      <c r="U1332" s="35" t="n"/>
      <c r="V1332" s="18">
        <f>IF(COUNTA($B1332:$R1332)=0,"",ROUND(N($R1332)+N($S1332)+N($T1332)-N($U1332),2))</f>
        <v/>
      </c>
      <c r="W1332" s="18">
        <f>IF(COUNTA($B1332:$R1332)=0,"",IF(OR($X1332="Pago",$X1332="Recebido",$X1332="Cancelado"),0,ROUND(N($Q1332)+N($S1332)+N($T1332)-N($U1332)-N($R1332),2)))</f>
        <v/>
      </c>
      <c r="X1332" s="14" t="n"/>
      <c r="Y1332" s="17">
        <f>IF(COUNTA($B1332:$R1332)=0,"",IF($X1332="Cancelado","Cancelado",IF(OR($X1332="Pago",$X1332="Recebido"),$X1332,IF(OR($X1332="Parcial",N($R1332)&gt;0),"Parcial",IF($C1332="","Sem vencimento",IF($C1332&lt;TODAY(),"Vencido",IF($C1332=TODAY(),"Vence hoje",IF($C1332&lt;=TODAY()+7,"Vence em 7 dias",IF($C1332&lt;=TODAY()+30,"Vence em 30 dias","Futuro")))))))))</f>
        <v/>
      </c>
      <c r="Z1332" s="24">
        <f>IF($B1332="","",MONTH($B1332))</f>
        <v/>
      </c>
      <c r="AA1332" s="24">
        <f>IF($B1332="","",YEAR($B1332))</f>
        <v/>
      </c>
      <c r="AB1332" s="24">
        <f>IF($B1332="","",ISOWEEKNUM($B1332))</f>
        <v/>
      </c>
      <c r="AC1332" s="17">
        <f>IF($B1332="","",CHOOSE(WEEKDAY($B1332,2),"Segunda","Terça","Quarta","Quinta","Sexta","Sábado","Domingo"))</f>
        <v/>
      </c>
      <c r="AD1332" s="17">
        <f>IF($B1332="","",TEXT($B1332,"MM/AAAA"))</f>
        <v/>
      </c>
      <c r="AE1332" s="18">
        <f>IF(COUNTA($B1332:$R1332)=0,"",IF($X1332="Cancelado",0,ROUND(N($Q1332)+N($S1332)+N($T1332)-N($U1332),2)))</f>
        <v/>
      </c>
      <c r="AF1332" s="9">
        <f>IF($G1332="","",IFERROR(INDEX(LINHAS_DRE_PLANO,MATCH($G1332,SUBCATEGORIAS_PLANO,0)),"Não classificado"))</f>
        <v/>
      </c>
      <c r="AG1332" s="17">
        <f>IF($G1332="","",IFERROR(INDEX(TIPOS_FLUXO_PLANO,MATCH($G1332,SUBCATEGORIAS_PLANO,0)),"Não classificado"))</f>
        <v/>
      </c>
      <c r="AH1332" s="9">
        <f>IF($G1332="","",IFERROR(INDEX(GRUPOS_PLANO,MATCH($G1332,SUBCATEGORIAS_PLANO,0)),"Não classificado"))</f>
        <v/>
      </c>
      <c r="AI1332" s="24">
        <f>IF(OR($C1332="",$X1332="Pago",$X1332="Recebido",$X1332="Cancelado"),"",$C1332-TODAY())</f>
        <v/>
      </c>
      <c r="AJ1332" s="24">
        <f>IF(OR($C1332="",$X1332="Pago",$X1332="Recebido",$X1332="Cancelado"),0,MAX(0,TODAY()-$C1332))</f>
        <v/>
      </c>
      <c r="AK1332" s="24">
        <f>IF($D1332="","",$D1332-$B1332)</f>
        <v/>
      </c>
      <c r="AL1332" s="18">
        <f>IF(OR($D1332="",$B1332=""),"",ROUND(N($R1332)*($D1332-$B1332),2))</f>
        <v/>
      </c>
      <c r="AM1332" s="17">
        <f>IF(AND($E1332="Saída",$W1332&gt;0,$C1332&lt;&gt;""),$C1332+ROW()/1000000,"")</f>
        <v/>
      </c>
      <c r="AN1332" s="17">
        <f>IF(AND($E1332="Entrada",$W1332&gt;0,$C1332&lt;&gt;""),$C1332+ROW()/1000000,"")</f>
        <v/>
      </c>
      <c r="AO1332" s="9">
        <f>IF(COUNTA($B1332:$R1332)=0,"",IF(AND($I1332&lt;&gt;"",COUNTIF(CLIENTES_NOMES,$I1332)+COUNTIF(CLIENTES_FANTASIA,$I1332)+COUNTIF(FORNECEDORES_NOMES,$I1332)+COUNTIF(FORNECEDORES_FANTASIA,$I1332)=0),"⚠ Cliente/Fornecedor não cadastrado",IF(AND($G1332&lt;&gt;"",COUNTIF(SUBCATEGORIAS_PLANO,$G1332)=0),"⚠ Subcategoria fora do plano de contas",IF(OR($Q1332="",N($Q1332)=0),"⚠ Valor previsto não informado",IF(AND(OR($X1332="Pago",$X1332="Recebido"),$D1332=""),"⚠ Status pago/recebido sem data",IF(AND($D1332&lt;&gt;"",N($R1332)=0),"⚠ Data de pagamento sem valor realizado",IF(AND(N($P1332)&gt;1,N($O1332)&gt;N($P1332)),"⚠ Nº da parcela maior que o total",IF(AND($C1332&lt;&gt;"",$B1332&lt;&gt;"",$C1332&lt;$B1332),"⚠ Vencimento anterior à competência","OK"))))))))</f>
        <v/>
      </c>
    </row>
    <row r="1333">
      <c r="A1333" s="14" t="n"/>
      <c r="B1333" s="36" t="n"/>
      <c r="C1333" s="36" t="n"/>
      <c r="D1333" s="36" t="n"/>
      <c r="E1333" s="14" t="n"/>
      <c r="F1333" s="29" t="n"/>
      <c r="G1333" s="29" t="n"/>
      <c r="H1333" s="29" t="n"/>
      <c r="I1333" s="29" t="n"/>
      <c r="J1333" s="29" t="n"/>
      <c r="K1333" s="14" t="n"/>
      <c r="L1333" s="29" t="n"/>
      <c r="M1333" s="14" t="n"/>
      <c r="N1333" s="29" t="n"/>
      <c r="O1333" s="13" t="n"/>
      <c r="P1333" s="13" t="n"/>
      <c r="Q1333" s="35" t="n"/>
      <c r="R1333" s="35" t="n"/>
      <c r="S1333" s="35" t="n"/>
      <c r="T1333" s="35" t="n"/>
      <c r="U1333" s="35" t="n"/>
      <c r="V1333" s="18">
        <f>IF(COUNTA($B1333:$R1333)=0,"",ROUND(N($R1333)+N($S1333)+N($T1333)-N($U1333),2))</f>
        <v/>
      </c>
      <c r="W1333" s="18">
        <f>IF(COUNTA($B1333:$R1333)=0,"",IF(OR($X1333="Pago",$X1333="Recebido",$X1333="Cancelado"),0,ROUND(N($Q1333)+N($S1333)+N($T1333)-N($U1333)-N($R1333),2)))</f>
        <v/>
      </c>
      <c r="X1333" s="14" t="n"/>
      <c r="Y1333" s="17">
        <f>IF(COUNTA($B1333:$R1333)=0,"",IF($X1333="Cancelado","Cancelado",IF(OR($X1333="Pago",$X1333="Recebido"),$X1333,IF(OR($X1333="Parcial",N($R1333)&gt;0),"Parcial",IF($C1333="","Sem vencimento",IF($C1333&lt;TODAY(),"Vencido",IF($C1333=TODAY(),"Vence hoje",IF($C1333&lt;=TODAY()+7,"Vence em 7 dias",IF($C1333&lt;=TODAY()+30,"Vence em 30 dias","Futuro")))))))))</f>
        <v/>
      </c>
      <c r="Z1333" s="24">
        <f>IF($B1333="","",MONTH($B1333))</f>
        <v/>
      </c>
      <c r="AA1333" s="24">
        <f>IF($B1333="","",YEAR($B1333))</f>
        <v/>
      </c>
      <c r="AB1333" s="24">
        <f>IF($B1333="","",ISOWEEKNUM($B1333))</f>
        <v/>
      </c>
      <c r="AC1333" s="17">
        <f>IF($B1333="","",CHOOSE(WEEKDAY($B1333,2),"Segunda","Terça","Quarta","Quinta","Sexta","Sábado","Domingo"))</f>
        <v/>
      </c>
      <c r="AD1333" s="17">
        <f>IF($B1333="","",TEXT($B1333,"MM/AAAA"))</f>
        <v/>
      </c>
      <c r="AE1333" s="18">
        <f>IF(COUNTA($B1333:$R1333)=0,"",IF($X1333="Cancelado",0,ROUND(N($Q1333)+N($S1333)+N($T1333)-N($U1333),2)))</f>
        <v/>
      </c>
      <c r="AF1333" s="9">
        <f>IF($G1333="","",IFERROR(INDEX(LINHAS_DRE_PLANO,MATCH($G1333,SUBCATEGORIAS_PLANO,0)),"Não classificado"))</f>
        <v/>
      </c>
      <c r="AG1333" s="17">
        <f>IF($G1333="","",IFERROR(INDEX(TIPOS_FLUXO_PLANO,MATCH($G1333,SUBCATEGORIAS_PLANO,0)),"Não classificado"))</f>
        <v/>
      </c>
      <c r="AH1333" s="9">
        <f>IF($G1333="","",IFERROR(INDEX(GRUPOS_PLANO,MATCH($G1333,SUBCATEGORIAS_PLANO,0)),"Não classificado"))</f>
        <v/>
      </c>
      <c r="AI1333" s="24">
        <f>IF(OR($C1333="",$X1333="Pago",$X1333="Recebido",$X1333="Cancelado"),"",$C1333-TODAY())</f>
        <v/>
      </c>
      <c r="AJ1333" s="24">
        <f>IF(OR($C1333="",$X1333="Pago",$X1333="Recebido",$X1333="Cancelado"),0,MAX(0,TODAY()-$C1333))</f>
        <v/>
      </c>
      <c r="AK1333" s="24">
        <f>IF($D1333="","",$D1333-$B1333)</f>
        <v/>
      </c>
      <c r="AL1333" s="18">
        <f>IF(OR($D1333="",$B1333=""),"",ROUND(N($R1333)*($D1333-$B1333),2))</f>
        <v/>
      </c>
      <c r="AM1333" s="17">
        <f>IF(AND($E1333="Saída",$W1333&gt;0,$C1333&lt;&gt;""),$C1333+ROW()/1000000,"")</f>
        <v/>
      </c>
      <c r="AN1333" s="17">
        <f>IF(AND($E1333="Entrada",$W1333&gt;0,$C1333&lt;&gt;""),$C1333+ROW()/1000000,"")</f>
        <v/>
      </c>
      <c r="AO1333" s="9">
        <f>IF(COUNTA($B1333:$R1333)=0,"",IF(AND($I1333&lt;&gt;"",COUNTIF(CLIENTES_NOMES,$I1333)+COUNTIF(CLIENTES_FANTASIA,$I1333)+COUNTIF(FORNECEDORES_NOMES,$I1333)+COUNTIF(FORNECEDORES_FANTASIA,$I1333)=0),"⚠ Cliente/Fornecedor não cadastrado",IF(AND($G1333&lt;&gt;"",COUNTIF(SUBCATEGORIAS_PLANO,$G1333)=0),"⚠ Subcategoria fora do plano de contas",IF(OR($Q1333="",N($Q1333)=0),"⚠ Valor previsto não informado",IF(AND(OR($X1333="Pago",$X1333="Recebido"),$D1333=""),"⚠ Status pago/recebido sem data",IF(AND($D1333&lt;&gt;"",N($R1333)=0),"⚠ Data de pagamento sem valor realizado",IF(AND(N($P1333)&gt;1,N($O1333)&gt;N($P1333)),"⚠ Nº da parcela maior que o total",IF(AND($C1333&lt;&gt;"",$B1333&lt;&gt;"",$C1333&lt;$B1333),"⚠ Vencimento anterior à competência","OK"))))))))</f>
        <v/>
      </c>
    </row>
    <row r="1334">
      <c r="A1334" s="14" t="n"/>
      <c r="B1334" s="36" t="n"/>
      <c r="C1334" s="36" t="n"/>
      <c r="D1334" s="36" t="n"/>
      <c r="E1334" s="14" t="n"/>
      <c r="F1334" s="29" t="n"/>
      <c r="G1334" s="29" t="n"/>
      <c r="H1334" s="29" t="n"/>
      <c r="I1334" s="29" t="n"/>
      <c r="J1334" s="29" t="n"/>
      <c r="K1334" s="14" t="n"/>
      <c r="L1334" s="29" t="n"/>
      <c r="M1334" s="14" t="n"/>
      <c r="N1334" s="29" t="n"/>
      <c r="O1334" s="13" t="n"/>
      <c r="P1334" s="13" t="n"/>
      <c r="Q1334" s="35" t="n"/>
      <c r="R1334" s="35" t="n"/>
      <c r="S1334" s="35" t="n"/>
      <c r="T1334" s="35" t="n"/>
      <c r="U1334" s="35" t="n"/>
      <c r="V1334" s="18">
        <f>IF(COUNTA($B1334:$R1334)=0,"",ROUND(N($R1334)+N($S1334)+N($T1334)-N($U1334),2))</f>
        <v/>
      </c>
      <c r="W1334" s="18">
        <f>IF(COUNTA($B1334:$R1334)=0,"",IF(OR($X1334="Pago",$X1334="Recebido",$X1334="Cancelado"),0,ROUND(N($Q1334)+N($S1334)+N($T1334)-N($U1334)-N($R1334),2)))</f>
        <v/>
      </c>
      <c r="X1334" s="14" t="n"/>
      <c r="Y1334" s="17">
        <f>IF(COUNTA($B1334:$R1334)=0,"",IF($X1334="Cancelado","Cancelado",IF(OR($X1334="Pago",$X1334="Recebido"),$X1334,IF(OR($X1334="Parcial",N($R1334)&gt;0),"Parcial",IF($C1334="","Sem vencimento",IF($C1334&lt;TODAY(),"Vencido",IF($C1334=TODAY(),"Vence hoje",IF($C1334&lt;=TODAY()+7,"Vence em 7 dias",IF($C1334&lt;=TODAY()+30,"Vence em 30 dias","Futuro")))))))))</f>
        <v/>
      </c>
      <c r="Z1334" s="24">
        <f>IF($B1334="","",MONTH($B1334))</f>
        <v/>
      </c>
      <c r="AA1334" s="24">
        <f>IF($B1334="","",YEAR($B1334))</f>
        <v/>
      </c>
      <c r="AB1334" s="24">
        <f>IF($B1334="","",ISOWEEKNUM($B1334))</f>
        <v/>
      </c>
      <c r="AC1334" s="17">
        <f>IF($B1334="","",CHOOSE(WEEKDAY($B1334,2),"Segunda","Terça","Quarta","Quinta","Sexta","Sábado","Domingo"))</f>
        <v/>
      </c>
      <c r="AD1334" s="17">
        <f>IF($B1334="","",TEXT($B1334,"MM/AAAA"))</f>
        <v/>
      </c>
      <c r="AE1334" s="18">
        <f>IF(COUNTA($B1334:$R1334)=0,"",IF($X1334="Cancelado",0,ROUND(N($Q1334)+N($S1334)+N($T1334)-N($U1334),2)))</f>
        <v/>
      </c>
      <c r="AF1334" s="9">
        <f>IF($G1334="","",IFERROR(INDEX(LINHAS_DRE_PLANO,MATCH($G1334,SUBCATEGORIAS_PLANO,0)),"Não classificado"))</f>
        <v/>
      </c>
      <c r="AG1334" s="17">
        <f>IF($G1334="","",IFERROR(INDEX(TIPOS_FLUXO_PLANO,MATCH($G1334,SUBCATEGORIAS_PLANO,0)),"Não classificado"))</f>
        <v/>
      </c>
      <c r="AH1334" s="9">
        <f>IF($G1334="","",IFERROR(INDEX(GRUPOS_PLANO,MATCH($G1334,SUBCATEGORIAS_PLANO,0)),"Não classificado"))</f>
        <v/>
      </c>
      <c r="AI1334" s="24">
        <f>IF(OR($C1334="",$X1334="Pago",$X1334="Recebido",$X1334="Cancelado"),"",$C1334-TODAY())</f>
        <v/>
      </c>
      <c r="AJ1334" s="24">
        <f>IF(OR($C1334="",$X1334="Pago",$X1334="Recebido",$X1334="Cancelado"),0,MAX(0,TODAY()-$C1334))</f>
        <v/>
      </c>
      <c r="AK1334" s="24">
        <f>IF($D1334="","",$D1334-$B1334)</f>
        <v/>
      </c>
      <c r="AL1334" s="18">
        <f>IF(OR($D1334="",$B1334=""),"",ROUND(N($R1334)*($D1334-$B1334),2))</f>
        <v/>
      </c>
      <c r="AM1334" s="17">
        <f>IF(AND($E1334="Saída",$W1334&gt;0,$C1334&lt;&gt;""),$C1334+ROW()/1000000,"")</f>
        <v/>
      </c>
      <c r="AN1334" s="17">
        <f>IF(AND($E1334="Entrada",$W1334&gt;0,$C1334&lt;&gt;""),$C1334+ROW()/1000000,"")</f>
        <v/>
      </c>
      <c r="AO1334" s="9">
        <f>IF(COUNTA($B1334:$R1334)=0,"",IF(AND($I1334&lt;&gt;"",COUNTIF(CLIENTES_NOMES,$I1334)+COUNTIF(CLIENTES_FANTASIA,$I1334)+COUNTIF(FORNECEDORES_NOMES,$I1334)+COUNTIF(FORNECEDORES_FANTASIA,$I1334)=0),"⚠ Cliente/Fornecedor não cadastrado",IF(AND($G1334&lt;&gt;"",COUNTIF(SUBCATEGORIAS_PLANO,$G1334)=0),"⚠ Subcategoria fora do plano de contas",IF(OR($Q1334="",N($Q1334)=0),"⚠ Valor previsto não informado",IF(AND(OR($X1334="Pago",$X1334="Recebido"),$D1334=""),"⚠ Status pago/recebido sem data",IF(AND($D1334&lt;&gt;"",N($R1334)=0),"⚠ Data de pagamento sem valor realizado",IF(AND(N($P1334)&gt;1,N($O1334)&gt;N($P1334)),"⚠ Nº da parcela maior que o total",IF(AND($C1334&lt;&gt;"",$B1334&lt;&gt;"",$C1334&lt;$B1334),"⚠ Vencimento anterior à competência","OK"))))))))</f>
        <v/>
      </c>
    </row>
    <row r="1335">
      <c r="A1335" s="14" t="n"/>
      <c r="B1335" s="36" t="n"/>
      <c r="C1335" s="36" t="n"/>
      <c r="D1335" s="36" t="n"/>
      <c r="E1335" s="14" t="n"/>
      <c r="F1335" s="29" t="n"/>
      <c r="G1335" s="29" t="n"/>
      <c r="H1335" s="29" t="n"/>
      <c r="I1335" s="29" t="n"/>
      <c r="J1335" s="29" t="n"/>
      <c r="K1335" s="14" t="n"/>
      <c r="L1335" s="29" t="n"/>
      <c r="M1335" s="14" t="n"/>
      <c r="N1335" s="29" t="n"/>
      <c r="O1335" s="13" t="n"/>
      <c r="P1335" s="13" t="n"/>
      <c r="Q1335" s="35" t="n"/>
      <c r="R1335" s="35" t="n"/>
      <c r="S1335" s="35" t="n"/>
      <c r="T1335" s="35" t="n"/>
      <c r="U1335" s="35" t="n"/>
      <c r="V1335" s="18">
        <f>IF(COUNTA($B1335:$R1335)=0,"",ROUND(N($R1335)+N($S1335)+N($T1335)-N($U1335),2))</f>
        <v/>
      </c>
      <c r="W1335" s="18">
        <f>IF(COUNTA($B1335:$R1335)=0,"",IF(OR($X1335="Pago",$X1335="Recebido",$X1335="Cancelado"),0,ROUND(N($Q1335)+N($S1335)+N($T1335)-N($U1335)-N($R1335),2)))</f>
        <v/>
      </c>
      <c r="X1335" s="14" t="n"/>
      <c r="Y1335" s="17">
        <f>IF(COUNTA($B1335:$R1335)=0,"",IF($X1335="Cancelado","Cancelado",IF(OR($X1335="Pago",$X1335="Recebido"),$X1335,IF(OR($X1335="Parcial",N($R1335)&gt;0),"Parcial",IF($C1335="","Sem vencimento",IF($C1335&lt;TODAY(),"Vencido",IF($C1335=TODAY(),"Vence hoje",IF($C1335&lt;=TODAY()+7,"Vence em 7 dias",IF($C1335&lt;=TODAY()+30,"Vence em 30 dias","Futuro")))))))))</f>
        <v/>
      </c>
      <c r="Z1335" s="24">
        <f>IF($B1335="","",MONTH($B1335))</f>
        <v/>
      </c>
      <c r="AA1335" s="24">
        <f>IF($B1335="","",YEAR($B1335))</f>
        <v/>
      </c>
      <c r="AB1335" s="24">
        <f>IF($B1335="","",ISOWEEKNUM($B1335))</f>
        <v/>
      </c>
      <c r="AC1335" s="17">
        <f>IF($B1335="","",CHOOSE(WEEKDAY($B1335,2),"Segunda","Terça","Quarta","Quinta","Sexta","Sábado","Domingo"))</f>
        <v/>
      </c>
      <c r="AD1335" s="17">
        <f>IF($B1335="","",TEXT($B1335,"MM/AAAA"))</f>
        <v/>
      </c>
      <c r="AE1335" s="18">
        <f>IF(COUNTA($B1335:$R1335)=0,"",IF($X1335="Cancelado",0,ROUND(N($Q1335)+N($S1335)+N($T1335)-N($U1335),2)))</f>
        <v/>
      </c>
      <c r="AF1335" s="9">
        <f>IF($G1335="","",IFERROR(INDEX(LINHAS_DRE_PLANO,MATCH($G1335,SUBCATEGORIAS_PLANO,0)),"Não classificado"))</f>
        <v/>
      </c>
      <c r="AG1335" s="17">
        <f>IF($G1335="","",IFERROR(INDEX(TIPOS_FLUXO_PLANO,MATCH($G1335,SUBCATEGORIAS_PLANO,0)),"Não classificado"))</f>
        <v/>
      </c>
      <c r="AH1335" s="9">
        <f>IF($G1335="","",IFERROR(INDEX(GRUPOS_PLANO,MATCH($G1335,SUBCATEGORIAS_PLANO,0)),"Não classificado"))</f>
        <v/>
      </c>
      <c r="AI1335" s="24">
        <f>IF(OR($C1335="",$X1335="Pago",$X1335="Recebido",$X1335="Cancelado"),"",$C1335-TODAY())</f>
        <v/>
      </c>
      <c r="AJ1335" s="24">
        <f>IF(OR($C1335="",$X1335="Pago",$X1335="Recebido",$X1335="Cancelado"),0,MAX(0,TODAY()-$C1335))</f>
        <v/>
      </c>
      <c r="AK1335" s="24">
        <f>IF($D1335="","",$D1335-$B1335)</f>
        <v/>
      </c>
      <c r="AL1335" s="18">
        <f>IF(OR($D1335="",$B1335=""),"",ROUND(N($R1335)*($D1335-$B1335),2))</f>
        <v/>
      </c>
      <c r="AM1335" s="17">
        <f>IF(AND($E1335="Saída",$W1335&gt;0,$C1335&lt;&gt;""),$C1335+ROW()/1000000,"")</f>
        <v/>
      </c>
      <c r="AN1335" s="17">
        <f>IF(AND($E1335="Entrada",$W1335&gt;0,$C1335&lt;&gt;""),$C1335+ROW()/1000000,"")</f>
        <v/>
      </c>
      <c r="AO1335" s="9">
        <f>IF(COUNTA($B1335:$R1335)=0,"",IF(AND($I1335&lt;&gt;"",COUNTIF(CLIENTES_NOMES,$I1335)+COUNTIF(CLIENTES_FANTASIA,$I1335)+COUNTIF(FORNECEDORES_NOMES,$I1335)+COUNTIF(FORNECEDORES_FANTASIA,$I1335)=0),"⚠ Cliente/Fornecedor não cadastrado",IF(AND($G1335&lt;&gt;"",COUNTIF(SUBCATEGORIAS_PLANO,$G1335)=0),"⚠ Subcategoria fora do plano de contas",IF(OR($Q1335="",N($Q1335)=0),"⚠ Valor previsto não informado",IF(AND(OR($X1335="Pago",$X1335="Recebido"),$D1335=""),"⚠ Status pago/recebido sem data",IF(AND($D1335&lt;&gt;"",N($R1335)=0),"⚠ Data de pagamento sem valor realizado",IF(AND(N($P1335)&gt;1,N($O1335)&gt;N($P1335)),"⚠ Nº da parcela maior que o total",IF(AND($C1335&lt;&gt;"",$B1335&lt;&gt;"",$C1335&lt;$B1335),"⚠ Vencimento anterior à competência","OK"))))))))</f>
        <v/>
      </c>
    </row>
    <row r="1336">
      <c r="A1336" s="14" t="n"/>
      <c r="B1336" s="36" t="n"/>
      <c r="C1336" s="36" t="n"/>
      <c r="D1336" s="36" t="n"/>
      <c r="E1336" s="14" t="n"/>
      <c r="F1336" s="29" t="n"/>
      <c r="G1336" s="29" t="n"/>
      <c r="H1336" s="29" t="n"/>
      <c r="I1336" s="29" t="n"/>
      <c r="J1336" s="29" t="n"/>
      <c r="K1336" s="14" t="n"/>
      <c r="L1336" s="29" t="n"/>
      <c r="M1336" s="14" t="n"/>
      <c r="N1336" s="29" t="n"/>
      <c r="O1336" s="13" t="n"/>
      <c r="P1336" s="13" t="n"/>
      <c r="Q1336" s="35" t="n"/>
      <c r="R1336" s="35" t="n"/>
      <c r="S1336" s="35" t="n"/>
      <c r="T1336" s="35" t="n"/>
      <c r="U1336" s="35" t="n"/>
      <c r="V1336" s="18">
        <f>IF(COUNTA($B1336:$R1336)=0,"",ROUND(N($R1336)+N($S1336)+N($T1336)-N($U1336),2))</f>
        <v/>
      </c>
      <c r="W1336" s="18">
        <f>IF(COUNTA($B1336:$R1336)=0,"",IF(OR($X1336="Pago",$X1336="Recebido",$X1336="Cancelado"),0,ROUND(N($Q1336)+N($S1336)+N($T1336)-N($U1336)-N($R1336),2)))</f>
        <v/>
      </c>
      <c r="X1336" s="14" t="n"/>
      <c r="Y1336" s="17">
        <f>IF(COUNTA($B1336:$R1336)=0,"",IF($X1336="Cancelado","Cancelado",IF(OR($X1336="Pago",$X1336="Recebido"),$X1336,IF(OR($X1336="Parcial",N($R1336)&gt;0),"Parcial",IF($C1336="","Sem vencimento",IF($C1336&lt;TODAY(),"Vencido",IF($C1336=TODAY(),"Vence hoje",IF($C1336&lt;=TODAY()+7,"Vence em 7 dias",IF($C1336&lt;=TODAY()+30,"Vence em 30 dias","Futuro")))))))))</f>
        <v/>
      </c>
      <c r="Z1336" s="24">
        <f>IF($B1336="","",MONTH($B1336))</f>
        <v/>
      </c>
      <c r="AA1336" s="24">
        <f>IF($B1336="","",YEAR($B1336))</f>
        <v/>
      </c>
      <c r="AB1336" s="24">
        <f>IF($B1336="","",ISOWEEKNUM($B1336))</f>
        <v/>
      </c>
      <c r="AC1336" s="17">
        <f>IF($B1336="","",CHOOSE(WEEKDAY($B1336,2),"Segunda","Terça","Quarta","Quinta","Sexta","Sábado","Domingo"))</f>
        <v/>
      </c>
      <c r="AD1336" s="17">
        <f>IF($B1336="","",TEXT($B1336,"MM/AAAA"))</f>
        <v/>
      </c>
      <c r="AE1336" s="18">
        <f>IF(COUNTA($B1336:$R1336)=0,"",IF($X1336="Cancelado",0,ROUND(N($Q1336)+N($S1336)+N($T1336)-N($U1336),2)))</f>
        <v/>
      </c>
      <c r="AF1336" s="9">
        <f>IF($G1336="","",IFERROR(INDEX(LINHAS_DRE_PLANO,MATCH($G1336,SUBCATEGORIAS_PLANO,0)),"Não classificado"))</f>
        <v/>
      </c>
      <c r="AG1336" s="17">
        <f>IF($G1336="","",IFERROR(INDEX(TIPOS_FLUXO_PLANO,MATCH($G1336,SUBCATEGORIAS_PLANO,0)),"Não classificado"))</f>
        <v/>
      </c>
      <c r="AH1336" s="9">
        <f>IF($G1336="","",IFERROR(INDEX(GRUPOS_PLANO,MATCH($G1336,SUBCATEGORIAS_PLANO,0)),"Não classificado"))</f>
        <v/>
      </c>
      <c r="AI1336" s="24">
        <f>IF(OR($C1336="",$X1336="Pago",$X1336="Recebido",$X1336="Cancelado"),"",$C1336-TODAY())</f>
        <v/>
      </c>
      <c r="AJ1336" s="24">
        <f>IF(OR($C1336="",$X1336="Pago",$X1336="Recebido",$X1336="Cancelado"),0,MAX(0,TODAY()-$C1336))</f>
        <v/>
      </c>
      <c r="AK1336" s="24">
        <f>IF($D1336="","",$D1336-$B1336)</f>
        <v/>
      </c>
      <c r="AL1336" s="18">
        <f>IF(OR($D1336="",$B1336=""),"",ROUND(N($R1336)*($D1336-$B1336),2))</f>
        <v/>
      </c>
      <c r="AM1336" s="17">
        <f>IF(AND($E1336="Saída",$W1336&gt;0,$C1336&lt;&gt;""),$C1336+ROW()/1000000,"")</f>
        <v/>
      </c>
      <c r="AN1336" s="17">
        <f>IF(AND($E1336="Entrada",$W1336&gt;0,$C1336&lt;&gt;""),$C1336+ROW()/1000000,"")</f>
        <v/>
      </c>
      <c r="AO1336" s="9">
        <f>IF(COUNTA($B1336:$R1336)=0,"",IF(AND($I1336&lt;&gt;"",COUNTIF(CLIENTES_NOMES,$I1336)+COUNTIF(CLIENTES_FANTASIA,$I1336)+COUNTIF(FORNECEDORES_NOMES,$I1336)+COUNTIF(FORNECEDORES_FANTASIA,$I1336)=0),"⚠ Cliente/Fornecedor não cadastrado",IF(AND($G1336&lt;&gt;"",COUNTIF(SUBCATEGORIAS_PLANO,$G1336)=0),"⚠ Subcategoria fora do plano de contas",IF(OR($Q1336="",N($Q1336)=0),"⚠ Valor previsto não informado",IF(AND(OR($X1336="Pago",$X1336="Recebido"),$D1336=""),"⚠ Status pago/recebido sem data",IF(AND($D1336&lt;&gt;"",N($R1336)=0),"⚠ Data de pagamento sem valor realizado",IF(AND(N($P1336)&gt;1,N($O1336)&gt;N($P1336)),"⚠ Nº da parcela maior que o total",IF(AND($C1336&lt;&gt;"",$B1336&lt;&gt;"",$C1336&lt;$B1336),"⚠ Vencimento anterior à competência","OK"))))))))</f>
        <v/>
      </c>
    </row>
    <row r="1337">
      <c r="A1337" s="14" t="n"/>
      <c r="B1337" s="36" t="n"/>
      <c r="C1337" s="36" t="n"/>
      <c r="D1337" s="36" t="n"/>
      <c r="E1337" s="14" t="n"/>
      <c r="F1337" s="29" t="n"/>
      <c r="G1337" s="29" t="n"/>
      <c r="H1337" s="29" t="n"/>
      <c r="I1337" s="29" t="n"/>
      <c r="J1337" s="29" t="n"/>
      <c r="K1337" s="14" t="n"/>
      <c r="L1337" s="29" t="n"/>
      <c r="M1337" s="14" t="n"/>
      <c r="N1337" s="29" t="n"/>
      <c r="O1337" s="13" t="n"/>
      <c r="P1337" s="13" t="n"/>
      <c r="Q1337" s="35" t="n"/>
      <c r="R1337" s="35" t="n"/>
      <c r="S1337" s="35" t="n"/>
      <c r="T1337" s="35" t="n"/>
      <c r="U1337" s="35" t="n"/>
      <c r="V1337" s="18">
        <f>IF(COUNTA($B1337:$R1337)=0,"",ROUND(N($R1337)+N($S1337)+N($T1337)-N($U1337),2))</f>
        <v/>
      </c>
      <c r="W1337" s="18">
        <f>IF(COUNTA($B1337:$R1337)=0,"",IF(OR($X1337="Pago",$X1337="Recebido",$X1337="Cancelado"),0,ROUND(N($Q1337)+N($S1337)+N($T1337)-N($U1337)-N($R1337),2)))</f>
        <v/>
      </c>
      <c r="X1337" s="14" t="n"/>
      <c r="Y1337" s="17">
        <f>IF(COUNTA($B1337:$R1337)=0,"",IF($X1337="Cancelado","Cancelado",IF(OR($X1337="Pago",$X1337="Recebido"),$X1337,IF(OR($X1337="Parcial",N($R1337)&gt;0),"Parcial",IF($C1337="","Sem vencimento",IF($C1337&lt;TODAY(),"Vencido",IF($C1337=TODAY(),"Vence hoje",IF($C1337&lt;=TODAY()+7,"Vence em 7 dias",IF($C1337&lt;=TODAY()+30,"Vence em 30 dias","Futuro")))))))))</f>
        <v/>
      </c>
      <c r="Z1337" s="24">
        <f>IF($B1337="","",MONTH($B1337))</f>
        <v/>
      </c>
      <c r="AA1337" s="24">
        <f>IF($B1337="","",YEAR($B1337))</f>
        <v/>
      </c>
      <c r="AB1337" s="24">
        <f>IF($B1337="","",ISOWEEKNUM($B1337))</f>
        <v/>
      </c>
      <c r="AC1337" s="17">
        <f>IF($B1337="","",CHOOSE(WEEKDAY($B1337,2),"Segunda","Terça","Quarta","Quinta","Sexta","Sábado","Domingo"))</f>
        <v/>
      </c>
      <c r="AD1337" s="17">
        <f>IF($B1337="","",TEXT($B1337,"MM/AAAA"))</f>
        <v/>
      </c>
      <c r="AE1337" s="18">
        <f>IF(COUNTA($B1337:$R1337)=0,"",IF($X1337="Cancelado",0,ROUND(N($Q1337)+N($S1337)+N($T1337)-N($U1337),2)))</f>
        <v/>
      </c>
      <c r="AF1337" s="9">
        <f>IF($G1337="","",IFERROR(INDEX(LINHAS_DRE_PLANO,MATCH($G1337,SUBCATEGORIAS_PLANO,0)),"Não classificado"))</f>
        <v/>
      </c>
      <c r="AG1337" s="17">
        <f>IF($G1337="","",IFERROR(INDEX(TIPOS_FLUXO_PLANO,MATCH($G1337,SUBCATEGORIAS_PLANO,0)),"Não classificado"))</f>
        <v/>
      </c>
      <c r="AH1337" s="9">
        <f>IF($G1337="","",IFERROR(INDEX(GRUPOS_PLANO,MATCH($G1337,SUBCATEGORIAS_PLANO,0)),"Não classificado"))</f>
        <v/>
      </c>
      <c r="AI1337" s="24">
        <f>IF(OR($C1337="",$X1337="Pago",$X1337="Recebido",$X1337="Cancelado"),"",$C1337-TODAY())</f>
        <v/>
      </c>
      <c r="AJ1337" s="24">
        <f>IF(OR($C1337="",$X1337="Pago",$X1337="Recebido",$X1337="Cancelado"),0,MAX(0,TODAY()-$C1337))</f>
        <v/>
      </c>
      <c r="AK1337" s="24">
        <f>IF($D1337="","",$D1337-$B1337)</f>
        <v/>
      </c>
      <c r="AL1337" s="18">
        <f>IF(OR($D1337="",$B1337=""),"",ROUND(N($R1337)*($D1337-$B1337),2))</f>
        <v/>
      </c>
      <c r="AM1337" s="17">
        <f>IF(AND($E1337="Saída",$W1337&gt;0,$C1337&lt;&gt;""),$C1337+ROW()/1000000,"")</f>
        <v/>
      </c>
      <c r="AN1337" s="17">
        <f>IF(AND($E1337="Entrada",$W1337&gt;0,$C1337&lt;&gt;""),$C1337+ROW()/1000000,"")</f>
        <v/>
      </c>
      <c r="AO1337" s="9">
        <f>IF(COUNTA($B1337:$R1337)=0,"",IF(AND($I1337&lt;&gt;"",COUNTIF(CLIENTES_NOMES,$I1337)+COUNTIF(CLIENTES_FANTASIA,$I1337)+COUNTIF(FORNECEDORES_NOMES,$I1337)+COUNTIF(FORNECEDORES_FANTASIA,$I1337)=0),"⚠ Cliente/Fornecedor não cadastrado",IF(AND($G1337&lt;&gt;"",COUNTIF(SUBCATEGORIAS_PLANO,$G1337)=0),"⚠ Subcategoria fora do plano de contas",IF(OR($Q1337="",N($Q1337)=0),"⚠ Valor previsto não informado",IF(AND(OR($X1337="Pago",$X1337="Recebido"),$D1337=""),"⚠ Status pago/recebido sem data",IF(AND($D1337&lt;&gt;"",N($R1337)=0),"⚠ Data de pagamento sem valor realizado",IF(AND(N($P1337)&gt;1,N($O1337)&gt;N($P1337)),"⚠ Nº da parcela maior que o total",IF(AND($C1337&lt;&gt;"",$B1337&lt;&gt;"",$C1337&lt;$B1337),"⚠ Vencimento anterior à competência","OK"))))))))</f>
        <v/>
      </c>
    </row>
    <row r="1338">
      <c r="A1338" s="14" t="n"/>
      <c r="B1338" s="36" t="n"/>
      <c r="C1338" s="36" t="n"/>
      <c r="D1338" s="36" t="n"/>
      <c r="E1338" s="14" t="n"/>
      <c r="F1338" s="29" t="n"/>
      <c r="G1338" s="29" t="n"/>
      <c r="H1338" s="29" t="n"/>
      <c r="I1338" s="29" t="n"/>
      <c r="J1338" s="29" t="n"/>
      <c r="K1338" s="14" t="n"/>
      <c r="L1338" s="29" t="n"/>
      <c r="M1338" s="14" t="n"/>
      <c r="N1338" s="29" t="n"/>
      <c r="O1338" s="13" t="n"/>
      <c r="P1338" s="13" t="n"/>
      <c r="Q1338" s="35" t="n"/>
      <c r="R1338" s="35" t="n"/>
      <c r="S1338" s="35" t="n"/>
      <c r="T1338" s="35" t="n"/>
      <c r="U1338" s="35" t="n"/>
      <c r="V1338" s="18">
        <f>IF(COUNTA($B1338:$R1338)=0,"",ROUND(N($R1338)+N($S1338)+N($T1338)-N($U1338),2))</f>
        <v/>
      </c>
      <c r="W1338" s="18">
        <f>IF(COUNTA($B1338:$R1338)=0,"",IF(OR($X1338="Pago",$X1338="Recebido",$X1338="Cancelado"),0,ROUND(N($Q1338)+N($S1338)+N($T1338)-N($U1338)-N($R1338),2)))</f>
        <v/>
      </c>
      <c r="X1338" s="14" t="n"/>
      <c r="Y1338" s="17">
        <f>IF(COUNTA($B1338:$R1338)=0,"",IF($X1338="Cancelado","Cancelado",IF(OR($X1338="Pago",$X1338="Recebido"),$X1338,IF(OR($X1338="Parcial",N($R1338)&gt;0),"Parcial",IF($C1338="","Sem vencimento",IF($C1338&lt;TODAY(),"Vencido",IF($C1338=TODAY(),"Vence hoje",IF($C1338&lt;=TODAY()+7,"Vence em 7 dias",IF($C1338&lt;=TODAY()+30,"Vence em 30 dias","Futuro")))))))))</f>
        <v/>
      </c>
      <c r="Z1338" s="24">
        <f>IF($B1338="","",MONTH($B1338))</f>
        <v/>
      </c>
      <c r="AA1338" s="24">
        <f>IF($B1338="","",YEAR($B1338))</f>
        <v/>
      </c>
      <c r="AB1338" s="24">
        <f>IF($B1338="","",ISOWEEKNUM($B1338))</f>
        <v/>
      </c>
      <c r="AC1338" s="17">
        <f>IF($B1338="","",CHOOSE(WEEKDAY($B1338,2),"Segunda","Terça","Quarta","Quinta","Sexta","Sábado","Domingo"))</f>
        <v/>
      </c>
      <c r="AD1338" s="17">
        <f>IF($B1338="","",TEXT($B1338,"MM/AAAA"))</f>
        <v/>
      </c>
      <c r="AE1338" s="18">
        <f>IF(COUNTA($B1338:$R1338)=0,"",IF($X1338="Cancelado",0,ROUND(N($Q1338)+N($S1338)+N($T1338)-N($U1338),2)))</f>
        <v/>
      </c>
      <c r="AF1338" s="9">
        <f>IF($G1338="","",IFERROR(INDEX(LINHAS_DRE_PLANO,MATCH($G1338,SUBCATEGORIAS_PLANO,0)),"Não classificado"))</f>
        <v/>
      </c>
      <c r="AG1338" s="17">
        <f>IF($G1338="","",IFERROR(INDEX(TIPOS_FLUXO_PLANO,MATCH($G1338,SUBCATEGORIAS_PLANO,0)),"Não classificado"))</f>
        <v/>
      </c>
      <c r="AH1338" s="9">
        <f>IF($G1338="","",IFERROR(INDEX(GRUPOS_PLANO,MATCH($G1338,SUBCATEGORIAS_PLANO,0)),"Não classificado"))</f>
        <v/>
      </c>
      <c r="AI1338" s="24">
        <f>IF(OR($C1338="",$X1338="Pago",$X1338="Recebido",$X1338="Cancelado"),"",$C1338-TODAY())</f>
        <v/>
      </c>
      <c r="AJ1338" s="24">
        <f>IF(OR($C1338="",$X1338="Pago",$X1338="Recebido",$X1338="Cancelado"),0,MAX(0,TODAY()-$C1338))</f>
        <v/>
      </c>
      <c r="AK1338" s="24">
        <f>IF($D1338="","",$D1338-$B1338)</f>
        <v/>
      </c>
      <c r="AL1338" s="18">
        <f>IF(OR($D1338="",$B1338=""),"",ROUND(N($R1338)*($D1338-$B1338),2))</f>
        <v/>
      </c>
      <c r="AM1338" s="17">
        <f>IF(AND($E1338="Saída",$W1338&gt;0,$C1338&lt;&gt;""),$C1338+ROW()/1000000,"")</f>
        <v/>
      </c>
      <c r="AN1338" s="17">
        <f>IF(AND($E1338="Entrada",$W1338&gt;0,$C1338&lt;&gt;""),$C1338+ROW()/1000000,"")</f>
        <v/>
      </c>
      <c r="AO1338" s="9">
        <f>IF(COUNTA($B1338:$R1338)=0,"",IF(AND($I1338&lt;&gt;"",COUNTIF(CLIENTES_NOMES,$I1338)+COUNTIF(CLIENTES_FANTASIA,$I1338)+COUNTIF(FORNECEDORES_NOMES,$I1338)+COUNTIF(FORNECEDORES_FANTASIA,$I1338)=0),"⚠ Cliente/Fornecedor não cadastrado",IF(AND($G1338&lt;&gt;"",COUNTIF(SUBCATEGORIAS_PLANO,$G1338)=0),"⚠ Subcategoria fora do plano de contas",IF(OR($Q1338="",N($Q1338)=0),"⚠ Valor previsto não informado",IF(AND(OR($X1338="Pago",$X1338="Recebido"),$D1338=""),"⚠ Status pago/recebido sem data",IF(AND($D1338&lt;&gt;"",N($R1338)=0),"⚠ Data de pagamento sem valor realizado",IF(AND(N($P1338)&gt;1,N($O1338)&gt;N($P1338)),"⚠ Nº da parcela maior que o total",IF(AND($C1338&lt;&gt;"",$B1338&lt;&gt;"",$C1338&lt;$B1338),"⚠ Vencimento anterior à competência","OK"))))))))</f>
        <v/>
      </c>
    </row>
    <row r="1339">
      <c r="A1339" s="14" t="n"/>
      <c r="B1339" s="36" t="n"/>
      <c r="C1339" s="36" t="n"/>
      <c r="D1339" s="36" t="n"/>
      <c r="E1339" s="14" t="n"/>
      <c r="F1339" s="29" t="n"/>
      <c r="G1339" s="29" t="n"/>
      <c r="H1339" s="29" t="n"/>
      <c r="I1339" s="29" t="n"/>
      <c r="J1339" s="29" t="n"/>
      <c r="K1339" s="14" t="n"/>
      <c r="L1339" s="29" t="n"/>
      <c r="M1339" s="14" t="n"/>
      <c r="N1339" s="29" t="n"/>
      <c r="O1339" s="13" t="n"/>
      <c r="P1339" s="13" t="n"/>
      <c r="Q1339" s="35" t="n"/>
      <c r="R1339" s="35" t="n"/>
      <c r="S1339" s="35" t="n"/>
      <c r="T1339" s="35" t="n"/>
      <c r="U1339" s="35" t="n"/>
      <c r="V1339" s="18">
        <f>IF(COUNTA($B1339:$R1339)=0,"",ROUND(N($R1339)+N($S1339)+N($T1339)-N($U1339),2))</f>
        <v/>
      </c>
      <c r="W1339" s="18">
        <f>IF(COUNTA($B1339:$R1339)=0,"",IF(OR($X1339="Pago",$X1339="Recebido",$X1339="Cancelado"),0,ROUND(N($Q1339)+N($S1339)+N($T1339)-N($U1339)-N($R1339),2)))</f>
        <v/>
      </c>
      <c r="X1339" s="14" t="n"/>
      <c r="Y1339" s="17">
        <f>IF(COUNTA($B1339:$R1339)=0,"",IF($X1339="Cancelado","Cancelado",IF(OR($X1339="Pago",$X1339="Recebido"),$X1339,IF(OR($X1339="Parcial",N($R1339)&gt;0),"Parcial",IF($C1339="","Sem vencimento",IF($C1339&lt;TODAY(),"Vencido",IF($C1339=TODAY(),"Vence hoje",IF($C1339&lt;=TODAY()+7,"Vence em 7 dias",IF($C1339&lt;=TODAY()+30,"Vence em 30 dias","Futuro")))))))))</f>
        <v/>
      </c>
      <c r="Z1339" s="24">
        <f>IF($B1339="","",MONTH($B1339))</f>
        <v/>
      </c>
      <c r="AA1339" s="24">
        <f>IF($B1339="","",YEAR($B1339))</f>
        <v/>
      </c>
      <c r="AB1339" s="24">
        <f>IF($B1339="","",ISOWEEKNUM($B1339))</f>
        <v/>
      </c>
      <c r="AC1339" s="17">
        <f>IF($B1339="","",CHOOSE(WEEKDAY($B1339,2),"Segunda","Terça","Quarta","Quinta","Sexta","Sábado","Domingo"))</f>
        <v/>
      </c>
      <c r="AD1339" s="17">
        <f>IF($B1339="","",TEXT($B1339,"MM/AAAA"))</f>
        <v/>
      </c>
      <c r="AE1339" s="18">
        <f>IF(COUNTA($B1339:$R1339)=0,"",IF($X1339="Cancelado",0,ROUND(N($Q1339)+N($S1339)+N($T1339)-N($U1339),2)))</f>
        <v/>
      </c>
      <c r="AF1339" s="9">
        <f>IF($G1339="","",IFERROR(INDEX(LINHAS_DRE_PLANO,MATCH($G1339,SUBCATEGORIAS_PLANO,0)),"Não classificado"))</f>
        <v/>
      </c>
      <c r="AG1339" s="17">
        <f>IF($G1339="","",IFERROR(INDEX(TIPOS_FLUXO_PLANO,MATCH($G1339,SUBCATEGORIAS_PLANO,0)),"Não classificado"))</f>
        <v/>
      </c>
      <c r="AH1339" s="9">
        <f>IF($G1339="","",IFERROR(INDEX(GRUPOS_PLANO,MATCH($G1339,SUBCATEGORIAS_PLANO,0)),"Não classificado"))</f>
        <v/>
      </c>
      <c r="AI1339" s="24">
        <f>IF(OR($C1339="",$X1339="Pago",$X1339="Recebido",$X1339="Cancelado"),"",$C1339-TODAY())</f>
        <v/>
      </c>
      <c r="AJ1339" s="24">
        <f>IF(OR($C1339="",$X1339="Pago",$X1339="Recebido",$X1339="Cancelado"),0,MAX(0,TODAY()-$C1339))</f>
        <v/>
      </c>
      <c r="AK1339" s="24">
        <f>IF($D1339="","",$D1339-$B1339)</f>
        <v/>
      </c>
      <c r="AL1339" s="18">
        <f>IF(OR($D1339="",$B1339=""),"",ROUND(N($R1339)*($D1339-$B1339),2))</f>
        <v/>
      </c>
      <c r="AM1339" s="17">
        <f>IF(AND($E1339="Saída",$W1339&gt;0,$C1339&lt;&gt;""),$C1339+ROW()/1000000,"")</f>
        <v/>
      </c>
      <c r="AN1339" s="17">
        <f>IF(AND($E1339="Entrada",$W1339&gt;0,$C1339&lt;&gt;""),$C1339+ROW()/1000000,"")</f>
        <v/>
      </c>
      <c r="AO1339" s="9">
        <f>IF(COUNTA($B1339:$R1339)=0,"",IF(AND($I1339&lt;&gt;"",COUNTIF(CLIENTES_NOMES,$I1339)+COUNTIF(CLIENTES_FANTASIA,$I1339)+COUNTIF(FORNECEDORES_NOMES,$I1339)+COUNTIF(FORNECEDORES_FANTASIA,$I1339)=0),"⚠ Cliente/Fornecedor não cadastrado",IF(AND($G1339&lt;&gt;"",COUNTIF(SUBCATEGORIAS_PLANO,$G1339)=0),"⚠ Subcategoria fora do plano de contas",IF(OR($Q1339="",N($Q1339)=0),"⚠ Valor previsto não informado",IF(AND(OR($X1339="Pago",$X1339="Recebido"),$D1339=""),"⚠ Status pago/recebido sem data",IF(AND($D1339&lt;&gt;"",N($R1339)=0),"⚠ Data de pagamento sem valor realizado",IF(AND(N($P1339)&gt;1,N($O1339)&gt;N($P1339)),"⚠ Nº da parcela maior que o total",IF(AND($C1339&lt;&gt;"",$B1339&lt;&gt;"",$C1339&lt;$B1339),"⚠ Vencimento anterior à competência","OK"))))))))</f>
        <v/>
      </c>
    </row>
    <row r="1340">
      <c r="A1340" s="14" t="n"/>
      <c r="B1340" s="36" t="n"/>
      <c r="C1340" s="36" t="n"/>
      <c r="D1340" s="36" t="n"/>
      <c r="E1340" s="14" t="n"/>
      <c r="F1340" s="29" t="n"/>
      <c r="G1340" s="29" t="n"/>
      <c r="H1340" s="29" t="n"/>
      <c r="I1340" s="29" t="n"/>
      <c r="J1340" s="29" t="n"/>
      <c r="K1340" s="14" t="n"/>
      <c r="L1340" s="29" t="n"/>
      <c r="M1340" s="14" t="n"/>
      <c r="N1340" s="29" t="n"/>
      <c r="O1340" s="13" t="n"/>
      <c r="P1340" s="13" t="n"/>
      <c r="Q1340" s="35" t="n"/>
      <c r="R1340" s="35" t="n"/>
      <c r="S1340" s="35" t="n"/>
      <c r="T1340" s="35" t="n"/>
      <c r="U1340" s="35" t="n"/>
      <c r="V1340" s="18">
        <f>IF(COUNTA($B1340:$R1340)=0,"",ROUND(N($R1340)+N($S1340)+N($T1340)-N($U1340),2))</f>
        <v/>
      </c>
      <c r="W1340" s="18">
        <f>IF(COUNTA($B1340:$R1340)=0,"",IF(OR($X1340="Pago",$X1340="Recebido",$X1340="Cancelado"),0,ROUND(N($Q1340)+N($S1340)+N($T1340)-N($U1340)-N($R1340),2)))</f>
        <v/>
      </c>
      <c r="X1340" s="14" t="n"/>
      <c r="Y1340" s="17">
        <f>IF(COUNTA($B1340:$R1340)=0,"",IF($X1340="Cancelado","Cancelado",IF(OR($X1340="Pago",$X1340="Recebido"),$X1340,IF(OR($X1340="Parcial",N($R1340)&gt;0),"Parcial",IF($C1340="","Sem vencimento",IF($C1340&lt;TODAY(),"Vencido",IF($C1340=TODAY(),"Vence hoje",IF($C1340&lt;=TODAY()+7,"Vence em 7 dias",IF($C1340&lt;=TODAY()+30,"Vence em 30 dias","Futuro")))))))))</f>
        <v/>
      </c>
      <c r="Z1340" s="24">
        <f>IF($B1340="","",MONTH($B1340))</f>
        <v/>
      </c>
      <c r="AA1340" s="24">
        <f>IF($B1340="","",YEAR($B1340))</f>
        <v/>
      </c>
      <c r="AB1340" s="24">
        <f>IF($B1340="","",ISOWEEKNUM($B1340))</f>
        <v/>
      </c>
      <c r="AC1340" s="17">
        <f>IF($B1340="","",CHOOSE(WEEKDAY($B1340,2),"Segunda","Terça","Quarta","Quinta","Sexta","Sábado","Domingo"))</f>
        <v/>
      </c>
      <c r="AD1340" s="17">
        <f>IF($B1340="","",TEXT($B1340,"MM/AAAA"))</f>
        <v/>
      </c>
      <c r="AE1340" s="18">
        <f>IF(COUNTA($B1340:$R1340)=0,"",IF($X1340="Cancelado",0,ROUND(N($Q1340)+N($S1340)+N($T1340)-N($U1340),2)))</f>
        <v/>
      </c>
      <c r="AF1340" s="9">
        <f>IF($G1340="","",IFERROR(INDEX(LINHAS_DRE_PLANO,MATCH($G1340,SUBCATEGORIAS_PLANO,0)),"Não classificado"))</f>
        <v/>
      </c>
      <c r="AG1340" s="17">
        <f>IF($G1340="","",IFERROR(INDEX(TIPOS_FLUXO_PLANO,MATCH($G1340,SUBCATEGORIAS_PLANO,0)),"Não classificado"))</f>
        <v/>
      </c>
      <c r="AH1340" s="9">
        <f>IF($G1340="","",IFERROR(INDEX(GRUPOS_PLANO,MATCH($G1340,SUBCATEGORIAS_PLANO,0)),"Não classificado"))</f>
        <v/>
      </c>
      <c r="AI1340" s="24">
        <f>IF(OR($C1340="",$X1340="Pago",$X1340="Recebido",$X1340="Cancelado"),"",$C1340-TODAY())</f>
        <v/>
      </c>
      <c r="AJ1340" s="24">
        <f>IF(OR($C1340="",$X1340="Pago",$X1340="Recebido",$X1340="Cancelado"),0,MAX(0,TODAY()-$C1340))</f>
        <v/>
      </c>
      <c r="AK1340" s="24">
        <f>IF($D1340="","",$D1340-$B1340)</f>
        <v/>
      </c>
      <c r="AL1340" s="18">
        <f>IF(OR($D1340="",$B1340=""),"",ROUND(N($R1340)*($D1340-$B1340),2))</f>
        <v/>
      </c>
      <c r="AM1340" s="17">
        <f>IF(AND($E1340="Saída",$W1340&gt;0,$C1340&lt;&gt;""),$C1340+ROW()/1000000,"")</f>
        <v/>
      </c>
      <c r="AN1340" s="17">
        <f>IF(AND($E1340="Entrada",$W1340&gt;0,$C1340&lt;&gt;""),$C1340+ROW()/1000000,"")</f>
        <v/>
      </c>
      <c r="AO1340" s="9">
        <f>IF(COUNTA($B1340:$R1340)=0,"",IF(AND($I1340&lt;&gt;"",COUNTIF(CLIENTES_NOMES,$I1340)+COUNTIF(CLIENTES_FANTASIA,$I1340)+COUNTIF(FORNECEDORES_NOMES,$I1340)+COUNTIF(FORNECEDORES_FANTASIA,$I1340)=0),"⚠ Cliente/Fornecedor não cadastrado",IF(AND($G1340&lt;&gt;"",COUNTIF(SUBCATEGORIAS_PLANO,$G1340)=0),"⚠ Subcategoria fora do plano de contas",IF(OR($Q1340="",N($Q1340)=0),"⚠ Valor previsto não informado",IF(AND(OR($X1340="Pago",$X1340="Recebido"),$D1340=""),"⚠ Status pago/recebido sem data",IF(AND($D1340&lt;&gt;"",N($R1340)=0),"⚠ Data de pagamento sem valor realizado",IF(AND(N($P1340)&gt;1,N($O1340)&gt;N($P1340)),"⚠ Nº da parcela maior que o total",IF(AND($C1340&lt;&gt;"",$B1340&lt;&gt;"",$C1340&lt;$B1340),"⚠ Vencimento anterior à competência","OK"))))))))</f>
        <v/>
      </c>
    </row>
    <row r="1341">
      <c r="A1341" s="14" t="n"/>
      <c r="B1341" s="36" t="n"/>
      <c r="C1341" s="36" t="n"/>
      <c r="D1341" s="36" t="n"/>
      <c r="E1341" s="14" t="n"/>
      <c r="F1341" s="29" t="n"/>
      <c r="G1341" s="29" t="n"/>
      <c r="H1341" s="29" t="n"/>
      <c r="I1341" s="29" t="n"/>
      <c r="J1341" s="29" t="n"/>
      <c r="K1341" s="14" t="n"/>
      <c r="L1341" s="29" t="n"/>
      <c r="M1341" s="14" t="n"/>
      <c r="N1341" s="29" t="n"/>
      <c r="O1341" s="13" t="n"/>
      <c r="P1341" s="13" t="n"/>
      <c r="Q1341" s="35" t="n"/>
      <c r="R1341" s="35" t="n"/>
      <c r="S1341" s="35" t="n"/>
      <c r="T1341" s="35" t="n"/>
      <c r="U1341" s="35" t="n"/>
      <c r="V1341" s="18">
        <f>IF(COUNTA($B1341:$R1341)=0,"",ROUND(N($R1341)+N($S1341)+N($T1341)-N($U1341),2))</f>
        <v/>
      </c>
      <c r="W1341" s="18">
        <f>IF(COUNTA($B1341:$R1341)=0,"",IF(OR($X1341="Pago",$X1341="Recebido",$X1341="Cancelado"),0,ROUND(N($Q1341)+N($S1341)+N($T1341)-N($U1341)-N($R1341),2)))</f>
        <v/>
      </c>
      <c r="X1341" s="14" t="n"/>
      <c r="Y1341" s="17">
        <f>IF(COUNTA($B1341:$R1341)=0,"",IF($X1341="Cancelado","Cancelado",IF(OR($X1341="Pago",$X1341="Recebido"),$X1341,IF(OR($X1341="Parcial",N($R1341)&gt;0),"Parcial",IF($C1341="","Sem vencimento",IF($C1341&lt;TODAY(),"Vencido",IF($C1341=TODAY(),"Vence hoje",IF($C1341&lt;=TODAY()+7,"Vence em 7 dias",IF($C1341&lt;=TODAY()+30,"Vence em 30 dias","Futuro")))))))))</f>
        <v/>
      </c>
      <c r="Z1341" s="24">
        <f>IF($B1341="","",MONTH($B1341))</f>
        <v/>
      </c>
      <c r="AA1341" s="24">
        <f>IF($B1341="","",YEAR($B1341))</f>
        <v/>
      </c>
      <c r="AB1341" s="24">
        <f>IF($B1341="","",ISOWEEKNUM($B1341))</f>
        <v/>
      </c>
      <c r="AC1341" s="17">
        <f>IF($B1341="","",CHOOSE(WEEKDAY($B1341,2),"Segunda","Terça","Quarta","Quinta","Sexta","Sábado","Domingo"))</f>
        <v/>
      </c>
      <c r="AD1341" s="17">
        <f>IF($B1341="","",TEXT($B1341,"MM/AAAA"))</f>
        <v/>
      </c>
      <c r="AE1341" s="18">
        <f>IF(COUNTA($B1341:$R1341)=0,"",IF($X1341="Cancelado",0,ROUND(N($Q1341)+N($S1341)+N($T1341)-N($U1341),2)))</f>
        <v/>
      </c>
      <c r="AF1341" s="9">
        <f>IF($G1341="","",IFERROR(INDEX(LINHAS_DRE_PLANO,MATCH($G1341,SUBCATEGORIAS_PLANO,0)),"Não classificado"))</f>
        <v/>
      </c>
      <c r="AG1341" s="17">
        <f>IF($G1341="","",IFERROR(INDEX(TIPOS_FLUXO_PLANO,MATCH($G1341,SUBCATEGORIAS_PLANO,0)),"Não classificado"))</f>
        <v/>
      </c>
      <c r="AH1341" s="9">
        <f>IF($G1341="","",IFERROR(INDEX(GRUPOS_PLANO,MATCH($G1341,SUBCATEGORIAS_PLANO,0)),"Não classificado"))</f>
        <v/>
      </c>
      <c r="AI1341" s="24">
        <f>IF(OR($C1341="",$X1341="Pago",$X1341="Recebido",$X1341="Cancelado"),"",$C1341-TODAY())</f>
        <v/>
      </c>
      <c r="AJ1341" s="24">
        <f>IF(OR($C1341="",$X1341="Pago",$X1341="Recebido",$X1341="Cancelado"),0,MAX(0,TODAY()-$C1341))</f>
        <v/>
      </c>
      <c r="AK1341" s="24">
        <f>IF($D1341="","",$D1341-$B1341)</f>
        <v/>
      </c>
      <c r="AL1341" s="18">
        <f>IF(OR($D1341="",$B1341=""),"",ROUND(N($R1341)*($D1341-$B1341),2))</f>
        <v/>
      </c>
      <c r="AM1341" s="17">
        <f>IF(AND($E1341="Saída",$W1341&gt;0,$C1341&lt;&gt;""),$C1341+ROW()/1000000,"")</f>
        <v/>
      </c>
      <c r="AN1341" s="17">
        <f>IF(AND($E1341="Entrada",$W1341&gt;0,$C1341&lt;&gt;""),$C1341+ROW()/1000000,"")</f>
        <v/>
      </c>
      <c r="AO1341" s="9">
        <f>IF(COUNTA($B1341:$R1341)=0,"",IF(AND($I1341&lt;&gt;"",COUNTIF(CLIENTES_NOMES,$I1341)+COUNTIF(CLIENTES_FANTASIA,$I1341)+COUNTIF(FORNECEDORES_NOMES,$I1341)+COUNTIF(FORNECEDORES_FANTASIA,$I1341)=0),"⚠ Cliente/Fornecedor não cadastrado",IF(AND($G1341&lt;&gt;"",COUNTIF(SUBCATEGORIAS_PLANO,$G1341)=0),"⚠ Subcategoria fora do plano de contas",IF(OR($Q1341="",N($Q1341)=0),"⚠ Valor previsto não informado",IF(AND(OR($X1341="Pago",$X1341="Recebido"),$D1341=""),"⚠ Status pago/recebido sem data",IF(AND($D1341&lt;&gt;"",N($R1341)=0),"⚠ Data de pagamento sem valor realizado",IF(AND(N($P1341)&gt;1,N($O1341)&gt;N($P1341)),"⚠ Nº da parcela maior que o total",IF(AND($C1341&lt;&gt;"",$B1341&lt;&gt;"",$C1341&lt;$B1341),"⚠ Vencimento anterior à competência","OK"))))))))</f>
        <v/>
      </c>
    </row>
    <row r="1342">
      <c r="A1342" s="14" t="n"/>
      <c r="B1342" s="36" t="n"/>
      <c r="C1342" s="36" t="n"/>
      <c r="D1342" s="36" t="n"/>
      <c r="E1342" s="14" t="n"/>
      <c r="F1342" s="29" t="n"/>
      <c r="G1342" s="29" t="n"/>
      <c r="H1342" s="29" t="n"/>
      <c r="I1342" s="29" t="n"/>
      <c r="J1342" s="29" t="n"/>
      <c r="K1342" s="14" t="n"/>
      <c r="L1342" s="29" t="n"/>
      <c r="M1342" s="14" t="n"/>
      <c r="N1342" s="29" t="n"/>
      <c r="O1342" s="13" t="n"/>
      <c r="P1342" s="13" t="n"/>
      <c r="Q1342" s="35" t="n"/>
      <c r="R1342" s="35" t="n"/>
      <c r="S1342" s="35" t="n"/>
      <c r="T1342" s="35" t="n"/>
      <c r="U1342" s="35" t="n"/>
      <c r="V1342" s="18">
        <f>IF(COUNTA($B1342:$R1342)=0,"",ROUND(N($R1342)+N($S1342)+N($T1342)-N($U1342),2))</f>
        <v/>
      </c>
      <c r="W1342" s="18">
        <f>IF(COUNTA($B1342:$R1342)=0,"",IF(OR($X1342="Pago",$X1342="Recebido",$X1342="Cancelado"),0,ROUND(N($Q1342)+N($S1342)+N($T1342)-N($U1342)-N($R1342),2)))</f>
        <v/>
      </c>
      <c r="X1342" s="14" t="n"/>
      <c r="Y1342" s="17">
        <f>IF(COUNTA($B1342:$R1342)=0,"",IF($X1342="Cancelado","Cancelado",IF(OR($X1342="Pago",$X1342="Recebido"),$X1342,IF(OR($X1342="Parcial",N($R1342)&gt;0),"Parcial",IF($C1342="","Sem vencimento",IF($C1342&lt;TODAY(),"Vencido",IF($C1342=TODAY(),"Vence hoje",IF($C1342&lt;=TODAY()+7,"Vence em 7 dias",IF($C1342&lt;=TODAY()+30,"Vence em 30 dias","Futuro")))))))))</f>
        <v/>
      </c>
      <c r="Z1342" s="24">
        <f>IF($B1342="","",MONTH($B1342))</f>
        <v/>
      </c>
      <c r="AA1342" s="24">
        <f>IF($B1342="","",YEAR($B1342))</f>
        <v/>
      </c>
      <c r="AB1342" s="24">
        <f>IF($B1342="","",ISOWEEKNUM($B1342))</f>
        <v/>
      </c>
      <c r="AC1342" s="17">
        <f>IF($B1342="","",CHOOSE(WEEKDAY($B1342,2),"Segunda","Terça","Quarta","Quinta","Sexta","Sábado","Domingo"))</f>
        <v/>
      </c>
      <c r="AD1342" s="17">
        <f>IF($B1342="","",TEXT($B1342,"MM/AAAA"))</f>
        <v/>
      </c>
      <c r="AE1342" s="18">
        <f>IF(COUNTA($B1342:$R1342)=0,"",IF($X1342="Cancelado",0,ROUND(N($Q1342)+N($S1342)+N($T1342)-N($U1342),2)))</f>
        <v/>
      </c>
      <c r="AF1342" s="9">
        <f>IF($G1342="","",IFERROR(INDEX(LINHAS_DRE_PLANO,MATCH($G1342,SUBCATEGORIAS_PLANO,0)),"Não classificado"))</f>
        <v/>
      </c>
      <c r="AG1342" s="17">
        <f>IF($G1342="","",IFERROR(INDEX(TIPOS_FLUXO_PLANO,MATCH($G1342,SUBCATEGORIAS_PLANO,0)),"Não classificado"))</f>
        <v/>
      </c>
      <c r="AH1342" s="9">
        <f>IF($G1342="","",IFERROR(INDEX(GRUPOS_PLANO,MATCH($G1342,SUBCATEGORIAS_PLANO,0)),"Não classificado"))</f>
        <v/>
      </c>
      <c r="AI1342" s="24">
        <f>IF(OR($C1342="",$X1342="Pago",$X1342="Recebido",$X1342="Cancelado"),"",$C1342-TODAY())</f>
        <v/>
      </c>
      <c r="AJ1342" s="24">
        <f>IF(OR($C1342="",$X1342="Pago",$X1342="Recebido",$X1342="Cancelado"),0,MAX(0,TODAY()-$C1342))</f>
        <v/>
      </c>
      <c r="AK1342" s="24">
        <f>IF($D1342="","",$D1342-$B1342)</f>
        <v/>
      </c>
      <c r="AL1342" s="18">
        <f>IF(OR($D1342="",$B1342=""),"",ROUND(N($R1342)*($D1342-$B1342),2))</f>
        <v/>
      </c>
      <c r="AM1342" s="17">
        <f>IF(AND($E1342="Saída",$W1342&gt;0,$C1342&lt;&gt;""),$C1342+ROW()/1000000,"")</f>
        <v/>
      </c>
      <c r="AN1342" s="17">
        <f>IF(AND($E1342="Entrada",$W1342&gt;0,$C1342&lt;&gt;""),$C1342+ROW()/1000000,"")</f>
        <v/>
      </c>
      <c r="AO1342" s="9">
        <f>IF(COUNTA($B1342:$R1342)=0,"",IF(AND($I1342&lt;&gt;"",COUNTIF(CLIENTES_NOMES,$I1342)+COUNTIF(CLIENTES_FANTASIA,$I1342)+COUNTIF(FORNECEDORES_NOMES,$I1342)+COUNTIF(FORNECEDORES_FANTASIA,$I1342)=0),"⚠ Cliente/Fornecedor não cadastrado",IF(AND($G1342&lt;&gt;"",COUNTIF(SUBCATEGORIAS_PLANO,$G1342)=0),"⚠ Subcategoria fora do plano de contas",IF(OR($Q1342="",N($Q1342)=0),"⚠ Valor previsto não informado",IF(AND(OR($X1342="Pago",$X1342="Recebido"),$D1342=""),"⚠ Status pago/recebido sem data",IF(AND($D1342&lt;&gt;"",N($R1342)=0),"⚠ Data de pagamento sem valor realizado",IF(AND(N($P1342)&gt;1,N($O1342)&gt;N($P1342)),"⚠ Nº da parcela maior que o total",IF(AND($C1342&lt;&gt;"",$B1342&lt;&gt;"",$C1342&lt;$B1342),"⚠ Vencimento anterior à competência","OK"))))))))</f>
        <v/>
      </c>
    </row>
    <row r="1343">
      <c r="A1343" s="14" t="n"/>
      <c r="B1343" s="36" t="n"/>
      <c r="C1343" s="36" t="n"/>
      <c r="D1343" s="36" t="n"/>
      <c r="E1343" s="14" t="n"/>
      <c r="F1343" s="29" t="n"/>
      <c r="G1343" s="29" t="n"/>
      <c r="H1343" s="29" t="n"/>
      <c r="I1343" s="29" t="n"/>
      <c r="J1343" s="29" t="n"/>
      <c r="K1343" s="14" t="n"/>
      <c r="L1343" s="29" t="n"/>
      <c r="M1343" s="14" t="n"/>
      <c r="N1343" s="29" t="n"/>
      <c r="O1343" s="13" t="n"/>
      <c r="P1343" s="13" t="n"/>
      <c r="Q1343" s="35" t="n"/>
      <c r="R1343" s="35" t="n"/>
      <c r="S1343" s="35" t="n"/>
      <c r="T1343" s="35" t="n"/>
      <c r="U1343" s="35" t="n"/>
      <c r="V1343" s="18">
        <f>IF(COUNTA($B1343:$R1343)=0,"",ROUND(N($R1343)+N($S1343)+N($T1343)-N($U1343),2))</f>
        <v/>
      </c>
      <c r="W1343" s="18">
        <f>IF(COUNTA($B1343:$R1343)=0,"",IF(OR($X1343="Pago",$X1343="Recebido",$X1343="Cancelado"),0,ROUND(N($Q1343)+N($S1343)+N($T1343)-N($U1343)-N($R1343),2)))</f>
        <v/>
      </c>
      <c r="X1343" s="14" t="n"/>
      <c r="Y1343" s="17">
        <f>IF(COUNTA($B1343:$R1343)=0,"",IF($X1343="Cancelado","Cancelado",IF(OR($X1343="Pago",$X1343="Recebido"),$X1343,IF(OR($X1343="Parcial",N($R1343)&gt;0),"Parcial",IF($C1343="","Sem vencimento",IF($C1343&lt;TODAY(),"Vencido",IF($C1343=TODAY(),"Vence hoje",IF($C1343&lt;=TODAY()+7,"Vence em 7 dias",IF($C1343&lt;=TODAY()+30,"Vence em 30 dias","Futuro")))))))))</f>
        <v/>
      </c>
      <c r="Z1343" s="24">
        <f>IF($B1343="","",MONTH($B1343))</f>
        <v/>
      </c>
      <c r="AA1343" s="24">
        <f>IF($B1343="","",YEAR($B1343))</f>
        <v/>
      </c>
      <c r="AB1343" s="24">
        <f>IF($B1343="","",ISOWEEKNUM($B1343))</f>
        <v/>
      </c>
      <c r="AC1343" s="17">
        <f>IF($B1343="","",CHOOSE(WEEKDAY($B1343,2),"Segunda","Terça","Quarta","Quinta","Sexta","Sábado","Domingo"))</f>
        <v/>
      </c>
      <c r="AD1343" s="17">
        <f>IF($B1343="","",TEXT($B1343,"MM/AAAA"))</f>
        <v/>
      </c>
      <c r="AE1343" s="18">
        <f>IF(COUNTA($B1343:$R1343)=0,"",IF($X1343="Cancelado",0,ROUND(N($Q1343)+N($S1343)+N($T1343)-N($U1343),2)))</f>
        <v/>
      </c>
      <c r="AF1343" s="9">
        <f>IF($G1343="","",IFERROR(INDEX(LINHAS_DRE_PLANO,MATCH($G1343,SUBCATEGORIAS_PLANO,0)),"Não classificado"))</f>
        <v/>
      </c>
      <c r="AG1343" s="17">
        <f>IF($G1343="","",IFERROR(INDEX(TIPOS_FLUXO_PLANO,MATCH($G1343,SUBCATEGORIAS_PLANO,0)),"Não classificado"))</f>
        <v/>
      </c>
      <c r="AH1343" s="9">
        <f>IF($G1343="","",IFERROR(INDEX(GRUPOS_PLANO,MATCH($G1343,SUBCATEGORIAS_PLANO,0)),"Não classificado"))</f>
        <v/>
      </c>
      <c r="AI1343" s="24">
        <f>IF(OR($C1343="",$X1343="Pago",$X1343="Recebido",$X1343="Cancelado"),"",$C1343-TODAY())</f>
        <v/>
      </c>
      <c r="AJ1343" s="24">
        <f>IF(OR($C1343="",$X1343="Pago",$X1343="Recebido",$X1343="Cancelado"),0,MAX(0,TODAY()-$C1343))</f>
        <v/>
      </c>
      <c r="AK1343" s="24">
        <f>IF($D1343="","",$D1343-$B1343)</f>
        <v/>
      </c>
      <c r="AL1343" s="18">
        <f>IF(OR($D1343="",$B1343=""),"",ROUND(N($R1343)*($D1343-$B1343),2))</f>
        <v/>
      </c>
      <c r="AM1343" s="17">
        <f>IF(AND($E1343="Saída",$W1343&gt;0,$C1343&lt;&gt;""),$C1343+ROW()/1000000,"")</f>
        <v/>
      </c>
      <c r="AN1343" s="17">
        <f>IF(AND($E1343="Entrada",$W1343&gt;0,$C1343&lt;&gt;""),$C1343+ROW()/1000000,"")</f>
        <v/>
      </c>
      <c r="AO1343" s="9">
        <f>IF(COUNTA($B1343:$R1343)=0,"",IF(AND($I1343&lt;&gt;"",COUNTIF(CLIENTES_NOMES,$I1343)+COUNTIF(CLIENTES_FANTASIA,$I1343)+COUNTIF(FORNECEDORES_NOMES,$I1343)+COUNTIF(FORNECEDORES_FANTASIA,$I1343)=0),"⚠ Cliente/Fornecedor não cadastrado",IF(AND($G1343&lt;&gt;"",COUNTIF(SUBCATEGORIAS_PLANO,$G1343)=0),"⚠ Subcategoria fora do plano de contas",IF(OR($Q1343="",N($Q1343)=0),"⚠ Valor previsto não informado",IF(AND(OR($X1343="Pago",$X1343="Recebido"),$D1343=""),"⚠ Status pago/recebido sem data",IF(AND($D1343&lt;&gt;"",N($R1343)=0),"⚠ Data de pagamento sem valor realizado",IF(AND(N($P1343)&gt;1,N($O1343)&gt;N($P1343)),"⚠ Nº da parcela maior que o total",IF(AND($C1343&lt;&gt;"",$B1343&lt;&gt;"",$C1343&lt;$B1343),"⚠ Vencimento anterior à competência","OK"))))))))</f>
        <v/>
      </c>
    </row>
    <row r="1344">
      <c r="A1344" s="14" t="n"/>
      <c r="B1344" s="36" t="n"/>
      <c r="C1344" s="36" t="n"/>
      <c r="D1344" s="36" t="n"/>
      <c r="E1344" s="14" t="n"/>
      <c r="F1344" s="29" t="n"/>
      <c r="G1344" s="29" t="n"/>
      <c r="H1344" s="29" t="n"/>
      <c r="I1344" s="29" t="n"/>
      <c r="J1344" s="29" t="n"/>
      <c r="K1344" s="14" t="n"/>
      <c r="L1344" s="29" t="n"/>
      <c r="M1344" s="14" t="n"/>
      <c r="N1344" s="29" t="n"/>
      <c r="O1344" s="13" t="n"/>
      <c r="P1344" s="13" t="n"/>
      <c r="Q1344" s="35" t="n"/>
      <c r="R1344" s="35" t="n"/>
      <c r="S1344" s="35" t="n"/>
      <c r="T1344" s="35" t="n"/>
      <c r="U1344" s="35" t="n"/>
      <c r="V1344" s="18">
        <f>IF(COUNTA($B1344:$R1344)=0,"",ROUND(N($R1344)+N($S1344)+N($T1344)-N($U1344),2))</f>
        <v/>
      </c>
      <c r="W1344" s="18">
        <f>IF(COUNTA($B1344:$R1344)=0,"",IF(OR($X1344="Pago",$X1344="Recebido",$X1344="Cancelado"),0,ROUND(N($Q1344)+N($S1344)+N($T1344)-N($U1344)-N($R1344),2)))</f>
        <v/>
      </c>
      <c r="X1344" s="14" t="n"/>
      <c r="Y1344" s="17">
        <f>IF(COUNTA($B1344:$R1344)=0,"",IF($X1344="Cancelado","Cancelado",IF(OR($X1344="Pago",$X1344="Recebido"),$X1344,IF(OR($X1344="Parcial",N($R1344)&gt;0),"Parcial",IF($C1344="","Sem vencimento",IF($C1344&lt;TODAY(),"Vencido",IF($C1344=TODAY(),"Vence hoje",IF($C1344&lt;=TODAY()+7,"Vence em 7 dias",IF($C1344&lt;=TODAY()+30,"Vence em 30 dias","Futuro")))))))))</f>
        <v/>
      </c>
      <c r="Z1344" s="24">
        <f>IF($B1344="","",MONTH($B1344))</f>
        <v/>
      </c>
      <c r="AA1344" s="24">
        <f>IF($B1344="","",YEAR($B1344))</f>
        <v/>
      </c>
      <c r="AB1344" s="24">
        <f>IF($B1344="","",ISOWEEKNUM($B1344))</f>
        <v/>
      </c>
      <c r="AC1344" s="17">
        <f>IF($B1344="","",CHOOSE(WEEKDAY($B1344,2),"Segunda","Terça","Quarta","Quinta","Sexta","Sábado","Domingo"))</f>
        <v/>
      </c>
      <c r="AD1344" s="17">
        <f>IF($B1344="","",TEXT($B1344,"MM/AAAA"))</f>
        <v/>
      </c>
      <c r="AE1344" s="18">
        <f>IF(COUNTA($B1344:$R1344)=0,"",IF($X1344="Cancelado",0,ROUND(N($Q1344)+N($S1344)+N($T1344)-N($U1344),2)))</f>
        <v/>
      </c>
      <c r="AF1344" s="9">
        <f>IF($G1344="","",IFERROR(INDEX(LINHAS_DRE_PLANO,MATCH($G1344,SUBCATEGORIAS_PLANO,0)),"Não classificado"))</f>
        <v/>
      </c>
      <c r="AG1344" s="17">
        <f>IF($G1344="","",IFERROR(INDEX(TIPOS_FLUXO_PLANO,MATCH($G1344,SUBCATEGORIAS_PLANO,0)),"Não classificado"))</f>
        <v/>
      </c>
      <c r="AH1344" s="9">
        <f>IF($G1344="","",IFERROR(INDEX(GRUPOS_PLANO,MATCH($G1344,SUBCATEGORIAS_PLANO,0)),"Não classificado"))</f>
        <v/>
      </c>
      <c r="AI1344" s="24">
        <f>IF(OR($C1344="",$X1344="Pago",$X1344="Recebido",$X1344="Cancelado"),"",$C1344-TODAY())</f>
        <v/>
      </c>
      <c r="AJ1344" s="24">
        <f>IF(OR($C1344="",$X1344="Pago",$X1344="Recebido",$X1344="Cancelado"),0,MAX(0,TODAY()-$C1344))</f>
        <v/>
      </c>
      <c r="AK1344" s="24">
        <f>IF($D1344="","",$D1344-$B1344)</f>
        <v/>
      </c>
      <c r="AL1344" s="18">
        <f>IF(OR($D1344="",$B1344=""),"",ROUND(N($R1344)*($D1344-$B1344),2))</f>
        <v/>
      </c>
      <c r="AM1344" s="17">
        <f>IF(AND($E1344="Saída",$W1344&gt;0,$C1344&lt;&gt;""),$C1344+ROW()/1000000,"")</f>
        <v/>
      </c>
      <c r="AN1344" s="17">
        <f>IF(AND($E1344="Entrada",$W1344&gt;0,$C1344&lt;&gt;""),$C1344+ROW()/1000000,"")</f>
        <v/>
      </c>
      <c r="AO1344" s="9">
        <f>IF(COUNTA($B1344:$R1344)=0,"",IF(AND($I1344&lt;&gt;"",COUNTIF(CLIENTES_NOMES,$I1344)+COUNTIF(CLIENTES_FANTASIA,$I1344)+COUNTIF(FORNECEDORES_NOMES,$I1344)+COUNTIF(FORNECEDORES_FANTASIA,$I1344)=0),"⚠ Cliente/Fornecedor não cadastrado",IF(AND($G1344&lt;&gt;"",COUNTIF(SUBCATEGORIAS_PLANO,$G1344)=0),"⚠ Subcategoria fora do plano de contas",IF(OR($Q1344="",N($Q1344)=0),"⚠ Valor previsto não informado",IF(AND(OR($X1344="Pago",$X1344="Recebido"),$D1344=""),"⚠ Status pago/recebido sem data",IF(AND($D1344&lt;&gt;"",N($R1344)=0),"⚠ Data de pagamento sem valor realizado",IF(AND(N($P1344)&gt;1,N($O1344)&gt;N($P1344)),"⚠ Nº da parcela maior que o total",IF(AND($C1344&lt;&gt;"",$B1344&lt;&gt;"",$C1344&lt;$B1344),"⚠ Vencimento anterior à competência","OK"))))))))</f>
        <v/>
      </c>
    </row>
    <row r="1345">
      <c r="A1345" s="14" t="n"/>
      <c r="B1345" s="36" t="n"/>
      <c r="C1345" s="36" t="n"/>
      <c r="D1345" s="36" t="n"/>
      <c r="E1345" s="14" t="n"/>
      <c r="F1345" s="29" t="n"/>
      <c r="G1345" s="29" t="n"/>
      <c r="H1345" s="29" t="n"/>
      <c r="I1345" s="29" t="n"/>
      <c r="J1345" s="29" t="n"/>
      <c r="K1345" s="14" t="n"/>
      <c r="L1345" s="29" t="n"/>
      <c r="M1345" s="14" t="n"/>
      <c r="N1345" s="29" t="n"/>
      <c r="O1345" s="13" t="n"/>
      <c r="P1345" s="13" t="n"/>
      <c r="Q1345" s="35" t="n"/>
      <c r="R1345" s="35" t="n"/>
      <c r="S1345" s="35" t="n"/>
      <c r="T1345" s="35" t="n"/>
      <c r="U1345" s="35" t="n"/>
      <c r="V1345" s="18">
        <f>IF(COUNTA($B1345:$R1345)=0,"",ROUND(N($R1345)+N($S1345)+N($T1345)-N($U1345),2))</f>
        <v/>
      </c>
      <c r="W1345" s="18">
        <f>IF(COUNTA($B1345:$R1345)=0,"",IF(OR($X1345="Pago",$X1345="Recebido",$X1345="Cancelado"),0,ROUND(N($Q1345)+N($S1345)+N($T1345)-N($U1345)-N($R1345),2)))</f>
        <v/>
      </c>
      <c r="X1345" s="14" t="n"/>
      <c r="Y1345" s="17">
        <f>IF(COUNTA($B1345:$R1345)=0,"",IF($X1345="Cancelado","Cancelado",IF(OR($X1345="Pago",$X1345="Recebido"),$X1345,IF(OR($X1345="Parcial",N($R1345)&gt;0),"Parcial",IF($C1345="","Sem vencimento",IF($C1345&lt;TODAY(),"Vencido",IF($C1345=TODAY(),"Vence hoje",IF($C1345&lt;=TODAY()+7,"Vence em 7 dias",IF($C1345&lt;=TODAY()+30,"Vence em 30 dias","Futuro")))))))))</f>
        <v/>
      </c>
      <c r="Z1345" s="24">
        <f>IF($B1345="","",MONTH($B1345))</f>
        <v/>
      </c>
      <c r="AA1345" s="24">
        <f>IF($B1345="","",YEAR($B1345))</f>
        <v/>
      </c>
      <c r="AB1345" s="24">
        <f>IF($B1345="","",ISOWEEKNUM($B1345))</f>
        <v/>
      </c>
      <c r="AC1345" s="17">
        <f>IF($B1345="","",CHOOSE(WEEKDAY($B1345,2),"Segunda","Terça","Quarta","Quinta","Sexta","Sábado","Domingo"))</f>
        <v/>
      </c>
      <c r="AD1345" s="17">
        <f>IF($B1345="","",TEXT($B1345,"MM/AAAA"))</f>
        <v/>
      </c>
      <c r="AE1345" s="18">
        <f>IF(COUNTA($B1345:$R1345)=0,"",IF($X1345="Cancelado",0,ROUND(N($Q1345)+N($S1345)+N($T1345)-N($U1345),2)))</f>
        <v/>
      </c>
      <c r="AF1345" s="9">
        <f>IF($G1345="","",IFERROR(INDEX(LINHAS_DRE_PLANO,MATCH($G1345,SUBCATEGORIAS_PLANO,0)),"Não classificado"))</f>
        <v/>
      </c>
      <c r="AG1345" s="17">
        <f>IF($G1345="","",IFERROR(INDEX(TIPOS_FLUXO_PLANO,MATCH($G1345,SUBCATEGORIAS_PLANO,0)),"Não classificado"))</f>
        <v/>
      </c>
      <c r="AH1345" s="9">
        <f>IF($G1345="","",IFERROR(INDEX(GRUPOS_PLANO,MATCH($G1345,SUBCATEGORIAS_PLANO,0)),"Não classificado"))</f>
        <v/>
      </c>
      <c r="AI1345" s="24">
        <f>IF(OR($C1345="",$X1345="Pago",$X1345="Recebido",$X1345="Cancelado"),"",$C1345-TODAY())</f>
        <v/>
      </c>
      <c r="AJ1345" s="24">
        <f>IF(OR($C1345="",$X1345="Pago",$X1345="Recebido",$X1345="Cancelado"),0,MAX(0,TODAY()-$C1345))</f>
        <v/>
      </c>
      <c r="AK1345" s="24">
        <f>IF($D1345="","",$D1345-$B1345)</f>
        <v/>
      </c>
      <c r="AL1345" s="18">
        <f>IF(OR($D1345="",$B1345=""),"",ROUND(N($R1345)*($D1345-$B1345),2))</f>
        <v/>
      </c>
      <c r="AM1345" s="17">
        <f>IF(AND($E1345="Saída",$W1345&gt;0,$C1345&lt;&gt;""),$C1345+ROW()/1000000,"")</f>
        <v/>
      </c>
      <c r="AN1345" s="17">
        <f>IF(AND($E1345="Entrada",$W1345&gt;0,$C1345&lt;&gt;""),$C1345+ROW()/1000000,"")</f>
        <v/>
      </c>
      <c r="AO1345" s="9">
        <f>IF(COUNTA($B1345:$R1345)=0,"",IF(AND($I1345&lt;&gt;"",COUNTIF(CLIENTES_NOMES,$I1345)+COUNTIF(CLIENTES_FANTASIA,$I1345)+COUNTIF(FORNECEDORES_NOMES,$I1345)+COUNTIF(FORNECEDORES_FANTASIA,$I1345)=0),"⚠ Cliente/Fornecedor não cadastrado",IF(AND($G1345&lt;&gt;"",COUNTIF(SUBCATEGORIAS_PLANO,$G1345)=0),"⚠ Subcategoria fora do plano de contas",IF(OR($Q1345="",N($Q1345)=0),"⚠ Valor previsto não informado",IF(AND(OR($X1345="Pago",$X1345="Recebido"),$D1345=""),"⚠ Status pago/recebido sem data",IF(AND($D1345&lt;&gt;"",N($R1345)=0),"⚠ Data de pagamento sem valor realizado",IF(AND(N($P1345)&gt;1,N($O1345)&gt;N($P1345)),"⚠ Nº da parcela maior que o total",IF(AND($C1345&lt;&gt;"",$B1345&lt;&gt;"",$C1345&lt;$B1345),"⚠ Vencimento anterior à competência","OK"))))))))</f>
        <v/>
      </c>
    </row>
    <row r="1346">
      <c r="A1346" s="14" t="n"/>
      <c r="B1346" s="36" t="n"/>
      <c r="C1346" s="36" t="n"/>
      <c r="D1346" s="36" t="n"/>
      <c r="E1346" s="14" t="n"/>
      <c r="F1346" s="29" t="n"/>
      <c r="G1346" s="29" t="n"/>
      <c r="H1346" s="29" t="n"/>
      <c r="I1346" s="29" t="n"/>
      <c r="J1346" s="29" t="n"/>
      <c r="K1346" s="14" t="n"/>
      <c r="L1346" s="29" t="n"/>
      <c r="M1346" s="14" t="n"/>
      <c r="N1346" s="29" t="n"/>
      <c r="O1346" s="13" t="n"/>
      <c r="P1346" s="13" t="n"/>
      <c r="Q1346" s="35" t="n"/>
      <c r="R1346" s="35" t="n"/>
      <c r="S1346" s="35" t="n"/>
      <c r="T1346" s="35" t="n"/>
      <c r="U1346" s="35" t="n"/>
      <c r="V1346" s="18">
        <f>IF(COUNTA($B1346:$R1346)=0,"",ROUND(N($R1346)+N($S1346)+N($T1346)-N($U1346),2))</f>
        <v/>
      </c>
      <c r="W1346" s="18">
        <f>IF(COUNTA($B1346:$R1346)=0,"",IF(OR($X1346="Pago",$X1346="Recebido",$X1346="Cancelado"),0,ROUND(N($Q1346)+N($S1346)+N($T1346)-N($U1346)-N($R1346),2)))</f>
        <v/>
      </c>
      <c r="X1346" s="14" t="n"/>
      <c r="Y1346" s="17">
        <f>IF(COUNTA($B1346:$R1346)=0,"",IF($X1346="Cancelado","Cancelado",IF(OR($X1346="Pago",$X1346="Recebido"),$X1346,IF(OR($X1346="Parcial",N($R1346)&gt;0),"Parcial",IF($C1346="","Sem vencimento",IF($C1346&lt;TODAY(),"Vencido",IF($C1346=TODAY(),"Vence hoje",IF($C1346&lt;=TODAY()+7,"Vence em 7 dias",IF($C1346&lt;=TODAY()+30,"Vence em 30 dias","Futuro")))))))))</f>
        <v/>
      </c>
      <c r="Z1346" s="24">
        <f>IF($B1346="","",MONTH($B1346))</f>
        <v/>
      </c>
      <c r="AA1346" s="24">
        <f>IF($B1346="","",YEAR($B1346))</f>
        <v/>
      </c>
      <c r="AB1346" s="24">
        <f>IF($B1346="","",ISOWEEKNUM($B1346))</f>
        <v/>
      </c>
      <c r="AC1346" s="17">
        <f>IF($B1346="","",CHOOSE(WEEKDAY($B1346,2),"Segunda","Terça","Quarta","Quinta","Sexta","Sábado","Domingo"))</f>
        <v/>
      </c>
      <c r="AD1346" s="17">
        <f>IF($B1346="","",TEXT($B1346,"MM/AAAA"))</f>
        <v/>
      </c>
      <c r="AE1346" s="18">
        <f>IF(COUNTA($B1346:$R1346)=0,"",IF($X1346="Cancelado",0,ROUND(N($Q1346)+N($S1346)+N($T1346)-N($U1346),2)))</f>
        <v/>
      </c>
      <c r="AF1346" s="9">
        <f>IF($G1346="","",IFERROR(INDEX(LINHAS_DRE_PLANO,MATCH($G1346,SUBCATEGORIAS_PLANO,0)),"Não classificado"))</f>
        <v/>
      </c>
      <c r="AG1346" s="17">
        <f>IF($G1346="","",IFERROR(INDEX(TIPOS_FLUXO_PLANO,MATCH($G1346,SUBCATEGORIAS_PLANO,0)),"Não classificado"))</f>
        <v/>
      </c>
      <c r="AH1346" s="9">
        <f>IF($G1346="","",IFERROR(INDEX(GRUPOS_PLANO,MATCH($G1346,SUBCATEGORIAS_PLANO,0)),"Não classificado"))</f>
        <v/>
      </c>
      <c r="AI1346" s="24">
        <f>IF(OR($C1346="",$X1346="Pago",$X1346="Recebido",$X1346="Cancelado"),"",$C1346-TODAY())</f>
        <v/>
      </c>
      <c r="AJ1346" s="24">
        <f>IF(OR($C1346="",$X1346="Pago",$X1346="Recebido",$X1346="Cancelado"),0,MAX(0,TODAY()-$C1346))</f>
        <v/>
      </c>
      <c r="AK1346" s="24">
        <f>IF($D1346="","",$D1346-$B1346)</f>
        <v/>
      </c>
      <c r="AL1346" s="18">
        <f>IF(OR($D1346="",$B1346=""),"",ROUND(N($R1346)*($D1346-$B1346),2))</f>
        <v/>
      </c>
      <c r="AM1346" s="17">
        <f>IF(AND($E1346="Saída",$W1346&gt;0,$C1346&lt;&gt;""),$C1346+ROW()/1000000,"")</f>
        <v/>
      </c>
      <c r="AN1346" s="17">
        <f>IF(AND($E1346="Entrada",$W1346&gt;0,$C1346&lt;&gt;""),$C1346+ROW()/1000000,"")</f>
        <v/>
      </c>
      <c r="AO1346" s="9">
        <f>IF(COUNTA($B1346:$R1346)=0,"",IF(AND($I1346&lt;&gt;"",COUNTIF(CLIENTES_NOMES,$I1346)+COUNTIF(CLIENTES_FANTASIA,$I1346)+COUNTIF(FORNECEDORES_NOMES,$I1346)+COUNTIF(FORNECEDORES_FANTASIA,$I1346)=0),"⚠ Cliente/Fornecedor não cadastrado",IF(AND($G1346&lt;&gt;"",COUNTIF(SUBCATEGORIAS_PLANO,$G1346)=0),"⚠ Subcategoria fora do plano de contas",IF(OR($Q1346="",N($Q1346)=0),"⚠ Valor previsto não informado",IF(AND(OR($X1346="Pago",$X1346="Recebido"),$D1346=""),"⚠ Status pago/recebido sem data",IF(AND($D1346&lt;&gt;"",N($R1346)=0),"⚠ Data de pagamento sem valor realizado",IF(AND(N($P1346)&gt;1,N($O1346)&gt;N($P1346)),"⚠ Nº da parcela maior que o total",IF(AND($C1346&lt;&gt;"",$B1346&lt;&gt;"",$C1346&lt;$B1346),"⚠ Vencimento anterior à competência","OK"))))))))</f>
        <v/>
      </c>
    </row>
    <row r="1347">
      <c r="A1347" s="14" t="n"/>
      <c r="B1347" s="36" t="n"/>
      <c r="C1347" s="36" t="n"/>
      <c r="D1347" s="36" t="n"/>
      <c r="E1347" s="14" t="n"/>
      <c r="F1347" s="29" t="n"/>
      <c r="G1347" s="29" t="n"/>
      <c r="H1347" s="29" t="n"/>
      <c r="I1347" s="29" t="n"/>
      <c r="J1347" s="29" t="n"/>
      <c r="K1347" s="14" t="n"/>
      <c r="L1347" s="29" t="n"/>
      <c r="M1347" s="14" t="n"/>
      <c r="N1347" s="29" t="n"/>
      <c r="O1347" s="13" t="n"/>
      <c r="P1347" s="13" t="n"/>
      <c r="Q1347" s="35" t="n"/>
      <c r="R1347" s="35" t="n"/>
      <c r="S1347" s="35" t="n"/>
      <c r="T1347" s="35" t="n"/>
      <c r="U1347" s="35" t="n"/>
      <c r="V1347" s="18">
        <f>IF(COUNTA($B1347:$R1347)=0,"",ROUND(N($R1347)+N($S1347)+N($T1347)-N($U1347),2))</f>
        <v/>
      </c>
      <c r="W1347" s="18">
        <f>IF(COUNTA($B1347:$R1347)=0,"",IF(OR($X1347="Pago",$X1347="Recebido",$X1347="Cancelado"),0,ROUND(N($Q1347)+N($S1347)+N($T1347)-N($U1347)-N($R1347),2)))</f>
        <v/>
      </c>
      <c r="X1347" s="14" t="n"/>
      <c r="Y1347" s="17">
        <f>IF(COUNTA($B1347:$R1347)=0,"",IF($X1347="Cancelado","Cancelado",IF(OR($X1347="Pago",$X1347="Recebido"),$X1347,IF(OR($X1347="Parcial",N($R1347)&gt;0),"Parcial",IF($C1347="","Sem vencimento",IF($C1347&lt;TODAY(),"Vencido",IF($C1347=TODAY(),"Vence hoje",IF($C1347&lt;=TODAY()+7,"Vence em 7 dias",IF($C1347&lt;=TODAY()+30,"Vence em 30 dias","Futuro")))))))))</f>
        <v/>
      </c>
      <c r="Z1347" s="24">
        <f>IF($B1347="","",MONTH($B1347))</f>
        <v/>
      </c>
      <c r="AA1347" s="24">
        <f>IF($B1347="","",YEAR($B1347))</f>
        <v/>
      </c>
      <c r="AB1347" s="24">
        <f>IF($B1347="","",ISOWEEKNUM($B1347))</f>
        <v/>
      </c>
      <c r="AC1347" s="17">
        <f>IF($B1347="","",CHOOSE(WEEKDAY($B1347,2),"Segunda","Terça","Quarta","Quinta","Sexta","Sábado","Domingo"))</f>
        <v/>
      </c>
      <c r="AD1347" s="17">
        <f>IF($B1347="","",TEXT($B1347,"MM/AAAA"))</f>
        <v/>
      </c>
      <c r="AE1347" s="18">
        <f>IF(COUNTA($B1347:$R1347)=0,"",IF($X1347="Cancelado",0,ROUND(N($Q1347)+N($S1347)+N($T1347)-N($U1347),2)))</f>
        <v/>
      </c>
      <c r="AF1347" s="9">
        <f>IF($G1347="","",IFERROR(INDEX(LINHAS_DRE_PLANO,MATCH($G1347,SUBCATEGORIAS_PLANO,0)),"Não classificado"))</f>
        <v/>
      </c>
      <c r="AG1347" s="17">
        <f>IF($G1347="","",IFERROR(INDEX(TIPOS_FLUXO_PLANO,MATCH($G1347,SUBCATEGORIAS_PLANO,0)),"Não classificado"))</f>
        <v/>
      </c>
      <c r="AH1347" s="9">
        <f>IF($G1347="","",IFERROR(INDEX(GRUPOS_PLANO,MATCH($G1347,SUBCATEGORIAS_PLANO,0)),"Não classificado"))</f>
        <v/>
      </c>
      <c r="AI1347" s="24">
        <f>IF(OR($C1347="",$X1347="Pago",$X1347="Recebido",$X1347="Cancelado"),"",$C1347-TODAY())</f>
        <v/>
      </c>
      <c r="AJ1347" s="24">
        <f>IF(OR($C1347="",$X1347="Pago",$X1347="Recebido",$X1347="Cancelado"),0,MAX(0,TODAY()-$C1347))</f>
        <v/>
      </c>
      <c r="AK1347" s="24">
        <f>IF($D1347="","",$D1347-$B1347)</f>
        <v/>
      </c>
      <c r="AL1347" s="18">
        <f>IF(OR($D1347="",$B1347=""),"",ROUND(N($R1347)*($D1347-$B1347),2))</f>
        <v/>
      </c>
      <c r="AM1347" s="17">
        <f>IF(AND($E1347="Saída",$W1347&gt;0,$C1347&lt;&gt;""),$C1347+ROW()/1000000,"")</f>
        <v/>
      </c>
      <c r="AN1347" s="17">
        <f>IF(AND($E1347="Entrada",$W1347&gt;0,$C1347&lt;&gt;""),$C1347+ROW()/1000000,"")</f>
        <v/>
      </c>
      <c r="AO1347" s="9">
        <f>IF(COUNTA($B1347:$R1347)=0,"",IF(AND($I1347&lt;&gt;"",COUNTIF(CLIENTES_NOMES,$I1347)+COUNTIF(CLIENTES_FANTASIA,$I1347)+COUNTIF(FORNECEDORES_NOMES,$I1347)+COUNTIF(FORNECEDORES_FANTASIA,$I1347)=0),"⚠ Cliente/Fornecedor não cadastrado",IF(AND($G1347&lt;&gt;"",COUNTIF(SUBCATEGORIAS_PLANO,$G1347)=0),"⚠ Subcategoria fora do plano de contas",IF(OR($Q1347="",N($Q1347)=0),"⚠ Valor previsto não informado",IF(AND(OR($X1347="Pago",$X1347="Recebido"),$D1347=""),"⚠ Status pago/recebido sem data",IF(AND($D1347&lt;&gt;"",N($R1347)=0),"⚠ Data de pagamento sem valor realizado",IF(AND(N($P1347)&gt;1,N($O1347)&gt;N($P1347)),"⚠ Nº da parcela maior que o total",IF(AND($C1347&lt;&gt;"",$B1347&lt;&gt;"",$C1347&lt;$B1347),"⚠ Vencimento anterior à competência","OK"))))))))</f>
        <v/>
      </c>
    </row>
    <row r="1348">
      <c r="A1348" s="14" t="n"/>
      <c r="B1348" s="36" t="n"/>
      <c r="C1348" s="36" t="n"/>
      <c r="D1348" s="36" t="n"/>
      <c r="E1348" s="14" t="n"/>
      <c r="F1348" s="29" t="n"/>
      <c r="G1348" s="29" t="n"/>
      <c r="H1348" s="29" t="n"/>
      <c r="I1348" s="29" t="n"/>
      <c r="J1348" s="29" t="n"/>
      <c r="K1348" s="14" t="n"/>
      <c r="L1348" s="29" t="n"/>
      <c r="M1348" s="14" t="n"/>
      <c r="N1348" s="29" t="n"/>
      <c r="O1348" s="13" t="n"/>
      <c r="P1348" s="13" t="n"/>
      <c r="Q1348" s="35" t="n"/>
      <c r="R1348" s="35" t="n"/>
      <c r="S1348" s="35" t="n"/>
      <c r="T1348" s="35" t="n"/>
      <c r="U1348" s="35" t="n"/>
      <c r="V1348" s="18">
        <f>IF(COUNTA($B1348:$R1348)=0,"",ROUND(N($R1348)+N($S1348)+N($T1348)-N($U1348),2))</f>
        <v/>
      </c>
      <c r="W1348" s="18">
        <f>IF(COUNTA($B1348:$R1348)=0,"",IF(OR($X1348="Pago",$X1348="Recebido",$X1348="Cancelado"),0,ROUND(N($Q1348)+N($S1348)+N($T1348)-N($U1348)-N($R1348),2)))</f>
        <v/>
      </c>
      <c r="X1348" s="14" t="n"/>
      <c r="Y1348" s="17">
        <f>IF(COUNTA($B1348:$R1348)=0,"",IF($X1348="Cancelado","Cancelado",IF(OR($X1348="Pago",$X1348="Recebido"),$X1348,IF(OR($X1348="Parcial",N($R1348)&gt;0),"Parcial",IF($C1348="","Sem vencimento",IF($C1348&lt;TODAY(),"Vencido",IF($C1348=TODAY(),"Vence hoje",IF($C1348&lt;=TODAY()+7,"Vence em 7 dias",IF($C1348&lt;=TODAY()+30,"Vence em 30 dias","Futuro")))))))))</f>
        <v/>
      </c>
      <c r="Z1348" s="24">
        <f>IF($B1348="","",MONTH($B1348))</f>
        <v/>
      </c>
      <c r="AA1348" s="24">
        <f>IF($B1348="","",YEAR($B1348))</f>
        <v/>
      </c>
      <c r="AB1348" s="24">
        <f>IF($B1348="","",ISOWEEKNUM($B1348))</f>
        <v/>
      </c>
      <c r="AC1348" s="17">
        <f>IF($B1348="","",CHOOSE(WEEKDAY($B1348,2),"Segunda","Terça","Quarta","Quinta","Sexta","Sábado","Domingo"))</f>
        <v/>
      </c>
      <c r="AD1348" s="17">
        <f>IF($B1348="","",TEXT($B1348,"MM/AAAA"))</f>
        <v/>
      </c>
      <c r="AE1348" s="18">
        <f>IF(COUNTA($B1348:$R1348)=0,"",IF($X1348="Cancelado",0,ROUND(N($Q1348)+N($S1348)+N($T1348)-N($U1348),2)))</f>
        <v/>
      </c>
      <c r="AF1348" s="9">
        <f>IF($G1348="","",IFERROR(INDEX(LINHAS_DRE_PLANO,MATCH($G1348,SUBCATEGORIAS_PLANO,0)),"Não classificado"))</f>
        <v/>
      </c>
      <c r="AG1348" s="17">
        <f>IF($G1348="","",IFERROR(INDEX(TIPOS_FLUXO_PLANO,MATCH($G1348,SUBCATEGORIAS_PLANO,0)),"Não classificado"))</f>
        <v/>
      </c>
      <c r="AH1348" s="9">
        <f>IF($G1348="","",IFERROR(INDEX(GRUPOS_PLANO,MATCH($G1348,SUBCATEGORIAS_PLANO,0)),"Não classificado"))</f>
        <v/>
      </c>
      <c r="AI1348" s="24">
        <f>IF(OR($C1348="",$X1348="Pago",$X1348="Recebido",$X1348="Cancelado"),"",$C1348-TODAY())</f>
        <v/>
      </c>
      <c r="AJ1348" s="24">
        <f>IF(OR($C1348="",$X1348="Pago",$X1348="Recebido",$X1348="Cancelado"),0,MAX(0,TODAY()-$C1348))</f>
        <v/>
      </c>
      <c r="AK1348" s="24">
        <f>IF($D1348="","",$D1348-$B1348)</f>
        <v/>
      </c>
      <c r="AL1348" s="18">
        <f>IF(OR($D1348="",$B1348=""),"",ROUND(N($R1348)*($D1348-$B1348),2))</f>
        <v/>
      </c>
      <c r="AM1348" s="17">
        <f>IF(AND($E1348="Saída",$W1348&gt;0,$C1348&lt;&gt;""),$C1348+ROW()/1000000,"")</f>
        <v/>
      </c>
      <c r="AN1348" s="17">
        <f>IF(AND($E1348="Entrada",$W1348&gt;0,$C1348&lt;&gt;""),$C1348+ROW()/1000000,"")</f>
        <v/>
      </c>
      <c r="AO1348" s="9">
        <f>IF(COUNTA($B1348:$R1348)=0,"",IF(AND($I1348&lt;&gt;"",COUNTIF(CLIENTES_NOMES,$I1348)+COUNTIF(CLIENTES_FANTASIA,$I1348)+COUNTIF(FORNECEDORES_NOMES,$I1348)+COUNTIF(FORNECEDORES_FANTASIA,$I1348)=0),"⚠ Cliente/Fornecedor não cadastrado",IF(AND($G1348&lt;&gt;"",COUNTIF(SUBCATEGORIAS_PLANO,$G1348)=0),"⚠ Subcategoria fora do plano de contas",IF(OR($Q1348="",N($Q1348)=0),"⚠ Valor previsto não informado",IF(AND(OR($X1348="Pago",$X1348="Recebido"),$D1348=""),"⚠ Status pago/recebido sem data",IF(AND($D1348&lt;&gt;"",N($R1348)=0),"⚠ Data de pagamento sem valor realizado",IF(AND(N($P1348)&gt;1,N($O1348)&gt;N($P1348)),"⚠ Nº da parcela maior que o total",IF(AND($C1348&lt;&gt;"",$B1348&lt;&gt;"",$C1348&lt;$B1348),"⚠ Vencimento anterior à competência","OK"))))))))</f>
        <v/>
      </c>
    </row>
    <row r="1349">
      <c r="A1349" s="14" t="n"/>
      <c r="B1349" s="36" t="n"/>
      <c r="C1349" s="36" t="n"/>
      <c r="D1349" s="36" t="n"/>
      <c r="E1349" s="14" t="n"/>
      <c r="F1349" s="29" t="n"/>
      <c r="G1349" s="29" t="n"/>
      <c r="H1349" s="29" t="n"/>
      <c r="I1349" s="29" t="n"/>
      <c r="J1349" s="29" t="n"/>
      <c r="K1349" s="14" t="n"/>
      <c r="L1349" s="29" t="n"/>
      <c r="M1349" s="14" t="n"/>
      <c r="N1349" s="29" t="n"/>
      <c r="O1349" s="13" t="n"/>
      <c r="P1349" s="13" t="n"/>
      <c r="Q1349" s="35" t="n"/>
      <c r="R1349" s="35" t="n"/>
      <c r="S1349" s="35" t="n"/>
      <c r="T1349" s="35" t="n"/>
      <c r="U1349" s="35" t="n"/>
      <c r="V1349" s="18">
        <f>IF(COUNTA($B1349:$R1349)=0,"",ROUND(N($R1349)+N($S1349)+N($T1349)-N($U1349),2))</f>
        <v/>
      </c>
      <c r="W1349" s="18">
        <f>IF(COUNTA($B1349:$R1349)=0,"",IF(OR($X1349="Pago",$X1349="Recebido",$X1349="Cancelado"),0,ROUND(N($Q1349)+N($S1349)+N($T1349)-N($U1349)-N($R1349),2)))</f>
        <v/>
      </c>
      <c r="X1349" s="14" t="n"/>
      <c r="Y1349" s="17">
        <f>IF(COUNTA($B1349:$R1349)=0,"",IF($X1349="Cancelado","Cancelado",IF(OR($X1349="Pago",$X1349="Recebido"),$X1349,IF(OR($X1349="Parcial",N($R1349)&gt;0),"Parcial",IF($C1349="","Sem vencimento",IF($C1349&lt;TODAY(),"Vencido",IF($C1349=TODAY(),"Vence hoje",IF($C1349&lt;=TODAY()+7,"Vence em 7 dias",IF($C1349&lt;=TODAY()+30,"Vence em 30 dias","Futuro")))))))))</f>
        <v/>
      </c>
      <c r="Z1349" s="24">
        <f>IF($B1349="","",MONTH($B1349))</f>
        <v/>
      </c>
      <c r="AA1349" s="24">
        <f>IF($B1349="","",YEAR($B1349))</f>
        <v/>
      </c>
      <c r="AB1349" s="24">
        <f>IF($B1349="","",ISOWEEKNUM($B1349))</f>
        <v/>
      </c>
      <c r="AC1349" s="17">
        <f>IF($B1349="","",CHOOSE(WEEKDAY($B1349,2),"Segunda","Terça","Quarta","Quinta","Sexta","Sábado","Domingo"))</f>
        <v/>
      </c>
      <c r="AD1349" s="17">
        <f>IF($B1349="","",TEXT($B1349,"MM/AAAA"))</f>
        <v/>
      </c>
      <c r="AE1349" s="18">
        <f>IF(COUNTA($B1349:$R1349)=0,"",IF($X1349="Cancelado",0,ROUND(N($Q1349)+N($S1349)+N($T1349)-N($U1349),2)))</f>
        <v/>
      </c>
      <c r="AF1349" s="9">
        <f>IF($G1349="","",IFERROR(INDEX(LINHAS_DRE_PLANO,MATCH($G1349,SUBCATEGORIAS_PLANO,0)),"Não classificado"))</f>
        <v/>
      </c>
      <c r="AG1349" s="17">
        <f>IF($G1349="","",IFERROR(INDEX(TIPOS_FLUXO_PLANO,MATCH($G1349,SUBCATEGORIAS_PLANO,0)),"Não classificado"))</f>
        <v/>
      </c>
      <c r="AH1349" s="9">
        <f>IF($G1349="","",IFERROR(INDEX(GRUPOS_PLANO,MATCH($G1349,SUBCATEGORIAS_PLANO,0)),"Não classificado"))</f>
        <v/>
      </c>
      <c r="AI1349" s="24">
        <f>IF(OR($C1349="",$X1349="Pago",$X1349="Recebido",$X1349="Cancelado"),"",$C1349-TODAY())</f>
        <v/>
      </c>
      <c r="AJ1349" s="24">
        <f>IF(OR($C1349="",$X1349="Pago",$X1349="Recebido",$X1349="Cancelado"),0,MAX(0,TODAY()-$C1349))</f>
        <v/>
      </c>
      <c r="AK1349" s="24">
        <f>IF($D1349="","",$D1349-$B1349)</f>
        <v/>
      </c>
      <c r="AL1349" s="18">
        <f>IF(OR($D1349="",$B1349=""),"",ROUND(N($R1349)*($D1349-$B1349),2))</f>
        <v/>
      </c>
      <c r="AM1349" s="17">
        <f>IF(AND($E1349="Saída",$W1349&gt;0,$C1349&lt;&gt;""),$C1349+ROW()/1000000,"")</f>
        <v/>
      </c>
      <c r="AN1349" s="17">
        <f>IF(AND($E1349="Entrada",$W1349&gt;0,$C1349&lt;&gt;""),$C1349+ROW()/1000000,"")</f>
        <v/>
      </c>
      <c r="AO1349" s="9">
        <f>IF(COUNTA($B1349:$R1349)=0,"",IF(AND($I1349&lt;&gt;"",COUNTIF(CLIENTES_NOMES,$I1349)+COUNTIF(CLIENTES_FANTASIA,$I1349)+COUNTIF(FORNECEDORES_NOMES,$I1349)+COUNTIF(FORNECEDORES_FANTASIA,$I1349)=0),"⚠ Cliente/Fornecedor não cadastrado",IF(AND($G1349&lt;&gt;"",COUNTIF(SUBCATEGORIAS_PLANO,$G1349)=0),"⚠ Subcategoria fora do plano de contas",IF(OR($Q1349="",N($Q1349)=0),"⚠ Valor previsto não informado",IF(AND(OR($X1349="Pago",$X1349="Recebido"),$D1349=""),"⚠ Status pago/recebido sem data",IF(AND($D1349&lt;&gt;"",N($R1349)=0),"⚠ Data de pagamento sem valor realizado",IF(AND(N($P1349)&gt;1,N($O1349)&gt;N($P1349)),"⚠ Nº da parcela maior que o total",IF(AND($C1349&lt;&gt;"",$B1349&lt;&gt;"",$C1349&lt;$B1349),"⚠ Vencimento anterior à competência","OK"))))))))</f>
        <v/>
      </c>
    </row>
    <row r="1350">
      <c r="A1350" s="14" t="n"/>
      <c r="B1350" s="36" t="n"/>
      <c r="C1350" s="36" t="n"/>
      <c r="D1350" s="36" t="n"/>
      <c r="E1350" s="14" t="n"/>
      <c r="F1350" s="29" t="n"/>
      <c r="G1350" s="29" t="n"/>
      <c r="H1350" s="29" t="n"/>
      <c r="I1350" s="29" t="n"/>
      <c r="J1350" s="29" t="n"/>
      <c r="K1350" s="14" t="n"/>
      <c r="L1350" s="29" t="n"/>
      <c r="M1350" s="14" t="n"/>
      <c r="N1350" s="29" t="n"/>
      <c r="O1350" s="13" t="n"/>
      <c r="P1350" s="13" t="n"/>
      <c r="Q1350" s="35" t="n"/>
      <c r="R1350" s="35" t="n"/>
      <c r="S1350" s="35" t="n"/>
      <c r="T1350" s="35" t="n"/>
      <c r="U1350" s="35" t="n"/>
      <c r="V1350" s="18">
        <f>IF(COUNTA($B1350:$R1350)=0,"",ROUND(N($R1350)+N($S1350)+N($T1350)-N($U1350),2))</f>
        <v/>
      </c>
      <c r="W1350" s="18">
        <f>IF(COUNTA($B1350:$R1350)=0,"",IF(OR($X1350="Pago",$X1350="Recebido",$X1350="Cancelado"),0,ROUND(N($Q1350)+N($S1350)+N($T1350)-N($U1350)-N($R1350),2)))</f>
        <v/>
      </c>
      <c r="X1350" s="14" t="n"/>
      <c r="Y1350" s="17">
        <f>IF(COUNTA($B1350:$R1350)=0,"",IF($X1350="Cancelado","Cancelado",IF(OR($X1350="Pago",$X1350="Recebido"),$X1350,IF(OR($X1350="Parcial",N($R1350)&gt;0),"Parcial",IF($C1350="","Sem vencimento",IF($C1350&lt;TODAY(),"Vencido",IF($C1350=TODAY(),"Vence hoje",IF($C1350&lt;=TODAY()+7,"Vence em 7 dias",IF($C1350&lt;=TODAY()+30,"Vence em 30 dias","Futuro")))))))))</f>
        <v/>
      </c>
      <c r="Z1350" s="24">
        <f>IF($B1350="","",MONTH($B1350))</f>
        <v/>
      </c>
      <c r="AA1350" s="24">
        <f>IF($B1350="","",YEAR($B1350))</f>
        <v/>
      </c>
      <c r="AB1350" s="24">
        <f>IF($B1350="","",ISOWEEKNUM($B1350))</f>
        <v/>
      </c>
      <c r="AC1350" s="17">
        <f>IF($B1350="","",CHOOSE(WEEKDAY($B1350,2),"Segunda","Terça","Quarta","Quinta","Sexta","Sábado","Domingo"))</f>
        <v/>
      </c>
      <c r="AD1350" s="17">
        <f>IF($B1350="","",TEXT($B1350,"MM/AAAA"))</f>
        <v/>
      </c>
      <c r="AE1350" s="18">
        <f>IF(COUNTA($B1350:$R1350)=0,"",IF($X1350="Cancelado",0,ROUND(N($Q1350)+N($S1350)+N($T1350)-N($U1350),2)))</f>
        <v/>
      </c>
      <c r="AF1350" s="9">
        <f>IF($G1350="","",IFERROR(INDEX(LINHAS_DRE_PLANO,MATCH($G1350,SUBCATEGORIAS_PLANO,0)),"Não classificado"))</f>
        <v/>
      </c>
      <c r="AG1350" s="17">
        <f>IF($G1350="","",IFERROR(INDEX(TIPOS_FLUXO_PLANO,MATCH($G1350,SUBCATEGORIAS_PLANO,0)),"Não classificado"))</f>
        <v/>
      </c>
      <c r="AH1350" s="9">
        <f>IF($G1350="","",IFERROR(INDEX(GRUPOS_PLANO,MATCH($G1350,SUBCATEGORIAS_PLANO,0)),"Não classificado"))</f>
        <v/>
      </c>
      <c r="AI1350" s="24">
        <f>IF(OR($C1350="",$X1350="Pago",$X1350="Recebido",$X1350="Cancelado"),"",$C1350-TODAY())</f>
        <v/>
      </c>
      <c r="AJ1350" s="24">
        <f>IF(OR($C1350="",$X1350="Pago",$X1350="Recebido",$X1350="Cancelado"),0,MAX(0,TODAY()-$C1350))</f>
        <v/>
      </c>
      <c r="AK1350" s="24">
        <f>IF($D1350="","",$D1350-$B1350)</f>
        <v/>
      </c>
      <c r="AL1350" s="18">
        <f>IF(OR($D1350="",$B1350=""),"",ROUND(N($R1350)*($D1350-$B1350),2))</f>
        <v/>
      </c>
      <c r="AM1350" s="17">
        <f>IF(AND($E1350="Saída",$W1350&gt;0,$C1350&lt;&gt;""),$C1350+ROW()/1000000,"")</f>
        <v/>
      </c>
      <c r="AN1350" s="17">
        <f>IF(AND($E1350="Entrada",$W1350&gt;0,$C1350&lt;&gt;""),$C1350+ROW()/1000000,"")</f>
        <v/>
      </c>
      <c r="AO1350" s="9">
        <f>IF(COUNTA($B1350:$R1350)=0,"",IF(AND($I1350&lt;&gt;"",COUNTIF(CLIENTES_NOMES,$I1350)+COUNTIF(CLIENTES_FANTASIA,$I1350)+COUNTIF(FORNECEDORES_NOMES,$I1350)+COUNTIF(FORNECEDORES_FANTASIA,$I1350)=0),"⚠ Cliente/Fornecedor não cadastrado",IF(AND($G1350&lt;&gt;"",COUNTIF(SUBCATEGORIAS_PLANO,$G1350)=0),"⚠ Subcategoria fora do plano de contas",IF(OR($Q1350="",N($Q1350)=0),"⚠ Valor previsto não informado",IF(AND(OR($X1350="Pago",$X1350="Recebido"),$D1350=""),"⚠ Status pago/recebido sem data",IF(AND($D1350&lt;&gt;"",N($R1350)=0),"⚠ Data de pagamento sem valor realizado",IF(AND(N($P1350)&gt;1,N($O1350)&gt;N($P1350)),"⚠ Nº da parcela maior que o total",IF(AND($C1350&lt;&gt;"",$B1350&lt;&gt;"",$C1350&lt;$B1350),"⚠ Vencimento anterior à competência","OK"))))))))</f>
        <v/>
      </c>
    </row>
    <row r="1351">
      <c r="A1351" s="14" t="n"/>
      <c r="B1351" s="36" t="n"/>
      <c r="C1351" s="36" t="n"/>
      <c r="D1351" s="36" t="n"/>
      <c r="E1351" s="14" t="n"/>
      <c r="F1351" s="29" t="n"/>
      <c r="G1351" s="29" t="n"/>
      <c r="H1351" s="29" t="n"/>
      <c r="I1351" s="29" t="n"/>
      <c r="J1351" s="29" t="n"/>
      <c r="K1351" s="14" t="n"/>
      <c r="L1351" s="29" t="n"/>
      <c r="M1351" s="14" t="n"/>
      <c r="N1351" s="29" t="n"/>
      <c r="O1351" s="13" t="n"/>
      <c r="P1351" s="13" t="n"/>
      <c r="Q1351" s="35" t="n"/>
      <c r="R1351" s="35" t="n"/>
      <c r="S1351" s="35" t="n"/>
      <c r="T1351" s="35" t="n"/>
      <c r="U1351" s="35" t="n"/>
      <c r="V1351" s="18">
        <f>IF(COUNTA($B1351:$R1351)=0,"",ROUND(N($R1351)+N($S1351)+N($T1351)-N($U1351),2))</f>
        <v/>
      </c>
      <c r="W1351" s="18">
        <f>IF(COUNTA($B1351:$R1351)=0,"",IF(OR($X1351="Pago",$X1351="Recebido",$X1351="Cancelado"),0,ROUND(N($Q1351)+N($S1351)+N($T1351)-N($U1351)-N($R1351),2)))</f>
        <v/>
      </c>
      <c r="X1351" s="14" t="n"/>
      <c r="Y1351" s="17">
        <f>IF(COUNTA($B1351:$R1351)=0,"",IF($X1351="Cancelado","Cancelado",IF(OR($X1351="Pago",$X1351="Recebido"),$X1351,IF(OR($X1351="Parcial",N($R1351)&gt;0),"Parcial",IF($C1351="","Sem vencimento",IF($C1351&lt;TODAY(),"Vencido",IF($C1351=TODAY(),"Vence hoje",IF($C1351&lt;=TODAY()+7,"Vence em 7 dias",IF($C1351&lt;=TODAY()+30,"Vence em 30 dias","Futuro")))))))))</f>
        <v/>
      </c>
      <c r="Z1351" s="24">
        <f>IF($B1351="","",MONTH($B1351))</f>
        <v/>
      </c>
      <c r="AA1351" s="24">
        <f>IF($B1351="","",YEAR($B1351))</f>
        <v/>
      </c>
      <c r="AB1351" s="24">
        <f>IF($B1351="","",ISOWEEKNUM($B1351))</f>
        <v/>
      </c>
      <c r="AC1351" s="17">
        <f>IF($B1351="","",CHOOSE(WEEKDAY($B1351,2),"Segunda","Terça","Quarta","Quinta","Sexta","Sábado","Domingo"))</f>
        <v/>
      </c>
      <c r="AD1351" s="17">
        <f>IF($B1351="","",TEXT($B1351,"MM/AAAA"))</f>
        <v/>
      </c>
      <c r="AE1351" s="18">
        <f>IF(COUNTA($B1351:$R1351)=0,"",IF($X1351="Cancelado",0,ROUND(N($Q1351)+N($S1351)+N($T1351)-N($U1351),2)))</f>
        <v/>
      </c>
      <c r="AF1351" s="9">
        <f>IF($G1351="","",IFERROR(INDEX(LINHAS_DRE_PLANO,MATCH($G1351,SUBCATEGORIAS_PLANO,0)),"Não classificado"))</f>
        <v/>
      </c>
      <c r="AG1351" s="17">
        <f>IF($G1351="","",IFERROR(INDEX(TIPOS_FLUXO_PLANO,MATCH($G1351,SUBCATEGORIAS_PLANO,0)),"Não classificado"))</f>
        <v/>
      </c>
      <c r="AH1351" s="9">
        <f>IF($G1351="","",IFERROR(INDEX(GRUPOS_PLANO,MATCH($G1351,SUBCATEGORIAS_PLANO,0)),"Não classificado"))</f>
        <v/>
      </c>
      <c r="AI1351" s="24">
        <f>IF(OR($C1351="",$X1351="Pago",$X1351="Recebido",$X1351="Cancelado"),"",$C1351-TODAY())</f>
        <v/>
      </c>
      <c r="AJ1351" s="24">
        <f>IF(OR($C1351="",$X1351="Pago",$X1351="Recebido",$X1351="Cancelado"),0,MAX(0,TODAY()-$C1351))</f>
        <v/>
      </c>
      <c r="AK1351" s="24">
        <f>IF($D1351="","",$D1351-$B1351)</f>
        <v/>
      </c>
      <c r="AL1351" s="18">
        <f>IF(OR($D1351="",$B1351=""),"",ROUND(N($R1351)*($D1351-$B1351),2))</f>
        <v/>
      </c>
      <c r="AM1351" s="17">
        <f>IF(AND($E1351="Saída",$W1351&gt;0,$C1351&lt;&gt;""),$C1351+ROW()/1000000,"")</f>
        <v/>
      </c>
      <c r="AN1351" s="17">
        <f>IF(AND($E1351="Entrada",$W1351&gt;0,$C1351&lt;&gt;""),$C1351+ROW()/1000000,"")</f>
        <v/>
      </c>
      <c r="AO1351" s="9">
        <f>IF(COUNTA($B1351:$R1351)=0,"",IF(AND($I1351&lt;&gt;"",COUNTIF(CLIENTES_NOMES,$I1351)+COUNTIF(CLIENTES_FANTASIA,$I1351)+COUNTIF(FORNECEDORES_NOMES,$I1351)+COUNTIF(FORNECEDORES_FANTASIA,$I1351)=0),"⚠ Cliente/Fornecedor não cadastrado",IF(AND($G1351&lt;&gt;"",COUNTIF(SUBCATEGORIAS_PLANO,$G1351)=0),"⚠ Subcategoria fora do plano de contas",IF(OR($Q1351="",N($Q1351)=0),"⚠ Valor previsto não informado",IF(AND(OR($X1351="Pago",$X1351="Recebido"),$D1351=""),"⚠ Status pago/recebido sem data",IF(AND($D1351&lt;&gt;"",N($R1351)=0),"⚠ Data de pagamento sem valor realizado",IF(AND(N($P1351)&gt;1,N($O1351)&gt;N($P1351)),"⚠ Nº da parcela maior que o total",IF(AND($C1351&lt;&gt;"",$B1351&lt;&gt;"",$C1351&lt;$B1351),"⚠ Vencimento anterior à competência","OK"))))))))</f>
        <v/>
      </c>
    </row>
    <row r="1352">
      <c r="A1352" s="14" t="n"/>
      <c r="B1352" s="36" t="n"/>
      <c r="C1352" s="36" t="n"/>
      <c r="D1352" s="36" t="n"/>
      <c r="E1352" s="14" t="n"/>
      <c r="F1352" s="29" t="n"/>
      <c r="G1352" s="29" t="n"/>
      <c r="H1352" s="29" t="n"/>
      <c r="I1352" s="29" t="n"/>
      <c r="J1352" s="29" t="n"/>
      <c r="K1352" s="14" t="n"/>
      <c r="L1352" s="29" t="n"/>
      <c r="M1352" s="14" t="n"/>
      <c r="N1352" s="29" t="n"/>
      <c r="O1352" s="13" t="n"/>
      <c r="P1352" s="13" t="n"/>
      <c r="Q1352" s="35" t="n"/>
      <c r="R1352" s="35" t="n"/>
      <c r="S1352" s="35" t="n"/>
      <c r="T1352" s="35" t="n"/>
      <c r="U1352" s="35" t="n"/>
      <c r="V1352" s="18">
        <f>IF(COUNTA($B1352:$R1352)=0,"",ROUND(N($R1352)+N($S1352)+N($T1352)-N($U1352),2))</f>
        <v/>
      </c>
      <c r="W1352" s="18">
        <f>IF(COUNTA($B1352:$R1352)=0,"",IF(OR($X1352="Pago",$X1352="Recebido",$X1352="Cancelado"),0,ROUND(N($Q1352)+N($S1352)+N($T1352)-N($U1352)-N($R1352),2)))</f>
        <v/>
      </c>
      <c r="X1352" s="14" t="n"/>
      <c r="Y1352" s="17">
        <f>IF(COUNTA($B1352:$R1352)=0,"",IF($X1352="Cancelado","Cancelado",IF(OR($X1352="Pago",$X1352="Recebido"),$X1352,IF(OR($X1352="Parcial",N($R1352)&gt;0),"Parcial",IF($C1352="","Sem vencimento",IF($C1352&lt;TODAY(),"Vencido",IF($C1352=TODAY(),"Vence hoje",IF($C1352&lt;=TODAY()+7,"Vence em 7 dias",IF($C1352&lt;=TODAY()+30,"Vence em 30 dias","Futuro")))))))))</f>
        <v/>
      </c>
      <c r="Z1352" s="24">
        <f>IF($B1352="","",MONTH($B1352))</f>
        <v/>
      </c>
      <c r="AA1352" s="24">
        <f>IF($B1352="","",YEAR($B1352))</f>
        <v/>
      </c>
      <c r="AB1352" s="24">
        <f>IF($B1352="","",ISOWEEKNUM($B1352))</f>
        <v/>
      </c>
      <c r="AC1352" s="17">
        <f>IF($B1352="","",CHOOSE(WEEKDAY($B1352,2),"Segunda","Terça","Quarta","Quinta","Sexta","Sábado","Domingo"))</f>
        <v/>
      </c>
      <c r="AD1352" s="17">
        <f>IF($B1352="","",TEXT($B1352,"MM/AAAA"))</f>
        <v/>
      </c>
      <c r="AE1352" s="18">
        <f>IF(COUNTA($B1352:$R1352)=0,"",IF($X1352="Cancelado",0,ROUND(N($Q1352)+N($S1352)+N($T1352)-N($U1352),2)))</f>
        <v/>
      </c>
      <c r="AF1352" s="9">
        <f>IF($G1352="","",IFERROR(INDEX(LINHAS_DRE_PLANO,MATCH($G1352,SUBCATEGORIAS_PLANO,0)),"Não classificado"))</f>
        <v/>
      </c>
      <c r="AG1352" s="17">
        <f>IF($G1352="","",IFERROR(INDEX(TIPOS_FLUXO_PLANO,MATCH($G1352,SUBCATEGORIAS_PLANO,0)),"Não classificado"))</f>
        <v/>
      </c>
      <c r="AH1352" s="9">
        <f>IF($G1352="","",IFERROR(INDEX(GRUPOS_PLANO,MATCH($G1352,SUBCATEGORIAS_PLANO,0)),"Não classificado"))</f>
        <v/>
      </c>
      <c r="AI1352" s="24">
        <f>IF(OR($C1352="",$X1352="Pago",$X1352="Recebido",$X1352="Cancelado"),"",$C1352-TODAY())</f>
        <v/>
      </c>
      <c r="AJ1352" s="24">
        <f>IF(OR($C1352="",$X1352="Pago",$X1352="Recebido",$X1352="Cancelado"),0,MAX(0,TODAY()-$C1352))</f>
        <v/>
      </c>
      <c r="AK1352" s="24">
        <f>IF($D1352="","",$D1352-$B1352)</f>
        <v/>
      </c>
      <c r="AL1352" s="18">
        <f>IF(OR($D1352="",$B1352=""),"",ROUND(N($R1352)*($D1352-$B1352),2))</f>
        <v/>
      </c>
      <c r="AM1352" s="17">
        <f>IF(AND($E1352="Saída",$W1352&gt;0,$C1352&lt;&gt;""),$C1352+ROW()/1000000,"")</f>
        <v/>
      </c>
      <c r="AN1352" s="17">
        <f>IF(AND($E1352="Entrada",$W1352&gt;0,$C1352&lt;&gt;""),$C1352+ROW()/1000000,"")</f>
        <v/>
      </c>
      <c r="AO1352" s="9">
        <f>IF(COUNTA($B1352:$R1352)=0,"",IF(AND($I1352&lt;&gt;"",COUNTIF(CLIENTES_NOMES,$I1352)+COUNTIF(CLIENTES_FANTASIA,$I1352)+COUNTIF(FORNECEDORES_NOMES,$I1352)+COUNTIF(FORNECEDORES_FANTASIA,$I1352)=0),"⚠ Cliente/Fornecedor não cadastrado",IF(AND($G1352&lt;&gt;"",COUNTIF(SUBCATEGORIAS_PLANO,$G1352)=0),"⚠ Subcategoria fora do plano de contas",IF(OR($Q1352="",N($Q1352)=0),"⚠ Valor previsto não informado",IF(AND(OR($X1352="Pago",$X1352="Recebido"),$D1352=""),"⚠ Status pago/recebido sem data",IF(AND($D1352&lt;&gt;"",N($R1352)=0),"⚠ Data de pagamento sem valor realizado",IF(AND(N($P1352)&gt;1,N($O1352)&gt;N($P1352)),"⚠ Nº da parcela maior que o total",IF(AND($C1352&lt;&gt;"",$B1352&lt;&gt;"",$C1352&lt;$B1352),"⚠ Vencimento anterior à competência","OK"))))))))</f>
        <v/>
      </c>
    </row>
    <row r="1353">
      <c r="A1353" s="14" t="n"/>
      <c r="B1353" s="36" t="n"/>
      <c r="C1353" s="36" t="n"/>
      <c r="D1353" s="36" t="n"/>
      <c r="E1353" s="14" t="n"/>
      <c r="F1353" s="29" t="n"/>
      <c r="G1353" s="29" t="n"/>
      <c r="H1353" s="29" t="n"/>
      <c r="I1353" s="29" t="n"/>
      <c r="J1353" s="29" t="n"/>
      <c r="K1353" s="14" t="n"/>
      <c r="L1353" s="29" t="n"/>
      <c r="M1353" s="14" t="n"/>
      <c r="N1353" s="29" t="n"/>
      <c r="O1353" s="13" t="n"/>
      <c r="P1353" s="13" t="n"/>
      <c r="Q1353" s="35" t="n"/>
      <c r="R1353" s="35" t="n"/>
      <c r="S1353" s="35" t="n"/>
      <c r="T1353" s="35" t="n"/>
      <c r="U1353" s="35" t="n"/>
      <c r="V1353" s="18">
        <f>IF(COUNTA($B1353:$R1353)=0,"",ROUND(N($R1353)+N($S1353)+N($T1353)-N($U1353),2))</f>
        <v/>
      </c>
      <c r="W1353" s="18">
        <f>IF(COUNTA($B1353:$R1353)=0,"",IF(OR($X1353="Pago",$X1353="Recebido",$X1353="Cancelado"),0,ROUND(N($Q1353)+N($S1353)+N($T1353)-N($U1353)-N($R1353),2)))</f>
        <v/>
      </c>
      <c r="X1353" s="14" t="n"/>
      <c r="Y1353" s="17">
        <f>IF(COUNTA($B1353:$R1353)=0,"",IF($X1353="Cancelado","Cancelado",IF(OR($X1353="Pago",$X1353="Recebido"),$X1353,IF(OR($X1353="Parcial",N($R1353)&gt;0),"Parcial",IF($C1353="","Sem vencimento",IF($C1353&lt;TODAY(),"Vencido",IF($C1353=TODAY(),"Vence hoje",IF($C1353&lt;=TODAY()+7,"Vence em 7 dias",IF($C1353&lt;=TODAY()+30,"Vence em 30 dias","Futuro")))))))))</f>
        <v/>
      </c>
      <c r="Z1353" s="24">
        <f>IF($B1353="","",MONTH($B1353))</f>
        <v/>
      </c>
      <c r="AA1353" s="24">
        <f>IF($B1353="","",YEAR($B1353))</f>
        <v/>
      </c>
      <c r="AB1353" s="24">
        <f>IF($B1353="","",ISOWEEKNUM($B1353))</f>
        <v/>
      </c>
      <c r="AC1353" s="17">
        <f>IF($B1353="","",CHOOSE(WEEKDAY($B1353,2),"Segunda","Terça","Quarta","Quinta","Sexta","Sábado","Domingo"))</f>
        <v/>
      </c>
      <c r="AD1353" s="17">
        <f>IF($B1353="","",TEXT($B1353,"MM/AAAA"))</f>
        <v/>
      </c>
      <c r="AE1353" s="18">
        <f>IF(COUNTA($B1353:$R1353)=0,"",IF($X1353="Cancelado",0,ROUND(N($Q1353)+N($S1353)+N($T1353)-N($U1353),2)))</f>
        <v/>
      </c>
      <c r="AF1353" s="9">
        <f>IF($G1353="","",IFERROR(INDEX(LINHAS_DRE_PLANO,MATCH($G1353,SUBCATEGORIAS_PLANO,0)),"Não classificado"))</f>
        <v/>
      </c>
      <c r="AG1353" s="17">
        <f>IF($G1353="","",IFERROR(INDEX(TIPOS_FLUXO_PLANO,MATCH($G1353,SUBCATEGORIAS_PLANO,0)),"Não classificado"))</f>
        <v/>
      </c>
      <c r="AH1353" s="9">
        <f>IF($G1353="","",IFERROR(INDEX(GRUPOS_PLANO,MATCH($G1353,SUBCATEGORIAS_PLANO,0)),"Não classificado"))</f>
        <v/>
      </c>
      <c r="AI1353" s="24">
        <f>IF(OR($C1353="",$X1353="Pago",$X1353="Recebido",$X1353="Cancelado"),"",$C1353-TODAY())</f>
        <v/>
      </c>
      <c r="AJ1353" s="24">
        <f>IF(OR($C1353="",$X1353="Pago",$X1353="Recebido",$X1353="Cancelado"),0,MAX(0,TODAY()-$C1353))</f>
        <v/>
      </c>
      <c r="AK1353" s="24">
        <f>IF($D1353="","",$D1353-$B1353)</f>
        <v/>
      </c>
      <c r="AL1353" s="18">
        <f>IF(OR($D1353="",$B1353=""),"",ROUND(N($R1353)*($D1353-$B1353),2))</f>
        <v/>
      </c>
      <c r="AM1353" s="17">
        <f>IF(AND($E1353="Saída",$W1353&gt;0,$C1353&lt;&gt;""),$C1353+ROW()/1000000,"")</f>
        <v/>
      </c>
      <c r="AN1353" s="17">
        <f>IF(AND($E1353="Entrada",$W1353&gt;0,$C1353&lt;&gt;""),$C1353+ROW()/1000000,"")</f>
        <v/>
      </c>
      <c r="AO1353" s="9">
        <f>IF(COUNTA($B1353:$R1353)=0,"",IF(AND($I1353&lt;&gt;"",COUNTIF(CLIENTES_NOMES,$I1353)+COUNTIF(CLIENTES_FANTASIA,$I1353)+COUNTIF(FORNECEDORES_NOMES,$I1353)+COUNTIF(FORNECEDORES_FANTASIA,$I1353)=0),"⚠ Cliente/Fornecedor não cadastrado",IF(AND($G1353&lt;&gt;"",COUNTIF(SUBCATEGORIAS_PLANO,$G1353)=0),"⚠ Subcategoria fora do plano de contas",IF(OR($Q1353="",N($Q1353)=0),"⚠ Valor previsto não informado",IF(AND(OR($X1353="Pago",$X1353="Recebido"),$D1353=""),"⚠ Status pago/recebido sem data",IF(AND($D1353&lt;&gt;"",N($R1353)=0),"⚠ Data de pagamento sem valor realizado",IF(AND(N($P1353)&gt;1,N($O1353)&gt;N($P1353)),"⚠ Nº da parcela maior que o total",IF(AND($C1353&lt;&gt;"",$B1353&lt;&gt;"",$C1353&lt;$B1353),"⚠ Vencimento anterior à competência","OK"))))))))</f>
        <v/>
      </c>
    </row>
    <row r="1354">
      <c r="A1354" s="14" t="n"/>
      <c r="B1354" s="36" t="n"/>
      <c r="C1354" s="36" t="n"/>
      <c r="D1354" s="36" t="n"/>
      <c r="E1354" s="14" t="n"/>
      <c r="F1354" s="29" t="n"/>
      <c r="G1354" s="29" t="n"/>
      <c r="H1354" s="29" t="n"/>
      <c r="I1354" s="29" t="n"/>
      <c r="J1354" s="29" t="n"/>
      <c r="K1354" s="14" t="n"/>
      <c r="L1354" s="29" t="n"/>
      <c r="M1354" s="14" t="n"/>
      <c r="N1354" s="29" t="n"/>
      <c r="O1354" s="13" t="n"/>
      <c r="P1354" s="13" t="n"/>
      <c r="Q1354" s="35" t="n"/>
      <c r="R1354" s="35" t="n"/>
      <c r="S1354" s="35" t="n"/>
      <c r="T1354" s="35" t="n"/>
      <c r="U1354" s="35" t="n"/>
      <c r="V1354" s="18">
        <f>IF(COUNTA($B1354:$R1354)=0,"",ROUND(N($R1354)+N($S1354)+N($T1354)-N($U1354),2))</f>
        <v/>
      </c>
      <c r="W1354" s="18">
        <f>IF(COUNTA($B1354:$R1354)=0,"",IF(OR($X1354="Pago",$X1354="Recebido",$X1354="Cancelado"),0,ROUND(N($Q1354)+N($S1354)+N($T1354)-N($U1354)-N($R1354),2)))</f>
        <v/>
      </c>
      <c r="X1354" s="14" t="n"/>
      <c r="Y1354" s="17">
        <f>IF(COUNTA($B1354:$R1354)=0,"",IF($X1354="Cancelado","Cancelado",IF(OR($X1354="Pago",$X1354="Recebido"),$X1354,IF(OR($X1354="Parcial",N($R1354)&gt;0),"Parcial",IF($C1354="","Sem vencimento",IF($C1354&lt;TODAY(),"Vencido",IF($C1354=TODAY(),"Vence hoje",IF($C1354&lt;=TODAY()+7,"Vence em 7 dias",IF($C1354&lt;=TODAY()+30,"Vence em 30 dias","Futuro")))))))))</f>
        <v/>
      </c>
      <c r="Z1354" s="24">
        <f>IF($B1354="","",MONTH($B1354))</f>
        <v/>
      </c>
      <c r="AA1354" s="24">
        <f>IF($B1354="","",YEAR($B1354))</f>
        <v/>
      </c>
      <c r="AB1354" s="24">
        <f>IF($B1354="","",ISOWEEKNUM($B1354))</f>
        <v/>
      </c>
      <c r="AC1354" s="17">
        <f>IF($B1354="","",CHOOSE(WEEKDAY($B1354,2),"Segunda","Terça","Quarta","Quinta","Sexta","Sábado","Domingo"))</f>
        <v/>
      </c>
      <c r="AD1354" s="17">
        <f>IF($B1354="","",TEXT($B1354,"MM/AAAA"))</f>
        <v/>
      </c>
      <c r="AE1354" s="18">
        <f>IF(COUNTA($B1354:$R1354)=0,"",IF($X1354="Cancelado",0,ROUND(N($Q1354)+N($S1354)+N($T1354)-N($U1354),2)))</f>
        <v/>
      </c>
      <c r="AF1354" s="9">
        <f>IF($G1354="","",IFERROR(INDEX(LINHAS_DRE_PLANO,MATCH($G1354,SUBCATEGORIAS_PLANO,0)),"Não classificado"))</f>
        <v/>
      </c>
      <c r="AG1354" s="17">
        <f>IF($G1354="","",IFERROR(INDEX(TIPOS_FLUXO_PLANO,MATCH($G1354,SUBCATEGORIAS_PLANO,0)),"Não classificado"))</f>
        <v/>
      </c>
      <c r="AH1354" s="9">
        <f>IF($G1354="","",IFERROR(INDEX(GRUPOS_PLANO,MATCH($G1354,SUBCATEGORIAS_PLANO,0)),"Não classificado"))</f>
        <v/>
      </c>
      <c r="AI1354" s="24">
        <f>IF(OR($C1354="",$X1354="Pago",$X1354="Recebido",$X1354="Cancelado"),"",$C1354-TODAY())</f>
        <v/>
      </c>
      <c r="AJ1354" s="24">
        <f>IF(OR($C1354="",$X1354="Pago",$X1354="Recebido",$X1354="Cancelado"),0,MAX(0,TODAY()-$C1354))</f>
        <v/>
      </c>
      <c r="AK1354" s="24">
        <f>IF($D1354="","",$D1354-$B1354)</f>
        <v/>
      </c>
      <c r="AL1354" s="18">
        <f>IF(OR($D1354="",$B1354=""),"",ROUND(N($R1354)*($D1354-$B1354),2))</f>
        <v/>
      </c>
      <c r="AM1354" s="17">
        <f>IF(AND($E1354="Saída",$W1354&gt;0,$C1354&lt;&gt;""),$C1354+ROW()/1000000,"")</f>
        <v/>
      </c>
      <c r="AN1354" s="17">
        <f>IF(AND($E1354="Entrada",$W1354&gt;0,$C1354&lt;&gt;""),$C1354+ROW()/1000000,"")</f>
        <v/>
      </c>
      <c r="AO1354" s="9">
        <f>IF(COUNTA($B1354:$R1354)=0,"",IF(AND($I1354&lt;&gt;"",COUNTIF(CLIENTES_NOMES,$I1354)+COUNTIF(CLIENTES_FANTASIA,$I1354)+COUNTIF(FORNECEDORES_NOMES,$I1354)+COUNTIF(FORNECEDORES_FANTASIA,$I1354)=0),"⚠ Cliente/Fornecedor não cadastrado",IF(AND($G1354&lt;&gt;"",COUNTIF(SUBCATEGORIAS_PLANO,$G1354)=0),"⚠ Subcategoria fora do plano de contas",IF(OR($Q1354="",N($Q1354)=0),"⚠ Valor previsto não informado",IF(AND(OR($X1354="Pago",$X1354="Recebido"),$D1354=""),"⚠ Status pago/recebido sem data",IF(AND($D1354&lt;&gt;"",N($R1354)=0),"⚠ Data de pagamento sem valor realizado",IF(AND(N($P1354)&gt;1,N($O1354)&gt;N($P1354)),"⚠ Nº da parcela maior que o total",IF(AND($C1354&lt;&gt;"",$B1354&lt;&gt;"",$C1354&lt;$B1354),"⚠ Vencimento anterior à competência","OK"))))))))</f>
        <v/>
      </c>
    </row>
    <row r="1355">
      <c r="A1355" s="14" t="n"/>
      <c r="B1355" s="36" t="n"/>
      <c r="C1355" s="36" t="n"/>
      <c r="D1355" s="36" t="n"/>
      <c r="E1355" s="14" t="n"/>
      <c r="F1355" s="29" t="n"/>
      <c r="G1355" s="29" t="n"/>
      <c r="H1355" s="29" t="n"/>
      <c r="I1355" s="29" t="n"/>
      <c r="J1355" s="29" t="n"/>
      <c r="K1355" s="14" t="n"/>
      <c r="L1355" s="29" t="n"/>
      <c r="M1355" s="14" t="n"/>
      <c r="N1355" s="29" t="n"/>
      <c r="O1355" s="13" t="n"/>
      <c r="P1355" s="13" t="n"/>
      <c r="Q1355" s="35" t="n"/>
      <c r="R1355" s="35" t="n"/>
      <c r="S1355" s="35" t="n"/>
      <c r="T1355" s="35" t="n"/>
      <c r="U1355" s="35" t="n"/>
      <c r="V1355" s="18">
        <f>IF(COUNTA($B1355:$R1355)=0,"",ROUND(N($R1355)+N($S1355)+N($T1355)-N($U1355),2))</f>
        <v/>
      </c>
      <c r="W1355" s="18">
        <f>IF(COUNTA($B1355:$R1355)=0,"",IF(OR($X1355="Pago",$X1355="Recebido",$X1355="Cancelado"),0,ROUND(N($Q1355)+N($S1355)+N($T1355)-N($U1355)-N($R1355),2)))</f>
        <v/>
      </c>
      <c r="X1355" s="14" t="n"/>
      <c r="Y1355" s="17">
        <f>IF(COUNTA($B1355:$R1355)=0,"",IF($X1355="Cancelado","Cancelado",IF(OR($X1355="Pago",$X1355="Recebido"),$X1355,IF(OR($X1355="Parcial",N($R1355)&gt;0),"Parcial",IF($C1355="","Sem vencimento",IF($C1355&lt;TODAY(),"Vencido",IF($C1355=TODAY(),"Vence hoje",IF($C1355&lt;=TODAY()+7,"Vence em 7 dias",IF($C1355&lt;=TODAY()+30,"Vence em 30 dias","Futuro")))))))))</f>
        <v/>
      </c>
      <c r="Z1355" s="24">
        <f>IF($B1355="","",MONTH($B1355))</f>
        <v/>
      </c>
      <c r="AA1355" s="24">
        <f>IF($B1355="","",YEAR($B1355))</f>
        <v/>
      </c>
      <c r="AB1355" s="24">
        <f>IF($B1355="","",ISOWEEKNUM($B1355))</f>
        <v/>
      </c>
      <c r="AC1355" s="17">
        <f>IF($B1355="","",CHOOSE(WEEKDAY($B1355,2),"Segunda","Terça","Quarta","Quinta","Sexta","Sábado","Domingo"))</f>
        <v/>
      </c>
      <c r="AD1355" s="17">
        <f>IF($B1355="","",TEXT($B1355,"MM/AAAA"))</f>
        <v/>
      </c>
      <c r="AE1355" s="18">
        <f>IF(COUNTA($B1355:$R1355)=0,"",IF($X1355="Cancelado",0,ROUND(N($Q1355)+N($S1355)+N($T1355)-N($U1355),2)))</f>
        <v/>
      </c>
      <c r="AF1355" s="9">
        <f>IF($G1355="","",IFERROR(INDEX(LINHAS_DRE_PLANO,MATCH($G1355,SUBCATEGORIAS_PLANO,0)),"Não classificado"))</f>
        <v/>
      </c>
      <c r="AG1355" s="17">
        <f>IF($G1355="","",IFERROR(INDEX(TIPOS_FLUXO_PLANO,MATCH($G1355,SUBCATEGORIAS_PLANO,0)),"Não classificado"))</f>
        <v/>
      </c>
      <c r="AH1355" s="9">
        <f>IF($G1355="","",IFERROR(INDEX(GRUPOS_PLANO,MATCH($G1355,SUBCATEGORIAS_PLANO,0)),"Não classificado"))</f>
        <v/>
      </c>
      <c r="AI1355" s="24">
        <f>IF(OR($C1355="",$X1355="Pago",$X1355="Recebido",$X1355="Cancelado"),"",$C1355-TODAY())</f>
        <v/>
      </c>
      <c r="AJ1355" s="24">
        <f>IF(OR($C1355="",$X1355="Pago",$X1355="Recebido",$X1355="Cancelado"),0,MAX(0,TODAY()-$C1355))</f>
        <v/>
      </c>
      <c r="AK1355" s="24">
        <f>IF($D1355="","",$D1355-$B1355)</f>
        <v/>
      </c>
      <c r="AL1355" s="18">
        <f>IF(OR($D1355="",$B1355=""),"",ROUND(N($R1355)*($D1355-$B1355),2))</f>
        <v/>
      </c>
      <c r="AM1355" s="17">
        <f>IF(AND($E1355="Saída",$W1355&gt;0,$C1355&lt;&gt;""),$C1355+ROW()/1000000,"")</f>
        <v/>
      </c>
      <c r="AN1355" s="17">
        <f>IF(AND($E1355="Entrada",$W1355&gt;0,$C1355&lt;&gt;""),$C1355+ROW()/1000000,"")</f>
        <v/>
      </c>
      <c r="AO1355" s="9">
        <f>IF(COUNTA($B1355:$R1355)=0,"",IF(AND($I1355&lt;&gt;"",COUNTIF(CLIENTES_NOMES,$I1355)+COUNTIF(CLIENTES_FANTASIA,$I1355)+COUNTIF(FORNECEDORES_NOMES,$I1355)+COUNTIF(FORNECEDORES_FANTASIA,$I1355)=0),"⚠ Cliente/Fornecedor não cadastrado",IF(AND($G1355&lt;&gt;"",COUNTIF(SUBCATEGORIAS_PLANO,$G1355)=0),"⚠ Subcategoria fora do plano de contas",IF(OR($Q1355="",N($Q1355)=0),"⚠ Valor previsto não informado",IF(AND(OR($X1355="Pago",$X1355="Recebido"),$D1355=""),"⚠ Status pago/recebido sem data",IF(AND($D1355&lt;&gt;"",N($R1355)=0),"⚠ Data de pagamento sem valor realizado",IF(AND(N($P1355)&gt;1,N($O1355)&gt;N($P1355)),"⚠ Nº da parcela maior que o total",IF(AND($C1355&lt;&gt;"",$B1355&lt;&gt;"",$C1355&lt;$B1355),"⚠ Vencimento anterior à competência","OK"))))))))</f>
        <v/>
      </c>
    </row>
    <row r="1356">
      <c r="A1356" s="14" t="n"/>
      <c r="B1356" s="36" t="n"/>
      <c r="C1356" s="36" t="n"/>
      <c r="D1356" s="36" t="n"/>
      <c r="E1356" s="14" t="n"/>
      <c r="F1356" s="29" t="n"/>
      <c r="G1356" s="29" t="n"/>
      <c r="H1356" s="29" t="n"/>
      <c r="I1356" s="29" t="n"/>
      <c r="J1356" s="29" t="n"/>
      <c r="K1356" s="14" t="n"/>
      <c r="L1356" s="29" t="n"/>
      <c r="M1356" s="14" t="n"/>
      <c r="N1356" s="29" t="n"/>
      <c r="O1356" s="13" t="n"/>
      <c r="P1356" s="13" t="n"/>
      <c r="Q1356" s="35" t="n"/>
      <c r="R1356" s="35" t="n"/>
      <c r="S1356" s="35" t="n"/>
      <c r="T1356" s="35" t="n"/>
      <c r="U1356" s="35" t="n"/>
      <c r="V1356" s="18">
        <f>IF(COUNTA($B1356:$R1356)=0,"",ROUND(N($R1356)+N($S1356)+N($T1356)-N($U1356),2))</f>
        <v/>
      </c>
      <c r="W1356" s="18">
        <f>IF(COUNTA($B1356:$R1356)=0,"",IF(OR($X1356="Pago",$X1356="Recebido",$X1356="Cancelado"),0,ROUND(N($Q1356)+N($S1356)+N($T1356)-N($U1356)-N($R1356),2)))</f>
        <v/>
      </c>
      <c r="X1356" s="14" t="n"/>
      <c r="Y1356" s="17">
        <f>IF(COUNTA($B1356:$R1356)=0,"",IF($X1356="Cancelado","Cancelado",IF(OR($X1356="Pago",$X1356="Recebido"),$X1356,IF(OR($X1356="Parcial",N($R1356)&gt;0),"Parcial",IF($C1356="","Sem vencimento",IF($C1356&lt;TODAY(),"Vencido",IF($C1356=TODAY(),"Vence hoje",IF($C1356&lt;=TODAY()+7,"Vence em 7 dias",IF($C1356&lt;=TODAY()+30,"Vence em 30 dias","Futuro")))))))))</f>
        <v/>
      </c>
      <c r="Z1356" s="24">
        <f>IF($B1356="","",MONTH($B1356))</f>
        <v/>
      </c>
      <c r="AA1356" s="24">
        <f>IF($B1356="","",YEAR($B1356))</f>
        <v/>
      </c>
      <c r="AB1356" s="24">
        <f>IF($B1356="","",ISOWEEKNUM($B1356))</f>
        <v/>
      </c>
      <c r="AC1356" s="17">
        <f>IF($B1356="","",CHOOSE(WEEKDAY($B1356,2),"Segunda","Terça","Quarta","Quinta","Sexta","Sábado","Domingo"))</f>
        <v/>
      </c>
      <c r="AD1356" s="17">
        <f>IF($B1356="","",TEXT($B1356,"MM/AAAA"))</f>
        <v/>
      </c>
      <c r="AE1356" s="18">
        <f>IF(COUNTA($B1356:$R1356)=0,"",IF($X1356="Cancelado",0,ROUND(N($Q1356)+N($S1356)+N($T1356)-N($U1356),2)))</f>
        <v/>
      </c>
      <c r="AF1356" s="9">
        <f>IF($G1356="","",IFERROR(INDEX(LINHAS_DRE_PLANO,MATCH($G1356,SUBCATEGORIAS_PLANO,0)),"Não classificado"))</f>
        <v/>
      </c>
      <c r="AG1356" s="17">
        <f>IF($G1356="","",IFERROR(INDEX(TIPOS_FLUXO_PLANO,MATCH($G1356,SUBCATEGORIAS_PLANO,0)),"Não classificado"))</f>
        <v/>
      </c>
      <c r="AH1356" s="9">
        <f>IF($G1356="","",IFERROR(INDEX(GRUPOS_PLANO,MATCH($G1356,SUBCATEGORIAS_PLANO,0)),"Não classificado"))</f>
        <v/>
      </c>
      <c r="AI1356" s="24">
        <f>IF(OR($C1356="",$X1356="Pago",$X1356="Recebido",$X1356="Cancelado"),"",$C1356-TODAY())</f>
        <v/>
      </c>
      <c r="AJ1356" s="24">
        <f>IF(OR($C1356="",$X1356="Pago",$X1356="Recebido",$X1356="Cancelado"),0,MAX(0,TODAY()-$C1356))</f>
        <v/>
      </c>
      <c r="AK1356" s="24">
        <f>IF($D1356="","",$D1356-$B1356)</f>
        <v/>
      </c>
      <c r="AL1356" s="18">
        <f>IF(OR($D1356="",$B1356=""),"",ROUND(N($R1356)*($D1356-$B1356),2))</f>
        <v/>
      </c>
      <c r="AM1356" s="17">
        <f>IF(AND($E1356="Saída",$W1356&gt;0,$C1356&lt;&gt;""),$C1356+ROW()/1000000,"")</f>
        <v/>
      </c>
      <c r="AN1356" s="17">
        <f>IF(AND($E1356="Entrada",$W1356&gt;0,$C1356&lt;&gt;""),$C1356+ROW()/1000000,"")</f>
        <v/>
      </c>
      <c r="AO1356" s="9">
        <f>IF(COUNTA($B1356:$R1356)=0,"",IF(AND($I1356&lt;&gt;"",COUNTIF(CLIENTES_NOMES,$I1356)+COUNTIF(CLIENTES_FANTASIA,$I1356)+COUNTIF(FORNECEDORES_NOMES,$I1356)+COUNTIF(FORNECEDORES_FANTASIA,$I1356)=0),"⚠ Cliente/Fornecedor não cadastrado",IF(AND($G1356&lt;&gt;"",COUNTIF(SUBCATEGORIAS_PLANO,$G1356)=0),"⚠ Subcategoria fora do plano de contas",IF(OR($Q1356="",N($Q1356)=0),"⚠ Valor previsto não informado",IF(AND(OR($X1356="Pago",$X1356="Recebido"),$D1356=""),"⚠ Status pago/recebido sem data",IF(AND($D1356&lt;&gt;"",N($R1356)=0),"⚠ Data de pagamento sem valor realizado",IF(AND(N($P1356)&gt;1,N($O1356)&gt;N($P1356)),"⚠ Nº da parcela maior que o total",IF(AND($C1356&lt;&gt;"",$B1356&lt;&gt;"",$C1356&lt;$B1356),"⚠ Vencimento anterior à competência","OK"))))))))</f>
        <v/>
      </c>
    </row>
    <row r="1357">
      <c r="A1357" s="14" t="n"/>
      <c r="B1357" s="36" t="n"/>
      <c r="C1357" s="36" t="n"/>
      <c r="D1357" s="36" t="n"/>
      <c r="E1357" s="14" t="n"/>
      <c r="F1357" s="29" t="n"/>
      <c r="G1357" s="29" t="n"/>
      <c r="H1357" s="29" t="n"/>
      <c r="I1357" s="29" t="n"/>
      <c r="J1357" s="29" t="n"/>
      <c r="K1357" s="14" t="n"/>
      <c r="L1357" s="29" t="n"/>
      <c r="M1357" s="14" t="n"/>
      <c r="N1357" s="29" t="n"/>
      <c r="O1357" s="13" t="n"/>
      <c r="P1357" s="13" t="n"/>
      <c r="Q1357" s="35" t="n"/>
      <c r="R1357" s="35" t="n"/>
      <c r="S1357" s="35" t="n"/>
      <c r="T1357" s="35" t="n"/>
      <c r="U1357" s="35" t="n"/>
      <c r="V1357" s="18">
        <f>IF(COUNTA($B1357:$R1357)=0,"",ROUND(N($R1357)+N($S1357)+N($T1357)-N($U1357),2))</f>
        <v/>
      </c>
      <c r="W1357" s="18">
        <f>IF(COUNTA($B1357:$R1357)=0,"",IF(OR($X1357="Pago",$X1357="Recebido",$X1357="Cancelado"),0,ROUND(N($Q1357)+N($S1357)+N($T1357)-N($U1357)-N($R1357),2)))</f>
        <v/>
      </c>
      <c r="X1357" s="14" t="n"/>
      <c r="Y1357" s="17">
        <f>IF(COUNTA($B1357:$R1357)=0,"",IF($X1357="Cancelado","Cancelado",IF(OR($X1357="Pago",$X1357="Recebido"),$X1357,IF(OR($X1357="Parcial",N($R1357)&gt;0),"Parcial",IF($C1357="","Sem vencimento",IF($C1357&lt;TODAY(),"Vencido",IF($C1357=TODAY(),"Vence hoje",IF($C1357&lt;=TODAY()+7,"Vence em 7 dias",IF($C1357&lt;=TODAY()+30,"Vence em 30 dias","Futuro")))))))))</f>
        <v/>
      </c>
      <c r="Z1357" s="24">
        <f>IF($B1357="","",MONTH($B1357))</f>
        <v/>
      </c>
      <c r="AA1357" s="24">
        <f>IF($B1357="","",YEAR($B1357))</f>
        <v/>
      </c>
      <c r="AB1357" s="24">
        <f>IF($B1357="","",ISOWEEKNUM($B1357))</f>
        <v/>
      </c>
      <c r="AC1357" s="17">
        <f>IF($B1357="","",CHOOSE(WEEKDAY($B1357,2),"Segunda","Terça","Quarta","Quinta","Sexta","Sábado","Domingo"))</f>
        <v/>
      </c>
      <c r="AD1357" s="17">
        <f>IF($B1357="","",TEXT($B1357,"MM/AAAA"))</f>
        <v/>
      </c>
      <c r="AE1357" s="18">
        <f>IF(COUNTA($B1357:$R1357)=0,"",IF($X1357="Cancelado",0,ROUND(N($Q1357)+N($S1357)+N($T1357)-N($U1357),2)))</f>
        <v/>
      </c>
      <c r="AF1357" s="9">
        <f>IF($G1357="","",IFERROR(INDEX(LINHAS_DRE_PLANO,MATCH($G1357,SUBCATEGORIAS_PLANO,0)),"Não classificado"))</f>
        <v/>
      </c>
      <c r="AG1357" s="17">
        <f>IF($G1357="","",IFERROR(INDEX(TIPOS_FLUXO_PLANO,MATCH($G1357,SUBCATEGORIAS_PLANO,0)),"Não classificado"))</f>
        <v/>
      </c>
      <c r="AH1357" s="9">
        <f>IF($G1357="","",IFERROR(INDEX(GRUPOS_PLANO,MATCH($G1357,SUBCATEGORIAS_PLANO,0)),"Não classificado"))</f>
        <v/>
      </c>
      <c r="AI1357" s="24">
        <f>IF(OR($C1357="",$X1357="Pago",$X1357="Recebido",$X1357="Cancelado"),"",$C1357-TODAY())</f>
        <v/>
      </c>
      <c r="AJ1357" s="24">
        <f>IF(OR($C1357="",$X1357="Pago",$X1357="Recebido",$X1357="Cancelado"),0,MAX(0,TODAY()-$C1357))</f>
        <v/>
      </c>
      <c r="AK1357" s="24">
        <f>IF($D1357="","",$D1357-$B1357)</f>
        <v/>
      </c>
      <c r="AL1357" s="18">
        <f>IF(OR($D1357="",$B1357=""),"",ROUND(N($R1357)*($D1357-$B1357),2))</f>
        <v/>
      </c>
      <c r="AM1357" s="17">
        <f>IF(AND($E1357="Saída",$W1357&gt;0,$C1357&lt;&gt;""),$C1357+ROW()/1000000,"")</f>
        <v/>
      </c>
      <c r="AN1357" s="17">
        <f>IF(AND($E1357="Entrada",$W1357&gt;0,$C1357&lt;&gt;""),$C1357+ROW()/1000000,"")</f>
        <v/>
      </c>
      <c r="AO1357" s="9">
        <f>IF(COUNTA($B1357:$R1357)=0,"",IF(AND($I1357&lt;&gt;"",COUNTIF(CLIENTES_NOMES,$I1357)+COUNTIF(CLIENTES_FANTASIA,$I1357)+COUNTIF(FORNECEDORES_NOMES,$I1357)+COUNTIF(FORNECEDORES_FANTASIA,$I1357)=0),"⚠ Cliente/Fornecedor não cadastrado",IF(AND($G1357&lt;&gt;"",COUNTIF(SUBCATEGORIAS_PLANO,$G1357)=0),"⚠ Subcategoria fora do plano de contas",IF(OR($Q1357="",N($Q1357)=0),"⚠ Valor previsto não informado",IF(AND(OR($X1357="Pago",$X1357="Recebido"),$D1357=""),"⚠ Status pago/recebido sem data",IF(AND($D1357&lt;&gt;"",N($R1357)=0),"⚠ Data de pagamento sem valor realizado",IF(AND(N($P1357)&gt;1,N($O1357)&gt;N($P1357)),"⚠ Nº da parcela maior que o total",IF(AND($C1357&lt;&gt;"",$B1357&lt;&gt;"",$C1357&lt;$B1357),"⚠ Vencimento anterior à competência","OK"))))))))</f>
        <v/>
      </c>
    </row>
    <row r="1358">
      <c r="A1358" s="14" t="n"/>
      <c r="B1358" s="36" t="n"/>
      <c r="C1358" s="36" t="n"/>
      <c r="D1358" s="36" t="n"/>
      <c r="E1358" s="14" t="n"/>
      <c r="F1358" s="29" t="n"/>
      <c r="G1358" s="29" t="n"/>
      <c r="H1358" s="29" t="n"/>
      <c r="I1358" s="29" t="n"/>
      <c r="J1358" s="29" t="n"/>
      <c r="K1358" s="14" t="n"/>
      <c r="L1358" s="29" t="n"/>
      <c r="M1358" s="14" t="n"/>
      <c r="N1358" s="29" t="n"/>
      <c r="O1358" s="13" t="n"/>
      <c r="P1358" s="13" t="n"/>
      <c r="Q1358" s="35" t="n"/>
      <c r="R1358" s="35" t="n"/>
      <c r="S1358" s="35" t="n"/>
      <c r="T1358" s="35" t="n"/>
      <c r="U1358" s="35" t="n"/>
      <c r="V1358" s="18">
        <f>IF(COUNTA($B1358:$R1358)=0,"",ROUND(N($R1358)+N($S1358)+N($T1358)-N($U1358),2))</f>
        <v/>
      </c>
      <c r="W1358" s="18">
        <f>IF(COUNTA($B1358:$R1358)=0,"",IF(OR($X1358="Pago",$X1358="Recebido",$X1358="Cancelado"),0,ROUND(N($Q1358)+N($S1358)+N($T1358)-N($U1358)-N($R1358),2)))</f>
        <v/>
      </c>
      <c r="X1358" s="14" t="n"/>
      <c r="Y1358" s="17">
        <f>IF(COUNTA($B1358:$R1358)=0,"",IF($X1358="Cancelado","Cancelado",IF(OR($X1358="Pago",$X1358="Recebido"),$X1358,IF(OR($X1358="Parcial",N($R1358)&gt;0),"Parcial",IF($C1358="","Sem vencimento",IF($C1358&lt;TODAY(),"Vencido",IF($C1358=TODAY(),"Vence hoje",IF($C1358&lt;=TODAY()+7,"Vence em 7 dias",IF($C1358&lt;=TODAY()+30,"Vence em 30 dias","Futuro")))))))))</f>
        <v/>
      </c>
      <c r="Z1358" s="24">
        <f>IF($B1358="","",MONTH($B1358))</f>
        <v/>
      </c>
      <c r="AA1358" s="24">
        <f>IF($B1358="","",YEAR($B1358))</f>
        <v/>
      </c>
      <c r="AB1358" s="24">
        <f>IF($B1358="","",ISOWEEKNUM($B1358))</f>
        <v/>
      </c>
      <c r="AC1358" s="17">
        <f>IF($B1358="","",CHOOSE(WEEKDAY($B1358,2),"Segunda","Terça","Quarta","Quinta","Sexta","Sábado","Domingo"))</f>
        <v/>
      </c>
      <c r="AD1358" s="17">
        <f>IF($B1358="","",TEXT($B1358,"MM/AAAA"))</f>
        <v/>
      </c>
      <c r="AE1358" s="18">
        <f>IF(COUNTA($B1358:$R1358)=0,"",IF($X1358="Cancelado",0,ROUND(N($Q1358)+N($S1358)+N($T1358)-N($U1358),2)))</f>
        <v/>
      </c>
      <c r="AF1358" s="9">
        <f>IF($G1358="","",IFERROR(INDEX(LINHAS_DRE_PLANO,MATCH($G1358,SUBCATEGORIAS_PLANO,0)),"Não classificado"))</f>
        <v/>
      </c>
      <c r="AG1358" s="17">
        <f>IF($G1358="","",IFERROR(INDEX(TIPOS_FLUXO_PLANO,MATCH($G1358,SUBCATEGORIAS_PLANO,0)),"Não classificado"))</f>
        <v/>
      </c>
      <c r="AH1358" s="9">
        <f>IF($G1358="","",IFERROR(INDEX(GRUPOS_PLANO,MATCH($G1358,SUBCATEGORIAS_PLANO,0)),"Não classificado"))</f>
        <v/>
      </c>
      <c r="AI1358" s="24">
        <f>IF(OR($C1358="",$X1358="Pago",$X1358="Recebido",$X1358="Cancelado"),"",$C1358-TODAY())</f>
        <v/>
      </c>
      <c r="AJ1358" s="24">
        <f>IF(OR($C1358="",$X1358="Pago",$X1358="Recebido",$X1358="Cancelado"),0,MAX(0,TODAY()-$C1358))</f>
        <v/>
      </c>
      <c r="AK1358" s="24">
        <f>IF($D1358="","",$D1358-$B1358)</f>
        <v/>
      </c>
      <c r="AL1358" s="18">
        <f>IF(OR($D1358="",$B1358=""),"",ROUND(N($R1358)*($D1358-$B1358),2))</f>
        <v/>
      </c>
      <c r="AM1358" s="17">
        <f>IF(AND($E1358="Saída",$W1358&gt;0,$C1358&lt;&gt;""),$C1358+ROW()/1000000,"")</f>
        <v/>
      </c>
      <c r="AN1358" s="17">
        <f>IF(AND($E1358="Entrada",$W1358&gt;0,$C1358&lt;&gt;""),$C1358+ROW()/1000000,"")</f>
        <v/>
      </c>
      <c r="AO1358" s="9">
        <f>IF(COUNTA($B1358:$R1358)=0,"",IF(AND($I1358&lt;&gt;"",COUNTIF(CLIENTES_NOMES,$I1358)+COUNTIF(CLIENTES_FANTASIA,$I1358)+COUNTIF(FORNECEDORES_NOMES,$I1358)+COUNTIF(FORNECEDORES_FANTASIA,$I1358)=0),"⚠ Cliente/Fornecedor não cadastrado",IF(AND($G1358&lt;&gt;"",COUNTIF(SUBCATEGORIAS_PLANO,$G1358)=0),"⚠ Subcategoria fora do plano de contas",IF(OR($Q1358="",N($Q1358)=0),"⚠ Valor previsto não informado",IF(AND(OR($X1358="Pago",$X1358="Recebido"),$D1358=""),"⚠ Status pago/recebido sem data",IF(AND($D1358&lt;&gt;"",N($R1358)=0),"⚠ Data de pagamento sem valor realizado",IF(AND(N($P1358)&gt;1,N($O1358)&gt;N($P1358)),"⚠ Nº da parcela maior que o total",IF(AND($C1358&lt;&gt;"",$B1358&lt;&gt;"",$C1358&lt;$B1358),"⚠ Vencimento anterior à competência","OK"))))))))</f>
        <v/>
      </c>
    </row>
    <row r="1359">
      <c r="A1359" s="14" t="n"/>
      <c r="B1359" s="36" t="n"/>
      <c r="C1359" s="36" t="n"/>
      <c r="D1359" s="36" t="n"/>
      <c r="E1359" s="14" t="n"/>
      <c r="F1359" s="29" t="n"/>
      <c r="G1359" s="29" t="n"/>
      <c r="H1359" s="29" t="n"/>
      <c r="I1359" s="29" t="n"/>
      <c r="J1359" s="29" t="n"/>
      <c r="K1359" s="14" t="n"/>
      <c r="L1359" s="29" t="n"/>
      <c r="M1359" s="14" t="n"/>
      <c r="N1359" s="29" t="n"/>
      <c r="O1359" s="13" t="n"/>
      <c r="P1359" s="13" t="n"/>
      <c r="Q1359" s="35" t="n"/>
      <c r="R1359" s="35" t="n"/>
      <c r="S1359" s="35" t="n"/>
      <c r="T1359" s="35" t="n"/>
      <c r="U1359" s="35" t="n"/>
      <c r="V1359" s="18">
        <f>IF(COUNTA($B1359:$R1359)=0,"",ROUND(N($R1359)+N($S1359)+N($T1359)-N($U1359),2))</f>
        <v/>
      </c>
      <c r="W1359" s="18">
        <f>IF(COUNTA($B1359:$R1359)=0,"",IF(OR($X1359="Pago",$X1359="Recebido",$X1359="Cancelado"),0,ROUND(N($Q1359)+N($S1359)+N($T1359)-N($U1359)-N($R1359),2)))</f>
        <v/>
      </c>
      <c r="X1359" s="14" t="n"/>
      <c r="Y1359" s="17">
        <f>IF(COUNTA($B1359:$R1359)=0,"",IF($X1359="Cancelado","Cancelado",IF(OR($X1359="Pago",$X1359="Recebido"),$X1359,IF(OR($X1359="Parcial",N($R1359)&gt;0),"Parcial",IF($C1359="","Sem vencimento",IF($C1359&lt;TODAY(),"Vencido",IF($C1359=TODAY(),"Vence hoje",IF($C1359&lt;=TODAY()+7,"Vence em 7 dias",IF($C1359&lt;=TODAY()+30,"Vence em 30 dias","Futuro")))))))))</f>
        <v/>
      </c>
      <c r="Z1359" s="24">
        <f>IF($B1359="","",MONTH($B1359))</f>
        <v/>
      </c>
      <c r="AA1359" s="24">
        <f>IF($B1359="","",YEAR($B1359))</f>
        <v/>
      </c>
      <c r="AB1359" s="24">
        <f>IF($B1359="","",ISOWEEKNUM($B1359))</f>
        <v/>
      </c>
      <c r="AC1359" s="17">
        <f>IF($B1359="","",CHOOSE(WEEKDAY($B1359,2),"Segunda","Terça","Quarta","Quinta","Sexta","Sábado","Domingo"))</f>
        <v/>
      </c>
      <c r="AD1359" s="17">
        <f>IF($B1359="","",TEXT($B1359,"MM/AAAA"))</f>
        <v/>
      </c>
      <c r="AE1359" s="18">
        <f>IF(COUNTA($B1359:$R1359)=0,"",IF($X1359="Cancelado",0,ROUND(N($Q1359)+N($S1359)+N($T1359)-N($U1359),2)))</f>
        <v/>
      </c>
      <c r="AF1359" s="9">
        <f>IF($G1359="","",IFERROR(INDEX(LINHAS_DRE_PLANO,MATCH($G1359,SUBCATEGORIAS_PLANO,0)),"Não classificado"))</f>
        <v/>
      </c>
      <c r="AG1359" s="17">
        <f>IF($G1359="","",IFERROR(INDEX(TIPOS_FLUXO_PLANO,MATCH($G1359,SUBCATEGORIAS_PLANO,0)),"Não classificado"))</f>
        <v/>
      </c>
      <c r="AH1359" s="9">
        <f>IF($G1359="","",IFERROR(INDEX(GRUPOS_PLANO,MATCH($G1359,SUBCATEGORIAS_PLANO,0)),"Não classificado"))</f>
        <v/>
      </c>
      <c r="AI1359" s="24">
        <f>IF(OR($C1359="",$X1359="Pago",$X1359="Recebido",$X1359="Cancelado"),"",$C1359-TODAY())</f>
        <v/>
      </c>
      <c r="AJ1359" s="24">
        <f>IF(OR($C1359="",$X1359="Pago",$X1359="Recebido",$X1359="Cancelado"),0,MAX(0,TODAY()-$C1359))</f>
        <v/>
      </c>
      <c r="AK1359" s="24">
        <f>IF($D1359="","",$D1359-$B1359)</f>
        <v/>
      </c>
      <c r="AL1359" s="18">
        <f>IF(OR($D1359="",$B1359=""),"",ROUND(N($R1359)*($D1359-$B1359),2))</f>
        <v/>
      </c>
      <c r="AM1359" s="17">
        <f>IF(AND($E1359="Saída",$W1359&gt;0,$C1359&lt;&gt;""),$C1359+ROW()/1000000,"")</f>
        <v/>
      </c>
      <c r="AN1359" s="17">
        <f>IF(AND($E1359="Entrada",$W1359&gt;0,$C1359&lt;&gt;""),$C1359+ROW()/1000000,"")</f>
        <v/>
      </c>
      <c r="AO1359" s="9">
        <f>IF(COUNTA($B1359:$R1359)=0,"",IF(AND($I1359&lt;&gt;"",COUNTIF(CLIENTES_NOMES,$I1359)+COUNTIF(CLIENTES_FANTASIA,$I1359)+COUNTIF(FORNECEDORES_NOMES,$I1359)+COUNTIF(FORNECEDORES_FANTASIA,$I1359)=0),"⚠ Cliente/Fornecedor não cadastrado",IF(AND($G1359&lt;&gt;"",COUNTIF(SUBCATEGORIAS_PLANO,$G1359)=0),"⚠ Subcategoria fora do plano de contas",IF(OR($Q1359="",N($Q1359)=0),"⚠ Valor previsto não informado",IF(AND(OR($X1359="Pago",$X1359="Recebido"),$D1359=""),"⚠ Status pago/recebido sem data",IF(AND($D1359&lt;&gt;"",N($R1359)=0),"⚠ Data de pagamento sem valor realizado",IF(AND(N($P1359)&gt;1,N($O1359)&gt;N($P1359)),"⚠ Nº da parcela maior que o total",IF(AND($C1359&lt;&gt;"",$B1359&lt;&gt;"",$C1359&lt;$B1359),"⚠ Vencimento anterior à competência","OK"))))))))</f>
        <v/>
      </c>
    </row>
    <row r="1360">
      <c r="A1360" s="14" t="n"/>
      <c r="B1360" s="36" t="n"/>
      <c r="C1360" s="36" t="n"/>
      <c r="D1360" s="36" t="n"/>
      <c r="E1360" s="14" t="n"/>
      <c r="F1360" s="29" t="n"/>
      <c r="G1360" s="29" t="n"/>
      <c r="H1360" s="29" t="n"/>
      <c r="I1360" s="29" t="n"/>
      <c r="J1360" s="29" t="n"/>
      <c r="K1360" s="14" t="n"/>
      <c r="L1360" s="29" t="n"/>
      <c r="M1360" s="14" t="n"/>
      <c r="N1360" s="29" t="n"/>
      <c r="O1360" s="13" t="n"/>
      <c r="P1360" s="13" t="n"/>
      <c r="Q1360" s="35" t="n"/>
      <c r="R1360" s="35" t="n"/>
      <c r="S1360" s="35" t="n"/>
      <c r="T1360" s="35" t="n"/>
      <c r="U1360" s="35" t="n"/>
      <c r="V1360" s="18">
        <f>IF(COUNTA($B1360:$R1360)=0,"",ROUND(N($R1360)+N($S1360)+N($T1360)-N($U1360),2))</f>
        <v/>
      </c>
      <c r="W1360" s="18">
        <f>IF(COUNTA($B1360:$R1360)=0,"",IF(OR($X1360="Pago",$X1360="Recebido",$X1360="Cancelado"),0,ROUND(N($Q1360)+N($S1360)+N($T1360)-N($U1360)-N($R1360),2)))</f>
        <v/>
      </c>
      <c r="X1360" s="14" t="n"/>
      <c r="Y1360" s="17">
        <f>IF(COUNTA($B1360:$R1360)=0,"",IF($X1360="Cancelado","Cancelado",IF(OR($X1360="Pago",$X1360="Recebido"),$X1360,IF(OR($X1360="Parcial",N($R1360)&gt;0),"Parcial",IF($C1360="","Sem vencimento",IF($C1360&lt;TODAY(),"Vencido",IF($C1360=TODAY(),"Vence hoje",IF($C1360&lt;=TODAY()+7,"Vence em 7 dias",IF($C1360&lt;=TODAY()+30,"Vence em 30 dias","Futuro")))))))))</f>
        <v/>
      </c>
      <c r="Z1360" s="24">
        <f>IF($B1360="","",MONTH($B1360))</f>
        <v/>
      </c>
      <c r="AA1360" s="24">
        <f>IF($B1360="","",YEAR($B1360))</f>
        <v/>
      </c>
      <c r="AB1360" s="24">
        <f>IF($B1360="","",ISOWEEKNUM($B1360))</f>
        <v/>
      </c>
      <c r="AC1360" s="17">
        <f>IF($B1360="","",CHOOSE(WEEKDAY($B1360,2),"Segunda","Terça","Quarta","Quinta","Sexta","Sábado","Domingo"))</f>
        <v/>
      </c>
      <c r="AD1360" s="17">
        <f>IF($B1360="","",TEXT($B1360,"MM/AAAA"))</f>
        <v/>
      </c>
      <c r="AE1360" s="18">
        <f>IF(COUNTA($B1360:$R1360)=0,"",IF($X1360="Cancelado",0,ROUND(N($Q1360)+N($S1360)+N($T1360)-N($U1360),2)))</f>
        <v/>
      </c>
      <c r="AF1360" s="9">
        <f>IF($G1360="","",IFERROR(INDEX(LINHAS_DRE_PLANO,MATCH($G1360,SUBCATEGORIAS_PLANO,0)),"Não classificado"))</f>
        <v/>
      </c>
      <c r="AG1360" s="17">
        <f>IF($G1360="","",IFERROR(INDEX(TIPOS_FLUXO_PLANO,MATCH($G1360,SUBCATEGORIAS_PLANO,0)),"Não classificado"))</f>
        <v/>
      </c>
      <c r="AH1360" s="9">
        <f>IF($G1360="","",IFERROR(INDEX(GRUPOS_PLANO,MATCH($G1360,SUBCATEGORIAS_PLANO,0)),"Não classificado"))</f>
        <v/>
      </c>
      <c r="AI1360" s="24">
        <f>IF(OR($C1360="",$X1360="Pago",$X1360="Recebido",$X1360="Cancelado"),"",$C1360-TODAY())</f>
        <v/>
      </c>
      <c r="AJ1360" s="24">
        <f>IF(OR($C1360="",$X1360="Pago",$X1360="Recebido",$X1360="Cancelado"),0,MAX(0,TODAY()-$C1360))</f>
        <v/>
      </c>
      <c r="AK1360" s="24">
        <f>IF($D1360="","",$D1360-$B1360)</f>
        <v/>
      </c>
      <c r="AL1360" s="18">
        <f>IF(OR($D1360="",$B1360=""),"",ROUND(N($R1360)*($D1360-$B1360),2))</f>
        <v/>
      </c>
      <c r="AM1360" s="17">
        <f>IF(AND($E1360="Saída",$W1360&gt;0,$C1360&lt;&gt;""),$C1360+ROW()/1000000,"")</f>
        <v/>
      </c>
      <c r="AN1360" s="17">
        <f>IF(AND($E1360="Entrada",$W1360&gt;0,$C1360&lt;&gt;""),$C1360+ROW()/1000000,"")</f>
        <v/>
      </c>
      <c r="AO1360" s="9">
        <f>IF(COUNTA($B1360:$R1360)=0,"",IF(AND($I1360&lt;&gt;"",COUNTIF(CLIENTES_NOMES,$I1360)+COUNTIF(CLIENTES_FANTASIA,$I1360)+COUNTIF(FORNECEDORES_NOMES,$I1360)+COUNTIF(FORNECEDORES_FANTASIA,$I1360)=0),"⚠ Cliente/Fornecedor não cadastrado",IF(AND($G1360&lt;&gt;"",COUNTIF(SUBCATEGORIAS_PLANO,$G1360)=0),"⚠ Subcategoria fora do plano de contas",IF(OR($Q1360="",N($Q1360)=0),"⚠ Valor previsto não informado",IF(AND(OR($X1360="Pago",$X1360="Recebido"),$D1360=""),"⚠ Status pago/recebido sem data",IF(AND($D1360&lt;&gt;"",N($R1360)=0),"⚠ Data de pagamento sem valor realizado",IF(AND(N($P1360)&gt;1,N($O1360)&gt;N($P1360)),"⚠ Nº da parcela maior que o total",IF(AND($C1360&lt;&gt;"",$B1360&lt;&gt;"",$C1360&lt;$B1360),"⚠ Vencimento anterior à competência","OK"))))))))</f>
        <v/>
      </c>
    </row>
    <row r="1361">
      <c r="A1361" s="14" t="n"/>
      <c r="B1361" s="36" t="n"/>
      <c r="C1361" s="36" t="n"/>
      <c r="D1361" s="36" t="n"/>
      <c r="E1361" s="14" t="n"/>
      <c r="F1361" s="29" t="n"/>
      <c r="G1361" s="29" t="n"/>
      <c r="H1361" s="29" t="n"/>
      <c r="I1361" s="29" t="n"/>
      <c r="J1361" s="29" t="n"/>
      <c r="K1361" s="14" t="n"/>
      <c r="L1361" s="29" t="n"/>
      <c r="M1361" s="14" t="n"/>
      <c r="N1361" s="29" t="n"/>
      <c r="O1361" s="13" t="n"/>
      <c r="P1361" s="13" t="n"/>
      <c r="Q1361" s="35" t="n"/>
      <c r="R1361" s="35" t="n"/>
      <c r="S1361" s="35" t="n"/>
      <c r="T1361" s="35" t="n"/>
      <c r="U1361" s="35" t="n"/>
      <c r="V1361" s="18">
        <f>IF(COUNTA($B1361:$R1361)=0,"",ROUND(N($R1361)+N($S1361)+N($T1361)-N($U1361),2))</f>
        <v/>
      </c>
      <c r="W1361" s="18">
        <f>IF(COUNTA($B1361:$R1361)=0,"",IF(OR($X1361="Pago",$X1361="Recebido",$X1361="Cancelado"),0,ROUND(N($Q1361)+N($S1361)+N($T1361)-N($U1361)-N($R1361),2)))</f>
        <v/>
      </c>
      <c r="X1361" s="14" t="n"/>
      <c r="Y1361" s="17">
        <f>IF(COUNTA($B1361:$R1361)=0,"",IF($X1361="Cancelado","Cancelado",IF(OR($X1361="Pago",$X1361="Recebido"),$X1361,IF(OR($X1361="Parcial",N($R1361)&gt;0),"Parcial",IF($C1361="","Sem vencimento",IF($C1361&lt;TODAY(),"Vencido",IF($C1361=TODAY(),"Vence hoje",IF($C1361&lt;=TODAY()+7,"Vence em 7 dias",IF($C1361&lt;=TODAY()+30,"Vence em 30 dias","Futuro")))))))))</f>
        <v/>
      </c>
      <c r="Z1361" s="24">
        <f>IF($B1361="","",MONTH($B1361))</f>
        <v/>
      </c>
      <c r="AA1361" s="24">
        <f>IF($B1361="","",YEAR($B1361))</f>
        <v/>
      </c>
      <c r="AB1361" s="24">
        <f>IF($B1361="","",ISOWEEKNUM($B1361))</f>
        <v/>
      </c>
      <c r="AC1361" s="17">
        <f>IF($B1361="","",CHOOSE(WEEKDAY($B1361,2),"Segunda","Terça","Quarta","Quinta","Sexta","Sábado","Domingo"))</f>
        <v/>
      </c>
      <c r="AD1361" s="17">
        <f>IF($B1361="","",TEXT($B1361,"MM/AAAA"))</f>
        <v/>
      </c>
      <c r="AE1361" s="18">
        <f>IF(COUNTA($B1361:$R1361)=0,"",IF($X1361="Cancelado",0,ROUND(N($Q1361)+N($S1361)+N($T1361)-N($U1361),2)))</f>
        <v/>
      </c>
      <c r="AF1361" s="9">
        <f>IF($G1361="","",IFERROR(INDEX(LINHAS_DRE_PLANO,MATCH($G1361,SUBCATEGORIAS_PLANO,0)),"Não classificado"))</f>
        <v/>
      </c>
      <c r="AG1361" s="17">
        <f>IF($G1361="","",IFERROR(INDEX(TIPOS_FLUXO_PLANO,MATCH($G1361,SUBCATEGORIAS_PLANO,0)),"Não classificado"))</f>
        <v/>
      </c>
      <c r="AH1361" s="9">
        <f>IF($G1361="","",IFERROR(INDEX(GRUPOS_PLANO,MATCH($G1361,SUBCATEGORIAS_PLANO,0)),"Não classificado"))</f>
        <v/>
      </c>
      <c r="AI1361" s="24">
        <f>IF(OR($C1361="",$X1361="Pago",$X1361="Recebido",$X1361="Cancelado"),"",$C1361-TODAY())</f>
        <v/>
      </c>
      <c r="AJ1361" s="24">
        <f>IF(OR($C1361="",$X1361="Pago",$X1361="Recebido",$X1361="Cancelado"),0,MAX(0,TODAY()-$C1361))</f>
        <v/>
      </c>
      <c r="AK1361" s="24">
        <f>IF($D1361="","",$D1361-$B1361)</f>
        <v/>
      </c>
      <c r="AL1361" s="18">
        <f>IF(OR($D1361="",$B1361=""),"",ROUND(N($R1361)*($D1361-$B1361),2))</f>
        <v/>
      </c>
      <c r="AM1361" s="17">
        <f>IF(AND($E1361="Saída",$W1361&gt;0,$C1361&lt;&gt;""),$C1361+ROW()/1000000,"")</f>
        <v/>
      </c>
      <c r="AN1361" s="17">
        <f>IF(AND($E1361="Entrada",$W1361&gt;0,$C1361&lt;&gt;""),$C1361+ROW()/1000000,"")</f>
        <v/>
      </c>
      <c r="AO1361" s="9">
        <f>IF(COUNTA($B1361:$R1361)=0,"",IF(AND($I1361&lt;&gt;"",COUNTIF(CLIENTES_NOMES,$I1361)+COUNTIF(CLIENTES_FANTASIA,$I1361)+COUNTIF(FORNECEDORES_NOMES,$I1361)+COUNTIF(FORNECEDORES_FANTASIA,$I1361)=0),"⚠ Cliente/Fornecedor não cadastrado",IF(AND($G1361&lt;&gt;"",COUNTIF(SUBCATEGORIAS_PLANO,$G1361)=0),"⚠ Subcategoria fora do plano de contas",IF(OR($Q1361="",N($Q1361)=0),"⚠ Valor previsto não informado",IF(AND(OR($X1361="Pago",$X1361="Recebido"),$D1361=""),"⚠ Status pago/recebido sem data",IF(AND($D1361&lt;&gt;"",N($R1361)=0),"⚠ Data de pagamento sem valor realizado",IF(AND(N($P1361)&gt;1,N($O1361)&gt;N($P1361)),"⚠ Nº da parcela maior que o total",IF(AND($C1361&lt;&gt;"",$B1361&lt;&gt;"",$C1361&lt;$B1361),"⚠ Vencimento anterior à competência","OK"))))))))</f>
        <v/>
      </c>
    </row>
    <row r="1362">
      <c r="A1362" s="14" t="n"/>
      <c r="B1362" s="36" t="n"/>
      <c r="C1362" s="36" t="n"/>
      <c r="D1362" s="36" t="n"/>
      <c r="E1362" s="14" t="n"/>
      <c r="F1362" s="29" t="n"/>
      <c r="G1362" s="29" t="n"/>
      <c r="H1362" s="29" t="n"/>
      <c r="I1362" s="29" t="n"/>
      <c r="J1362" s="29" t="n"/>
      <c r="K1362" s="14" t="n"/>
      <c r="L1362" s="29" t="n"/>
      <c r="M1362" s="14" t="n"/>
      <c r="N1362" s="29" t="n"/>
      <c r="O1362" s="13" t="n"/>
      <c r="P1362" s="13" t="n"/>
      <c r="Q1362" s="35" t="n"/>
      <c r="R1362" s="35" t="n"/>
      <c r="S1362" s="35" t="n"/>
      <c r="T1362" s="35" t="n"/>
      <c r="U1362" s="35" t="n"/>
      <c r="V1362" s="18">
        <f>IF(COUNTA($B1362:$R1362)=0,"",ROUND(N($R1362)+N($S1362)+N($T1362)-N($U1362),2))</f>
        <v/>
      </c>
      <c r="W1362" s="18">
        <f>IF(COUNTA($B1362:$R1362)=0,"",IF(OR($X1362="Pago",$X1362="Recebido",$X1362="Cancelado"),0,ROUND(N($Q1362)+N($S1362)+N($T1362)-N($U1362)-N($R1362),2)))</f>
        <v/>
      </c>
      <c r="X1362" s="14" t="n"/>
      <c r="Y1362" s="17">
        <f>IF(COUNTA($B1362:$R1362)=0,"",IF($X1362="Cancelado","Cancelado",IF(OR($X1362="Pago",$X1362="Recebido"),$X1362,IF(OR($X1362="Parcial",N($R1362)&gt;0),"Parcial",IF($C1362="","Sem vencimento",IF($C1362&lt;TODAY(),"Vencido",IF($C1362=TODAY(),"Vence hoje",IF($C1362&lt;=TODAY()+7,"Vence em 7 dias",IF($C1362&lt;=TODAY()+30,"Vence em 30 dias","Futuro")))))))))</f>
        <v/>
      </c>
      <c r="Z1362" s="24">
        <f>IF($B1362="","",MONTH($B1362))</f>
        <v/>
      </c>
      <c r="AA1362" s="24">
        <f>IF($B1362="","",YEAR($B1362))</f>
        <v/>
      </c>
      <c r="AB1362" s="24">
        <f>IF($B1362="","",ISOWEEKNUM($B1362))</f>
        <v/>
      </c>
      <c r="AC1362" s="17">
        <f>IF($B1362="","",CHOOSE(WEEKDAY($B1362,2),"Segunda","Terça","Quarta","Quinta","Sexta","Sábado","Domingo"))</f>
        <v/>
      </c>
      <c r="AD1362" s="17">
        <f>IF($B1362="","",TEXT($B1362,"MM/AAAA"))</f>
        <v/>
      </c>
      <c r="AE1362" s="18">
        <f>IF(COUNTA($B1362:$R1362)=0,"",IF($X1362="Cancelado",0,ROUND(N($Q1362)+N($S1362)+N($T1362)-N($U1362),2)))</f>
        <v/>
      </c>
      <c r="AF1362" s="9">
        <f>IF($G1362="","",IFERROR(INDEX(LINHAS_DRE_PLANO,MATCH($G1362,SUBCATEGORIAS_PLANO,0)),"Não classificado"))</f>
        <v/>
      </c>
      <c r="AG1362" s="17">
        <f>IF($G1362="","",IFERROR(INDEX(TIPOS_FLUXO_PLANO,MATCH($G1362,SUBCATEGORIAS_PLANO,0)),"Não classificado"))</f>
        <v/>
      </c>
      <c r="AH1362" s="9">
        <f>IF($G1362="","",IFERROR(INDEX(GRUPOS_PLANO,MATCH($G1362,SUBCATEGORIAS_PLANO,0)),"Não classificado"))</f>
        <v/>
      </c>
      <c r="AI1362" s="24">
        <f>IF(OR($C1362="",$X1362="Pago",$X1362="Recebido",$X1362="Cancelado"),"",$C1362-TODAY())</f>
        <v/>
      </c>
      <c r="AJ1362" s="24">
        <f>IF(OR($C1362="",$X1362="Pago",$X1362="Recebido",$X1362="Cancelado"),0,MAX(0,TODAY()-$C1362))</f>
        <v/>
      </c>
      <c r="AK1362" s="24">
        <f>IF($D1362="","",$D1362-$B1362)</f>
        <v/>
      </c>
      <c r="AL1362" s="18">
        <f>IF(OR($D1362="",$B1362=""),"",ROUND(N($R1362)*($D1362-$B1362),2))</f>
        <v/>
      </c>
      <c r="AM1362" s="17">
        <f>IF(AND($E1362="Saída",$W1362&gt;0,$C1362&lt;&gt;""),$C1362+ROW()/1000000,"")</f>
        <v/>
      </c>
      <c r="AN1362" s="17">
        <f>IF(AND($E1362="Entrada",$W1362&gt;0,$C1362&lt;&gt;""),$C1362+ROW()/1000000,"")</f>
        <v/>
      </c>
      <c r="AO1362" s="9">
        <f>IF(COUNTA($B1362:$R1362)=0,"",IF(AND($I1362&lt;&gt;"",COUNTIF(CLIENTES_NOMES,$I1362)+COUNTIF(CLIENTES_FANTASIA,$I1362)+COUNTIF(FORNECEDORES_NOMES,$I1362)+COUNTIF(FORNECEDORES_FANTASIA,$I1362)=0),"⚠ Cliente/Fornecedor não cadastrado",IF(AND($G1362&lt;&gt;"",COUNTIF(SUBCATEGORIAS_PLANO,$G1362)=0),"⚠ Subcategoria fora do plano de contas",IF(OR($Q1362="",N($Q1362)=0),"⚠ Valor previsto não informado",IF(AND(OR($X1362="Pago",$X1362="Recebido"),$D1362=""),"⚠ Status pago/recebido sem data",IF(AND($D1362&lt;&gt;"",N($R1362)=0),"⚠ Data de pagamento sem valor realizado",IF(AND(N($P1362)&gt;1,N($O1362)&gt;N($P1362)),"⚠ Nº da parcela maior que o total",IF(AND($C1362&lt;&gt;"",$B1362&lt;&gt;"",$C1362&lt;$B1362),"⚠ Vencimento anterior à competência","OK"))))))))</f>
        <v/>
      </c>
    </row>
    <row r="1363">
      <c r="A1363" s="14" t="n"/>
      <c r="B1363" s="36" t="n"/>
      <c r="C1363" s="36" t="n"/>
      <c r="D1363" s="36" t="n"/>
      <c r="E1363" s="14" t="n"/>
      <c r="F1363" s="29" t="n"/>
      <c r="G1363" s="29" t="n"/>
      <c r="H1363" s="29" t="n"/>
      <c r="I1363" s="29" t="n"/>
      <c r="J1363" s="29" t="n"/>
      <c r="K1363" s="14" t="n"/>
      <c r="L1363" s="29" t="n"/>
      <c r="M1363" s="14" t="n"/>
      <c r="N1363" s="29" t="n"/>
      <c r="O1363" s="13" t="n"/>
      <c r="P1363" s="13" t="n"/>
      <c r="Q1363" s="35" t="n"/>
      <c r="R1363" s="35" t="n"/>
      <c r="S1363" s="35" t="n"/>
      <c r="T1363" s="35" t="n"/>
      <c r="U1363" s="35" t="n"/>
      <c r="V1363" s="18">
        <f>IF(COUNTA($B1363:$R1363)=0,"",ROUND(N($R1363)+N($S1363)+N($T1363)-N($U1363),2))</f>
        <v/>
      </c>
      <c r="W1363" s="18">
        <f>IF(COUNTA($B1363:$R1363)=0,"",IF(OR($X1363="Pago",$X1363="Recebido",$X1363="Cancelado"),0,ROUND(N($Q1363)+N($S1363)+N($T1363)-N($U1363)-N($R1363),2)))</f>
        <v/>
      </c>
      <c r="X1363" s="14" t="n"/>
      <c r="Y1363" s="17">
        <f>IF(COUNTA($B1363:$R1363)=0,"",IF($X1363="Cancelado","Cancelado",IF(OR($X1363="Pago",$X1363="Recebido"),$X1363,IF(OR($X1363="Parcial",N($R1363)&gt;0),"Parcial",IF($C1363="","Sem vencimento",IF($C1363&lt;TODAY(),"Vencido",IF($C1363=TODAY(),"Vence hoje",IF($C1363&lt;=TODAY()+7,"Vence em 7 dias",IF($C1363&lt;=TODAY()+30,"Vence em 30 dias","Futuro")))))))))</f>
        <v/>
      </c>
      <c r="Z1363" s="24">
        <f>IF($B1363="","",MONTH($B1363))</f>
        <v/>
      </c>
      <c r="AA1363" s="24">
        <f>IF($B1363="","",YEAR($B1363))</f>
        <v/>
      </c>
      <c r="AB1363" s="24">
        <f>IF($B1363="","",ISOWEEKNUM($B1363))</f>
        <v/>
      </c>
      <c r="AC1363" s="17">
        <f>IF($B1363="","",CHOOSE(WEEKDAY($B1363,2),"Segunda","Terça","Quarta","Quinta","Sexta","Sábado","Domingo"))</f>
        <v/>
      </c>
      <c r="AD1363" s="17">
        <f>IF($B1363="","",TEXT($B1363,"MM/AAAA"))</f>
        <v/>
      </c>
      <c r="AE1363" s="18">
        <f>IF(COUNTA($B1363:$R1363)=0,"",IF($X1363="Cancelado",0,ROUND(N($Q1363)+N($S1363)+N($T1363)-N($U1363),2)))</f>
        <v/>
      </c>
      <c r="AF1363" s="9">
        <f>IF($G1363="","",IFERROR(INDEX(LINHAS_DRE_PLANO,MATCH($G1363,SUBCATEGORIAS_PLANO,0)),"Não classificado"))</f>
        <v/>
      </c>
      <c r="AG1363" s="17">
        <f>IF($G1363="","",IFERROR(INDEX(TIPOS_FLUXO_PLANO,MATCH($G1363,SUBCATEGORIAS_PLANO,0)),"Não classificado"))</f>
        <v/>
      </c>
      <c r="AH1363" s="9">
        <f>IF($G1363="","",IFERROR(INDEX(GRUPOS_PLANO,MATCH($G1363,SUBCATEGORIAS_PLANO,0)),"Não classificado"))</f>
        <v/>
      </c>
      <c r="AI1363" s="24">
        <f>IF(OR($C1363="",$X1363="Pago",$X1363="Recebido",$X1363="Cancelado"),"",$C1363-TODAY())</f>
        <v/>
      </c>
      <c r="AJ1363" s="24">
        <f>IF(OR($C1363="",$X1363="Pago",$X1363="Recebido",$X1363="Cancelado"),0,MAX(0,TODAY()-$C1363))</f>
        <v/>
      </c>
      <c r="AK1363" s="24">
        <f>IF($D1363="","",$D1363-$B1363)</f>
        <v/>
      </c>
      <c r="AL1363" s="18">
        <f>IF(OR($D1363="",$B1363=""),"",ROUND(N($R1363)*($D1363-$B1363),2))</f>
        <v/>
      </c>
      <c r="AM1363" s="17">
        <f>IF(AND($E1363="Saída",$W1363&gt;0,$C1363&lt;&gt;""),$C1363+ROW()/1000000,"")</f>
        <v/>
      </c>
      <c r="AN1363" s="17">
        <f>IF(AND($E1363="Entrada",$W1363&gt;0,$C1363&lt;&gt;""),$C1363+ROW()/1000000,"")</f>
        <v/>
      </c>
      <c r="AO1363" s="9">
        <f>IF(COUNTA($B1363:$R1363)=0,"",IF(AND($I1363&lt;&gt;"",COUNTIF(CLIENTES_NOMES,$I1363)+COUNTIF(CLIENTES_FANTASIA,$I1363)+COUNTIF(FORNECEDORES_NOMES,$I1363)+COUNTIF(FORNECEDORES_FANTASIA,$I1363)=0),"⚠ Cliente/Fornecedor não cadastrado",IF(AND($G1363&lt;&gt;"",COUNTIF(SUBCATEGORIAS_PLANO,$G1363)=0),"⚠ Subcategoria fora do plano de contas",IF(OR($Q1363="",N($Q1363)=0),"⚠ Valor previsto não informado",IF(AND(OR($X1363="Pago",$X1363="Recebido"),$D1363=""),"⚠ Status pago/recebido sem data",IF(AND($D1363&lt;&gt;"",N($R1363)=0),"⚠ Data de pagamento sem valor realizado",IF(AND(N($P1363)&gt;1,N($O1363)&gt;N($P1363)),"⚠ Nº da parcela maior que o total",IF(AND($C1363&lt;&gt;"",$B1363&lt;&gt;"",$C1363&lt;$B1363),"⚠ Vencimento anterior à competência","OK"))))))))</f>
        <v/>
      </c>
    </row>
    <row r="1364">
      <c r="A1364" s="14" t="n"/>
      <c r="B1364" s="36" t="n"/>
      <c r="C1364" s="36" t="n"/>
      <c r="D1364" s="36" t="n"/>
      <c r="E1364" s="14" t="n"/>
      <c r="F1364" s="29" t="n"/>
      <c r="G1364" s="29" t="n"/>
      <c r="H1364" s="29" t="n"/>
      <c r="I1364" s="29" t="n"/>
      <c r="J1364" s="29" t="n"/>
      <c r="K1364" s="14" t="n"/>
      <c r="L1364" s="29" t="n"/>
      <c r="M1364" s="14" t="n"/>
      <c r="N1364" s="29" t="n"/>
      <c r="O1364" s="13" t="n"/>
      <c r="P1364" s="13" t="n"/>
      <c r="Q1364" s="35" t="n"/>
      <c r="R1364" s="35" t="n"/>
      <c r="S1364" s="35" t="n"/>
      <c r="T1364" s="35" t="n"/>
      <c r="U1364" s="35" t="n"/>
      <c r="V1364" s="18">
        <f>IF(COUNTA($B1364:$R1364)=0,"",ROUND(N($R1364)+N($S1364)+N($T1364)-N($U1364),2))</f>
        <v/>
      </c>
      <c r="W1364" s="18">
        <f>IF(COUNTA($B1364:$R1364)=0,"",IF(OR($X1364="Pago",$X1364="Recebido",$X1364="Cancelado"),0,ROUND(N($Q1364)+N($S1364)+N($T1364)-N($U1364)-N($R1364),2)))</f>
        <v/>
      </c>
      <c r="X1364" s="14" t="n"/>
      <c r="Y1364" s="17">
        <f>IF(COUNTA($B1364:$R1364)=0,"",IF($X1364="Cancelado","Cancelado",IF(OR($X1364="Pago",$X1364="Recebido"),$X1364,IF(OR($X1364="Parcial",N($R1364)&gt;0),"Parcial",IF($C1364="","Sem vencimento",IF($C1364&lt;TODAY(),"Vencido",IF($C1364=TODAY(),"Vence hoje",IF($C1364&lt;=TODAY()+7,"Vence em 7 dias",IF($C1364&lt;=TODAY()+30,"Vence em 30 dias","Futuro")))))))))</f>
        <v/>
      </c>
      <c r="Z1364" s="24">
        <f>IF($B1364="","",MONTH($B1364))</f>
        <v/>
      </c>
      <c r="AA1364" s="24">
        <f>IF($B1364="","",YEAR($B1364))</f>
        <v/>
      </c>
      <c r="AB1364" s="24">
        <f>IF($B1364="","",ISOWEEKNUM($B1364))</f>
        <v/>
      </c>
      <c r="AC1364" s="17">
        <f>IF($B1364="","",CHOOSE(WEEKDAY($B1364,2),"Segunda","Terça","Quarta","Quinta","Sexta","Sábado","Domingo"))</f>
        <v/>
      </c>
      <c r="AD1364" s="17">
        <f>IF($B1364="","",TEXT($B1364,"MM/AAAA"))</f>
        <v/>
      </c>
      <c r="AE1364" s="18">
        <f>IF(COUNTA($B1364:$R1364)=0,"",IF($X1364="Cancelado",0,ROUND(N($Q1364)+N($S1364)+N($T1364)-N($U1364),2)))</f>
        <v/>
      </c>
      <c r="AF1364" s="9">
        <f>IF($G1364="","",IFERROR(INDEX(LINHAS_DRE_PLANO,MATCH($G1364,SUBCATEGORIAS_PLANO,0)),"Não classificado"))</f>
        <v/>
      </c>
      <c r="AG1364" s="17">
        <f>IF($G1364="","",IFERROR(INDEX(TIPOS_FLUXO_PLANO,MATCH($G1364,SUBCATEGORIAS_PLANO,0)),"Não classificado"))</f>
        <v/>
      </c>
      <c r="AH1364" s="9">
        <f>IF($G1364="","",IFERROR(INDEX(GRUPOS_PLANO,MATCH($G1364,SUBCATEGORIAS_PLANO,0)),"Não classificado"))</f>
        <v/>
      </c>
      <c r="AI1364" s="24">
        <f>IF(OR($C1364="",$X1364="Pago",$X1364="Recebido",$X1364="Cancelado"),"",$C1364-TODAY())</f>
        <v/>
      </c>
      <c r="AJ1364" s="24">
        <f>IF(OR($C1364="",$X1364="Pago",$X1364="Recebido",$X1364="Cancelado"),0,MAX(0,TODAY()-$C1364))</f>
        <v/>
      </c>
      <c r="AK1364" s="24">
        <f>IF($D1364="","",$D1364-$B1364)</f>
        <v/>
      </c>
      <c r="AL1364" s="18">
        <f>IF(OR($D1364="",$B1364=""),"",ROUND(N($R1364)*($D1364-$B1364),2))</f>
        <v/>
      </c>
      <c r="AM1364" s="17">
        <f>IF(AND($E1364="Saída",$W1364&gt;0,$C1364&lt;&gt;""),$C1364+ROW()/1000000,"")</f>
        <v/>
      </c>
      <c r="AN1364" s="17">
        <f>IF(AND($E1364="Entrada",$W1364&gt;0,$C1364&lt;&gt;""),$C1364+ROW()/1000000,"")</f>
        <v/>
      </c>
      <c r="AO1364" s="9">
        <f>IF(COUNTA($B1364:$R1364)=0,"",IF(AND($I1364&lt;&gt;"",COUNTIF(CLIENTES_NOMES,$I1364)+COUNTIF(CLIENTES_FANTASIA,$I1364)+COUNTIF(FORNECEDORES_NOMES,$I1364)+COUNTIF(FORNECEDORES_FANTASIA,$I1364)=0),"⚠ Cliente/Fornecedor não cadastrado",IF(AND($G1364&lt;&gt;"",COUNTIF(SUBCATEGORIAS_PLANO,$G1364)=0),"⚠ Subcategoria fora do plano de contas",IF(OR($Q1364="",N($Q1364)=0),"⚠ Valor previsto não informado",IF(AND(OR($X1364="Pago",$X1364="Recebido"),$D1364=""),"⚠ Status pago/recebido sem data",IF(AND($D1364&lt;&gt;"",N($R1364)=0),"⚠ Data de pagamento sem valor realizado",IF(AND(N($P1364)&gt;1,N($O1364)&gt;N($P1364)),"⚠ Nº da parcela maior que o total",IF(AND($C1364&lt;&gt;"",$B1364&lt;&gt;"",$C1364&lt;$B1364),"⚠ Vencimento anterior à competência","OK"))))))))</f>
        <v/>
      </c>
    </row>
    <row r="1365">
      <c r="A1365" s="14" t="n"/>
      <c r="B1365" s="36" t="n"/>
      <c r="C1365" s="36" t="n"/>
      <c r="D1365" s="36" t="n"/>
      <c r="E1365" s="14" t="n"/>
      <c r="F1365" s="29" t="n"/>
      <c r="G1365" s="29" t="n"/>
      <c r="H1365" s="29" t="n"/>
      <c r="I1365" s="29" t="n"/>
      <c r="J1365" s="29" t="n"/>
      <c r="K1365" s="14" t="n"/>
      <c r="L1365" s="29" t="n"/>
      <c r="M1365" s="14" t="n"/>
      <c r="N1365" s="29" t="n"/>
      <c r="O1365" s="13" t="n"/>
      <c r="P1365" s="13" t="n"/>
      <c r="Q1365" s="35" t="n"/>
      <c r="R1365" s="35" t="n"/>
      <c r="S1365" s="35" t="n"/>
      <c r="T1365" s="35" t="n"/>
      <c r="U1365" s="35" t="n"/>
      <c r="V1365" s="18">
        <f>IF(COUNTA($B1365:$R1365)=0,"",ROUND(N($R1365)+N($S1365)+N($T1365)-N($U1365),2))</f>
        <v/>
      </c>
      <c r="W1365" s="18">
        <f>IF(COUNTA($B1365:$R1365)=0,"",IF(OR($X1365="Pago",$X1365="Recebido",$X1365="Cancelado"),0,ROUND(N($Q1365)+N($S1365)+N($T1365)-N($U1365)-N($R1365),2)))</f>
        <v/>
      </c>
      <c r="X1365" s="14" t="n"/>
      <c r="Y1365" s="17">
        <f>IF(COUNTA($B1365:$R1365)=0,"",IF($X1365="Cancelado","Cancelado",IF(OR($X1365="Pago",$X1365="Recebido"),$X1365,IF(OR($X1365="Parcial",N($R1365)&gt;0),"Parcial",IF($C1365="","Sem vencimento",IF($C1365&lt;TODAY(),"Vencido",IF($C1365=TODAY(),"Vence hoje",IF($C1365&lt;=TODAY()+7,"Vence em 7 dias",IF($C1365&lt;=TODAY()+30,"Vence em 30 dias","Futuro")))))))))</f>
        <v/>
      </c>
      <c r="Z1365" s="24">
        <f>IF($B1365="","",MONTH($B1365))</f>
        <v/>
      </c>
      <c r="AA1365" s="24">
        <f>IF($B1365="","",YEAR($B1365))</f>
        <v/>
      </c>
      <c r="AB1365" s="24">
        <f>IF($B1365="","",ISOWEEKNUM($B1365))</f>
        <v/>
      </c>
      <c r="AC1365" s="17">
        <f>IF($B1365="","",CHOOSE(WEEKDAY($B1365,2),"Segunda","Terça","Quarta","Quinta","Sexta","Sábado","Domingo"))</f>
        <v/>
      </c>
      <c r="AD1365" s="17">
        <f>IF($B1365="","",TEXT($B1365,"MM/AAAA"))</f>
        <v/>
      </c>
      <c r="AE1365" s="18">
        <f>IF(COUNTA($B1365:$R1365)=0,"",IF($X1365="Cancelado",0,ROUND(N($Q1365)+N($S1365)+N($T1365)-N($U1365),2)))</f>
        <v/>
      </c>
      <c r="AF1365" s="9">
        <f>IF($G1365="","",IFERROR(INDEX(LINHAS_DRE_PLANO,MATCH($G1365,SUBCATEGORIAS_PLANO,0)),"Não classificado"))</f>
        <v/>
      </c>
      <c r="AG1365" s="17">
        <f>IF($G1365="","",IFERROR(INDEX(TIPOS_FLUXO_PLANO,MATCH($G1365,SUBCATEGORIAS_PLANO,0)),"Não classificado"))</f>
        <v/>
      </c>
      <c r="AH1365" s="9">
        <f>IF($G1365="","",IFERROR(INDEX(GRUPOS_PLANO,MATCH($G1365,SUBCATEGORIAS_PLANO,0)),"Não classificado"))</f>
        <v/>
      </c>
      <c r="AI1365" s="24">
        <f>IF(OR($C1365="",$X1365="Pago",$X1365="Recebido",$X1365="Cancelado"),"",$C1365-TODAY())</f>
        <v/>
      </c>
      <c r="AJ1365" s="24">
        <f>IF(OR($C1365="",$X1365="Pago",$X1365="Recebido",$X1365="Cancelado"),0,MAX(0,TODAY()-$C1365))</f>
        <v/>
      </c>
      <c r="AK1365" s="24">
        <f>IF($D1365="","",$D1365-$B1365)</f>
        <v/>
      </c>
      <c r="AL1365" s="18">
        <f>IF(OR($D1365="",$B1365=""),"",ROUND(N($R1365)*($D1365-$B1365),2))</f>
        <v/>
      </c>
      <c r="AM1365" s="17">
        <f>IF(AND($E1365="Saída",$W1365&gt;0,$C1365&lt;&gt;""),$C1365+ROW()/1000000,"")</f>
        <v/>
      </c>
      <c r="AN1365" s="17">
        <f>IF(AND($E1365="Entrada",$W1365&gt;0,$C1365&lt;&gt;""),$C1365+ROW()/1000000,"")</f>
        <v/>
      </c>
      <c r="AO1365" s="9">
        <f>IF(COUNTA($B1365:$R1365)=0,"",IF(AND($I1365&lt;&gt;"",COUNTIF(CLIENTES_NOMES,$I1365)+COUNTIF(CLIENTES_FANTASIA,$I1365)+COUNTIF(FORNECEDORES_NOMES,$I1365)+COUNTIF(FORNECEDORES_FANTASIA,$I1365)=0),"⚠ Cliente/Fornecedor não cadastrado",IF(AND($G1365&lt;&gt;"",COUNTIF(SUBCATEGORIAS_PLANO,$G1365)=0),"⚠ Subcategoria fora do plano de contas",IF(OR($Q1365="",N($Q1365)=0),"⚠ Valor previsto não informado",IF(AND(OR($X1365="Pago",$X1365="Recebido"),$D1365=""),"⚠ Status pago/recebido sem data",IF(AND($D1365&lt;&gt;"",N($R1365)=0),"⚠ Data de pagamento sem valor realizado",IF(AND(N($P1365)&gt;1,N($O1365)&gt;N($P1365)),"⚠ Nº da parcela maior que o total",IF(AND($C1365&lt;&gt;"",$B1365&lt;&gt;"",$C1365&lt;$B1365),"⚠ Vencimento anterior à competência","OK"))))))))</f>
        <v/>
      </c>
    </row>
    <row r="1366">
      <c r="A1366" s="14" t="n"/>
      <c r="B1366" s="36" t="n"/>
      <c r="C1366" s="36" t="n"/>
      <c r="D1366" s="36" t="n"/>
      <c r="E1366" s="14" t="n"/>
      <c r="F1366" s="29" t="n"/>
      <c r="G1366" s="29" t="n"/>
      <c r="H1366" s="29" t="n"/>
      <c r="I1366" s="29" t="n"/>
      <c r="J1366" s="29" t="n"/>
      <c r="K1366" s="14" t="n"/>
      <c r="L1366" s="29" t="n"/>
      <c r="M1366" s="14" t="n"/>
      <c r="N1366" s="29" t="n"/>
      <c r="O1366" s="13" t="n"/>
      <c r="P1366" s="13" t="n"/>
      <c r="Q1366" s="35" t="n"/>
      <c r="R1366" s="35" t="n"/>
      <c r="S1366" s="35" t="n"/>
      <c r="T1366" s="35" t="n"/>
      <c r="U1366" s="35" t="n"/>
      <c r="V1366" s="18">
        <f>IF(COUNTA($B1366:$R1366)=0,"",ROUND(N($R1366)+N($S1366)+N($T1366)-N($U1366),2))</f>
        <v/>
      </c>
      <c r="W1366" s="18">
        <f>IF(COUNTA($B1366:$R1366)=0,"",IF(OR($X1366="Pago",$X1366="Recebido",$X1366="Cancelado"),0,ROUND(N($Q1366)+N($S1366)+N($T1366)-N($U1366)-N($R1366),2)))</f>
        <v/>
      </c>
      <c r="X1366" s="14" t="n"/>
      <c r="Y1366" s="17">
        <f>IF(COUNTA($B1366:$R1366)=0,"",IF($X1366="Cancelado","Cancelado",IF(OR($X1366="Pago",$X1366="Recebido"),$X1366,IF(OR($X1366="Parcial",N($R1366)&gt;0),"Parcial",IF($C1366="","Sem vencimento",IF($C1366&lt;TODAY(),"Vencido",IF($C1366=TODAY(),"Vence hoje",IF($C1366&lt;=TODAY()+7,"Vence em 7 dias",IF($C1366&lt;=TODAY()+30,"Vence em 30 dias","Futuro")))))))))</f>
        <v/>
      </c>
      <c r="Z1366" s="24">
        <f>IF($B1366="","",MONTH($B1366))</f>
        <v/>
      </c>
      <c r="AA1366" s="24">
        <f>IF($B1366="","",YEAR($B1366))</f>
        <v/>
      </c>
      <c r="AB1366" s="24">
        <f>IF($B1366="","",ISOWEEKNUM($B1366))</f>
        <v/>
      </c>
      <c r="AC1366" s="17">
        <f>IF($B1366="","",CHOOSE(WEEKDAY($B1366,2),"Segunda","Terça","Quarta","Quinta","Sexta","Sábado","Domingo"))</f>
        <v/>
      </c>
      <c r="AD1366" s="17">
        <f>IF($B1366="","",TEXT($B1366,"MM/AAAA"))</f>
        <v/>
      </c>
      <c r="AE1366" s="18">
        <f>IF(COUNTA($B1366:$R1366)=0,"",IF($X1366="Cancelado",0,ROUND(N($Q1366)+N($S1366)+N($T1366)-N($U1366),2)))</f>
        <v/>
      </c>
      <c r="AF1366" s="9">
        <f>IF($G1366="","",IFERROR(INDEX(LINHAS_DRE_PLANO,MATCH($G1366,SUBCATEGORIAS_PLANO,0)),"Não classificado"))</f>
        <v/>
      </c>
      <c r="AG1366" s="17">
        <f>IF($G1366="","",IFERROR(INDEX(TIPOS_FLUXO_PLANO,MATCH($G1366,SUBCATEGORIAS_PLANO,0)),"Não classificado"))</f>
        <v/>
      </c>
      <c r="AH1366" s="9">
        <f>IF($G1366="","",IFERROR(INDEX(GRUPOS_PLANO,MATCH($G1366,SUBCATEGORIAS_PLANO,0)),"Não classificado"))</f>
        <v/>
      </c>
      <c r="AI1366" s="24">
        <f>IF(OR($C1366="",$X1366="Pago",$X1366="Recebido",$X1366="Cancelado"),"",$C1366-TODAY())</f>
        <v/>
      </c>
      <c r="AJ1366" s="24">
        <f>IF(OR($C1366="",$X1366="Pago",$X1366="Recebido",$X1366="Cancelado"),0,MAX(0,TODAY()-$C1366))</f>
        <v/>
      </c>
      <c r="AK1366" s="24">
        <f>IF($D1366="","",$D1366-$B1366)</f>
        <v/>
      </c>
      <c r="AL1366" s="18">
        <f>IF(OR($D1366="",$B1366=""),"",ROUND(N($R1366)*($D1366-$B1366),2))</f>
        <v/>
      </c>
      <c r="AM1366" s="17">
        <f>IF(AND($E1366="Saída",$W1366&gt;0,$C1366&lt;&gt;""),$C1366+ROW()/1000000,"")</f>
        <v/>
      </c>
      <c r="AN1366" s="17">
        <f>IF(AND($E1366="Entrada",$W1366&gt;0,$C1366&lt;&gt;""),$C1366+ROW()/1000000,"")</f>
        <v/>
      </c>
      <c r="AO1366" s="9">
        <f>IF(COUNTA($B1366:$R1366)=0,"",IF(AND($I1366&lt;&gt;"",COUNTIF(CLIENTES_NOMES,$I1366)+COUNTIF(CLIENTES_FANTASIA,$I1366)+COUNTIF(FORNECEDORES_NOMES,$I1366)+COUNTIF(FORNECEDORES_FANTASIA,$I1366)=0),"⚠ Cliente/Fornecedor não cadastrado",IF(AND($G1366&lt;&gt;"",COUNTIF(SUBCATEGORIAS_PLANO,$G1366)=0),"⚠ Subcategoria fora do plano de contas",IF(OR($Q1366="",N($Q1366)=0),"⚠ Valor previsto não informado",IF(AND(OR($X1366="Pago",$X1366="Recebido"),$D1366=""),"⚠ Status pago/recebido sem data",IF(AND($D1366&lt;&gt;"",N($R1366)=0),"⚠ Data de pagamento sem valor realizado",IF(AND(N($P1366)&gt;1,N($O1366)&gt;N($P1366)),"⚠ Nº da parcela maior que o total",IF(AND($C1366&lt;&gt;"",$B1366&lt;&gt;"",$C1366&lt;$B1366),"⚠ Vencimento anterior à competência","OK"))))))))</f>
        <v/>
      </c>
    </row>
    <row r="1367">
      <c r="A1367" s="14" t="n"/>
      <c r="B1367" s="36" t="n"/>
      <c r="C1367" s="36" t="n"/>
      <c r="D1367" s="36" t="n"/>
      <c r="E1367" s="14" t="n"/>
      <c r="F1367" s="29" t="n"/>
      <c r="G1367" s="29" t="n"/>
      <c r="H1367" s="29" t="n"/>
      <c r="I1367" s="29" t="n"/>
      <c r="J1367" s="29" t="n"/>
      <c r="K1367" s="14" t="n"/>
      <c r="L1367" s="29" t="n"/>
      <c r="M1367" s="14" t="n"/>
      <c r="N1367" s="29" t="n"/>
      <c r="O1367" s="13" t="n"/>
      <c r="P1367" s="13" t="n"/>
      <c r="Q1367" s="35" t="n"/>
      <c r="R1367" s="35" t="n"/>
      <c r="S1367" s="35" t="n"/>
      <c r="T1367" s="35" t="n"/>
      <c r="U1367" s="35" t="n"/>
      <c r="V1367" s="18">
        <f>IF(COUNTA($B1367:$R1367)=0,"",ROUND(N($R1367)+N($S1367)+N($T1367)-N($U1367),2))</f>
        <v/>
      </c>
      <c r="W1367" s="18">
        <f>IF(COUNTA($B1367:$R1367)=0,"",IF(OR($X1367="Pago",$X1367="Recebido",$X1367="Cancelado"),0,ROUND(N($Q1367)+N($S1367)+N($T1367)-N($U1367)-N($R1367),2)))</f>
        <v/>
      </c>
      <c r="X1367" s="14" t="n"/>
      <c r="Y1367" s="17">
        <f>IF(COUNTA($B1367:$R1367)=0,"",IF($X1367="Cancelado","Cancelado",IF(OR($X1367="Pago",$X1367="Recebido"),$X1367,IF(OR($X1367="Parcial",N($R1367)&gt;0),"Parcial",IF($C1367="","Sem vencimento",IF($C1367&lt;TODAY(),"Vencido",IF($C1367=TODAY(),"Vence hoje",IF($C1367&lt;=TODAY()+7,"Vence em 7 dias",IF($C1367&lt;=TODAY()+30,"Vence em 30 dias","Futuro")))))))))</f>
        <v/>
      </c>
      <c r="Z1367" s="24">
        <f>IF($B1367="","",MONTH($B1367))</f>
        <v/>
      </c>
      <c r="AA1367" s="24">
        <f>IF($B1367="","",YEAR($B1367))</f>
        <v/>
      </c>
      <c r="AB1367" s="24">
        <f>IF($B1367="","",ISOWEEKNUM($B1367))</f>
        <v/>
      </c>
      <c r="AC1367" s="17">
        <f>IF($B1367="","",CHOOSE(WEEKDAY($B1367,2),"Segunda","Terça","Quarta","Quinta","Sexta","Sábado","Domingo"))</f>
        <v/>
      </c>
      <c r="AD1367" s="17">
        <f>IF($B1367="","",TEXT($B1367,"MM/AAAA"))</f>
        <v/>
      </c>
      <c r="AE1367" s="18">
        <f>IF(COUNTA($B1367:$R1367)=0,"",IF($X1367="Cancelado",0,ROUND(N($Q1367)+N($S1367)+N($T1367)-N($U1367),2)))</f>
        <v/>
      </c>
      <c r="AF1367" s="9">
        <f>IF($G1367="","",IFERROR(INDEX(LINHAS_DRE_PLANO,MATCH($G1367,SUBCATEGORIAS_PLANO,0)),"Não classificado"))</f>
        <v/>
      </c>
      <c r="AG1367" s="17">
        <f>IF($G1367="","",IFERROR(INDEX(TIPOS_FLUXO_PLANO,MATCH($G1367,SUBCATEGORIAS_PLANO,0)),"Não classificado"))</f>
        <v/>
      </c>
      <c r="AH1367" s="9">
        <f>IF($G1367="","",IFERROR(INDEX(GRUPOS_PLANO,MATCH($G1367,SUBCATEGORIAS_PLANO,0)),"Não classificado"))</f>
        <v/>
      </c>
      <c r="AI1367" s="24">
        <f>IF(OR($C1367="",$X1367="Pago",$X1367="Recebido",$X1367="Cancelado"),"",$C1367-TODAY())</f>
        <v/>
      </c>
      <c r="AJ1367" s="24">
        <f>IF(OR($C1367="",$X1367="Pago",$X1367="Recebido",$X1367="Cancelado"),0,MAX(0,TODAY()-$C1367))</f>
        <v/>
      </c>
      <c r="AK1367" s="24">
        <f>IF($D1367="","",$D1367-$B1367)</f>
        <v/>
      </c>
      <c r="AL1367" s="18">
        <f>IF(OR($D1367="",$B1367=""),"",ROUND(N($R1367)*($D1367-$B1367),2))</f>
        <v/>
      </c>
      <c r="AM1367" s="17">
        <f>IF(AND($E1367="Saída",$W1367&gt;0,$C1367&lt;&gt;""),$C1367+ROW()/1000000,"")</f>
        <v/>
      </c>
      <c r="AN1367" s="17">
        <f>IF(AND($E1367="Entrada",$W1367&gt;0,$C1367&lt;&gt;""),$C1367+ROW()/1000000,"")</f>
        <v/>
      </c>
      <c r="AO1367" s="9">
        <f>IF(COUNTA($B1367:$R1367)=0,"",IF(AND($I1367&lt;&gt;"",COUNTIF(CLIENTES_NOMES,$I1367)+COUNTIF(CLIENTES_FANTASIA,$I1367)+COUNTIF(FORNECEDORES_NOMES,$I1367)+COUNTIF(FORNECEDORES_FANTASIA,$I1367)=0),"⚠ Cliente/Fornecedor não cadastrado",IF(AND($G1367&lt;&gt;"",COUNTIF(SUBCATEGORIAS_PLANO,$G1367)=0),"⚠ Subcategoria fora do plano de contas",IF(OR($Q1367="",N($Q1367)=0),"⚠ Valor previsto não informado",IF(AND(OR($X1367="Pago",$X1367="Recebido"),$D1367=""),"⚠ Status pago/recebido sem data",IF(AND($D1367&lt;&gt;"",N($R1367)=0),"⚠ Data de pagamento sem valor realizado",IF(AND(N($P1367)&gt;1,N($O1367)&gt;N($P1367)),"⚠ Nº da parcela maior que o total",IF(AND($C1367&lt;&gt;"",$B1367&lt;&gt;"",$C1367&lt;$B1367),"⚠ Vencimento anterior à competência","OK"))))))))</f>
        <v/>
      </c>
    </row>
    <row r="1368">
      <c r="A1368" s="14" t="n"/>
      <c r="B1368" s="36" t="n"/>
      <c r="C1368" s="36" t="n"/>
      <c r="D1368" s="36" t="n"/>
      <c r="E1368" s="14" t="n"/>
      <c r="F1368" s="29" t="n"/>
      <c r="G1368" s="29" t="n"/>
      <c r="H1368" s="29" t="n"/>
      <c r="I1368" s="29" t="n"/>
      <c r="J1368" s="29" t="n"/>
      <c r="K1368" s="14" t="n"/>
      <c r="L1368" s="29" t="n"/>
      <c r="M1368" s="14" t="n"/>
      <c r="N1368" s="29" t="n"/>
      <c r="O1368" s="13" t="n"/>
      <c r="P1368" s="13" t="n"/>
      <c r="Q1368" s="35" t="n"/>
      <c r="R1368" s="35" t="n"/>
      <c r="S1368" s="35" t="n"/>
      <c r="T1368" s="35" t="n"/>
      <c r="U1368" s="35" t="n"/>
      <c r="V1368" s="18">
        <f>IF(COUNTA($B1368:$R1368)=0,"",ROUND(N($R1368)+N($S1368)+N($T1368)-N($U1368),2))</f>
        <v/>
      </c>
      <c r="W1368" s="18">
        <f>IF(COUNTA($B1368:$R1368)=0,"",IF(OR($X1368="Pago",$X1368="Recebido",$X1368="Cancelado"),0,ROUND(N($Q1368)+N($S1368)+N($T1368)-N($U1368)-N($R1368),2)))</f>
        <v/>
      </c>
      <c r="X1368" s="14" t="n"/>
      <c r="Y1368" s="17">
        <f>IF(COUNTA($B1368:$R1368)=0,"",IF($X1368="Cancelado","Cancelado",IF(OR($X1368="Pago",$X1368="Recebido"),$X1368,IF(OR($X1368="Parcial",N($R1368)&gt;0),"Parcial",IF($C1368="","Sem vencimento",IF($C1368&lt;TODAY(),"Vencido",IF($C1368=TODAY(),"Vence hoje",IF($C1368&lt;=TODAY()+7,"Vence em 7 dias",IF($C1368&lt;=TODAY()+30,"Vence em 30 dias","Futuro")))))))))</f>
        <v/>
      </c>
      <c r="Z1368" s="24">
        <f>IF($B1368="","",MONTH($B1368))</f>
        <v/>
      </c>
      <c r="AA1368" s="24">
        <f>IF($B1368="","",YEAR($B1368))</f>
        <v/>
      </c>
      <c r="AB1368" s="24">
        <f>IF($B1368="","",ISOWEEKNUM($B1368))</f>
        <v/>
      </c>
      <c r="AC1368" s="17">
        <f>IF($B1368="","",CHOOSE(WEEKDAY($B1368,2),"Segunda","Terça","Quarta","Quinta","Sexta","Sábado","Domingo"))</f>
        <v/>
      </c>
      <c r="AD1368" s="17">
        <f>IF($B1368="","",TEXT($B1368,"MM/AAAA"))</f>
        <v/>
      </c>
      <c r="AE1368" s="18">
        <f>IF(COUNTA($B1368:$R1368)=0,"",IF($X1368="Cancelado",0,ROUND(N($Q1368)+N($S1368)+N($T1368)-N($U1368),2)))</f>
        <v/>
      </c>
      <c r="AF1368" s="9">
        <f>IF($G1368="","",IFERROR(INDEX(LINHAS_DRE_PLANO,MATCH($G1368,SUBCATEGORIAS_PLANO,0)),"Não classificado"))</f>
        <v/>
      </c>
      <c r="AG1368" s="17">
        <f>IF($G1368="","",IFERROR(INDEX(TIPOS_FLUXO_PLANO,MATCH($G1368,SUBCATEGORIAS_PLANO,0)),"Não classificado"))</f>
        <v/>
      </c>
      <c r="AH1368" s="9">
        <f>IF($G1368="","",IFERROR(INDEX(GRUPOS_PLANO,MATCH($G1368,SUBCATEGORIAS_PLANO,0)),"Não classificado"))</f>
        <v/>
      </c>
      <c r="AI1368" s="24">
        <f>IF(OR($C1368="",$X1368="Pago",$X1368="Recebido",$X1368="Cancelado"),"",$C1368-TODAY())</f>
        <v/>
      </c>
      <c r="AJ1368" s="24">
        <f>IF(OR($C1368="",$X1368="Pago",$X1368="Recebido",$X1368="Cancelado"),0,MAX(0,TODAY()-$C1368))</f>
        <v/>
      </c>
      <c r="AK1368" s="24">
        <f>IF($D1368="","",$D1368-$B1368)</f>
        <v/>
      </c>
      <c r="AL1368" s="18">
        <f>IF(OR($D1368="",$B1368=""),"",ROUND(N($R1368)*($D1368-$B1368),2))</f>
        <v/>
      </c>
      <c r="AM1368" s="17">
        <f>IF(AND($E1368="Saída",$W1368&gt;0,$C1368&lt;&gt;""),$C1368+ROW()/1000000,"")</f>
        <v/>
      </c>
      <c r="AN1368" s="17">
        <f>IF(AND($E1368="Entrada",$W1368&gt;0,$C1368&lt;&gt;""),$C1368+ROW()/1000000,"")</f>
        <v/>
      </c>
      <c r="AO1368" s="9">
        <f>IF(COUNTA($B1368:$R1368)=0,"",IF(AND($I1368&lt;&gt;"",COUNTIF(CLIENTES_NOMES,$I1368)+COUNTIF(CLIENTES_FANTASIA,$I1368)+COUNTIF(FORNECEDORES_NOMES,$I1368)+COUNTIF(FORNECEDORES_FANTASIA,$I1368)=0),"⚠ Cliente/Fornecedor não cadastrado",IF(AND($G1368&lt;&gt;"",COUNTIF(SUBCATEGORIAS_PLANO,$G1368)=0),"⚠ Subcategoria fora do plano de contas",IF(OR($Q1368="",N($Q1368)=0),"⚠ Valor previsto não informado",IF(AND(OR($X1368="Pago",$X1368="Recebido"),$D1368=""),"⚠ Status pago/recebido sem data",IF(AND($D1368&lt;&gt;"",N($R1368)=0),"⚠ Data de pagamento sem valor realizado",IF(AND(N($P1368)&gt;1,N($O1368)&gt;N($P1368)),"⚠ Nº da parcela maior que o total",IF(AND($C1368&lt;&gt;"",$B1368&lt;&gt;"",$C1368&lt;$B1368),"⚠ Vencimento anterior à competência","OK"))))))))</f>
        <v/>
      </c>
    </row>
    <row r="1369">
      <c r="A1369" s="14" t="n"/>
      <c r="B1369" s="36" t="n"/>
      <c r="C1369" s="36" t="n"/>
      <c r="D1369" s="36" t="n"/>
      <c r="E1369" s="14" t="n"/>
      <c r="F1369" s="29" t="n"/>
      <c r="G1369" s="29" t="n"/>
      <c r="H1369" s="29" t="n"/>
      <c r="I1369" s="29" t="n"/>
      <c r="J1369" s="29" t="n"/>
      <c r="K1369" s="14" t="n"/>
      <c r="L1369" s="29" t="n"/>
      <c r="M1369" s="14" t="n"/>
      <c r="N1369" s="29" t="n"/>
      <c r="O1369" s="13" t="n"/>
      <c r="P1369" s="13" t="n"/>
      <c r="Q1369" s="35" t="n"/>
      <c r="R1369" s="35" t="n"/>
      <c r="S1369" s="35" t="n"/>
      <c r="T1369" s="35" t="n"/>
      <c r="U1369" s="35" t="n"/>
      <c r="V1369" s="18">
        <f>IF(COUNTA($B1369:$R1369)=0,"",ROUND(N($R1369)+N($S1369)+N($T1369)-N($U1369),2))</f>
        <v/>
      </c>
      <c r="W1369" s="18">
        <f>IF(COUNTA($B1369:$R1369)=0,"",IF(OR($X1369="Pago",$X1369="Recebido",$X1369="Cancelado"),0,ROUND(N($Q1369)+N($S1369)+N($T1369)-N($U1369)-N($R1369),2)))</f>
        <v/>
      </c>
      <c r="X1369" s="14" t="n"/>
      <c r="Y1369" s="17">
        <f>IF(COUNTA($B1369:$R1369)=0,"",IF($X1369="Cancelado","Cancelado",IF(OR($X1369="Pago",$X1369="Recebido"),$X1369,IF(OR($X1369="Parcial",N($R1369)&gt;0),"Parcial",IF($C1369="","Sem vencimento",IF($C1369&lt;TODAY(),"Vencido",IF($C1369=TODAY(),"Vence hoje",IF($C1369&lt;=TODAY()+7,"Vence em 7 dias",IF($C1369&lt;=TODAY()+30,"Vence em 30 dias","Futuro")))))))))</f>
        <v/>
      </c>
      <c r="Z1369" s="24">
        <f>IF($B1369="","",MONTH($B1369))</f>
        <v/>
      </c>
      <c r="AA1369" s="24">
        <f>IF($B1369="","",YEAR($B1369))</f>
        <v/>
      </c>
      <c r="AB1369" s="24">
        <f>IF($B1369="","",ISOWEEKNUM($B1369))</f>
        <v/>
      </c>
      <c r="AC1369" s="17">
        <f>IF($B1369="","",CHOOSE(WEEKDAY($B1369,2),"Segunda","Terça","Quarta","Quinta","Sexta","Sábado","Domingo"))</f>
        <v/>
      </c>
      <c r="AD1369" s="17">
        <f>IF($B1369="","",TEXT($B1369,"MM/AAAA"))</f>
        <v/>
      </c>
      <c r="AE1369" s="18">
        <f>IF(COUNTA($B1369:$R1369)=0,"",IF($X1369="Cancelado",0,ROUND(N($Q1369)+N($S1369)+N($T1369)-N($U1369),2)))</f>
        <v/>
      </c>
      <c r="AF1369" s="9">
        <f>IF($G1369="","",IFERROR(INDEX(LINHAS_DRE_PLANO,MATCH($G1369,SUBCATEGORIAS_PLANO,0)),"Não classificado"))</f>
        <v/>
      </c>
      <c r="AG1369" s="17">
        <f>IF($G1369="","",IFERROR(INDEX(TIPOS_FLUXO_PLANO,MATCH($G1369,SUBCATEGORIAS_PLANO,0)),"Não classificado"))</f>
        <v/>
      </c>
      <c r="AH1369" s="9">
        <f>IF($G1369="","",IFERROR(INDEX(GRUPOS_PLANO,MATCH($G1369,SUBCATEGORIAS_PLANO,0)),"Não classificado"))</f>
        <v/>
      </c>
      <c r="AI1369" s="24">
        <f>IF(OR($C1369="",$X1369="Pago",$X1369="Recebido",$X1369="Cancelado"),"",$C1369-TODAY())</f>
        <v/>
      </c>
      <c r="AJ1369" s="24">
        <f>IF(OR($C1369="",$X1369="Pago",$X1369="Recebido",$X1369="Cancelado"),0,MAX(0,TODAY()-$C1369))</f>
        <v/>
      </c>
      <c r="AK1369" s="24">
        <f>IF($D1369="","",$D1369-$B1369)</f>
        <v/>
      </c>
      <c r="AL1369" s="18">
        <f>IF(OR($D1369="",$B1369=""),"",ROUND(N($R1369)*($D1369-$B1369),2))</f>
        <v/>
      </c>
      <c r="AM1369" s="17">
        <f>IF(AND($E1369="Saída",$W1369&gt;0,$C1369&lt;&gt;""),$C1369+ROW()/1000000,"")</f>
        <v/>
      </c>
      <c r="AN1369" s="17">
        <f>IF(AND($E1369="Entrada",$W1369&gt;0,$C1369&lt;&gt;""),$C1369+ROW()/1000000,"")</f>
        <v/>
      </c>
      <c r="AO1369" s="9">
        <f>IF(COUNTA($B1369:$R1369)=0,"",IF(AND($I1369&lt;&gt;"",COUNTIF(CLIENTES_NOMES,$I1369)+COUNTIF(CLIENTES_FANTASIA,$I1369)+COUNTIF(FORNECEDORES_NOMES,$I1369)+COUNTIF(FORNECEDORES_FANTASIA,$I1369)=0),"⚠ Cliente/Fornecedor não cadastrado",IF(AND($G1369&lt;&gt;"",COUNTIF(SUBCATEGORIAS_PLANO,$G1369)=0),"⚠ Subcategoria fora do plano de contas",IF(OR($Q1369="",N($Q1369)=0),"⚠ Valor previsto não informado",IF(AND(OR($X1369="Pago",$X1369="Recebido"),$D1369=""),"⚠ Status pago/recebido sem data",IF(AND($D1369&lt;&gt;"",N($R1369)=0),"⚠ Data de pagamento sem valor realizado",IF(AND(N($P1369)&gt;1,N($O1369)&gt;N($P1369)),"⚠ Nº da parcela maior que o total",IF(AND($C1369&lt;&gt;"",$B1369&lt;&gt;"",$C1369&lt;$B1369),"⚠ Vencimento anterior à competência","OK"))))))))</f>
        <v/>
      </c>
    </row>
    <row r="1370">
      <c r="A1370" s="14" t="n"/>
      <c r="B1370" s="36" t="n"/>
      <c r="C1370" s="36" t="n"/>
      <c r="D1370" s="36" t="n"/>
      <c r="E1370" s="14" t="n"/>
      <c r="F1370" s="29" t="n"/>
      <c r="G1370" s="29" t="n"/>
      <c r="H1370" s="29" t="n"/>
      <c r="I1370" s="29" t="n"/>
      <c r="J1370" s="29" t="n"/>
      <c r="K1370" s="14" t="n"/>
      <c r="L1370" s="29" t="n"/>
      <c r="M1370" s="14" t="n"/>
      <c r="N1370" s="29" t="n"/>
      <c r="O1370" s="13" t="n"/>
      <c r="P1370" s="13" t="n"/>
      <c r="Q1370" s="35" t="n"/>
      <c r="R1370" s="35" t="n"/>
      <c r="S1370" s="35" t="n"/>
      <c r="T1370" s="35" t="n"/>
      <c r="U1370" s="35" t="n"/>
      <c r="V1370" s="18">
        <f>IF(COUNTA($B1370:$R1370)=0,"",ROUND(N($R1370)+N($S1370)+N($T1370)-N($U1370),2))</f>
        <v/>
      </c>
      <c r="W1370" s="18">
        <f>IF(COUNTA($B1370:$R1370)=0,"",IF(OR($X1370="Pago",$X1370="Recebido",$X1370="Cancelado"),0,ROUND(N($Q1370)+N($S1370)+N($T1370)-N($U1370)-N($R1370),2)))</f>
        <v/>
      </c>
      <c r="X1370" s="14" t="n"/>
      <c r="Y1370" s="17">
        <f>IF(COUNTA($B1370:$R1370)=0,"",IF($X1370="Cancelado","Cancelado",IF(OR($X1370="Pago",$X1370="Recebido"),$X1370,IF(OR($X1370="Parcial",N($R1370)&gt;0),"Parcial",IF($C1370="","Sem vencimento",IF($C1370&lt;TODAY(),"Vencido",IF($C1370=TODAY(),"Vence hoje",IF($C1370&lt;=TODAY()+7,"Vence em 7 dias",IF($C1370&lt;=TODAY()+30,"Vence em 30 dias","Futuro")))))))))</f>
        <v/>
      </c>
      <c r="Z1370" s="24">
        <f>IF($B1370="","",MONTH($B1370))</f>
        <v/>
      </c>
      <c r="AA1370" s="24">
        <f>IF($B1370="","",YEAR($B1370))</f>
        <v/>
      </c>
      <c r="AB1370" s="24">
        <f>IF($B1370="","",ISOWEEKNUM($B1370))</f>
        <v/>
      </c>
      <c r="AC1370" s="17">
        <f>IF($B1370="","",CHOOSE(WEEKDAY($B1370,2),"Segunda","Terça","Quarta","Quinta","Sexta","Sábado","Domingo"))</f>
        <v/>
      </c>
      <c r="AD1370" s="17">
        <f>IF($B1370="","",TEXT($B1370,"MM/AAAA"))</f>
        <v/>
      </c>
      <c r="AE1370" s="18">
        <f>IF(COUNTA($B1370:$R1370)=0,"",IF($X1370="Cancelado",0,ROUND(N($Q1370)+N($S1370)+N($T1370)-N($U1370),2)))</f>
        <v/>
      </c>
      <c r="AF1370" s="9">
        <f>IF($G1370="","",IFERROR(INDEX(LINHAS_DRE_PLANO,MATCH($G1370,SUBCATEGORIAS_PLANO,0)),"Não classificado"))</f>
        <v/>
      </c>
      <c r="AG1370" s="17">
        <f>IF($G1370="","",IFERROR(INDEX(TIPOS_FLUXO_PLANO,MATCH($G1370,SUBCATEGORIAS_PLANO,0)),"Não classificado"))</f>
        <v/>
      </c>
      <c r="AH1370" s="9">
        <f>IF($G1370="","",IFERROR(INDEX(GRUPOS_PLANO,MATCH($G1370,SUBCATEGORIAS_PLANO,0)),"Não classificado"))</f>
        <v/>
      </c>
      <c r="AI1370" s="24">
        <f>IF(OR($C1370="",$X1370="Pago",$X1370="Recebido",$X1370="Cancelado"),"",$C1370-TODAY())</f>
        <v/>
      </c>
      <c r="AJ1370" s="24">
        <f>IF(OR($C1370="",$X1370="Pago",$X1370="Recebido",$X1370="Cancelado"),0,MAX(0,TODAY()-$C1370))</f>
        <v/>
      </c>
      <c r="AK1370" s="24">
        <f>IF($D1370="","",$D1370-$B1370)</f>
        <v/>
      </c>
      <c r="AL1370" s="18">
        <f>IF(OR($D1370="",$B1370=""),"",ROUND(N($R1370)*($D1370-$B1370),2))</f>
        <v/>
      </c>
      <c r="AM1370" s="17">
        <f>IF(AND($E1370="Saída",$W1370&gt;0,$C1370&lt;&gt;""),$C1370+ROW()/1000000,"")</f>
        <v/>
      </c>
      <c r="AN1370" s="17">
        <f>IF(AND($E1370="Entrada",$W1370&gt;0,$C1370&lt;&gt;""),$C1370+ROW()/1000000,"")</f>
        <v/>
      </c>
      <c r="AO1370" s="9">
        <f>IF(COUNTA($B1370:$R1370)=0,"",IF(AND($I1370&lt;&gt;"",COUNTIF(CLIENTES_NOMES,$I1370)+COUNTIF(CLIENTES_FANTASIA,$I1370)+COUNTIF(FORNECEDORES_NOMES,$I1370)+COUNTIF(FORNECEDORES_FANTASIA,$I1370)=0),"⚠ Cliente/Fornecedor não cadastrado",IF(AND($G1370&lt;&gt;"",COUNTIF(SUBCATEGORIAS_PLANO,$G1370)=0),"⚠ Subcategoria fora do plano de contas",IF(OR($Q1370="",N($Q1370)=0),"⚠ Valor previsto não informado",IF(AND(OR($X1370="Pago",$X1370="Recebido"),$D1370=""),"⚠ Status pago/recebido sem data",IF(AND($D1370&lt;&gt;"",N($R1370)=0),"⚠ Data de pagamento sem valor realizado",IF(AND(N($P1370)&gt;1,N($O1370)&gt;N($P1370)),"⚠ Nº da parcela maior que o total",IF(AND($C1370&lt;&gt;"",$B1370&lt;&gt;"",$C1370&lt;$B1370),"⚠ Vencimento anterior à competência","OK"))))))))</f>
        <v/>
      </c>
    </row>
    <row r="1371">
      <c r="A1371" s="14" t="n"/>
      <c r="B1371" s="36" t="n"/>
      <c r="C1371" s="36" t="n"/>
      <c r="D1371" s="36" t="n"/>
      <c r="E1371" s="14" t="n"/>
      <c r="F1371" s="29" t="n"/>
      <c r="G1371" s="29" t="n"/>
      <c r="H1371" s="29" t="n"/>
      <c r="I1371" s="29" t="n"/>
      <c r="J1371" s="29" t="n"/>
      <c r="K1371" s="14" t="n"/>
      <c r="L1371" s="29" t="n"/>
      <c r="M1371" s="14" t="n"/>
      <c r="N1371" s="29" t="n"/>
      <c r="O1371" s="13" t="n"/>
      <c r="P1371" s="13" t="n"/>
      <c r="Q1371" s="35" t="n"/>
      <c r="R1371" s="35" t="n"/>
      <c r="S1371" s="35" t="n"/>
      <c r="T1371" s="35" t="n"/>
      <c r="U1371" s="35" t="n"/>
      <c r="V1371" s="18">
        <f>IF(COUNTA($B1371:$R1371)=0,"",ROUND(N($R1371)+N($S1371)+N($T1371)-N($U1371),2))</f>
        <v/>
      </c>
      <c r="W1371" s="18">
        <f>IF(COUNTA($B1371:$R1371)=0,"",IF(OR($X1371="Pago",$X1371="Recebido",$X1371="Cancelado"),0,ROUND(N($Q1371)+N($S1371)+N($T1371)-N($U1371)-N($R1371),2)))</f>
        <v/>
      </c>
      <c r="X1371" s="14" t="n"/>
      <c r="Y1371" s="17">
        <f>IF(COUNTA($B1371:$R1371)=0,"",IF($X1371="Cancelado","Cancelado",IF(OR($X1371="Pago",$X1371="Recebido"),$X1371,IF(OR($X1371="Parcial",N($R1371)&gt;0),"Parcial",IF($C1371="","Sem vencimento",IF($C1371&lt;TODAY(),"Vencido",IF($C1371=TODAY(),"Vence hoje",IF($C1371&lt;=TODAY()+7,"Vence em 7 dias",IF($C1371&lt;=TODAY()+30,"Vence em 30 dias","Futuro")))))))))</f>
        <v/>
      </c>
      <c r="Z1371" s="24">
        <f>IF($B1371="","",MONTH($B1371))</f>
        <v/>
      </c>
      <c r="AA1371" s="24">
        <f>IF($B1371="","",YEAR($B1371))</f>
        <v/>
      </c>
      <c r="AB1371" s="24">
        <f>IF($B1371="","",ISOWEEKNUM($B1371))</f>
        <v/>
      </c>
      <c r="AC1371" s="17">
        <f>IF($B1371="","",CHOOSE(WEEKDAY($B1371,2),"Segunda","Terça","Quarta","Quinta","Sexta","Sábado","Domingo"))</f>
        <v/>
      </c>
      <c r="AD1371" s="17">
        <f>IF($B1371="","",TEXT($B1371,"MM/AAAA"))</f>
        <v/>
      </c>
      <c r="AE1371" s="18">
        <f>IF(COUNTA($B1371:$R1371)=0,"",IF($X1371="Cancelado",0,ROUND(N($Q1371)+N($S1371)+N($T1371)-N($U1371),2)))</f>
        <v/>
      </c>
      <c r="AF1371" s="9">
        <f>IF($G1371="","",IFERROR(INDEX(LINHAS_DRE_PLANO,MATCH($G1371,SUBCATEGORIAS_PLANO,0)),"Não classificado"))</f>
        <v/>
      </c>
      <c r="AG1371" s="17">
        <f>IF($G1371="","",IFERROR(INDEX(TIPOS_FLUXO_PLANO,MATCH($G1371,SUBCATEGORIAS_PLANO,0)),"Não classificado"))</f>
        <v/>
      </c>
      <c r="AH1371" s="9">
        <f>IF($G1371="","",IFERROR(INDEX(GRUPOS_PLANO,MATCH($G1371,SUBCATEGORIAS_PLANO,0)),"Não classificado"))</f>
        <v/>
      </c>
      <c r="AI1371" s="24">
        <f>IF(OR($C1371="",$X1371="Pago",$X1371="Recebido",$X1371="Cancelado"),"",$C1371-TODAY())</f>
        <v/>
      </c>
      <c r="AJ1371" s="24">
        <f>IF(OR($C1371="",$X1371="Pago",$X1371="Recebido",$X1371="Cancelado"),0,MAX(0,TODAY()-$C1371))</f>
        <v/>
      </c>
      <c r="AK1371" s="24">
        <f>IF($D1371="","",$D1371-$B1371)</f>
        <v/>
      </c>
      <c r="AL1371" s="18">
        <f>IF(OR($D1371="",$B1371=""),"",ROUND(N($R1371)*($D1371-$B1371),2))</f>
        <v/>
      </c>
      <c r="AM1371" s="17">
        <f>IF(AND($E1371="Saída",$W1371&gt;0,$C1371&lt;&gt;""),$C1371+ROW()/1000000,"")</f>
        <v/>
      </c>
      <c r="AN1371" s="17">
        <f>IF(AND($E1371="Entrada",$W1371&gt;0,$C1371&lt;&gt;""),$C1371+ROW()/1000000,"")</f>
        <v/>
      </c>
      <c r="AO1371" s="9">
        <f>IF(COUNTA($B1371:$R1371)=0,"",IF(AND($I1371&lt;&gt;"",COUNTIF(CLIENTES_NOMES,$I1371)+COUNTIF(CLIENTES_FANTASIA,$I1371)+COUNTIF(FORNECEDORES_NOMES,$I1371)+COUNTIF(FORNECEDORES_FANTASIA,$I1371)=0),"⚠ Cliente/Fornecedor não cadastrado",IF(AND($G1371&lt;&gt;"",COUNTIF(SUBCATEGORIAS_PLANO,$G1371)=0),"⚠ Subcategoria fora do plano de contas",IF(OR($Q1371="",N($Q1371)=0),"⚠ Valor previsto não informado",IF(AND(OR($X1371="Pago",$X1371="Recebido"),$D1371=""),"⚠ Status pago/recebido sem data",IF(AND($D1371&lt;&gt;"",N($R1371)=0),"⚠ Data de pagamento sem valor realizado",IF(AND(N($P1371)&gt;1,N($O1371)&gt;N($P1371)),"⚠ Nº da parcela maior que o total",IF(AND($C1371&lt;&gt;"",$B1371&lt;&gt;"",$C1371&lt;$B1371),"⚠ Vencimento anterior à competência","OK"))))))))</f>
        <v/>
      </c>
    </row>
    <row r="1372">
      <c r="A1372" s="14" t="n"/>
      <c r="B1372" s="36" t="n"/>
      <c r="C1372" s="36" t="n"/>
      <c r="D1372" s="36" t="n"/>
      <c r="E1372" s="14" t="n"/>
      <c r="F1372" s="29" t="n"/>
      <c r="G1372" s="29" t="n"/>
      <c r="H1372" s="29" t="n"/>
      <c r="I1372" s="29" t="n"/>
      <c r="J1372" s="29" t="n"/>
      <c r="K1372" s="14" t="n"/>
      <c r="L1372" s="29" t="n"/>
      <c r="M1372" s="14" t="n"/>
      <c r="N1372" s="29" t="n"/>
      <c r="O1372" s="13" t="n"/>
      <c r="P1372" s="13" t="n"/>
      <c r="Q1372" s="35" t="n"/>
      <c r="R1372" s="35" t="n"/>
      <c r="S1372" s="35" t="n"/>
      <c r="T1372" s="35" t="n"/>
      <c r="U1372" s="35" t="n"/>
      <c r="V1372" s="18">
        <f>IF(COUNTA($B1372:$R1372)=0,"",ROUND(N($R1372)+N($S1372)+N($T1372)-N($U1372),2))</f>
        <v/>
      </c>
      <c r="W1372" s="18">
        <f>IF(COUNTA($B1372:$R1372)=0,"",IF(OR($X1372="Pago",$X1372="Recebido",$X1372="Cancelado"),0,ROUND(N($Q1372)+N($S1372)+N($T1372)-N($U1372)-N($R1372),2)))</f>
        <v/>
      </c>
      <c r="X1372" s="14" t="n"/>
      <c r="Y1372" s="17">
        <f>IF(COUNTA($B1372:$R1372)=0,"",IF($X1372="Cancelado","Cancelado",IF(OR($X1372="Pago",$X1372="Recebido"),$X1372,IF(OR($X1372="Parcial",N($R1372)&gt;0),"Parcial",IF($C1372="","Sem vencimento",IF($C1372&lt;TODAY(),"Vencido",IF($C1372=TODAY(),"Vence hoje",IF($C1372&lt;=TODAY()+7,"Vence em 7 dias",IF($C1372&lt;=TODAY()+30,"Vence em 30 dias","Futuro")))))))))</f>
        <v/>
      </c>
      <c r="Z1372" s="24">
        <f>IF($B1372="","",MONTH($B1372))</f>
        <v/>
      </c>
      <c r="AA1372" s="24">
        <f>IF($B1372="","",YEAR($B1372))</f>
        <v/>
      </c>
      <c r="AB1372" s="24">
        <f>IF($B1372="","",ISOWEEKNUM($B1372))</f>
        <v/>
      </c>
      <c r="AC1372" s="17">
        <f>IF($B1372="","",CHOOSE(WEEKDAY($B1372,2),"Segunda","Terça","Quarta","Quinta","Sexta","Sábado","Domingo"))</f>
        <v/>
      </c>
      <c r="AD1372" s="17">
        <f>IF($B1372="","",TEXT($B1372,"MM/AAAA"))</f>
        <v/>
      </c>
      <c r="AE1372" s="18">
        <f>IF(COUNTA($B1372:$R1372)=0,"",IF($X1372="Cancelado",0,ROUND(N($Q1372)+N($S1372)+N($T1372)-N($U1372),2)))</f>
        <v/>
      </c>
      <c r="AF1372" s="9">
        <f>IF($G1372="","",IFERROR(INDEX(LINHAS_DRE_PLANO,MATCH($G1372,SUBCATEGORIAS_PLANO,0)),"Não classificado"))</f>
        <v/>
      </c>
      <c r="AG1372" s="17">
        <f>IF($G1372="","",IFERROR(INDEX(TIPOS_FLUXO_PLANO,MATCH($G1372,SUBCATEGORIAS_PLANO,0)),"Não classificado"))</f>
        <v/>
      </c>
      <c r="AH1372" s="9">
        <f>IF($G1372="","",IFERROR(INDEX(GRUPOS_PLANO,MATCH($G1372,SUBCATEGORIAS_PLANO,0)),"Não classificado"))</f>
        <v/>
      </c>
      <c r="AI1372" s="24">
        <f>IF(OR($C1372="",$X1372="Pago",$X1372="Recebido",$X1372="Cancelado"),"",$C1372-TODAY())</f>
        <v/>
      </c>
      <c r="AJ1372" s="24">
        <f>IF(OR($C1372="",$X1372="Pago",$X1372="Recebido",$X1372="Cancelado"),0,MAX(0,TODAY()-$C1372))</f>
        <v/>
      </c>
      <c r="AK1372" s="24">
        <f>IF($D1372="","",$D1372-$B1372)</f>
        <v/>
      </c>
      <c r="AL1372" s="18">
        <f>IF(OR($D1372="",$B1372=""),"",ROUND(N($R1372)*($D1372-$B1372),2))</f>
        <v/>
      </c>
      <c r="AM1372" s="17">
        <f>IF(AND($E1372="Saída",$W1372&gt;0,$C1372&lt;&gt;""),$C1372+ROW()/1000000,"")</f>
        <v/>
      </c>
      <c r="AN1372" s="17">
        <f>IF(AND($E1372="Entrada",$W1372&gt;0,$C1372&lt;&gt;""),$C1372+ROW()/1000000,"")</f>
        <v/>
      </c>
      <c r="AO1372" s="9">
        <f>IF(COUNTA($B1372:$R1372)=0,"",IF(AND($I1372&lt;&gt;"",COUNTIF(CLIENTES_NOMES,$I1372)+COUNTIF(CLIENTES_FANTASIA,$I1372)+COUNTIF(FORNECEDORES_NOMES,$I1372)+COUNTIF(FORNECEDORES_FANTASIA,$I1372)=0),"⚠ Cliente/Fornecedor não cadastrado",IF(AND($G1372&lt;&gt;"",COUNTIF(SUBCATEGORIAS_PLANO,$G1372)=0),"⚠ Subcategoria fora do plano de contas",IF(OR($Q1372="",N($Q1372)=0),"⚠ Valor previsto não informado",IF(AND(OR($X1372="Pago",$X1372="Recebido"),$D1372=""),"⚠ Status pago/recebido sem data",IF(AND($D1372&lt;&gt;"",N($R1372)=0),"⚠ Data de pagamento sem valor realizado",IF(AND(N($P1372)&gt;1,N($O1372)&gt;N($P1372)),"⚠ Nº da parcela maior que o total",IF(AND($C1372&lt;&gt;"",$B1372&lt;&gt;"",$C1372&lt;$B1372),"⚠ Vencimento anterior à competência","OK"))))))))</f>
        <v/>
      </c>
    </row>
    <row r="1373">
      <c r="A1373" s="14" t="n"/>
      <c r="B1373" s="36" t="n"/>
      <c r="C1373" s="36" t="n"/>
      <c r="D1373" s="36" t="n"/>
      <c r="E1373" s="14" t="n"/>
      <c r="F1373" s="29" t="n"/>
      <c r="G1373" s="29" t="n"/>
      <c r="H1373" s="29" t="n"/>
      <c r="I1373" s="29" t="n"/>
      <c r="J1373" s="29" t="n"/>
      <c r="K1373" s="14" t="n"/>
      <c r="L1373" s="29" t="n"/>
      <c r="M1373" s="14" t="n"/>
      <c r="N1373" s="29" t="n"/>
      <c r="O1373" s="13" t="n"/>
      <c r="P1373" s="13" t="n"/>
      <c r="Q1373" s="35" t="n"/>
      <c r="R1373" s="35" t="n"/>
      <c r="S1373" s="35" t="n"/>
      <c r="T1373" s="35" t="n"/>
      <c r="U1373" s="35" t="n"/>
      <c r="V1373" s="18">
        <f>IF(COUNTA($B1373:$R1373)=0,"",ROUND(N($R1373)+N($S1373)+N($T1373)-N($U1373),2))</f>
        <v/>
      </c>
      <c r="W1373" s="18">
        <f>IF(COUNTA($B1373:$R1373)=0,"",IF(OR($X1373="Pago",$X1373="Recebido",$X1373="Cancelado"),0,ROUND(N($Q1373)+N($S1373)+N($T1373)-N($U1373)-N($R1373),2)))</f>
        <v/>
      </c>
      <c r="X1373" s="14" t="n"/>
      <c r="Y1373" s="17">
        <f>IF(COUNTA($B1373:$R1373)=0,"",IF($X1373="Cancelado","Cancelado",IF(OR($X1373="Pago",$X1373="Recebido"),$X1373,IF(OR($X1373="Parcial",N($R1373)&gt;0),"Parcial",IF($C1373="","Sem vencimento",IF($C1373&lt;TODAY(),"Vencido",IF($C1373=TODAY(),"Vence hoje",IF($C1373&lt;=TODAY()+7,"Vence em 7 dias",IF($C1373&lt;=TODAY()+30,"Vence em 30 dias","Futuro")))))))))</f>
        <v/>
      </c>
      <c r="Z1373" s="24">
        <f>IF($B1373="","",MONTH($B1373))</f>
        <v/>
      </c>
      <c r="AA1373" s="24">
        <f>IF($B1373="","",YEAR($B1373))</f>
        <v/>
      </c>
      <c r="AB1373" s="24">
        <f>IF($B1373="","",ISOWEEKNUM($B1373))</f>
        <v/>
      </c>
      <c r="AC1373" s="17">
        <f>IF($B1373="","",CHOOSE(WEEKDAY($B1373,2),"Segunda","Terça","Quarta","Quinta","Sexta","Sábado","Domingo"))</f>
        <v/>
      </c>
      <c r="AD1373" s="17">
        <f>IF($B1373="","",TEXT($B1373,"MM/AAAA"))</f>
        <v/>
      </c>
      <c r="AE1373" s="18">
        <f>IF(COUNTA($B1373:$R1373)=0,"",IF($X1373="Cancelado",0,ROUND(N($Q1373)+N($S1373)+N($T1373)-N($U1373),2)))</f>
        <v/>
      </c>
      <c r="AF1373" s="9">
        <f>IF($G1373="","",IFERROR(INDEX(LINHAS_DRE_PLANO,MATCH($G1373,SUBCATEGORIAS_PLANO,0)),"Não classificado"))</f>
        <v/>
      </c>
      <c r="AG1373" s="17">
        <f>IF($G1373="","",IFERROR(INDEX(TIPOS_FLUXO_PLANO,MATCH($G1373,SUBCATEGORIAS_PLANO,0)),"Não classificado"))</f>
        <v/>
      </c>
      <c r="AH1373" s="9">
        <f>IF($G1373="","",IFERROR(INDEX(GRUPOS_PLANO,MATCH($G1373,SUBCATEGORIAS_PLANO,0)),"Não classificado"))</f>
        <v/>
      </c>
      <c r="AI1373" s="24">
        <f>IF(OR($C1373="",$X1373="Pago",$X1373="Recebido",$X1373="Cancelado"),"",$C1373-TODAY())</f>
        <v/>
      </c>
      <c r="AJ1373" s="24">
        <f>IF(OR($C1373="",$X1373="Pago",$X1373="Recebido",$X1373="Cancelado"),0,MAX(0,TODAY()-$C1373))</f>
        <v/>
      </c>
      <c r="AK1373" s="24">
        <f>IF($D1373="","",$D1373-$B1373)</f>
        <v/>
      </c>
      <c r="AL1373" s="18">
        <f>IF(OR($D1373="",$B1373=""),"",ROUND(N($R1373)*($D1373-$B1373),2))</f>
        <v/>
      </c>
      <c r="AM1373" s="17">
        <f>IF(AND($E1373="Saída",$W1373&gt;0,$C1373&lt;&gt;""),$C1373+ROW()/1000000,"")</f>
        <v/>
      </c>
      <c r="AN1373" s="17">
        <f>IF(AND($E1373="Entrada",$W1373&gt;0,$C1373&lt;&gt;""),$C1373+ROW()/1000000,"")</f>
        <v/>
      </c>
      <c r="AO1373" s="9">
        <f>IF(COUNTA($B1373:$R1373)=0,"",IF(AND($I1373&lt;&gt;"",COUNTIF(CLIENTES_NOMES,$I1373)+COUNTIF(CLIENTES_FANTASIA,$I1373)+COUNTIF(FORNECEDORES_NOMES,$I1373)+COUNTIF(FORNECEDORES_FANTASIA,$I1373)=0),"⚠ Cliente/Fornecedor não cadastrado",IF(AND($G1373&lt;&gt;"",COUNTIF(SUBCATEGORIAS_PLANO,$G1373)=0),"⚠ Subcategoria fora do plano de contas",IF(OR($Q1373="",N($Q1373)=0),"⚠ Valor previsto não informado",IF(AND(OR($X1373="Pago",$X1373="Recebido"),$D1373=""),"⚠ Status pago/recebido sem data",IF(AND($D1373&lt;&gt;"",N($R1373)=0),"⚠ Data de pagamento sem valor realizado",IF(AND(N($P1373)&gt;1,N($O1373)&gt;N($P1373)),"⚠ Nº da parcela maior que o total",IF(AND($C1373&lt;&gt;"",$B1373&lt;&gt;"",$C1373&lt;$B1373),"⚠ Vencimento anterior à competência","OK"))))))))</f>
        <v/>
      </c>
    </row>
    <row r="1374">
      <c r="A1374" s="14" t="n"/>
      <c r="B1374" s="36" t="n"/>
      <c r="C1374" s="36" t="n"/>
      <c r="D1374" s="36" t="n"/>
      <c r="E1374" s="14" t="n"/>
      <c r="F1374" s="29" t="n"/>
      <c r="G1374" s="29" t="n"/>
      <c r="H1374" s="29" t="n"/>
      <c r="I1374" s="29" t="n"/>
      <c r="J1374" s="29" t="n"/>
      <c r="K1374" s="14" t="n"/>
      <c r="L1374" s="29" t="n"/>
      <c r="M1374" s="14" t="n"/>
      <c r="N1374" s="29" t="n"/>
      <c r="O1374" s="13" t="n"/>
      <c r="P1374" s="13" t="n"/>
      <c r="Q1374" s="35" t="n"/>
      <c r="R1374" s="35" t="n"/>
      <c r="S1374" s="35" t="n"/>
      <c r="T1374" s="35" t="n"/>
      <c r="U1374" s="35" t="n"/>
      <c r="V1374" s="18">
        <f>IF(COUNTA($B1374:$R1374)=0,"",ROUND(N($R1374)+N($S1374)+N($T1374)-N($U1374),2))</f>
        <v/>
      </c>
      <c r="W1374" s="18">
        <f>IF(COUNTA($B1374:$R1374)=0,"",IF(OR($X1374="Pago",$X1374="Recebido",$X1374="Cancelado"),0,ROUND(N($Q1374)+N($S1374)+N($T1374)-N($U1374)-N($R1374),2)))</f>
        <v/>
      </c>
      <c r="X1374" s="14" t="n"/>
      <c r="Y1374" s="17">
        <f>IF(COUNTA($B1374:$R1374)=0,"",IF($X1374="Cancelado","Cancelado",IF(OR($X1374="Pago",$X1374="Recebido"),$X1374,IF(OR($X1374="Parcial",N($R1374)&gt;0),"Parcial",IF($C1374="","Sem vencimento",IF($C1374&lt;TODAY(),"Vencido",IF($C1374=TODAY(),"Vence hoje",IF($C1374&lt;=TODAY()+7,"Vence em 7 dias",IF($C1374&lt;=TODAY()+30,"Vence em 30 dias","Futuro")))))))))</f>
        <v/>
      </c>
      <c r="Z1374" s="24">
        <f>IF($B1374="","",MONTH($B1374))</f>
        <v/>
      </c>
      <c r="AA1374" s="24">
        <f>IF($B1374="","",YEAR($B1374))</f>
        <v/>
      </c>
      <c r="AB1374" s="24">
        <f>IF($B1374="","",ISOWEEKNUM($B1374))</f>
        <v/>
      </c>
      <c r="AC1374" s="17">
        <f>IF($B1374="","",CHOOSE(WEEKDAY($B1374,2),"Segunda","Terça","Quarta","Quinta","Sexta","Sábado","Domingo"))</f>
        <v/>
      </c>
      <c r="AD1374" s="17">
        <f>IF($B1374="","",TEXT($B1374,"MM/AAAA"))</f>
        <v/>
      </c>
      <c r="AE1374" s="18">
        <f>IF(COUNTA($B1374:$R1374)=0,"",IF($X1374="Cancelado",0,ROUND(N($Q1374)+N($S1374)+N($T1374)-N($U1374),2)))</f>
        <v/>
      </c>
      <c r="AF1374" s="9">
        <f>IF($G1374="","",IFERROR(INDEX(LINHAS_DRE_PLANO,MATCH($G1374,SUBCATEGORIAS_PLANO,0)),"Não classificado"))</f>
        <v/>
      </c>
      <c r="AG1374" s="17">
        <f>IF($G1374="","",IFERROR(INDEX(TIPOS_FLUXO_PLANO,MATCH($G1374,SUBCATEGORIAS_PLANO,0)),"Não classificado"))</f>
        <v/>
      </c>
      <c r="AH1374" s="9">
        <f>IF($G1374="","",IFERROR(INDEX(GRUPOS_PLANO,MATCH($G1374,SUBCATEGORIAS_PLANO,0)),"Não classificado"))</f>
        <v/>
      </c>
      <c r="AI1374" s="24">
        <f>IF(OR($C1374="",$X1374="Pago",$X1374="Recebido",$X1374="Cancelado"),"",$C1374-TODAY())</f>
        <v/>
      </c>
      <c r="AJ1374" s="24">
        <f>IF(OR($C1374="",$X1374="Pago",$X1374="Recebido",$X1374="Cancelado"),0,MAX(0,TODAY()-$C1374))</f>
        <v/>
      </c>
      <c r="AK1374" s="24">
        <f>IF($D1374="","",$D1374-$B1374)</f>
        <v/>
      </c>
      <c r="AL1374" s="18">
        <f>IF(OR($D1374="",$B1374=""),"",ROUND(N($R1374)*($D1374-$B1374),2))</f>
        <v/>
      </c>
      <c r="AM1374" s="17">
        <f>IF(AND($E1374="Saída",$W1374&gt;0,$C1374&lt;&gt;""),$C1374+ROW()/1000000,"")</f>
        <v/>
      </c>
      <c r="AN1374" s="17">
        <f>IF(AND($E1374="Entrada",$W1374&gt;0,$C1374&lt;&gt;""),$C1374+ROW()/1000000,"")</f>
        <v/>
      </c>
      <c r="AO1374" s="9">
        <f>IF(COUNTA($B1374:$R1374)=0,"",IF(AND($I1374&lt;&gt;"",COUNTIF(CLIENTES_NOMES,$I1374)+COUNTIF(CLIENTES_FANTASIA,$I1374)+COUNTIF(FORNECEDORES_NOMES,$I1374)+COUNTIF(FORNECEDORES_FANTASIA,$I1374)=0),"⚠ Cliente/Fornecedor não cadastrado",IF(AND($G1374&lt;&gt;"",COUNTIF(SUBCATEGORIAS_PLANO,$G1374)=0),"⚠ Subcategoria fora do plano de contas",IF(OR($Q1374="",N($Q1374)=0),"⚠ Valor previsto não informado",IF(AND(OR($X1374="Pago",$X1374="Recebido"),$D1374=""),"⚠ Status pago/recebido sem data",IF(AND($D1374&lt;&gt;"",N($R1374)=0),"⚠ Data de pagamento sem valor realizado",IF(AND(N($P1374)&gt;1,N($O1374)&gt;N($P1374)),"⚠ Nº da parcela maior que o total",IF(AND($C1374&lt;&gt;"",$B1374&lt;&gt;"",$C1374&lt;$B1374),"⚠ Vencimento anterior à competência","OK"))))))))</f>
        <v/>
      </c>
    </row>
    <row r="1375">
      <c r="A1375" s="14" t="n"/>
      <c r="B1375" s="36" t="n"/>
      <c r="C1375" s="36" t="n"/>
      <c r="D1375" s="36" t="n"/>
      <c r="E1375" s="14" t="n"/>
      <c r="F1375" s="29" t="n"/>
      <c r="G1375" s="29" t="n"/>
      <c r="H1375" s="29" t="n"/>
      <c r="I1375" s="29" t="n"/>
      <c r="J1375" s="29" t="n"/>
      <c r="K1375" s="14" t="n"/>
      <c r="L1375" s="29" t="n"/>
      <c r="M1375" s="14" t="n"/>
      <c r="N1375" s="29" t="n"/>
      <c r="O1375" s="13" t="n"/>
      <c r="P1375" s="13" t="n"/>
      <c r="Q1375" s="35" t="n"/>
      <c r="R1375" s="35" t="n"/>
      <c r="S1375" s="35" t="n"/>
      <c r="T1375" s="35" t="n"/>
      <c r="U1375" s="35" t="n"/>
      <c r="V1375" s="18">
        <f>IF(COUNTA($B1375:$R1375)=0,"",ROUND(N($R1375)+N($S1375)+N($T1375)-N($U1375),2))</f>
        <v/>
      </c>
      <c r="W1375" s="18">
        <f>IF(COUNTA($B1375:$R1375)=0,"",IF(OR($X1375="Pago",$X1375="Recebido",$X1375="Cancelado"),0,ROUND(N($Q1375)+N($S1375)+N($T1375)-N($U1375)-N($R1375),2)))</f>
        <v/>
      </c>
      <c r="X1375" s="14" t="n"/>
      <c r="Y1375" s="17">
        <f>IF(COUNTA($B1375:$R1375)=0,"",IF($X1375="Cancelado","Cancelado",IF(OR($X1375="Pago",$X1375="Recebido"),$X1375,IF(OR($X1375="Parcial",N($R1375)&gt;0),"Parcial",IF($C1375="","Sem vencimento",IF($C1375&lt;TODAY(),"Vencido",IF($C1375=TODAY(),"Vence hoje",IF($C1375&lt;=TODAY()+7,"Vence em 7 dias",IF($C1375&lt;=TODAY()+30,"Vence em 30 dias","Futuro")))))))))</f>
        <v/>
      </c>
      <c r="Z1375" s="24">
        <f>IF($B1375="","",MONTH($B1375))</f>
        <v/>
      </c>
      <c r="AA1375" s="24">
        <f>IF($B1375="","",YEAR($B1375))</f>
        <v/>
      </c>
      <c r="AB1375" s="24">
        <f>IF($B1375="","",ISOWEEKNUM($B1375))</f>
        <v/>
      </c>
      <c r="AC1375" s="17">
        <f>IF($B1375="","",CHOOSE(WEEKDAY($B1375,2),"Segunda","Terça","Quarta","Quinta","Sexta","Sábado","Domingo"))</f>
        <v/>
      </c>
      <c r="AD1375" s="17">
        <f>IF($B1375="","",TEXT($B1375,"MM/AAAA"))</f>
        <v/>
      </c>
      <c r="AE1375" s="18">
        <f>IF(COUNTA($B1375:$R1375)=0,"",IF($X1375="Cancelado",0,ROUND(N($Q1375)+N($S1375)+N($T1375)-N($U1375),2)))</f>
        <v/>
      </c>
      <c r="AF1375" s="9">
        <f>IF($G1375="","",IFERROR(INDEX(LINHAS_DRE_PLANO,MATCH($G1375,SUBCATEGORIAS_PLANO,0)),"Não classificado"))</f>
        <v/>
      </c>
      <c r="AG1375" s="17">
        <f>IF($G1375="","",IFERROR(INDEX(TIPOS_FLUXO_PLANO,MATCH($G1375,SUBCATEGORIAS_PLANO,0)),"Não classificado"))</f>
        <v/>
      </c>
      <c r="AH1375" s="9">
        <f>IF($G1375="","",IFERROR(INDEX(GRUPOS_PLANO,MATCH($G1375,SUBCATEGORIAS_PLANO,0)),"Não classificado"))</f>
        <v/>
      </c>
      <c r="AI1375" s="24">
        <f>IF(OR($C1375="",$X1375="Pago",$X1375="Recebido",$X1375="Cancelado"),"",$C1375-TODAY())</f>
        <v/>
      </c>
      <c r="AJ1375" s="24">
        <f>IF(OR($C1375="",$X1375="Pago",$X1375="Recebido",$X1375="Cancelado"),0,MAX(0,TODAY()-$C1375))</f>
        <v/>
      </c>
      <c r="AK1375" s="24">
        <f>IF($D1375="","",$D1375-$B1375)</f>
        <v/>
      </c>
      <c r="AL1375" s="18">
        <f>IF(OR($D1375="",$B1375=""),"",ROUND(N($R1375)*($D1375-$B1375),2))</f>
        <v/>
      </c>
      <c r="AM1375" s="17">
        <f>IF(AND($E1375="Saída",$W1375&gt;0,$C1375&lt;&gt;""),$C1375+ROW()/1000000,"")</f>
        <v/>
      </c>
      <c r="AN1375" s="17">
        <f>IF(AND($E1375="Entrada",$W1375&gt;0,$C1375&lt;&gt;""),$C1375+ROW()/1000000,"")</f>
        <v/>
      </c>
      <c r="AO1375" s="9">
        <f>IF(COUNTA($B1375:$R1375)=0,"",IF(AND($I1375&lt;&gt;"",COUNTIF(CLIENTES_NOMES,$I1375)+COUNTIF(CLIENTES_FANTASIA,$I1375)+COUNTIF(FORNECEDORES_NOMES,$I1375)+COUNTIF(FORNECEDORES_FANTASIA,$I1375)=0),"⚠ Cliente/Fornecedor não cadastrado",IF(AND($G1375&lt;&gt;"",COUNTIF(SUBCATEGORIAS_PLANO,$G1375)=0),"⚠ Subcategoria fora do plano de contas",IF(OR($Q1375="",N($Q1375)=0),"⚠ Valor previsto não informado",IF(AND(OR($X1375="Pago",$X1375="Recebido"),$D1375=""),"⚠ Status pago/recebido sem data",IF(AND($D1375&lt;&gt;"",N($R1375)=0),"⚠ Data de pagamento sem valor realizado",IF(AND(N($P1375)&gt;1,N($O1375)&gt;N($P1375)),"⚠ Nº da parcela maior que o total",IF(AND($C1375&lt;&gt;"",$B1375&lt;&gt;"",$C1375&lt;$B1375),"⚠ Vencimento anterior à competência","OK"))))))))</f>
        <v/>
      </c>
    </row>
    <row r="1376">
      <c r="A1376" s="14" t="n"/>
      <c r="B1376" s="36" t="n"/>
      <c r="C1376" s="36" t="n"/>
      <c r="D1376" s="36" t="n"/>
      <c r="E1376" s="14" t="n"/>
      <c r="F1376" s="29" t="n"/>
      <c r="G1376" s="29" t="n"/>
      <c r="H1376" s="29" t="n"/>
      <c r="I1376" s="29" t="n"/>
      <c r="J1376" s="29" t="n"/>
      <c r="K1376" s="14" t="n"/>
      <c r="L1376" s="29" t="n"/>
      <c r="M1376" s="14" t="n"/>
      <c r="N1376" s="29" t="n"/>
      <c r="O1376" s="13" t="n"/>
      <c r="P1376" s="13" t="n"/>
      <c r="Q1376" s="35" t="n"/>
      <c r="R1376" s="35" t="n"/>
      <c r="S1376" s="35" t="n"/>
      <c r="T1376" s="35" t="n"/>
      <c r="U1376" s="35" t="n"/>
      <c r="V1376" s="18">
        <f>IF(COUNTA($B1376:$R1376)=0,"",ROUND(N($R1376)+N($S1376)+N($T1376)-N($U1376),2))</f>
        <v/>
      </c>
      <c r="W1376" s="18">
        <f>IF(COUNTA($B1376:$R1376)=0,"",IF(OR($X1376="Pago",$X1376="Recebido",$X1376="Cancelado"),0,ROUND(N($Q1376)+N($S1376)+N($T1376)-N($U1376)-N($R1376),2)))</f>
        <v/>
      </c>
      <c r="X1376" s="14" t="n"/>
      <c r="Y1376" s="17">
        <f>IF(COUNTA($B1376:$R1376)=0,"",IF($X1376="Cancelado","Cancelado",IF(OR($X1376="Pago",$X1376="Recebido"),$X1376,IF(OR($X1376="Parcial",N($R1376)&gt;0),"Parcial",IF($C1376="","Sem vencimento",IF($C1376&lt;TODAY(),"Vencido",IF($C1376=TODAY(),"Vence hoje",IF($C1376&lt;=TODAY()+7,"Vence em 7 dias",IF($C1376&lt;=TODAY()+30,"Vence em 30 dias","Futuro")))))))))</f>
        <v/>
      </c>
      <c r="Z1376" s="24">
        <f>IF($B1376="","",MONTH($B1376))</f>
        <v/>
      </c>
      <c r="AA1376" s="24">
        <f>IF($B1376="","",YEAR($B1376))</f>
        <v/>
      </c>
      <c r="AB1376" s="24">
        <f>IF($B1376="","",ISOWEEKNUM($B1376))</f>
        <v/>
      </c>
      <c r="AC1376" s="17">
        <f>IF($B1376="","",CHOOSE(WEEKDAY($B1376,2),"Segunda","Terça","Quarta","Quinta","Sexta","Sábado","Domingo"))</f>
        <v/>
      </c>
      <c r="AD1376" s="17">
        <f>IF($B1376="","",TEXT($B1376,"MM/AAAA"))</f>
        <v/>
      </c>
      <c r="AE1376" s="18">
        <f>IF(COUNTA($B1376:$R1376)=0,"",IF($X1376="Cancelado",0,ROUND(N($Q1376)+N($S1376)+N($T1376)-N($U1376),2)))</f>
        <v/>
      </c>
      <c r="AF1376" s="9">
        <f>IF($G1376="","",IFERROR(INDEX(LINHAS_DRE_PLANO,MATCH($G1376,SUBCATEGORIAS_PLANO,0)),"Não classificado"))</f>
        <v/>
      </c>
      <c r="AG1376" s="17">
        <f>IF($G1376="","",IFERROR(INDEX(TIPOS_FLUXO_PLANO,MATCH($G1376,SUBCATEGORIAS_PLANO,0)),"Não classificado"))</f>
        <v/>
      </c>
      <c r="AH1376" s="9">
        <f>IF($G1376="","",IFERROR(INDEX(GRUPOS_PLANO,MATCH($G1376,SUBCATEGORIAS_PLANO,0)),"Não classificado"))</f>
        <v/>
      </c>
      <c r="AI1376" s="24">
        <f>IF(OR($C1376="",$X1376="Pago",$X1376="Recebido",$X1376="Cancelado"),"",$C1376-TODAY())</f>
        <v/>
      </c>
      <c r="AJ1376" s="24">
        <f>IF(OR($C1376="",$X1376="Pago",$X1376="Recebido",$X1376="Cancelado"),0,MAX(0,TODAY()-$C1376))</f>
        <v/>
      </c>
      <c r="AK1376" s="24">
        <f>IF($D1376="","",$D1376-$B1376)</f>
        <v/>
      </c>
      <c r="AL1376" s="18">
        <f>IF(OR($D1376="",$B1376=""),"",ROUND(N($R1376)*($D1376-$B1376),2))</f>
        <v/>
      </c>
      <c r="AM1376" s="17">
        <f>IF(AND($E1376="Saída",$W1376&gt;0,$C1376&lt;&gt;""),$C1376+ROW()/1000000,"")</f>
        <v/>
      </c>
      <c r="AN1376" s="17">
        <f>IF(AND($E1376="Entrada",$W1376&gt;0,$C1376&lt;&gt;""),$C1376+ROW()/1000000,"")</f>
        <v/>
      </c>
      <c r="AO1376" s="9">
        <f>IF(COUNTA($B1376:$R1376)=0,"",IF(AND($I1376&lt;&gt;"",COUNTIF(CLIENTES_NOMES,$I1376)+COUNTIF(CLIENTES_FANTASIA,$I1376)+COUNTIF(FORNECEDORES_NOMES,$I1376)+COUNTIF(FORNECEDORES_FANTASIA,$I1376)=0),"⚠ Cliente/Fornecedor não cadastrado",IF(AND($G1376&lt;&gt;"",COUNTIF(SUBCATEGORIAS_PLANO,$G1376)=0),"⚠ Subcategoria fora do plano de contas",IF(OR($Q1376="",N($Q1376)=0),"⚠ Valor previsto não informado",IF(AND(OR($X1376="Pago",$X1376="Recebido"),$D1376=""),"⚠ Status pago/recebido sem data",IF(AND($D1376&lt;&gt;"",N($R1376)=0),"⚠ Data de pagamento sem valor realizado",IF(AND(N($P1376)&gt;1,N($O1376)&gt;N($P1376)),"⚠ Nº da parcela maior que o total",IF(AND($C1376&lt;&gt;"",$B1376&lt;&gt;"",$C1376&lt;$B1376),"⚠ Vencimento anterior à competência","OK"))))))))</f>
        <v/>
      </c>
    </row>
    <row r="1377">
      <c r="A1377" s="14" t="n"/>
      <c r="B1377" s="36" t="n"/>
      <c r="C1377" s="36" t="n"/>
      <c r="D1377" s="36" t="n"/>
      <c r="E1377" s="14" t="n"/>
      <c r="F1377" s="29" t="n"/>
      <c r="G1377" s="29" t="n"/>
      <c r="H1377" s="29" t="n"/>
      <c r="I1377" s="29" t="n"/>
      <c r="J1377" s="29" t="n"/>
      <c r="K1377" s="14" t="n"/>
      <c r="L1377" s="29" t="n"/>
      <c r="M1377" s="14" t="n"/>
      <c r="N1377" s="29" t="n"/>
      <c r="O1377" s="13" t="n"/>
      <c r="P1377" s="13" t="n"/>
      <c r="Q1377" s="35" t="n"/>
      <c r="R1377" s="35" t="n"/>
      <c r="S1377" s="35" t="n"/>
      <c r="T1377" s="35" t="n"/>
      <c r="U1377" s="35" t="n"/>
      <c r="V1377" s="18">
        <f>IF(COUNTA($B1377:$R1377)=0,"",ROUND(N($R1377)+N($S1377)+N($T1377)-N($U1377),2))</f>
        <v/>
      </c>
      <c r="W1377" s="18">
        <f>IF(COUNTA($B1377:$R1377)=0,"",IF(OR($X1377="Pago",$X1377="Recebido",$X1377="Cancelado"),0,ROUND(N($Q1377)+N($S1377)+N($T1377)-N($U1377)-N($R1377),2)))</f>
        <v/>
      </c>
      <c r="X1377" s="14" t="n"/>
      <c r="Y1377" s="17">
        <f>IF(COUNTA($B1377:$R1377)=0,"",IF($X1377="Cancelado","Cancelado",IF(OR($X1377="Pago",$X1377="Recebido"),$X1377,IF(OR($X1377="Parcial",N($R1377)&gt;0),"Parcial",IF($C1377="","Sem vencimento",IF($C1377&lt;TODAY(),"Vencido",IF($C1377=TODAY(),"Vence hoje",IF($C1377&lt;=TODAY()+7,"Vence em 7 dias",IF($C1377&lt;=TODAY()+30,"Vence em 30 dias","Futuro")))))))))</f>
        <v/>
      </c>
      <c r="Z1377" s="24">
        <f>IF($B1377="","",MONTH($B1377))</f>
        <v/>
      </c>
      <c r="AA1377" s="24">
        <f>IF($B1377="","",YEAR($B1377))</f>
        <v/>
      </c>
      <c r="AB1377" s="24">
        <f>IF($B1377="","",ISOWEEKNUM($B1377))</f>
        <v/>
      </c>
      <c r="AC1377" s="17">
        <f>IF($B1377="","",CHOOSE(WEEKDAY($B1377,2),"Segunda","Terça","Quarta","Quinta","Sexta","Sábado","Domingo"))</f>
        <v/>
      </c>
      <c r="AD1377" s="17">
        <f>IF($B1377="","",TEXT($B1377,"MM/AAAA"))</f>
        <v/>
      </c>
      <c r="AE1377" s="18">
        <f>IF(COUNTA($B1377:$R1377)=0,"",IF($X1377="Cancelado",0,ROUND(N($Q1377)+N($S1377)+N($T1377)-N($U1377),2)))</f>
        <v/>
      </c>
      <c r="AF1377" s="9">
        <f>IF($G1377="","",IFERROR(INDEX(LINHAS_DRE_PLANO,MATCH($G1377,SUBCATEGORIAS_PLANO,0)),"Não classificado"))</f>
        <v/>
      </c>
      <c r="AG1377" s="17">
        <f>IF($G1377="","",IFERROR(INDEX(TIPOS_FLUXO_PLANO,MATCH($G1377,SUBCATEGORIAS_PLANO,0)),"Não classificado"))</f>
        <v/>
      </c>
      <c r="AH1377" s="9">
        <f>IF($G1377="","",IFERROR(INDEX(GRUPOS_PLANO,MATCH($G1377,SUBCATEGORIAS_PLANO,0)),"Não classificado"))</f>
        <v/>
      </c>
      <c r="AI1377" s="24">
        <f>IF(OR($C1377="",$X1377="Pago",$X1377="Recebido",$X1377="Cancelado"),"",$C1377-TODAY())</f>
        <v/>
      </c>
      <c r="AJ1377" s="24">
        <f>IF(OR($C1377="",$X1377="Pago",$X1377="Recebido",$X1377="Cancelado"),0,MAX(0,TODAY()-$C1377))</f>
        <v/>
      </c>
      <c r="AK1377" s="24">
        <f>IF($D1377="","",$D1377-$B1377)</f>
        <v/>
      </c>
      <c r="AL1377" s="18">
        <f>IF(OR($D1377="",$B1377=""),"",ROUND(N($R1377)*($D1377-$B1377),2))</f>
        <v/>
      </c>
      <c r="AM1377" s="17">
        <f>IF(AND($E1377="Saída",$W1377&gt;0,$C1377&lt;&gt;""),$C1377+ROW()/1000000,"")</f>
        <v/>
      </c>
      <c r="AN1377" s="17">
        <f>IF(AND($E1377="Entrada",$W1377&gt;0,$C1377&lt;&gt;""),$C1377+ROW()/1000000,"")</f>
        <v/>
      </c>
      <c r="AO1377" s="9">
        <f>IF(COUNTA($B1377:$R1377)=0,"",IF(AND($I1377&lt;&gt;"",COUNTIF(CLIENTES_NOMES,$I1377)+COUNTIF(CLIENTES_FANTASIA,$I1377)+COUNTIF(FORNECEDORES_NOMES,$I1377)+COUNTIF(FORNECEDORES_FANTASIA,$I1377)=0),"⚠ Cliente/Fornecedor não cadastrado",IF(AND($G1377&lt;&gt;"",COUNTIF(SUBCATEGORIAS_PLANO,$G1377)=0),"⚠ Subcategoria fora do plano de contas",IF(OR($Q1377="",N($Q1377)=0),"⚠ Valor previsto não informado",IF(AND(OR($X1377="Pago",$X1377="Recebido"),$D1377=""),"⚠ Status pago/recebido sem data",IF(AND($D1377&lt;&gt;"",N($R1377)=0),"⚠ Data de pagamento sem valor realizado",IF(AND(N($P1377)&gt;1,N($O1377)&gt;N($P1377)),"⚠ Nº da parcela maior que o total",IF(AND($C1377&lt;&gt;"",$B1377&lt;&gt;"",$C1377&lt;$B1377),"⚠ Vencimento anterior à competência","OK"))))))))</f>
        <v/>
      </c>
    </row>
    <row r="1378">
      <c r="A1378" s="14" t="n"/>
      <c r="B1378" s="36" t="n"/>
      <c r="C1378" s="36" t="n"/>
      <c r="D1378" s="36" t="n"/>
      <c r="E1378" s="14" t="n"/>
      <c r="F1378" s="29" t="n"/>
      <c r="G1378" s="29" t="n"/>
      <c r="H1378" s="29" t="n"/>
      <c r="I1378" s="29" t="n"/>
      <c r="J1378" s="29" t="n"/>
      <c r="K1378" s="14" t="n"/>
      <c r="L1378" s="29" t="n"/>
      <c r="M1378" s="14" t="n"/>
      <c r="N1378" s="29" t="n"/>
      <c r="O1378" s="13" t="n"/>
      <c r="P1378" s="13" t="n"/>
      <c r="Q1378" s="35" t="n"/>
      <c r="R1378" s="35" t="n"/>
      <c r="S1378" s="35" t="n"/>
      <c r="T1378" s="35" t="n"/>
      <c r="U1378" s="35" t="n"/>
      <c r="V1378" s="18">
        <f>IF(COUNTA($B1378:$R1378)=0,"",ROUND(N($R1378)+N($S1378)+N($T1378)-N($U1378),2))</f>
        <v/>
      </c>
      <c r="W1378" s="18">
        <f>IF(COUNTA($B1378:$R1378)=0,"",IF(OR($X1378="Pago",$X1378="Recebido",$X1378="Cancelado"),0,ROUND(N($Q1378)+N($S1378)+N($T1378)-N($U1378)-N($R1378),2)))</f>
        <v/>
      </c>
      <c r="X1378" s="14" t="n"/>
      <c r="Y1378" s="17">
        <f>IF(COUNTA($B1378:$R1378)=0,"",IF($X1378="Cancelado","Cancelado",IF(OR($X1378="Pago",$X1378="Recebido"),$X1378,IF(OR($X1378="Parcial",N($R1378)&gt;0),"Parcial",IF($C1378="","Sem vencimento",IF($C1378&lt;TODAY(),"Vencido",IF($C1378=TODAY(),"Vence hoje",IF($C1378&lt;=TODAY()+7,"Vence em 7 dias",IF($C1378&lt;=TODAY()+30,"Vence em 30 dias","Futuro")))))))))</f>
        <v/>
      </c>
      <c r="Z1378" s="24">
        <f>IF($B1378="","",MONTH($B1378))</f>
        <v/>
      </c>
      <c r="AA1378" s="24">
        <f>IF($B1378="","",YEAR($B1378))</f>
        <v/>
      </c>
      <c r="AB1378" s="24">
        <f>IF($B1378="","",ISOWEEKNUM($B1378))</f>
        <v/>
      </c>
      <c r="AC1378" s="17">
        <f>IF($B1378="","",CHOOSE(WEEKDAY($B1378,2),"Segunda","Terça","Quarta","Quinta","Sexta","Sábado","Domingo"))</f>
        <v/>
      </c>
      <c r="AD1378" s="17">
        <f>IF($B1378="","",TEXT($B1378,"MM/AAAA"))</f>
        <v/>
      </c>
      <c r="AE1378" s="18">
        <f>IF(COUNTA($B1378:$R1378)=0,"",IF($X1378="Cancelado",0,ROUND(N($Q1378)+N($S1378)+N($T1378)-N($U1378),2)))</f>
        <v/>
      </c>
      <c r="AF1378" s="9">
        <f>IF($G1378="","",IFERROR(INDEX(LINHAS_DRE_PLANO,MATCH($G1378,SUBCATEGORIAS_PLANO,0)),"Não classificado"))</f>
        <v/>
      </c>
      <c r="AG1378" s="17">
        <f>IF($G1378="","",IFERROR(INDEX(TIPOS_FLUXO_PLANO,MATCH($G1378,SUBCATEGORIAS_PLANO,0)),"Não classificado"))</f>
        <v/>
      </c>
      <c r="AH1378" s="9">
        <f>IF($G1378="","",IFERROR(INDEX(GRUPOS_PLANO,MATCH($G1378,SUBCATEGORIAS_PLANO,0)),"Não classificado"))</f>
        <v/>
      </c>
      <c r="AI1378" s="24">
        <f>IF(OR($C1378="",$X1378="Pago",$X1378="Recebido",$X1378="Cancelado"),"",$C1378-TODAY())</f>
        <v/>
      </c>
      <c r="AJ1378" s="24">
        <f>IF(OR($C1378="",$X1378="Pago",$X1378="Recebido",$X1378="Cancelado"),0,MAX(0,TODAY()-$C1378))</f>
        <v/>
      </c>
      <c r="AK1378" s="24">
        <f>IF($D1378="","",$D1378-$B1378)</f>
        <v/>
      </c>
      <c r="AL1378" s="18">
        <f>IF(OR($D1378="",$B1378=""),"",ROUND(N($R1378)*($D1378-$B1378),2))</f>
        <v/>
      </c>
      <c r="AM1378" s="17">
        <f>IF(AND($E1378="Saída",$W1378&gt;0,$C1378&lt;&gt;""),$C1378+ROW()/1000000,"")</f>
        <v/>
      </c>
      <c r="AN1378" s="17">
        <f>IF(AND($E1378="Entrada",$W1378&gt;0,$C1378&lt;&gt;""),$C1378+ROW()/1000000,"")</f>
        <v/>
      </c>
      <c r="AO1378" s="9">
        <f>IF(COUNTA($B1378:$R1378)=0,"",IF(AND($I1378&lt;&gt;"",COUNTIF(CLIENTES_NOMES,$I1378)+COUNTIF(CLIENTES_FANTASIA,$I1378)+COUNTIF(FORNECEDORES_NOMES,$I1378)+COUNTIF(FORNECEDORES_FANTASIA,$I1378)=0),"⚠ Cliente/Fornecedor não cadastrado",IF(AND($G1378&lt;&gt;"",COUNTIF(SUBCATEGORIAS_PLANO,$G1378)=0),"⚠ Subcategoria fora do plano de contas",IF(OR($Q1378="",N($Q1378)=0),"⚠ Valor previsto não informado",IF(AND(OR($X1378="Pago",$X1378="Recebido"),$D1378=""),"⚠ Status pago/recebido sem data",IF(AND($D1378&lt;&gt;"",N($R1378)=0),"⚠ Data de pagamento sem valor realizado",IF(AND(N($P1378)&gt;1,N($O1378)&gt;N($P1378)),"⚠ Nº da parcela maior que o total",IF(AND($C1378&lt;&gt;"",$B1378&lt;&gt;"",$C1378&lt;$B1378),"⚠ Vencimento anterior à competência","OK"))))))))</f>
        <v/>
      </c>
    </row>
    <row r="1379">
      <c r="A1379" s="14" t="n"/>
      <c r="B1379" s="36" t="n"/>
      <c r="C1379" s="36" t="n"/>
      <c r="D1379" s="36" t="n"/>
      <c r="E1379" s="14" t="n"/>
      <c r="F1379" s="29" t="n"/>
      <c r="G1379" s="29" t="n"/>
      <c r="H1379" s="29" t="n"/>
      <c r="I1379" s="29" t="n"/>
      <c r="J1379" s="29" t="n"/>
      <c r="K1379" s="14" t="n"/>
      <c r="L1379" s="29" t="n"/>
      <c r="M1379" s="14" t="n"/>
      <c r="N1379" s="29" t="n"/>
      <c r="O1379" s="13" t="n"/>
      <c r="P1379" s="13" t="n"/>
      <c r="Q1379" s="35" t="n"/>
      <c r="R1379" s="35" t="n"/>
      <c r="S1379" s="35" t="n"/>
      <c r="T1379" s="35" t="n"/>
      <c r="U1379" s="35" t="n"/>
      <c r="V1379" s="18">
        <f>IF(COUNTA($B1379:$R1379)=0,"",ROUND(N($R1379)+N($S1379)+N($T1379)-N($U1379),2))</f>
        <v/>
      </c>
      <c r="W1379" s="18">
        <f>IF(COUNTA($B1379:$R1379)=0,"",IF(OR($X1379="Pago",$X1379="Recebido",$X1379="Cancelado"),0,ROUND(N($Q1379)+N($S1379)+N($T1379)-N($U1379)-N($R1379),2)))</f>
        <v/>
      </c>
      <c r="X1379" s="14" t="n"/>
      <c r="Y1379" s="17">
        <f>IF(COUNTA($B1379:$R1379)=0,"",IF($X1379="Cancelado","Cancelado",IF(OR($X1379="Pago",$X1379="Recebido"),$X1379,IF(OR($X1379="Parcial",N($R1379)&gt;0),"Parcial",IF($C1379="","Sem vencimento",IF($C1379&lt;TODAY(),"Vencido",IF($C1379=TODAY(),"Vence hoje",IF($C1379&lt;=TODAY()+7,"Vence em 7 dias",IF($C1379&lt;=TODAY()+30,"Vence em 30 dias","Futuro")))))))))</f>
        <v/>
      </c>
      <c r="Z1379" s="24">
        <f>IF($B1379="","",MONTH($B1379))</f>
        <v/>
      </c>
      <c r="AA1379" s="24">
        <f>IF($B1379="","",YEAR($B1379))</f>
        <v/>
      </c>
      <c r="AB1379" s="24">
        <f>IF($B1379="","",ISOWEEKNUM($B1379))</f>
        <v/>
      </c>
      <c r="AC1379" s="17">
        <f>IF($B1379="","",CHOOSE(WEEKDAY($B1379,2),"Segunda","Terça","Quarta","Quinta","Sexta","Sábado","Domingo"))</f>
        <v/>
      </c>
      <c r="AD1379" s="17">
        <f>IF($B1379="","",TEXT($B1379,"MM/AAAA"))</f>
        <v/>
      </c>
      <c r="AE1379" s="18">
        <f>IF(COUNTA($B1379:$R1379)=0,"",IF($X1379="Cancelado",0,ROUND(N($Q1379)+N($S1379)+N($T1379)-N($U1379),2)))</f>
        <v/>
      </c>
      <c r="AF1379" s="9">
        <f>IF($G1379="","",IFERROR(INDEX(LINHAS_DRE_PLANO,MATCH($G1379,SUBCATEGORIAS_PLANO,0)),"Não classificado"))</f>
        <v/>
      </c>
      <c r="AG1379" s="17">
        <f>IF($G1379="","",IFERROR(INDEX(TIPOS_FLUXO_PLANO,MATCH($G1379,SUBCATEGORIAS_PLANO,0)),"Não classificado"))</f>
        <v/>
      </c>
      <c r="AH1379" s="9">
        <f>IF($G1379="","",IFERROR(INDEX(GRUPOS_PLANO,MATCH($G1379,SUBCATEGORIAS_PLANO,0)),"Não classificado"))</f>
        <v/>
      </c>
      <c r="AI1379" s="24">
        <f>IF(OR($C1379="",$X1379="Pago",$X1379="Recebido",$X1379="Cancelado"),"",$C1379-TODAY())</f>
        <v/>
      </c>
      <c r="AJ1379" s="24">
        <f>IF(OR($C1379="",$X1379="Pago",$X1379="Recebido",$X1379="Cancelado"),0,MAX(0,TODAY()-$C1379))</f>
        <v/>
      </c>
      <c r="AK1379" s="24">
        <f>IF($D1379="","",$D1379-$B1379)</f>
        <v/>
      </c>
      <c r="AL1379" s="18">
        <f>IF(OR($D1379="",$B1379=""),"",ROUND(N($R1379)*($D1379-$B1379),2))</f>
        <v/>
      </c>
      <c r="AM1379" s="17">
        <f>IF(AND($E1379="Saída",$W1379&gt;0,$C1379&lt;&gt;""),$C1379+ROW()/1000000,"")</f>
        <v/>
      </c>
      <c r="AN1379" s="17">
        <f>IF(AND($E1379="Entrada",$W1379&gt;0,$C1379&lt;&gt;""),$C1379+ROW()/1000000,"")</f>
        <v/>
      </c>
      <c r="AO1379" s="9">
        <f>IF(COUNTA($B1379:$R1379)=0,"",IF(AND($I1379&lt;&gt;"",COUNTIF(CLIENTES_NOMES,$I1379)+COUNTIF(CLIENTES_FANTASIA,$I1379)+COUNTIF(FORNECEDORES_NOMES,$I1379)+COUNTIF(FORNECEDORES_FANTASIA,$I1379)=0),"⚠ Cliente/Fornecedor não cadastrado",IF(AND($G1379&lt;&gt;"",COUNTIF(SUBCATEGORIAS_PLANO,$G1379)=0),"⚠ Subcategoria fora do plano de contas",IF(OR($Q1379="",N($Q1379)=0),"⚠ Valor previsto não informado",IF(AND(OR($X1379="Pago",$X1379="Recebido"),$D1379=""),"⚠ Status pago/recebido sem data",IF(AND($D1379&lt;&gt;"",N($R1379)=0),"⚠ Data de pagamento sem valor realizado",IF(AND(N($P1379)&gt;1,N($O1379)&gt;N($P1379)),"⚠ Nº da parcela maior que o total",IF(AND($C1379&lt;&gt;"",$B1379&lt;&gt;"",$C1379&lt;$B1379),"⚠ Vencimento anterior à competência","OK"))))))))</f>
        <v/>
      </c>
    </row>
    <row r="1380">
      <c r="A1380" s="14" t="n"/>
      <c r="B1380" s="36" t="n"/>
      <c r="C1380" s="36" t="n"/>
      <c r="D1380" s="36" t="n"/>
      <c r="E1380" s="14" t="n"/>
      <c r="F1380" s="29" t="n"/>
      <c r="G1380" s="29" t="n"/>
      <c r="H1380" s="29" t="n"/>
      <c r="I1380" s="29" t="n"/>
      <c r="J1380" s="29" t="n"/>
      <c r="K1380" s="14" t="n"/>
      <c r="L1380" s="29" t="n"/>
      <c r="M1380" s="14" t="n"/>
      <c r="N1380" s="29" t="n"/>
      <c r="O1380" s="13" t="n"/>
      <c r="P1380" s="13" t="n"/>
      <c r="Q1380" s="35" t="n"/>
      <c r="R1380" s="35" t="n"/>
      <c r="S1380" s="35" t="n"/>
      <c r="T1380" s="35" t="n"/>
      <c r="U1380" s="35" t="n"/>
      <c r="V1380" s="18">
        <f>IF(COUNTA($B1380:$R1380)=0,"",ROUND(N($R1380)+N($S1380)+N($T1380)-N($U1380),2))</f>
        <v/>
      </c>
      <c r="W1380" s="18">
        <f>IF(COUNTA($B1380:$R1380)=0,"",IF(OR($X1380="Pago",$X1380="Recebido",$X1380="Cancelado"),0,ROUND(N($Q1380)+N($S1380)+N($T1380)-N($U1380)-N($R1380),2)))</f>
        <v/>
      </c>
      <c r="X1380" s="14" t="n"/>
      <c r="Y1380" s="17">
        <f>IF(COUNTA($B1380:$R1380)=0,"",IF($X1380="Cancelado","Cancelado",IF(OR($X1380="Pago",$X1380="Recebido"),$X1380,IF(OR($X1380="Parcial",N($R1380)&gt;0),"Parcial",IF($C1380="","Sem vencimento",IF($C1380&lt;TODAY(),"Vencido",IF($C1380=TODAY(),"Vence hoje",IF($C1380&lt;=TODAY()+7,"Vence em 7 dias",IF($C1380&lt;=TODAY()+30,"Vence em 30 dias","Futuro")))))))))</f>
        <v/>
      </c>
      <c r="Z1380" s="24">
        <f>IF($B1380="","",MONTH($B1380))</f>
        <v/>
      </c>
      <c r="AA1380" s="24">
        <f>IF($B1380="","",YEAR($B1380))</f>
        <v/>
      </c>
      <c r="AB1380" s="24">
        <f>IF($B1380="","",ISOWEEKNUM($B1380))</f>
        <v/>
      </c>
      <c r="AC1380" s="17">
        <f>IF($B1380="","",CHOOSE(WEEKDAY($B1380,2),"Segunda","Terça","Quarta","Quinta","Sexta","Sábado","Domingo"))</f>
        <v/>
      </c>
      <c r="AD1380" s="17">
        <f>IF($B1380="","",TEXT($B1380,"MM/AAAA"))</f>
        <v/>
      </c>
      <c r="AE1380" s="18">
        <f>IF(COUNTA($B1380:$R1380)=0,"",IF($X1380="Cancelado",0,ROUND(N($Q1380)+N($S1380)+N($T1380)-N($U1380),2)))</f>
        <v/>
      </c>
      <c r="AF1380" s="9">
        <f>IF($G1380="","",IFERROR(INDEX(LINHAS_DRE_PLANO,MATCH($G1380,SUBCATEGORIAS_PLANO,0)),"Não classificado"))</f>
        <v/>
      </c>
      <c r="AG1380" s="17">
        <f>IF($G1380="","",IFERROR(INDEX(TIPOS_FLUXO_PLANO,MATCH($G1380,SUBCATEGORIAS_PLANO,0)),"Não classificado"))</f>
        <v/>
      </c>
      <c r="AH1380" s="9">
        <f>IF($G1380="","",IFERROR(INDEX(GRUPOS_PLANO,MATCH($G1380,SUBCATEGORIAS_PLANO,0)),"Não classificado"))</f>
        <v/>
      </c>
      <c r="AI1380" s="24">
        <f>IF(OR($C1380="",$X1380="Pago",$X1380="Recebido",$X1380="Cancelado"),"",$C1380-TODAY())</f>
        <v/>
      </c>
      <c r="AJ1380" s="24">
        <f>IF(OR($C1380="",$X1380="Pago",$X1380="Recebido",$X1380="Cancelado"),0,MAX(0,TODAY()-$C1380))</f>
        <v/>
      </c>
      <c r="AK1380" s="24">
        <f>IF($D1380="","",$D1380-$B1380)</f>
        <v/>
      </c>
      <c r="AL1380" s="18">
        <f>IF(OR($D1380="",$B1380=""),"",ROUND(N($R1380)*($D1380-$B1380),2))</f>
        <v/>
      </c>
      <c r="AM1380" s="17">
        <f>IF(AND($E1380="Saída",$W1380&gt;0,$C1380&lt;&gt;""),$C1380+ROW()/1000000,"")</f>
        <v/>
      </c>
      <c r="AN1380" s="17">
        <f>IF(AND($E1380="Entrada",$W1380&gt;0,$C1380&lt;&gt;""),$C1380+ROW()/1000000,"")</f>
        <v/>
      </c>
      <c r="AO1380" s="9">
        <f>IF(COUNTA($B1380:$R1380)=0,"",IF(AND($I1380&lt;&gt;"",COUNTIF(CLIENTES_NOMES,$I1380)+COUNTIF(CLIENTES_FANTASIA,$I1380)+COUNTIF(FORNECEDORES_NOMES,$I1380)+COUNTIF(FORNECEDORES_FANTASIA,$I1380)=0),"⚠ Cliente/Fornecedor não cadastrado",IF(AND($G1380&lt;&gt;"",COUNTIF(SUBCATEGORIAS_PLANO,$G1380)=0),"⚠ Subcategoria fora do plano de contas",IF(OR($Q1380="",N($Q1380)=0),"⚠ Valor previsto não informado",IF(AND(OR($X1380="Pago",$X1380="Recebido"),$D1380=""),"⚠ Status pago/recebido sem data",IF(AND($D1380&lt;&gt;"",N($R1380)=0),"⚠ Data de pagamento sem valor realizado",IF(AND(N($P1380)&gt;1,N($O1380)&gt;N($P1380)),"⚠ Nº da parcela maior que o total",IF(AND($C1380&lt;&gt;"",$B1380&lt;&gt;"",$C1380&lt;$B1380),"⚠ Vencimento anterior à competência","OK"))))))))</f>
        <v/>
      </c>
    </row>
    <row r="1381">
      <c r="A1381" s="14" t="n"/>
      <c r="B1381" s="36" t="n"/>
      <c r="C1381" s="36" t="n"/>
      <c r="D1381" s="36" t="n"/>
      <c r="E1381" s="14" t="n"/>
      <c r="F1381" s="29" t="n"/>
      <c r="G1381" s="29" t="n"/>
      <c r="H1381" s="29" t="n"/>
      <c r="I1381" s="29" t="n"/>
      <c r="J1381" s="29" t="n"/>
      <c r="K1381" s="14" t="n"/>
      <c r="L1381" s="29" t="n"/>
      <c r="M1381" s="14" t="n"/>
      <c r="N1381" s="29" t="n"/>
      <c r="O1381" s="13" t="n"/>
      <c r="P1381" s="13" t="n"/>
      <c r="Q1381" s="35" t="n"/>
      <c r="R1381" s="35" t="n"/>
      <c r="S1381" s="35" t="n"/>
      <c r="T1381" s="35" t="n"/>
      <c r="U1381" s="35" t="n"/>
      <c r="V1381" s="18">
        <f>IF(COUNTA($B1381:$R1381)=0,"",ROUND(N($R1381)+N($S1381)+N($T1381)-N($U1381),2))</f>
        <v/>
      </c>
      <c r="W1381" s="18">
        <f>IF(COUNTA($B1381:$R1381)=0,"",IF(OR($X1381="Pago",$X1381="Recebido",$X1381="Cancelado"),0,ROUND(N($Q1381)+N($S1381)+N($T1381)-N($U1381)-N($R1381),2)))</f>
        <v/>
      </c>
      <c r="X1381" s="14" t="n"/>
      <c r="Y1381" s="17">
        <f>IF(COUNTA($B1381:$R1381)=0,"",IF($X1381="Cancelado","Cancelado",IF(OR($X1381="Pago",$X1381="Recebido"),$X1381,IF(OR($X1381="Parcial",N($R1381)&gt;0),"Parcial",IF($C1381="","Sem vencimento",IF($C1381&lt;TODAY(),"Vencido",IF($C1381=TODAY(),"Vence hoje",IF($C1381&lt;=TODAY()+7,"Vence em 7 dias",IF($C1381&lt;=TODAY()+30,"Vence em 30 dias","Futuro")))))))))</f>
        <v/>
      </c>
      <c r="Z1381" s="24">
        <f>IF($B1381="","",MONTH($B1381))</f>
        <v/>
      </c>
      <c r="AA1381" s="24">
        <f>IF($B1381="","",YEAR($B1381))</f>
        <v/>
      </c>
      <c r="AB1381" s="24">
        <f>IF($B1381="","",ISOWEEKNUM($B1381))</f>
        <v/>
      </c>
      <c r="AC1381" s="17">
        <f>IF($B1381="","",CHOOSE(WEEKDAY($B1381,2),"Segunda","Terça","Quarta","Quinta","Sexta","Sábado","Domingo"))</f>
        <v/>
      </c>
      <c r="AD1381" s="17">
        <f>IF($B1381="","",TEXT($B1381,"MM/AAAA"))</f>
        <v/>
      </c>
      <c r="AE1381" s="18">
        <f>IF(COUNTA($B1381:$R1381)=0,"",IF($X1381="Cancelado",0,ROUND(N($Q1381)+N($S1381)+N($T1381)-N($U1381),2)))</f>
        <v/>
      </c>
      <c r="AF1381" s="9">
        <f>IF($G1381="","",IFERROR(INDEX(LINHAS_DRE_PLANO,MATCH($G1381,SUBCATEGORIAS_PLANO,0)),"Não classificado"))</f>
        <v/>
      </c>
      <c r="AG1381" s="17">
        <f>IF($G1381="","",IFERROR(INDEX(TIPOS_FLUXO_PLANO,MATCH($G1381,SUBCATEGORIAS_PLANO,0)),"Não classificado"))</f>
        <v/>
      </c>
      <c r="AH1381" s="9">
        <f>IF($G1381="","",IFERROR(INDEX(GRUPOS_PLANO,MATCH($G1381,SUBCATEGORIAS_PLANO,0)),"Não classificado"))</f>
        <v/>
      </c>
      <c r="AI1381" s="24">
        <f>IF(OR($C1381="",$X1381="Pago",$X1381="Recebido",$X1381="Cancelado"),"",$C1381-TODAY())</f>
        <v/>
      </c>
      <c r="AJ1381" s="24">
        <f>IF(OR($C1381="",$X1381="Pago",$X1381="Recebido",$X1381="Cancelado"),0,MAX(0,TODAY()-$C1381))</f>
        <v/>
      </c>
      <c r="AK1381" s="24">
        <f>IF($D1381="","",$D1381-$B1381)</f>
        <v/>
      </c>
      <c r="AL1381" s="18">
        <f>IF(OR($D1381="",$B1381=""),"",ROUND(N($R1381)*($D1381-$B1381),2))</f>
        <v/>
      </c>
      <c r="AM1381" s="17">
        <f>IF(AND($E1381="Saída",$W1381&gt;0,$C1381&lt;&gt;""),$C1381+ROW()/1000000,"")</f>
        <v/>
      </c>
      <c r="AN1381" s="17">
        <f>IF(AND($E1381="Entrada",$W1381&gt;0,$C1381&lt;&gt;""),$C1381+ROW()/1000000,"")</f>
        <v/>
      </c>
      <c r="AO1381" s="9">
        <f>IF(COUNTA($B1381:$R1381)=0,"",IF(AND($I1381&lt;&gt;"",COUNTIF(CLIENTES_NOMES,$I1381)+COUNTIF(CLIENTES_FANTASIA,$I1381)+COUNTIF(FORNECEDORES_NOMES,$I1381)+COUNTIF(FORNECEDORES_FANTASIA,$I1381)=0),"⚠ Cliente/Fornecedor não cadastrado",IF(AND($G1381&lt;&gt;"",COUNTIF(SUBCATEGORIAS_PLANO,$G1381)=0),"⚠ Subcategoria fora do plano de contas",IF(OR($Q1381="",N($Q1381)=0),"⚠ Valor previsto não informado",IF(AND(OR($X1381="Pago",$X1381="Recebido"),$D1381=""),"⚠ Status pago/recebido sem data",IF(AND($D1381&lt;&gt;"",N($R1381)=0),"⚠ Data de pagamento sem valor realizado",IF(AND(N($P1381)&gt;1,N($O1381)&gt;N($P1381)),"⚠ Nº da parcela maior que o total",IF(AND($C1381&lt;&gt;"",$B1381&lt;&gt;"",$C1381&lt;$B1381),"⚠ Vencimento anterior à competência","OK"))))))))</f>
        <v/>
      </c>
    </row>
    <row r="1382">
      <c r="A1382" s="14" t="n"/>
      <c r="B1382" s="36" t="n"/>
      <c r="C1382" s="36" t="n"/>
      <c r="D1382" s="36" t="n"/>
      <c r="E1382" s="14" t="n"/>
      <c r="F1382" s="29" t="n"/>
      <c r="G1382" s="29" t="n"/>
      <c r="H1382" s="29" t="n"/>
      <c r="I1382" s="29" t="n"/>
      <c r="J1382" s="29" t="n"/>
      <c r="K1382" s="14" t="n"/>
      <c r="L1382" s="29" t="n"/>
      <c r="M1382" s="14" t="n"/>
      <c r="N1382" s="29" t="n"/>
      <c r="O1382" s="13" t="n"/>
      <c r="P1382" s="13" t="n"/>
      <c r="Q1382" s="35" t="n"/>
      <c r="R1382" s="35" t="n"/>
      <c r="S1382" s="35" t="n"/>
      <c r="T1382" s="35" t="n"/>
      <c r="U1382" s="35" t="n"/>
      <c r="V1382" s="18">
        <f>IF(COUNTA($B1382:$R1382)=0,"",ROUND(N($R1382)+N($S1382)+N($T1382)-N($U1382),2))</f>
        <v/>
      </c>
      <c r="W1382" s="18">
        <f>IF(COUNTA($B1382:$R1382)=0,"",IF(OR($X1382="Pago",$X1382="Recebido",$X1382="Cancelado"),0,ROUND(N($Q1382)+N($S1382)+N($T1382)-N($U1382)-N($R1382),2)))</f>
        <v/>
      </c>
      <c r="X1382" s="14" t="n"/>
      <c r="Y1382" s="17">
        <f>IF(COUNTA($B1382:$R1382)=0,"",IF($X1382="Cancelado","Cancelado",IF(OR($X1382="Pago",$X1382="Recebido"),$X1382,IF(OR($X1382="Parcial",N($R1382)&gt;0),"Parcial",IF($C1382="","Sem vencimento",IF($C1382&lt;TODAY(),"Vencido",IF($C1382=TODAY(),"Vence hoje",IF($C1382&lt;=TODAY()+7,"Vence em 7 dias",IF($C1382&lt;=TODAY()+30,"Vence em 30 dias","Futuro")))))))))</f>
        <v/>
      </c>
      <c r="Z1382" s="24">
        <f>IF($B1382="","",MONTH($B1382))</f>
        <v/>
      </c>
      <c r="AA1382" s="24">
        <f>IF($B1382="","",YEAR($B1382))</f>
        <v/>
      </c>
      <c r="AB1382" s="24">
        <f>IF($B1382="","",ISOWEEKNUM($B1382))</f>
        <v/>
      </c>
      <c r="AC1382" s="17">
        <f>IF($B1382="","",CHOOSE(WEEKDAY($B1382,2),"Segunda","Terça","Quarta","Quinta","Sexta","Sábado","Domingo"))</f>
        <v/>
      </c>
      <c r="AD1382" s="17">
        <f>IF($B1382="","",TEXT($B1382,"MM/AAAA"))</f>
        <v/>
      </c>
      <c r="AE1382" s="18">
        <f>IF(COUNTA($B1382:$R1382)=0,"",IF($X1382="Cancelado",0,ROUND(N($Q1382)+N($S1382)+N($T1382)-N($U1382),2)))</f>
        <v/>
      </c>
      <c r="AF1382" s="9">
        <f>IF($G1382="","",IFERROR(INDEX(LINHAS_DRE_PLANO,MATCH($G1382,SUBCATEGORIAS_PLANO,0)),"Não classificado"))</f>
        <v/>
      </c>
      <c r="AG1382" s="17">
        <f>IF($G1382="","",IFERROR(INDEX(TIPOS_FLUXO_PLANO,MATCH($G1382,SUBCATEGORIAS_PLANO,0)),"Não classificado"))</f>
        <v/>
      </c>
      <c r="AH1382" s="9">
        <f>IF($G1382="","",IFERROR(INDEX(GRUPOS_PLANO,MATCH($G1382,SUBCATEGORIAS_PLANO,0)),"Não classificado"))</f>
        <v/>
      </c>
      <c r="AI1382" s="24">
        <f>IF(OR($C1382="",$X1382="Pago",$X1382="Recebido",$X1382="Cancelado"),"",$C1382-TODAY())</f>
        <v/>
      </c>
      <c r="AJ1382" s="24">
        <f>IF(OR($C1382="",$X1382="Pago",$X1382="Recebido",$X1382="Cancelado"),0,MAX(0,TODAY()-$C1382))</f>
        <v/>
      </c>
      <c r="AK1382" s="24">
        <f>IF($D1382="","",$D1382-$B1382)</f>
        <v/>
      </c>
      <c r="AL1382" s="18">
        <f>IF(OR($D1382="",$B1382=""),"",ROUND(N($R1382)*($D1382-$B1382),2))</f>
        <v/>
      </c>
      <c r="AM1382" s="17">
        <f>IF(AND($E1382="Saída",$W1382&gt;0,$C1382&lt;&gt;""),$C1382+ROW()/1000000,"")</f>
        <v/>
      </c>
      <c r="AN1382" s="17">
        <f>IF(AND($E1382="Entrada",$W1382&gt;0,$C1382&lt;&gt;""),$C1382+ROW()/1000000,"")</f>
        <v/>
      </c>
      <c r="AO1382" s="9">
        <f>IF(COUNTA($B1382:$R1382)=0,"",IF(AND($I1382&lt;&gt;"",COUNTIF(CLIENTES_NOMES,$I1382)+COUNTIF(CLIENTES_FANTASIA,$I1382)+COUNTIF(FORNECEDORES_NOMES,$I1382)+COUNTIF(FORNECEDORES_FANTASIA,$I1382)=0),"⚠ Cliente/Fornecedor não cadastrado",IF(AND($G1382&lt;&gt;"",COUNTIF(SUBCATEGORIAS_PLANO,$G1382)=0),"⚠ Subcategoria fora do plano de contas",IF(OR($Q1382="",N($Q1382)=0),"⚠ Valor previsto não informado",IF(AND(OR($X1382="Pago",$X1382="Recebido"),$D1382=""),"⚠ Status pago/recebido sem data",IF(AND($D1382&lt;&gt;"",N($R1382)=0),"⚠ Data de pagamento sem valor realizado",IF(AND(N($P1382)&gt;1,N($O1382)&gt;N($P1382)),"⚠ Nº da parcela maior que o total",IF(AND($C1382&lt;&gt;"",$B1382&lt;&gt;"",$C1382&lt;$B1382),"⚠ Vencimento anterior à competência","OK"))))))))</f>
        <v/>
      </c>
    </row>
    <row r="1383">
      <c r="A1383" s="14" t="n"/>
      <c r="B1383" s="36" t="n"/>
      <c r="C1383" s="36" t="n"/>
      <c r="D1383" s="36" t="n"/>
      <c r="E1383" s="14" t="n"/>
      <c r="F1383" s="29" t="n"/>
      <c r="G1383" s="29" t="n"/>
      <c r="H1383" s="29" t="n"/>
      <c r="I1383" s="29" t="n"/>
      <c r="J1383" s="29" t="n"/>
      <c r="K1383" s="14" t="n"/>
      <c r="L1383" s="29" t="n"/>
      <c r="M1383" s="14" t="n"/>
      <c r="N1383" s="29" t="n"/>
      <c r="O1383" s="13" t="n"/>
      <c r="P1383" s="13" t="n"/>
      <c r="Q1383" s="35" t="n"/>
      <c r="R1383" s="35" t="n"/>
      <c r="S1383" s="35" t="n"/>
      <c r="T1383" s="35" t="n"/>
      <c r="U1383" s="35" t="n"/>
      <c r="V1383" s="18">
        <f>IF(COUNTA($B1383:$R1383)=0,"",ROUND(N($R1383)+N($S1383)+N($T1383)-N($U1383),2))</f>
        <v/>
      </c>
      <c r="W1383" s="18">
        <f>IF(COUNTA($B1383:$R1383)=0,"",IF(OR($X1383="Pago",$X1383="Recebido",$X1383="Cancelado"),0,ROUND(N($Q1383)+N($S1383)+N($T1383)-N($U1383)-N($R1383),2)))</f>
        <v/>
      </c>
      <c r="X1383" s="14" t="n"/>
      <c r="Y1383" s="17">
        <f>IF(COUNTA($B1383:$R1383)=0,"",IF($X1383="Cancelado","Cancelado",IF(OR($X1383="Pago",$X1383="Recebido"),$X1383,IF(OR($X1383="Parcial",N($R1383)&gt;0),"Parcial",IF($C1383="","Sem vencimento",IF($C1383&lt;TODAY(),"Vencido",IF($C1383=TODAY(),"Vence hoje",IF($C1383&lt;=TODAY()+7,"Vence em 7 dias",IF($C1383&lt;=TODAY()+30,"Vence em 30 dias","Futuro")))))))))</f>
        <v/>
      </c>
      <c r="Z1383" s="24">
        <f>IF($B1383="","",MONTH($B1383))</f>
        <v/>
      </c>
      <c r="AA1383" s="24">
        <f>IF($B1383="","",YEAR($B1383))</f>
        <v/>
      </c>
      <c r="AB1383" s="24">
        <f>IF($B1383="","",ISOWEEKNUM($B1383))</f>
        <v/>
      </c>
      <c r="AC1383" s="17">
        <f>IF($B1383="","",CHOOSE(WEEKDAY($B1383,2),"Segunda","Terça","Quarta","Quinta","Sexta","Sábado","Domingo"))</f>
        <v/>
      </c>
      <c r="AD1383" s="17">
        <f>IF($B1383="","",TEXT($B1383,"MM/AAAA"))</f>
        <v/>
      </c>
      <c r="AE1383" s="18">
        <f>IF(COUNTA($B1383:$R1383)=0,"",IF($X1383="Cancelado",0,ROUND(N($Q1383)+N($S1383)+N($T1383)-N($U1383),2)))</f>
        <v/>
      </c>
      <c r="AF1383" s="9">
        <f>IF($G1383="","",IFERROR(INDEX(LINHAS_DRE_PLANO,MATCH($G1383,SUBCATEGORIAS_PLANO,0)),"Não classificado"))</f>
        <v/>
      </c>
      <c r="AG1383" s="17">
        <f>IF($G1383="","",IFERROR(INDEX(TIPOS_FLUXO_PLANO,MATCH($G1383,SUBCATEGORIAS_PLANO,0)),"Não classificado"))</f>
        <v/>
      </c>
      <c r="AH1383" s="9">
        <f>IF($G1383="","",IFERROR(INDEX(GRUPOS_PLANO,MATCH($G1383,SUBCATEGORIAS_PLANO,0)),"Não classificado"))</f>
        <v/>
      </c>
      <c r="AI1383" s="24">
        <f>IF(OR($C1383="",$X1383="Pago",$X1383="Recebido",$X1383="Cancelado"),"",$C1383-TODAY())</f>
        <v/>
      </c>
      <c r="AJ1383" s="24">
        <f>IF(OR($C1383="",$X1383="Pago",$X1383="Recebido",$X1383="Cancelado"),0,MAX(0,TODAY()-$C1383))</f>
        <v/>
      </c>
      <c r="AK1383" s="24">
        <f>IF($D1383="","",$D1383-$B1383)</f>
        <v/>
      </c>
      <c r="AL1383" s="18">
        <f>IF(OR($D1383="",$B1383=""),"",ROUND(N($R1383)*($D1383-$B1383),2))</f>
        <v/>
      </c>
      <c r="AM1383" s="17">
        <f>IF(AND($E1383="Saída",$W1383&gt;0,$C1383&lt;&gt;""),$C1383+ROW()/1000000,"")</f>
        <v/>
      </c>
      <c r="AN1383" s="17">
        <f>IF(AND($E1383="Entrada",$W1383&gt;0,$C1383&lt;&gt;""),$C1383+ROW()/1000000,"")</f>
        <v/>
      </c>
      <c r="AO1383" s="9">
        <f>IF(COUNTA($B1383:$R1383)=0,"",IF(AND($I1383&lt;&gt;"",COUNTIF(CLIENTES_NOMES,$I1383)+COUNTIF(CLIENTES_FANTASIA,$I1383)+COUNTIF(FORNECEDORES_NOMES,$I1383)+COUNTIF(FORNECEDORES_FANTASIA,$I1383)=0),"⚠ Cliente/Fornecedor não cadastrado",IF(AND($G1383&lt;&gt;"",COUNTIF(SUBCATEGORIAS_PLANO,$G1383)=0),"⚠ Subcategoria fora do plano de contas",IF(OR($Q1383="",N($Q1383)=0),"⚠ Valor previsto não informado",IF(AND(OR($X1383="Pago",$X1383="Recebido"),$D1383=""),"⚠ Status pago/recebido sem data",IF(AND($D1383&lt;&gt;"",N($R1383)=0),"⚠ Data de pagamento sem valor realizado",IF(AND(N($P1383)&gt;1,N($O1383)&gt;N($P1383)),"⚠ Nº da parcela maior que o total",IF(AND($C1383&lt;&gt;"",$B1383&lt;&gt;"",$C1383&lt;$B1383),"⚠ Vencimento anterior à competência","OK"))))))))</f>
        <v/>
      </c>
    </row>
    <row r="1384">
      <c r="A1384" s="14" t="n"/>
      <c r="B1384" s="36" t="n"/>
      <c r="C1384" s="36" t="n"/>
      <c r="D1384" s="36" t="n"/>
      <c r="E1384" s="14" t="n"/>
      <c r="F1384" s="29" t="n"/>
      <c r="G1384" s="29" t="n"/>
      <c r="H1384" s="29" t="n"/>
      <c r="I1384" s="29" t="n"/>
      <c r="J1384" s="29" t="n"/>
      <c r="K1384" s="14" t="n"/>
      <c r="L1384" s="29" t="n"/>
      <c r="M1384" s="14" t="n"/>
      <c r="N1384" s="29" t="n"/>
      <c r="O1384" s="13" t="n"/>
      <c r="P1384" s="13" t="n"/>
      <c r="Q1384" s="35" t="n"/>
      <c r="R1384" s="35" t="n"/>
      <c r="S1384" s="35" t="n"/>
      <c r="T1384" s="35" t="n"/>
      <c r="U1384" s="35" t="n"/>
      <c r="V1384" s="18">
        <f>IF(COUNTA($B1384:$R1384)=0,"",ROUND(N($R1384)+N($S1384)+N($T1384)-N($U1384),2))</f>
        <v/>
      </c>
      <c r="W1384" s="18">
        <f>IF(COUNTA($B1384:$R1384)=0,"",IF(OR($X1384="Pago",$X1384="Recebido",$X1384="Cancelado"),0,ROUND(N($Q1384)+N($S1384)+N($T1384)-N($U1384)-N($R1384),2)))</f>
        <v/>
      </c>
      <c r="X1384" s="14" t="n"/>
      <c r="Y1384" s="17">
        <f>IF(COUNTA($B1384:$R1384)=0,"",IF($X1384="Cancelado","Cancelado",IF(OR($X1384="Pago",$X1384="Recebido"),$X1384,IF(OR($X1384="Parcial",N($R1384)&gt;0),"Parcial",IF($C1384="","Sem vencimento",IF($C1384&lt;TODAY(),"Vencido",IF($C1384=TODAY(),"Vence hoje",IF($C1384&lt;=TODAY()+7,"Vence em 7 dias",IF($C1384&lt;=TODAY()+30,"Vence em 30 dias","Futuro")))))))))</f>
        <v/>
      </c>
      <c r="Z1384" s="24">
        <f>IF($B1384="","",MONTH($B1384))</f>
        <v/>
      </c>
      <c r="AA1384" s="24">
        <f>IF($B1384="","",YEAR($B1384))</f>
        <v/>
      </c>
      <c r="AB1384" s="24">
        <f>IF($B1384="","",ISOWEEKNUM($B1384))</f>
        <v/>
      </c>
      <c r="AC1384" s="17">
        <f>IF($B1384="","",CHOOSE(WEEKDAY($B1384,2),"Segunda","Terça","Quarta","Quinta","Sexta","Sábado","Domingo"))</f>
        <v/>
      </c>
      <c r="AD1384" s="17">
        <f>IF($B1384="","",TEXT($B1384,"MM/AAAA"))</f>
        <v/>
      </c>
      <c r="AE1384" s="18">
        <f>IF(COUNTA($B1384:$R1384)=0,"",IF($X1384="Cancelado",0,ROUND(N($Q1384)+N($S1384)+N($T1384)-N($U1384),2)))</f>
        <v/>
      </c>
      <c r="AF1384" s="9">
        <f>IF($G1384="","",IFERROR(INDEX(LINHAS_DRE_PLANO,MATCH($G1384,SUBCATEGORIAS_PLANO,0)),"Não classificado"))</f>
        <v/>
      </c>
      <c r="AG1384" s="17">
        <f>IF($G1384="","",IFERROR(INDEX(TIPOS_FLUXO_PLANO,MATCH($G1384,SUBCATEGORIAS_PLANO,0)),"Não classificado"))</f>
        <v/>
      </c>
      <c r="AH1384" s="9">
        <f>IF($G1384="","",IFERROR(INDEX(GRUPOS_PLANO,MATCH($G1384,SUBCATEGORIAS_PLANO,0)),"Não classificado"))</f>
        <v/>
      </c>
      <c r="AI1384" s="24">
        <f>IF(OR($C1384="",$X1384="Pago",$X1384="Recebido",$X1384="Cancelado"),"",$C1384-TODAY())</f>
        <v/>
      </c>
      <c r="AJ1384" s="24">
        <f>IF(OR($C1384="",$X1384="Pago",$X1384="Recebido",$X1384="Cancelado"),0,MAX(0,TODAY()-$C1384))</f>
        <v/>
      </c>
      <c r="AK1384" s="24">
        <f>IF($D1384="","",$D1384-$B1384)</f>
        <v/>
      </c>
      <c r="AL1384" s="18">
        <f>IF(OR($D1384="",$B1384=""),"",ROUND(N($R1384)*($D1384-$B1384),2))</f>
        <v/>
      </c>
      <c r="AM1384" s="17">
        <f>IF(AND($E1384="Saída",$W1384&gt;0,$C1384&lt;&gt;""),$C1384+ROW()/1000000,"")</f>
        <v/>
      </c>
      <c r="AN1384" s="17">
        <f>IF(AND($E1384="Entrada",$W1384&gt;0,$C1384&lt;&gt;""),$C1384+ROW()/1000000,"")</f>
        <v/>
      </c>
      <c r="AO1384" s="9">
        <f>IF(COUNTA($B1384:$R1384)=0,"",IF(AND($I1384&lt;&gt;"",COUNTIF(CLIENTES_NOMES,$I1384)+COUNTIF(CLIENTES_FANTASIA,$I1384)+COUNTIF(FORNECEDORES_NOMES,$I1384)+COUNTIF(FORNECEDORES_FANTASIA,$I1384)=0),"⚠ Cliente/Fornecedor não cadastrado",IF(AND($G1384&lt;&gt;"",COUNTIF(SUBCATEGORIAS_PLANO,$G1384)=0),"⚠ Subcategoria fora do plano de contas",IF(OR($Q1384="",N($Q1384)=0),"⚠ Valor previsto não informado",IF(AND(OR($X1384="Pago",$X1384="Recebido"),$D1384=""),"⚠ Status pago/recebido sem data",IF(AND($D1384&lt;&gt;"",N($R1384)=0),"⚠ Data de pagamento sem valor realizado",IF(AND(N($P1384)&gt;1,N($O1384)&gt;N($P1384)),"⚠ Nº da parcela maior que o total",IF(AND($C1384&lt;&gt;"",$B1384&lt;&gt;"",$C1384&lt;$B1384),"⚠ Vencimento anterior à competência","OK"))))))))</f>
        <v/>
      </c>
    </row>
    <row r="1385">
      <c r="A1385" s="14" t="n"/>
      <c r="B1385" s="36" t="n"/>
      <c r="C1385" s="36" t="n"/>
      <c r="D1385" s="36" t="n"/>
      <c r="E1385" s="14" t="n"/>
      <c r="F1385" s="29" t="n"/>
      <c r="G1385" s="29" t="n"/>
      <c r="H1385" s="29" t="n"/>
      <c r="I1385" s="29" t="n"/>
      <c r="J1385" s="29" t="n"/>
      <c r="K1385" s="14" t="n"/>
      <c r="L1385" s="29" t="n"/>
      <c r="M1385" s="14" t="n"/>
      <c r="N1385" s="29" t="n"/>
      <c r="O1385" s="13" t="n"/>
      <c r="P1385" s="13" t="n"/>
      <c r="Q1385" s="35" t="n"/>
      <c r="R1385" s="35" t="n"/>
      <c r="S1385" s="35" t="n"/>
      <c r="T1385" s="35" t="n"/>
      <c r="U1385" s="35" t="n"/>
      <c r="V1385" s="18">
        <f>IF(COUNTA($B1385:$R1385)=0,"",ROUND(N($R1385)+N($S1385)+N($T1385)-N($U1385),2))</f>
        <v/>
      </c>
      <c r="W1385" s="18">
        <f>IF(COUNTA($B1385:$R1385)=0,"",IF(OR($X1385="Pago",$X1385="Recebido",$X1385="Cancelado"),0,ROUND(N($Q1385)+N($S1385)+N($T1385)-N($U1385)-N($R1385),2)))</f>
        <v/>
      </c>
      <c r="X1385" s="14" t="n"/>
      <c r="Y1385" s="17">
        <f>IF(COUNTA($B1385:$R1385)=0,"",IF($X1385="Cancelado","Cancelado",IF(OR($X1385="Pago",$X1385="Recebido"),$X1385,IF(OR($X1385="Parcial",N($R1385)&gt;0),"Parcial",IF($C1385="","Sem vencimento",IF($C1385&lt;TODAY(),"Vencido",IF($C1385=TODAY(),"Vence hoje",IF($C1385&lt;=TODAY()+7,"Vence em 7 dias",IF($C1385&lt;=TODAY()+30,"Vence em 30 dias","Futuro")))))))))</f>
        <v/>
      </c>
      <c r="Z1385" s="24">
        <f>IF($B1385="","",MONTH($B1385))</f>
        <v/>
      </c>
      <c r="AA1385" s="24">
        <f>IF($B1385="","",YEAR($B1385))</f>
        <v/>
      </c>
      <c r="AB1385" s="24">
        <f>IF($B1385="","",ISOWEEKNUM($B1385))</f>
        <v/>
      </c>
      <c r="AC1385" s="17">
        <f>IF($B1385="","",CHOOSE(WEEKDAY($B1385,2),"Segunda","Terça","Quarta","Quinta","Sexta","Sábado","Domingo"))</f>
        <v/>
      </c>
      <c r="AD1385" s="17">
        <f>IF($B1385="","",TEXT($B1385,"MM/AAAA"))</f>
        <v/>
      </c>
      <c r="AE1385" s="18">
        <f>IF(COUNTA($B1385:$R1385)=0,"",IF($X1385="Cancelado",0,ROUND(N($Q1385)+N($S1385)+N($T1385)-N($U1385),2)))</f>
        <v/>
      </c>
      <c r="AF1385" s="9">
        <f>IF($G1385="","",IFERROR(INDEX(LINHAS_DRE_PLANO,MATCH($G1385,SUBCATEGORIAS_PLANO,0)),"Não classificado"))</f>
        <v/>
      </c>
      <c r="AG1385" s="17">
        <f>IF($G1385="","",IFERROR(INDEX(TIPOS_FLUXO_PLANO,MATCH($G1385,SUBCATEGORIAS_PLANO,0)),"Não classificado"))</f>
        <v/>
      </c>
      <c r="AH1385" s="9">
        <f>IF($G1385="","",IFERROR(INDEX(GRUPOS_PLANO,MATCH($G1385,SUBCATEGORIAS_PLANO,0)),"Não classificado"))</f>
        <v/>
      </c>
      <c r="AI1385" s="24">
        <f>IF(OR($C1385="",$X1385="Pago",$X1385="Recebido",$X1385="Cancelado"),"",$C1385-TODAY())</f>
        <v/>
      </c>
      <c r="AJ1385" s="24">
        <f>IF(OR($C1385="",$X1385="Pago",$X1385="Recebido",$X1385="Cancelado"),0,MAX(0,TODAY()-$C1385))</f>
        <v/>
      </c>
      <c r="AK1385" s="24">
        <f>IF($D1385="","",$D1385-$B1385)</f>
        <v/>
      </c>
      <c r="AL1385" s="18">
        <f>IF(OR($D1385="",$B1385=""),"",ROUND(N($R1385)*($D1385-$B1385),2))</f>
        <v/>
      </c>
      <c r="AM1385" s="17">
        <f>IF(AND($E1385="Saída",$W1385&gt;0,$C1385&lt;&gt;""),$C1385+ROW()/1000000,"")</f>
        <v/>
      </c>
      <c r="AN1385" s="17">
        <f>IF(AND($E1385="Entrada",$W1385&gt;0,$C1385&lt;&gt;""),$C1385+ROW()/1000000,"")</f>
        <v/>
      </c>
      <c r="AO1385" s="9">
        <f>IF(COUNTA($B1385:$R1385)=0,"",IF(AND($I1385&lt;&gt;"",COUNTIF(CLIENTES_NOMES,$I1385)+COUNTIF(CLIENTES_FANTASIA,$I1385)+COUNTIF(FORNECEDORES_NOMES,$I1385)+COUNTIF(FORNECEDORES_FANTASIA,$I1385)=0),"⚠ Cliente/Fornecedor não cadastrado",IF(AND($G1385&lt;&gt;"",COUNTIF(SUBCATEGORIAS_PLANO,$G1385)=0),"⚠ Subcategoria fora do plano de contas",IF(OR($Q1385="",N($Q1385)=0),"⚠ Valor previsto não informado",IF(AND(OR($X1385="Pago",$X1385="Recebido"),$D1385=""),"⚠ Status pago/recebido sem data",IF(AND($D1385&lt;&gt;"",N($R1385)=0),"⚠ Data de pagamento sem valor realizado",IF(AND(N($P1385)&gt;1,N($O1385)&gt;N($P1385)),"⚠ Nº da parcela maior que o total",IF(AND($C1385&lt;&gt;"",$B1385&lt;&gt;"",$C1385&lt;$B1385),"⚠ Vencimento anterior à competência","OK"))))))))</f>
        <v/>
      </c>
    </row>
    <row r="1386">
      <c r="A1386" s="14" t="n"/>
      <c r="B1386" s="36" t="n"/>
      <c r="C1386" s="36" t="n"/>
      <c r="D1386" s="36" t="n"/>
      <c r="E1386" s="14" t="n"/>
      <c r="F1386" s="29" t="n"/>
      <c r="G1386" s="29" t="n"/>
      <c r="H1386" s="29" t="n"/>
      <c r="I1386" s="29" t="n"/>
      <c r="J1386" s="29" t="n"/>
      <c r="K1386" s="14" t="n"/>
      <c r="L1386" s="29" t="n"/>
      <c r="M1386" s="14" t="n"/>
      <c r="N1386" s="29" t="n"/>
      <c r="O1386" s="13" t="n"/>
      <c r="P1386" s="13" t="n"/>
      <c r="Q1386" s="35" t="n"/>
      <c r="R1386" s="35" t="n"/>
      <c r="S1386" s="35" t="n"/>
      <c r="T1386" s="35" t="n"/>
      <c r="U1386" s="35" t="n"/>
      <c r="V1386" s="18">
        <f>IF(COUNTA($B1386:$R1386)=0,"",ROUND(N($R1386)+N($S1386)+N($T1386)-N($U1386),2))</f>
        <v/>
      </c>
      <c r="W1386" s="18">
        <f>IF(COUNTA($B1386:$R1386)=0,"",IF(OR($X1386="Pago",$X1386="Recebido",$X1386="Cancelado"),0,ROUND(N($Q1386)+N($S1386)+N($T1386)-N($U1386)-N($R1386),2)))</f>
        <v/>
      </c>
      <c r="X1386" s="14" t="n"/>
      <c r="Y1386" s="17">
        <f>IF(COUNTA($B1386:$R1386)=0,"",IF($X1386="Cancelado","Cancelado",IF(OR($X1386="Pago",$X1386="Recebido"),$X1386,IF(OR($X1386="Parcial",N($R1386)&gt;0),"Parcial",IF($C1386="","Sem vencimento",IF($C1386&lt;TODAY(),"Vencido",IF($C1386=TODAY(),"Vence hoje",IF($C1386&lt;=TODAY()+7,"Vence em 7 dias",IF($C1386&lt;=TODAY()+30,"Vence em 30 dias","Futuro")))))))))</f>
        <v/>
      </c>
      <c r="Z1386" s="24">
        <f>IF($B1386="","",MONTH($B1386))</f>
        <v/>
      </c>
      <c r="AA1386" s="24">
        <f>IF($B1386="","",YEAR($B1386))</f>
        <v/>
      </c>
      <c r="AB1386" s="24">
        <f>IF($B1386="","",ISOWEEKNUM($B1386))</f>
        <v/>
      </c>
      <c r="AC1386" s="17">
        <f>IF($B1386="","",CHOOSE(WEEKDAY($B1386,2),"Segunda","Terça","Quarta","Quinta","Sexta","Sábado","Domingo"))</f>
        <v/>
      </c>
      <c r="AD1386" s="17">
        <f>IF($B1386="","",TEXT($B1386,"MM/AAAA"))</f>
        <v/>
      </c>
      <c r="AE1386" s="18">
        <f>IF(COUNTA($B1386:$R1386)=0,"",IF($X1386="Cancelado",0,ROUND(N($Q1386)+N($S1386)+N($T1386)-N($U1386),2)))</f>
        <v/>
      </c>
      <c r="AF1386" s="9">
        <f>IF($G1386="","",IFERROR(INDEX(LINHAS_DRE_PLANO,MATCH($G1386,SUBCATEGORIAS_PLANO,0)),"Não classificado"))</f>
        <v/>
      </c>
      <c r="AG1386" s="17">
        <f>IF($G1386="","",IFERROR(INDEX(TIPOS_FLUXO_PLANO,MATCH($G1386,SUBCATEGORIAS_PLANO,0)),"Não classificado"))</f>
        <v/>
      </c>
      <c r="AH1386" s="9">
        <f>IF($G1386="","",IFERROR(INDEX(GRUPOS_PLANO,MATCH($G1386,SUBCATEGORIAS_PLANO,0)),"Não classificado"))</f>
        <v/>
      </c>
      <c r="AI1386" s="24">
        <f>IF(OR($C1386="",$X1386="Pago",$X1386="Recebido",$X1386="Cancelado"),"",$C1386-TODAY())</f>
        <v/>
      </c>
      <c r="AJ1386" s="24">
        <f>IF(OR($C1386="",$X1386="Pago",$X1386="Recebido",$X1386="Cancelado"),0,MAX(0,TODAY()-$C1386))</f>
        <v/>
      </c>
      <c r="AK1386" s="24">
        <f>IF($D1386="","",$D1386-$B1386)</f>
        <v/>
      </c>
      <c r="AL1386" s="18">
        <f>IF(OR($D1386="",$B1386=""),"",ROUND(N($R1386)*($D1386-$B1386),2))</f>
        <v/>
      </c>
      <c r="AM1386" s="17">
        <f>IF(AND($E1386="Saída",$W1386&gt;0,$C1386&lt;&gt;""),$C1386+ROW()/1000000,"")</f>
        <v/>
      </c>
      <c r="AN1386" s="17">
        <f>IF(AND($E1386="Entrada",$W1386&gt;0,$C1386&lt;&gt;""),$C1386+ROW()/1000000,"")</f>
        <v/>
      </c>
      <c r="AO1386" s="9">
        <f>IF(COUNTA($B1386:$R1386)=0,"",IF(AND($I1386&lt;&gt;"",COUNTIF(CLIENTES_NOMES,$I1386)+COUNTIF(CLIENTES_FANTASIA,$I1386)+COUNTIF(FORNECEDORES_NOMES,$I1386)+COUNTIF(FORNECEDORES_FANTASIA,$I1386)=0),"⚠ Cliente/Fornecedor não cadastrado",IF(AND($G1386&lt;&gt;"",COUNTIF(SUBCATEGORIAS_PLANO,$G1386)=0),"⚠ Subcategoria fora do plano de contas",IF(OR($Q1386="",N($Q1386)=0),"⚠ Valor previsto não informado",IF(AND(OR($X1386="Pago",$X1386="Recebido"),$D1386=""),"⚠ Status pago/recebido sem data",IF(AND($D1386&lt;&gt;"",N($R1386)=0),"⚠ Data de pagamento sem valor realizado",IF(AND(N($P1386)&gt;1,N($O1386)&gt;N($P1386)),"⚠ Nº da parcela maior que o total",IF(AND($C1386&lt;&gt;"",$B1386&lt;&gt;"",$C1386&lt;$B1386),"⚠ Vencimento anterior à competência","OK"))))))))</f>
        <v/>
      </c>
    </row>
    <row r="1387">
      <c r="A1387" s="14" t="n"/>
      <c r="B1387" s="36" t="n"/>
      <c r="C1387" s="36" t="n"/>
      <c r="D1387" s="36" t="n"/>
      <c r="E1387" s="14" t="n"/>
      <c r="F1387" s="29" t="n"/>
      <c r="G1387" s="29" t="n"/>
      <c r="H1387" s="29" t="n"/>
      <c r="I1387" s="29" t="n"/>
      <c r="J1387" s="29" t="n"/>
      <c r="K1387" s="14" t="n"/>
      <c r="L1387" s="29" t="n"/>
      <c r="M1387" s="14" t="n"/>
      <c r="N1387" s="29" t="n"/>
      <c r="O1387" s="13" t="n"/>
      <c r="P1387" s="13" t="n"/>
      <c r="Q1387" s="35" t="n"/>
      <c r="R1387" s="35" t="n"/>
      <c r="S1387" s="35" t="n"/>
      <c r="T1387" s="35" t="n"/>
      <c r="U1387" s="35" t="n"/>
      <c r="V1387" s="18">
        <f>IF(COUNTA($B1387:$R1387)=0,"",ROUND(N($R1387)+N($S1387)+N($T1387)-N($U1387),2))</f>
        <v/>
      </c>
      <c r="W1387" s="18">
        <f>IF(COUNTA($B1387:$R1387)=0,"",IF(OR($X1387="Pago",$X1387="Recebido",$X1387="Cancelado"),0,ROUND(N($Q1387)+N($S1387)+N($T1387)-N($U1387)-N($R1387),2)))</f>
        <v/>
      </c>
      <c r="X1387" s="14" t="n"/>
      <c r="Y1387" s="17">
        <f>IF(COUNTA($B1387:$R1387)=0,"",IF($X1387="Cancelado","Cancelado",IF(OR($X1387="Pago",$X1387="Recebido"),$X1387,IF(OR($X1387="Parcial",N($R1387)&gt;0),"Parcial",IF($C1387="","Sem vencimento",IF($C1387&lt;TODAY(),"Vencido",IF($C1387=TODAY(),"Vence hoje",IF($C1387&lt;=TODAY()+7,"Vence em 7 dias",IF($C1387&lt;=TODAY()+30,"Vence em 30 dias","Futuro")))))))))</f>
        <v/>
      </c>
      <c r="Z1387" s="24">
        <f>IF($B1387="","",MONTH($B1387))</f>
        <v/>
      </c>
      <c r="AA1387" s="24">
        <f>IF($B1387="","",YEAR($B1387))</f>
        <v/>
      </c>
      <c r="AB1387" s="24">
        <f>IF($B1387="","",ISOWEEKNUM($B1387))</f>
        <v/>
      </c>
      <c r="AC1387" s="17">
        <f>IF($B1387="","",CHOOSE(WEEKDAY($B1387,2),"Segunda","Terça","Quarta","Quinta","Sexta","Sábado","Domingo"))</f>
        <v/>
      </c>
      <c r="AD1387" s="17">
        <f>IF($B1387="","",TEXT($B1387,"MM/AAAA"))</f>
        <v/>
      </c>
      <c r="AE1387" s="18">
        <f>IF(COUNTA($B1387:$R1387)=0,"",IF($X1387="Cancelado",0,ROUND(N($Q1387)+N($S1387)+N($T1387)-N($U1387),2)))</f>
        <v/>
      </c>
      <c r="AF1387" s="9">
        <f>IF($G1387="","",IFERROR(INDEX(LINHAS_DRE_PLANO,MATCH($G1387,SUBCATEGORIAS_PLANO,0)),"Não classificado"))</f>
        <v/>
      </c>
      <c r="AG1387" s="17">
        <f>IF($G1387="","",IFERROR(INDEX(TIPOS_FLUXO_PLANO,MATCH($G1387,SUBCATEGORIAS_PLANO,0)),"Não classificado"))</f>
        <v/>
      </c>
      <c r="AH1387" s="9">
        <f>IF($G1387="","",IFERROR(INDEX(GRUPOS_PLANO,MATCH($G1387,SUBCATEGORIAS_PLANO,0)),"Não classificado"))</f>
        <v/>
      </c>
      <c r="AI1387" s="24">
        <f>IF(OR($C1387="",$X1387="Pago",$X1387="Recebido",$X1387="Cancelado"),"",$C1387-TODAY())</f>
        <v/>
      </c>
      <c r="AJ1387" s="24">
        <f>IF(OR($C1387="",$X1387="Pago",$X1387="Recebido",$X1387="Cancelado"),0,MAX(0,TODAY()-$C1387))</f>
        <v/>
      </c>
      <c r="AK1387" s="24">
        <f>IF($D1387="","",$D1387-$B1387)</f>
        <v/>
      </c>
      <c r="AL1387" s="18">
        <f>IF(OR($D1387="",$B1387=""),"",ROUND(N($R1387)*($D1387-$B1387),2))</f>
        <v/>
      </c>
      <c r="AM1387" s="17">
        <f>IF(AND($E1387="Saída",$W1387&gt;0,$C1387&lt;&gt;""),$C1387+ROW()/1000000,"")</f>
        <v/>
      </c>
      <c r="AN1387" s="17">
        <f>IF(AND($E1387="Entrada",$W1387&gt;0,$C1387&lt;&gt;""),$C1387+ROW()/1000000,"")</f>
        <v/>
      </c>
      <c r="AO1387" s="9">
        <f>IF(COUNTA($B1387:$R1387)=0,"",IF(AND($I1387&lt;&gt;"",COUNTIF(CLIENTES_NOMES,$I1387)+COUNTIF(CLIENTES_FANTASIA,$I1387)+COUNTIF(FORNECEDORES_NOMES,$I1387)+COUNTIF(FORNECEDORES_FANTASIA,$I1387)=0),"⚠ Cliente/Fornecedor não cadastrado",IF(AND($G1387&lt;&gt;"",COUNTIF(SUBCATEGORIAS_PLANO,$G1387)=0),"⚠ Subcategoria fora do plano de contas",IF(OR($Q1387="",N($Q1387)=0),"⚠ Valor previsto não informado",IF(AND(OR($X1387="Pago",$X1387="Recebido"),$D1387=""),"⚠ Status pago/recebido sem data",IF(AND($D1387&lt;&gt;"",N($R1387)=0),"⚠ Data de pagamento sem valor realizado",IF(AND(N($P1387)&gt;1,N($O1387)&gt;N($P1387)),"⚠ Nº da parcela maior que o total",IF(AND($C1387&lt;&gt;"",$B1387&lt;&gt;"",$C1387&lt;$B1387),"⚠ Vencimento anterior à competência","OK"))))))))</f>
        <v/>
      </c>
    </row>
    <row r="1388">
      <c r="A1388" s="14" t="n"/>
      <c r="B1388" s="36" t="n"/>
      <c r="C1388" s="36" t="n"/>
      <c r="D1388" s="36" t="n"/>
      <c r="E1388" s="14" t="n"/>
      <c r="F1388" s="29" t="n"/>
      <c r="G1388" s="29" t="n"/>
      <c r="H1388" s="29" t="n"/>
      <c r="I1388" s="29" t="n"/>
      <c r="J1388" s="29" t="n"/>
      <c r="K1388" s="14" t="n"/>
      <c r="L1388" s="29" t="n"/>
      <c r="M1388" s="14" t="n"/>
      <c r="N1388" s="29" t="n"/>
      <c r="O1388" s="13" t="n"/>
      <c r="P1388" s="13" t="n"/>
      <c r="Q1388" s="35" t="n"/>
      <c r="R1388" s="35" t="n"/>
      <c r="S1388" s="35" t="n"/>
      <c r="T1388" s="35" t="n"/>
      <c r="U1388" s="35" t="n"/>
      <c r="V1388" s="18">
        <f>IF(COUNTA($B1388:$R1388)=0,"",ROUND(N($R1388)+N($S1388)+N($T1388)-N($U1388),2))</f>
        <v/>
      </c>
      <c r="W1388" s="18">
        <f>IF(COUNTA($B1388:$R1388)=0,"",IF(OR($X1388="Pago",$X1388="Recebido",$X1388="Cancelado"),0,ROUND(N($Q1388)+N($S1388)+N($T1388)-N($U1388)-N($R1388),2)))</f>
        <v/>
      </c>
      <c r="X1388" s="14" t="n"/>
      <c r="Y1388" s="17">
        <f>IF(COUNTA($B1388:$R1388)=0,"",IF($X1388="Cancelado","Cancelado",IF(OR($X1388="Pago",$X1388="Recebido"),$X1388,IF(OR($X1388="Parcial",N($R1388)&gt;0),"Parcial",IF($C1388="","Sem vencimento",IF($C1388&lt;TODAY(),"Vencido",IF($C1388=TODAY(),"Vence hoje",IF($C1388&lt;=TODAY()+7,"Vence em 7 dias",IF($C1388&lt;=TODAY()+30,"Vence em 30 dias","Futuro")))))))))</f>
        <v/>
      </c>
      <c r="Z1388" s="24">
        <f>IF($B1388="","",MONTH($B1388))</f>
        <v/>
      </c>
      <c r="AA1388" s="24">
        <f>IF($B1388="","",YEAR($B1388))</f>
        <v/>
      </c>
      <c r="AB1388" s="24">
        <f>IF($B1388="","",ISOWEEKNUM($B1388))</f>
        <v/>
      </c>
      <c r="AC1388" s="17">
        <f>IF($B1388="","",CHOOSE(WEEKDAY($B1388,2),"Segunda","Terça","Quarta","Quinta","Sexta","Sábado","Domingo"))</f>
        <v/>
      </c>
      <c r="AD1388" s="17">
        <f>IF($B1388="","",TEXT($B1388,"MM/AAAA"))</f>
        <v/>
      </c>
      <c r="AE1388" s="18">
        <f>IF(COUNTA($B1388:$R1388)=0,"",IF($X1388="Cancelado",0,ROUND(N($Q1388)+N($S1388)+N($T1388)-N($U1388),2)))</f>
        <v/>
      </c>
      <c r="AF1388" s="9">
        <f>IF($G1388="","",IFERROR(INDEX(LINHAS_DRE_PLANO,MATCH($G1388,SUBCATEGORIAS_PLANO,0)),"Não classificado"))</f>
        <v/>
      </c>
      <c r="AG1388" s="17">
        <f>IF($G1388="","",IFERROR(INDEX(TIPOS_FLUXO_PLANO,MATCH($G1388,SUBCATEGORIAS_PLANO,0)),"Não classificado"))</f>
        <v/>
      </c>
      <c r="AH1388" s="9">
        <f>IF($G1388="","",IFERROR(INDEX(GRUPOS_PLANO,MATCH($G1388,SUBCATEGORIAS_PLANO,0)),"Não classificado"))</f>
        <v/>
      </c>
      <c r="AI1388" s="24">
        <f>IF(OR($C1388="",$X1388="Pago",$X1388="Recebido",$X1388="Cancelado"),"",$C1388-TODAY())</f>
        <v/>
      </c>
      <c r="AJ1388" s="24">
        <f>IF(OR($C1388="",$X1388="Pago",$X1388="Recebido",$X1388="Cancelado"),0,MAX(0,TODAY()-$C1388))</f>
        <v/>
      </c>
      <c r="AK1388" s="24">
        <f>IF($D1388="","",$D1388-$B1388)</f>
        <v/>
      </c>
      <c r="AL1388" s="18">
        <f>IF(OR($D1388="",$B1388=""),"",ROUND(N($R1388)*($D1388-$B1388),2))</f>
        <v/>
      </c>
      <c r="AM1388" s="17">
        <f>IF(AND($E1388="Saída",$W1388&gt;0,$C1388&lt;&gt;""),$C1388+ROW()/1000000,"")</f>
        <v/>
      </c>
      <c r="AN1388" s="17">
        <f>IF(AND($E1388="Entrada",$W1388&gt;0,$C1388&lt;&gt;""),$C1388+ROW()/1000000,"")</f>
        <v/>
      </c>
      <c r="AO1388" s="9">
        <f>IF(COUNTA($B1388:$R1388)=0,"",IF(AND($I1388&lt;&gt;"",COUNTIF(CLIENTES_NOMES,$I1388)+COUNTIF(CLIENTES_FANTASIA,$I1388)+COUNTIF(FORNECEDORES_NOMES,$I1388)+COUNTIF(FORNECEDORES_FANTASIA,$I1388)=0),"⚠ Cliente/Fornecedor não cadastrado",IF(AND($G1388&lt;&gt;"",COUNTIF(SUBCATEGORIAS_PLANO,$G1388)=0),"⚠ Subcategoria fora do plano de contas",IF(OR($Q1388="",N($Q1388)=0),"⚠ Valor previsto não informado",IF(AND(OR($X1388="Pago",$X1388="Recebido"),$D1388=""),"⚠ Status pago/recebido sem data",IF(AND($D1388&lt;&gt;"",N($R1388)=0),"⚠ Data de pagamento sem valor realizado",IF(AND(N($P1388)&gt;1,N($O1388)&gt;N($P1388)),"⚠ Nº da parcela maior que o total",IF(AND($C1388&lt;&gt;"",$B1388&lt;&gt;"",$C1388&lt;$B1388),"⚠ Vencimento anterior à competência","OK"))))))))</f>
        <v/>
      </c>
    </row>
    <row r="1389">
      <c r="A1389" s="14" t="n"/>
      <c r="B1389" s="36" t="n"/>
      <c r="C1389" s="36" t="n"/>
      <c r="D1389" s="36" t="n"/>
      <c r="E1389" s="14" t="n"/>
      <c r="F1389" s="29" t="n"/>
      <c r="G1389" s="29" t="n"/>
      <c r="H1389" s="29" t="n"/>
      <c r="I1389" s="29" t="n"/>
      <c r="J1389" s="29" t="n"/>
      <c r="K1389" s="14" t="n"/>
      <c r="L1389" s="29" t="n"/>
      <c r="M1389" s="14" t="n"/>
      <c r="N1389" s="29" t="n"/>
      <c r="O1389" s="13" t="n"/>
      <c r="P1389" s="13" t="n"/>
      <c r="Q1389" s="35" t="n"/>
      <c r="R1389" s="35" t="n"/>
      <c r="S1389" s="35" t="n"/>
      <c r="T1389" s="35" t="n"/>
      <c r="U1389" s="35" t="n"/>
      <c r="V1389" s="18">
        <f>IF(COUNTA($B1389:$R1389)=0,"",ROUND(N($R1389)+N($S1389)+N($T1389)-N($U1389),2))</f>
        <v/>
      </c>
      <c r="W1389" s="18">
        <f>IF(COUNTA($B1389:$R1389)=0,"",IF(OR($X1389="Pago",$X1389="Recebido",$X1389="Cancelado"),0,ROUND(N($Q1389)+N($S1389)+N($T1389)-N($U1389)-N($R1389),2)))</f>
        <v/>
      </c>
      <c r="X1389" s="14" t="n"/>
      <c r="Y1389" s="17">
        <f>IF(COUNTA($B1389:$R1389)=0,"",IF($X1389="Cancelado","Cancelado",IF(OR($X1389="Pago",$X1389="Recebido"),$X1389,IF(OR($X1389="Parcial",N($R1389)&gt;0),"Parcial",IF($C1389="","Sem vencimento",IF($C1389&lt;TODAY(),"Vencido",IF($C1389=TODAY(),"Vence hoje",IF($C1389&lt;=TODAY()+7,"Vence em 7 dias",IF($C1389&lt;=TODAY()+30,"Vence em 30 dias","Futuro")))))))))</f>
        <v/>
      </c>
      <c r="Z1389" s="24">
        <f>IF($B1389="","",MONTH($B1389))</f>
        <v/>
      </c>
      <c r="AA1389" s="24">
        <f>IF($B1389="","",YEAR($B1389))</f>
        <v/>
      </c>
      <c r="AB1389" s="24">
        <f>IF($B1389="","",ISOWEEKNUM($B1389))</f>
        <v/>
      </c>
      <c r="AC1389" s="17">
        <f>IF($B1389="","",CHOOSE(WEEKDAY($B1389,2),"Segunda","Terça","Quarta","Quinta","Sexta","Sábado","Domingo"))</f>
        <v/>
      </c>
      <c r="AD1389" s="17">
        <f>IF($B1389="","",TEXT($B1389,"MM/AAAA"))</f>
        <v/>
      </c>
      <c r="AE1389" s="18">
        <f>IF(COUNTA($B1389:$R1389)=0,"",IF($X1389="Cancelado",0,ROUND(N($Q1389)+N($S1389)+N($T1389)-N($U1389),2)))</f>
        <v/>
      </c>
      <c r="AF1389" s="9">
        <f>IF($G1389="","",IFERROR(INDEX(LINHAS_DRE_PLANO,MATCH($G1389,SUBCATEGORIAS_PLANO,0)),"Não classificado"))</f>
        <v/>
      </c>
      <c r="AG1389" s="17">
        <f>IF($G1389="","",IFERROR(INDEX(TIPOS_FLUXO_PLANO,MATCH($G1389,SUBCATEGORIAS_PLANO,0)),"Não classificado"))</f>
        <v/>
      </c>
      <c r="AH1389" s="9">
        <f>IF($G1389="","",IFERROR(INDEX(GRUPOS_PLANO,MATCH($G1389,SUBCATEGORIAS_PLANO,0)),"Não classificado"))</f>
        <v/>
      </c>
      <c r="AI1389" s="24">
        <f>IF(OR($C1389="",$X1389="Pago",$X1389="Recebido",$X1389="Cancelado"),"",$C1389-TODAY())</f>
        <v/>
      </c>
      <c r="AJ1389" s="24">
        <f>IF(OR($C1389="",$X1389="Pago",$X1389="Recebido",$X1389="Cancelado"),0,MAX(0,TODAY()-$C1389))</f>
        <v/>
      </c>
      <c r="AK1389" s="24">
        <f>IF($D1389="","",$D1389-$B1389)</f>
        <v/>
      </c>
      <c r="AL1389" s="18">
        <f>IF(OR($D1389="",$B1389=""),"",ROUND(N($R1389)*($D1389-$B1389),2))</f>
        <v/>
      </c>
      <c r="AM1389" s="17">
        <f>IF(AND($E1389="Saída",$W1389&gt;0,$C1389&lt;&gt;""),$C1389+ROW()/1000000,"")</f>
        <v/>
      </c>
      <c r="AN1389" s="17">
        <f>IF(AND($E1389="Entrada",$W1389&gt;0,$C1389&lt;&gt;""),$C1389+ROW()/1000000,"")</f>
        <v/>
      </c>
      <c r="AO1389" s="9">
        <f>IF(COUNTA($B1389:$R1389)=0,"",IF(AND($I1389&lt;&gt;"",COUNTIF(CLIENTES_NOMES,$I1389)+COUNTIF(CLIENTES_FANTASIA,$I1389)+COUNTIF(FORNECEDORES_NOMES,$I1389)+COUNTIF(FORNECEDORES_FANTASIA,$I1389)=0),"⚠ Cliente/Fornecedor não cadastrado",IF(AND($G1389&lt;&gt;"",COUNTIF(SUBCATEGORIAS_PLANO,$G1389)=0),"⚠ Subcategoria fora do plano de contas",IF(OR($Q1389="",N($Q1389)=0),"⚠ Valor previsto não informado",IF(AND(OR($X1389="Pago",$X1389="Recebido"),$D1389=""),"⚠ Status pago/recebido sem data",IF(AND($D1389&lt;&gt;"",N($R1389)=0),"⚠ Data de pagamento sem valor realizado",IF(AND(N($P1389)&gt;1,N($O1389)&gt;N($P1389)),"⚠ Nº da parcela maior que o total",IF(AND($C1389&lt;&gt;"",$B1389&lt;&gt;"",$C1389&lt;$B1389),"⚠ Vencimento anterior à competência","OK"))))))))</f>
        <v/>
      </c>
    </row>
    <row r="1390">
      <c r="A1390" s="14" t="n"/>
      <c r="B1390" s="36" t="n"/>
      <c r="C1390" s="36" t="n"/>
      <c r="D1390" s="36" t="n"/>
      <c r="E1390" s="14" t="n"/>
      <c r="F1390" s="29" t="n"/>
      <c r="G1390" s="29" t="n"/>
      <c r="H1390" s="29" t="n"/>
      <c r="I1390" s="29" t="n"/>
      <c r="J1390" s="29" t="n"/>
      <c r="K1390" s="14" t="n"/>
      <c r="L1390" s="29" t="n"/>
      <c r="M1390" s="14" t="n"/>
      <c r="N1390" s="29" t="n"/>
      <c r="O1390" s="13" t="n"/>
      <c r="P1390" s="13" t="n"/>
      <c r="Q1390" s="35" t="n"/>
      <c r="R1390" s="35" t="n"/>
      <c r="S1390" s="35" t="n"/>
      <c r="T1390" s="35" t="n"/>
      <c r="U1390" s="35" t="n"/>
      <c r="V1390" s="18">
        <f>IF(COUNTA($B1390:$R1390)=0,"",ROUND(N($R1390)+N($S1390)+N($T1390)-N($U1390),2))</f>
        <v/>
      </c>
      <c r="W1390" s="18">
        <f>IF(COUNTA($B1390:$R1390)=0,"",IF(OR($X1390="Pago",$X1390="Recebido",$X1390="Cancelado"),0,ROUND(N($Q1390)+N($S1390)+N($T1390)-N($U1390)-N($R1390),2)))</f>
        <v/>
      </c>
      <c r="X1390" s="14" t="n"/>
      <c r="Y1390" s="17">
        <f>IF(COUNTA($B1390:$R1390)=0,"",IF($X1390="Cancelado","Cancelado",IF(OR($X1390="Pago",$X1390="Recebido"),$X1390,IF(OR($X1390="Parcial",N($R1390)&gt;0),"Parcial",IF($C1390="","Sem vencimento",IF($C1390&lt;TODAY(),"Vencido",IF($C1390=TODAY(),"Vence hoje",IF($C1390&lt;=TODAY()+7,"Vence em 7 dias",IF($C1390&lt;=TODAY()+30,"Vence em 30 dias","Futuro")))))))))</f>
        <v/>
      </c>
      <c r="Z1390" s="24">
        <f>IF($B1390="","",MONTH($B1390))</f>
        <v/>
      </c>
      <c r="AA1390" s="24">
        <f>IF($B1390="","",YEAR($B1390))</f>
        <v/>
      </c>
      <c r="AB1390" s="24">
        <f>IF($B1390="","",ISOWEEKNUM($B1390))</f>
        <v/>
      </c>
      <c r="AC1390" s="17">
        <f>IF($B1390="","",CHOOSE(WEEKDAY($B1390,2),"Segunda","Terça","Quarta","Quinta","Sexta","Sábado","Domingo"))</f>
        <v/>
      </c>
      <c r="AD1390" s="17">
        <f>IF($B1390="","",TEXT($B1390,"MM/AAAA"))</f>
        <v/>
      </c>
      <c r="AE1390" s="18">
        <f>IF(COUNTA($B1390:$R1390)=0,"",IF($X1390="Cancelado",0,ROUND(N($Q1390)+N($S1390)+N($T1390)-N($U1390),2)))</f>
        <v/>
      </c>
      <c r="AF1390" s="9">
        <f>IF($G1390="","",IFERROR(INDEX(LINHAS_DRE_PLANO,MATCH($G1390,SUBCATEGORIAS_PLANO,0)),"Não classificado"))</f>
        <v/>
      </c>
      <c r="AG1390" s="17">
        <f>IF($G1390="","",IFERROR(INDEX(TIPOS_FLUXO_PLANO,MATCH($G1390,SUBCATEGORIAS_PLANO,0)),"Não classificado"))</f>
        <v/>
      </c>
      <c r="AH1390" s="9">
        <f>IF($G1390="","",IFERROR(INDEX(GRUPOS_PLANO,MATCH($G1390,SUBCATEGORIAS_PLANO,0)),"Não classificado"))</f>
        <v/>
      </c>
      <c r="AI1390" s="24">
        <f>IF(OR($C1390="",$X1390="Pago",$X1390="Recebido",$X1390="Cancelado"),"",$C1390-TODAY())</f>
        <v/>
      </c>
      <c r="AJ1390" s="24">
        <f>IF(OR($C1390="",$X1390="Pago",$X1390="Recebido",$X1390="Cancelado"),0,MAX(0,TODAY()-$C1390))</f>
        <v/>
      </c>
      <c r="AK1390" s="24">
        <f>IF($D1390="","",$D1390-$B1390)</f>
        <v/>
      </c>
      <c r="AL1390" s="18">
        <f>IF(OR($D1390="",$B1390=""),"",ROUND(N($R1390)*($D1390-$B1390),2))</f>
        <v/>
      </c>
      <c r="AM1390" s="17">
        <f>IF(AND($E1390="Saída",$W1390&gt;0,$C1390&lt;&gt;""),$C1390+ROW()/1000000,"")</f>
        <v/>
      </c>
      <c r="AN1390" s="17">
        <f>IF(AND($E1390="Entrada",$W1390&gt;0,$C1390&lt;&gt;""),$C1390+ROW()/1000000,"")</f>
        <v/>
      </c>
      <c r="AO1390" s="9">
        <f>IF(COUNTA($B1390:$R1390)=0,"",IF(AND($I1390&lt;&gt;"",COUNTIF(CLIENTES_NOMES,$I1390)+COUNTIF(CLIENTES_FANTASIA,$I1390)+COUNTIF(FORNECEDORES_NOMES,$I1390)+COUNTIF(FORNECEDORES_FANTASIA,$I1390)=0),"⚠ Cliente/Fornecedor não cadastrado",IF(AND($G1390&lt;&gt;"",COUNTIF(SUBCATEGORIAS_PLANO,$G1390)=0),"⚠ Subcategoria fora do plano de contas",IF(OR($Q1390="",N($Q1390)=0),"⚠ Valor previsto não informado",IF(AND(OR($X1390="Pago",$X1390="Recebido"),$D1390=""),"⚠ Status pago/recebido sem data",IF(AND($D1390&lt;&gt;"",N($R1390)=0),"⚠ Data de pagamento sem valor realizado",IF(AND(N($P1390)&gt;1,N($O1390)&gt;N($P1390)),"⚠ Nº da parcela maior que o total",IF(AND($C1390&lt;&gt;"",$B1390&lt;&gt;"",$C1390&lt;$B1390),"⚠ Vencimento anterior à competência","OK"))))))))</f>
        <v/>
      </c>
    </row>
    <row r="1391">
      <c r="A1391" s="14" t="n"/>
      <c r="B1391" s="36" t="n"/>
      <c r="C1391" s="36" t="n"/>
      <c r="D1391" s="36" t="n"/>
      <c r="E1391" s="14" t="n"/>
      <c r="F1391" s="29" t="n"/>
      <c r="G1391" s="29" t="n"/>
      <c r="H1391" s="29" t="n"/>
      <c r="I1391" s="29" t="n"/>
      <c r="J1391" s="29" t="n"/>
      <c r="K1391" s="14" t="n"/>
      <c r="L1391" s="29" t="n"/>
      <c r="M1391" s="14" t="n"/>
      <c r="N1391" s="29" t="n"/>
      <c r="O1391" s="13" t="n"/>
      <c r="P1391" s="13" t="n"/>
      <c r="Q1391" s="35" t="n"/>
      <c r="R1391" s="35" t="n"/>
      <c r="S1391" s="35" t="n"/>
      <c r="T1391" s="35" t="n"/>
      <c r="U1391" s="35" t="n"/>
      <c r="V1391" s="18">
        <f>IF(COUNTA($B1391:$R1391)=0,"",ROUND(N($R1391)+N($S1391)+N($T1391)-N($U1391),2))</f>
        <v/>
      </c>
      <c r="W1391" s="18">
        <f>IF(COUNTA($B1391:$R1391)=0,"",IF(OR($X1391="Pago",$X1391="Recebido",$X1391="Cancelado"),0,ROUND(N($Q1391)+N($S1391)+N($T1391)-N($U1391)-N($R1391),2)))</f>
        <v/>
      </c>
      <c r="X1391" s="14" t="n"/>
      <c r="Y1391" s="17">
        <f>IF(COUNTA($B1391:$R1391)=0,"",IF($X1391="Cancelado","Cancelado",IF(OR($X1391="Pago",$X1391="Recebido"),$X1391,IF(OR($X1391="Parcial",N($R1391)&gt;0),"Parcial",IF($C1391="","Sem vencimento",IF($C1391&lt;TODAY(),"Vencido",IF($C1391=TODAY(),"Vence hoje",IF($C1391&lt;=TODAY()+7,"Vence em 7 dias",IF($C1391&lt;=TODAY()+30,"Vence em 30 dias","Futuro")))))))))</f>
        <v/>
      </c>
      <c r="Z1391" s="24">
        <f>IF($B1391="","",MONTH($B1391))</f>
        <v/>
      </c>
      <c r="AA1391" s="24">
        <f>IF($B1391="","",YEAR($B1391))</f>
        <v/>
      </c>
      <c r="AB1391" s="24">
        <f>IF($B1391="","",ISOWEEKNUM($B1391))</f>
        <v/>
      </c>
      <c r="AC1391" s="17">
        <f>IF($B1391="","",CHOOSE(WEEKDAY($B1391,2),"Segunda","Terça","Quarta","Quinta","Sexta","Sábado","Domingo"))</f>
        <v/>
      </c>
      <c r="AD1391" s="17">
        <f>IF($B1391="","",TEXT($B1391,"MM/AAAA"))</f>
        <v/>
      </c>
      <c r="AE1391" s="18">
        <f>IF(COUNTA($B1391:$R1391)=0,"",IF($X1391="Cancelado",0,ROUND(N($Q1391)+N($S1391)+N($T1391)-N($U1391),2)))</f>
        <v/>
      </c>
      <c r="AF1391" s="9">
        <f>IF($G1391="","",IFERROR(INDEX(LINHAS_DRE_PLANO,MATCH($G1391,SUBCATEGORIAS_PLANO,0)),"Não classificado"))</f>
        <v/>
      </c>
      <c r="AG1391" s="17">
        <f>IF($G1391="","",IFERROR(INDEX(TIPOS_FLUXO_PLANO,MATCH($G1391,SUBCATEGORIAS_PLANO,0)),"Não classificado"))</f>
        <v/>
      </c>
      <c r="AH1391" s="9">
        <f>IF($G1391="","",IFERROR(INDEX(GRUPOS_PLANO,MATCH($G1391,SUBCATEGORIAS_PLANO,0)),"Não classificado"))</f>
        <v/>
      </c>
      <c r="AI1391" s="24">
        <f>IF(OR($C1391="",$X1391="Pago",$X1391="Recebido",$X1391="Cancelado"),"",$C1391-TODAY())</f>
        <v/>
      </c>
      <c r="AJ1391" s="24">
        <f>IF(OR($C1391="",$X1391="Pago",$X1391="Recebido",$X1391="Cancelado"),0,MAX(0,TODAY()-$C1391))</f>
        <v/>
      </c>
      <c r="AK1391" s="24">
        <f>IF($D1391="","",$D1391-$B1391)</f>
        <v/>
      </c>
      <c r="AL1391" s="18">
        <f>IF(OR($D1391="",$B1391=""),"",ROUND(N($R1391)*($D1391-$B1391),2))</f>
        <v/>
      </c>
      <c r="AM1391" s="17">
        <f>IF(AND($E1391="Saída",$W1391&gt;0,$C1391&lt;&gt;""),$C1391+ROW()/1000000,"")</f>
        <v/>
      </c>
      <c r="AN1391" s="17">
        <f>IF(AND($E1391="Entrada",$W1391&gt;0,$C1391&lt;&gt;""),$C1391+ROW()/1000000,"")</f>
        <v/>
      </c>
      <c r="AO1391" s="9">
        <f>IF(COUNTA($B1391:$R1391)=0,"",IF(AND($I1391&lt;&gt;"",COUNTIF(CLIENTES_NOMES,$I1391)+COUNTIF(CLIENTES_FANTASIA,$I1391)+COUNTIF(FORNECEDORES_NOMES,$I1391)+COUNTIF(FORNECEDORES_FANTASIA,$I1391)=0),"⚠ Cliente/Fornecedor não cadastrado",IF(AND($G1391&lt;&gt;"",COUNTIF(SUBCATEGORIAS_PLANO,$G1391)=0),"⚠ Subcategoria fora do plano de contas",IF(OR($Q1391="",N($Q1391)=0),"⚠ Valor previsto não informado",IF(AND(OR($X1391="Pago",$X1391="Recebido"),$D1391=""),"⚠ Status pago/recebido sem data",IF(AND($D1391&lt;&gt;"",N($R1391)=0),"⚠ Data de pagamento sem valor realizado",IF(AND(N($P1391)&gt;1,N($O1391)&gt;N($P1391)),"⚠ Nº da parcela maior que o total",IF(AND($C1391&lt;&gt;"",$B1391&lt;&gt;"",$C1391&lt;$B1391),"⚠ Vencimento anterior à competência","OK"))))))))</f>
        <v/>
      </c>
    </row>
    <row r="1392">
      <c r="A1392" s="14" t="n"/>
      <c r="B1392" s="36" t="n"/>
      <c r="C1392" s="36" t="n"/>
      <c r="D1392" s="36" t="n"/>
      <c r="E1392" s="14" t="n"/>
      <c r="F1392" s="29" t="n"/>
      <c r="G1392" s="29" t="n"/>
      <c r="H1392" s="29" t="n"/>
      <c r="I1392" s="29" t="n"/>
      <c r="J1392" s="29" t="n"/>
      <c r="K1392" s="14" t="n"/>
      <c r="L1392" s="29" t="n"/>
      <c r="M1392" s="14" t="n"/>
      <c r="N1392" s="29" t="n"/>
      <c r="O1392" s="13" t="n"/>
      <c r="P1392" s="13" t="n"/>
      <c r="Q1392" s="35" t="n"/>
      <c r="R1392" s="35" t="n"/>
      <c r="S1392" s="35" t="n"/>
      <c r="T1392" s="35" t="n"/>
      <c r="U1392" s="35" t="n"/>
      <c r="V1392" s="18">
        <f>IF(COUNTA($B1392:$R1392)=0,"",ROUND(N($R1392)+N($S1392)+N($T1392)-N($U1392),2))</f>
        <v/>
      </c>
      <c r="W1392" s="18">
        <f>IF(COUNTA($B1392:$R1392)=0,"",IF(OR($X1392="Pago",$X1392="Recebido",$X1392="Cancelado"),0,ROUND(N($Q1392)+N($S1392)+N($T1392)-N($U1392)-N($R1392),2)))</f>
        <v/>
      </c>
      <c r="X1392" s="14" t="n"/>
      <c r="Y1392" s="17">
        <f>IF(COUNTA($B1392:$R1392)=0,"",IF($X1392="Cancelado","Cancelado",IF(OR($X1392="Pago",$X1392="Recebido"),$X1392,IF(OR($X1392="Parcial",N($R1392)&gt;0),"Parcial",IF($C1392="","Sem vencimento",IF($C1392&lt;TODAY(),"Vencido",IF($C1392=TODAY(),"Vence hoje",IF($C1392&lt;=TODAY()+7,"Vence em 7 dias",IF($C1392&lt;=TODAY()+30,"Vence em 30 dias","Futuro")))))))))</f>
        <v/>
      </c>
      <c r="Z1392" s="24">
        <f>IF($B1392="","",MONTH($B1392))</f>
        <v/>
      </c>
      <c r="AA1392" s="24">
        <f>IF($B1392="","",YEAR($B1392))</f>
        <v/>
      </c>
      <c r="AB1392" s="24">
        <f>IF($B1392="","",ISOWEEKNUM($B1392))</f>
        <v/>
      </c>
      <c r="AC1392" s="17">
        <f>IF($B1392="","",CHOOSE(WEEKDAY($B1392,2),"Segunda","Terça","Quarta","Quinta","Sexta","Sábado","Domingo"))</f>
        <v/>
      </c>
      <c r="AD1392" s="17">
        <f>IF($B1392="","",TEXT($B1392,"MM/AAAA"))</f>
        <v/>
      </c>
      <c r="AE1392" s="18">
        <f>IF(COUNTA($B1392:$R1392)=0,"",IF($X1392="Cancelado",0,ROUND(N($Q1392)+N($S1392)+N($T1392)-N($U1392),2)))</f>
        <v/>
      </c>
      <c r="AF1392" s="9">
        <f>IF($G1392="","",IFERROR(INDEX(LINHAS_DRE_PLANO,MATCH($G1392,SUBCATEGORIAS_PLANO,0)),"Não classificado"))</f>
        <v/>
      </c>
      <c r="AG1392" s="17">
        <f>IF($G1392="","",IFERROR(INDEX(TIPOS_FLUXO_PLANO,MATCH($G1392,SUBCATEGORIAS_PLANO,0)),"Não classificado"))</f>
        <v/>
      </c>
      <c r="AH1392" s="9">
        <f>IF($G1392="","",IFERROR(INDEX(GRUPOS_PLANO,MATCH($G1392,SUBCATEGORIAS_PLANO,0)),"Não classificado"))</f>
        <v/>
      </c>
      <c r="AI1392" s="24">
        <f>IF(OR($C1392="",$X1392="Pago",$X1392="Recebido",$X1392="Cancelado"),"",$C1392-TODAY())</f>
        <v/>
      </c>
      <c r="AJ1392" s="24">
        <f>IF(OR($C1392="",$X1392="Pago",$X1392="Recebido",$X1392="Cancelado"),0,MAX(0,TODAY()-$C1392))</f>
        <v/>
      </c>
      <c r="AK1392" s="24">
        <f>IF($D1392="","",$D1392-$B1392)</f>
        <v/>
      </c>
      <c r="AL1392" s="18">
        <f>IF(OR($D1392="",$B1392=""),"",ROUND(N($R1392)*($D1392-$B1392),2))</f>
        <v/>
      </c>
      <c r="AM1392" s="17">
        <f>IF(AND($E1392="Saída",$W1392&gt;0,$C1392&lt;&gt;""),$C1392+ROW()/1000000,"")</f>
        <v/>
      </c>
      <c r="AN1392" s="17">
        <f>IF(AND($E1392="Entrada",$W1392&gt;0,$C1392&lt;&gt;""),$C1392+ROW()/1000000,"")</f>
        <v/>
      </c>
      <c r="AO1392" s="9">
        <f>IF(COUNTA($B1392:$R1392)=0,"",IF(AND($I1392&lt;&gt;"",COUNTIF(CLIENTES_NOMES,$I1392)+COUNTIF(CLIENTES_FANTASIA,$I1392)+COUNTIF(FORNECEDORES_NOMES,$I1392)+COUNTIF(FORNECEDORES_FANTASIA,$I1392)=0),"⚠ Cliente/Fornecedor não cadastrado",IF(AND($G1392&lt;&gt;"",COUNTIF(SUBCATEGORIAS_PLANO,$G1392)=0),"⚠ Subcategoria fora do plano de contas",IF(OR($Q1392="",N($Q1392)=0),"⚠ Valor previsto não informado",IF(AND(OR($X1392="Pago",$X1392="Recebido"),$D1392=""),"⚠ Status pago/recebido sem data",IF(AND($D1392&lt;&gt;"",N($R1392)=0),"⚠ Data de pagamento sem valor realizado",IF(AND(N($P1392)&gt;1,N($O1392)&gt;N($P1392)),"⚠ Nº da parcela maior que o total",IF(AND($C1392&lt;&gt;"",$B1392&lt;&gt;"",$C1392&lt;$B1392),"⚠ Vencimento anterior à competência","OK"))))))))</f>
        <v/>
      </c>
    </row>
    <row r="1393">
      <c r="A1393" s="14" t="n"/>
      <c r="B1393" s="36" t="n"/>
      <c r="C1393" s="36" t="n"/>
      <c r="D1393" s="36" t="n"/>
      <c r="E1393" s="14" t="n"/>
      <c r="F1393" s="29" t="n"/>
      <c r="G1393" s="29" t="n"/>
      <c r="H1393" s="29" t="n"/>
      <c r="I1393" s="29" t="n"/>
      <c r="J1393" s="29" t="n"/>
      <c r="K1393" s="14" t="n"/>
      <c r="L1393" s="29" t="n"/>
      <c r="M1393" s="14" t="n"/>
      <c r="N1393" s="29" t="n"/>
      <c r="O1393" s="13" t="n"/>
      <c r="P1393" s="13" t="n"/>
      <c r="Q1393" s="35" t="n"/>
      <c r="R1393" s="35" t="n"/>
      <c r="S1393" s="35" t="n"/>
      <c r="T1393" s="35" t="n"/>
      <c r="U1393" s="35" t="n"/>
      <c r="V1393" s="18">
        <f>IF(COUNTA($B1393:$R1393)=0,"",ROUND(N($R1393)+N($S1393)+N($T1393)-N($U1393),2))</f>
        <v/>
      </c>
      <c r="W1393" s="18">
        <f>IF(COUNTA($B1393:$R1393)=0,"",IF(OR($X1393="Pago",$X1393="Recebido",$X1393="Cancelado"),0,ROUND(N($Q1393)+N($S1393)+N($T1393)-N($U1393)-N($R1393),2)))</f>
        <v/>
      </c>
      <c r="X1393" s="14" t="n"/>
      <c r="Y1393" s="17">
        <f>IF(COUNTA($B1393:$R1393)=0,"",IF($X1393="Cancelado","Cancelado",IF(OR($X1393="Pago",$X1393="Recebido"),$X1393,IF(OR($X1393="Parcial",N($R1393)&gt;0),"Parcial",IF($C1393="","Sem vencimento",IF($C1393&lt;TODAY(),"Vencido",IF($C1393=TODAY(),"Vence hoje",IF($C1393&lt;=TODAY()+7,"Vence em 7 dias",IF($C1393&lt;=TODAY()+30,"Vence em 30 dias","Futuro")))))))))</f>
        <v/>
      </c>
      <c r="Z1393" s="24">
        <f>IF($B1393="","",MONTH($B1393))</f>
        <v/>
      </c>
      <c r="AA1393" s="24">
        <f>IF($B1393="","",YEAR($B1393))</f>
        <v/>
      </c>
      <c r="AB1393" s="24">
        <f>IF($B1393="","",ISOWEEKNUM($B1393))</f>
        <v/>
      </c>
      <c r="AC1393" s="17">
        <f>IF($B1393="","",CHOOSE(WEEKDAY($B1393,2),"Segunda","Terça","Quarta","Quinta","Sexta","Sábado","Domingo"))</f>
        <v/>
      </c>
      <c r="AD1393" s="17">
        <f>IF($B1393="","",TEXT($B1393,"MM/AAAA"))</f>
        <v/>
      </c>
      <c r="AE1393" s="18">
        <f>IF(COUNTA($B1393:$R1393)=0,"",IF($X1393="Cancelado",0,ROUND(N($Q1393)+N($S1393)+N($T1393)-N($U1393),2)))</f>
        <v/>
      </c>
      <c r="AF1393" s="9">
        <f>IF($G1393="","",IFERROR(INDEX(LINHAS_DRE_PLANO,MATCH($G1393,SUBCATEGORIAS_PLANO,0)),"Não classificado"))</f>
        <v/>
      </c>
      <c r="AG1393" s="17">
        <f>IF($G1393="","",IFERROR(INDEX(TIPOS_FLUXO_PLANO,MATCH($G1393,SUBCATEGORIAS_PLANO,0)),"Não classificado"))</f>
        <v/>
      </c>
      <c r="AH1393" s="9">
        <f>IF($G1393="","",IFERROR(INDEX(GRUPOS_PLANO,MATCH($G1393,SUBCATEGORIAS_PLANO,0)),"Não classificado"))</f>
        <v/>
      </c>
      <c r="AI1393" s="24">
        <f>IF(OR($C1393="",$X1393="Pago",$X1393="Recebido",$X1393="Cancelado"),"",$C1393-TODAY())</f>
        <v/>
      </c>
      <c r="AJ1393" s="24">
        <f>IF(OR($C1393="",$X1393="Pago",$X1393="Recebido",$X1393="Cancelado"),0,MAX(0,TODAY()-$C1393))</f>
        <v/>
      </c>
      <c r="AK1393" s="24">
        <f>IF($D1393="","",$D1393-$B1393)</f>
        <v/>
      </c>
      <c r="AL1393" s="18">
        <f>IF(OR($D1393="",$B1393=""),"",ROUND(N($R1393)*($D1393-$B1393),2))</f>
        <v/>
      </c>
      <c r="AM1393" s="17">
        <f>IF(AND($E1393="Saída",$W1393&gt;0,$C1393&lt;&gt;""),$C1393+ROW()/1000000,"")</f>
        <v/>
      </c>
      <c r="AN1393" s="17">
        <f>IF(AND($E1393="Entrada",$W1393&gt;0,$C1393&lt;&gt;""),$C1393+ROW()/1000000,"")</f>
        <v/>
      </c>
      <c r="AO1393" s="9">
        <f>IF(COUNTA($B1393:$R1393)=0,"",IF(AND($I1393&lt;&gt;"",COUNTIF(CLIENTES_NOMES,$I1393)+COUNTIF(CLIENTES_FANTASIA,$I1393)+COUNTIF(FORNECEDORES_NOMES,$I1393)+COUNTIF(FORNECEDORES_FANTASIA,$I1393)=0),"⚠ Cliente/Fornecedor não cadastrado",IF(AND($G1393&lt;&gt;"",COUNTIF(SUBCATEGORIAS_PLANO,$G1393)=0),"⚠ Subcategoria fora do plano de contas",IF(OR($Q1393="",N($Q1393)=0),"⚠ Valor previsto não informado",IF(AND(OR($X1393="Pago",$X1393="Recebido"),$D1393=""),"⚠ Status pago/recebido sem data",IF(AND($D1393&lt;&gt;"",N($R1393)=0),"⚠ Data de pagamento sem valor realizado",IF(AND(N($P1393)&gt;1,N($O1393)&gt;N($P1393)),"⚠ Nº da parcela maior que o total",IF(AND($C1393&lt;&gt;"",$B1393&lt;&gt;"",$C1393&lt;$B1393),"⚠ Vencimento anterior à competência","OK"))))))))</f>
        <v/>
      </c>
    </row>
    <row r="1394">
      <c r="A1394" s="14" t="n"/>
      <c r="B1394" s="36" t="n"/>
      <c r="C1394" s="36" t="n"/>
      <c r="D1394" s="36" t="n"/>
      <c r="E1394" s="14" t="n"/>
      <c r="F1394" s="29" t="n"/>
      <c r="G1394" s="29" t="n"/>
      <c r="H1394" s="29" t="n"/>
      <c r="I1394" s="29" t="n"/>
      <c r="J1394" s="29" t="n"/>
      <c r="K1394" s="14" t="n"/>
      <c r="L1394" s="29" t="n"/>
      <c r="M1394" s="14" t="n"/>
      <c r="N1394" s="29" t="n"/>
      <c r="O1394" s="13" t="n"/>
      <c r="P1394" s="13" t="n"/>
      <c r="Q1394" s="35" t="n"/>
      <c r="R1394" s="35" t="n"/>
      <c r="S1394" s="35" t="n"/>
      <c r="T1394" s="35" t="n"/>
      <c r="U1394" s="35" t="n"/>
      <c r="V1394" s="18">
        <f>IF(COUNTA($B1394:$R1394)=0,"",ROUND(N($R1394)+N($S1394)+N($T1394)-N($U1394),2))</f>
        <v/>
      </c>
      <c r="W1394" s="18">
        <f>IF(COUNTA($B1394:$R1394)=0,"",IF(OR($X1394="Pago",$X1394="Recebido",$X1394="Cancelado"),0,ROUND(N($Q1394)+N($S1394)+N($T1394)-N($U1394)-N($R1394),2)))</f>
        <v/>
      </c>
      <c r="X1394" s="14" t="n"/>
      <c r="Y1394" s="17">
        <f>IF(COUNTA($B1394:$R1394)=0,"",IF($X1394="Cancelado","Cancelado",IF(OR($X1394="Pago",$X1394="Recebido"),$X1394,IF(OR($X1394="Parcial",N($R1394)&gt;0),"Parcial",IF($C1394="","Sem vencimento",IF($C1394&lt;TODAY(),"Vencido",IF($C1394=TODAY(),"Vence hoje",IF($C1394&lt;=TODAY()+7,"Vence em 7 dias",IF($C1394&lt;=TODAY()+30,"Vence em 30 dias","Futuro")))))))))</f>
        <v/>
      </c>
      <c r="Z1394" s="24">
        <f>IF($B1394="","",MONTH($B1394))</f>
        <v/>
      </c>
      <c r="AA1394" s="24">
        <f>IF($B1394="","",YEAR($B1394))</f>
        <v/>
      </c>
      <c r="AB1394" s="24">
        <f>IF($B1394="","",ISOWEEKNUM($B1394))</f>
        <v/>
      </c>
      <c r="AC1394" s="17">
        <f>IF($B1394="","",CHOOSE(WEEKDAY($B1394,2),"Segunda","Terça","Quarta","Quinta","Sexta","Sábado","Domingo"))</f>
        <v/>
      </c>
      <c r="AD1394" s="17">
        <f>IF($B1394="","",TEXT($B1394,"MM/AAAA"))</f>
        <v/>
      </c>
      <c r="AE1394" s="18">
        <f>IF(COUNTA($B1394:$R1394)=0,"",IF($X1394="Cancelado",0,ROUND(N($Q1394)+N($S1394)+N($T1394)-N($U1394),2)))</f>
        <v/>
      </c>
      <c r="AF1394" s="9">
        <f>IF($G1394="","",IFERROR(INDEX(LINHAS_DRE_PLANO,MATCH($G1394,SUBCATEGORIAS_PLANO,0)),"Não classificado"))</f>
        <v/>
      </c>
      <c r="AG1394" s="17">
        <f>IF($G1394="","",IFERROR(INDEX(TIPOS_FLUXO_PLANO,MATCH($G1394,SUBCATEGORIAS_PLANO,0)),"Não classificado"))</f>
        <v/>
      </c>
      <c r="AH1394" s="9">
        <f>IF($G1394="","",IFERROR(INDEX(GRUPOS_PLANO,MATCH($G1394,SUBCATEGORIAS_PLANO,0)),"Não classificado"))</f>
        <v/>
      </c>
      <c r="AI1394" s="24">
        <f>IF(OR($C1394="",$X1394="Pago",$X1394="Recebido",$X1394="Cancelado"),"",$C1394-TODAY())</f>
        <v/>
      </c>
      <c r="AJ1394" s="24">
        <f>IF(OR($C1394="",$X1394="Pago",$X1394="Recebido",$X1394="Cancelado"),0,MAX(0,TODAY()-$C1394))</f>
        <v/>
      </c>
      <c r="AK1394" s="24">
        <f>IF($D1394="","",$D1394-$B1394)</f>
        <v/>
      </c>
      <c r="AL1394" s="18">
        <f>IF(OR($D1394="",$B1394=""),"",ROUND(N($R1394)*($D1394-$B1394),2))</f>
        <v/>
      </c>
      <c r="AM1394" s="17">
        <f>IF(AND($E1394="Saída",$W1394&gt;0,$C1394&lt;&gt;""),$C1394+ROW()/1000000,"")</f>
        <v/>
      </c>
      <c r="AN1394" s="17">
        <f>IF(AND($E1394="Entrada",$W1394&gt;0,$C1394&lt;&gt;""),$C1394+ROW()/1000000,"")</f>
        <v/>
      </c>
      <c r="AO1394" s="9">
        <f>IF(COUNTA($B1394:$R1394)=0,"",IF(AND($I1394&lt;&gt;"",COUNTIF(CLIENTES_NOMES,$I1394)+COUNTIF(CLIENTES_FANTASIA,$I1394)+COUNTIF(FORNECEDORES_NOMES,$I1394)+COUNTIF(FORNECEDORES_FANTASIA,$I1394)=0),"⚠ Cliente/Fornecedor não cadastrado",IF(AND($G1394&lt;&gt;"",COUNTIF(SUBCATEGORIAS_PLANO,$G1394)=0),"⚠ Subcategoria fora do plano de contas",IF(OR($Q1394="",N($Q1394)=0),"⚠ Valor previsto não informado",IF(AND(OR($X1394="Pago",$X1394="Recebido"),$D1394=""),"⚠ Status pago/recebido sem data",IF(AND($D1394&lt;&gt;"",N($R1394)=0),"⚠ Data de pagamento sem valor realizado",IF(AND(N($P1394)&gt;1,N($O1394)&gt;N($P1394)),"⚠ Nº da parcela maior que o total",IF(AND($C1394&lt;&gt;"",$B1394&lt;&gt;"",$C1394&lt;$B1394),"⚠ Vencimento anterior à competência","OK"))))))))</f>
        <v/>
      </c>
    </row>
    <row r="1395">
      <c r="A1395" s="14" t="n"/>
      <c r="B1395" s="36" t="n"/>
      <c r="C1395" s="36" t="n"/>
      <c r="D1395" s="36" t="n"/>
      <c r="E1395" s="14" t="n"/>
      <c r="F1395" s="29" t="n"/>
      <c r="G1395" s="29" t="n"/>
      <c r="H1395" s="29" t="n"/>
      <c r="I1395" s="29" t="n"/>
      <c r="J1395" s="29" t="n"/>
      <c r="K1395" s="14" t="n"/>
      <c r="L1395" s="29" t="n"/>
      <c r="M1395" s="14" t="n"/>
      <c r="N1395" s="29" t="n"/>
      <c r="O1395" s="13" t="n"/>
      <c r="P1395" s="13" t="n"/>
      <c r="Q1395" s="35" t="n"/>
      <c r="R1395" s="35" t="n"/>
      <c r="S1395" s="35" t="n"/>
      <c r="T1395" s="35" t="n"/>
      <c r="U1395" s="35" t="n"/>
      <c r="V1395" s="18">
        <f>IF(COUNTA($B1395:$R1395)=0,"",ROUND(N($R1395)+N($S1395)+N($T1395)-N($U1395),2))</f>
        <v/>
      </c>
      <c r="W1395" s="18">
        <f>IF(COUNTA($B1395:$R1395)=0,"",IF(OR($X1395="Pago",$X1395="Recebido",$X1395="Cancelado"),0,ROUND(N($Q1395)+N($S1395)+N($T1395)-N($U1395)-N($R1395),2)))</f>
        <v/>
      </c>
      <c r="X1395" s="14" t="n"/>
      <c r="Y1395" s="17">
        <f>IF(COUNTA($B1395:$R1395)=0,"",IF($X1395="Cancelado","Cancelado",IF(OR($X1395="Pago",$X1395="Recebido"),$X1395,IF(OR($X1395="Parcial",N($R1395)&gt;0),"Parcial",IF($C1395="","Sem vencimento",IF($C1395&lt;TODAY(),"Vencido",IF($C1395=TODAY(),"Vence hoje",IF($C1395&lt;=TODAY()+7,"Vence em 7 dias",IF($C1395&lt;=TODAY()+30,"Vence em 30 dias","Futuro")))))))))</f>
        <v/>
      </c>
      <c r="Z1395" s="24">
        <f>IF($B1395="","",MONTH($B1395))</f>
        <v/>
      </c>
      <c r="AA1395" s="24">
        <f>IF($B1395="","",YEAR($B1395))</f>
        <v/>
      </c>
      <c r="AB1395" s="24">
        <f>IF($B1395="","",ISOWEEKNUM($B1395))</f>
        <v/>
      </c>
      <c r="AC1395" s="17">
        <f>IF($B1395="","",CHOOSE(WEEKDAY($B1395,2),"Segunda","Terça","Quarta","Quinta","Sexta","Sábado","Domingo"))</f>
        <v/>
      </c>
      <c r="AD1395" s="17">
        <f>IF($B1395="","",TEXT($B1395,"MM/AAAA"))</f>
        <v/>
      </c>
      <c r="AE1395" s="18">
        <f>IF(COUNTA($B1395:$R1395)=0,"",IF($X1395="Cancelado",0,ROUND(N($Q1395)+N($S1395)+N($T1395)-N($U1395),2)))</f>
        <v/>
      </c>
      <c r="AF1395" s="9">
        <f>IF($G1395="","",IFERROR(INDEX(LINHAS_DRE_PLANO,MATCH($G1395,SUBCATEGORIAS_PLANO,0)),"Não classificado"))</f>
        <v/>
      </c>
      <c r="AG1395" s="17">
        <f>IF($G1395="","",IFERROR(INDEX(TIPOS_FLUXO_PLANO,MATCH($G1395,SUBCATEGORIAS_PLANO,0)),"Não classificado"))</f>
        <v/>
      </c>
      <c r="AH1395" s="9">
        <f>IF($G1395="","",IFERROR(INDEX(GRUPOS_PLANO,MATCH($G1395,SUBCATEGORIAS_PLANO,0)),"Não classificado"))</f>
        <v/>
      </c>
      <c r="AI1395" s="24">
        <f>IF(OR($C1395="",$X1395="Pago",$X1395="Recebido",$X1395="Cancelado"),"",$C1395-TODAY())</f>
        <v/>
      </c>
      <c r="AJ1395" s="24">
        <f>IF(OR($C1395="",$X1395="Pago",$X1395="Recebido",$X1395="Cancelado"),0,MAX(0,TODAY()-$C1395))</f>
        <v/>
      </c>
      <c r="AK1395" s="24">
        <f>IF($D1395="","",$D1395-$B1395)</f>
        <v/>
      </c>
      <c r="AL1395" s="18">
        <f>IF(OR($D1395="",$B1395=""),"",ROUND(N($R1395)*($D1395-$B1395),2))</f>
        <v/>
      </c>
      <c r="AM1395" s="17">
        <f>IF(AND($E1395="Saída",$W1395&gt;0,$C1395&lt;&gt;""),$C1395+ROW()/1000000,"")</f>
        <v/>
      </c>
      <c r="AN1395" s="17">
        <f>IF(AND($E1395="Entrada",$W1395&gt;0,$C1395&lt;&gt;""),$C1395+ROW()/1000000,"")</f>
        <v/>
      </c>
      <c r="AO1395" s="9">
        <f>IF(COUNTA($B1395:$R1395)=0,"",IF(AND($I1395&lt;&gt;"",COUNTIF(CLIENTES_NOMES,$I1395)+COUNTIF(CLIENTES_FANTASIA,$I1395)+COUNTIF(FORNECEDORES_NOMES,$I1395)+COUNTIF(FORNECEDORES_FANTASIA,$I1395)=0),"⚠ Cliente/Fornecedor não cadastrado",IF(AND($G1395&lt;&gt;"",COUNTIF(SUBCATEGORIAS_PLANO,$G1395)=0),"⚠ Subcategoria fora do plano de contas",IF(OR($Q1395="",N($Q1395)=0),"⚠ Valor previsto não informado",IF(AND(OR($X1395="Pago",$X1395="Recebido"),$D1395=""),"⚠ Status pago/recebido sem data",IF(AND($D1395&lt;&gt;"",N($R1395)=0),"⚠ Data de pagamento sem valor realizado",IF(AND(N($P1395)&gt;1,N($O1395)&gt;N($P1395)),"⚠ Nº da parcela maior que o total",IF(AND($C1395&lt;&gt;"",$B1395&lt;&gt;"",$C1395&lt;$B1395),"⚠ Vencimento anterior à competência","OK"))))))))</f>
        <v/>
      </c>
    </row>
    <row r="1396">
      <c r="A1396" s="14" t="n"/>
      <c r="B1396" s="36" t="n"/>
      <c r="C1396" s="36" t="n"/>
      <c r="D1396" s="36" t="n"/>
      <c r="E1396" s="14" t="n"/>
      <c r="F1396" s="29" t="n"/>
      <c r="G1396" s="29" t="n"/>
      <c r="H1396" s="29" t="n"/>
      <c r="I1396" s="29" t="n"/>
      <c r="J1396" s="29" t="n"/>
      <c r="K1396" s="14" t="n"/>
      <c r="L1396" s="29" t="n"/>
      <c r="M1396" s="14" t="n"/>
      <c r="N1396" s="29" t="n"/>
      <c r="O1396" s="13" t="n"/>
      <c r="P1396" s="13" t="n"/>
      <c r="Q1396" s="35" t="n"/>
      <c r="R1396" s="35" t="n"/>
      <c r="S1396" s="35" t="n"/>
      <c r="T1396" s="35" t="n"/>
      <c r="U1396" s="35" t="n"/>
      <c r="V1396" s="18">
        <f>IF(COUNTA($B1396:$R1396)=0,"",ROUND(N($R1396)+N($S1396)+N($T1396)-N($U1396),2))</f>
        <v/>
      </c>
      <c r="W1396" s="18">
        <f>IF(COUNTA($B1396:$R1396)=0,"",IF(OR($X1396="Pago",$X1396="Recebido",$X1396="Cancelado"),0,ROUND(N($Q1396)+N($S1396)+N($T1396)-N($U1396)-N($R1396),2)))</f>
        <v/>
      </c>
      <c r="X1396" s="14" t="n"/>
      <c r="Y1396" s="17">
        <f>IF(COUNTA($B1396:$R1396)=0,"",IF($X1396="Cancelado","Cancelado",IF(OR($X1396="Pago",$X1396="Recebido"),$X1396,IF(OR($X1396="Parcial",N($R1396)&gt;0),"Parcial",IF($C1396="","Sem vencimento",IF($C1396&lt;TODAY(),"Vencido",IF($C1396=TODAY(),"Vence hoje",IF($C1396&lt;=TODAY()+7,"Vence em 7 dias",IF($C1396&lt;=TODAY()+30,"Vence em 30 dias","Futuro")))))))))</f>
        <v/>
      </c>
      <c r="Z1396" s="24">
        <f>IF($B1396="","",MONTH($B1396))</f>
        <v/>
      </c>
      <c r="AA1396" s="24">
        <f>IF($B1396="","",YEAR($B1396))</f>
        <v/>
      </c>
      <c r="AB1396" s="24">
        <f>IF($B1396="","",ISOWEEKNUM($B1396))</f>
        <v/>
      </c>
      <c r="AC1396" s="17">
        <f>IF($B1396="","",CHOOSE(WEEKDAY($B1396,2),"Segunda","Terça","Quarta","Quinta","Sexta","Sábado","Domingo"))</f>
        <v/>
      </c>
      <c r="AD1396" s="17">
        <f>IF($B1396="","",TEXT($B1396,"MM/AAAA"))</f>
        <v/>
      </c>
      <c r="AE1396" s="18">
        <f>IF(COUNTA($B1396:$R1396)=0,"",IF($X1396="Cancelado",0,ROUND(N($Q1396)+N($S1396)+N($T1396)-N($U1396),2)))</f>
        <v/>
      </c>
      <c r="AF1396" s="9">
        <f>IF($G1396="","",IFERROR(INDEX(LINHAS_DRE_PLANO,MATCH($G1396,SUBCATEGORIAS_PLANO,0)),"Não classificado"))</f>
        <v/>
      </c>
      <c r="AG1396" s="17">
        <f>IF($G1396="","",IFERROR(INDEX(TIPOS_FLUXO_PLANO,MATCH($G1396,SUBCATEGORIAS_PLANO,0)),"Não classificado"))</f>
        <v/>
      </c>
      <c r="AH1396" s="9">
        <f>IF($G1396="","",IFERROR(INDEX(GRUPOS_PLANO,MATCH($G1396,SUBCATEGORIAS_PLANO,0)),"Não classificado"))</f>
        <v/>
      </c>
      <c r="AI1396" s="24">
        <f>IF(OR($C1396="",$X1396="Pago",$X1396="Recebido",$X1396="Cancelado"),"",$C1396-TODAY())</f>
        <v/>
      </c>
      <c r="AJ1396" s="24">
        <f>IF(OR($C1396="",$X1396="Pago",$X1396="Recebido",$X1396="Cancelado"),0,MAX(0,TODAY()-$C1396))</f>
        <v/>
      </c>
      <c r="AK1396" s="24">
        <f>IF($D1396="","",$D1396-$B1396)</f>
        <v/>
      </c>
      <c r="AL1396" s="18">
        <f>IF(OR($D1396="",$B1396=""),"",ROUND(N($R1396)*($D1396-$B1396),2))</f>
        <v/>
      </c>
      <c r="AM1396" s="17">
        <f>IF(AND($E1396="Saída",$W1396&gt;0,$C1396&lt;&gt;""),$C1396+ROW()/1000000,"")</f>
        <v/>
      </c>
      <c r="AN1396" s="17">
        <f>IF(AND($E1396="Entrada",$W1396&gt;0,$C1396&lt;&gt;""),$C1396+ROW()/1000000,"")</f>
        <v/>
      </c>
      <c r="AO1396" s="9">
        <f>IF(COUNTA($B1396:$R1396)=0,"",IF(AND($I1396&lt;&gt;"",COUNTIF(CLIENTES_NOMES,$I1396)+COUNTIF(CLIENTES_FANTASIA,$I1396)+COUNTIF(FORNECEDORES_NOMES,$I1396)+COUNTIF(FORNECEDORES_FANTASIA,$I1396)=0),"⚠ Cliente/Fornecedor não cadastrado",IF(AND($G1396&lt;&gt;"",COUNTIF(SUBCATEGORIAS_PLANO,$G1396)=0),"⚠ Subcategoria fora do plano de contas",IF(OR($Q1396="",N($Q1396)=0),"⚠ Valor previsto não informado",IF(AND(OR($X1396="Pago",$X1396="Recebido"),$D1396=""),"⚠ Status pago/recebido sem data",IF(AND($D1396&lt;&gt;"",N($R1396)=0),"⚠ Data de pagamento sem valor realizado",IF(AND(N($P1396)&gt;1,N($O1396)&gt;N($P1396)),"⚠ Nº da parcela maior que o total",IF(AND($C1396&lt;&gt;"",$B1396&lt;&gt;"",$C1396&lt;$B1396),"⚠ Vencimento anterior à competência","OK"))))))))</f>
        <v/>
      </c>
    </row>
    <row r="1397">
      <c r="A1397" s="14" t="n"/>
      <c r="B1397" s="36" t="n"/>
      <c r="C1397" s="36" t="n"/>
      <c r="D1397" s="36" t="n"/>
      <c r="E1397" s="14" t="n"/>
      <c r="F1397" s="29" t="n"/>
      <c r="G1397" s="29" t="n"/>
      <c r="H1397" s="29" t="n"/>
      <c r="I1397" s="29" t="n"/>
      <c r="J1397" s="29" t="n"/>
      <c r="K1397" s="14" t="n"/>
      <c r="L1397" s="29" t="n"/>
      <c r="M1397" s="14" t="n"/>
      <c r="N1397" s="29" t="n"/>
      <c r="O1397" s="13" t="n"/>
      <c r="P1397" s="13" t="n"/>
      <c r="Q1397" s="35" t="n"/>
      <c r="R1397" s="35" t="n"/>
      <c r="S1397" s="35" t="n"/>
      <c r="T1397" s="35" t="n"/>
      <c r="U1397" s="35" t="n"/>
      <c r="V1397" s="18">
        <f>IF(COUNTA($B1397:$R1397)=0,"",ROUND(N($R1397)+N($S1397)+N($T1397)-N($U1397),2))</f>
        <v/>
      </c>
      <c r="W1397" s="18">
        <f>IF(COUNTA($B1397:$R1397)=0,"",IF(OR($X1397="Pago",$X1397="Recebido",$X1397="Cancelado"),0,ROUND(N($Q1397)+N($S1397)+N($T1397)-N($U1397)-N($R1397),2)))</f>
        <v/>
      </c>
      <c r="X1397" s="14" t="n"/>
      <c r="Y1397" s="17">
        <f>IF(COUNTA($B1397:$R1397)=0,"",IF($X1397="Cancelado","Cancelado",IF(OR($X1397="Pago",$X1397="Recebido"),$X1397,IF(OR($X1397="Parcial",N($R1397)&gt;0),"Parcial",IF($C1397="","Sem vencimento",IF($C1397&lt;TODAY(),"Vencido",IF($C1397=TODAY(),"Vence hoje",IF($C1397&lt;=TODAY()+7,"Vence em 7 dias",IF($C1397&lt;=TODAY()+30,"Vence em 30 dias","Futuro")))))))))</f>
        <v/>
      </c>
      <c r="Z1397" s="24">
        <f>IF($B1397="","",MONTH($B1397))</f>
        <v/>
      </c>
      <c r="AA1397" s="24">
        <f>IF($B1397="","",YEAR($B1397))</f>
        <v/>
      </c>
      <c r="AB1397" s="24">
        <f>IF($B1397="","",ISOWEEKNUM($B1397))</f>
        <v/>
      </c>
      <c r="AC1397" s="17">
        <f>IF($B1397="","",CHOOSE(WEEKDAY($B1397,2),"Segunda","Terça","Quarta","Quinta","Sexta","Sábado","Domingo"))</f>
        <v/>
      </c>
      <c r="AD1397" s="17">
        <f>IF($B1397="","",TEXT($B1397,"MM/AAAA"))</f>
        <v/>
      </c>
      <c r="AE1397" s="18">
        <f>IF(COUNTA($B1397:$R1397)=0,"",IF($X1397="Cancelado",0,ROUND(N($Q1397)+N($S1397)+N($T1397)-N($U1397),2)))</f>
        <v/>
      </c>
      <c r="AF1397" s="9">
        <f>IF($G1397="","",IFERROR(INDEX(LINHAS_DRE_PLANO,MATCH($G1397,SUBCATEGORIAS_PLANO,0)),"Não classificado"))</f>
        <v/>
      </c>
      <c r="AG1397" s="17">
        <f>IF($G1397="","",IFERROR(INDEX(TIPOS_FLUXO_PLANO,MATCH($G1397,SUBCATEGORIAS_PLANO,0)),"Não classificado"))</f>
        <v/>
      </c>
      <c r="AH1397" s="9">
        <f>IF($G1397="","",IFERROR(INDEX(GRUPOS_PLANO,MATCH($G1397,SUBCATEGORIAS_PLANO,0)),"Não classificado"))</f>
        <v/>
      </c>
      <c r="AI1397" s="24">
        <f>IF(OR($C1397="",$X1397="Pago",$X1397="Recebido",$X1397="Cancelado"),"",$C1397-TODAY())</f>
        <v/>
      </c>
      <c r="AJ1397" s="24">
        <f>IF(OR($C1397="",$X1397="Pago",$X1397="Recebido",$X1397="Cancelado"),0,MAX(0,TODAY()-$C1397))</f>
        <v/>
      </c>
      <c r="AK1397" s="24">
        <f>IF($D1397="","",$D1397-$B1397)</f>
        <v/>
      </c>
      <c r="AL1397" s="18">
        <f>IF(OR($D1397="",$B1397=""),"",ROUND(N($R1397)*($D1397-$B1397),2))</f>
        <v/>
      </c>
      <c r="AM1397" s="17">
        <f>IF(AND($E1397="Saída",$W1397&gt;0,$C1397&lt;&gt;""),$C1397+ROW()/1000000,"")</f>
        <v/>
      </c>
      <c r="AN1397" s="17">
        <f>IF(AND($E1397="Entrada",$W1397&gt;0,$C1397&lt;&gt;""),$C1397+ROW()/1000000,"")</f>
        <v/>
      </c>
      <c r="AO1397" s="9">
        <f>IF(COUNTA($B1397:$R1397)=0,"",IF(AND($I1397&lt;&gt;"",COUNTIF(CLIENTES_NOMES,$I1397)+COUNTIF(CLIENTES_FANTASIA,$I1397)+COUNTIF(FORNECEDORES_NOMES,$I1397)+COUNTIF(FORNECEDORES_FANTASIA,$I1397)=0),"⚠ Cliente/Fornecedor não cadastrado",IF(AND($G1397&lt;&gt;"",COUNTIF(SUBCATEGORIAS_PLANO,$G1397)=0),"⚠ Subcategoria fora do plano de contas",IF(OR($Q1397="",N($Q1397)=0),"⚠ Valor previsto não informado",IF(AND(OR($X1397="Pago",$X1397="Recebido"),$D1397=""),"⚠ Status pago/recebido sem data",IF(AND($D1397&lt;&gt;"",N($R1397)=0),"⚠ Data de pagamento sem valor realizado",IF(AND(N($P1397)&gt;1,N($O1397)&gt;N($P1397)),"⚠ Nº da parcela maior que o total",IF(AND($C1397&lt;&gt;"",$B1397&lt;&gt;"",$C1397&lt;$B1397),"⚠ Vencimento anterior à competência","OK"))))))))</f>
        <v/>
      </c>
    </row>
    <row r="1398">
      <c r="A1398" s="14" t="n"/>
      <c r="B1398" s="36" t="n"/>
      <c r="C1398" s="36" t="n"/>
      <c r="D1398" s="36" t="n"/>
      <c r="E1398" s="14" t="n"/>
      <c r="F1398" s="29" t="n"/>
      <c r="G1398" s="29" t="n"/>
      <c r="H1398" s="29" t="n"/>
      <c r="I1398" s="29" t="n"/>
      <c r="J1398" s="29" t="n"/>
      <c r="K1398" s="14" t="n"/>
      <c r="L1398" s="29" t="n"/>
      <c r="M1398" s="14" t="n"/>
      <c r="N1398" s="29" t="n"/>
      <c r="O1398" s="13" t="n"/>
      <c r="P1398" s="13" t="n"/>
      <c r="Q1398" s="35" t="n"/>
      <c r="R1398" s="35" t="n"/>
      <c r="S1398" s="35" t="n"/>
      <c r="T1398" s="35" t="n"/>
      <c r="U1398" s="35" t="n"/>
      <c r="V1398" s="18">
        <f>IF(COUNTA($B1398:$R1398)=0,"",ROUND(N($R1398)+N($S1398)+N($T1398)-N($U1398),2))</f>
        <v/>
      </c>
      <c r="W1398" s="18">
        <f>IF(COUNTA($B1398:$R1398)=0,"",IF(OR($X1398="Pago",$X1398="Recebido",$X1398="Cancelado"),0,ROUND(N($Q1398)+N($S1398)+N($T1398)-N($U1398)-N($R1398),2)))</f>
        <v/>
      </c>
      <c r="X1398" s="14" t="n"/>
      <c r="Y1398" s="17">
        <f>IF(COUNTA($B1398:$R1398)=0,"",IF($X1398="Cancelado","Cancelado",IF(OR($X1398="Pago",$X1398="Recebido"),$X1398,IF(OR($X1398="Parcial",N($R1398)&gt;0),"Parcial",IF($C1398="","Sem vencimento",IF($C1398&lt;TODAY(),"Vencido",IF($C1398=TODAY(),"Vence hoje",IF($C1398&lt;=TODAY()+7,"Vence em 7 dias",IF($C1398&lt;=TODAY()+30,"Vence em 30 dias","Futuro")))))))))</f>
        <v/>
      </c>
      <c r="Z1398" s="24">
        <f>IF($B1398="","",MONTH($B1398))</f>
        <v/>
      </c>
      <c r="AA1398" s="24">
        <f>IF($B1398="","",YEAR($B1398))</f>
        <v/>
      </c>
      <c r="AB1398" s="24">
        <f>IF($B1398="","",ISOWEEKNUM($B1398))</f>
        <v/>
      </c>
      <c r="AC1398" s="17">
        <f>IF($B1398="","",CHOOSE(WEEKDAY($B1398,2),"Segunda","Terça","Quarta","Quinta","Sexta","Sábado","Domingo"))</f>
        <v/>
      </c>
      <c r="AD1398" s="17">
        <f>IF($B1398="","",TEXT($B1398,"MM/AAAA"))</f>
        <v/>
      </c>
      <c r="AE1398" s="18">
        <f>IF(COUNTA($B1398:$R1398)=0,"",IF($X1398="Cancelado",0,ROUND(N($Q1398)+N($S1398)+N($T1398)-N($U1398),2)))</f>
        <v/>
      </c>
      <c r="AF1398" s="9">
        <f>IF($G1398="","",IFERROR(INDEX(LINHAS_DRE_PLANO,MATCH($G1398,SUBCATEGORIAS_PLANO,0)),"Não classificado"))</f>
        <v/>
      </c>
      <c r="AG1398" s="17">
        <f>IF($G1398="","",IFERROR(INDEX(TIPOS_FLUXO_PLANO,MATCH($G1398,SUBCATEGORIAS_PLANO,0)),"Não classificado"))</f>
        <v/>
      </c>
      <c r="AH1398" s="9">
        <f>IF($G1398="","",IFERROR(INDEX(GRUPOS_PLANO,MATCH($G1398,SUBCATEGORIAS_PLANO,0)),"Não classificado"))</f>
        <v/>
      </c>
      <c r="AI1398" s="24">
        <f>IF(OR($C1398="",$X1398="Pago",$X1398="Recebido",$X1398="Cancelado"),"",$C1398-TODAY())</f>
        <v/>
      </c>
      <c r="AJ1398" s="24">
        <f>IF(OR($C1398="",$X1398="Pago",$X1398="Recebido",$X1398="Cancelado"),0,MAX(0,TODAY()-$C1398))</f>
        <v/>
      </c>
      <c r="AK1398" s="24">
        <f>IF($D1398="","",$D1398-$B1398)</f>
        <v/>
      </c>
      <c r="AL1398" s="18">
        <f>IF(OR($D1398="",$B1398=""),"",ROUND(N($R1398)*($D1398-$B1398),2))</f>
        <v/>
      </c>
      <c r="AM1398" s="17">
        <f>IF(AND($E1398="Saída",$W1398&gt;0,$C1398&lt;&gt;""),$C1398+ROW()/1000000,"")</f>
        <v/>
      </c>
      <c r="AN1398" s="17">
        <f>IF(AND($E1398="Entrada",$W1398&gt;0,$C1398&lt;&gt;""),$C1398+ROW()/1000000,"")</f>
        <v/>
      </c>
      <c r="AO1398" s="9">
        <f>IF(COUNTA($B1398:$R1398)=0,"",IF(AND($I1398&lt;&gt;"",COUNTIF(CLIENTES_NOMES,$I1398)+COUNTIF(CLIENTES_FANTASIA,$I1398)+COUNTIF(FORNECEDORES_NOMES,$I1398)+COUNTIF(FORNECEDORES_FANTASIA,$I1398)=0),"⚠ Cliente/Fornecedor não cadastrado",IF(AND($G1398&lt;&gt;"",COUNTIF(SUBCATEGORIAS_PLANO,$G1398)=0),"⚠ Subcategoria fora do plano de contas",IF(OR($Q1398="",N($Q1398)=0),"⚠ Valor previsto não informado",IF(AND(OR($X1398="Pago",$X1398="Recebido"),$D1398=""),"⚠ Status pago/recebido sem data",IF(AND($D1398&lt;&gt;"",N($R1398)=0),"⚠ Data de pagamento sem valor realizado",IF(AND(N($P1398)&gt;1,N($O1398)&gt;N($P1398)),"⚠ Nº da parcela maior que o total",IF(AND($C1398&lt;&gt;"",$B1398&lt;&gt;"",$C1398&lt;$B1398),"⚠ Vencimento anterior à competência","OK"))))))))</f>
        <v/>
      </c>
    </row>
    <row r="1399">
      <c r="A1399" s="14" t="n"/>
      <c r="B1399" s="36" t="n"/>
      <c r="C1399" s="36" t="n"/>
      <c r="D1399" s="36" t="n"/>
      <c r="E1399" s="14" t="n"/>
      <c r="F1399" s="29" t="n"/>
      <c r="G1399" s="29" t="n"/>
      <c r="H1399" s="29" t="n"/>
      <c r="I1399" s="29" t="n"/>
      <c r="J1399" s="29" t="n"/>
      <c r="K1399" s="14" t="n"/>
      <c r="L1399" s="29" t="n"/>
      <c r="M1399" s="14" t="n"/>
      <c r="N1399" s="29" t="n"/>
      <c r="O1399" s="13" t="n"/>
      <c r="P1399" s="13" t="n"/>
      <c r="Q1399" s="35" t="n"/>
      <c r="R1399" s="35" t="n"/>
      <c r="S1399" s="35" t="n"/>
      <c r="T1399" s="35" t="n"/>
      <c r="U1399" s="35" t="n"/>
      <c r="V1399" s="18">
        <f>IF(COUNTA($B1399:$R1399)=0,"",ROUND(N($R1399)+N($S1399)+N($T1399)-N($U1399),2))</f>
        <v/>
      </c>
      <c r="W1399" s="18">
        <f>IF(COUNTA($B1399:$R1399)=0,"",IF(OR($X1399="Pago",$X1399="Recebido",$X1399="Cancelado"),0,ROUND(N($Q1399)+N($S1399)+N($T1399)-N($U1399)-N($R1399),2)))</f>
        <v/>
      </c>
      <c r="X1399" s="14" t="n"/>
      <c r="Y1399" s="17">
        <f>IF(COUNTA($B1399:$R1399)=0,"",IF($X1399="Cancelado","Cancelado",IF(OR($X1399="Pago",$X1399="Recebido"),$X1399,IF(OR($X1399="Parcial",N($R1399)&gt;0),"Parcial",IF($C1399="","Sem vencimento",IF($C1399&lt;TODAY(),"Vencido",IF($C1399=TODAY(),"Vence hoje",IF($C1399&lt;=TODAY()+7,"Vence em 7 dias",IF($C1399&lt;=TODAY()+30,"Vence em 30 dias","Futuro")))))))))</f>
        <v/>
      </c>
      <c r="Z1399" s="24">
        <f>IF($B1399="","",MONTH($B1399))</f>
        <v/>
      </c>
      <c r="AA1399" s="24">
        <f>IF($B1399="","",YEAR($B1399))</f>
        <v/>
      </c>
      <c r="AB1399" s="24">
        <f>IF($B1399="","",ISOWEEKNUM($B1399))</f>
        <v/>
      </c>
      <c r="AC1399" s="17">
        <f>IF($B1399="","",CHOOSE(WEEKDAY($B1399,2),"Segunda","Terça","Quarta","Quinta","Sexta","Sábado","Domingo"))</f>
        <v/>
      </c>
      <c r="AD1399" s="17">
        <f>IF($B1399="","",TEXT($B1399,"MM/AAAA"))</f>
        <v/>
      </c>
      <c r="AE1399" s="18">
        <f>IF(COUNTA($B1399:$R1399)=0,"",IF($X1399="Cancelado",0,ROUND(N($Q1399)+N($S1399)+N($T1399)-N($U1399),2)))</f>
        <v/>
      </c>
      <c r="AF1399" s="9">
        <f>IF($G1399="","",IFERROR(INDEX(LINHAS_DRE_PLANO,MATCH($G1399,SUBCATEGORIAS_PLANO,0)),"Não classificado"))</f>
        <v/>
      </c>
      <c r="AG1399" s="17">
        <f>IF($G1399="","",IFERROR(INDEX(TIPOS_FLUXO_PLANO,MATCH($G1399,SUBCATEGORIAS_PLANO,0)),"Não classificado"))</f>
        <v/>
      </c>
      <c r="AH1399" s="9">
        <f>IF($G1399="","",IFERROR(INDEX(GRUPOS_PLANO,MATCH($G1399,SUBCATEGORIAS_PLANO,0)),"Não classificado"))</f>
        <v/>
      </c>
      <c r="AI1399" s="24">
        <f>IF(OR($C1399="",$X1399="Pago",$X1399="Recebido",$X1399="Cancelado"),"",$C1399-TODAY())</f>
        <v/>
      </c>
      <c r="AJ1399" s="24">
        <f>IF(OR($C1399="",$X1399="Pago",$X1399="Recebido",$X1399="Cancelado"),0,MAX(0,TODAY()-$C1399))</f>
        <v/>
      </c>
      <c r="AK1399" s="24">
        <f>IF($D1399="","",$D1399-$B1399)</f>
        <v/>
      </c>
      <c r="AL1399" s="18">
        <f>IF(OR($D1399="",$B1399=""),"",ROUND(N($R1399)*($D1399-$B1399),2))</f>
        <v/>
      </c>
      <c r="AM1399" s="17">
        <f>IF(AND($E1399="Saída",$W1399&gt;0,$C1399&lt;&gt;""),$C1399+ROW()/1000000,"")</f>
        <v/>
      </c>
      <c r="AN1399" s="17">
        <f>IF(AND($E1399="Entrada",$W1399&gt;0,$C1399&lt;&gt;""),$C1399+ROW()/1000000,"")</f>
        <v/>
      </c>
      <c r="AO1399" s="9">
        <f>IF(COUNTA($B1399:$R1399)=0,"",IF(AND($I1399&lt;&gt;"",COUNTIF(CLIENTES_NOMES,$I1399)+COUNTIF(CLIENTES_FANTASIA,$I1399)+COUNTIF(FORNECEDORES_NOMES,$I1399)+COUNTIF(FORNECEDORES_FANTASIA,$I1399)=0),"⚠ Cliente/Fornecedor não cadastrado",IF(AND($G1399&lt;&gt;"",COUNTIF(SUBCATEGORIAS_PLANO,$G1399)=0),"⚠ Subcategoria fora do plano de contas",IF(OR($Q1399="",N($Q1399)=0),"⚠ Valor previsto não informado",IF(AND(OR($X1399="Pago",$X1399="Recebido"),$D1399=""),"⚠ Status pago/recebido sem data",IF(AND($D1399&lt;&gt;"",N($R1399)=0),"⚠ Data de pagamento sem valor realizado",IF(AND(N($P1399)&gt;1,N($O1399)&gt;N($P1399)),"⚠ Nº da parcela maior que o total",IF(AND($C1399&lt;&gt;"",$B1399&lt;&gt;"",$C1399&lt;$B1399),"⚠ Vencimento anterior à competência","OK"))))))))</f>
        <v/>
      </c>
    </row>
    <row r="1400">
      <c r="A1400" s="14" t="n"/>
      <c r="B1400" s="36" t="n"/>
      <c r="C1400" s="36" t="n"/>
      <c r="D1400" s="36" t="n"/>
      <c r="E1400" s="14" t="n"/>
      <c r="F1400" s="29" t="n"/>
      <c r="G1400" s="29" t="n"/>
      <c r="H1400" s="29" t="n"/>
      <c r="I1400" s="29" t="n"/>
      <c r="J1400" s="29" t="n"/>
      <c r="K1400" s="14" t="n"/>
      <c r="L1400" s="29" t="n"/>
      <c r="M1400" s="14" t="n"/>
      <c r="N1400" s="29" t="n"/>
      <c r="O1400" s="13" t="n"/>
      <c r="P1400" s="13" t="n"/>
      <c r="Q1400" s="35" t="n"/>
      <c r="R1400" s="35" t="n"/>
      <c r="S1400" s="35" t="n"/>
      <c r="T1400" s="35" t="n"/>
      <c r="U1400" s="35" t="n"/>
      <c r="V1400" s="18">
        <f>IF(COUNTA($B1400:$R1400)=0,"",ROUND(N($R1400)+N($S1400)+N($T1400)-N($U1400),2))</f>
        <v/>
      </c>
      <c r="W1400" s="18">
        <f>IF(COUNTA($B1400:$R1400)=0,"",IF(OR($X1400="Pago",$X1400="Recebido",$X1400="Cancelado"),0,ROUND(N($Q1400)+N($S1400)+N($T1400)-N($U1400)-N($R1400),2)))</f>
        <v/>
      </c>
      <c r="X1400" s="14" t="n"/>
      <c r="Y1400" s="17">
        <f>IF(COUNTA($B1400:$R1400)=0,"",IF($X1400="Cancelado","Cancelado",IF(OR($X1400="Pago",$X1400="Recebido"),$X1400,IF(OR($X1400="Parcial",N($R1400)&gt;0),"Parcial",IF($C1400="","Sem vencimento",IF($C1400&lt;TODAY(),"Vencido",IF($C1400=TODAY(),"Vence hoje",IF($C1400&lt;=TODAY()+7,"Vence em 7 dias",IF($C1400&lt;=TODAY()+30,"Vence em 30 dias","Futuro")))))))))</f>
        <v/>
      </c>
      <c r="Z1400" s="24">
        <f>IF($B1400="","",MONTH($B1400))</f>
        <v/>
      </c>
      <c r="AA1400" s="24">
        <f>IF($B1400="","",YEAR($B1400))</f>
        <v/>
      </c>
      <c r="AB1400" s="24">
        <f>IF($B1400="","",ISOWEEKNUM($B1400))</f>
        <v/>
      </c>
      <c r="AC1400" s="17">
        <f>IF($B1400="","",CHOOSE(WEEKDAY($B1400,2),"Segunda","Terça","Quarta","Quinta","Sexta","Sábado","Domingo"))</f>
        <v/>
      </c>
      <c r="AD1400" s="17">
        <f>IF($B1400="","",TEXT($B1400,"MM/AAAA"))</f>
        <v/>
      </c>
      <c r="AE1400" s="18">
        <f>IF(COUNTA($B1400:$R1400)=0,"",IF($X1400="Cancelado",0,ROUND(N($Q1400)+N($S1400)+N($T1400)-N($U1400),2)))</f>
        <v/>
      </c>
      <c r="AF1400" s="9">
        <f>IF($G1400="","",IFERROR(INDEX(LINHAS_DRE_PLANO,MATCH($G1400,SUBCATEGORIAS_PLANO,0)),"Não classificado"))</f>
        <v/>
      </c>
      <c r="AG1400" s="17">
        <f>IF($G1400="","",IFERROR(INDEX(TIPOS_FLUXO_PLANO,MATCH($G1400,SUBCATEGORIAS_PLANO,0)),"Não classificado"))</f>
        <v/>
      </c>
      <c r="AH1400" s="9">
        <f>IF($G1400="","",IFERROR(INDEX(GRUPOS_PLANO,MATCH($G1400,SUBCATEGORIAS_PLANO,0)),"Não classificado"))</f>
        <v/>
      </c>
      <c r="AI1400" s="24">
        <f>IF(OR($C1400="",$X1400="Pago",$X1400="Recebido",$X1400="Cancelado"),"",$C1400-TODAY())</f>
        <v/>
      </c>
      <c r="AJ1400" s="24">
        <f>IF(OR($C1400="",$X1400="Pago",$X1400="Recebido",$X1400="Cancelado"),0,MAX(0,TODAY()-$C1400))</f>
        <v/>
      </c>
      <c r="AK1400" s="24">
        <f>IF($D1400="","",$D1400-$B1400)</f>
        <v/>
      </c>
      <c r="AL1400" s="18">
        <f>IF(OR($D1400="",$B1400=""),"",ROUND(N($R1400)*($D1400-$B1400),2))</f>
        <v/>
      </c>
      <c r="AM1400" s="17">
        <f>IF(AND($E1400="Saída",$W1400&gt;0,$C1400&lt;&gt;""),$C1400+ROW()/1000000,"")</f>
        <v/>
      </c>
      <c r="AN1400" s="17">
        <f>IF(AND($E1400="Entrada",$W1400&gt;0,$C1400&lt;&gt;""),$C1400+ROW()/1000000,"")</f>
        <v/>
      </c>
      <c r="AO1400" s="9">
        <f>IF(COUNTA($B1400:$R1400)=0,"",IF(AND($I1400&lt;&gt;"",COUNTIF(CLIENTES_NOMES,$I1400)+COUNTIF(CLIENTES_FANTASIA,$I1400)+COUNTIF(FORNECEDORES_NOMES,$I1400)+COUNTIF(FORNECEDORES_FANTASIA,$I1400)=0),"⚠ Cliente/Fornecedor não cadastrado",IF(AND($G1400&lt;&gt;"",COUNTIF(SUBCATEGORIAS_PLANO,$G1400)=0),"⚠ Subcategoria fora do plano de contas",IF(OR($Q1400="",N($Q1400)=0),"⚠ Valor previsto não informado",IF(AND(OR($X1400="Pago",$X1400="Recebido"),$D1400=""),"⚠ Status pago/recebido sem data",IF(AND($D1400&lt;&gt;"",N($R1400)=0),"⚠ Data de pagamento sem valor realizado",IF(AND(N($P1400)&gt;1,N($O1400)&gt;N($P1400)),"⚠ Nº da parcela maior que o total",IF(AND($C1400&lt;&gt;"",$B1400&lt;&gt;"",$C1400&lt;$B1400),"⚠ Vencimento anterior à competência","OK"))))))))</f>
        <v/>
      </c>
    </row>
    <row r="1401">
      <c r="A1401" s="14" t="n"/>
      <c r="B1401" s="36" t="n"/>
      <c r="C1401" s="36" t="n"/>
      <c r="D1401" s="36" t="n"/>
      <c r="E1401" s="14" t="n"/>
      <c r="F1401" s="29" t="n"/>
      <c r="G1401" s="29" t="n"/>
      <c r="H1401" s="29" t="n"/>
      <c r="I1401" s="29" t="n"/>
      <c r="J1401" s="29" t="n"/>
      <c r="K1401" s="14" t="n"/>
      <c r="L1401" s="29" t="n"/>
      <c r="M1401" s="14" t="n"/>
      <c r="N1401" s="29" t="n"/>
      <c r="O1401" s="13" t="n"/>
      <c r="P1401" s="13" t="n"/>
      <c r="Q1401" s="35" t="n"/>
      <c r="R1401" s="35" t="n"/>
      <c r="S1401" s="35" t="n"/>
      <c r="T1401" s="35" t="n"/>
      <c r="U1401" s="35" t="n"/>
      <c r="V1401" s="18">
        <f>IF(COUNTA($B1401:$R1401)=0,"",ROUND(N($R1401)+N($S1401)+N($T1401)-N($U1401),2))</f>
        <v/>
      </c>
      <c r="W1401" s="18">
        <f>IF(COUNTA($B1401:$R1401)=0,"",IF(OR($X1401="Pago",$X1401="Recebido",$X1401="Cancelado"),0,ROUND(N($Q1401)+N($S1401)+N($T1401)-N($U1401)-N($R1401),2)))</f>
        <v/>
      </c>
      <c r="X1401" s="14" t="n"/>
      <c r="Y1401" s="17">
        <f>IF(COUNTA($B1401:$R1401)=0,"",IF($X1401="Cancelado","Cancelado",IF(OR($X1401="Pago",$X1401="Recebido"),$X1401,IF(OR($X1401="Parcial",N($R1401)&gt;0),"Parcial",IF($C1401="","Sem vencimento",IF($C1401&lt;TODAY(),"Vencido",IF($C1401=TODAY(),"Vence hoje",IF($C1401&lt;=TODAY()+7,"Vence em 7 dias",IF($C1401&lt;=TODAY()+30,"Vence em 30 dias","Futuro")))))))))</f>
        <v/>
      </c>
      <c r="Z1401" s="24">
        <f>IF($B1401="","",MONTH($B1401))</f>
        <v/>
      </c>
      <c r="AA1401" s="24">
        <f>IF($B1401="","",YEAR($B1401))</f>
        <v/>
      </c>
      <c r="AB1401" s="24">
        <f>IF($B1401="","",ISOWEEKNUM($B1401))</f>
        <v/>
      </c>
      <c r="AC1401" s="17">
        <f>IF($B1401="","",CHOOSE(WEEKDAY($B1401,2),"Segunda","Terça","Quarta","Quinta","Sexta","Sábado","Domingo"))</f>
        <v/>
      </c>
      <c r="AD1401" s="17">
        <f>IF($B1401="","",TEXT($B1401,"MM/AAAA"))</f>
        <v/>
      </c>
      <c r="AE1401" s="18">
        <f>IF(COUNTA($B1401:$R1401)=0,"",IF($X1401="Cancelado",0,ROUND(N($Q1401)+N($S1401)+N($T1401)-N($U1401),2)))</f>
        <v/>
      </c>
      <c r="AF1401" s="9">
        <f>IF($G1401="","",IFERROR(INDEX(LINHAS_DRE_PLANO,MATCH($G1401,SUBCATEGORIAS_PLANO,0)),"Não classificado"))</f>
        <v/>
      </c>
      <c r="AG1401" s="17">
        <f>IF($G1401="","",IFERROR(INDEX(TIPOS_FLUXO_PLANO,MATCH($G1401,SUBCATEGORIAS_PLANO,0)),"Não classificado"))</f>
        <v/>
      </c>
      <c r="AH1401" s="9">
        <f>IF($G1401="","",IFERROR(INDEX(GRUPOS_PLANO,MATCH($G1401,SUBCATEGORIAS_PLANO,0)),"Não classificado"))</f>
        <v/>
      </c>
      <c r="AI1401" s="24">
        <f>IF(OR($C1401="",$X1401="Pago",$X1401="Recebido",$X1401="Cancelado"),"",$C1401-TODAY())</f>
        <v/>
      </c>
      <c r="AJ1401" s="24">
        <f>IF(OR($C1401="",$X1401="Pago",$X1401="Recebido",$X1401="Cancelado"),0,MAX(0,TODAY()-$C1401))</f>
        <v/>
      </c>
      <c r="AK1401" s="24">
        <f>IF($D1401="","",$D1401-$B1401)</f>
        <v/>
      </c>
      <c r="AL1401" s="18">
        <f>IF(OR($D1401="",$B1401=""),"",ROUND(N($R1401)*($D1401-$B1401),2))</f>
        <v/>
      </c>
      <c r="AM1401" s="17">
        <f>IF(AND($E1401="Saída",$W1401&gt;0,$C1401&lt;&gt;""),$C1401+ROW()/1000000,"")</f>
        <v/>
      </c>
      <c r="AN1401" s="17">
        <f>IF(AND($E1401="Entrada",$W1401&gt;0,$C1401&lt;&gt;""),$C1401+ROW()/1000000,"")</f>
        <v/>
      </c>
      <c r="AO1401" s="9">
        <f>IF(COUNTA($B1401:$R1401)=0,"",IF(AND($I1401&lt;&gt;"",COUNTIF(CLIENTES_NOMES,$I1401)+COUNTIF(CLIENTES_FANTASIA,$I1401)+COUNTIF(FORNECEDORES_NOMES,$I1401)+COUNTIF(FORNECEDORES_FANTASIA,$I1401)=0),"⚠ Cliente/Fornecedor não cadastrado",IF(AND($G1401&lt;&gt;"",COUNTIF(SUBCATEGORIAS_PLANO,$G1401)=0),"⚠ Subcategoria fora do plano de contas",IF(OR($Q1401="",N($Q1401)=0),"⚠ Valor previsto não informado",IF(AND(OR($X1401="Pago",$X1401="Recebido"),$D1401=""),"⚠ Status pago/recebido sem data",IF(AND($D1401&lt;&gt;"",N($R1401)=0),"⚠ Data de pagamento sem valor realizado",IF(AND(N($P1401)&gt;1,N($O1401)&gt;N($P1401)),"⚠ Nº da parcela maior que o total",IF(AND($C1401&lt;&gt;"",$B1401&lt;&gt;"",$C1401&lt;$B1401),"⚠ Vencimento anterior à competência","OK"))))))))</f>
        <v/>
      </c>
    </row>
    <row r="1402">
      <c r="A1402" s="14" t="n"/>
      <c r="B1402" s="36" t="n"/>
      <c r="C1402" s="36" t="n"/>
      <c r="D1402" s="36" t="n"/>
      <c r="E1402" s="14" t="n"/>
      <c r="F1402" s="29" t="n"/>
      <c r="G1402" s="29" t="n"/>
      <c r="H1402" s="29" t="n"/>
      <c r="I1402" s="29" t="n"/>
      <c r="J1402" s="29" t="n"/>
      <c r="K1402" s="14" t="n"/>
      <c r="L1402" s="29" t="n"/>
      <c r="M1402" s="14" t="n"/>
      <c r="N1402" s="29" t="n"/>
      <c r="O1402" s="13" t="n"/>
      <c r="P1402" s="13" t="n"/>
      <c r="Q1402" s="35" t="n"/>
      <c r="R1402" s="35" t="n"/>
      <c r="S1402" s="35" t="n"/>
      <c r="T1402" s="35" t="n"/>
      <c r="U1402" s="35" t="n"/>
      <c r="V1402" s="18">
        <f>IF(COUNTA($B1402:$R1402)=0,"",ROUND(N($R1402)+N($S1402)+N($T1402)-N($U1402),2))</f>
        <v/>
      </c>
      <c r="W1402" s="18">
        <f>IF(COUNTA($B1402:$R1402)=0,"",IF(OR($X1402="Pago",$X1402="Recebido",$X1402="Cancelado"),0,ROUND(N($Q1402)+N($S1402)+N($T1402)-N($U1402)-N($R1402),2)))</f>
        <v/>
      </c>
      <c r="X1402" s="14" t="n"/>
      <c r="Y1402" s="17">
        <f>IF(COUNTA($B1402:$R1402)=0,"",IF($X1402="Cancelado","Cancelado",IF(OR($X1402="Pago",$X1402="Recebido"),$X1402,IF(OR($X1402="Parcial",N($R1402)&gt;0),"Parcial",IF($C1402="","Sem vencimento",IF($C1402&lt;TODAY(),"Vencido",IF($C1402=TODAY(),"Vence hoje",IF($C1402&lt;=TODAY()+7,"Vence em 7 dias",IF($C1402&lt;=TODAY()+30,"Vence em 30 dias","Futuro")))))))))</f>
        <v/>
      </c>
      <c r="Z1402" s="24">
        <f>IF($B1402="","",MONTH($B1402))</f>
        <v/>
      </c>
      <c r="AA1402" s="24">
        <f>IF($B1402="","",YEAR($B1402))</f>
        <v/>
      </c>
      <c r="AB1402" s="24">
        <f>IF($B1402="","",ISOWEEKNUM($B1402))</f>
        <v/>
      </c>
      <c r="AC1402" s="17">
        <f>IF($B1402="","",CHOOSE(WEEKDAY($B1402,2),"Segunda","Terça","Quarta","Quinta","Sexta","Sábado","Domingo"))</f>
        <v/>
      </c>
      <c r="AD1402" s="17">
        <f>IF($B1402="","",TEXT($B1402,"MM/AAAA"))</f>
        <v/>
      </c>
      <c r="AE1402" s="18">
        <f>IF(COUNTA($B1402:$R1402)=0,"",IF($X1402="Cancelado",0,ROUND(N($Q1402)+N($S1402)+N($T1402)-N($U1402),2)))</f>
        <v/>
      </c>
      <c r="AF1402" s="9">
        <f>IF($G1402="","",IFERROR(INDEX(LINHAS_DRE_PLANO,MATCH($G1402,SUBCATEGORIAS_PLANO,0)),"Não classificado"))</f>
        <v/>
      </c>
      <c r="AG1402" s="17">
        <f>IF($G1402="","",IFERROR(INDEX(TIPOS_FLUXO_PLANO,MATCH($G1402,SUBCATEGORIAS_PLANO,0)),"Não classificado"))</f>
        <v/>
      </c>
      <c r="AH1402" s="9">
        <f>IF($G1402="","",IFERROR(INDEX(GRUPOS_PLANO,MATCH($G1402,SUBCATEGORIAS_PLANO,0)),"Não classificado"))</f>
        <v/>
      </c>
      <c r="AI1402" s="24">
        <f>IF(OR($C1402="",$X1402="Pago",$X1402="Recebido",$X1402="Cancelado"),"",$C1402-TODAY())</f>
        <v/>
      </c>
      <c r="AJ1402" s="24">
        <f>IF(OR($C1402="",$X1402="Pago",$X1402="Recebido",$X1402="Cancelado"),0,MAX(0,TODAY()-$C1402))</f>
        <v/>
      </c>
      <c r="AK1402" s="24">
        <f>IF($D1402="","",$D1402-$B1402)</f>
        <v/>
      </c>
      <c r="AL1402" s="18">
        <f>IF(OR($D1402="",$B1402=""),"",ROUND(N($R1402)*($D1402-$B1402),2))</f>
        <v/>
      </c>
      <c r="AM1402" s="17">
        <f>IF(AND($E1402="Saída",$W1402&gt;0,$C1402&lt;&gt;""),$C1402+ROW()/1000000,"")</f>
        <v/>
      </c>
      <c r="AN1402" s="17">
        <f>IF(AND($E1402="Entrada",$W1402&gt;0,$C1402&lt;&gt;""),$C1402+ROW()/1000000,"")</f>
        <v/>
      </c>
      <c r="AO1402" s="9">
        <f>IF(COUNTA($B1402:$R1402)=0,"",IF(AND($I1402&lt;&gt;"",COUNTIF(CLIENTES_NOMES,$I1402)+COUNTIF(CLIENTES_FANTASIA,$I1402)+COUNTIF(FORNECEDORES_NOMES,$I1402)+COUNTIF(FORNECEDORES_FANTASIA,$I1402)=0),"⚠ Cliente/Fornecedor não cadastrado",IF(AND($G1402&lt;&gt;"",COUNTIF(SUBCATEGORIAS_PLANO,$G1402)=0),"⚠ Subcategoria fora do plano de contas",IF(OR($Q1402="",N($Q1402)=0),"⚠ Valor previsto não informado",IF(AND(OR($X1402="Pago",$X1402="Recebido"),$D1402=""),"⚠ Status pago/recebido sem data",IF(AND($D1402&lt;&gt;"",N($R1402)=0),"⚠ Data de pagamento sem valor realizado",IF(AND(N($P1402)&gt;1,N($O1402)&gt;N($P1402)),"⚠ Nº da parcela maior que o total",IF(AND($C1402&lt;&gt;"",$B1402&lt;&gt;"",$C1402&lt;$B1402),"⚠ Vencimento anterior à competência","OK"))))))))</f>
        <v/>
      </c>
    </row>
    <row r="1403">
      <c r="A1403" s="14" t="n"/>
      <c r="B1403" s="36" t="n"/>
      <c r="C1403" s="36" t="n"/>
      <c r="D1403" s="36" t="n"/>
      <c r="E1403" s="14" t="n"/>
      <c r="F1403" s="29" t="n"/>
      <c r="G1403" s="29" t="n"/>
      <c r="H1403" s="29" t="n"/>
      <c r="I1403" s="29" t="n"/>
      <c r="J1403" s="29" t="n"/>
      <c r="K1403" s="14" t="n"/>
      <c r="L1403" s="29" t="n"/>
      <c r="M1403" s="14" t="n"/>
      <c r="N1403" s="29" t="n"/>
      <c r="O1403" s="13" t="n"/>
      <c r="P1403" s="13" t="n"/>
      <c r="Q1403" s="35" t="n"/>
      <c r="R1403" s="35" t="n"/>
      <c r="S1403" s="35" t="n"/>
      <c r="T1403" s="35" t="n"/>
      <c r="U1403" s="35" t="n"/>
      <c r="V1403" s="18">
        <f>IF(COUNTA($B1403:$R1403)=0,"",ROUND(N($R1403)+N($S1403)+N($T1403)-N($U1403),2))</f>
        <v/>
      </c>
      <c r="W1403" s="18">
        <f>IF(COUNTA($B1403:$R1403)=0,"",IF(OR($X1403="Pago",$X1403="Recebido",$X1403="Cancelado"),0,ROUND(N($Q1403)+N($S1403)+N($T1403)-N($U1403)-N($R1403),2)))</f>
        <v/>
      </c>
      <c r="X1403" s="14" t="n"/>
      <c r="Y1403" s="17">
        <f>IF(COUNTA($B1403:$R1403)=0,"",IF($X1403="Cancelado","Cancelado",IF(OR($X1403="Pago",$X1403="Recebido"),$X1403,IF(OR($X1403="Parcial",N($R1403)&gt;0),"Parcial",IF($C1403="","Sem vencimento",IF($C1403&lt;TODAY(),"Vencido",IF($C1403=TODAY(),"Vence hoje",IF($C1403&lt;=TODAY()+7,"Vence em 7 dias",IF($C1403&lt;=TODAY()+30,"Vence em 30 dias","Futuro")))))))))</f>
        <v/>
      </c>
      <c r="Z1403" s="24">
        <f>IF($B1403="","",MONTH($B1403))</f>
        <v/>
      </c>
      <c r="AA1403" s="24">
        <f>IF($B1403="","",YEAR($B1403))</f>
        <v/>
      </c>
      <c r="AB1403" s="24">
        <f>IF($B1403="","",ISOWEEKNUM($B1403))</f>
        <v/>
      </c>
      <c r="AC1403" s="17">
        <f>IF($B1403="","",CHOOSE(WEEKDAY($B1403,2),"Segunda","Terça","Quarta","Quinta","Sexta","Sábado","Domingo"))</f>
        <v/>
      </c>
      <c r="AD1403" s="17">
        <f>IF($B1403="","",TEXT($B1403,"MM/AAAA"))</f>
        <v/>
      </c>
      <c r="AE1403" s="18">
        <f>IF(COUNTA($B1403:$R1403)=0,"",IF($X1403="Cancelado",0,ROUND(N($Q1403)+N($S1403)+N($T1403)-N($U1403),2)))</f>
        <v/>
      </c>
      <c r="AF1403" s="9">
        <f>IF($G1403="","",IFERROR(INDEX(LINHAS_DRE_PLANO,MATCH($G1403,SUBCATEGORIAS_PLANO,0)),"Não classificado"))</f>
        <v/>
      </c>
      <c r="AG1403" s="17">
        <f>IF($G1403="","",IFERROR(INDEX(TIPOS_FLUXO_PLANO,MATCH($G1403,SUBCATEGORIAS_PLANO,0)),"Não classificado"))</f>
        <v/>
      </c>
      <c r="AH1403" s="9">
        <f>IF($G1403="","",IFERROR(INDEX(GRUPOS_PLANO,MATCH($G1403,SUBCATEGORIAS_PLANO,0)),"Não classificado"))</f>
        <v/>
      </c>
      <c r="AI1403" s="24">
        <f>IF(OR($C1403="",$X1403="Pago",$X1403="Recebido",$X1403="Cancelado"),"",$C1403-TODAY())</f>
        <v/>
      </c>
      <c r="AJ1403" s="24">
        <f>IF(OR($C1403="",$X1403="Pago",$X1403="Recebido",$X1403="Cancelado"),0,MAX(0,TODAY()-$C1403))</f>
        <v/>
      </c>
      <c r="AK1403" s="24">
        <f>IF($D1403="","",$D1403-$B1403)</f>
        <v/>
      </c>
      <c r="AL1403" s="18">
        <f>IF(OR($D1403="",$B1403=""),"",ROUND(N($R1403)*($D1403-$B1403),2))</f>
        <v/>
      </c>
      <c r="AM1403" s="17">
        <f>IF(AND($E1403="Saída",$W1403&gt;0,$C1403&lt;&gt;""),$C1403+ROW()/1000000,"")</f>
        <v/>
      </c>
      <c r="AN1403" s="17">
        <f>IF(AND($E1403="Entrada",$W1403&gt;0,$C1403&lt;&gt;""),$C1403+ROW()/1000000,"")</f>
        <v/>
      </c>
      <c r="AO1403" s="9">
        <f>IF(COUNTA($B1403:$R1403)=0,"",IF(AND($I1403&lt;&gt;"",COUNTIF(CLIENTES_NOMES,$I1403)+COUNTIF(CLIENTES_FANTASIA,$I1403)+COUNTIF(FORNECEDORES_NOMES,$I1403)+COUNTIF(FORNECEDORES_FANTASIA,$I1403)=0),"⚠ Cliente/Fornecedor não cadastrado",IF(AND($G1403&lt;&gt;"",COUNTIF(SUBCATEGORIAS_PLANO,$G1403)=0),"⚠ Subcategoria fora do plano de contas",IF(OR($Q1403="",N($Q1403)=0),"⚠ Valor previsto não informado",IF(AND(OR($X1403="Pago",$X1403="Recebido"),$D1403=""),"⚠ Status pago/recebido sem data",IF(AND($D1403&lt;&gt;"",N($R1403)=0),"⚠ Data de pagamento sem valor realizado",IF(AND(N($P1403)&gt;1,N($O1403)&gt;N($P1403)),"⚠ Nº da parcela maior que o total",IF(AND($C1403&lt;&gt;"",$B1403&lt;&gt;"",$C1403&lt;$B1403),"⚠ Vencimento anterior à competência","OK"))))))))</f>
        <v/>
      </c>
    </row>
    <row r="1404">
      <c r="A1404" s="14" t="n"/>
      <c r="B1404" s="36" t="n"/>
      <c r="C1404" s="36" t="n"/>
      <c r="D1404" s="36" t="n"/>
      <c r="E1404" s="14" t="n"/>
      <c r="F1404" s="29" t="n"/>
      <c r="G1404" s="29" t="n"/>
      <c r="H1404" s="29" t="n"/>
      <c r="I1404" s="29" t="n"/>
      <c r="J1404" s="29" t="n"/>
      <c r="K1404" s="14" t="n"/>
      <c r="L1404" s="29" t="n"/>
      <c r="M1404" s="14" t="n"/>
      <c r="N1404" s="29" t="n"/>
      <c r="O1404" s="13" t="n"/>
      <c r="P1404" s="13" t="n"/>
      <c r="Q1404" s="35" t="n"/>
      <c r="R1404" s="35" t="n"/>
      <c r="S1404" s="35" t="n"/>
      <c r="T1404" s="35" t="n"/>
      <c r="U1404" s="35" t="n"/>
      <c r="V1404" s="18">
        <f>IF(COUNTA($B1404:$R1404)=0,"",ROUND(N($R1404)+N($S1404)+N($T1404)-N($U1404),2))</f>
        <v/>
      </c>
      <c r="W1404" s="18">
        <f>IF(COUNTA($B1404:$R1404)=0,"",IF(OR($X1404="Pago",$X1404="Recebido",$X1404="Cancelado"),0,ROUND(N($Q1404)+N($S1404)+N($T1404)-N($U1404)-N($R1404),2)))</f>
        <v/>
      </c>
      <c r="X1404" s="14" t="n"/>
      <c r="Y1404" s="17">
        <f>IF(COUNTA($B1404:$R1404)=0,"",IF($X1404="Cancelado","Cancelado",IF(OR($X1404="Pago",$X1404="Recebido"),$X1404,IF(OR($X1404="Parcial",N($R1404)&gt;0),"Parcial",IF($C1404="","Sem vencimento",IF($C1404&lt;TODAY(),"Vencido",IF($C1404=TODAY(),"Vence hoje",IF($C1404&lt;=TODAY()+7,"Vence em 7 dias",IF($C1404&lt;=TODAY()+30,"Vence em 30 dias","Futuro")))))))))</f>
        <v/>
      </c>
      <c r="Z1404" s="24">
        <f>IF($B1404="","",MONTH($B1404))</f>
        <v/>
      </c>
      <c r="AA1404" s="24">
        <f>IF($B1404="","",YEAR($B1404))</f>
        <v/>
      </c>
      <c r="AB1404" s="24">
        <f>IF($B1404="","",ISOWEEKNUM($B1404))</f>
        <v/>
      </c>
      <c r="AC1404" s="17">
        <f>IF($B1404="","",CHOOSE(WEEKDAY($B1404,2),"Segunda","Terça","Quarta","Quinta","Sexta","Sábado","Domingo"))</f>
        <v/>
      </c>
      <c r="AD1404" s="17">
        <f>IF($B1404="","",TEXT($B1404,"MM/AAAA"))</f>
        <v/>
      </c>
      <c r="AE1404" s="18">
        <f>IF(COUNTA($B1404:$R1404)=0,"",IF($X1404="Cancelado",0,ROUND(N($Q1404)+N($S1404)+N($T1404)-N($U1404),2)))</f>
        <v/>
      </c>
      <c r="AF1404" s="9">
        <f>IF($G1404="","",IFERROR(INDEX(LINHAS_DRE_PLANO,MATCH($G1404,SUBCATEGORIAS_PLANO,0)),"Não classificado"))</f>
        <v/>
      </c>
      <c r="AG1404" s="17">
        <f>IF($G1404="","",IFERROR(INDEX(TIPOS_FLUXO_PLANO,MATCH($G1404,SUBCATEGORIAS_PLANO,0)),"Não classificado"))</f>
        <v/>
      </c>
      <c r="AH1404" s="9">
        <f>IF($G1404="","",IFERROR(INDEX(GRUPOS_PLANO,MATCH($G1404,SUBCATEGORIAS_PLANO,0)),"Não classificado"))</f>
        <v/>
      </c>
      <c r="AI1404" s="24">
        <f>IF(OR($C1404="",$X1404="Pago",$X1404="Recebido",$X1404="Cancelado"),"",$C1404-TODAY())</f>
        <v/>
      </c>
      <c r="AJ1404" s="24">
        <f>IF(OR($C1404="",$X1404="Pago",$X1404="Recebido",$X1404="Cancelado"),0,MAX(0,TODAY()-$C1404))</f>
        <v/>
      </c>
      <c r="AK1404" s="24">
        <f>IF($D1404="","",$D1404-$B1404)</f>
        <v/>
      </c>
      <c r="AL1404" s="18">
        <f>IF(OR($D1404="",$B1404=""),"",ROUND(N($R1404)*($D1404-$B1404),2))</f>
        <v/>
      </c>
      <c r="AM1404" s="17">
        <f>IF(AND($E1404="Saída",$W1404&gt;0,$C1404&lt;&gt;""),$C1404+ROW()/1000000,"")</f>
        <v/>
      </c>
      <c r="AN1404" s="17">
        <f>IF(AND($E1404="Entrada",$W1404&gt;0,$C1404&lt;&gt;""),$C1404+ROW()/1000000,"")</f>
        <v/>
      </c>
      <c r="AO1404" s="9">
        <f>IF(COUNTA($B1404:$R1404)=0,"",IF(AND($I1404&lt;&gt;"",COUNTIF(CLIENTES_NOMES,$I1404)+COUNTIF(CLIENTES_FANTASIA,$I1404)+COUNTIF(FORNECEDORES_NOMES,$I1404)+COUNTIF(FORNECEDORES_FANTASIA,$I1404)=0),"⚠ Cliente/Fornecedor não cadastrado",IF(AND($G1404&lt;&gt;"",COUNTIF(SUBCATEGORIAS_PLANO,$G1404)=0),"⚠ Subcategoria fora do plano de contas",IF(OR($Q1404="",N($Q1404)=0),"⚠ Valor previsto não informado",IF(AND(OR($X1404="Pago",$X1404="Recebido"),$D1404=""),"⚠ Status pago/recebido sem data",IF(AND($D1404&lt;&gt;"",N($R1404)=0),"⚠ Data de pagamento sem valor realizado",IF(AND(N($P1404)&gt;1,N($O1404)&gt;N($P1404)),"⚠ Nº da parcela maior que o total",IF(AND($C1404&lt;&gt;"",$B1404&lt;&gt;"",$C1404&lt;$B1404),"⚠ Vencimento anterior à competência","OK"))))))))</f>
        <v/>
      </c>
    </row>
    <row r="1405">
      <c r="A1405" s="14" t="n"/>
      <c r="B1405" s="36" t="n"/>
      <c r="C1405" s="36" t="n"/>
      <c r="D1405" s="36" t="n"/>
      <c r="E1405" s="14" t="n"/>
      <c r="F1405" s="29" t="n"/>
      <c r="G1405" s="29" t="n"/>
      <c r="H1405" s="29" t="n"/>
      <c r="I1405" s="29" t="n"/>
      <c r="J1405" s="29" t="n"/>
      <c r="K1405" s="14" t="n"/>
      <c r="L1405" s="29" t="n"/>
      <c r="M1405" s="14" t="n"/>
      <c r="N1405" s="29" t="n"/>
      <c r="O1405" s="13" t="n"/>
      <c r="P1405" s="13" t="n"/>
      <c r="Q1405" s="35" t="n"/>
      <c r="R1405" s="35" t="n"/>
      <c r="S1405" s="35" t="n"/>
      <c r="T1405" s="35" t="n"/>
      <c r="U1405" s="35" t="n"/>
      <c r="V1405" s="18">
        <f>IF(COUNTA($B1405:$R1405)=0,"",ROUND(N($R1405)+N($S1405)+N($T1405)-N($U1405),2))</f>
        <v/>
      </c>
      <c r="W1405" s="18">
        <f>IF(COUNTA($B1405:$R1405)=0,"",IF(OR($X1405="Pago",$X1405="Recebido",$X1405="Cancelado"),0,ROUND(N($Q1405)+N($S1405)+N($T1405)-N($U1405)-N($R1405),2)))</f>
        <v/>
      </c>
      <c r="X1405" s="14" t="n"/>
      <c r="Y1405" s="17">
        <f>IF(COUNTA($B1405:$R1405)=0,"",IF($X1405="Cancelado","Cancelado",IF(OR($X1405="Pago",$X1405="Recebido"),$X1405,IF(OR($X1405="Parcial",N($R1405)&gt;0),"Parcial",IF($C1405="","Sem vencimento",IF($C1405&lt;TODAY(),"Vencido",IF($C1405=TODAY(),"Vence hoje",IF($C1405&lt;=TODAY()+7,"Vence em 7 dias",IF($C1405&lt;=TODAY()+30,"Vence em 30 dias","Futuro")))))))))</f>
        <v/>
      </c>
      <c r="Z1405" s="24">
        <f>IF($B1405="","",MONTH($B1405))</f>
        <v/>
      </c>
      <c r="AA1405" s="24">
        <f>IF($B1405="","",YEAR($B1405))</f>
        <v/>
      </c>
      <c r="AB1405" s="24">
        <f>IF($B1405="","",ISOWEEKNUM($B1405))</f>
        <v/>
      </c>
      <c r="AC1405" s="17">
        <f>IF($B1405="","",CHOOSE(WEEKDAY($B1405,2),"Segunda","Terça","Quarta","Quinta","Sexta","Sábado","Domingo"))</f>
        <v/>
      </c>
      <c r="AD1405" s="17">
        <f>IF($B1405="","",TEXT($B1405,"MM/AAAA"))</f>
        <v/>
      </c>
      <c r="AE1405" s="18">
        <f>IF(COUNTA($B1405:$R1405)=0,"",IF($X1405="Cancelado",0,ROUND(N($Q1405)+N($S1405)+N($T1405)-N($U1405),2)))</f>
        <v/>
      </c>
      <c r="AF1405" s="9">
        <f>IF($G1405="","",IFERROR(INDEX(LINHAS_DRE_PLANO,MATCH($G1405,SUBCATEGORIAS_PLANO,0)),"Não classificado"))</f>
        <v/>
      </c>
      <c r="AG1405" s="17">
        <f>IF($G1405="","",IFERROR(INDEX(TIPOS_FLUXO_PLANO,MATCH($G1405,SUBCATEGORIAS_PLANO,0)),"Não classificado"))</f>
        <v/>
      </c>
      <c r="AH1405" s="9">
        <f>IF($G1405="","",IFERROR(INDEX(GRUPOS_PLANO,MATCH($G1405,SUBCATEGORIAS_PLANO,0)),"Não classificado"))</f>
        <v/>
      </c>
      <c r="AI1405" s="24">
        <f>IF(OR($C1405="",$X1405="Pago",$X1405="Recebido",$X1405="Cancelado"),"",$C1405-TODAY())</f>
        <v/>
      </c>
      <c r="AJ1405" s="24">
        <f>IF(OR($C1405="",$X1405="Pago",$X1405="Recebido",$X1405="Cancelado"),0,MAX(0,TODAY()-$C1405))</f>
        <v/>
      </c>
      <c r="AK1405" s="24">
        <f>IF($D1405="","",$D1405-$B1405)</f>
        <v/>
      </c>
      <c r="AL1405" s="18">
        <f>IF(OR($D1405="",$B1405=""),"",ROUND(N($R1405)*($D1405-$B1405),2))</f>
        <v/>
      </c>
      <c r="AM1405" s="17">
        <f>IF(AND($E1405="Saída",$W1405&gt;0,$C1405&lt;&gt;""),$C1405+ROW()/1000000,"")</f>
        <v/>
      </c>
      <c r="AN1405" s="17">
        <f>IF(AND($E1405="Entrada",$W1405&gt;0,$C1405&lt;&gt;""),$C1405+ROW()/1000000,"")</f>
        <v/>
      </c>
      <c r="AO1405" s="9">
        <f>IF(COUNTA($B1405:$R1405)=0,"",IF(AND($I1405&lt;&gt;"",COUNTIF(CLIENTES_NOMES,$I1405)+COUNTIF(CLIENTES_FANTASIA,$I1405)+COUNTIF(FORNECEDORES_NOMES,$I1405)+COUNTIF(FORNECEDORES_FANTASIA,$I1405)=0),"⚠ Cliente/Fornecedor não cadastrado",IF(AND($G1405&lt;&gt;"",COUNTIF(SUBCATEGORIAS_PLANO,$G1405)=0),"⚠ Subcategoria fora do plano de contas",IF(OR($Q1405="",N($Q1405)=0),"⚠ Valor previsto não informado",IF(AND(OR($X1405="Pago",$X1405="Recebido"),$D1405=""),"⚠ Status pago/recebido sem data",IF(AND($D1405&lt;&gt;"",N($R1405)=0),"⚠ Data de pagamento sem valor realizado",IF(AND(N($P1405)&gt;1,N($O1405)&gt;N($P1405)),"⚠ Nº da parcela maior que o total",IF(AND($C1405&lt;&gt;"",$B1405&lt;&gt;"",$C1405&lt;$B1405),"⚠ Vencimento anterior à competência","OK"))))))))</f>
        <v/>
      </c>
    </row>
    <row r="1406">
      <c r="A1406" s="14" t="n"/>
      <c r="B1406" s="36" t="n"/>
      <c r="C1406" s="36" t="n"/>
      <c r="D1406" s="36" t="n"/>
      <c r="E1406" s="14" t="n"/>
      <c r="F1406" s="29" t="n"/>
      <c r="G1406" s="29" t="n"/>
      <c r="H1406" s="29" t="n"/>
      <c r="I1406" s="29" t="n"/>
      <c r="J1406" s="29" t="n"/>
      <c r="K1406" s="14" t="n"/>
      <c r="L1406" s="29" t="n"/>
      <c r="M1406" s="14" t="n"/>
      <c r="N1406" s="29" t="n"/>
      <c r="O1406" s="13" t="n"/>
      <c r="P1406" s="13" t="n"/>
      <c r="Q1406" s="35" t="n"/>
      <c r="R1406" s="35" t="n"/>
      <c r="S1406" s="35" t="n"/>
      <c r="T1406" s="35" t="n"/>
      <c r="U1406" s="35" t="n"/>
      <c r="V1406" s="18">
        <f>IF(COUNTA($B1406:$R1406)=0,"",ROUND(N($R1406)+N($S1406)+N($T1406)-N($U1406),2))</f>
        <v/>
      </c>
      <c r="W1406" s="18">
        <f>IF(COUNTA($B1406:$R1406)=0,"",IF(OR($X1406="Pago",$X1406="Recebido",$X1406="Cancelado"),0,ROUND(N($Q1406)+N($S1406)+N($T1406)-N($U1406)-N($R1406),2)))</f>
        <v/>
      </c>
      <c r="X1406" s="14" t="n"/>
      <c r="Y1406" s="17">
        <f>IF(COUNTA($B1406:$R1406)=0,"",IF($X1406="Cancelado","Cancelado",IF(OR($X1406="Pago",$X1406="Recebido"),$X1406,IF(OR($X1406="Parcial",N($R1406)&gt;0),"Parcial",IF($C1406="","Sem vencimento",IF($C1406&lt;TODAY(),"Vencido",IF($C1406=TODAY(),"Vence hoje",IF($C1406&lt;=TODAY()+7,"Vence em 7 dias",IF($C1406&lt;=TODAY()+30,"Vence em 30 dias","Futuro")))))))))</f>
        <v/>
      </c>
      <c r="Z1406" s="24">
        <f>IF($B1406="","",MONTH($B1406))</f>
        <v/>
      </c>
      <c r="AA1406" s="24">
        <f>IF($B1406="","",YEAR($B1406))</f>
        <v/>
      </c>
      <c r="AB1406" s="24">
        <f>IF($B1406="","",ISOWEEKNUM($B1406))</f>
        <v/>
      </c>
      <c r="AC1406" s="17">
        <f>IF($B1406="","",CHOOSE(WEEKDAY($B1406,2),"Segunda","Terça","Quarta","Quinta","Sexta","Sábado","Domingo"))</f>
        <v/>
      </c>
      <c r="AD1406" s="17">
        <f>IF($B1406="","",TEXT($B1406,"MM/AAAA"))</f>
        <v/>
      </c>
      <c r="AE1406" s="18">
        <f>IF(COUNTA($B1406:$R1406)=0,"",IF($X1406="Cancelado",0,ROUND(N($Q1406)+N($S1406)+N($T1406)-N($U1406),2)))</f>
        <v/>
      </c>
      <c r="AF1406" s="9">
        <f>IF($G1406="","",IFERROR(INDEX(LINHAS_DRE_PLANO,MATCH($G1406,SUBCATEGORIAS_PLANO,0)),"Não classificado"))</f>
        <v/>
      </c>
      <c r="AG1406" s="17">
        <f>IF($G1406="","",IFERROR(INDEX(TIPOS_FLUXO_PLANO,MATCH($G1406,SUBCATEGORIAS_PLANO,0)),"Não classificado"))</f>
        <v/>
      </c>
      <c r="AH1406" s="9">
        <f>IF($G1406="","",IFERROR(INDEX(GRUPOS_PLANO,MATCH($G1406,SUBCATEGORIAS_PLANO,0)),"Não classificado"))</f>
        <v/>
      </c>
      <c r="AI1406" s="24">
        <f>IF(OR($C1406="",$X1406="Pago",$X1406="Recebido",$X1406="Cancelado"),"",$C1406-TODAY())</f>
        <v/>
      </c>
      <c r="AJ1406" s="24">
        <f>IF(OR($C1406="",$X1406="Pago",$X1406="Recebido",$X1406="Cancelado"),0,MAX(0,TODAY()-$C1406))</f>
        <v/>
      </c>
      <c r="AK1406" s="24">
        <f>IF($D1406="","",$D1406-$B1406)</f>
        <v/>
      </c>
      <c r="AL1406" s="18">
        <f>IF(OR($D1406="",$B1406=""),"",ROUND(N($R1406)*($D1406-$B1406),2))</f>
        <v/>
      </c>
      <c r="AM1406" s="17">
        <f>IF(AND($E1406="Saída",$W1406&gt;0,$C1406&lt;&gt;""),$C1406+ROW()/1000000,"")</f>
        <v/>
      </c>
      <c r="AN1406" s="17">
        <f>IF(AND($E1406="Entrada",$W1406&gt;0,$C1406&lt;&gt;""),$C1406+ROW()/1000000,"")</f>
        <v/>
      </c>
      <c r="AO1406" s="9">
        <f>IF(COUNTA($B1406:$R1406)=0,"",IF(AND($I1406&lt;&gt;"",COUNTIF(CLIENTES_NOMES,$I1406)+COUNTIF(CLIENTES_FANTASIA,$I1406)+COUNTIF(FORNECEDORES_NOMES,$I1406)+COUNTIF(FORNECEDORES_FANTASIA,$I1406)=0),"⚠ Cliente/Fornecedor não cadastrado",IF(AND($G1406&lt;&gt;"",COUNTIF(SUBCATEGORIAS_PLANO,$G1406)=0),"⚠ Subcategoria fora do plano de contas",IF(OR($Q1406="",N($Q1406)=0),"⚠ Valor previsto não informado",IF(AND(OR($X1406="Pago",$X1406="Recebido"),$D1406=""),"⚠ Status pago/recebido sem data",IF(AND($D1406&lt;&gt;"",N($R1406)=0),"⚠ Data de pagamento sem valor realizado",IF(AND(N($P1406)&gt;1,N($O1406)&gt;N($P1406)),"⚠ Nº da parcela maior que o total",IF(AND($C1406&lt;&gt;"",$B1406&lt;&gt;"",$C1406&lt;$B1406),"⚠ Vencimento anterior à competência","OK"))))))))</f>
        <v/>
      </c>
    </row>
    <row r="1407">
      <c r="A1407" s="14" t="n"/>
      <c r="B1407" s="36" t="n"/>
      <c r="C1407" s="36" t="n"/>
      <c r="D1407" s="36" t="n"/>
      <c r="E1407" s="14" t="n"/>
      <c r="F1407" s="29" t="n"/>
      <c r="G1407" s="29" t="n"/>
      <c r="H1407" s="29" t="n"/>
      <c r="I1407" s="29" t="n"/>
      <c r="J1407" s="29" t="n"/>
      <c r="K1407" s="14" t="n"/>
      <c r="L1407" s="29" t="n"/>
      <c r="M1407" s="14" t="n"/>
      <c r="N1407" s="29" t="n"/>
      <c r="O1407" s="13" t="n"/>
      <c r="P1407" s="13" t="n"/>
      <c r="Q1407" s="35" t="n"/>
      <c r="R1407" s="35" t="n"/>
      <c r="S1407" s="35" t="n"/>
      <c r="T1407" s="35" t="n"/>
      <c r="U1407" s="35" t="n"/>
      <c r="V1407" s="18">
        <f>IF(COUNTA($B1407:$R1407)=0,"",ROUND(N($R1407)+N($S1407)+N($T1407)-N($U1407),2))</f>
        <v/>
      </c>
      <c r="W1407" s="18">
        <f>IF(COUNTA($B1407:$R1407)=0,"",IF(OR($X1407="Pago",$X1407="Recebido",$X1407="Cancelado"),0,ROUND(N($Q1407)+N($S1407)+N($T1407)-N($U1407)-N($R1407),2)))</f>
        <v/>
      </c>
      <c r="X1407" s="14" t="n"/>
      <c r="Y1407" s="17">
        <f>IF(COUNTA($B1407:$R1407)=0,"",IF($X1407="Cancelado","Cancelado",IF(OR($X1407="Pago",$X1407="Recebido"),$X1407,IF(OR($X1407="Parcial",N($R1407)&gt;0),"Parcial",IF($C1407="","Sem vencimento",IF($C1407&lt;TODAY(),"Vencido",IF($C1407=TODAY(),"Vence hoje",IF($C1407&lt;=TODAY()+7,"Vence em 7 dias",IF($C1407&lt;=TODAY()+30,"Vence em 30 dias","Futuro")))))))))</f>
        <v/>
      </c>
      <c r="Z1407" s="24">
        <f>IF($B1407="","",MONTH($B1407))</f>
        <v/>
      </c>
      <c r="AA1407" s="24">
        <f>IF($B1407="","",YEAR($B1407))</f>
        <v/>
      </c>
      <c r="AB1407" s="24">
        <f>IF($B1407="","",ISOWEEKNUM($B1407))</f>
        <v/>
      </c>
      <c r="AC1407" s="17">
        <f>IF($B1407="","",CHOOSE(WEEKDAY($B1407,2),"Segunda","Terça","Quarta","Quinta","Sexta","Sábado","Domingo"))</f>
        <v/>
      </c>
      <c r="AD1407" s="17">
        <f>IF($B1407="","",TEXT($B1407,"MM/AAAA"))</f>
        <v/>
      </c>
      <c r="AE1407" s="18">
        <f>IF(COUNTA($B1407:$R1407)=0,"",IF($X1407="Cancelado",0,ROUND(N($Q1407)+N($S1407)+N($T1407)-N($U1407),2)))</f>
        <v/>
      </c>
      <c r="AF1407" s="9">
        <f>IF($G1407="","",IFERROR(INDEX(LINHAS_DRE_PLANO,MATCH($G1407,SUBCATEGORIAS_PLANO,0)),"Não classificado"))</f>
        <v/>
      </c>
      <c r="AG1407" s="17">
        <f>IF($G1407="","",IFERROR(INDEX(TIPOS_FLUXO_PLANO,MATCH($G1407,SUBCATEGORIAS_PLANO,0)),"Não classificado"))</f>
        <v/>
      </c>
      <c r="AH1407" s="9">
        <f>IF($G1407="","",IFERROR(INDEX(GRUPOS_PLANO,MATCH($G1407,SUBCATEGORIAS_PLANO,0)),"Não classificado"))</f>
        <v/>
      </c>
      <c r="AI1407" s="24">
        <f>IF(OR($C1407="",$X1407="Pago",$X1407="Recebido",$X1407="Cancelado"),"",$C1407-TODAY())</f>
        <v/>
      </c>
      <c r="AJ1407" s="24">
        <f>IF(OR($C1407="",$X1407="Pago",$X1407="Recebido",$X1407="Cancelado"),0,MAX(0,TODAY()-$C1407))</f>
        <v/>
      </c>
      <c r="AK1407" s="24">
        <f>IF($D1407="","",$D1407-$B1407)</f>
        <v/>
      </c>
      <c r="AL1407" s="18">
        <f>IF(OR($D1407="",$B1407=""),"",ROUND(N($R1407)*($D1407-$B1407),2))</f>
        <v/>
      </c>
      <c r="AM1407" s="17">
        <f>IF(AND($E1407="Saída",$W1407&gt;0,$C1407&lt;&gt;""),$C1407+ROW()/1000000,"")</f>
        <v/>
      </c>
      <c r="AN1407" s="17">
        <f>IF(AND($E1407="Entrada",$W1407&gt;0,$C1407&lt;&gt;""),$C1407+ROW()/1000000,"")</f>
        <v/>
      </c>
      <c r="AO1407" s="9">
        <f>IF(COUNTA($B1407:$R1407)=0,"",IF(AND($I1407&lt;&gt;"",COUNTIF(CLIENTES_NOMES,$I1407)+COUNTIF(CLIENTES_FANTASIA,$I1407)+COUNTIF(FORNECEDORES_NOMES,$I1407)+COUNTIF(FORNECEDORES_FANTASIA,$I1407)=0),"⚠ Cliente/Fornecedor não cadastrado",IF(AND($G1407&lt;&gt;"",COUNTIF(SUBCATEGORIAS_PLANO,$G1407)=0),"⚠ Subcategoria fora do plano de contas",IF(OR($Q1407="",N($Q1407)=0),"⚠ Valor previsto não informado",IF(AND(OR($X1407="Pago",$X1407="Recebido"),$D1407=""),"⚠ Status pago/recebido sem data",IF(AND($D1407&lt;&gt;"",N($R1407)=0),"⚠ Data de pagamento sem valor realizado",IF(AND(N($P1407)&gt;1,N($O1407)&gt;N($P1407)),"⚠ Nº da parcela maior que o total",IF(AND($C1407&lt;&gt;"",$B1407&lt;&gt;"",$C1407&lt;$B1407),"⚠ Vencimento anterior à competência","OK"))))))))</f>
        <v/>
      </c>
    </row>
    <row r="1408">
      <c r="A1408" s="14" t="n"/>
      <c r="B1408" s="36" t="n"/>
      <c r="C1408" s="36" t="n"/>
      <c r="D1408" s="36" t="n"/>
      <c r="E1408" s="14" t="n"/>
      <c r="F1408" s="29" t="n"/>
      <c r="G1408" s="29" t="n"/>
      <c r="H1408" s="29" t="n"/>
      <c r="I1408" s="29" t="n"/>
      <c r="J1408" s="29" t="n"/>
      <c r="K1408" s="14" t="n"/>
      <c r="L1408" s="29" t="n"/>
      <c r="M1408" s="14" t="n"/>
      <c r="N1408" s="29" t="n"/>
      <c r="O1408" s="13" t="n"/>
      <c r="P1408" s="13" t="n"/>
      <c r="Q1408" s="35" t="n"/>
      <c r="R1408" s="35" t="n"/>
      <c r="S1408" s="35" t="n"/>
      <c r="T1408" s="35" t="n"/>
      <c r="U1408" s="35" t="n"/>
      <c r="V1408" s="18">
        <f>IF(COUNTA($B1408:$R1408)=0,"",ROUND(N($R1408)+N($S1408)+N($T1408)-N($U1408),2))</f>
        <v/>
      </c>
      <c r="W1408" s="18">
        <f>IF(COUNTA($B1408:$R1408)=0,"",IF(OR($X1408="Pago",$X1408="Recebido",$X1408="Cancelado"),0,ROUND(N($Q1408)+N($S1408)+N($T1408)-N($U1408)-N($R1408),2)))</f>
        <v/>
      </c>
      <c r="X1408" s="14" t="n"/>
      <c r="Y1408" s="17">
        <f>IF(COUNTA($B1408:$R1408)=0,"",IF($X1408="Cancelado","Cancelado",IF(OR($X1408="Pago",$X1408="Recebido"),$X1408,IF(OR($X1408="Parcial",N($R1408)&gt;0),"Parcial",IF($C1408="","Sem vencimento",IF($C1408&lt;TODAY(),"Vencido",IF($C1408=TODAY(),"Vence hoje",IF($C1408&lt;=TODAY()+7,"Vence em 7 dias",IF($C1408&lt;=TODAY()+30,"Vence em 30 dias","Futuro")))))))))</f>
        <v/>
      </c>
      <c r="Z1408" s="24">
        <f>IF($B1408="","",MONTH($B1408))</f>
        <v/>
      </c>
      <c r="AA1408" s="24">
        <f>IF($B1408="","",YEAR($B1408))</f>
        <v/>
      </c>
      <c r="AB1408" s="24">
        <f>IF($B1408="","",ISOWEEKNUM($B1408))</f>
        <v/>
      </c>
      <c r="AC1408" s="17">
        <f>IF($B1408="","",CHOOSE(WEEKDAY($B1408,2),"Segunda","Terça","Quarta","Quinta","Sexta","Sábado","Domingo"))</f>
        <v/>
      </c>
      <c r="AD1408" s="17">
        <f>IF($B1408="","",TEXT($B1408,"MM/AAAA"))</f>
        <v/>
      </c>
      <c r="AE1408" s="18">
        <f>IF(COUNTA($B1408:$R1408)=0,"",IF($X1408="Cancelado",0,ROUND(N($Q1408)+N($S1408)+N($T1408)-N($U1408),2)))</f>
        <v/>
      </c>
      <c r="AF1408" s="9">
        <f>IF($G1408="","",IFERROR(INDEX(LINHAS_DRE_PLANO,MATCH($G1408,SUBCATEGORIAS_PLANO,0)),"Não classificado"))</f>
        <v/>
      </c>
      <c r="AG1408" s="17">
        <f>IF($G1408="","",IFERROR(INDEX(TIPOS_FLUXO_PLANO,MATCH($G1408,SUBCATEGORIAS_PLANO,0)),"Não classificado"))</f>
        <v/>
      </c>
      <c r="AH1408" s="9">
        <f>IF($G1408="","",IFERROR(INDEX(GRUPOS_PLANO,MATCH($G1408,SUBCATEGORIAS_PLANO,0)),"Não classificado"))</f>
        <v/>
      </c>
      <c r="AI1408" s="24">
        <f>IF(OR($C1408="",$X1408="Pago",$X1408="Recebido",$X1408="Cancelado"),"",$C1408-TODAY())</f>
        <v/>
      </c>
      <c r="AJ1408" s="24">
        <f>IF(OR($C1408="",$X1408="Pago",$X1408="Recebido",$X1408="Cancelado"),0,MAX(0,TODAY()-$C1408))</f>
        <v/>
      </c>
      <c r="AK1408" s="24">
        <f>IF($D1408="","",$D1408-$B1408)</f>
        <v/>
      </c>
      <c r="AL1408" s="18">
        <f>IF(OR($D1408="",$B1408=""),"",ROUND(N($R1408)*($D1408-$B1408),2))</f>
        <v/>
      </c>
      <c r="AM1408" s="17">
        <f>IF(AND($E1408="Saída",$W1408&gt;0,$C1408&lt;&gt;""),$C1408+ROW()/1000000,"")</f>
        <v/>
      </c>
      <c r="AN1408" s="17">
        <f>IF(AND($E1408="Entrada",$W1408&gt;0,$C1408&lt;&gt;""),$C1408+ROW()/1000000,"")</f>
        <v/>
      </c>
      <c r="AO1408" s="9">
        <f>IF(COUNTA($B1408:$R1408)=0,"",IF(AND($I1408&lt;&gt;"",COUNTIF(CLIENTES_NOMES,$I1408)+COUNTIF(CLIENTES_FANTASIA,$I1408)+COUNTIF(FORNECEDORES_NOMES,$I1408)+COUNTIF(FORNECEDORES_FANTASIA,$I1408)=0),"⚠ Cliente/Fornecedor não cadastrado",IF(AND($G1408&lt;&gt;"",COUNTIF(SUBCATEGORIAS_PLANO,$G1408)=0),"⚠ Subcategoria fora do plano de contas",IF(OR($Q1408="",N($Q1408)=0),"⚠ Valor previsto não informado",IF(AND(OR($X1408="Pago",$X1408="Recebido"),$D1408=""),"⚠ Status pago/recebido sem data",IF(AND($D1408&lt;&gt;"",N($R1408)=0),"⚠ Data de pagamento sem valor realizado",IF(AND(N($P1408)&gt;1,N($O1408)&gt;N($P1408)),"⚠ Nº da parcela maior que o total",IF(AND($C1408&lt;&gt;"",$B1408&lt;&gt;"",$C1408&lt;$B1408),"⚠ Vencimento anterior à competência","OK"))))))))</f>
        <v/>
      </c>
    </row>
    <row r="1409">
      <c r="A1409" s="14" t="n"/>
      <c r="B1409" s="36" t="n"/>
      <c r="C1409" s="36" t="n"/>
      <c r="D1409" s="36" t="n"/>
      <c r="E1409" s="14" t="n"/>
      <c r="F1409" s="29" t="n"/>
      <c r="G1409" s="29" t="n"/>
      <c r="H1409" s="29" t="n"/>
      <c r="I1409" s="29" t="n"/>
      <c r="J1409" s="29" t="n"/>
      <c r="K1409" s="14" t="n"/>
      <c r="L1409" s="29" t="n"/>
      <c r="M1409" s="14" t="n"/>
      <c r="N1409" s="29" t="n"/>
      <c r="O1409" s="13" t="n"/>
      <c r="P1409" s="13" t="n"/>
      <c r="Q1409" s="35" t="n"/>
      <c r="R1409" s="35" t="n"/>
      <c r="S1409" s="35" t="n"/>
      <c r="T1409" s="35" t="n"/>
      <c r="U1409" s="35" t="n"/>
      <c r="V1409" s="18">
        <f>IF(COUNTA($B1409:$R1409)=0,"",ROUND(N($R1409)+N($S1409)+N($T1409)-N($U1409),2))</f>
        <v/>
      </c>
      <c r="W1409" s="18">
        <f>IF(COUNTA($B1409:$R1409)=0,"",IF(OR($X1409="Pago",$X1409="Recebido",$X1409="Cancelado"),0,ROUND(N($Q1409)+N($S1409)+N($T1409)-N($U1409)-N($R1409),2)))</f>
        <v/>
      </c>
      <c r="X1409" s="14" t="n"/>
      <c r="Y1409" s="17">
        <f>IF(COUNTA($B1409:$R1409)=0,"",IF($X1409="Cancelado","Cancelado",IF(OR($X1409="Pago",$X1409="Recebido"),$X1409,IF(OR($X1409="Parcial",N($R1409)&gt;0),"Parcial",IF($C1409="","Sem vencimento",IF($C1409&lt;TODAY(),"Vencido",IF($C1409=TODAY(),"Vence hoje",IF($C1409&lt;=TODAY()+7,"Vence em 7 dias",IF($C1409&lt;=TODAY()+30,"Vence em 30 dias","Futuro")))))))))</f>
        <v/>
      </c>
      <c r="Z1409" s="24">
        <f>IF($B1409="","",MONTH($B1409))</f>
        <v/>
      </c>
      <c r="AA1409" s="24">
        <f>IF($B1409="","",YEAR($B1409))</f>
        <v/>
      </c>
      <c r="AB1409" s="24">
        <f>IF($B1409="","",ISOWEEKNUM($B1409))</f>
        <v/>
      </c>
      <c r="AC1409" s="17">
        <f>IF($B1409="","",CHOOSE(WEEKDAY($B1409,2),"Segunda","Terça","Quarta","Quinta","Sexta","Sábado","Domingo"))</f>
        <v/>
      </c>
      <c r="AD1409" s="17">
        <f>IF($B1409="","",TEXT($B1409,"MM/AAAA"))</f>
        <v/>
      </c>
      <c r="AE1409" s="18">
        <f>IF(COUNTA($B1409:$R1409)=0,"",IF($X1409="Cancelado",0,ROUND(N($Q1409)+N($S1409)+N($T1409)-N($U1409),2)))</f>
        <v/>
      </c>
      <c r="AF1409" s="9">
        <f>IF($G1409="","",IFERROR(INDEX(LINHAS_DRE_PLANO,MATCH($G1409,SUBCATEGORIAS_PLANO,0)),"Não classificado"))</f>
        <v/>
      </c>
      <c r="AG1409" s="17">
        <f>IF($G1409="","",IFERROR(INDEX(TIPOS_FLUXO_PLANO,MATCH($G1409,SUBCATEGORIAS_PLANO,0)),"Não classificado"))</f>
        <v/>
      </c>
      <c r="AH1409" s="9">
        <f>IF($G1409="","",IFERROR(INDEX(GRUPOS_PLANO,MATCH($G1409,SUBCATEGORIAS_PLANO,0)),"Não classificado"))</f>
        <v/>
      </c>
      <c r="AI1409" s="24">
        <f>IF(OR($C1409="",$X1409="Pago",$X1409="Recebido",$X1409="Cancelado"),"",$C1409-TODAY())</f>
        <v/>
      </c>
      <c r="AJ1409" s="24">
        <f>IF(OR($C1409="",$X1409="Pago",$X1409="Recebido",$X1409="Cancelado"),0,MAX(0,TODAY()-$C1409))</f>
        <v/>
      </c>
      <c r="AK1409" s="24">
        <f>IF($D1409="","",$D1409-$B1409)</f>
        <v/>
      </c>
      <c r="AL1409" s="18">
        <f>IF(OR($D1409="",$B1409=""),"",ROUND(N($R1409)*($D1409-$B1409),2))</f>
        <v/>
      </c>
      <c r="AM1409" s="17">
        <f>IF(AND($E1409="Saída",$W1409&gt;0,$C1409&lt;&gt;""),$C1409+ROW()/1000000,"")</f>
        <v/>
      </c>
      <c r="AN1409" s="17">
        <f>IF(AND($E1409="Entrada",$W1409&gt;0,$C1409&lt;&gt;""),$C1409+ROW()/1000000,"")</f>
        <v/>
      </c>
      <c r="AO1409" s="9">
        <f>IF(COUNTA($B1409:$R1409)=0,"",IF(AND($I1409&lt;&gt;"",COUNTIF(CLIENTES_NOMES,$I1409)+COUNTIF(CLIENTES_FANTASIA,$I1409)+COUNTIF(FORNECEDORES_NOMES,$I1409)+COUNTIF(FORNECEDORES_FANTASIA,$I1409)=0),"⚠ Cliente/Fornecedor não cadastrado",IF(AND($G1409&lt;&gt;"",COUNTIF(SUBCATEGORIAS_PLANO,$G1409)=0),"⚠ Subcategoria fora do plano de contas",IF(OR($Q1409="",N($Q1409)=0),"⚠ Valor previsto não informado",IF(AND(OR($X1409="Pago",$X1409="Recebido"),$D1409=""),"⚠ Status pago/recebido sem data",IF(AND($D1409&lt;&gt;"",N($R1409)=0),"⚠ Data de pagamento sem valor realizado",IF(AND(N($P1409)&gt;1,N($O1409)&gt;N($P1409)),"⚠ Nº da parcela maior que o total",IF(AND($C1409&lt;&gt;"",$B1409&lt;&gt;"",$C1409&lt;$B1409),"⚠ Vencimento anterior à competência","OK"))))))))</f>
        <v/>
      </c>
    </row>
    <row r="1410">
      <c r="A1410" s="14" t="n"/>
      <c r="B1410" s="36" t="n"/>
      <c r="C1410" s="36" t="n"/>
      <c r="D1410" s="36" t="n"/>
      <c r="E1410" s="14" t="n"/>
      <c r="F1410" s="29" t="n"/>
      <c r="G1410" s="29" t="n"/>
      <c r="H1410" s="29" t="n"/>
      <c r="I1410" s="29" t="n"/>
      <c r="J1410" s="29" t="n"/>
      <c r="K1410" s="14" t="n"/>
      <c r="L1410" s="29" t="n"/>
      <c r="M1410" s="14" t="n"/>
      <c r="N1410" s="29" t="n"/>
      <c r="O1410" s="13" t="n"/>
      <c r="P1410" s="13" t="n"/>
      <c r="Q1410" s="35" t="n"/>
      <c r="R1410" s="35" t="n"/>
      <c r="S1410" s="35" t="n"/>
      <c r="T1410" s="35" t="n"/>
      <c r="U1410" s="35" t="n"/>
      <c r="V1410" s="18">
        <f>IF(COUNTA($B1410:$R1410)=0,"",ROUND(N($R1410)+N($S1410)+N($T1410)-N($U1410),2))</f>
        <v/>
      </c>
      <c r="W1410" s="18">
        <f>IF(COUNTA($B1410:$R1410)=0,"",IF(OR($X1410="Pago",$X1410="Recebido",$X1410="Cancelado"),0,ROUND(N($Q1410)+N($S1410)+N($T1410)-N($U1410)-N($R1410),2)))</f>
        <v/>
      </c>
      <c r="X1410" s="14" t="n"/>
      <c r="Y1410" s="17">
        <f>IF(COUNTA($B1410:$R1410)=0,"",IF($X1410="Cancelado","Cancelado",IF(OR($X1410="Pago",$X1410="Recebido"),$X1410,IF(OR($X1410="Parcial",N($R1410)&gt;0),"Parcial",IF($C1410="","Sem vencimento",IF($C1410&lt;TODAY(),"Vencido",IF($C1410=TODAY(),"Vence hoje",IF($C1410&lt;=TODAY()+7,"Vence em 7 dias",IF($C1410&lt;=TODAY()+30,"Vence em 30 dias","Futuro")))))))))</f>
        <v/>
      </c>
      <c r="Z1410" s="24">
        <f>IF($B1410="","",MONTH($B1410))</f>
        <v/>
      </c>
      <c r="AA1410" s="24">
        <f>IF($B1410="","",YEAR($B1410))</f>
        <v/>
      </c>
      <c r="AB1410" s="24">
        <f>IF($B1410="","",ISOWEEKNUM($B1410))</f>
        <v/>
      </c>
      <c r="AC1410" s="17">
        <f>IF($B1410="","",CHOOSE(WEEKDAY($B1410,2),"Segunda","Terça","Quarta","Quinta","Sexta","Sábado","Domingo"))</f>
        <v/>
      </c>
      <c r="AD1410" s="17">
        <f>IF($B1410="","",TEXT($B1410,"MM/AAAA"))</f>
        <v/>
      </c>
      <c r="AE1410" s="18">
        <f>IF(COUNTA($B1410:$R1410)=0,"",IF($X1410="Cancelado",0,ROUND(N($Q1410)+N($S1410)+N($T1410)-N($U1410),2)))</f>
        <v/>
      </c>
      <c r="AF1410" s="9">
        <f>IF($G1410="","",IFERROR(INDEX(LINHAS_DRE_PLANO,MATCH($G1410,SUBCATEGORIAS_PLANO,0)),"Não classificado"))</f>
        <v/>
      </c>
      <c r="AG1410" s="17">
        <f>IF($G1410="","",IFERROR(INDEX(TIPOS_FLUXO_PLANO,MATCH($G1410,SUBCATEGORIAS_PLANO,0)),"Não classificado"))</f>
        <v/>
      </c>
      <c r="AH1410" s="9">
        <f>IF($G1410="","",IFERROR(INDEX(GRUPOS_PLANO,MATCH($G1410,SUBCATEGORIAS_PLANO,0)),"Não classificado"))</f>
        <v/>
      </c>
      <c r="AI1410" s="24">
        <f>IF(OR($C1410="",$X1410="Pago",$X1410="Recebido",$X1410="Cancelado"),"",$C1410-TODAY())</f>
        <v/>
      </c>
      <c r="AJ1410" s="24">
        <f>IF(OR($C1410="",$X1410="Pago",$X1410="Recebido",$X1410="Cancelado"),0,MAX(0,TODAY()-$C1410))</f>
        <v/>
      </c>
      <c r="AK1410" s="24">
        <f>IF($D1410="","",$D1410-$B1410)</f>
        <v/>
      </c>
      <c r="AL1410" s="18">
        <f>IF(OR($D1410="",$B1410=""),"",ROUND(N($R1410)*($D1410-$B1410),2))</f>
        <v/>
      </c>
      <c r="AM1410" s="17">
        <f>IF(AND($E1410="Saída",$W1410&gt;0,$C1410&lt;&gt;""),$C1410+ROW()/1000000,"")</f>
        <v/>
      </c>
      <c r="AN1410" s="17">
        <f>IF(AND($E1410="Entrada",$W1410&gt;0,$C1410&lt;&gt;""),$C1410+ROW()/1000000,"")</f>
        <v/>
      </c>
      <c r="AO1410" s="9">
        <f>IF(COUNTA($B1410:$R1410)=0,"",IF(AND($I1410&lt;&gt;"",COUNTIF(CLIENTES_NOMES,$I1410)+COUNTIF(CLIENTES_FANTASIA,$I1410)+COUNTIF(FORNECEDORES_NOMES,$I1410)+COUNTIF(FORNECEDORES_FANTASIA,$I1410)=0),"⚠ Cliente/Fornecedor não cadastrado",IF(AND($G1410&lt;&gt;"",COUNTIF(SUBCATEGORIAS_PLANO,$G1410)=0),"⚠ Subcategoria fora do plano de contas",IF(OR($Q1410="",N($Q1410)=0),"⚠ Valor previsto não informado",IF(AND(OR($X1410="Pago",$X1410="Recebido"),$D1410=""),"⚠ Status pago/recebido sem data",IF(AND($D1410&lt;&gt;"",N($R1410)=0),"⚠ Data de pagamento sem valor realizado",IF(AND(N($P1410)&gt;1,N($O1410)&gt;N($P1410)),"⚠ Nº da parcela maior que o total",IF(AND($C1410&lt;&gt;"",$B1410&lt;&gt;"",$C1410&lt;$B1410),"⚠ Vencimento anterior à competência","OK"))))))))</f>
        <v/>
      </c>
    </row>
    <row r="1411">
      <c r="A1411" s="14" t="n"/>
      <c r="B1411" s="36" t="n"/>
      <c r="C1411" s="36" t="n"/>
      <c r="D1411" s="36" t="n"/>
      <c r="E1411" s="14" t="n"/>
      <c r="F1411" s="29" t="n"/>
      <c r="G1411" s="29" t="n"/>
      <c r="H1411" s="29" t="n"/>
      <c r="I1411" s="29" t="n"/>
      <c r="J1411" s="29" t="n"/>
      <c r="K1411" s="14" t="n"/>
      <c r="L1411" s="29" t="n"/>
      <c r="M1411" s="14" t="n"/>
      <c r="N1411" s="29" t="n"/>
      <c r="O1411" s="13" t="n"/>
      <c r="P1411" s="13" t="n"/>
      <c r="Q1411" s="35" t="n"/>
      <c r="R1411" s="35" t="n"/>
      <c r="S1411" s="35" t="n"/>
      <c r="T1411" s="35" t="n"/>
      <c r="U1411" s="35" t="n"/>
      <c r="V1411" s="18">
        <f>IF(COUNTA($B1411:$R1411)=0,"",ROUND(N($R1411)+N($S1411)+N($T1411)-N($U1411),2))</f>
        <v/>
      </c>
      <c r="W1411" s="18">
        <f>IF(COUNTA($B1411:$R1411)=0,"",IF(OR($X1411="Pago",$X1411="Recebido",$X1411="Cancelado"),0,ROUND(N($Q1411)+N($S1411)+N($T1411)-N($U1411)-N($R1411),2)))</f>
        <v/>
      </c>
      <c r="X1411" s="14" t="n"/>
      <c r="Y1411" s="17">
        <f>IF(COUNTA($B1411:$R1411)=0,"",IF($X1411="Cancelado","Cancelado",IF(OR($X1411="Pago",$X1411="Recebido"),$X1411,IF(OR($X1411="Parcial",N($R1411)&gt;0),"Parcial",IF($C1411="","Sem vencimento",IF($C1411&lt;TODAY(),"Vencido",IF($C1411=TODAY(),"Vence hoje",IF($C1411&lt;=TODAY()+7,"Vence em 7 dias",IF($C1411&lt;=TODAY()+30,"Vence em 30 dias","Futuro")))))))))</f>
        <v/>
      </c>
      <c r="Z1411" s="24">
        <f>IF($B1411="","",MONTH($B1411))</f>
        <v/>
      </c>
      <c r="AA1411" s="24">
        <f>IF($B1411="","",YEAR($B1411))</f>
        <v/>
      </c>
      <c r="AB1411" s="24">
        <f>IF($B1411="","",ISOWEEKNUM($B1411))</f>
        <v/>
      </c>
      <c r="AC1411" s="17">
        <f>IF($B1411="","",CHOOSE(WEEKDAY($B1411,2),"Segunda","Terça","Quarta","Quinta","Sexta","Sábado","Domingo"))</f>
        <v/>
      </c>
      <c r="AD1411" s="17">
        <f>IF($B1411="","",TEXT($B1411,"MM/AAAA"))</f>
        <v/>
      </c>
      <c r="AE1411" s="18">
        <f>IF(COUNTA($B1411:$R1411)=0,"",IF($X1411="Cancelado",0,ROUND(N($Q1411)+N($S1411)+N($T1411)-N($U1411),2)))</f>
        <v/>
      </c>
      <c r="AF1411" s="9">
        <f>IF($G1411="","",IFERROR(INDEX(LINHAS_DRE_PLANO,MATCH($G1411,SUBCATEGORIAS_PLANO,0)),"Não classificado"))</f>
        <v/>
      </c>
      <c r="AG1411" s="17">
        <f>IF($G1411="","",IFERROR(INDEX(TIPOS_FLUXO_PLANO,MATCH($G1411,SUBCATEGORIAS_PLANO,0)),"Não classificado"))</f>
        <v/>
      </c>
      <c r="AH1411" s="9">
        <f>IF($G1411="","",IFERROR(INDEX(GRUPOS_PLANO,MATCH($G1411,SUBCATEGORIAS_PLANO,0)),"Não classificado"))</f>
        <v/>
      </c>
      <c r="AI1411" s="24">
        <f>IF(OR($C1411="",$X1411="Pago",$X1411="Recebido",$X1411="Cancelado"),"",$C1411-TODAY())</f>
        <v/>
      </c>
      <c r="AJ1411" s="24">
        <f>IF(OR($C1411="",$X1411="Pago",$X1411="Recebido",$X1411="Cancelado"),0,MAX(0,TODAY()-$C1411))</f>
        <v/>
      </c>
      <c r="AK1411" s="24">
        <f>IF($D1411="","",$D1411-$B1411)</f>
        <v/>
      </c>
      <c r="AL1411" s="18">
        <f>IF(OR($D1411="",$B1411=""),"",ROUND(N($R1411)*($D1411-$B1411),2))</f>
        <v/>
      </c>
      <c r="AM1411" s="17">
        <f>IF(AND($E1411="Saída",$W1411&gt;0,$C1411&lt;&gt;""),$C1411+ROW()/1000000,"")</f>
        <v/>
      </c>
      <c r="AN1411" s="17">
        <f>IF(AND($E1411="Entrada",$W1411&gt;0,$C1411&lt;&gt;""),$C1411+ROW()/1000000,"")</f>
        <v/>
      </c>
      <c r="AO1411" s="9">
        <f>IF(COUNTA($B1411:$R1411)=0,"",IF(AND($I1411&lt;&gt;"",COUNTIF(CLIENTES_NOMES,$I1411)+COUNTIF(CLIENTES_FANTASIA,$I1411)+COUNTIF(FORNECEDORES_NOMES,$I1411)+COUNTIF(FORNECEDORES_FANTASIA,$I1411)=0),"⚠ Cliente/Fornecedor não cadastrado",IF(AND($G1411&lt;&gt;"",COUNTIF(SUBCATEGORIAS_PLANO,$G1411)=0),"⚠ Subcategoria fora do plano de contas",IF(OR($Q1411="",N($Q1411)=0),"⚠ Valor previsto não informado",IF(AND(OR($X1411="Pago",$X1411="Recebido"),$D1411=""),"⚠ Status pago/recebido sem data",IF(AND($D1411&lt;&gt;"",N($R1411)=0),"⚠ Data de pagamento sem valor realizado",IF(AND(N($P1411)&gt;1,N($O1411)&gt;N($P1411)),"⚠ Nº da parcela maior que o total",IF(AND($C1411&lt;&gt;"",$B1411&lt;&gt;"",$C1411&lt;$B1411),"⚠ Vencimento anterior à competência","OK"))))))))</f>
        <v/>
      </c>
    </row>
    <row r="1412">
      <c r="A1412" s="14" t="n"/>
      <c r="B1412" s="36" t="n"/>
      <c r="C1412" s="36" t="n"/>
      <c r="D1412" s="36" t="n"/>
      <c r="E1412" s="14" t="n"/>
      <c r="F1412" s="29" t="n"/>
      <c r="G1412" s="29" t="n"/>
      <c r="H1412" s="29" t="n"/>
      <c r="I1412" s="29" t="n"/>
      <c r="J1412" s="29" t="n"/>
      <c r="K1412" s="14" t="n"/>
      <c r="L1412" s="29" t="n"/>
      <c r="M1412" s="14" t="n"/>
      <c r="N1412" s="29" t="n"/>
      <c r="O1412" s="13" t="n"/>
      <c r="P1412" s="13" t="n"/>
      <c r="Q1412" s="35" t="n"/>
      <c r="R1412" s="35" t="n"/>
      <c r="S1412" s="35" t="n"/>
      <c r="T1412" s="35" t="n"/>
      <c r="U1412" s="35" t="n"/>
      <c r="V1412" s="18">
        <f>IF(COUNTA($B1412:$R1412)=0,"",ROUND(N($R1412)+N($S1412)+N($T1412)-N($U1412),2))</f>
        <v/>
      </c>
      <c r="W1412" s="18">
        <f>IF(COUNTA($B1412:$R1412)=0,"",IF(OR($X1412="Pago",$X1412="Recebido",$X1412="Cancelado"),0,ROUND(N($Q1412)+N($S1412)+N($T1412)-N($U1412)-N($R1412),2)))</f>
        <v/>
      </c>
      <c r="X1412" s="14" t="n"/>
      <c r="Y1412" s="17">
        <f>IF(COUNTA($B1412:$R1412)=0,"",IF($X1412="Cancelado","Cancelado",IF(OR($X1412="Pago",$X1412="Recebido"),$X1412,IF(OR($X1412="Parcial",N($R1412)&gt;0),"Parcial",IF($C1412="","Sem vencimento",IF($C1412&lt;TODAY(),"Vencido",IF($C1412=TODAY(),"Vence hoje",IF($C1412&lt;=TODAY()+7,"Vence em 7 dias",IF($C1412&lt;=TODAY()+30,"Vence em 30 dias","Futuro")))))))))</f>
        <v/>
      </c>
      <c r="Z1412" s="24">
        <f>IF($B1412="","",MONTH($B1412))</f>
        <v/>
      </c>
      <c r="AA1412" s="24">
        <f>IF($B1412="","",YEAR($B1412))</f>
        <v/>
      </c>
      <c r="AB1412" s="24">
        <f>IF($B1412="","",ISOWEEKNUM($B1412))</f>
        <v/>
      </c>
      <c r="AC1412" s="17">
        <f>IF($B1412="","",CHOOSE(WEEKDAY($B1412,2),"Segunda","Terça","Quarta","Quinta","Sexta","Sábado","Domingo"))</f>
        <v/>
      </c>
      <c r="AD1412" s="17">
        <f>IF($B1412="","",TEXT($B1412,"MM/AAAA"))</f>
        <v/>
      </c>
      <c r="AE1412" s="18">
        <f>IF(COUNTA($B1412:$R1412)=0,"",IF($X1412="Cancelado",0,ROUND(N($Q1412)+N($S1412)+N($T1412)-N($U1412),2)))</f>
        <v/>
      </c>
      <c r="AF1412" s="9">
        <f>IF($G1412="","",IFERROR(INDEX(LINHAS_DRE_PLANO,MATCH($G1412,SUBCATEGORIAS_PLANO,0)),"Não classificado"))</f>
        <v/>
      </c>
      <c r="AG1412" s="17">
        <f>IF($G1412="","",IFERROR(INDEX(TIPOS_FLUXO_PLANO,MATCH($G1412,SUBCATEGORIAS_PLANO,0)),"Não classificado"))</f>
        <v/>
      </c>
      <c r="AH1412" s="9">
        <f>IF($G1412="","",IFERROR(INDEX(GRUPOS_PLANO,MATCH($G1412,SUBCATEGORIAS_PLANO,0)),"Não classificado"))</f>
        <v/>
      </c>
      <c r="AI1412" s="24">
        <f>IF(OR($C1412="",$X1412="Pago",$X1412="Recebido",$X1412="Cancelado"),"",$C1412-TODAY())</f>
        <v/>
      </c>
      <c r="AJ1412" s="24">
        <f>IF(OR($C1412="",$X1412="Pago",$X1412="Recebido",$X1412="Cancelado"),0,MAX(0,TODAY()-$C1412))</f>
        <v/>
      </c>
      <c r="AK1412" s="24">
        <f>IF($D1412="","",$D1412-$B1412)</f>
        <v/>
      </c>
      <c r="AL1412" s="18">
        <f>IF(OR($D1412="",$B1412=""),"",ROUND(N($R1412)*($D1412-$B1412),2))</f>
        <v/>
      </c>
      <c r="AM1412" s="17">
        <f>IF(AND($E1412="Saída",$W1412&gt;0,$C1412&lt;&gt;""),$C1412+ROW()/1000000,"")</f>
        <v/>
      </c>
      <c r="AN1412" s="17">
        <f>IF(AND($E1412="Entrada",$W1412&gt;0,$C1412&lt;&gt;""),$C1412+ROW()/1000000,"")</f>
        <v/>
      </c>
      <c r="AO1412" s="9">
        <f>IF(COUNTA($B1412:$R1412)=0,"",IF(AND($I1412&lt;&gt;"",COUNTIF(CLIENTES_NOMES,$I1412)+COUNTIF(CLIENTES_FANTASIA,$I1412)+COUNTIF(FORNECEDORES_NOMES,$I1412)+COUNTIF(FORNECEDORES_FANTASIA,$I1412)=0),"⚠ Cliente/Fornecedor não cadastrado",IF(AND($G1412&lt;&gt;"",COUNTIF(SUBCATEGORIAS_PLANO,$G1412)=0),"⚠ Subcategoria fora do plano de contas",IF(OR($Q1412="",N($Q1412)=0),"⚠ Valor previsto não informado",IF(AND(OR($X1412="Pago",$X1412="Recebido"),$D1412=""),"⚠ Status pago/recebido sem data",IF(AND($D1412&lt;&gt;"",N($R1412)=0),"⚠ Data de pagamento sem valor realizado",IF(AND(N($P1412)&gt;1,N($O1412)&gt;N($P1412)),"⚠ Nº da parcela maior que o total",IF(AND($C1412&lt;&gt;"",$B1412&lt;&gt;"",$C1412&lt;$B1412),"⚠ Vencimento anterior à competência","OK"))))))))</f>
        <v/>
      </c>
    </row>
    <row r="1413">
      <c r="A1413" s="14" t="n"/>
      <c r="B1413" s="36" t="n"/>
      <c r="C1413" s="36" t="n"/>
      <c r="D1413" s="36" t="n"/>
      <c r="E1413" s="14" t="n"/>
      <c r="F1413" s="29" t="n"/>
      <c r="G1413" s="29" t="n"/>
      <c r="H1413" s="29" t="n"/>
      <c r="I1413" s="29" t="n"/>
      <c r="J1413" s="29" t="n"/>
      <c r="K1413" s="14" t="n"/>
      <c r="L1413" s="29" t="n"/>
      <c r="M1413" s="14" t="n"/>
      <c r="N1413" s="29" t="n"/>
      <c r="O1413" s="13" t="n"/>
      <c r="P1413" s="13" t="n"/>
      <c r="Q1413" s="35" t="n"/>
      <c r="R1413" s="35" t="n"/>
      <c r="S1413" s="35" t="n"/>
      <c r="T1413" s="35" t="n"/>
      <c r="U1413" s="35" t="n"/>
      <c r="V1413" s="18">
        <f>IF(COUNTA($B1413:$R1413)=0,"",ROUND(N($R1413)+N($S1413)+N($T1413)-N($U1413),2))</f>
        <v/>
      </c>
      <c r="W1413" s="18">
        <f>IF(COUNTA($B1413:$R1413)=0,"",IF(OR($X1413="Pago",$X1413="Recebido",$X1413="Cancelado"),0,ROUND(N($Q1413)+N($S1413)+N($T1413)-N($U1413)-N($R1413),2)))</f>
        <v/>
      </c>
      <c r="X1413" s="14" t="n"/>
      <c r="Y1413" s="17">
        <f>IF(COUNTA($B1413:$R1413)=0,"",IF($X1413="Cancelado","Cancelado",IF(OR($X1413="Pago",$X1413="Recebido"),$X1413,IF(OR($X1413="Parcial",N($R1413)&gt;0),"Parcial",IF($C1413="","Sem vencimento",IF($C1413&lt;TODAY(),"Vencido",IF($C1413=TODAY(),"Vence hoje",IF($C1413&lt;=TODAY()+7,"Vence em 7 dias",IF($C1413&lt;=TODAY()+30,"Vence em 30 dias","Futuro")))))))))</f>
        <v/>
      </c>
      <c r="Z1413" s="24">
        <f>IF($B1413="","",MONTH($B1413))</f>
        <v/>
      </c>
      <c r="AA1413" s="24">
        <f>IF($B1413="","",YEAR($B1413))</f>
        <v/>
      </c>
      <c r="AB1413" s="24">
        <f>IF($B1413="","",ISOWEEKNUM($B1413))</f>
        <v/>
      </c>
      <c r="AC1413" s="17">
        <f>IF($B1413="","",CHOOSE(WEEKDAY($B1413,2),"Segunda","Terça","Quarta","Quinta","Sexta","Sábado","Domingo"))</f>
        <v/>
      </c>
      <c r="AD1413" s="17">
        <f>IF($B1413="","",TEXT($B1413,"MM/AAAA"))</f>
        <v/>
      </c>
      <c r="AE1413" s="18">
        <f>IF(COUNTA($B1413:$R1413)=0,"",IF($X1413="Cancelado",0,ROUND(N($Q1413)+N($S1413)+N($T1413)-N($U1413),2)))</f>
        <v/>
      </c>
      <c r="AF1413" s="9">
        <f>IF($G1413="","",IFERROR(INDEX(LINHAS_DRE_PLANO,MATCH($G1413,SUBCATEGORIAS_PLANO,0)),"Não classificado"))</f>
        <v/>
      </c>
      <c r="AG1413" s="17">
        <f>IF($G1413="","",IFERROR(INDEX(TIPOS_FLUXO_PLANO,MATCH($G1413,SUBCATEGORIAS_PLANO,0)),"Não classificado"))</f>
        <v/>
      </c>
      <c r="AH1413" s="9">
        <f>IF($G1413="","",IFERROR(INDEX(GRUPOS_PLANO,MATCH($G1413,SUBCATEGORIAS_PLANO,0)),"Não classificado"))</f>
        <v/>
      </c>
      <c r="AI1413" s="24">
        <f>IF(OR($C1413="",$X1413="Pago",$X1413="Recebido",$X1413="Cancelado"),"",$C1413-TODAY())</f>
        <v/>
      </c>
      <c r="AJ1413" s="24">
        <f>IF(OR($C1413="",$X1413="Pago",$X1413="Recebido",$X1413="Cancelado"),0,MAX(0,TODAY()-$C1413))</f>
        <v/>
      </c>
      <c r="AK1413" s="24">
        <f>IF($D1413="","",$D1413-$B1413)</f>
        <v/>
      </c>
      <c r="AL1413" s="18">
        <f>IF(OR($D1413="",$B1413=""),"",ROUND(N($R1413)*($D1413-$B1413),2))</f>
        <v/>
      </c>
      <c r="AM1413" s="17">
        <f>IF(AND($E1413="Saída",$W1413&gt;0,$C1413&lt;&gt;""),$C1413+ROW()/1000000,"")</f>
        <v/>
      </c>
      <c r="AN1413" s="17">
        <f>IF(AND($E1413="Entrada",$W1413&gt;0,$C1413&lt;&gt;""),$C1413+ROW()/1000000,"")</f>
        <v/>
      </c>
      <c r="AO1413" s="9">
        <f>IF(COUNTA($B1413:$R1413)=0,"",IF(AND($I1413&lt;&gt;"",COUNTIF(CLIENTES_NOMES,$I1413)+COUNTIF(CLIENTES_FANTASIA,$I1413)+COUNTIF(FORNECEDORES_NOMES,$I1413)+COUNTIF(FORNECEDORES_FANTASIA,$I1413)=0),"⚠ Cliente/Fornecedor não cadastrado",IF(AND($G1413&lt;&gt;"",COUNTIF(SUBCATEGORIAS_PLANO,$G1413)=0),"⚠ Subcategoria fora do plano de contas",IF(OR($Q1413="",N($Q1413)=0),"⚠ Valor previsto não informado",IF(AND(OR($X1413="Pago",$X1413="Recebido"),$D1413=""),"⚠ Status pago/recebido sem data",IF(AND($D1413&lt;&gt;"",N($R1413)=0),"⚠ Data de pagamento sem valor realizado",IF(AND(N($P1413)&gt;1,N($O1413)&gt;N($P1413)),"⚠ Nº da parcela maior que o total",IF(AND($C1413&lt;&gt;"",$B1413&lt;&gt;"",$C1413&lt;$B1413),"⚠ Vencimento anterior à competência","OK"))))))))</f>
        <v/>
      </c>
    </row>
    <row r="1414">
      <c r="A1414" s="14" t="n"/>
      <c r="B1414" s="36" t="n"/>
      <c r="C1414" s="36" t="n"/>
      <c r="D1414" s="36" t="n"/>
      <c r="E1414" s="14" t="n"/>
      <c r="F1414" s="29" t="n"/>
      <c r="G1414" s="29" t="n"/>
      <c r="H1414" s="29" t="n"/>
      <c r="I1414" s="29" t="n"/>
      <c r="J1414" s="29" t="n"/>
      <c r="K1414" s="14" t="n"/>
      <c r="L1414" s="29" t="n"/>
      <c r="M1414" s="14" t="n"/>
      <c r="N1414" s="29" t="n"/>
      <c r="O1414" s="13" t="n"/>
      <c r="P1414" s="13" t="n"/>
      <c r="Q1414" s="35" t="n"/>
      <c r="R1414" s="35" t="n"/>
      <c r="S1414" s="35" t="n"/>
      <c r="T1414" s="35" t="n"/>
      <c r="U1414" s="35" t="n"/>
      <c r="V1414" s="18">
        <f>IF(COUNTA($B1414:$R1414)=0,"",ROUND(N($R1414)+N($S1414)+N($T1414)-N($U1414),2))</f>
        <v/>
      </c>
      <c r="W1414" s="18">
        <f>IF(COUNTA($B1414:$R1414)=0,"",IF(OR($X1414="Pago",$X1414="Recebido",$X1414="Cancelado"),0,ROUND(N($Q1414)+N($S1414)+N($T1414)-N($U1414)-N($R1414),2)))</f>
        <v/>
      </c>
      <c r="X1414" s="14" t="n"/>
      <c r="Y1414" s="17">
        <f>IF(COUNTA($B1414:$R1414)=0,"",IF($X1414="Cancelado","Cancelado",IF(OR($X1414="Pago",$X1414="Recebido"),$X1414,IF(OR($X1414="Parcial",N($R1414)&gt;0),"Parcial",IF($C1414="","Sem vencimento",IF($C1414&lt;TODAY(),"Vencido",IF($C1414=TODAY(),"Vence hoje",IF($C1414&lt;=TODAY()+7,"Vence em 7 dias",IF($C1414&lt;=TODAY()+30,"Vence em 30 dias","Futuro")))))))))</f>
        <v/>
      </c>
      <c r="Z1414" s="24">
        <f>IF($B1414="","",MONTH($B1414))</f>
        <v/>
      </c>
      <c r="AA1414" s="24">
        <f>IF($B1414="","",YEAR($B1414))</f>
        <v/>
      </c>
      <c r="AB1414" s="24">
        <f>IF($B1414="","",ISOWEEKNUM($B1414))</f>
        <v/>
      </c>
      <c r="AC1414" s="17">
        <f>IF($B1414="","",CHOOSE(WEEKDAY($B1414,2),"Segunda","Terça","Quarta","Quinta","Sexta","Sábado","Domingo"))</f>
        <v/>
      </c>
      <c r="AD1414" s="17">
        <f>IF($B1414="","",TEXT($B1414,"MM/AAAA"))</f>
        <v/>
      </c>
      <c r="AE1414" s="18">
        <f>IF(COUNTA($B1414:$R1414)=0,"",IF($X1414="Cancelado",0,ROUND(N($Q1414)+N($S1414)+N($T1414)-N($U1414),2)))</f>
        <v/>
      </c>
      <c r="AF1414" s="9">
        <f>IF($G1414="","",IFERROR(INDEX(LINHAS_DRE_PLANO,MATCH($G1414,SUBCATEGORIAS_PLANO,0)),"Não classificado"))</f>
        <v/>
      </c>
      <c r="AG1414" s="17">
        <f>IF($G1414="","",IFERROR(INDEX(TIPOS_FLUXO_PLANO,MATCH($G1414,SUBCATEGORIAS_PLANO,0)),"Não classificado"))</f>
        <v/>
      </c>
      <c r="AH1414" s="9">
        <f>IF($G1414="","",IFERROR(INDEX(GRUPOS_PLANO,MATCH($G1414,SUBCATEGORIAS_PLANO,0)),"Não classificado"))</f>
        <v/>
      </c>
      <c r="AI1414" s="24">
        <f>IF(OR($C1414="",$X1414="Pago",$X1414="Recebido",$X1414="Cancelado"),"",$C1414-TODAY())</f>
        <v/>
      </c>
      <c r="AJ1414" s="24">
        <f>IF(OR($C1414="",$X1414="Pago",$X1414="Recebido",$X1414="Cancelado"),0,MAX(0,TODAY()-$C1414))</f>
        <v/>
      </c>
      <c r="AK1414" s="24">
        <f>IF($D1414="","",$D1414-$B1414)</f>
        <v/>
      </c>
      <c r="AL1414" s="18">
        <f>IF(OR($D1414="",$B1414=""),"",ROUND(N($R1414)*($D1414-$B1414),2))</f>
        <v/>
      </c>
      <c r="AM1414" s="17">
        <f>IF(AND($E1414="Saída",$W1414&gt;0,$C1414&lt;&gt;""),$C1414+ROW()/1000000,"")</f>
        <v/>
      </c>
      <c r="AN1414" s="17">
        <f>IF(AND($E1414="Entrada",$W1414&gt;0,$C1414&lt;&gt;""),$C1414+ROW()/1000000,"")</f>
        <v/>
      </c>
      <c r="AO1414" s="9">
        <f>IF(COUNTA($B1414:$R1414)=0,"",IF(AND($I1414&lt;&gt;"",COUNTIF(CLIENTES_NOMES,$I1414)+COUNTIF(CLIENTES_FANTASIA,$I1414)+COUNTIF(FORNECEDORES_NOMES,$I1414)+COUNTIF(FORNECEDORES_FANTASIA,$I1414)=0),"⚠ Cliente/Fornecedor não cadastrado",IF(AND($G1414&lt;&gt;"",COUNTIF(SUBCATEGORIAS_PLANO,$G1414)=0),"⚠ Subcategoria fora do plano de contas",IF(OR($Q1414="",N($Q1414)=0),"⚠ Valor previsto não informado",IF(AND(OR($X1414="Pago",$X1414="Recebido"),$D1414=""),"⚠ Status pago/recebido sem data",IF(AND($D1414&lt;&gt;"",N($R1414)=0),"⚠ Data de pagamento sem valor realizado",IF(AND(N($P1414)&gt;1,N($O1414)&gt;N($P1414)),"⚠ Nº da parcela maior que o total",IF(AND($C1414&lt;&gt;"",$B1414&lt;&gt;"",$C1414&lt;$B1414),"⚠ Vencimento anterior à competência","OK"))))))))</f>
        <v/>
      </c>
    </row>
    <row r="1415">
      <c r="A1415" s="14" t="n"/>
      <c r="B1415" s="36" t="n"/>
      <c r="C1415" s="36" t="n"/>
      <c r="D1415" s="36" t="n"/>
      <c r="E1415" s="14" t="n"/>
      <c r="F1415" s="29" t="n"/>
      <c r="G1415" s="29" t="n"/>
      <c r="H1415" s="29" t="n"/>
      <c r="I1415" s="29" t="n"/>
      <c r="J1415" s="29" t="n"/>
      <c r="K1415" s="14" t="n"/>
      <c r="L1415" s="29" t="n"/>
      <c r="M1415" s="14" t="n"/>
      <c r="N1415" s="29" t="n"/>
      <c r="O1415" s="13" t="n"/>
      <c r="P1415" s="13" t="n"/>
      <c r="Q1415" s="35" t="n"/>
      <c r="R1415" s="35" t="n"/>
      <c r="S1415" s="35" t="n"/>
      <c r="T1415" s="35" t="n"/>
      <c r="U1415" s="35" t="n"/>
      <c r="V1415" s="18">
        <f>IF(COUNTA($B1415:$R1415)=0,"",ROUND(N($R1415)+N($S1415)+N($T1415)-N($U1415),2))</f>
        <v/>
      </c>
      <c r="W1415" s="18">
        <f>IF(COUNTA($B1415:$R1415)=0,"",IF(OR($X1415="Pago",$X1415="Recebido",$X1415="Cancelado"),0,ROUND(N($Q1415)+N($S1415)+N($T1415)-N($U1415)-N($R1415),2)))</f>
        <v/>
      </c>
      <c r="X1415" s="14" t="n"/>
      <c r="Y1415" s="17">
        <f>IF(COUNTA($B1415:$R1415)=0,"",IF($X1415="Cancelado","Cancelado",IF(OR($X1415="Pago",$X1415="Recebido"),$X1415,IF(OR($X1415="Parcial",N($R1415)&gt;0),"Parcial",IF($C1415="","Sem vencimento",IF($C1415&lt;TODAY(),"Vencido",IF($C1415=TODAY(),"Vence hoje",IF($C1415&lt;=TODAY()+7,"Vence em 7 dias",IF($C1415&lt;=TODAY()+30,"Vence em 30 dias","Futuro")))))))))</f>
        <v/>
      </c>
      <c r="Z1415" s="24">
        <f>IF($B1415="","",MONTH($B1415))</f>
        <v/>
      </c>
      <c r="AA1415" s="24">
        <f>IF($B1415="","",YEAR($B1415))</f>
        <v/>
      </c>
      <c r="AB1415" s="24">
        <f>IF($B1415="","",ISOWEEKNUM($B1415))</f>
        <v/>
      </c>
      <c r="AC1415" s="17">
        <f>IF($B1415="","",CHOOSE(WEEKDAY($B1415,2),"Segunda","Terça","Quarta","Quinta","Sexta","Sábado","Domingo"))</f>
        <v/>
      </c>
      <c r="AD1415" s="17">
        <f>IF($B1415="","",TEXT($B1415,"MM/AAAA"))</f>
        <v/>
      </c>
      <c r="AE1415" s="18">
        <f>IF(COUNTA($B1415:$R1415)=0,"",IF($X1415="Cancelado",0,ROUND(N($Q1415)+N($S1415)+N($T1415)-N($U1415),2)))</f>
        <v/>
      </c>
      <c r="AF1415" s="9">
        <f>IF($G1415="","",IFERROR(INDEX(LINHAS_DRE_PLANO,MATCH($G1415,SUBCATEGORIAS_PLANO,0)),"Não classificado"))</f>
        <v/>
      </c>
      <c r="AG1415" s="17">
        <f>IF($G1415="","",IFERROR(INDEX(TIPOS_FLUXO_PLANO,MATCH($G1415,SUBCATEGORIAS_PLANO,0)),"Não classificado"))</f>
        <v/>
      </c>
      <c r="AH1415" s="9">
        <f>IF($G1415="","",IFERROR(INDEX(GRUPOS_PLANO,MATCH($G1415,SUBCATEGORIAS_PLANO,0)),"Não classificado"))</f>
        <v/>
      </c>
      <c r="AI1415" s="24">
        <f>IF(OR($C1415="",$X1415="Pago",$X1415="Recebido",$X1415="Cancelado"),"",$C1415-TODAY())</f>
        <v/>
      </c>
      <c r="AJ1415" s="24">
        <f>IF(OR($C1415="",$X1415="Pago",$X1415="Recebido",$X1415="Cancelado"),0,MAX(0,TODAY()-$C1415))</f>
        <v/>
      </c>
      <c r="AK1415" s="24">
        <f>IF($D1415="","",$D1415-$B1415)</f>
        <v/>
      </c>
      <c r="AL1415" s="18">
        <f>IF(OR($D1415="",$B1415=""),"",ROUND(N($R1415)*($D1415-$B1415),2))</f>
        <v/>
      </c>
      <c r="AM1415" s="17">
        <f>IF(AND($E1415="Saída",$W1415&gt;0,$C1415&lt;&gt;""),$C1415+ROW()/1000000,"")</f>
        <v/>
      </c>
      <c r="AN1415" s="17">
        <f>IF(AND($E1415="Entrada",$W1415&gt;0,$C1415&lt;&gt;""),$C1415+ROW()/1000000,"")</f>
        <v/>
      </c>
      <c r="AO1415" s="9">
        <f>IF(COUNTA($B1415:$R1415)=0,"",IF(AND($I1415&lt;&gt;"",COUNTIF(CLIENTES_NOMES,$I1415)+COUNTIF(CLIENTES_FANTASIA,$I1415)+COUNTIF(FORNECEDORES_NOMES,$I1415)+COUNTIF(FORNECEDORES_FANTASIA,$I1415)=0),"⚠ Cliente/Fornecedor não cadastrado",IF(AND($G1415&lt;&gt;"",COUNTIF(SUBCATEGORIAS_PLANO,$G1415)=0),"⚠ Subcategoria fora do plano de contas",IF(OR($Q1415="",N($Q1415)=0),"⚠ Valor previsto não informado",IF(AND(OR($X1415="Pago",$X1415="Recebido"),$D1415=""),"⚠ Status pago/recebido sem data",IF(AND($D1415&lt;&gt;"",N($R1415)=0),"⚠ Data de pagamento sem valor realizado",IF(AND(N($P1415)&gt;1,N($O1415)&gt;N($P1415)),"⚠ Nº da parcela maior que o total",IF(AND($C1415&lt;&gt;"",$B1415&lt;&gt;"",$C1415&lt;$B1415),"⚠ Vencimento anterior à competência","OK"))))))))</f>
        <v/>
      </c>
    </row>
    <row r="1416">
      <c r="A1416" s="14" t="n"/>
      <c r="B1416" s="36" t="n"/>
      <c r="C1416" s="36" t="n"/>
      <c r="D1416" s="36" t="n"/>
      <c r="E1416" s="14" t="n"/>
      <c r="F1416" s="29" t="n"/>
      <c r="G1416" s="29" t="n"/>
      <c r="H1416" s="29" t="n"/>
      <c r="I1416" s="29" t="n"/>
      <c r="J1416" s="29" t="n"/>
      <c r="K1416" s="14" t="n"/>
      <c r="L1416" s="29" t="n"/>
      <c r="M1416" s="14" t="n"/>
      <c r="N1416" s="29" t="n"/>
      <c r="O1416" s="13" t="n"/>
      <c r="P1416" s="13" t="n"/>
      <c r="Q1416" s="35" t="n"/>
      <c r="R1416" s="35" t="n"/>
      <c r="S1416" s="35" t="n"/>
      <c r="T1416" s="35" t="n"/>
      <c r="U1416" s="35" t="n"/>
      <c r="V1416" s="18">
        <f>IF(COUNTA($B1416:$R1416)=0,"",ROUND(N($R1416)+N($S1416)+N($T1416)-N($U1416),2))</f>
        <v/>
      </c>
      <c r="W1416" s="18">
        <f>IF(COUNTA($B1416:$R1416)=0,"",IF(OR($X1416="Pago",$X1416="Recebido",$X1416="Cancelado"),0,ROUND(N($Q1416)+N($S1416)+N($T1416)-N($U1416)-N($R1416),2)))</f>
        <v/>
      </c>
      <c r="X1416" s="14" t="n"/>
      <c r="Y1416" s="17">
        <f>IF(COUNTA($B1416:$R1416)=0,"",IF($X1416="Cancelado","Cancelado",IF(OR($X1416="Pago",$X1416="Recebido"),$X1416,IF(OR($X1416="Parcial",N($R1416)&gt;0),"Parcial",IF($C1416="","Sem vencimento",IF($C1416&lt;TODAY(),"Vencido",IF($C1416=TODAY(),"Vence hoje",IF($C1416&lt;=TODAY()+7,"Vence em 7 dias",IF($C1416&lt;=TODAY()+30,"Vence em 30 dias","Futuro")))))))))</f>
        <v/>
      </c>
      <c r="Z1416" s="24">
        <f>IF($B1416="","",MONTH($B1416))</f>
        <v/>
      </c>
      <c r="AA1416" s="24">
        <f>IF($B1416="","",YEAR($B1416))</f>
        <v/>
      </c>
      <c r="AB1416" s="24">
        <f>IF($B1416="","",ISOWEEKNUM($B1416))</f>
        <v/>
      </c>
      <c r="AC1416" s="17">
        <f>IF($B1416="","",CHOOSE(WEEKDAY($B1416,2),"Segunda","Terça","Quarta","Quinta","Sexta","Sábado","Domingo"))</f>
        <v/>
      </c>
      <c r="AD1416" s="17">
        <f>IF($B1416="","",TEXT($B1416,"MM/AAAA"))</f>
        <v/>
      </c>
      <c r="AE1416" s="18">
        <f>IF(COUNTA($B1416:$R1416)=0,"",IF($X1416="Cancelado",0,ROUND(N($Q1416)+N($S1416)+N($T1416)-N($U1416),2)))</f>
        <v/>
      </c>
      <c r="AF1416" s="9">
        <f>IF($G1416="","",IFERROR(INDEX(LINHAS_DRE_PLANO,MATCH($G1416,SUBCATEGORIAS_PLANO,0)),"Não classificado"))</f>
        <v/>
      </c>
      <c r="AG1416" s="17">
        <f>IF($G1416="","",IFERROR(INDEX(TIPOS_FLUXO_PLANO,MATCH($G1416,SUBCATEGORIAS_PLANO,0)),"Não classificado"))</f>
        <v/>
      </c>
      <c r="AH1416" s="9">
        <f>IF($G1416="","",IFERROR(INDEX(GRUPOS_PLANO,MATCH($G1416,SUBCATEGORIAS_PLANO,0)),"Não classificado"))</f>
        <v/>
      </c>
      <c r="AI1416" s="24">
        <f>IF(OR($C1416="",$X1416="Pago",$X1416="Recebido",$X1416="Cancelado"),"",$C1416-TODAY())</f>
        <v/>
      </c>
      <c r="AJ1416" s="24">
        <f>IF(OR($C1416="",$X1416="Pago",$X1416="Recebido",$X1416="Cancelado"),0,MAX(0,TODAY()-$C1416))</f>
        <v/>
      </c>
      <c r="AK1416" s="24">
        <f>IF($D1416="","",$D1416-$B1416)</f>
        <v/>
      </c>
      <c r="AL1416" s="18">
        <f>IF(OR($D1416="",$B1416=""),"",ROUND(N($R1416)*($D1416-$B1416),2))</f>
        <v/>
      </c>
      <c r="AM1416" s="17">
        <f>IF(AND($E1416="Saída",$W1416&gt;0,$C1416&lt;&gt;""),$C1416+ROW()/1000000,"")</f>
        <v/>
      </c>
      <c r="AN1416" s="17">
        <f>IF(AND($E1416="Entrada",$W1416&gt;0,$C1416&lt;&gt;""),$C1416+ROW()/1000000,"")</f>
        <v/>
      </c>
      <c r="AO1416" s="9">
        <f>IF(COUNTA($B1416:$R1416)=0,"",IF(AND($I1416&lt;&gt;"",COUNTIF(CLIENTES_NOMES,$I1416)+COUNTIF(CLIENTES_FANTASIA,$I1416)+COUNTIF(FORNECEDORES_NOMES,$I1416)+COUNTIF(FORNECEDORES_FANTASIA,$I1416)=0),"⚠ Cliente/Fornecedor não cadastrado",IF(AND($G1416&lt;&gt;"",COUNTIF(SUBCATEGORIAS_PLANO,$G1416)=0),"⚠ Subcategoria fora do plano de contas",IF(OR($Q1416="",N($Q1416)=0),"⚠ Valor previsto não informado",IF(AND(OR($X1416="Pago",$X1416="Recebido"),$D1416=""),"⚠ Status pago/recebido sem data",IF(AND($D1416&lt;&gt;"",N($R1416)=0),"⚠ Data de pagamento sem valor realizado",IF(AND(N($P1416)&gt;1,N($O1416)&gt;N($P1416)),"⚠ Nº da parcela maior que o total",IF(AND($C1416&lt;&gt;"",$B1416&lt;&gt;"",$C1416&lt;$B1416),"⚠ Vencimento anterior à competência","OK"))))))))</f>
        <v/>
      </c>
    </row>
    <row r="1417">
      <c r="A1417" s="14" t="n"/>
      <c r="B1417" s="36" t="n"/>
      <c r="C1417" s="36" t="n"/>
      <c r="D1417" s="36" t="n"/>
      <c r="E1417" s="14" t="n"/>
      <c r="F1417" s="29" t="n"/>
      <c r="G1417" s="29" t="n"/>
      <c r="H1417" s="29" t="n"/>
      <c r="I1417" s="29" t="n"/>
      <c r="J1417" s="29" t="n"/>
      <c r="K1417" s="14" t="n"/>
      <c r="L1417" s="29" t="n"/>
      <c r="M1417" s="14" t="n"/>
      <c r="N1417" s="29" t="n"/>
      <c r="O1417" s="13" t="n"/>
      <c r="P1417" s="13" t="n"/>
      <c r="Q1417" s="35" t="n"/>
      <c r="R1417" s="35" t="n"/>
      <c r="S1417" s="35" t="n"/>
      <c r="T1417" s="35" t="n"/>
      <c r="U1417" s="35" t="n"/>
      <c r="V1417" s="18">
        <f>IF(COUNTA($B1417:$R1417)=0,"",ROUND(N($R1417)+N($S1417)+N($T1417)-N($U1417),2))</f>
        <v/>
      </c>
      <c r="W1417" s="18">
        <f>IF(COUNTA($B1417:$R1417)=0,"",IF(OR($X1417="Pago",$X1417="Recebido",$X1417="Cancelado"),0,ROUND(N($Q1417)+N($S1417)+N($T1417)-N($U1417)-N($R1417),2)))</f>
        <v/>
      </c>
      <c r="X1417" s="14" t="n"/>
      <c r="Y1417" s="17">
        <f>IF(COUNTA($B1417:$R1417)=0,"",IF($X1417="Cancelado","Cancelado",IF(OR($X1417="Pago",$X1417="Recebido"),$X1417,IF(OR($X1417="Parcial",N($R1417)&gt;0),"Parcial",IF($C1417="","Sem vencimento",IF($C1417&lt;TODAY(),"Vencido",IF($C1417=TODAY(),"Vence hoje",IF($C1417&lt;=TODAY()+7,"Vence em 7 dias",IF($C1417&lt;=TODAY()+30,"Vence em 30 dias","Futuro")))))))))</f>
        <v/>
      </c>
      <c r="Z1417" s="24">
        <f>IF($B1417="","",MONTH($B1417))</f>
        <v/>
      </c>
      <c r="AA1417" s="24">
        <f>IF($B1417="","",YEAR($B1417))</f>
        <v/>
      </c>
      <c r="AB1417" s="24">
        <f>IF($B1417="","",ISOWEEKNUM($B1417))</f>
        <v/>
      </c>
      <c r="AC1417" s="17">
        <f>IF($B1417="","",CHOOSE(WEEKDAY($B1417,2),"Segunda","Terça","Quarta","Quinta","Sexta","Sábado","Domingo"))</f>
        <v/>
      </c>
      <c r="AD1417" s="17">
        <f>IF($B1417="","",TEXT($B1417,"MM/AAAA"))</f>
        <v/>
      </c>
      <c r="AE1417" s="18">
        <f>IF(COUNTA($B1417:$R1417)=0,"",IF($X1417="Cancelado",0,ROUND(N($Q1417)+N($S1417)+N($T1417)-N($U1417),2)))</f>
        <v/>
      </c>
      <c r="AF1417" s="9">
        <f>IF($G1417="","",IFERROR(INDEX(LINHAS_DRE_PLANO,MATCH($G1417,SUBCATEGORIAS_PLANO,0)),"Não classificado"))</f>
        <v/>
      </c>
      <c r="AG1417" s="17">
        <f>IF($G1417="","",IFERROR(INDEX(TIPOS_FLUXO_PLANO,MATCH($G1417,SUBCATEGORIAS_PLANO,0)),"Não classificado"))</f>
        <v/>
      </c>
      <c r="AH1417" s="9">
        <f>IF($G1417="","",IFERROR(INDEX(GRUPOS_PLANO,MATCH($G1417,SUBCATEGORIAS_PLANO,0)),"Não classificado"))</f>
        <v/>
      </c>
      <c r="AI1417" s="24">
        <f>IF(OR($C1417="",$X1417="Pago",$X1417="Recebido",$X1417="Cancelado"),"",$C1417-TODAY())</f>
        <v/>
      </c>
      <c r="AJ1417" s="24">
        <f>IF(OR($C1417="",$X1417="Pago",$X1417="Recebido",$X1417="Cancelado"),0,MAX(0,TODAY()-$C1417))</f>
        <v/>
      </c>
      <c r="AK1417" s="24">
        <f>IF($D1417="","",$D1417-$B1417)</f>
        <v/>
      </c>
      <c r="AL1417" s="18">
        <f>IF(OR($D1417="",$B1417=""),"",ROUND(N($R1417)*($D1417-$B1417),2))</f>
        <v/>
      </c>
      <c r="AM1417" s="17">
        <f>IF(AND($E1417="Saída",$W1417&gt;0,$C1417&lt;&gt;""),$C1417+ROW()/1000000,"")</f>
        <v/>
      </c>
      <c r="AN1417" s="17">
        <f>IF(AND($E1417="Entrada",$W1417&gt;0,$C1417&lt;&gt;""),$C1417+ROW()/1000000,"")</f>
        <v/>
      </c>
      <c r="AO1417" s="9">
        <f>IF(COUNTA($B1417:$R1417)=0,"",IF(AND($I1417&lt;&gt;"",COUNTIF(CLIENTES_NOMES,$I1417)+COUNTIF(CLIENTES_FANTASIA,$I1417)+COUNTIF(FORNECEDORES_NOMES,$I1417)+COUNTIF(FORNECEDORES_FANTASIA,$I1417)=0),"⚠ Cliente/Fornecedor não cadastrado",IF(AND($G1417&lt;&gt;"",COUNTIF(SUBCATEGORIAS_PLANO,$G1417)=0),"⚠ Subcategoria fora do plano de contas",IF(OR($Q1417="",N($Q1417)=0),"⚠ Valor previsto não informado",IF(AND(OR($X1417="Pago",$X1417="Recebido"),$D1417=""),"⚠ Status pago/recebido sem data",IF(AND($D1417&lt;&gt;"",N($R1417)=0),"⚠ Data de pagamento sem valor realizado",IF(AND(N($P1417)&gt;1,N($O1417)&gt;N($P1417)),"⚠ Nº da parcela maior que o total",IF(AND($C1417&lt;&gt;"",$B1417&lt;&gt;"",$C1417&lt;$B1417),"⚠ Vencimento anterior à competência","OK"))))))))</f>
        <v/>
      </c>
    </row>
    <row r="1418">
      <c r="A1418" s="14" t="n"/>
      <c r="B1418" s="36" t="n"/>
      <c r="C1418" s="36" t="n"/>
      <c r="D1418" s="36" t="n"/>
      <c r="E1418" s="14" t="n"/>
      <c r="F1418" s="29" t="n"/>
      <c r="G1418" s="29" t="n"/>
      <c r="H1418" s="29" t="n"/>
      <c r="I1418" s="29" t="n"/>
      <c r="J1418" s="29" t="n"/>
      <c r="K1418" s="14" t="n"/>
      <c r="L1418" s="29" t="n"/>
      <c r="M1418" s="14" t="n"/>
      <c r="N1418" s="29" t="n"/>
      <c r="O1418" s="13" t="n"/>
      <c r="P1418" s="13" t="n"/>
      <c r="Q1418" s="35" t="n"/>
      <c r="R1418" s="35" t="n"/>
      <c r="S1418" s="35" t="n"/>
      <c r="T1418" s="35" t="n"/>
      <c r="U1418" s="35" t="n"/>
      <c r="V1418" s="18">
        <f>IF(COUNTA($B1418:$R1418)=0,"",ROUND(N($R1418)+N($S1418)+N($T1418)-N($U1418),2))</f>
        <v/>
      </c>
      <c r="W1418" s="18">
        <f>IF(COUNTA($B1418:$R1418)=0,"",IF(OR($X1418="Pago",$X1418="Recebido",$X1418="Cancelado"),0,ROUND(N($Q1418)+N($S1418)+N($T1418)-N($U1418)-N($R1418),2)))</f>
        <v/>
      </c>
      <c r="X1418" s="14" t="n"/>
      <c r="Y1418" s="17">
        <f>IF(COUNTA($B1418:$R1418)=0,"",IF($X1418="Cancelado","Cancelado",IF(OR($X1418="Pago",$X1418="Recebido"),$X1418,IF(OR($X1418="Parcial",N($R1418)&gt;0),"Parcial",IF($C1418="","Sem vencimento",IF($C1418&lt;TODAY(),"Vencido",IF($C1418=TODAY(),"Vence hoje",IF($C1418&lt;=TODAY()+7,"Vence em 7 dias",IF($C1418&lt;=TODAY()+30,"Vence em 30 dias","Futuro")))))))))</f>
        <v/>
      </c>
      <c r="Z1418" s="24">
        <f>IF($B1418="","",MONTH($B1418))</f>
        <v/>
      </c>
      <c r="AA1418" s="24">
        <f>IF($B1418="","",YEAR($B1418))</f>
        <v/>
      </c>
      <c r="AB1418" s="24">
        <f>IF($B1418="","",ISOWEEKNUM($B1418))</f>
        <v/>
      </c>
      <c r="AC1418" s="17">
        <f>IF($B1418="","",CHOOSE(WEEKDAY($B1418,2),"Segunda","Terça","Quarta","Quinta","Sexta","Sábado","Domingo"))</f>
        <v/>
      </c>
      <c r="AD1418" s="17">
        <f>IF($B1418="","",TEXT($B1418,"MM/AAAA"))</f>
        <v/>
      </c>
      <c r="AE1418" s="18">
        <f>IF(COUNTA($B1418:$R1418)=0,"",IF($X1418="Cancelado",0,ROUND(N($Q1418)+N($S1418)+N($T1418)-N($U1418),2)))</f>
        <v/>
      </c>
      <c r="AF1418" s="9">
        <f>IF($G1418="","",IFERROR(INDEX(LINHAS_DRE_PLANO,MATCH($G1418,SUBCATEGORIAS_PLANO,0)),"Não classificado"))</f>
        <v/>
      </c>
      <c r="AG1418" s="17">
        <f>IF($G1418="","",IFERROR(INDEX(TIPOS_FLUXO_PLANO,MATCH($G1418,SUBCATEGORIAS_PLANO,0)),"Não classificado"))</f>
        <v/>
      </c>
      <c r="AH1418" s="9">
        <f>IF($G1418="","",IFERROR(INDEX(GRUPOS_PLANO,MATCH($G1418,SUBCATEGORIAS_PLANO,0)),"Não classificado"))</f>
        <v/>
      </c>
      <c r="AI1418" s="24">
        <f>IF(OR($C1418="",$X1418="Pago",$X1418="Recebido",$X1418="Cancelado"),"",$C1418-TODAY())</f>
        <v/>
      </c>
      <c r="AJ1418" s="24">
        <f>IF(OR($C1418="",$X1418="Pago",$X1418="Recebido",$X1418="Cancelado"),0,MAX(0,TODAY()-$C1418))</f>
        <v/>
      </c>
      <c r="AK1418" s="24">
        <f>IF($D1418="","",$D1418-$B1418)</f>
        <v/>
      </c>
      <c r="AL1418" s="18">
        <f>IF(OR($D1418="",$B1418=""),"",ROUND(N($R1418)*($D1418-$B1418),2))</f>
        <v/>
      </c>
      <c r="AM1418" s="17">
        <f>IF(AND($E1418="Saída",$W1418&gt;0,$C1418&lt;&gt;""),$C1418+ROW()/1000000,"")</f>
        <v/>
      </c>
      <c r="AN1418" s="17">
        <f>IF(AND($E1418="Entrada",$W1418&gt;0,$C1418&lt;&gt;""),$C1418+ROW()/1000000,"")</f>
        <v/>
      </c>
      <c r="AO1418" s="9">
        <f>IF(COUNTA($B1418:$R1418)=0,"",IF(AND($I1418&lt;&gt;"",COUNTIF(CLIENTES_NOMES,$I1418)+COUNTIF(CLIENTES_FANTASIA,$I1418)+COUNTIF(FORNECEDORES_NOMES,$I1418)+COUNTIF(FORNECEDORES_FANTASIA,$I1418)=0),"⚠ Cliente/Fornecedor não cadastrado",IF(AND($G1418&lt;&gt;"",COUNTIF(SUBCATEGORIAS_PLANO,$G1418)=0),"⚠ Subcategoria fora do plano de contas",IF(OR($Q1418="",N($Q1418)=0),"⚠ Valor previsto não informado",IF(AND(OR($X1418="Pago",$X1418="Recebido"),$D1418=""),"⚠ Status pago/recebido sem data",IF(AND($D1418&lt;&gt;"",N($R1418)=0),"⚠ Data de pagamento sem valor realizado",IF(AND(N($P1418)&gt;1,N($O1418)&gt;N($P1418)),"⚠ Nº da parcela maior que o total",IF(AND($C1418&lt;&gt;"",$B1418&lt;&gt;"",$C1418&lt;$B1418),"⚠ Vencimento anterior à competência","OK"))))))))</f>
        <v/>
      </c>
    </row>
    <row r="1419">
      <c r="A1419" s="14" t="n"/>
      <c r="B1419" s="36" t="n"/>
      <c r="C1419" s="36" t="n"/>
      <c r="D1419" s="36" t="n"/>
      <c r="E1419" s="14" t="n"/>
      <c r="F1419" s="29" t="n"/>
      <c r="G1419" s="29" t="n"/>
      <c r="H1419" s="29" t="n"/>
      <c r="I1419" s="29" t="n"/>
      <c r="J1419" s="29" t="n"/>
      <c r="K1419" s="14" t="n"/>
      <c r="L1419" s="29" t="n"/>
      <c r="M1419" s="14" t="n"/>
      <c r="N1419" s="29" t="n"/>
      <c r="O1419" s="13" t="n"/>
      <c r="P1419" s="13" t="n"/>
      <c r="Q1419" s="35" t="n"/>
      <c r="R1419" s="35" t="n"/>
      <c r="S1419" s="35" t="n"/>
      <c r="T1419" s="35" t="n"/>
      <c r="U1419" s="35" t="n"/>
      <c r="V1419" s="18">
        <f>IF(COUNTA($B1419:$R1419)=0,"",ROUND(N($R1419)+N($S1419)+N($T1419)-N($U1419),2))</f>
        <v/>
      </c>
      <c r="W1419" s="18">
        <f>IF(COUNTA($B1419:$R1419)=0,"",IF(OR($X1419="Pago",$X1419="Recebido",$X1419="Cancelado"),0,ROUND(N($Q1419)+N($S1419)+N($T1419)-N($U1419)-N($R1419),2)))</f>
        <v/>
      </c>
      <c r="X1419" s="14" t="n"/>
      <c r="Y1419" s="17">
        <f>IF(COUNTA($B1419:$R1419)=0,"",IF($X1419="Cancelado","Cancelado",IF(OR($X1419="Pago",$X1419="Recebido"),$X1419,IF(OR($X1419="Parcial",N($R1419)&gt;0),"Parcial",IF($C1419="","Sem vencimento",IF($C1419&lt;TODAY(),"Vencido",IF($C1419=TODAY(),"Vence hoje",IF($C1419&lt;=TODAY()+7,"Vence em 7 dias",IF($C1419&lt;=TODAY()+30,"Vence em 30 dias","Futuro")))))))))</f>
        <v/>
      </c>
      <c r="Z1419" s="24">
        <f>IF($B1419="","",MONTH($B1419))</f>
        <v/>
      </c>
      <c r="AA1419" s="24">
        <f>IF($B1419="","",YEAR($B1419))</f>
        <v/>
      </c>
      <c r="AB1419" s="24">
        <f>IF($B1419="","",ISOWEEKNUM($B1419))</f>
        <v/>
      </c>
      <c r="AC1419" s="17">
        <f>IF($B1419="","",CHOOSE(WEEKDAY($B1419,2),"Segunda","Terça","Quarta","Quinta","Sexta","Sábado","Domingo"))</f>
        <v/>
      </c>
      <c r="AD1419" s="17">
        <f>IF($B1419="","",TEXT($B1419,"MM/AAAA"))</f>
        <v/>
      </c>
      <c r="AE1419" s="18">
        <f>IF(COUNTA($B1419:$R1419)=0,"",IF($X1419="Cancelado",0,ROUND(N($Q1419)+N($S1419)+N($T1419)-N($U1419),2)))</f>
        <v/>
      </c>
      <c r="AF1419" s="9">
        <f>IF($G1419="","",IFERROR(INDEX(LINHAS_DRE_PLANO,MATCH($G1419,SUBCATEGORIAS_PLANO,0)),"Não classificado"))</f>
        <v/>
      </c>
      <c r="AG1419" s="17">
        <f>IF($G1419="","",IFERROR(INDEX(TIPOS_FLUXO_PLANO,MATCH($G1419,SUBCATEGORIAS_PLANO,0)),"Não classificado"))</f>
        <v/>
      </c>
      <c r="AH1419" s="9">
        <f>IF($G1419="","",IFERROR(INDEX(GRUPOS_PLANO,MATCH($G1419,SUBCATEGORIAS_PLANO,0)),"Não classificado"))</f>
        <v/>
      </c>
      <c r="AI1419" s="24">
        <f>IF(OR($C1419="",$X1419="Pago",$X1419="Recebido",$X1419="Cancelado"),"",$C1419-TODAY())</f>
        <v/>
      </c>
      <c r="AJ1419" s="24">
        <f>IF(OR($C1419="",$X1419="Pago",$X1419="Recebido",$X1419="Cancelado"),0,MAX(0,TODAY()-$C1419))</f>
        <v/>
      </c>
      <c r="AK1419" s="24">
        <f>IF($D1419="","",$D1419-$B1419)</f>
        <v/>
      </c>
      <c r="AL1419" s="18">
        <f>IF(OR($D1419="",$B1419=""),"",ROUND(N($R1419)*($D1419-$B1419),2))</f>
        <v/>
      </c>
      <c r="AM1419" s="17">
        <f>IF(AND($E1419="Saída",$W1419&gt;0,$C1419&lt;&gt;""),$C1419+ROW()/1000000,"")</f>
        <v/>
      </c>
      <c r="AN1419" s="17">
        <f>IF(AND($E1419="Entrada",$W1419&gt;0,$C1419&lt;&gt;""),$C1419+ROW()/1000000,"")</f>
        <v/>
      </c>
      <c r="AO1419" s="9">
        <f>IF(COUNTA($B1419:$R1419)=0,"",IF(AND($I1419&lt;&gt;"",COUNTIF(CLIENTES_NOMES,$I1419)+COUNTIF(CLIENTES_FANTASIA,$I1419)+COUNTIF(FORNECEDORES_NOMES,$I1419)+COUNTIF(FORNECEDORES_FANTASIA,$I1419)=0),"⚠ Cliente/Fornecedor não cadastrado",IF(AND($G1419&lt;&gt;"",COUNTIF(SUBCATEGORIAS_PLANO,$G1419)=0),"⚠ Subcategoria fora do plano de contas",IF(OR($Q1419="",N($Q1419)=0),"⚠ Valor previsto não informado",IF(AND(OR($X1419="Pago",$X1419="Recebido"),$D1419=""),"⚠ Status pago/recebido sem data",IF(AND($D1419&lt;&gt;"",N($R1419)=0),"⚠ Data de pagamento sem valor realizado",IF(AND(N($P1419)&gt;1,N($O1419)&gt;N($P1419)),"⚠ Nº da parcela maior que o total",IF(AND($C1419&lt;&gt;"",$B1419&lt;&gt;"",$C1419&lt;$B1419),"⚠ Vencimento anterior à competência","OK"))))))))</f>
        <v/>
      </c>
    </row>
    <row r="1420">
      <c r="A1420" s="14" t="n"/>
      <c r="B1420" s="36" t="n"/>
      <c r="C1420" s="36" t="n"/>
      <c r="D1420" s="36" t="n"/>
      <c r="E1420" s="14" t="n"/>
      <c r="F1420" s="29" t="n"/>
      <c r="G1420" s="29" t="n"/>
      <c r="H1420" s="29" t="n"/>
      <c r="I1420" s="29" t="n"/>
      <c r="J1420" s="29" t="n"/>
      <c r="K1420" s="14" t="n"/>
      <c r="L1420" s="29" t="n"/>
      <c r="M1420" s="14" t="n"/>
      <c r="N1420" s="29" t="n"/>
      <c r="O1420" s="13" t="n"/>
      <c r="P1420" s="13" t="n"/>
      <c r="Q1420" s="35" t="n"/>
      <c r="R1420" s="35" t="n"/>
      <c r="S1420" s="35" t="n"/>
      <c r="T1420" s="35" t="n"/>
      <c r="U1420" s="35" t="n"/>
      <c r="V1420" s="18">
        <f>IF(COUNTA($B1420:$R1420)=0,"",ROUND(N($R1420)+N($S1420)+N($T1420)-N($U1420),2))</f>
        <v/>
      </c>
      <c r="W1420" s="18">
        <f>IF(COUNTA($B1420:$R1420)=0,"",IF(OR($X1420="Pago",$X1420="Recebido",$X1420="Cancelado"),0,ROUND(N($Q1420)+N($S1420)+N($T1420)-N($U1420)-N($R1420),2)))</f>
        <v/>
      </c>
      <c r="X1420" s="14" t="n"/>
      <c r="Y1420" s="17">
        <f>IF(COUNTA($B1420:$R1420)=0,"",IF($X1420="Cancelado","Cancelado",IF(OR($X1420="Pago",$X1420="Recebido"),$X1420,IF(OR($X1420="Parcial",N($R1420)&gt;0),"Parcial",IF($C1420="","Sem vencimento",IF($C1420&lt;TODAY(),"Vencido",IF($C1420=TODAY(),"Vence hoje",IF($C1420&lt;=TODAY()+7,"Vence em 7 dias",IF($C1420&lt;=TODAY()+30,"Vence em 30 dias","Futuro")))))))))</f>
        <v/>
      </c>
      <c r="Z1420" s="24">
        <f>IF($B1420="","",MONTH($B1420))</f>
        <v/>
      </c>
      <c r="AA1420" s="24">
        <f>IF($B1420="","",YEAR($B1420))</f>
        <v/>
      </c>
      <c r="AB1420" s="24">
        <f>IF($B1420="","",ISOWEEKNUM($B1420))</f>
        <v/>
      </c>
      <c r="AC1420" s="17">
        <f>IF($B1420="","",CHOOSE(WEEKDAY($B1420,2),"Segunda","Terça","Quarta","Quinta","Sexta","Sábado","Domingo"))</f>
        <v/>
      </c>
      <c r="AD1420" s="17">
        <f>IF($B1420="","",TEXT($B1420,"MM/AAAA"))</f>
        <v/>
      </c>
      <c r="AE1420" s="18">
        <f>IF(COUNTA($B1420:$R1420)=0,"",IF($X1420="Cancelado",0,ROUND(N($Q1420)+N($S1420)+N($T1420)-N($U1420),2)))</f>
        <v/>
      </c>
      <c r="AF1420" s="9">
        <f>IF($G1420="","",IFERROR(INDEX(LINHAS_DRE_PLANO,MATCH($G1420,SUBCATEGORIAS_PLANO,0)),"Não classificado"))</f>
        <v/>
      </c>
      <c r="AG1420" s="17">
        <f>IF($G1420="","",IFERROR(INDEX(TIPOS_FLUXO_PLANO,MATCH($G1420,SUBCATEGORIAS_PLANO,0)),"Não classificado"))</f>
        <v/>
      </c>
      <c r="AH1420" s="9">
        <f>IF($G1420="","",IFERROR(INDEX(GRUPOS_PLANO,MATCH($G1420,SUBCATEGORIAS_PLANO,0)),"Não classificado"))</f>
        <v/>
      </c>
      <c r="AI1420" s="24">
        <f>IF(OR($C1420="",$X1420="Pago",$X1420="Recebido",$X1420="Cancelado"),"",$C1420-TODAY())</f>
        <v/>
      </c>
      <c r="AJ1420" s="24">
        <f>IF(OR($C1420="",$X1420="Pago",$X1420="Recebido",$X1420="Cancelado"),0,MAX(0,TODAY()-$C1420))</f>
        <v/>
      </c>
      <c r="AK1420" s="24">
        <f>IF($D1420="","",$D1420-$B1420)</f>
        <v/>
      </c>
      <c r="AL1420" s="18">
        <f>IF(OR($D1420="",$B1420=""),"",ROUND(N($R1420)*($D1420-$B1420),2))</f>
        <v/>
      </c>
      <c r="AM1420" s="17">
        <f>IF(AND($E1420="Saída",$W1420&gt;0,$C1420&lt;&gt;""),$C1420+ROW()/1000000,"")</f>
        <v/>
      </c>
      <c r="AN1420" s="17">
        <f>IF(AND($E1420="Entrada",$W1420&gt;0,$C1420&lt;&gt;""),$C1420+ROW()/1000000,"")</f>
        <v/>
      </c>
      <c r="AO1420" s="9">
        <f>IF(COUNTA($B1420:$R1420)=0,"",IF(AND($I1420&lt;&gt;"",COUNTIF(CLIENTES_NOMES,$I1420)+COUNTIF(CLIENTES_FANTASIA,$I1420)+COUNTIF(FORNECEDORES_NOMES,$I1420)+COUNTIF(FORNECEDORES_FANTASIA,$I1420)=0),"⚠ Cliente/Fornecedor não cadastrado",IF(AND($G1420&lt;&gt;"",COUNTIF(SUBCATEGORIAS_PLANO,$G1420)=0),"⚠ Subcategoria fora do plano de contas",IF(OR($Q1420="",N($Q1420)=0),"⚠ Valor previsto não informado",IF(AND(OR($X1420="Pago",$X1420="Recebido"),$D1420=""),"⚠ Status pago/recebido sem data",IF(AND($D1420&lt;&gt;"",N($R1420)=0),"⚠ Data de pagamento sem valor realizado",IF(AND(N($P1420)&gt;1,N($O1420)&gt;N($P1420)),"⚠ Nº da parcela maior que o total",IF(AND($C1420&lt;&gt;"",$B1420&lt;&gt;"",$C1420&lt;$B1420),"⚠ Vencimento anterior à competência","OK"))))))))</f>
        <v/>
      </c>
    </row>
    <row r="1421">
      <c r="A1421" s="14" t="n"/>
      <c r="B1421" s="36" t="n"/>
      <c r="C1421" s="36" t="n"/>
      <c r="D1421" s="36" t="n"/>
      <c r="E1421" s="14" t="n"/>
      <c r="F1421" s="29" t="n"/>
      <c r="G1421" s="29" t="n"/>
      <c r="H1421" s="29" t="n"/>
      <c r="I1421" s="29" t="n"/>
      <c r="J1421" s="29" t="n"/>
      <c r="K1421" s="14" t="n"/>
      <c r="L1421" s="29" t="n"/>
      <c r="M1421" s="14" t="n"/>
      <c r="N1421" s="29" t="n"/>
      <c r="O1421" s="13" t="n"/>
      <c r="P1421" s="13" t="n"/>
      <c r="Q1421" s="35" t="n"/>
      <c r="R1421" s="35" t="n"/>
      <c r="S1421" s="35" t="n"/>
      <c r="T1421" s="35" t="n"/>
      <c r="U1421" s="35" t="n"/>
      <c r="V1421" s="18">
        <f>IF(COUNTA($B1421:$R1421)=0,"",ROUND(N($R1421)+N($S1421)+N($T1421)-N($U1421),2))</f>
        <v/>
      </c>
      <c r="W1421" s="18">
        <f>IF(COUNTA($B1421:$R1421)=0,"",IF(OR($X1421="Pago",$X1421="Recebido",$X1421="Cancelado"),0,ROUND(N($Q1421)+N($S1421)+N($T1421)-N($U1421)-N($R1421),2)))</f>
        <v/>
      </c>
      <c r="X1421" s="14" t="n"/>
      <c r="Y1421" s="17">
        <f>IF(COUNTA($B1421:$R1421)=0,"",IF($X1421="Cancelado","Cancelado",IF(OR($X1421="Pago",$X1421="Recebido"),$X1421,IF(OR($X1421="Parcial",N($R1421)&gt;0),"Parcial",IF($C1421="","Sem vencimento",IF($C1421&lt;TODAY(),"Vencido",IF($C1421=TODAY(),"Vence hoje",IF($C1421&lt;=TODAY()+7,"Vence em 7 dias",IF($C1421&lt;=TODAY()+30,"Vence em 30 dias","Futuro")))))))))</f>
        <v/>
      </c>
      <c r="Z1421" s="24">
        <f>IF($B1421="","",MONTH($B1421))</f>
        <v/>
      </c>
      <c r="AA1421" s="24">
        <f>IF($B1421="","",YEAR($B1421))</f>
        <v/>
      </c>
      <c r="AB1421" s="24">
        <f>IF($B1421="","",ISOWEEKNUM($B1421))</f>
        <v/>
      </c>
      <c r="AC1421" s="17">
        <f>IF($B1421="","",CHOOSE(WEEKDAY($B1421,2),"Segunda","Terça","Quarta","Quinta","Sexta","Sábado","Domingo"))</f>
        <v/>
      </c>
      <c r="AD1421" s="17">
        <f>IF($B1421="","",TEXT($B1421,"MM/AAAA"))</f>
        <v/>
      </c>
      <c r="AE1421" s="18">
        <f>IF(COUNTA($B1421:$R1421)=0,"",IF($X1421="Cancelado",0,ROUND(N($Q1421)+N($S1421)+N($T1421)-N($U1421),2)))</f>
        <v/>
      </c>
      <c r="AF1421" s="9">
        <f>IF($G1421="","",IFERROR(INDEX(LINHAS_DRE_PLANO,MATCH($G1421,SUBCATEGORIAS_PLANO,0)),"Não classificado"))</f>
        <v/>
      </c>
      <c r="AG1421" s="17">
        <f>IF($G1421="","",IFERROR(INDEX(TIPOS_FLUXO_PLANO,MATCH($G1421,SUBCATEGORIAS_PLANO,0)),"Não classificado"))</f>
        <v/>
      </c>
      <c r="AH1421" s="9">
        <f>IF($G1421="","",IFERROR(INDEX(GRUPOS_PLANO,MATCH($G1421,SUBCATEGORIAS_PLANO,0)),"Não classificado"))</f>
        <v/>
      </c>
      <c r="AI1421" s="24">
        <f>IF(OR($C1421="",$X1421="Pago",$X1421="Recebido",$X1421="Cancelado"),"",$C1421-TODAY())</f>
        <v/>
      </c>
      <c r="AJ1421" s="24">
        <f>IF(OR($C1421="",$X1421="Pago",$X1421="Recebido",$X1421="Cancelado"),0,MAX(0,TODAY()-$C1421))</f>
        <v/>
      </c>
      <c r="AK1421" s="24">
        <f>IF($D1421="","",$D1421-$B1421)</f>
        <v/>
      </c>
      <c r="AL1421" s="18">
        <f>IF(OR($D1421="",$B1421=""),"",ROUND(N($R1421)*($D1421-$B1421),2))</f>
        <v/>
      </c>
      <c r="AM1421" s="17">
        <f>IF(AND($E1421="Saída",$W1421&gt;0,$C1421&lt;&gt;""),$C1421+ROW()/1000000,"")</f>
        <v/>
      </c>
      <c r="AN1421" s="17">
        <f>IF(AND($E1421="Entrada",$W1421&gt;0,$C1421&lt;&gt;""),$C1421+ROW()/1000000,"")</f>
        <v/>
      </c>
      <c r="AO1421" s="9">
        <f>IF(COUNTA($B1421:$R1421)=0,"",IF(AND($I1421&lt;&gt;"",COUNTIF(CLIENTES_NOMES,$I1421)+COUNTIF(CLIENTES_FANTASIA,$I1421)+COUNTIF(FORNECEDORES_NOMES,$I1421)+COUNTIF(FORNECEDORES_FANTASIA,$I1421)=0),"⚠ Cliente/Fornecedor não cadastrado",IF(AND($G1421&lt;&gt;"",COUNTIF(SUBCATEGORIAS_PLANO,$G1421)=0),"⚠ Subcategoria fora do plano de contas",IF(OR($Q1421="",N($Q1421)=0),"⚠ Valor previsto não informado",IF(AND(OR($X1421="Pago",$X1421="Recebido"),$D1421=""),"⚠ Status pago/recebido sem data",IF(AND($D1421&lt;&gt;"",N($R1421)=0),"⚠ Data de pagamento sem valor realizado",IF(AND(N($P1421)&gt;1,N($O1421)&gt;N($P1421)),"⚠ Nº da parcela maior que o total",IF(AND($C1421&lt;&gt;"",$B1421&lt;&gt;"",$C1421&lt;$B1421),"⚠ Vencimento anterior à competência","OK"))))))))</f>
        <v/>
      </c>
    </row>
    <row r="1422">
      <c r="A1422" s="14" t="n"/>
      <c r="B1422" s="36" t="n"/>
      <c r="C1422" s="36" t="n"/>
      <c r="D1422" s="36" t="n"/>
      <c r="E1422" s="14" t="n"/>
      <c r="F1422" s="29" t="n"/>
      <c r="G1422" s="29" t="n"/>
      <c r="H1422" s="29" t="n"/>
      <c r="I1422" s="29" t="n"/>
      <c r="J1422" s="29" t="n"/>
      <c r="K1422" s="14" t="n"/>
      <c r="L1422" s="29" t="n"/>
      <c r="M1422" s="14" t="n"/>
      <c r="N1422" s="29" t="n"/>
      <c r="O1422" s="13" t="n"/>
      <c r="P1422" s="13" t="n"/>
      <c r="Q1422" s="35" t="n"/>
      <c r="R1422" s="35" t="n"/>
      <c r="S1422" s="35" t="n"/>
      <c r="T1422" s="35" t="n"/>
      <c r="U1422" s="35" t="n"/>
      <c r="V1422" s="18">
        <f>IF(COUNTA($B1422:$R1422)=0,"",ROUND(N($R1422)+N($S1422)+N($T1422)-N($U1422),2))</f>
        <v/>
      </c>
      <c r="W1422" s="18">
        <f>IF(COUNTA($B1422:$R1422)=0,"",IF(OR($X1422="Pago",$X1422="Recebido",$X1422="Cancelado"),0,ROUND(N($Q1422)+N($S1422)+N($T1422)-N($U1422)-N($R1422),2)))</f>
        <v/>
      </c>
      <c r="X1422" s="14" t="n"/>
      <c r="Y1422" s="17">
        <f>IF(COUNTA($B1422:$R1422)=0,"",IF($X1422="Cancelado","Cancelado",IF(OR($X1422="Pago",$X1422="Recebido"),$X1422,IF(OR($X1422="Parcial",N($R1422)&gt;0),"Parcial",IF($C1422="","Sem vencimento",IF($C1422&lt;TODAY(),"Vencido",IF($C1422=TODAY(),"Vence hoje",IF($C1422&lt;=TODAY()+7,"Vence em 7 dias",IF($C1422&lt;=TODAY()+30,"Vence em 30 dias","Futuro")))))))))</f>
        <v/>
      </c>
      <c r="Z1422" s="24">
        <f>IF($B1422="","",MONTH($B1422))</f>
        <v/>
      </c>
      <c r="AA1422" s="24">
        <f>IF($B1422="","",YEAR($B1422))</f>
        <v/>
      </c>
      <c r="AB1422" s="24">
        <f>IF($B1422="","",ISOWEEKNUM($B1422))</f>
        <v/>
      </c>
      <c r="AC1422" s="17">
        <f>IF($B1422="","",CHOOSE(WEEKDAY($B1422,2),"Segunda","Terça","Quarta","Quinta","Sexta","Sábado","Domingo"))</f>
        <v/>
      </c>
      <c r="AD1422" s="17">
        <f>IF($B1422="","",TEXT($B1422,"MM/AAAA"))</f>
        <v/>
      </c>
      <c r="AE1422" s="18">
        <f>IF(COUNTA($B1422:$R1422)=0,"",IF($X1422="Cancelado",0,ROUND(N($Q1422)+N($S1422)+N($T1422)-N($U1422),2)))</f>
        <v/>
      </c>
      <c r="AF1422" s="9">
        <f>IF($G1422="","",IFERROR(INDEX(LINHAS_DRE_PLANO,MATCH($G1422,SUBCATEGORIAS_PLANO,0)),"Não classificado"))</f>
        <v/>
      </c>
      <c r="AG1422" s="17">
        <f>IF($G1422="","",IFERROR(INDEX(TIPOS_FLUXO_PLANO,MATCH($G1422,SUBCATEGORIAS_PLANO,0)),"Não classificado"))</f>
        <v/>
      </c>
      <c r="AH1422" s="9">
        <f>IF($G1422="","",IFERROR(INDEX(GRUPOS_PLANO,MATCH($G1422,SUBCATEGORIAS_PLANO,0)),"Não classificado"))</f>
        <v/>
      </c>
      <c r="AI1422" s="24">
        <f>IF(OR($C1422="",$X1422="Pago",$X1422="Recebido",$X1422="Cancelado"),"",$C1422-TODAY())</f>
        <v/>
      </c>
      <c r="AJ1422" s="24">
        <f>IF(OR($C1422="",$X1422="Pago",$X1422="Recebido",$X1422="Cancelado"),0,MAX(0,TODAY()-$C1422))</f>
        <v/>
      </c>
      <c r="AK1422" s="24">
        <f>IF($D1422="","",$D1422-$B1422)</f>
        <v/>
      </c>
      <c r="AL1422" s="18">
        <f>IF(OR($D1422="",$B1422=""),"",ROUND(N($R1422)*($D1422-$B1422),2))</f>
        <v/>
      </c>
      <c r="AM1422" s="17">
        <f>IF(AND($E1422="Saída",$W1422&gt;0,$C1422&lt;&gt;""),$C1422+ROW()/1000000,"")</f>
        <v/>
      </c>
      <c r="AN1422" s="17">
        <f>IF(AND($E1422="Entrada",$W1422&gt;0,$C1422&lt;&gt;""),$C1422+ROW()/1000000,"")</f>
        <v/>
      </c>
      <c r="AO1422" s="9">
        <f>IF(COUNTA($B1422:$R1422)=0,"",IF(AND($I1422&lt;&gt;"",COUNTIF(CLIENTES_NOMES,$I1422)+COUNTIF(CLIENTES_FANTASIA,$I1422)+COUNTIF(FORNECEDORES_NOMES,$I1422)+COUNTIF(FORNECEDORES_FANTASIA,$I1422)=0),"⚠ Cliente/Fornecedor não cadastrado",IF(AND($G1422&lt;&gt;"",COUNTIF(SUBCATEGORIAS_PLANO,$G1422)=0),"⚠ Subcategoria fora do plano de contas",IF(OR($Q1422="",N($Q1422)=0),"⚠ Valor previsto não informado",IF(AND(OR($X1422="Pago",$X1422="Recebido"),$D1422=""),"⚠ Status pago/recebido sem data",IF(AND($D1422&lt;&gt;"",N($R1422)=0),"⚠ Data de pagamento sem valor realizado",IF(AND(N($P1422)&gt;1,N($O1422)&gt;N($P1422)),"⚠ Nº da parcela maior que o total",IF(AND($C1422&lt;&gt;"",$B1422&lt;&gt;"",$C1422&lt;$B1422),"⚠ Vencimento anterior à competência","OK"))))))))</f>
        <v/>
      </c>
    </row>
    <row r="1423">
      <c r="A1423" s="14" t="n"/>
      <c r="B1423" s="36" t="n"/>
      <c r="C1423" s="36" t="n"/>
      <c r="D1423" s="36" t="n"/>
      <c r="E1423" s="14" t="n"/>
      <c r="F1423" s="29" t="n"/>
      <c r="G1423" s="29" t="n"/>
      <c r="H1423" s="29" t="n"/>
      <c r="I1423" s="29" t="n"/>
      <c r="J1423" s="29" t="n"/>
      <c r="K1423" s="14" t="n"/>
      <c r="L1423" s="29" t="n"/>
      <c r="M1423" s="14" t="n"/>
      <c r="N1423" s="29" t="n"/>
      <c r="O1423" s="13" t="n"/>
      <c r="P1423" s="13" t="n"/>
      <c r="Q1423" s="35" t="n"/>
      <c r="R1423" s="35" t="n"/>
      <c r="S1423" s="35" t="n"/>
      <c r="T1423" s="35" t="n"/>
      <c r="U1423" s="35" t="n"/>
      <c r="V1423" s="18">
        <f>IF(COUNTA($B1423:$R1423)=0,"",ROUND(N($R1423)+N($S1423)+N($T1423)-N($U1423),2))</f>
        <v/>
      </c>
      <c r="W1423" s="18">
        <f>IF(COUNTA($B1423:$R1423)=0,"",IF(OR($X1423="Pago",$X1423="Recebido",$X1423="Cancelado"),0,ROUND(N($Q1423)+N($S1423)+N($T1423)-N($U1423)-N($R1423),2)))</f>
        <v/>
      </c>
      <c r="X1423" s="14" t="n"/>
      <c r="Y1423" s="17">
        <f>IF(COUNTA($B1423:$R1423)=0,"",IF($X1423="Cancelado","Cancelado",IF(OR($X1423="Pago",$X1423="Recebido"),$X1423,IF(OR($X1423="Parcial",N($R1423)&gt;0),"Parcial",IF($C1423="","Sem vencimento",IF($C1423&lt;TODAY(),"Vencido",IF($C1423=TODAY(),"Vence hoje",IF($C1423&lt;=TODAY()+7,"Vence em 7 dias",IF($C1423&lt;=TODAY()+30,"Vence em 30 dias","Futuro")))))))))</f>
        <v/>
      </c>
      <c r="Z1423" s="24">
        <f>IF($B1423="","",MONTH($B1423))</f>
        <v/>
      </c>
      <c r="AA1423" s="24">
        <f>IF($B1423="","",YEAR($B1423))</f>
        <v/>
      </c>
      <c r="AB1423" s="24">
        <f>IF($B1423="","",ISOWEEKNUM($B1423))</f>
        <v/>
      </c>
      <c r="AC1423" s="17">
        <f>IF($B1423="","",CHOOSE(WEEKDAY($B1423,2),"Segunda","Terça","Quarta","Quinta","Sexta","Sábado","Domingo"))</f>
        <v/>
      </c>
      <c r="AD1423" s="17">
        <f>IF($B1423="","",TEXT($B1423,"MM/AAAA"))</f>
        <v/>
      </c>
      <c r="AE1423" s="18">
        <f>IF(COUNTA($B1423:$R1423)=0,"",IF($X1423="Cancelado",0,ROUND(N($Q1423)+N($S1423)+N($T1423)-N($U1423),2)))</f>
        <v/>
      </c>
      <c r="AF1423" s="9">
        <f>IF($G1423="","",IFERROR(INDEX(LINHAS_DRE_PLANO,MATCH($G1423,SUBCATEGORIAS_PLANO,0)),"Não classificado"))</f>
        <v/>
      </c>
      <c r="AG1423" s="17">
        <f>IF($G1423="","",IFERROR(INDEX(TIPOS_FLUXO_PLANO,MATCH($G1423,SUBCATEGORIAS_PLANO,0)),"Não classificado"))</f>
        <v/>
      </c>
      <c r="AH1423" s="9">
        <f>IF($G1423="","",IFERROR(INDEX(GRUPOS_PLANO,MATCH($G1423,SUBCATEGORIAS_PLANO,0)),"Não classificado"))</f>
        <v/>
      </c>
      <c r="AI1423" s="24">
        <f>IF(OR($C1423="",$X1423="Pago",$X1423="Recebido",$X1423="Cancelado"),"",$C1423-TODAY())</f>
        <v/>
      </c>
      <c r="AJ1423" s="24">
        <f>IF(OR($C1423="",$X1423="Pago",$X1423="Recebido",$X1423="Cancelado"),0,MAX(0,TODAY()-$C1423))</f>
        <v/>
      </c>
      <c r="AK1423" s="24">
        <f>IF($D1423="","",$D1423-$B1423)</f>
        <v/>
      </c>
      <c r="AL1423" s="18">
        <f>IF(OR($D1423="",$B1423=""),"",ROUND(N($R1423)*($D1423-$B1423),2))</f>
        <v/>
      </c>
      <c r="AM1423" s="17">
        <f>IF(AND($E1423="Saída",$W1423&gt;0,$C1423&lt;&gt;""),$C1423+ROW()/1000000,"")</f>
        <v/>
      </c>
      <c r="AN1423" s="17">
        <f>IF(AND($E1423="Entrada",$W1423&gt;0,$C1423&lt;&gt;""),$C1423+ROW()/1000000,"")</f>
        <v/>
      </c>
      <c r="AO1423" s="9">
        <f>IF(COUNTA($B1423:$R1423)=0,"",IF(AND($I1423&lt;&gt;"",COUNTIF(CLIENTES_NOMES,$I1423)+COUNTIF(CLIENTES_FANTASIA,$I1423)+COUNTIF(FORNECEDORES_NOMES,$I1423)+COUNTIF(FORNECEDORES_FANTASIA,$I1423)=0),"⚠ Cliente/Fornecedor não cadastrado",IF(AND($G1423&lt;&gt;"",COUNTIF(SUBCATEGORIAS_PLANO,$G1423)=0),"⚠ Subcategoria fora do plano de contas",IF(OR($Q1423="",N($Q1423)=0),"⚠ Valor previsto não informado",IF(AND(OR($X1423="Pago",$X1423="Recebido"),$D1423=""),"⚠ Status pago/recebido sem data",IF(AND($D1423&lt;&gt;"",N($R1423)=0),"⚠ Data de pagamento sem valor realizado",IF(AND(N($P1423)&gt;1,N($O1423)&gt;N($P1423)),"⚠ Nº da parcela maior que o total",IF(AND($C1423&lt;&gt;"",$B1423&lt;&gt;"",$C1423&lt;$B1423),"⚠ Vencimento anterior à competência","OK"))))))))</f>
        <v/>
      </c>
    </row>
    <row r="1424">
      <c r="A1424" s="14" t="n"/>
      <c r="B1424" s="36" t="n"/>
      <c r="C1424" s="36" t="n"/>
      <c r="D1424" s="36" t="n"/>
      <c r="E1424" s="14" t="n"/>
      <c r="F1424" s="29" t="n"/>
      <c r="G1424" s="29" t="n"/>
      <c r="H1424" s="29" t="n"/>
      <c r="I1424" s="29" t="n"/>
      <c r="J1424" s="29" t="n"/>
      <c r="K1424" s="14" t="n"/>
      <c r="L1424" s="29" t="n"/>
      <c r="M1424" s="14" t="n"/>
      <c r="N1424" s="29" t="n"/>
      <c r="O1424" s="13" t="n"/>
      <c r="P1424" s="13" t="n"/>
      <c r="Q1424" s="35" t="n"/>
      <c r="R1424" s="35" t="n"/>
      <c r="S1424" s="35" t="n"/>
      <c r="T1424" s="35" t="n"/>
      <c r="U1424" s="35" t="n"/>
      <c r="V1424" s="18">
        <f>IF(COUNTA($B1424:$R1424)=0,"",ROUND(N($R1424)+N($S1424)+N($T1424)-N($U1424),2))</f>
        <v/>
      </c>
      <c r="W1424" s="18">
        <f>IF(COUNTA($B1424:$R1424)=0,"",IF(OR($X1424="Pago",$X1424="Recebido",$X1424="Cancelado"),0,ROUND(N($Q1424)+N($S1424)+N($T1424)-N($U1424)-N($R1424),2)))</f>
        <v/>
      </c>
      <c r="X1424" s="14" t="n"/>
      <c r="Y1424" s="17">
        <f>IF(COUNTA($B1424:$R1424)=0,"",IF($X1424="Cancelado","Cancelado",IF(OR($X1424="Pago",$X1424="Recebido"),$X1424,IF(OR($X1424="Parcial",N($R1424)&gt;0),"Parcial",IF($C1424="","Sem vencimento",IF($C1424&lt;TODAY(),"Vencido",IF($C1424=TODAY(),"Vence hoje",IF($C1424&lt;=TODAY()+7,"Vence em 7 dias",IF($C1424&lt;=TODAY()+30,"Vence em 30 dias","Futuro")))))))))</f>
        <v/>
      </c>
      <c r="Z1424" s="24">
        <f>IF($B1424="","",MONTH($B1424))</f>
        <v/>
      </c>
      <c r="AA1424" s="24">
        <f>IF($B1424="","",YEAR($B1424))</f>
        <v/>
      </c>
      <c r="AB1424" s="24">
        <f>IF($B1424="","",ISOWEEKNUM($B1424))</f>
        <v/>
      </c>
      <c r="AC1424" s="17">
        <f>IF($B1424="","",CHOOSE(WEEKDAY($B1424,2),"Segunda","Terça","Quarta","Quinta","Sexta","Sábado","Domingo"))</f>
        <v/>
      </c>
      <c r="AD1424" s="17">
        <f>IF($B1424="","",TEXT($B1424,"MM/AAAA"))</f>
        <v/>
      </c>
      <c r="AE1424" s="18">
        <f>IF(COUNTA($B1424:$R1424)=0,"",IF($X1424="Cancelado",0,ROUND(N($Q1424)+N($S1424)+N($T1424)-N($U1424),2)))</f>
        <v/>
      </c>
      <c r="AF1424" s="9">
        <f>IF($G1424="","",IFERROR(INDEX(LINHAS_DRE_PLANO,MATCH($G1424,SUBCATEGORIAS_PLANO,0)),"Não classificado"))</f>
        <v/>
      </c>
      <c r="AG1424" s="17">
        <f>IF($G1424="","",IFERROR(INDEX(TIPOS_FLUXO_PLANO,MATCH($G1424,SUBCATEGORIAS_PLANO,0)),"Não classificado"))</f>
        <v/>
      </c>
      <c r="AH1424" s="9">
        <f>IF($G1424="","",IFERROR(INDEX(GRUPOS_PLANO,MATCH($G1424,SUBCATEGORIAS_PLANO,0)),"Não classificado"))</f>
        <v/>
      </c>
      <c r="AI1424" s="24">
        <f>IF(OR($C1424="",$X1424="Pago",$X1424="Recebido",$X1424="Cancelado"),"",$C1424-TODAY())</f>
        <v/>
      </c>
      <c r="AJ1424" s="24">
        <f>IF(OR($C1424="",$X1424="Pago",$X1424="Recebido",$X1424="Cancelado"),0,MAX(0,TODAY()-$C1424))</f>
        <v/>
      </c>
      <c r="AK1424" s="24">
        <f>IF($D1424="","",$D1424-$B1424)</f>
        <v/>
      </c>
      <c r="AL1424" s="18">
        <f>IF(OR($D1424="",$B1424=""),"",ROUND(N($R1424)*($D1424-$B1424),2))</f>
        <v/>
      </c>
      <c r="AM1424" s="17">
        <f>IF(AND($E1424="Saída",$W1424&gt;0,$C1424&lt;&gt;""),$C1424+ROW()/1000000,"")</f>
        <v/>
      </c>
      <c r="AN1424" s="17">
        <f>IF(AND($E1424="Entrada",$W1424&gt;0,$C1424&lt;&gt;""),$C1424+ROW()/1000000,"")</f>
        <v/>
      </c>
      <c r="AO1424" s="9">
        <f>IF(COUNTA($B1424:$R1424)=0,"",IF(AND($I1424&lt;&gt;"",COUNTIF(CLIENTES_NOMES,$I1424)+COUNTIF(CLIENTES_FANTASIA,$I1424)+COUNTIF(FORNECEDORES_NOMES,$I1424)+COUNTIF(FORNECEDORES_FANTASIA,$I1424)=0),"⚠ Cliente/Fornecedor não cadastrado",IF(AND($G1424&lt;&gt;"",COUNTIF(SUBCATEGORIAS_PLANO,$G1424)=0),"⚠ Subcategoria fora do plano de contas",IF(OR($Q1424="",N($Q1424)=0),"⚠ Valor previsto não informado",IF(AND(OR($X1424="Pago",$X1424="Recebido"),$D1424=""),"⚠ Status pago/recebido sem data",IF(AND($D1424&lt;&gt;"",N($R1424)=0),"⚠ Data de pagamento sem valor realizado",IF(AND(N($P1424)&gt;1,N($O1424)&gt;N($P1424)),"⚠ Nº da parcela maior que o total",IF(AND($C1424&lt;&gt;"",$B1424&lt;&gt;"",$C1424&lt;$B1424),"⚠ Vencimento anterior à competência","OK"))))))))</f>
        <v/>
      </c>
    </row>
    <row r="1425">
      <c r="A1425" s="14" t="n"/>
      <c r="B1425" s="36" t="n"/>
      <c r="C1425" s="36" t="n"/>
      <c r="D1425" s="36" t="n"/>
      <c r="E1425" s="14" t="n"/>
      <c r="F1425" s="29" t="n"/>
      <c r="G1425" s="29" t="n"/>
      <c r="H1425" s="29" t="n"/>
      <c r="I1425" s="29" t="n"/>
      <c r="J1425" s="29" t="n"/>
      <c r="K1425" s="14" t="n"/>
      <c r="L1425" s="29" t="n"/>
      <c r="M1425" s="14" t="n"/>
      <c r="N1425" s="29" t="n"/>
      <c r="O1425" s="13" t="n"/>
      <c r="P1425" s="13" t="n"/>
      <c r="Q1425" s="35" t="n"/>
      <c r="R1425" s="35" t="n"/>
      <c r="S1425" s="35" t="n"/>
      <c r="T1425" s="35" t="n"/>
      <c r="U1425" s="35" t="n"/>
      <c r="V1425" s="18">
        <f>IF(COUNTA($B1425:$R1425)=0,"",ROUND(N($R1425)+N($S1425)+N($T1425)-N($U1425),2))</f>
        <v/>
      </c>
      <c r="W1425" s="18">
        <f>IF(COUNTA($B1425:$R1425)=0,"",IF(OR($X1425="Pago",$X1425="Recebido",$X1425="Cancelado"),0,ROUND(N($Q1425)+N($S1425)+N($T1425)-N($U1425)-N($R1425),2)))</f>
        <v/>
      </c>
      <c r="X1425" s="14" t="n"/>
      <c r="Y1425" s="17">
        <f>IF(COUNTA($B1425:$R1425)=0,"",IF($X1425="Cancelado","Cancelado",IF(OR($X1425="Pago",$X1425="Recebido"),$X1425,IF(OR($X1425="Parcial",N($R1425)&gt;0),"Parcial",IF($C1425="","Sem vencimento",IF($C1425&lt;TODAY(),"Vencido",IF($C1425=TODAY(),"Vence hoje",IF($C1425&lt;=TODAY()+7,"Vence em 7 dias",IF($C1425&lt;=TODAY()+30,"Vence em 30 dias","Futuro")))))))))</f>
        <v/>
      </c>
      <c r="Z1425" s="24">
        <f>IF($B1425="","",MONTH($B1425))</f>
        <v/>
      </c>
      <c r="AA1425" s="24">
        <f>IF($B1425="","",YEAR($B1425))</f>
        <v/>
      </c>
      <c r="AB1425" s="24">
        <f>IF($B1425="","",ISOWEEKNUM($B1425))</f>
        <v/>
      </c>
      <c r="AC1425" s="17">
        <f>IF($B1425="","",CHOOSE(WEEKDAY($B1425,2),"Segunda","Terça","Quarta","Quinta","Sexta","Sábado","Domingo"))</f>
        <v/>
      </c>
      <c r="AD1425" s="17">
        <f>IF($B1425="","",TEXT($B1425,"MM/AAAA"))</f>
        <v/>
      </c>
      <c r="AE1425" s="18">
        <f>IF(COUNTA($B1425:$R1425)=0,"",IF($X1425="Cancelado",0,ROUND(N($Q1425)+N($S1425)+N($T1425)-N($U1425),2)))</f>
        <v/>
      </c>
      <c r="AF1425" s="9">
        <f>IF($G1425="","",IFERROR(INDEX(LINHAS_DRE_PLANO,MATCH($G1425,SUBCATEGORIAS_PLANO,0)),"Não classificado"))</f>
        <v/>
      </c>
      <c r="AG1425" s="17">
        <f>IF($G1425="","",IFERROR(INDEX(TIPOS_FLUXO_PLANO,MATCH($G1425,SUBCATEGORIAS_PLANO,0)),"Não classificado"))</f>
        <v/>
      </c>
      <c r="AH1425" s="9">
        <f>IF($G1425="","",IFERROR(INDEX(GRUPOS_PLANO,MATCH($G1425,SUBCATEGORIAS_PLANO,0)),"Não classificado"))</f>
        <v/>
      </c>
      <c r="AI1425" s="24">
        <f>IF(OR($C1425="",$X1425="Pago",$X1425="Recebido",$X1425="Cancelado"),"",$C1425-TODAY())</f>
        <v/>
      </c>
      <c r="AJ1425" s="24">
        <f>IF(OR($C1425="",$X1425="Pago",$X1425="Recebido",$X1425="Cancelado"),0,MAX(0,TODAY()-$C1425))</f>
        <v/>
      </c>
      <c r="AK1425" s="24">
        <f>IF($D1425="","",$D1425-$B1425)</f>
        <v/>
      </c>
      <c r="AL1425" s="18">
        <f>IF(OR($D1425="",$B1425=""),"",ROUND(N($R1425)*($D1425-$B1425),2))</f>
        <v/>
      </c>
      <c r="AM1425" s="17">
        <f>IF(AND($E1425="Saída",$W1425&gt;0,$C1425&lt;&gt;""),$C1425+ROW()/1000000,"")</f>
        <v/>
      </c>
      <c r="AN1425" s="17">
        <f>IF(AND($E1425="Entrada",$W1425&gt;0,$C1425&lt;&gt;""),$C1425+ROW()/1000000,"")</f>
        <v/>
      </c>
      <c r="AO1425" s="9">
        <f>IF(COUNTA($B1425:$R1425)=0,"",IF(AND($I1425&lt;&gt;"",COUNTIF(CLIENTES_NOMES,$I1425)+COUNTIF(CLIENTES_FANTASIA,$I1425)+COUNTIF(FORNECEDORES_NOMES,$I1425)+COUNTIF(FORNECEDORES_FANTASIA,$I1425)=0),"⚠ Cliente/Fornecedor não cadastrado",IF(AND($G1425&lt;&gt;"",COUNTIF(SUBCATEGORIAS_PLANO,$G1425)=0),"⚠ Subcategoria fora do plano de contas",IF(OR($Q1425="",N($Q1425)=0),"⚠ Valor previsto não informado",IF(AND(OR($X1425="Pago",$X1425="Recebido"),$D1425=""),"⚠ Status pago/recebido sem data",IF(AND($D1425&lt;&gt;"",N($R1425)=0),"⚠ Data de pagamento sem valor realizado",IF(AND(N($P1425)&gt;1,N($O1425)&gt;N($P1425)),"⚠ Nº da parcela maior que o total",IF(AND($C1425&lt;&gt;"",$B1425&lt;&gt;"",$C1425&lt;$B1425),"⚠ Vencimento anterior à competência","OK"))))))))</f>
        <v/>
      </c>
    </row>
    <row r="1426">
      <c r="A1426" s="14" t="n"/>
      <c r="B1426" s="36" t="n"/>
      <c r="C1426" s="36" t="n"/>
      <c r="D1426" s="36" t="n"/>
      <c r="E1426" s="14" t="n"/>
      <c r="F1426" s="29" t="n"/>
      <c r="G1426" s="29" t="n"/>
      <c r="H1426" s="29" t="n"/>
      <c r="I1426" s="29" t="n"/>
      <c r="J1426" s="29" t="n"/>
      <c r="K1426" s="14" t="n"/>
      <c r="L1426" s="29" t="n"/>
      <c r="M1426" s="14" t="n"/>
      <c r="N1426" s="29" t="n"/>
      <c r="O1426" s="13" t="n"/>
      <c r="P1426" s="13" t="n"/>
      <c r="Q1426" s="35" t="n"/>
      <c r="R1426" s="35" t="n"/>
      <c r="S1426" s="35" t="n"/>
      <c r="T1426" s="35" t="n"/>
      <c r="U1426" s="35" t="n"/>
      <c r="V1426" s="18">
        <f>IF(COUNTA($B1426:$R1426)=0,"",ROUND(N($R1426)+N($S1426)+N($T1426)-N($U1426),2))</f>
        <v/>
      </c>
      <c r="W1426" s="18">
        <f>IF(COUNTA($B1426:$R1426)=0,"",IF(OR($X1426="Pago",$X1426="Recebido",$X1426="Cancelado"),0,ROUND(N($Q1426)+N($S1426)+N($T1426)-N($U1426)-N($R1426),2)))</f>
        <v/>
      </c>
      <c r="X1426" s="14" t="n"/>
      <c r="Y1426" s="17">
        <f>IF(COUNTA($B1426:$R1426)=0,"",IF($X1426="Cancelado","Cancelado",IF(OR($X1426="Pago",$X1426="Recebido"),$X1426,IF(OR($X1426="Parcial",N($R1426)&gt;0),"Parcial",IF($C1426="","Sem vencimento",IF($C1426&lt;TODAY(),"Vencido",IF($C1426=TODAY(),"Vence hoje",IF($C1426&lt;=TODAY()+7,"Vence em 7 dias",IF($C1426&lt;=TODAY()+30,"Vence em 30 dias","Futuro")))))))))</f>
        <v/>
      </c>
      <c r="Z1426" s="24">
        <f>IF($B1426="","",MONTH($B1426))</f>
        <v/>
      </c>
      <c r="AA1426" s="24">
        <f>IF($B1426="","",YEAR($B1426))</f>
        <v/>
      </c>
      <c r="AB1426" s="24">
        <f>IF($B1426="","",ISOWEEKNUM($B1426))</f>
        <v/>
      </c>
      <c r="AC1426" s="17">
        <f>IF($B1426="","",CHOOSE(WEEKDAY($B1426,2),"Segunda","Terça","Quarta","Quinta","Sexta","Sábado","Domingo"))</f>
        <v/>
      </c>
      <c r="AD1426" s="17">
        <f>IF($B1426="","",TEXT($B1426,"MM/AAAA"))</f>
        <v/>
      </c>
      <c r="AE1426" s="18">
        <f>IF(COUNTA($B1426:$R1426)=0,"",IF($X1426="Cancelado",0,ROUND(N($Q1426)+N($S1426)+N($T1426)-N($U1426),2)))</f>
        <v/>
      </c>
      <c r="AF1426" s="9">
        <f>IF($G1426="","",IFERROR(INDEX(LINHAS_DRE_PLANO,MATCH($G1426,SUBCATEGORIAS_PLANO,0)),"Não classificado"))</f>
        <v/>
      </c>
      <c r="AG1426" s="17">
        <f>IF($G1426="","",IFERROR(INDEX(TIPOS_FLUXO_PLANO,MATCH($G1426,SUBCATEGORIAS_PLANO,0)),"Não classificado"))</f>
        <v/>
      </c>
      <c r="AH1426" s="9">
        <f>IF($G1426="","",IFERROR(INDEX(GRUPOS_PLANO,MATCH($G1426,SUBCATEGORIAS_PLANO,0)),"Não classificado"))</f>
        <v/>
      </c>
      <c r="AI1426" s="24">
        <f>IF(OR($C1426="",$X1426="Pago",$X1426="Recebido",$X1426="Cancelado"),"",$C1426-TODAY())</f>
        <v/>
      </c>
      <c r="AJ1426" s="24">
        <f>IF(OR($C1426="",$X1426="Pago",$X1426="Recebido",$X1426="Cancelado"),0,MAX(0,TODAY()-$C1426))</f>
        <v/>
      </c>
      <c r="AK1426" s="24">
        <f>IF($D1426="","",$D1426-$B1426)</f>
        <v/>
      </c>
      <c r="AL1426" s="18">
        <f>IF(OR($D1426="",$B1426=""),"",ROUND(N($R1426)*($D1426-$B1426),2))</f>
        <v/>
      </c>
      <c r="AM1426" s="17">
        <f>IF(AND($E1426="Saída",$W1426&gt;0,$C1426&lt;&gt;""),$C1426+ROW()/1000000,"")</f>
        <v/>
      </c>
      <c r="AN1426" s="17">
        <f>IF(AND($E1426="Entrada",$W1426&gt;0,$C1426&lt;&gt;""),$C1426+ROW()/1000000,"")</f>
        <v/>
      </c>
      <c r="AO1426" s="9">
        <f>IF(COUNTA($B1426:$R1426)=0,"",IF(AND($I1426&lt;&gt;"",COUNTIF(CLIENTES_NOMES,$I1426)+COUNTIF(CLIENTES_FANTASIA,$I1426)+COUNTIF(FORNECEDORES_NOMES,$I1426)+COUNTIF(FORNECEDORES_FANTASIA,$I1426)=0),"⚠ Cliente/Fornecedor não cadastrado",IF(AND($G1426&lt;&gt;"",COUNTIF(SUBCATEGORIAS_PLANO,$G1426)=0),"⚠ Subcategoria fora do plano de contas",IF(OR($Q1426="",N($Q1426)=0),"⚠ Valor previsto não informado",IF(AND(OR($X1426="Pago",$X1426="Recebido"),$D1426=""),"⚠ Status pago/recebido sem data",IF(AND($D1426&lt;&gt;"",N($R1426)=0),"⚠ Data de pagamento sem valor realizado",IF(AND(N($P1426)&gt;1,N($O1426)&gt;N($P1426)),"⚠ Nº da parcela maior que o total",IF(AND($C1426&lt;&gt;"",$B1426&lt;&gt;"",$C1426&lt;$B1426),"⚠ Vencimento anterior à competência","OK"))))))))</f>
        <v/>
      </c>
    </row>
    <row r="1427">
      <c r="A1427" s="14" t="n"/>
      <c r="B1427" s="36" t="n"/>
      <c r="C1427" s="36" t="n"/>
      <c r="D1427" s="36" t="n"/>
      <c r="E1427" s="14" t="n"/>
      <c r="F1427" s="29" t="n"/>
      <c r="G1427" s="29" t="n"/>
      <c r="H1427" s="29" t="n"/>
      <c r="I1427" s="29" t="n"/>
      <c r="J1427" s="29" t="n"/>
      <c r="K1427" s="14" t="n"/>
      <c r="L1427" s="29" t="n"/>
      <c r="M1427" s="14" t="n"/>
      <c r="N1427" s="29" t="n"/>
      <c r="O1427" s="13" t="n"/>
      <c r="P1427" s="13" t="n"/>
      <c r="Q1427" s="35" t="n"/>
      <c r="R1427" s="35" t="n"/>
      <c r="S1427" s="35" t="n"/>
      <c r="T1427" s="35" t="n"/>
      <c r="U1427" s="35" t="n"/>
      <c r="V1427" s="18">
        <f>IF(COUNTA($B1427:$R1427)=0,"",ROUND(N($R1427)+N($S1427)+N($T1427)-N($U1427),2))</f>
        <v/>
      </c>
      <c r="W1427" s="18">
        <f>IF(COUNTA($B1427:$R1427)=0,"",IF(OR($X1427="Pago",$X1427="Recebido",$X1427="Cancelado"),0,ROUND(N($Q1427)+N($S1427)+N($T1427)-N($U1427)-N($R1427),2)))</f>
        <v/>
      </c>
      <c r="X1427" s="14" t="n"/>
      <c r="Y1427" s="17">
        <f>IF(COUNTA($B1427:$R1427)=0,"",IF($X1427="Cancelado","Cancelado",IF(OR($X1427="Pago",$X1427="Recebido"),$X1427,IF(OR($X1427="Parcial",N($R1427)&gt;0),"Parcial",IF($C1427="","Sem vencimento",IF($C1427&lt;TODAY(),"Vencido",IF($C1427=TODAY(),"Vence hoje",IF($C1427&lt;=TODAY()+7,"Vence em 7 dias",IF($C1427&lt;=TODAY()+30,"Vence em 30 dias","Futuro")))))))))</f>
        <v/>
      </c>
      <c r="Z1427" s="24">
        <f>IF($B1427="","",MONTH($B1427))</f>
        <v/>
      </c>
      <c r="AA1427" s="24">
        <f>IF($B1427="","",YEAR($B1427))</f>
        <v/>
      </c>
      <c r="AB1427" s="24">
        <f>IF($B1427="","",ISOWEEKNUM($B1427))</f>
        <v/>
      </c>
      <c r="AC1427" s="17">
        <f>IF($B1427="","",CHOOSE(WEEKDAY($B1427,2),"Segunda","Terça","Quarta","Quinta","Sexta","Sábado","Domingo"))</f>
        <v/>
      </c>
      <c r="AD1427" s="17">
        <f>IF($B1427="","",TEXT($B1427,"MM/AAAA"))</f>
        <v/>
      </c>
      <c r="AE1427" s="18">
        <f>IF(COUNTA($B1427:$R1427)=0,"",IF($X1427="Cancelado",0,ROUND(N($Q1427)+N($S1427)+N($T1427)-N($U1427),2)))</f>
        <v/>
      </c>
      <c r="AF1427" s="9">
        <f>IF($G1427="","",IFERROR(INDEX(LINHAS_DRE_PLANO,MATCH($G1427,SUBCATEGORIAS_PLANO,0)),"Não classificado"))</f>
        <v/>
      </c>
      <c r="AG1427" s="17">
        <f>IF($G1427="","",IFERROR(INDEX(TIPOS_FLUXO_PLANO,MATCH($G1427,SUBCATEGORIAS_PLANO,0)),"Não classificado"))</f>
        <v/>
      </c>
      <c r="AH1427" s="9">
        <f>IF($G1427="","",IFERROR(INDEX(GRUPOS_PLANO,MATCH($G1427,SUBCATEGORIAS_PLANO,0)),"Não classificado"))</f>
        <v/>
      </c>
      <c r="AI1427" s="24">
        <f>IF(OR($C1427="",$X1427="Pago",$X1427="Recebido",$X1427="Cancelado"),"",$C1427-TODAY())</f>
        <v/>
      </c>
      <c r="AJ1427" s="24">
        <f>IF(OR($C1427="",$X1427="Pago",$X1427="Recebido",$X1427="Cancelado"),0,MAX(0,TODAY()-$C1427))</f>
        <v/>
      </c>
      <c r="AK1427" s="24">
        <f>IF($D1427="","",$D1427-$B1427)</f>
        <v/>
      </c>
      <c r="AL1427" s="18">
        <f>IF(OR($D1427="",$B1427=""),"",ROUND(N($R1427)*($D1427-$B1427),2))</f>
        <v/>
      </c>
      <c r="AM1427" s="17">
        <f>IF(AND($E1427="Saída",$W1427&gt;0,$C1427&lt;&gt;""),$C1427+ROW()/1000000,"")</f>
        <v/>
      </c>
      <c r="AN1427" s="17">
        <f>IF(AND($E1427="Entrada",$W1427&gt;0,$C1427&lt;&gt;""),$C1427+ROW()/1000000,"")</f>
        <v/>
      </c>
      <c r="AO1427" s="9">
        <f>IF(COUNTA($B1427:$R1427)=0,"",IF(AND($I1427&lt;&gt;"",COUNTIF(CLIENTES_NOMES,$I1427)+COUNTIF(CLIENTES_FANTASIA,$I1427)+COUNTIF(FORNECEDORES_NOMES,$I1427)+COUNTIF(FORNECEDORES_FANTASIA,$I1427)=0),"⚠ Cliente/Fornecedor não cadastrado",IF(AND($G1427&lt;&gt;"",COUNTIF(SUBCATEGORIAS_PLANO,$G1427)=0),"⚠ Subcategoria fora do plano de contas",IF(OR($Q1427="",N($Q1427)=0),"⚠ Valor previsto não informado",IF(AND(OR($X1427="Pago",$X1427="Recebido"),$D1427=""),"⚠ Status pago/recebido sem data",IF(AND($D1427&lt;&gt;"",N($R1427)=0),"⚠ Data de pagamento sem valor realizado",IF(AND(N($P1427)&gt;1,N($O1427)&gt;N($P1427)),"⚠ Nº da parcela maior que o total",IF(AND($C1427&lt;&gt;"",$B1427&lt;&gt;"",$C1427&lt;$B1427),"⚠ Vencimento anterior à competência","OK"))))))))</f>
        <v/>
      </c>
    </row>
    <row r="1428">
      <c r="A1428" s="14" t="n"/>
      <c r="B1428" s="36" t="n"/>
      <c r="C1428" s="36" t="n"/>
      <c r="D1428" s="36" t="n"/>
      <c r="E1428" s="14" t="n"/>
      <c r="F1428" s="29" t="n"/>
      <c r="G1428" s="29" t="n"/>
      <c r="H1428" s="29" t="n"/>
      <c r="I1428" s="29" t="n"/>
      <c r="J1428" s="29" t="n"/>
      <c r="K1428" s="14" t="n"/>
      <c r="L1428" s="29" t="n"/>
      <c r="M1428" s="14" t="n"/>
      <c r="N1428" s="29" t="n"/>
      <c r="O1428" s="13" t="n"/>
      <c r="P1428" s="13" t="n"/>
      <c r="Q1428" s="35" t="n"/>
      <c r="R1428" s="35" t="n"/>
      <c r="S1428" s="35" t="n"/>
      <c r="T1428" s="35" t="n"/>
      <c r="U1428" s="35" t="n"/>
      <c r="V1428" s="18">
        <f>IF(COUNTA($B1428:$R1428)=0,"",ROUND(N($R1428)+N($S1428)+N($T1428)-N($U1428),2))</f>
        <v/>
      </c>
      <c r="W1428" s="18">
        <f>IF(COUNTA($B1428:$R1428)=0,"",IF(OR($X1428="Pago",$X1428="Recebido",$X1428="Cancelado"),0,ROUND(N($Q1428)+N($S1428)+N($T1428)-N($U1428)-N($R1428),2)))</f>
        <v/>
      </c>
      <c r="X1428" s="14" t="n"/>
      <c r="Y1428" s="17">
        <f>IF(COUNTA($B1428:$R1428)=0,"",IF($X1428="Cancelado","Cancelado",IF(OR($X1428="Pago",$X1428="Recebido"),$X1428,IF(OR($X1428="Parcial",N($R1428)&gt;0),"Parcial",IF($C1428="","Sem vencimento",IF($C1428&lt;TODAY(),"Vencido",IF($C1428=TODAY(),"Vence hoje",IF($C1428&lt;=TODAY()+7,"Vence em 7 dias",IF($C1428&lt;=TODAY()+30,"Vence em 30 dias","Futuro")))))))))</f>
        <v/>
      </c>
      <c r="Z1428" s="24">
        <f>IF($B1428="","",MONTH($B1428))</f>
        <v/>
      </c>
      <c r="AA1428" s="24">
        <f>IF($B1428="","",YEAR($B1428))</f>
        <v/>
      </c>
      <c r="AB1428" s="24">
        <f>IF($B1428="","",ISOWEEKNUM($B1428))</f>
        <v/>
      </c>
      <c r="AC1428" s="17">
        <f>IF($B1428="","",CHOOSE(WEEKDAY($B1428,2),"Segunda","Terça","Quarta","Quinta","Sexta","Sábado","Domingo"))</f>
        <v/>
      </c>
      <c r="AD1428" s="17">
        <f>IF($B1428="","",TEXT($B1428,"MM/AAAA"))</f>
        <v/>
      </c>
      <c r="AE1428" s="18">
        <f>IF(COUNTA($B1428:$R1428)=0,"",IF($X1428="Cancelado",0,ROUND(N($Q1428)+N($S1428)+N($T1428)-N($U1428),2)))</f>
        <v/>
      </c>
      <c r="AF1428" s="9">
        <f>IF($G1428="","",IFERROR(INDEX(LINHAS_DRE_PLANO,MATCH($G1428,SUBCATEGORIAS_PLANO,0)),"Não classificado"))</f>
        <v/>
      </c>
      <c r="AG1428" s="17">
        <f>IF($G1428="","",IFERROR(INDEX(TIPOS_FLUXO_PLANO,MATCH($G1428,SUBCATEGORIAS_PLANO,0)),"Não classificado"))</f>
        <v/>
      </c>
      <c r="AH1428" s="9">
        <f>IF($G1428="","",IFERROR(INDEX(GRUPOS_PLANO,MATCH($G1428,SUBCATEGORIAS_PLANO,0)),"Não classificado"))</f>
        <v/>
      </c>
      <c r="AI1428" s="24">
        <f>IF(OR($C1428="",$X1428="Pago",$X1428="Recebido",$X1428="Cancelado"),"",$C1428-TODAY())</f>
        <v/>
      </c>
      <c r="AJ1428" s="24">
        <f>IF(OR($C1428="",$X1428="Pago",$X1428="Recebido",$X1428="Cancelado"),0,MAX(0,TODAY()-$C1428))</f>
        <v/>
      </c>
      <c r="AK1428" s="24">
        <f>IF($D1428="","",$D1428-$B1428)</f>
        <v/>
      </c>
      <c r="AL1428" s="18">
        <f>IF(OR($D1428="",$B1428=""),"",ROUND(N($R1428)*($D1428-$B1428),2))</f>
        <v/>
      </c>
      <c r="AM1428" s="17">
        <f>IF(AND($E1428="Saída",$W1428&gt;0,$C1428&lt;&gt;""),$C1428+ROW()/1000000,"")</f>
        <v/>
      </c>
      <c r="AN1428" s="17">
        <f>IF(AND($E1428="Entrada",$W1428&gt;0,$C1428&lt;&gt;""),$C1428+ROW()/1000000,"")</f>
        <v/>
      </c>
      <c r="AO1428" s="9">
        <f>IF(COUNTA($B1428:$R1428)=0,"",IF(AND($I1428&lt;&gt;"",COUNTIF(CLIENTES_NOMES,$I1428)+COUNTIF(CLIENTES_FANTASIA,$I1428)+COUNTIF(FORNECEDORES_NOMES,$I1428)+COUNTIF(FORNECEDORES_FANTASIA,$I1428)=0),"⚠ Cliente/Fornecedor não cadastrado",IF(AND($G1428&lt;&gt;"",COUNTIF(SUBCATEGORIAS_PLANO,$G1428)=0),"⚠ Subcategoria fora do plano de contas",IF(OR($Q1428="",N($Q1428)=0),"⚠ Valor previsto não informado",IF(AND(OR($X1428="Pago",$X1428="Recebido"),$D1428=""),"⚠ Status pago/recebido sem data",IF(AND($D1428&lt;&gt;"",N($R1428)=0),"⚠ Data de pagamento sem valor realizado",IF(AND(N($P1428)&gt;1,N($O1428)&gt;N($P1428)),"⚠ Nº da parcela maior que o total",IF(AND($C1428&lt;&gt;"",$B1428&lt;&gt;"",$C1428&lt;$B1428),"⚠ Vencimento anterior à competência","OK"))))))))</f>
        <v/>
      </c>
    </row>
    <row r="1429">
      <c r="A1429" s="14" t="n"/>
      <c r="B1429" s="36" t="n"/>
      <c r="C1429" s="36" t="n"/>
      <c r="D1429" s="36" t="n"/>
      <c r="E1429" s="14" t="n"/>
      <c r="F1429" s="29" t="n"/>
      <c r="G1429" s="29" t="n"/>
      <c r="H1429" s="29" t="n"/>
      <c r="I1429" s="29" t="n"/>
      <c r="J1429" s="29" t="n"/>
      <c r="K1429" s="14" t="n"/>
      <c r="L1429" s="29" t="n"/>
      <c r="M1429" s="14" t="n"/>
      <c r="N1429" s="29" t="n"/>
      <c r="O1429" s="13" t="n"/>
      <c r="P1429" s="13" t="n"/>
      <c r="Q1429" s="35" t="n"/>
      <c r="R1429" s="35" t="n"/>
      <c r="S1429" s="35" t="n"/>
      <c r="T1429" s="35" t="n"/>
      <c r="U1429" s="35" t="n"/>
      <c r="V1429" s="18">
        <f>IF(COUNTA($B1429:$R1429)=0,"",ROUND(N($R1429)+N($S1429)+N($T1429)-N($U1429),2))</f>
        <v/>
      </c>
      <c r="W1429" s="18">
        <f>IF(COUNTA($B1429:$R1429)=0,"",IF(OR($X1429="Pago",$X1429="Recebido",$X1429="Cancelado"),0,ROUND(N($Q1429)+N($S1429)+N($T1429)-N($U1429)-N($R1429),2)))</f>
        <v/>
      </c>
      <c r="X1429" s="14" t="n"/>
      <c r="Y1429" s="17">
        <f>IF(COUNTA($B1429:$R1429)=0,"",IF($X1429="Cancelado","Cancelado",IF(OR($X1429="Pago",$X1429="Recebido"),$X1429,IF(OR($X1429="Parcial",N($R1429)&gt;0),"Parcial",IF($C1429="","Sem vencimento",IF($C1429&lt;TODAY(),"Vencido",IF($C1429=TODAY(),"Vence hoje",IF($C1429&lt;=TODAY()+7,"Vence em 7 dias",IF($C1429&lt;=TODAY()+30,"Vence em 30 dias","Futuro")))))))))</f>
        <v/>
      </c>
      <c r="Z1429" s="24">
        <f>IF($B1429="","",MONTH($B1429))</f>
        <v/>
      </c>
      <c r="AA1429" s="24">
        <f>IF($B1429="","",YEAR($B1429))</f>
        <v/>
      </c>
      <c r="AB1429" s="24">
        <f>IF($B1429="","",ISOWEEKNUM($B1429))</f>
        <v/>
      </c>
      <c r="AC1429" s="17">
        <f>IF($B1429="","",CHOOSE(WEEKDAY($B1429,2),"Segunda","Terça","Quarta","Quinta","Sexta","Sábado","Domingo"))</f>
        <v/>
      </c>
      <c r="AD1429" s="17">
        <f>IF($B1429="","",TEXT($B1429,"MM/AAAA"))</f>
        <v/>
      </c>
      <c r="AE1429" s="18">
        <f>IF(COUNTA($B1429:$R1429)=0,"",IF($X1429="Cancelado",0,ROUND(N($Q1429)+N($S1429)+N($T1429)-N($U1429),2)))</f>
        <v/>
      </c>
      <c r="AF1429" s="9">
        <f>IF($G1429="","",IFERROR(INDEX(LINHAS_DRE_PLANO,MATCH($G1429,SUBCATEGORIAS_PLANO,0)),"Não classificado"))</f>
        <v/>
      </c>
      <c r="AG1429" s="17">
        <f>IF($G1429="","",IFERROR(INDEX(TIPOS_FLUXO_PLANO,MATCH($G1429,SUBCATEGORIAS_PLANO,0)),"Não classificado"))</f>
        <v/>
      </c>
      <c r="AH1429" s="9">
        <f>IF($G1429="","",IFERROR(INDEX(GRUPOS_PLANO,MATCH($G1429,SUBCATEGORIAS_PLANO,0)),"Não classificado"))</f>
        <v/>
      </c>
      <c r="AI1429" s="24">
        <f>IF(OR($C1429="",$X1429="Pago",$X1429="Recebido",$X1429="Cancelado"),"",$C1429-TODAY())</f>
        <v/>
      </c>
      <c r="AJ1429" s="24">
        <f>IF(OR($C1429="",$X1429="Pago",$X1429="Recebido",$X1429="Cancelado"),0,MAX(0,TODAY()-$C1429))</f>
        <v/>
      </c>
      <c r="AK1429" s="24">
        <f>IF($D1429="","",$D1429-$B1429)</f>
        <v/>
      </c>
      <c r="AL1429" s="18">
        <f>IF(OR($D1429="",$B1429=""),"",ROUND(N($R1429)*($D1429-$B1429),2))</f>
        <v/>
      </c>
      <c r="AM1429" s="17">
        <f>IF(AND($E1429="Saída",$W1429&gt;0,$C1429&lt;&gt;""),$C1429+ROW()/1000000,"")</f>
        <v/>
      </c>
      <c r="AN1429" s="17">
        <f>IF(AND($E1429="Entrada",$W1429&gt;0,$C1429&lt;&gt;""),$C1429+ROW()/1000000,"")</f>
        <v/>
      </c>
      <c r="AO1429" s="9">
        <f>IF(COUNTA($B1429:$R1429)=0,"",IF(AND($I1429&lt;&gt;"",COUNTIF(CLIENTES_NOMES,$I1429)+COUNTIF(CLIENTES_FANTASIA,$I1429)+COUNTIF(FORNECEDORES_NOMES,$I1429)+COUNTIF(FORNECEDORES_FANTASIA,$I1429)=0),"⚠ Cliente/Fornecedor não cadastrado",IF(AND($G1429&lt;&gt;"",COUNTIF(SUBCATEGORIAS_PLANO,$G1429)=0),"⚠ Subcategoria fora do plano de contas",IF(OR($Q1429="",N($Q1429)=0),"⚠ Valor previsto não informado",IF(AND(OR($X1429="Pago",$X1429="Recebido"),$D1429=""),"⚠ Status pago/recebido sem data",IF(AND($D1429&lt;&gt;"",N($R1429)=0),"⚠ Data de pagamento sem valor realizado",IF(AND(N($P1429)&gt;1,N($O1429)&gt;N($P1429)),"⚠ Nº da parcela maior que o total",IF(AND($C1429&lt;&gt;"",$B1429&lt;&gt;"",$C1429&lt;$B1429),"⚠ Vencimento anterior à competência","OK"))))))))</f>
        <v/>
      </c>
    </row>
    <row r="1430">
      <c r="A1430" s="14" t="n"/>
      <c r="B1430" s="36" t="n"/>
      <c r="C1430" s="36" t="n"/>
      <c r="D1430" s="36" t="n"/>
      <c r="E1430" s="14" t="n"/>
      <c r="F1430" s="29" t="n"/>
      <c r="G1430" s="29" t="n"/>
      <c r="H1430" s="29" t="n"/>
      <c r="I1430" s="29" t="n"/>
      <c r="J1430" s="29" t="n"/>
      <c r="K1430" s="14" t="n"/>
      <c r="L1430" s="29" t="n"/>
      <c r="M1430" s="14" t="n"/>
      <c r="N1430" s="29" t="n"/>
      <c r="O1430" s="13" t="n"/>
      <c r="P1430" s="13" t="n"/>
      <c r="Q1430" s="35" t="n"/>
      <c r="R1430" s="35" t="n"/>
      <c r="S1430" s="35" t="n"/>
      <c r="T1430" s="35" t="n"/>
      <c r="U1430" s="35" t="n"/>
      <c r="V1430" s="18">
        <f>IF(COUNTA($B1430:$R1430)=0,"",ROUND(N($R1430)+N($S1430)+N($T1430)-N($U1430),2))</f>
        <v/>
      </c>
      <c r="W1430" s="18">
        <f>IF(COUNTA($B1430:$R1430)=0,"",IF(OR($X1430="Pago",$X1430="Recebido",$X1430="Cancelado"),0,ROUND(N($Q1430)+N($S1430)+N($T1430)-N($U1430)-N($R1430),2)))</f>
        <v/>
      </c>
      <c r="X1430" s="14" t="n"/>
      <c r="Y1430" s="17">
        <f>IF(COUNTA($B1430:$R1430)=0,"",IF($X1430="Cancelado","Cancelado",IF(OR($X1430="Pago",$X1430="Recebido"),$X1430,IF(OR($X1430="Parcial",N($R1430)&gt;0),"Parcial",IF($C1430="","Sem vencimento",IF($C1430&lt;TODAY(),"Vencido",IF($C1430=TODAY(),"Vence hoje",IF($C1430&lt;=TODAY()+7,"Vence em 7 dias",IF($C1430&lt;=TODAY()+30,"Vence em 30 dias","Futuro")))))))))</f>
        <v/>
      </c>
      <c r="Z1430" s="24">
        <f>IF($B1430="","",MONTH($B1430))</f>
        <v/>
      </c>
      <c r="AA1430" s="24">
        <f>IF($B1430="","",YEAR($B1430))</f>
        <v/>
      </c>
      <c r="AB1430" s="24">
        <f>IF($B1430="","",ISOWEEKNUM($B1430))</f>
        <v/>
      </c>
      <c r="AC1430" s="17">
        <f>IF($B1430="","",CHOOSE(WEEKDAY($B1430,2),"Segunda","Terça","Quarta","Quinta","Sexta","Sábado","Domingo"))</f>
        <v/>
      </c>
      <c r="AD1430" s="17">
        <f>IF($B1430="","",TEXT($B1430,"MM/AAAA"))</f>
        <v/>
      </c>
      <c r="AE1430" s="18">
        <f>IF(COUNTA($B1430:$R1430)=0,"",IF($X1430="Cancelado",0,ROUND(N($Q1430)+N($S1430)+N($T1430)-N($U1430),2)))</f>
        <v/>
      </c>
      <c r="AF1430" s="9">
        <f>IF($G1430="","",IFERROR(INDEX(LINHAS_DRE_PLANO,MATCH($G1430,SUBCATEGORIAS_PLANO,0)),"Não classificado"))</f>
        <v/>
      </c>
      <c r="AG1430" s="17">
        <f>IF($G1430="","",IFERROR(INDEX(TIPOS_FLUXO_PLANO,MATCH($G1430,SUBCATEGORIAS_PLANO,0)),"Não classificado"))</f>
        <v/>
      </c>
      <c r="AH1430" s="9">
        <f>IF($G1430="","",IFERROR(INDEX(GRUPOS_PLANO,MATCH($G1430,SUBCATEGORIAS_PLANO,0)),"Não classificado"))</f>
        <v/>
      </c>
      <c r="AI1430" s="24">
        <f>IF(OR($C1430="",$X1430="Pago",$X1430="Recebido",$X1430="Cancelado"),"",$C1430-TODAY())</f>
        <v/>
      </c>
      <c r="AJ1430" s="24">
        <f>IF(OR($C1430="",$X1430="Pago",$X1430="Recebido",$X1430="Cancelado"),0,MAX(0,TODAY()-$C1430))</f>
        <v/>
      </c>
      <c r="AK1430" s="24">
        <f>IF($D1430="","",$D1430-$B1430)</f>
        <v/>
      </c>
      <c r="AL1430" s="18">
        <f>IF(OR($D1430="",$B1430=""),"",ROUND(N($R1430)*($D1430-$B1430),2))</f>
        <v/>
      </c>
      <c r="AM1430" s="17">
        <f>IF(AND($E1430="Saída",$W1430&gt;0,$C1430&lt;&gt;""),$C1430+ROW()/1000000,"")</f>
        <v/>
      </c>
      <c r="AN1430" s="17">
        <f>IF(AND($E1430="Entrada",$W1430&gt;0,$C1430&lt;&gt;""),$C1430+ROW()/1000000,"")</f>
        <v/>
      </c>
      <c r="AO1430" s="9">
        <f>IF(COUNTA($B1430:$R1430)=0,"",IF(AND($I1430&lt;&gt;"",COUNTIF(CLIENTES_NOMES,$I1430)+COUNTIF(CLIENTES_FANTASIA,$I1430)+COUNTIF(FORNECEDORES_NOMES,$I1430)+COUNTIF(FORNECEDORES_FANTASIA,$I1430)=0),"⚠ Cliente/Fornecedor não cadastrado",IF(AND($G1430&lt;&gt;"",COUNTIF(SUBCATEGORIAS_PLANO,$G1430)=0),"⚠ Subcategoria fora do plano de contas",IF(OR($Q1430="",N($Q1430)=0),"⚠ Valor previsto não informado",IF(AND(OR($X1430="Pago",$X1430="Recebido"),$D1430=""),"⚠ Status pago/recebido sem data",IF(AND($D1430&lt;&gt;"",N($R1430)=0),"⚠ Data de pagamento sem valor realizado",IF(AND(N($P1430)&gt;1,N($O1430)&gt;N($P1430)),"⚠ Nº da parcela maior que o total",IF(AND($C1430&lt;&gt;"",$B1430&lt;&gt;"",$C1430&lt;$B1430),"⚠ Vencimento anterior à competência","OK"))))))))</f>
        <v/>
      </c>
    </row>
    <row r="1431">
      <c r="A1431" s="14" t="n"/>
      <c r="B1431" s="36" t="n"/>
      <c r="C1431" s="36" t="n"/>
      <c r="D1431" s="36" t="n"/>
      <c r="E1431" s="14" t="n"/>
      <c r="F1431" s="29" t="n"/>
      <c r="G1431" s="29" t="n"/>
      <c r="H1431" s="29" t="n"/>
      <c r="I1431" s="29" t="n"/>
      <c r="J1431" s="29" t="n"/>
      <c r="K1431" s="14" t="n"/>
      <c r="L1431" s="29" t="n"/>
      <c r="M1431" s="14" t="n"/>
      <c r="N1431" s="29" t="n"/>
      <c r="O1431" s="13" t="n"/>
      <c r="P1431" s="13" t="n"/>
      <c r="Q1431" s="35" t="n"/>
      <c r="R1431" s="35" t="n"/>
      <c r="S1431" s="35" t="n"/>
      <c r="T1431" s="35" t="n"/>
      <c r="U1431" s="35" t="n"/>
      <c r="V1431" s="18">
        <f>IF(COUNTA($B1431:$R1431)=0,"",ROUND(N($R1431)+N($S1431)+N($T1431)-N($U1431),2))</f>
        <v/>
      </c>
      <c r="W1431" s="18">
        <f>IF(COUNTA($B1431:$R1431)=0,"",IF(OR($X1431="Pago",$X1431="Recebido",$X1431="Cancelado"),0,ROUND(N($Q1431)+N($S1431)+N($T1431)-N($U1431)-N($R1431),2)))</f>
        <v/>
      </c>
      <c r="X1431" s="14" t="n"/>
      <c r="Y1431" s="17">
        <f>IF(COUNTA($B1431:$R1431)=0,"",IF($X1431="Cancelado","Cancelado",IF(OR($X1431="Pago",$X1431="Recebido"),$X1431,IF(OR($X1431="Parcial",N($R1431)&gt;0),"Parcial",IF($C1431="","Sem vencimento",IF($C1431&lt;TODAY(),"Vencido",IF($C1431=TODAY(),"Vence hoje",IF($C1431&lt;=TODAY()+7,"Vence em 7 dias",IF($C1431&lt;=TODAY()+30,"Vence em 30 dias","Futuro")))))))))</f>
        <v/>
      </c>
      <c r="Z1431" s="24">
        <f>IF($B1431="","",MONTH($B1431))</f>
        <v/>
      </c>
      <c r="AA1431" s="24">
        <f>IF($B1431="","",YEAR($B1431))</f>
        <v/>
      </c>
      <c r="AB1431" s="24">
        <f>IF($B1431="","",ISOWEEKNUM($B1431))</f>
        <v/>
      </c>
      <c r="AC1431" s="17">
        <f>IF($B1431="","",CHOOSE(WEEKDAY($B1431,2),"Segunda","Terça","Quarta","Quinta","Sexta","Sábado","Domingo"))</f>
        <v/>
      </c>
      <c r="AD1431" s="17">
        <f>IF($B1431="","",TEXT($B1431,"MM/AAAA"))</f>
        <v/>
      </c>
      <c r="AE1431" s="18">
        <f>IF(COUNTA($B1431:$R1431)=0,"",IF($X1431="Cancelado",0,ROUND(N($Q1431)+N($S1431)+N($T1431)-N($U1431),2)))</f>
        <v/>
      </c>
      <c r="AF1431" s="9">
        <f>IF($G1431="","",IFERROR(INDEX(LINHAS_DRE_PLANO,MATCH($G1431,SUBCATEGORIAS_PLANO,0)),"Não classificado"))</f>
        <v/>
      </c>
      <c r="AG1431" s="17">
        <f>IF($G1431="","",IFERROR(INDEX(TIPOS_FLUXO_PLANO,MATCH($G1431,SUBCATEGORIAS_PLANO,0)),"Não classificado"))</f>
        <v/>
      </c>
      <c r="AH1431" s="9">
        <f>IF($G1431="","",IFERROR(INDEX(GRUPOS_PLANO,MATCH($G1431,SUBCATEGORIAS_PLANO,0)),"Não classificado"))</f>
        <v/>
      </c>
      <c r="AI1431" s="24">
        <f>IF(OR($C1431="",$X1431="Pago",$X1431="Recebido",$X1431="Cancelado"),"",$C1431-TODAY())</f>
        <v/>
      </c>
      <c r="AJ1431" s="24">
        <f>IF(OR($C1431="",$X1431="Pago",$X1431="Recebido",$X1431="Cancelado"),0,MAX(0,TODAY()-$C1431))</f>
        <v/>
      </c>
      <c r="AK1431" s="24">
        <f>IF($D1431="","",$D1431-$B1431)</f>
        <v/>
      </c>
      <c r="AL1431" s="18">
        <f>IF(OR($D1431="",$B1431=""),"",ROUND(N($R1431)*($D1431-$B1431),2))</f>
        <v/>
      </c>
      <c r="AM1431" s="17">
        <f>IF(AND($E1431="Saída",$W1431&gt;0,$C1431&lt;&gt;""),$C1431+ROW()/1000000,"")</f>
        <v/>
      </c>
      <c r="AN1431" s="17">
        <f>IF(AND($E1431="Entrada",$W1431&gt;0,$C1431&lt;&gt;""),$C1431+ROW()/1000000,"")</f>
        <v/>
      </c>
      <c r="AO1431" s="9">
        <f>IF(COUNTA($B1431:$R1431)=0,"",IF(AND($I1431&lt;&gt;"",COUNTIF(CLIENTES_NOMES,$I1431)+COUNTIF(CLIENTES_FANTASIA,$I1431)+COUNTIF(FORNECEDORES_NOMES,$I1431)+COUNTIF(FORNECEDORES_FANTASIA,$I1431)=0),"⚠ Cliente/Fornecedor não cadastrado",IF(AND($G1431&lt;&gt;"",COUNTIF(SUBCATEGORIAS_PLANO,$G1431)=0),"⚠ Subcategoria fora do plano de contas",IF(OR($Q1431="",N($Q1431)=0),"⚠ Valor previsto não informado",IF(AND(OR($X1431="Pago",$X1431="Recebido"),$D1431=""),"⚠ Status pago/recebido sem data",IF(AND($D1431&lt;&gt;"",N($R1431)=0),"⚠ Data de pagamento sem valor realizado",IF(AND(N($P1431)&gt;1,N($O1431)&gt;N($P1431)),"⚠ Nº da parcela maior que o total",IF(AND($C1431&lt;&gt;"",$B1431&lt;&gt;"",$C1431&lt;$B1431),"⚠ Vencimento anterior à competência","OK"))))))))</f>
        <v/>
      </c>
    </row>
    <row r="1432">
      <c r="A1432" s="14" t="n"/>
      <c r="B1432" s="36" t="n"/>
      <c r="C1432" s="36" t="n"/>
      <c r="D1432" s="36" t="n"/>
      <c r="E1432" s="14" t="n"/>
      <c r="F1432" s="29" t="n"/>
      <c r="G1432" s="29" t="n"/>
      <c r="H1432" s="29" t="n"/>
      <c r="I1432" s="29" t="n"/>
      <c r="J1432" s="29" t="n"/>
      <c r="K1432" s="14" t="n"/>
      <c r="L1432" s="29" t="n"/>
      <c r="M1432" s="14" t="n"/>
      <c r="N1432" s="29" t="n"/>
      <c r="O1432" s="13" t="n"/>
      <c r="P1432" s="13" t="n"/>
      <c r="Q1432" s="35" t="n"/>
      <c r="R1432" s="35" t="n"/>
      <c r="S1432" s="35" t="n"/>
      <c r="T1432" s="35" t="n"/>
      <c r="U1432" s="35" t="n"/>
      <c r="V1432" s="18">
        <f>IF(COUNTA($B1432:$R1432)=0,"",ROUND(N($R1432)+N($S1432)+N($T1432)-N($U1432),2))</f>
        <v/>
      </c>
      <c r="W1432" s="18">
        <f>IF(COUNTA($B1432:$R1432)=0,"",IF(OR($X1432="Pago",$X1432="Recebido",$X1432="Cancelado"),0,ROUND(N($Q1432)+N($S1432)+N($T1432)-N($U1432)-N($R1432),2)))</f>
        <v/>
      </c>
      <c r="X1432" s="14" t="n"/>
      <c r="Y1432" s="17">
        <f>IF(COUNTA($B1432:$R1432)=0,"",IF($X1432="Cancelado","Cancelado",IF(OR($X1432="Pago",$X1432="Recebido"),$X1432,IF(OR($X1432="Parcial",N($R1432)&gt;0),"Parcial",IF($C1432="","Sem vencimento",IF($C1432&lt;TODAY(),"Vencido",IF($C1432=TODAY(),"Vence hoje",IF($C1432&lt;=TODAY()+7,"Vence em 7 dias",IF($C1432&lt;=TODAY()+30,"Vence em 30 dias","Futuro")))))))))</f>
        <v/>
      </c>
      <c r="Z1432" s="24">
        <f>IF($B1432="","",MONTH($B1432))</f>
        <v/>
      </c>
      <c r="AA1432" s="24">
        <f>IF($B1432="","",YEAR($B1432))</f>
        <v/>
      </c>
      <c r="AB1432" s="24">
        <f>IF($B1432="","",ISOWEEKNUM($B1432))</f>
        <v/>
      </c>
      <c r="AC1432" s="17">
        <f>IF($B1432="","",CHOOSE(WEEKDAY($B1432,2),"Segunda","Terça","Quarta","Quinta","Sexta","Sábado","Domingo"))</f>
        <v/>
      </c>
      <c r="AD1432" s="17">
        <f>IF($B1432="","",TEXT($B1432,"MM/AAAA"))</f>
        <v/>
      </c>
      <c r="AE1432" s="18">
        <f>IF(COUNTA($B1432:$R1432)=0,"",IF($X1432="Cancelado",0,ROUND(N($Q1432)+N($S1432)+N($T1432)-N($U1432),2)))</f>
        <v/>
      </c>
      <c r="AF1432" s="9">
        <f>IF($G1432="","",IFERROR(INDEX(LINHAS_DRE_PLANO,MATCH($G1432,SUBCATEGORIAS_PLANO,0)),"Não classificado"))</f>
        <v/>
      </c>
      <c r="AG1432" s="17">
        <f>IF($G1432="","",IFERROR(INDEX(TIPOS_FLUXO_PLANO,MATCH($G1432,SUBCATEGORIAS_PLANO,0)),"Não classificado"))</f>
        <v/>
      </c>
      <c r="AH1432" s="9">
        <f>IF($G1432="","",IFERROR(INDEX(GRUPOS_PLANO,MATCH($G1432,SUBCATEGORIAS_PLANO,0)),"Não classificado"))</f>
        <v/>
      </c>
      <c r="AI1432" s="24">
        <f>IF(OR($C1432="",$X1432="Pago",$X1432="Recebido",$X1432="Cancelado"),"",$C1432-TODAY())</f>
        <v/>
      </c>
      <c r="AJ1432" s="24">
        <f>IF(OR($C1432="",$X1432="Pago",$X1432="Recebido",$X1432="Cancelado"),0,MAX(0,TODAY()-$C1432))</f>
        <v/>
      </c>
      <c r="AK1432" s="24">
        <f>IF($D1432="","",$D1432-$B1432)</f>
        <v/>
      </c>
      <c r="AL1432" s="18">
        <f>IF(OR($D1432="",$B1432=""),"",ROUND(N($R1432)*($D1432-$B1432),2))</f>
        <v/>
      </c>
      <c r="AM1432" s="17">
        <f>IF(AND($E1432="Saída",$W1432&gt;0,$C1432&lt;&gt;""),$C1432+ROW()/1000000,"")</f>
        <v/>
      </c>
      <c r="AN1432" s="17">
        <f>IF(AND($E1432="Entrada",$W1432&gt;0,$C1432&lt;&gt;""),$C1432+ROW()/1000000,"")</f>
        <v/>
      </c>
      <c r="AO1432" s="9">
        <f>IF(COUNTA($B1432:$R1432)=0,"",IF(AND($I1432&lt;&gt;"",COUNTIF(CLIENTES_NOMES,$I1432)+COUNTIF(CLIENTES_FANTASIA,$I1432)+COUNTIF(FORNECEDORES_NOMES,$I1432)+COUNTIF(FORNECEDORES_FANTASIA,$I1432)=0),"⚠ Cliente/Fornecedor não cadastrado",IF(AND($G1432&lt;&gt;"",COUNTIF(SUBCATEGORIAS_PLANO,$G1432)=0),"⚠ Subcategoria fora do plano de contas",IF(OR($Q1432="",N($Q1432)=0),"⚠ Valor previsto não informado",IF(AND(OR($X1432="Pago",$X1432="Recebido"),$D1432=""),"⚠ Status pago/recebido sem data",IF(AND($D1432&lt;&gt;"",N($R1432)=0),"⚠ Data de pagamento sem valor realizado",IF(AND(N($P1432)&gt;1,N($O1432)&gt;N($P1432)),"⚠ Nº da parcela maior que o total",IF(AND($C1432&lt;&gt;"",$B1432&lt;&gt;"",$C1432&lt;$B1432),"⚠ Vencimento anterior à competência","OK"))))))))</f>
        <v/>
      </c>
    </row>
    <row r="1433">
      <c r="A1433" s="14" t="n"/>
      <c r="B1433" s="36" t="n"/>
      <c r="C1433" s="36" t="n"/>
      <c r="D1433" s="36" t="n"/>
      <c r="E1433" s="14" t="n"/>
      <c r="F1433" s="29" t="n"/>
      <c r="G1433" s="29" t="n"/>
      <c r="H1433" s="29" t="n"/>
      <c r="I1433" s="29" t="n"/>
      <c r="J1433" s="29" t="n"/>
      <c r="K1433" s="14" t="n"/>
      <c r="L1433" s="29" t="n"/>
      <c r="M1433" s="14" t="n"/>
      <c r="N1433" s="29" t="n"/>
      <c r="O1433" s="13" t="n"/>
      <c r="P1433" s="13" t="n"/>
      <c r="Q1433" s="35" t="n"/>
      <c r="R1433" s="35" t="n"/>
      <c r="S1433" s="35" t="n"/>
      <c r="T1433" s="35" t="n"/>
      <c r="U1433" s="35" t="n"/>
      <c r="V1433" s="18">
        <f>IF(COUNTA($B1433:$R1433)=0,"",ROUND(N($R1433)+N($S1433)+N($T1433)-N($U1433),2))</f>
        <v/>
      </c>
      <c r="W1433" s="18">
        <f>IF(COUNTA($B1433:$R1433)=0,"",IF(OR($X1433="Pago",$X1433="Recebido",$X1433="Cancelado"),0,ROUND(N($Q1433)+N($S1433)+N($T1433)-N($U1433)-N($R1433),2)))</f>
        <v/>
      </c>
      <c r="X1433" s="14" t="n"/>
      <c r="Y1433" s="17">
        <f>IF(COUNTA($B1433:$R1433)=0,"",IF($X1433="Cancelado","Cancelado",IF(OR($X1433="Pago",$X1433="Recebido"),$X1433,IF(OR($X1433="Parcial",N($R1433)&gt;0),"Parcial",IF($C1433="","Sem vencimento",IF($C1433&lt;TODAY(),"Vencido",IF($C1433=TODAY(),"Vence hoje",IF($C1433&lt;=TODAY()+7,"Vence em 7 dias",IF($C1433&lt;=TODAY()+30,"Vence em 30 dias","Futuro")))))))))</f>
        <v/>
      </c>
      <c r="Z1433" s="24">
        <f>IF($B1433="","",MONTH($B1433))</f>
        <v/>
      </c>
      <c r="AA1433" s="24">
        <f>IF($B1433="","",YEAR($B1433))</f>
        <v/>
      </c>
      <c r="AB1433" s="24">
        <f>IF($B1433="","",ISOWEEKNUM($B1433))</f>
        <v/>
      </c>
      <c r="AC1433" s="17">
        <f>IF($B1433="","",CHOOSE(WEEKDAY($B1433,2),"Segunda","Terça","Quarta","Quinta","Sexta","Sábado","Domingo"))</f>
        <v/>
      </c>
      <c r="AD1433" s="17">
        <f>IF($B1433="","",TEXT($B1433,"MM/AAAA"))</f>
        <v/>
      </c>
      <c r="AE1433" s="18">
        <f>IF(COUNTA($B1433:$R1433)=0,"",IF($X1433="Cancelado",0,ROUND(N($Q1433)+N($S1433)+N($T1433)-N($U1433),2)))</f>
        <v/>
      </c>
      <c r="AF1433" s="9">
        <f>IF($G1433="","",IFERROR(INDEX(LINHAS_DRE_PLANO,MATCH($G1433,SUBCATEGORIAS_PLANO,0)),"Não classificado"))</f>
        <v/>
      </c>
      <c r="AG1433" s="17">
        <f>IF($G1433="","",IFERROR(INDEX(TIPOS_FLUXO_PLANO,MATCH($G1433,SUBCATEGORIAS_PLANO,0)),"Não classificado"))</f>
        <v/>
      </c>
      <c r="AH1433" s="9">
        <f>IF($G1433="","",IFERROR(INDEX(GRUPOS_PLANO,MATCH($G1433,SUBCATEGORIAS_PLANO,0)),"Não classificado"))</f>
        <v/>
      </c>
      <c r="AI1433" s="24">
        <f>IF(OR($C1433="",$X1433="Pago",$X1433="Recebido",$X1433="Cancelado"),"",$C1433-TODAY())</f>
        <v/>
      </c>
      <c r="AJ1433" s="24">
        <f>IF(OR($C1433="",$X1433="Pago",$X1433="Recebido",$X1433="Cancelado"),0,MAX(0,TODAY()-$C1433))</f>
        <v/>
      </c>
      <c r="AK1433" s="24">
        <f>IF($D1433="","",$D1433-$B1433)</f>
        <v/>
      </c>
      <c r="AL1433" s="18">
        <f>IF(OR($D1433="",$B1433=""),"",ROUND(N($R1433)*($D1433-$B1433),2))</f>
        <v/>
      </c>
      <c r="AM1433" s="17">
        <f>IF(AND($E1433="Saída",$W1433&gt;0,$C1433&lt;&gt;""),$C1433+ROW()/1000000,"")</f>
        <v/>
      </c>
      <c r="AN1433" s="17">
        <f>IF(AND($E1433="Entrada",$W1433&gt;0,$C1433&lt;&gt;""),$C1433+ROW()/1000000,"")</f>
        <v/>
      </c>
      <c r="AO1433" s="9">
        <f>IF(COUNTA($B1433:$R1433)=0,"",IF(AND($I1433&lt;&gt;"",COUNTIF(CLIENTES_NOMES,$I1433)+COUNTIF(CLIENTES_FANTASIA,$I1433)+COUNTIF(FORNECEDORES_NOMES,$I1433)+COUNTIF(FORNECEDORES_FANTASIA,$I1433)=0),"⚠ Cliente/Fornecedor não cadastrado",IF(AND($G1433&lt;&gt;"",COUNTIF(SUBCATEGORIAS_PLANO,$G1433)=0),"⚠ Subcategoria fora do plano de contas",IF(OR($Q1433="",N($Q1433)=0),"⚠ Valor previsto não informado",IF(AND(OR($X1433="Pago",$X1433="Recebido"),$D1433=""),"⚠ Status pago/recebido sem data",IF(AND($D1433&lt;&gt;"",N($R1433)=0),"⚠ Data de pagamento sem valor realizado",IF(AND(N($P1433)&gt;1,N($O1433)&gt;N($P1433)),"⚠ Nº da parcela maior que o total",IF(AND($C1433&lt;&gt;"",$B1433&lt;&gt;"",$C1433&lt;$B1433),"⚠ Vencimento anterior à competência","OK"))))))))</f>
        <v/>
      </c>
    </row>
    <row r="1434">
      <c r="A1434" s="14" t="n"/>
      <c r="B1434" s="36" t="n"/>
      <c r="C1434" s="36" t="n"/>
      <c r="D1434" s="36" t="n"/>
      <c r="E1434" s="14" t="n"/>
      <c r="F1434" s="29" t="n"/>
      <c r="G1434" s="29" t="n"/>
      <c r="H1434" s="29" t="n"/>
      <c r="I1434" s="29" t="n"/>
      <c r="J1434" s="29" t="n"/>
      <c r="K1434" s="14" t="n"/>
      <c r="L1434" s="29" t="n"/>
      <c r="M1434" s="14" t="n"/>
      <c r="N1434" s="29" t="n"/>
      <c r="O1434" s="13" t="n"/>
      <c r="P1434" s="13" t="n"/>
      <c r="Q1434" s="35" t="n"/>
      <c r="R1434" s="35" t="n"/>
      <c r="S1434" s="35" t="n"/>
      <c r="T1434" s="35" t="n"/>
      <c r="U1434" s="35" t="n"/>
      <c r="V1434" s="18">
        <f>IF(COUNTA($B1434:$R1434)=0,"",ROUND(N($R1434)+N($S1434)+N($T1434)-N($U1434),2))</f>
        <v/>
      </c>
      <c r="W1434" s="18">
        <f>IF(COUNTA($B1434:$R1434)=0,"",IF(OR($X1434="Pago",$X1434="Recebido",$X1434="Cancelado"),0,ROUND(N($Q1434)+N($S1434)+N($T1434)-N($U1434)-N($R1434),2)))</f>
        <v/>
      </c>
      <c r="X1434" s="14" t="n"/>
      <c r="Y1434" s="17">
        <f>IF(COUNTA($B1434:$R1434)=0,"",IF($X1434="Cancelado","Cancelado",IF(OR($X1434="Pago",$X1434="Recebido"),$X1434,IF(OR($X1434="Parcial",N($R1434)&gt;0),"Parcial",IF($C1434="","Sem vencimento",IF($C1434&lt;TODAY(),"Vencido",IF($C1434=TODAY(),"Vence hoje",IF($C1434&lt;=TODAY()+7,"Vence em 7 dias",IF($C1434&lt;=TODAY()+30,"Vence em 30 dias","Futuro")))))))))</f>
        <v/>
      </c>
      <c r="Z1434" s="24">
        <f>IF($B1434="","",MONTH($B1434))</f>
        <v/>
      </c>
      <c r="AA1434" s="24">
        <f>IF($B1434="","",YEAR($B1434))</f>
        <v/>
      </c>
      <c r="AB1434" s="24">
        <f>IF($B1434="","",ISOWEEKNUM($B1434))</f>
        <v/>
      </c>
      <c r="AC1434" s="17">
        <f>IF($B1434="","",CHOOSE(WEEKDAY($B1434,2),"Segunda","Terça","Quarta","Quinta","Sexta","Sábado","Domingo"))</f>
        <v/>
      </c>
      <c r="AD1434" s="17">
        <f>IF($B1434="","",TEXT($B1434,"MM/AAAA"))</f>
        <v/>
      </c>
      <c r="AE1434" s="18">
        <f>IF(COUNTA($B1434:$R1434)=0,"",IF($X1434="Cancelado",0,ROUND(N($Q1434)+N($S1434)+N($T1434)-N($U1434),2)))</f>
        <v/>
      </c>
      <c r="AF1434" s="9">
        <f>IF($G1434="","",IFERROR(INDEX(LINHAS_DRE_PLANO,MATCH($G1434,SUBCATEGORIAS_PLANO,0)),"Não classificado"))</f>
        <v/>
      </c>
      <c r="AG1434" s="17">
        <f>IF($G1434="","",IFERROR(INDEX(TIPOS_FLUXO_PLANO,MATCH($G1434,SUBCATEGORIAS_PLANO,0)),"Não classificado"))</f>
        <v/>
      </c>
      <c r="AH1434" s="9">
        <f>IF($G1434="","",IFERROR(INDEX(GRUPOS_PLANO,MATCH($G1434,SUBCATEGORIAS_PLANO,0)),"Não classificado"))</f>
        <v/>
      </c>
      <c r="AI1434" s="24">
        <f>IF(OR($C1434="",$X1434="Pago",$X1434="Recebido",$X1434="Cancelado"),"",$C1434-TODAY())</f>
        <v/>
      </c>
      <c r="AJ1434" s="24">
        <f>IF(OR($C1434="",$X1434="Pago",$X1434="Recebido",$X1434="Cancelado"),0,MAX(0,TODAY()-$C1434))</f>
        <v/>
      </c>
      <c r="AK1434" s="24">
        <f>IF($D1434="","",$D1434-$B1434)</f>
        <v/>
      </c>
      <c r="AL1434" s="18">
        <f>IF(OR($D1434="",$B1434=""),"",ROUND(N($R1434)*($D1434-$B1434),2))</f>
        <v/>
      </c>
      <c r="AM1434" s="17">
        <f>IF(AND($E1434="Saída",$W1434&gt;0,$C1434&lt;&gt;""),$C1434+ROW()/1000000,"")</f>
        <v/>
      </c>
      <c r="AN1434" s="17">
        <f>IF(AND($E1434="Entrada",$W1434&gt;0,$C1434&lt;&gt;""),$C1434+ROW()/1000000,"")</f>
        <v/>
      </c>
      <c r="AO1434" s="9">
        <f>IF(COUNTA($B1434:$R1434)=0,"",IF(AND($I1434&lt;&gt;"",COUNTIF(CLIENTES_NOMES,$I1434)+COUNTIF(CLIENTES_FANTASIA,$I1434)+COUNTIF(FORNECEDORES_NOMES,$I1434)+COUNTIF(FORNECEDORES_FANTASIA,$I1434)=0),"⚠ Cliente/Fornecedor não cadastrado",IF(AND($G1434&lt;&gt;"",COUNTIF(SUBCATEGORIAS_PLANO,$G1434)=0),"⚠ Subcategoria fora do plano de contas",IF(OR($Q1434="",N($Q1434)=0),"⚠ Valor previsto não informado",IF(AND(OR($X1434="Pago",$X1434="Recebido"),$D1434=""),"⚠ Status pago/recebido sem data",IF(AND($D1434&lt;&gt;"",N($R1434)=0),"⚠ Data de pagamento sem valor realizado",IF(AND(N($P1434)&gt;1,N($O1434)&gt;N($P1434)),"⚠ Nº da parcela maior que o total",IF(AND($C1434&lt;&gt;"",$B1434&lt;&gt;"",$C1434&lt;$B1434),"⚠ Vencimento anterior à competência","OK"))))))))</f>
        <v/>
      </c>
    </row>
    <row r="1435">
      <c r="A1435" s="14" t="n"/>
      <c r="B1435" s="36" t="n"/>
      <c r="C1435" s="36" t="n"/>
      <c r="D1435" s="36" t="n"/>
      <c r="E1435" s="14" t="n"/>
      <c r="F1435" s="29" t="n"/>
      <c r="G1435" s="29" t="n"/>
      <c r="H1435" s="29" t="n"/>
      <c r="I1435" s="29" t="n"/>
      <c r="J1435" s="29" t="n"/>
      <c r="K1435" s="14" t="n"/>
      <c r="L1435" s="29" t="n"/>
      <c r="M1435" s="14" t="n"/>
      <c r="N1435" s="29" t="n"/>
      <c r="O1435" s="13" t="n"/>
      <c r="P1435" s="13" t="n"/>
      <c r="Q1435" s="35" t="n"/>
      <c r="R1435" s="35" t="n"/>
      <c r="S1435" s="35" t="n"/>
      <c r="T1435" s="35" t="n"/>
      <c r="U1435" s="35" t="n"/>
      <c r="V1435" s="18">
        <f>IF(COUNTA($B1435:$R1435)=0,"",ROUND(N($R1435)+N($S1435)+N($T1435)-N($U1435),2))</f>
        <v/>
      </c>
      <c r="W1435" s="18">
        <f>IF(COUNTA($B1435:$R1435)=0,"",IF(OR($X1435="Pago",$X1435="Recebido",$X1435="Cancelado"),0,ROUND(N($Q1435)+N($S1435)+N($T1435)-N($U1435)-N($R1435),2)))</f>
        <v/>
      </c>
      <c r="X1435" s="14" t="n"/>
      <c r="Y1435" s="17">
        <f>IF(COUNTA($B1435:$R1435)=0,"",IF($X1435="Cancelado","Cancelado",IF(OR($X1435="Pago",$X1435="Recebido"),$X1435,IF(OR($X1435="Parcial",N($R1435)&gt;0),"Parcial",IF($C1435="","Sem vencimento",IF($C1435&lt;TODAY(),"Vencido",IF($C1435=TODAY(),"Vence hoje",IF($C1435&lt;=TODAY()+7,"Vence em 7 dias",IF($C1435&lt;=TODAY()+30,"Vence em 30 dias","Futuro")))))))))</f>
        <v/>
      </c>
      <c r="Z1435" s="24">
        <f>IF($B1435="","",MONTH($B1435))</f>
        <v/>
      </c>
      <c r="AA1435" s="24">
        <f>IF($B1435="","",YEAR($B1435))</f>
        <v/>
      </c>
      <c r="AB1435" s="24">
        <f>IF($B1435="","",ISOWEEKNUM($B1435))</f>
        <v/>
      </c>
      <c r="AC1435" s="17">
        <f>IF($B1435="","",CHOOSE(WEEKDAY($B1435,2),"Segunda","Terça","Quarta","Quinta","Sexta","Sábado","Domingo"))</f>
        <v/>
      </c>
      <c r="AD1435" s="17">
        <f>IF($B1435="","",TEXT($B1435,"MM/AAAA"))</f>
        <v/>
      </c>
      <c r="AE1435" s="18">
        <f>IF(COUNTA($B1435:$R1435)=0,"",IF($X1435="Cancelado",0,ROUND(N($Q1435)+N($S1435)+N($T1435)-N($U1435),2)))</f>
        <v/>
      </c>
      <c r="AF1435" s="9">
        <f>IF($G1435="","",IFERROR(INDEX(LINHAS_DRE_PLANO,MATCH($G1435,SUBCATEGORIAS_PLANO,0)),"Não classificado"))</f>
        <v/>
      </c>
      <c r="AG1435" s="17">
        <f>IF($G1435="","",IFERROR(INDEX(TIPOS_FLUXO_PLANO,MATCH($G1435,SUBCATEGORIAS_PLANO,0)),"Não classificado"))</f>
        <v/>
      </c>
      <c r="AH1435" s="9">
        <f>IF($G1435="","",IFERROR(INDEX(GRUPOS_PLANO,MATCH($G1435,SUBCATEGORIAS_PLANO,0)),"Não classificado"))</f>
        <v/>
      </c>
      <c r="AI1435" s="24">
        <f>IF(OR($C1435="",$X1435="Pago",$X1435="Recebido",$X1435="Cancelado"),"",$C1435-TODAY())</f>
        <v/>
      </c>
      <c r="AJ1435" s="24">
        <f>IF(OR($C1435="",$X1435="Pago",$X1435="Recebido",$X1435="Cancelado"),0,MAX(0,TODAY()-$C1435))</f>
        <v/>
      </c>
      <c r="AK1435" s="24">
        <f>IF($D1435="","",$D1435-$B1435)</f>
        <v/>
      </c>
      <c r="AL1435" s="18">
        <f>IF(OR($D1435="",$B1435=""),"",ROUND(N($R1435)*($D1435-$B1435),2))</f>
        <v/>
      </c>
      <c r="AM1435" s="17">
        <f>IF(AND($E1435="Saída",$W1435&gt;0,$C1435&lt;&gt;""),$C1435+ROW()/1000000,"")</f>
        <v/>
      </c>
      <c r="AN1435" s="17">
        <f>IF(AND($E1435="Entrada",$W1435&gt;0,$C1435&lt;&gt;""),$C1435+ROW()/1000000,"")</f>
        <v/>
      </c>
      <c r="AO1435" s="9">
        <f>IF(COUNTA($B1435:$R1435)=0,"",IF(AND($I1435&lt;&gt;"",COUNTIF(CLIENTES_NOMES,$I1435)+COUNTIF(CLIENTES_FANTASIA,$I1435)+COUNTIF(FORNECEDORES_NOMES,$I1435)+COUNTIF(FORNECEDORES_FANTASIA,$I1435)=0),"⚠ Cliente/Fornecedor não cadastrado",IF(AND($G1435&lt;&gt;"",COUNTIF(SUBCATEGORIAS_PLANO,$G1435)=0),"⚠ Subcategoria fora do plano de contas",IF(OR($Q1435="",N($Q1435)=0),"⚠ Valor previsto não informado",IF(AND(OR($X1435="Pago",$X1435="Recebido"),$D1435=""),"⚠ Status pago/recebido sem data",IF(AND($D1435&lt;&gt;"",N($R1435)=0),"⚠ Data de pagamento sem valor realizado",IF(AND(N($P1435)&gt;1,N($O1435)&gt;N($P1435)),"⚠ Nº da parcela maior que o total",IF(AND($C1435&lt;&gt;"",$B1435&lt;&gt;"",$C1435&lt;$B1435),"⚠ Vencimento anterior à competência","OK"))))))))</f>
        <v/>
      </c>
    </row>
    <row r="1436">
      <c r="A1436" s="14" t="n"/>
      <c r="B1436" s="36" t="n"/>
      <c r="C1436" s="36" t="n"/>
      <c r="D1436" s="36" t="n"/>
      <c r="E1436" s="14" t="n"/>
      <c r="F1436" s="29" t="n"/>
      <c r="G1436" s="29" t="n"/>
      <c r="H1436" s="29" t="n"/>
      <c r="I1436" s="29" t="n"/>
      <c r="J1436" s="29" t="n"/>
      <c r="K1436" s="14" t="n"/>
      <c r="L1436" s="29" t="n"/>
      <c r="M1436" s="14" t="n"/>
      <c r="N1436" s="29" t="n"/>
      <c r="O1436" s="13" t="n"/>
      <c r="P1436" s="13" t="n"/>
      <c r="Q1436" s="35" t="n"/>
      <c r="R1436" s="35" t="n"/>
      <c r="S1436" s="35" t="n"/>
      <c r="T1436" s="35" t="n"/>
      <c r="U1436" s="35" t="n"/>
      <c r="V1436" s="18">
        <f>IF(COUNTA($B1436:$R1436)=0,"",ROUND(N($R1436)+N($S1436)+N($T1436)-N($U1436),2))</f>
        <v/>
      </c>
      <c r="W1436" s="18">
        <f>IF(COUNTA($B1436:$R1436)=0,"",IF(OR($X1436="Pago",$X1436="Recebido",$X1436="Cancelado"),0,ROUND(N($Q1436)+N($S1436)+N($T1436)-N($U1436)-N($R1436),2)))</f>
        <v/>
      </c>
      <c r="X1436" s="14" t="n"/>
      <c r="Y1436" s="17">
        <f>IF(COUNTA($B1436:$R1436)=0,"",IF($X1436="Cancelado","Cancelado",IF(OR($X1436="Pago",$X1436="Recebido"),$X1436,IF(OR($X1436="Parcial",N($R1436)&gt;0),"Parcial",IF($C1436="","Sem vencimento",IF($C1436&lt;TODAY(),"Vencido",IF($C1436=TODAY(),"Vence hoje",IF($C1436&lt;=TODAY()+7,"Vence em 7 dias",IF($C1436&lt;=TODAY()+30,"Vence em 30 dias","Futuro")))))))))</f>
        <v/>
      </c>
      <c r="Z1436" s="24">
        <f>IF($B1436="","",MONTH($B1436))</f>
        <v/>
      </c>
      <c r="AA1436" s="24">
        <f>IF($B1436="","",YEAR($B1436))</f>
        <v/>
      </c>
      <c r="AB1436" s="24">
        <f>IF($B1436="","",ISOWEEKNUM($B1436))</f>
        <v/>
      </c>
      <c r="AC1436" s="17">
        <f>IF($B1436="","",CHOOSE(WEEKDAY($B1436,2),"Segunda","Terça","Quarta","Quinta","Sexta","Sábado","Domingo"))</f>
        <v/>
      </c>
      <c r="AD1436" s="17">
        <f>IF($B1436="","",TEXT($B1436,"MM/AAAA"))</f>
        <v/>
      </c>
      <c r="AE1436" s="18">
        <f>IF(COUNTA($B1436:$R1436)=0,"",IF($X1436="Cancelado",0,ROUND(N($Q1436)+N($S1436)+N($T1436)-N($U1436),2)))</f>
        <v/>
      </c>
      <c r="AF1436" s="9">
        <f>IF($G1436="","",IFERROR(INDEX(LINHAS_DRE_PLANO,MATCH($G1436,SUBCATEGORIAS_PLANO,0)),"Não classificado"))</f>
        <v/>
      </c>
      <c r="AG1436" s="17">
        <f>IF($G1436="","",IFERROR(INDEX(TIPOS_FLUXO_PLANO,MATCH($G1436,SUBCATEGORIAS_PLANO,0)),"Não classificado"))</f>
        <v/>
      </c>
      <c r="AH1436" s="9">
        <f>IF($G1436="","",IFERROR(INDEX(GRUPOS_PLANO,MATCH($G1436,SUBCATEGORIAS_PLANO,0)),"Não classificado"))</f>
        <v/>
      </c>
      <c r="AI1436" s="24">
        <f>IF(OR($C1436="",$X1436="Pago",$X1436="Recebido",$X1436="Cancelado"),"",$C1436-TODAY())</f>
        <v/>
      </c>
      <c r="AJ1436" s="24">
        <f>IF(OR($C1436="",$X1436="Pago",$X1436="Recebido",$X1436="Cancelado"),0,MAX(0,TODAY()-$C1436))</f>
        <v/>
      </c>
      <c r="AK1436" s="24">
        <f>IF($D1436="","",$D1436-$B1436)</f>
        <v/>
      </c>
      <c r="AL1436" s="18">
        <f>IF(OR($D1436="",$B1436=""),"",ROUND(N($R1436)*($D1436-$B1436),2))</f>
        <v/>
      </c>
      <c r="AM1436" s="17">
        <f>IF(AND($E1436="Saída",$W1436&gt;0,$C1436&lt;&gt;""),$C1436+ROW()/1000000,"")</f>
        <v/>
      </c>
      <c r="AN1436" s="17">
        <f>IF(AND($E1436="Entrada",$W1436&gt;0,$C1436&lt;&gt;""),$C1436+ROW()/1000000,"")</f>
        <v/>
      </c>
      <c r="AO1436" s="9">
        <f>IF(COUNTA($B1436:$R1436)=0,"",IF(AND($I1436&lt;&gt;"",COUNTIF(CLIENTES_NOMES,$I1436)+COUNTIF(CLIENTES_FANTASIA,$I1436)+COUNTIF(FORNECEDORES_NOMES,$I1436)+COUNTIF(FORNECEDORES_FANTASIA,$I1436)=0),"⚠ Cliente/Fornecedor não cadastrado",IF(AND($G1436&lt;&gt;"",COUNTIF(SUBCATEGORIAS_PLANO,$G1436)=0),"⚠ Subcategoria fora do plano de contas",IF(OR($Q1436="",N($Q1436)=0),"⚠ Valor previsto não informado",IF(AND(OR($X1436="Pago",$X1436="Recebido"),$D1436=""),"⚠ Status pago/recebido sem data",IF(AND($D1436&lt;&gt;"",N($R1436)=0),"⚠ Data de pagamento sem valor realizado",IF(AND(N($P1436)&gt;1,N($O1436)&gt;N($P1436)),"⚠ Nº da parcela maior que o total",IF(AND($C1436&lt;&gt;"",$B1436&lt;&gt;"",$C1436&lt;$B1436),"⚠ Vencimento anterior à competência","OK"))))))))</f>
        <v/>
      </c>
    </row>
    <row r="1437">
      <c r="A1437" s="14" t="n"/>
      <c r="B1437" s="36" t="n"/>
      <c r="C1437" s="36" t="n"/>
      <c r="D1437" s="36" t="n"/>
      <c r="E1437" s="14" t="n"/>
      <c r="F1437" s="29" t="n"/>
      <c r="G1437" s="29" t="n"/>
      <c r="H1437" s="29" t="n"/>
      <c r="I1437" s="29" t="n"/>
      <c r="J1437" s="29" t="n"/>
      <c r="K1437" s="14" t="n"/>
      <c r="L1437" s="29" t="n"/>
      <c r="M1437" s="14" t="n"/>
      <c r="N1437" s="29" t="n"/>
      <c r="O1437" s="13" t="n"/>
      <c r="P1437" s="13" t="n"/>
      <c r="Q1437" s="35" t="n"/>
      <c r="R1437" s="35" t="n"/>
      <c r="S1437" s="35" t="n"/>
      <c r="T1437" s="35" t="n"/>
      <c r="U1437" s="35" t="n"/>
      <c r="V1437" s="18">
        <f>IF(COUNTA($B1437:$R1437)=0,"",ROUND(N($R1437)+N($S1437)+N($T1437)-N($U1437),2))</f>
        <v/>
      </c>
      <c r="W1437" s="18">
        <f>IF(COUNTA($B1437:$R1437)=0,"",IF(OR($X1437="Pago",$X1437="Recebido",$X1437="Cancelado"),0,ROUND(N($Q1437)+N($S1437)+N($T1437)-N($U1437)-N($R1437),2)))</f>
        <v/>
      </c>
      <c r="X1437" s="14" t="n"/>
      <c r="Y1437" s="17">
        <f>IF(COUNTA($B1437:$R1437)=0,"",IF($X1437="Cancelado","Cancelado",IF(OR($X1437="Pago",$X1437="Recebido"),$X1437,IF(OR($X1437="Parcial",N($R1437)&gt;0),"Parcial",IF($C1437="","Sem vencimento",IF($C1437&lt;TODAY(),"Vencido",IF($C1437=TODAY(),"Vence hoje",IF($C1437&lt;=TODAY()+7,"Vence em 7 dias",IF($C1437&lt;=TODAY()+30,"Vence em 30 dias","Futuro")))))))))</f>
        <v/>
      </c>
      <c r="Z1437" s="24">
        <f>IF($B1437="","",MONTH($B1437))</f>
        <v/>
      </c>
      <c r="AA1437" s="24">
        <f>IF($B1437="","",YEAR($B1437))</f>
        <v/>
      </c>
      <c r="AB1437" s="24">
        <f>IF($B1437="","",ISOWEEKNUM($B1437))</f>
        <v/>
      </c>
      <c r="AC1437" s="17">
        <f>IF($B1437="","",CHOOSE(WEEKDAY($B1437,2),"Segunda","Terça","Quarta","Quinta","Sexta","Sábado","Domingo"))</f>
        <v/>
      </c>
      <c r="AD1437" s="17">
        <f>IF($B1437="","",TEXT($B1437,"MM/AAAA"))</f>
        <v/>
      </c>
      <c r="AE1437" s="18">
        <f>IF(COUNTA($B1437:$R1437)=0,"",IF($X1437="Cancelado",0,ROUND(N($Q1437)+N($S1437)+N($T1437)-N($U1437),2)))</f>
        <v/>
      </c>
      <c r="AF1437" s="9">
        <f>IF($G1437="","",IFERROR(INDEX(LINHAS_DRE_PLANO,MATCH($G1437,SUBCATEGORIAS_PLANO,0)),"Não classificado"))</f>
        <v/>
      </c>
      <c r="AG1437" s="17">
        <f>IF($G1437="","",IFERROR(INDEX(TIPOS_FLUXO_PLANO,MATCH($G1437,SUBCATEGORIAS_PLANO,0)),"Não classificado"))</f>
        <v/>
      </c>
      <c r="AH1437" s="9">
        <f>IF($G1437="","",IFERROR(INDEX(GRUPOS_PLANO,MATCH($G1437,SUBCATEGORIAS_PLANO,0)),"Não classificado"))</f>
        <v/>
      </c>
      <c r="AI1437" s="24">
        <f>IF(OR($C1437="",$X1437="Pago",$X1437="Recebido",$X1437="Cancelado"),"",$C1437-TODAY())</f>
        <v/>
      </c>
      <c r="AJ1437" s="24">
        <f>IF(OR($C1437="",$X1437="Pago",$X1437="Recebido",$X1437="Cancelado"),0,MAX(0,TODAY()-$C1437))</f>
        <v/>
      </c>
      <c r="AK1437" s="24">
        <f>IF($D1437="","",$D1437-$B1437)</f>
        <v/>
      </c>
      <c r="AL1437" s="18">
        <f>IF(OR($D1437="",$B1437=""),"",ROUND(N($R1437)*($D1437-$B1437),2))</f>
        <v/>
      </c>
      <c r="AM1437" s="17">
        <f>IF(AND($E1437="Saída",$W1437&gt;0,$C1437&lt;&gt;""),$C1437+ROW()/1000000,"")</f>
        <v/>
      </c>
      <c r="AN1437" s="17">
        <f>IF(AND($E1437="Entrada",$W1437&gt;0,$C1437&lt;&gt;""),$C1437+ROW()/1000000,"")</f>
        <v/>
      </c>
      <c r="AO1437" s="9">
        <f>IF(COUNTA($B1437:$R1437)=0,"",IF(AND($I1437&lt;&gt;"",COUNTIF(CLIENTES_NOMES,$I1437)+COUNTIF(CLIENTES_FANTASIA,$I1437)+COUNTIF(FORNECEDORES_NOMES,$I1437)+COUNTIF(FORNECEDORES_FANTASIA,$I1437)=0),"⚠ Cliente/Fornecedor não cadastrado",IF(AND($G1437&lt;&gt;"",COUNTIF(SUBCATEGORIAS_PLANO,$G1437)=0),"⚠ Subcategoria fora do plano de contas",IF(OR($Q1437="",N($Q1437)=0),"⚠ Valor previsto não informado",IF(AND(OR($X1437="Pago",$X1437="Recebido"),$D1437=""),"⚠ Status pago/recebido sem data",IF(AND($D1437&lt;&gt;"",N($R1437)=0),"⚠ Data de pagamento sem valor realizado",IF(AND(N($P1437)&gt;1,N($O1437)&gt;N($P1437)),"⚠ Nº da parcela maior que o total",IF(AND($C1437&lt;&gt;"",$B1437&lt;&gt;"",$C1437&lt;$B1437),"⚠ Vencimento anterior à competência","OK"))))))))</f>
        <v/>
      </c>
    </row>
    <row r="1438">
      <c r="A1438" s="14" t="n"/>
      <c r="B1438" s="36" t="n"/>
      <c r="C1438" s="36" t="n"/>
      <c r="D1438" s="36" t="n"/>
      <c r="E1438" s="14" t="n"/>
      <c r="F1438" s="29" t="n"/>
      <c r="G1438" s="29" t="n"/>
      <c r="H1438" s="29" t="n"/>
      <c r="I1438" s="29" t="n"/>
      <c r="J1438" s="29" t="n"/>
      <c r="K1438" s="14" t="n"/>
      <c r="L1438" s="29" t="n"/>
      <c r="M1438" s="14" t="n"/>
      <c r="N1438" s="29" t="n"/>
      <c r="O1438" s="13" t="n"/>
      <c r="P1438" s="13" t="n"/>
      <c r="Q1438" s="35" t="n"/>
      <c r="R1438" s="35" t="n"/>
      <c r="S1438" s="35" t="n"/>
      <c r="T1438" s="35" t="n"/>
      <c r="U1438" s="35" t="n"/>
      <c r="V1438" s="18">
        <f>IF(COUNTA($B1438:$R1438)=0,"",ROUND(N($R1438)+N($S1438)+N($T1438)-N($U1438),2))</f>
        <v/>
      </c>
      <c r="W1438" s="18">
        <f>IF(COUNTA($B1438:$R1438)=0,"",IF(OR($X1438="Pago",$X1438="Recebido",$X1438="Cancelado"),0,ROUND(N($Q1438)+N($S1438)+N($T1438)-N($U1438)-N($R1438),2)))</f>
        <v/>
      </c>
      <c r="X1438" s="14" t="n"/>
      <c r="Y1438" s="17">
        <f>IF(COUNTA($B1438:$R1438)=0,"",IF($X1438="Cancelado","Cancelado",IF(OR($X1438="Pago",$X1438="Recebido"),$X1438,IF(OR($X1438="Parcial",N($R1438)&gt;0),"Parcial",IF($C1438="","Sem vencimento",IF($C1438&lt;TODAY(),"Vencido",IF($C1438=TODAY(),"Vence hoje",IF($C1438&lt;=TODAY()+7,"Vence em 7 dias",IF($C1438&lt;=TODAY()+30,"Vence em 30 dias","Futuro")))))))))</f>
        <v/>
      </c>
      <c r="Z1438" s="24">
        <f>IF($B1438="","",MONTH($B1438))</f>
        <v/>
      </c>
      <c r="AA1438" s="24">
        <f>IF($B1438="","",YEAR($B1438))</f>
        <v/>
      </c>
      <c r="AB1438" s="24">
        <f>IF($B1438="","",ISOWEEKNUM($B1438))</f>
        <v/>
      </c>
      <c r="AC1438" s="17">
        <f>IF($B1438="","",CHOOSE(WEEKDAY($B1438,2),"Segunda","Terça","Quarta","Quinta","Sexta","Sábado","Domingo"))</f>
        <v/>
      </c>
      <c r="AD1438" s="17">
        <f>IF($B1438="","",TEXT($B1438,"MM/AAAA"))</f>
        <v/>
      </c>
      <c r="AE1438" s="18">
        <f>IF(COUNTA($B1438:$R1438)=0,"",IF($X1438="Cancelado",0,ROUND(N($Q1438)+N($S1438)+N($T1438)-N($U1438),2)))</f>
        <v/>
      </c>
      <c r="AF1438" s="9">
        <f>IF($G1438="","",IFERROR(INDEX(LINHAS_DRE_PLANO,MATCH($G1438,SUBCATEGORIAS_PLANO,0)),"Não classificado"))</f>
        <v/>
      </c>
      <c r="AG1438" s="17">
        <f>IF($G1438="","",IFERROR(INDEX(TIPOS_FLUXO_PLANO,MATCH($G1438,SUBCATEGORIAS_PLANO,0)),"Não classificado"))</f>
        <v/>
      </c>
      <c r="AH1438" s="9">
        <f>IF($G1438="","",IFERROR(INDEX(GRUPOS_PLANO,MATCH($G1438,SUBCATEGORIAS_PLANO,0)),"Não classificado"))</f>
        <v/>
      </c>
      <c r="AI1438" s="24">
        <f>IF(OR($C1438="",$X1438="Pago",$X1438="Recebido",$X1438="Cancelado"),"",$C1438-TODAY())</f>
        <v/>
      </c>
      <c r="AJ1438" s="24">
        <f>IF(OR($C1438="",$X1438="Pago",$X1438="Recebido",$X1438="Cancelado"),0,MAX(0,TODAY()-$C1438))</f>
        <v/>
      </c>
      <c r="AK1438" s="24">
        <f>IF($D1438="","",$D1438-$B1438)</f>
        <v/>
      </c>
      <c r="AL1438" s="18">
        <f>IF(OR($D1438="",$B1438=""),"",ROUND(N($R1438)*($D1438-$B1438),2))</f>
        <v/>
      </c>
      <c r="AM1438" s="17">
        <f>IF(AND($E1438="Saída",$W1438&gt;0,$C1438&lt;&gt;""),$C1438+ROW()/1000000,"")</f>
        <v/>
      </c>
      <c r="AN1438" s="17">
        <f>IF(AND($E1438="Entrada",$W1438&gt;0,$C1438&lt;&gt;""),$C1438+ROW()/1000000,"")</f>
        <v/>
      </c>
      <c r="AO1438" s="9">
        <f>IF(COUNTA($B1438:$R1438)=0,"",IF(AND($I1438&lt;&gt;"",COUNTIF(CLIENTES_NOMES,$I1438)+COUNTIF(CLIENTES_FANTASIA,$I1438)+COUNTIF(FORNECEDORES_NOMES,$I1438)+COUNTIF(FORNECEDORES_FANTASIA,$I1438)=0),"⚠ Cliente/Fornecedor não cadastrado",IF(AND($G1438&lt;&gt;"",COUNTIF(SUBCATEGORIAS_PLANO,$G1438)=0),"⚠ Subcategoria fora do plano de contas",IF(OR($Q1438="",N($Q1438)=0),"⚠ Valor previsto não informado",IF(AND(OR($X1438="Pago",$X1438="Recebido"),$D1438=""),"⚠ Status pago/recebido sem data",IF(AND($D1438&lt;&gt;"",N($R1438)=0),"⚠ Data de pagamento sem valor realizado",IF(AND(N($P1438)&gt;1,N($O1438)&gt;N($P1438)),"⚠ Nº da parcela maior que o total",IF(AND($C1438&lt;&gt;"",$B1438&lt;&gt;"",$C1438&lt;$B1438),"⚠ Vencimento anterior à competência","OK"))))))))</f>
        <v/>
      </c>
    </row>
    <row r="1439">
      <c r="A1439" s="14" t="n"/>
      <c r="B1439" s="36" t="n"/>
      <c r="C1439" s="36" t="n"/>
      <c r="D1439" s="36" t="n"/>
      <c r="E1439" s="14" t="n"/>
      <c r="F1439" s="29" t="n"/>
      <c r="G1439" s="29" t="n"/>
      <c r="H1439" s="29" t="n"/>
      <c r="I1439" s="29" t="n"/>
      <c r="J1439" s="29" t="n"/>
      <c r="K1439" s="14" t="n"/>
      <c r="L1439" s="29" t="n"/>
      <c r="M1439" s="14" t="n"/>
      <c r="N1439" s="29" t="n"/>
      <c r="O1439" s="13" t="n"/>
      <c r="P1439" s="13" t="n"/>
      <c r="Q1439" s="35" t="n"/>
      <c r="R1439" s="35" t="n"/>
      <c r="S1439" s="35" t="n"/>
      <c r="T1439" s="35" t="n"/>
      <c r="U1439" s="35" t="n"/>
      <c r="V1439" s="18">
        <f>IF(COUNTA($B1439:$R1439)=0,"",ROUND(N($R1439)+N($S1439)+N($T1439)-N($U1439),2))</f>
        <v/>
      </c>
      <c r="W1439" s="18">
        <f>IF(COUNTA($B1439:$R1439)=0,"",IF(OR($X1439="Pago",$X1439="Recebido",$X1439="Cancelado"),0,ROUND(N($Q1439)+N($S1439)+N($T1439)-N($U1439)-N($R1439),2)))</f>
        <v/>
      </c>
      <c r="X1439" s="14" t="n"/>
      <c r="Y1439" s="17">
        <f>IF(COUNTA($B1439:$R1439)=0,"",IF($X1439="Cancelado","Cancelado",IF(OR($X1439="Pago",$X1439="Recebido"),$X1439,IF(OR($X1439="Parcial",N($R1439)&gt;0),"Parcial",IF($C1439="","Sem vencimento",IF($C1439&lt;TODAY(),"Vencido",IF($C1439=TODAY(),"Vence hoje",IF($C1439&lt;=TODAY()+7,"Vence em 7 dias",IF($C1439&lt;=TODAY()+30,"Vence em 30 dias","Futuro")))))))))</f>
        <v/>
      </c>
      <c r="Z1439" s="24">
        <f>IF($B1439="","",MONTH($B1439))</f>
        <v/>
      </c>
      <c r="AA1439" s="24">
        <f>IF($B1439="","",YEAR($B1439))</f>
        <v/>
      </c>
      <c r="AB1439" s="24">
        <f>IF($B1439="","",ISOWEEKNUM($B1439))</f>
        <v/>
      </c>
      <c r="AC1439" s="17">
        <f>IF($B1439="","",CHOOSE(WEEKDAY($B1439,2),"Segunda","Terça","Quarta","Quinta","Sexta","Sábado","Domingo"))</f>
        <v/>
      </c>
      <c r="AD1439" s="17">
        <f>IF($B1439="","",TEXT($B1439,"MM/AAAA"))</f>
        <v/>
      </c>
      <c r="AE1439" s="18">
        <f>IF(COUNTA($B1439:$R1439)=0,"",IF($X1439="Cancelado",0,ROUND(N($Q1439)+N($S1439)+N($T1439)-N($U1439),2)))</f>
        <v/>
      </c>
      <c r="AF1439" s="9">
        <f>IF($G1439="","",IFERROR(INDEX(LINHAS_DRE_PLANO,MATCH($G1439,SUBCATEGORIAS_PLANO,0)),"Não classificado"))</f>
        <v/>
      </c>
      <c r="AG1439" s="17">
        <f>IF($G1439="","",IFERROR(INDEX(TIPOS_FLUXO_PLANO,MATCH($G1439,SUBCATEGORIAS_PLANO,0)),"Não classificado"))</f>
        <v/>
      </c>
      <c r="AH1439" s="9">
        <f>IF($G1439="","",IFERROR(INDEX(GRUPOS_PLANO,MATCH($G1439,SUBCATEGORIAS_PLANO,0)),"Não classificado"))</f>
        <v/>
      </c>
      <c r="AI1439" s="24">
        <f>IF(OR($C1439="",$X1439="Pago",$X1439="Recebido",$X1439="Cancelado"),"",$C1439-TODAY())</f>
        <v/>
      </c>
      <c r="AJ1439" s="24">
        <f>IF(OR($C1439="",$X1439="Pago",$X1439="Recebido",$X1439="Cancelado"),0,MAX(0,TODAY()-$C1439))</f>
        <v/>
      </c>
      <c r="AK1439" s="24">
        <f>IF($D1439="","",$D1439-$B1439)</f>
        <v/>
      </c>
      <c r="AL1439" s="18">
        <f>IF(OR($D1439="",$B1439=""),"",ROUND(N($R1439)*($D1439-$B1439),2))</f>
        <v/>
      </c>
      <c r="AM1439" s="17">
        <f>IF(AND($E1439="Saída",$W1439&gt;0,$C1439&lt;&gt;""),$C1439+ROW()/1000000,"")</f>
        <v/>
      </c>
      <c r="AN1439" s="17">
        <f>IF(AND($E1439="Entrada",$W1439&gt;0,$C1439&lt;&gt;""),$C1439+ROW()/1000000,"")</f>
        <v/>
      </c>
      <c r="AO1439" s="9">
        <f>IF(COUNTA($B1439:$R1439)=0,"",IF(AND($I1439&lt;&gt;"",COUNTIF(CLIENTES_NOMES,$I1439)+COUNTIF(CLIENTES_FANTASIA,$I1439)+COUNTIF(FORNECEDORES_NOMES,$I1439)+COUNTIF(FORNECEDORES_FANTASIA,$I1439)=0),"⚠ Cliente/Fornecedor não cadastrado",IF(AND($G1439&lt;&gt;"",COUNTIF(SUBCATEGORIAS_PLANO,$G1439)=0),"⚠ Subcategoria fora do plano de contas",IF(OR($Q1439="",N($Q1439)=0),"⚠ Valor previsto não informado",IF(AND(OR($X1439="Pago",$X1439="Recebido"),$D1439=""),"⚠ Status pago/recebido sem data",IF(AND($D1439&lt;&gt;"",N($R1439)=0),"⚠ Data de pagamento sem valor realizado",IF(AND(N($P1439)&gt;1,N($O1439)&gt;N($P1439)),"⚠ Nº da parcela maior que o total",IF(AND($C1439&lt;&gt;"",$B1439&lt;&gt;"",$C1439&lt;$B1439),"⚠ Vencimento anterior à competência","OK"))))))))</f>
        <v/>
      </c>
    </row>
    <row r="1440">
      <c r="A1440" s="14" t="n"/>
      <c r="B1440" s="36" t="n"/>
      <c r="C1440" s="36" t="n"/>
      <c r="D1440" s="36" t="n"/>
      <c r="E1440" s="14" t="n"/>
      <c r="F1440" s="29" t="n"/>
      <c r="G1440" s="29" t="n"/>
      <c r="H1440" s="29" t="n"/>
      <c r="I1440" s="29" t="n"/>
      <c r="J1440" s="29" t="n"/>
      <c r="K1440" s="14" t="n"/>
      <c r="L1440" s="29" t="n"/>
      <c r="M1440" s="14" t="n"/>
      <c r="N1440" s="29" t="n"/>
      <c r="O1440" s="13" t="n"/>
      <c r="P1440" s="13" t="n"/>
      <c r="Q1440" s="35" t="n"/>
      <c r="R1440" s="35" t="n"/>
      <c r="S1440" s="35" t="n"/>
      <c r="T1440" s="35" t="n"/>
      <c r="U1440" s="35" t="n"/>
      <c r="V1440" s="18">
        <f>IF(COUNTA($B1440:$R1440)=0,"",ROUND(N($R1440)+N($S1440)+N($T1440)-N($U1440),2))</f>
        <v/>
      </c>
      <c r="W1440" s="18">
        <f>IF(COUNTA($B1440:$R1440)=0,"",IF(OR($X1440="Pago",$X1440="Recebido",$X1440="Cancelado"),0,ROUND(N($Q1440)+N($S1440)+N($T1440)-N($U1440)-N($R1440),2)))</f>
        <v/>
      </c>
      <c r="X1440" s="14" t="n"/>
      <c r="Y1440" s="17">
        <f>IF(COUNTA($B1440:$R1440)=0,"",IF($X1440="Cancelado","Cancelado",IF(OR($X1440="Pago",$X1440="Recebido"),$X1440,IF(OR($X1440="Parcial",N($R1440)&gt;0),"Parcial",IF($C1440="","Sem vencimento",IF($C1440&lt;TODAY(),"Vencido",IF($C1440=TODAY(),"Vence hoje",IF($C1440&lt;=TODAY()+7,"Vence em 7 dias",IF($C1440&lt;=TODAY()+30,"Vence em 30 dias","Futuro")))))))))</f>
        <v/>
      </c>
      <c r="Z1440" s="24">
        <f>IF($B1440="","",MONTH($B1440))</f>
        <v/>
      </c>
      <c r="AA1440" s="24">
        <f>IF($B1440="","",YEAR($B1440))</f>
        <v/>
      </c>
      <c r="AB1440" s="24">
        <f>IF($B1440="","",ISOWEEKNUM($B1440))</f>
        <v/>
      </c>
      <c r="AC1440" s="17">
        <f>IF($B1440="","",CHOOSE(WEEKDAY($B1440,2),"Segunda","Terça","Quarta","Quinta","Sexta","Sábado","Domingo"))</f>
        <v/>
      </c>
      <c r="AD1440" s="17">
        <f>IF($B1440="","",TEXT($B1440,"MM/AAAA"))</f>
        <v/>
      </c>
      <c r="AE1440" s="18">
        <f>IF(COUNTA($B1440:$R1440)=0,"",IF($X1440="Cancelado",0,ROUND(N($Q1440)+N($S1440)+N($T1440)-N($U1440),2)))</f>
        <v/>
      </c>
      <c r="AF1440" s="9">
        <f>IF($G1440="","",IFERROR(INDEX(LINHAS_DRE_PLANO,MATCH($G1440,SUBCATEGORIAS_PLANO,0)),"Não classificado"))</f>
        <v/>
      </c>
      <c r="AG1440" s="17">
        <f>IF($G1440="","",IFERROR(INDEX(TIPOS_FLUXO_PLANO,MATCH($G1440,SUBCATEGORIAS_PLANO,0)),"Não classificado"))</f>
        <v/>
      </c>
      <c r="AH1440" s="9">
        <f>IF($G1440="","",IFERROR(INDEX(GRUPOS_PLANO,MATCH($G1440,SUBCATEGORIAS_PLANO,0)),"Não classificado"))</f>
        <v/>
      </c>
      <c r="AI1440" s="24">
        <f>IF(OR($C1440="",$X1440="Pago",$X1440="Recebido",$X1440="Cancelado"),"",$C1440-TODAY())</f>
        <v/>
      </c>
      <c r="AJ1440" s="24">
        <f>IF(OR($C1440="",$X1440="Pago",$X1440="Recebido",$X1440="Cancelado"),0,MAX(0,TODAY()-$C1440))</f>
        <v/>
      </c>
      <c r="AK1440" s="24">
        <f>IF($D1440="","",$D1440-$B1440)</f>
        <v/>
      </c>
      <c r="AL1440" s="18">
        <f>IF(OR($D1440="",$B1440=""),"",ROUND(N($R1440)*($D1440-$B1440),2))</f>
        <v/>
      </c>
      <c r="AM1440" s="17">
        <f>IF(AND($E1440="Saída",$W1440&gt;0,$C1440&lt;&gt;""),$C1440+ROW()/1000000,"")</f>
        <v/>
      </c>
      <c r="AN1440" s="17">
        <f>IF(AND($E1440="Entrada",$W1440&gt;0,$C1440&lt;&gt;""),$C1440+ROW()/1000000,"")</f>
        <v/>
      </c>
      <c r="AO1440" s="9">
        <f>IF(COUNTA($B1440:$R1440)=0,"",IF(AND($I1440&lt;&gt;"",COUNTIF(CLIENTES_NOMES,$I1440)+COUNTIF(CLIENTES_FANTASIA,$I1440)+COUNTIF(FORNECEDORES_NOMES,$I1440)+COUNTIF(FORNECEDORES_FANTASIA,$I1440)=0),"⚠ Cliente/Fornecedor não cadastrado",IF(AND($G1440&lt;&gt;"",COUNTIF(SUBCATEGORIAS_PLANO,$G1440)=0),"⚠ Subcategoria fora do plano de contas",IF(OR($Q1440="",N($Q1440)=0),"⚠ Valor previsto não informado",IF(AND(OR($X1440="Pago",$X1440="Recebido"),$D1440=""),"⚠ Status pago/recebido sem data",IF(AND($D1440&lt;&gt;"",N($R1440)=0),"⚠ Data de pagamento sem valor realizado",IF(AND(N($P1440)&gt;1,N($O1440)&gt;N($P1440)),"⚠ Nº da parcela maior que o total",IF(AND($C1440&lt;&gt;"",$B1440&lt;&gt;"",$C1440&lt;$B1440),"⚠ Vencimento anterior à competência","OK"))))))))</f>
        <v/>
      </c>
    </row>
    <row r="1441">
      <c r="A1441" s="14" t="n"/>
      <c r="B1441" s="36" t="n"/>
      <c r="C1441" s="36" t="n"/>
      <c r="D1441" s="36" t="n"/>
      <c r="E1441" s="14" t="n"/>
      <c r="F1441" s="29" t="n"/>
      <c r="G1441" s="29" t="n"/>
      <c r="H1441" s="29" t="n"/>
      <c r="I1441" s="29" t="n"/>
      <c r="J1441" s="29" t="n"/>
      <c r="K1441" s="14" t="n"/>
      <c r="L1441" s="29" t="n"/>
      <c r="M1441" s="14" t="n"/>
      <c r="N1441" s="29" t="n"/>
      <c r="O1441" s="13" t="n"/>
      <c r="P1441" s="13" t="n"/>
      <c r="Q1441" s="35" t="n"/>
      <c r="R1441" s="35" t="n"/>
      <c r="S1441" s="35" t="n"/>
      <c r="T1441" s="35" t="n"/>
      <c r="U1441" s="35" t="n"/>
      <c r="V1441" s="18">
        <f>IF(COUNTA($B1441:$R1441)=0,"",ROUND(N($R1441)+N($S1441)+N($T1441)-N($U1441),2))</f>
        <v/>
      </c>
      <c r="W1441" s="18">
        <f>IF(COUNTA($B1441:$R1441)=0,"",IF(OR($X1441="Pago",$X1441="Recebido",$X1441="Cancelado"),0,ROUND(N($Q1441)+N($S1441)+N($T1441)-N($U1441)-N($R1441),2)))</f>
        <v/>
      </c>
      <c r="X1441" s="14" t="n"/>
      <c r="Y1441" s="17">
        <f>IF(COUNTA($B1441:$R1441)=0,"",IF($X1441="Cancelado","Cancelado",IF(OR($X1441="Pago",$X1441="Recebido"),$X1441,IF(OR($X1441="Parcial",N($R1441)&gt;0),"Parcial",IF($C1441="","Sem vencimento",IF($C1441&lt;TODAY(),"Vencido",IF($C1441=TODAY(),"Vence hoje",IF($C1441&lt;=TODAY()+7,"Vence em 7 dias",IF($C1441&lt;=TODAY()+30,"Vence em 30 dias","Futuro")))))))))</f>
        <v/>
      </c>
      <c r="Z1441" s="24">
        <f>IF($B1441="","",MONTH($B1441))</f>
        <v/>
      </c>
      <c r="AA1441" s="24">
        <f>IF($B1441="","",YEAR($B1441))</f>
        <v/>
      </c>
      <c r="AB1441" s="24">
        <f>IF($B1441="","",ISOWEEKNUM($B1441))</f>
        <v/>
      </c>
      <c r="AC1441" s="17">
        <f>IF($B1441="","",CHOOSE(WEEKDAY($B1441,2),"Segunda","Terça","Quarta","Quinta","Sexta","Sábado","Domingo"))</f>
        <v/>
      </c>
      <c r="AD1441" s="17">
        <f>IF($B1441="","",TEXT($B1441,"MM/AAAA"))</f>
        <v/>
      </c>
      <c r="AE1441" s="18">
        <f>IF(COUNTA($B1441:$R1441)=0,"",IF($X1441="Cancelado",0,ROUND(N($Q1441)+N($S1441)+N($T1441)-N($U1441),2)))</f>
        <v/>
      </c>
      <c r="AF1441" s="9">
        <f>IF($G1441="","",IFERROR(INDEX(LINHAS_DRE_PLANO,MATCH($G1441,SUBCATEGORIAS_PLANO,0)),"Não classificado"))</f>
        <v/>
      </c>
      <c r="AG1441" s="17">
        <f>IF($G1441="","",IFERROR(INDEX(TIPOS_FLUXO_PLANO,MATCH($G1441,SUBCATEGORIAS_PLANO,0)),"Não classificado"))</f>
        <v/>
      </c>
      <c r="AH1441" s="9">
        <f>IF($G1441="","",IFERROR(INDEX(GRUPOS_PLANO,MATCH($G1441,SUBCATEGORIAS_PLANO,0)),"Não classificado"))</f>
        <v/>
      </c>
      <c r="AI1441" s="24">
        <f>IF(OR($C1441="",$X1441="Pago",$X1441="Recebido",$X1441="Cancelado"),"",$C1441-TODAY())</f>
        <v/>
      </c>
      <c r="AJ1441" s="24">
        <f>IF(OR($C1441="",$X1441="Pago",$X1441="Recebido",$X1441="Cancelado"),0,MAX(0,TODAY()-$C1441))</f>
        <v/>
      </c>
      <c r="AK1441" s="24">
        <f>IF($D1441="","",$D1441-$B1441)</f>
        <v/>
      </c>
      <c r="AL1441" s="18">
        <f>IF(OR($D1441="",$B1441=""),"",ROUND(N($R1441)*($D1441-$B1441),2))</f>
        <v/>
      </c>
      <c r="AM1441" s="17">
        <f>IF(AND($E1441="Saída",$W1441&gt;0,$C1441&lt;&gt;""),$C1441+ROW()/1000000,"")</f>
        <v/>
      </c>
      <c r="AN1441" s="17">
        <f>IF(AND($E1441="Entrada",$W1441&gt;0,$C1441&lt;&gt;""),$C1441+ROW()/1000000,"")</f>
        <v/>
      </c>
      <c r="AO1441" s="9">
        <f>IF(COUNTA($B1441:$R1441)=0,"",IF(AND($I1441&lt;&gt;"",COUNTIF(CLIENTES_NOMES,$I1441)+COUNTIF(CLIENTES_FANTASIA,$I1441)+COUNTIF(FORNECEDORES_NOMES,$I1441)+COUNTIF(FORNECEDORES_FANTASIA,$I1441)=0),"⚠ Cliente/Fornecedor não cadastrado",IF(AND($G1441&lt;&gt;"",COUNTIF(SUBCATEGORIAS_PLANO,$G1441)=0),"⚠ Subcategoria fora do plano de contas",IF(OR($Q1441="",N($Q1441)=0),"⚠ Valor previsto não informado",IF(AND(OR($X1441="Pago",$X1441="Recebido"),$D1441=""),"⚠ Status pago/recebido sem data",IF(AND($D1441&lt;&gt;"",N($R1441)=0),"⚠ Data de pagamento sem valor realizado",IF(AND(N($P1441)&gt;1,N($O1441)&gt;N($P1441)),"⚠ Nº da parcela maior que o total",IF(AND($C1441&lt;&gt;"",$B1441&lt;&gt;"",$C1441&lt;$B1441),"⚠ Vencimento anterior à competência","OK"))))))))</f>
        <v/>
      </c>
    </row>
    <row r="1442">
      <c r="A1442" s="14" t="n"/>
      <c r="B1442" s="36" t="n"/>
      <c r="C1442" s="36" t="n"/>
      <c r="D1442" s="36" t="n"/>
      <c r="E1442" s="14" t="n"/>
      <c r="F1442" s="29" t="n"/>
      <c r="G1442" s="29" t="n"/>
      <c r="H1442" s="29" t="n"/>
      <c r="I1442" s="29" t="n"/>
      <c r="J1442" s="29" t="n"/>
      <c r="K1442" s="14" t="n"/>
      <c r="L1442" s="29" t="n"/>
      <c r="M1442" s="14" t="n"/>
      <c r="N1442" s="29" t="n"/>
      <c r="O1442" s="13" t="n"/>
      <c r="P1442" s="13" t="n"/>
      <c r="Q1442" s="35" t="n"/>
      <c r="R1442" s="35" t="n"/>
      <c r="S1442" s="35" t="n"/>
      <c r="T1442" s="35" t="n"/>
      <c r="U1442" s="35" t="n"/>
      <c r="V1442" s="18">
        <f>IF(COUNTA($B1442:$R1442)=0,"",ROUND(N($R1442)+N($S1442)+N($T1442)-N($U1442),2))</f>
        <v/>
      </c>
      <c r="W1442" s="18">
        <f>IF(COUNTA($B1442:$R1442)=0,"",IF(OR($X1442="Pago",$X1442="Recebido",$X1442="Cancelado"),0,ROUND(N($Q1442)+N($S1442)+N($T1442)-N($U1442)-N($R1442),2)))</f>
        <v/>
      </c>
      <c r="X1442" s="14" t="n"/>
      <c r="Y1442" s="17">
        <f>IF(COUNTA($B1442:$R1442)=0,"",IF($X1442="Cancelado","Cancelado",IF(OR($X1442="Pago",$X1442="Recebido"),$X1442,IF(OR($X1442="Parcial",N($R1442)&gt;0),"Parcial",IF($C1442="","Sem vencimento",IF($C1442&lt;TODAY(),"Vencido",IF($C1442=TODAY(),"Vence hoje",IF($C1442&lt;=TODAY()+7,"Vence em 7 dias",IF($C1442&lt;=TODAY()+30,"Vence em 30 dias","Futuro")))))))))</f>
        <v/>
      </c>
      <c r="Z1442" s="24">
        <f>IF($B1442="","",MONTH($B1442))</f>
        <v/>
      </c>
      <c r="AA1442" s="24">
        <f>IF($B1442="","",YEAR($B1442))</f>
        <v/>
      </c>
      <c r="AB1442" s="24">
        <f>IF($B1442="","",ISOWEEKNUM($B1442))</f>
        <v/>
      </c>
      <c r="AC1442" s="17">
        <f>IF($B1442="","",CHOOSE(WEEKDAY($B1442,2),"Segunda","Terça","Quarta","Quinta","Sexta","Sábado","Domingo"))</f>
        <v/>
      </c>
      <c r="AD1442" s="17">
        <f>IF($B1442="","",TEXT($B1442,"MM/AAAA"))</f>
        <v/>
      </c>
      <c r="AE1442" s="18">
        <f>IF(COUNTA($B1442:$R1442)=0,"",IF($X1442="Cancelado",0,ROUND(N($Q1442)+N($S1442)+N($T1442)-N($U1442),2)))</f>
        <v/>
      </c>
      <c r="AF1442" s="9">
        <f>IF($G1442="","",IFERROR(INDEX(LINHAS_DRE_PLANO,MATCH($G1442,SUBCATEGORIAS_PLANO,0)),"Não classificado"))</f>
        <v/>
      </c>
      <c r="AG1442" s="17">
        <f>IF($G1442="","",IFERROR(INDEX(TIPOS_FLUXO_PLANO,MATCH($G1442,SUBCATEGORIAS_PLANO,0)),"Não classificado"))</f>
        <v/>
      </c>
      <c r="AH1442" s="9">
        <f>IF($G1442="","",IFERROR(INDEX(GRUPOS_PLANO,MATCH($G1442,SUBCATEGORIAS_PLANO,0)),"Não classificado"))</f>
        <v/>
      </c>
      <c r="AI1442" s="24">
        <f>IF(OR($C1442="",$X1442="Pago",$X1442="Recebido",$X1442="Cancelado"),"",$C1442-TODAY())</f>
        <v/>
      </c>
      <c r="AJ1442" s="24">
        <f>IF(OR($C1442="",$X1442="Pago",$X1442="Recebido",$X1442="Cancelado"),0,MAX(0,TODAY()-$C1442))</f>
        <v/>
      </c>
      <c r="AK1442" s="24">
        <f>IF($D1442="","",$D1442-$B1442)</f>
        <v/>
      </c>
      <c r="AL1442" s="18">
        <f>IF(OR($D1442="",$B1442=""),"",ROUND(N($R1442)*($D1442-$B1442),2))</f>
        <v/>
      </c>
      <c r="AM1442" s="17">
        <f>IF(AND($E1442="Saída",$W1442&gt;0,$C1442&lt;&gt;""),$C1442+ROW()/1000000,"")</f>
        <v/>
      </c>
      <c r="AN1442" s="17">
        <f>IF(AND($E1442="Entrada",$W1442&gt;0,$C1442&lt;&gt;""),$C1442+ROW()/1000000,"")</f>
        <v/>
      </c>
      <c r="AO1442" s="9">
        <f>IF(COUNTA($B1442:$R1442)=0,"",IF(AND($I1442&lt;&gt;"",COUNTIF(CLIENTES_NOMES,$I1442)+COUNTIF(CLIENTES_FANTASIA,$I1442)+COUNTIF(FORNECEDORES_NOMES,$I1442)+COUNTIF(FORNECEDORES_FANTASIA,$I1442)=0),"⚠ Cliente/Fornecedor não cadastrado",IF(AND($G1442&lt;&gt;"",COUNTIF(SUBCATEGORIAS_PLANO,$G1442)=0),"⚠ Subcategoria fora do plano de contas",IF(OR($Q1442="",N($Q1442)=0),"⚠ Valor previsto não informado",IF(AND(OR($X1442="Pago",$X1442="Recebido"),$D1442=""),"⚠ Status pago/recebido sem data",IF(AND($D1442&lt;&gt;"",N($R1442)=0),"⚠ Data de pagamento sem valor realizado",IF(AND(N($P1442)&gt;1,N($O1442)&gt;N($P1442)),"⚠ Nº da parcela maior que o total",IF(AND($C1442&lt;&gt;"",$B1442&lt;&gt;"",$C1442&lt;$B1442),"⚠ Vencimento anterior à competência","OK"))))))))</f>
        <v/>
      </c>
    </row>
    <row r="1443">
      <c r="A1443" s="14" t="n"/>
      <c r="B1443" s="36" t="n"/>
      <c r="C1443" s="36" t="n"/>
      <c r="D1443" s="36" t="n"/>
      <c r="E1443" s="14" t="n"/>
      <c r="F1443" s="29" t="n"/>
      <c r="G1443" s="29" t="n"/>
      <c r="H1443" s="29" t="n"/>
      <c r="I1443" s="29" t="n"/>
      <c r="J1443" s="29" t="n"/>
      <c r="K1443" s="14" t="n"/>
      <c r="L1443" s="29" t="n"/>
      <c r="M1443" s="14" t="n"/>
      <c r="N1443" s="29" t="n"/>
      <c r="O1443" s="13" t="n"/>
      <c r="P1443" s="13" t="n"/>
      <c r="Q1443" s="35" t="n"/>
      <c r="R1443" s="35" t="n"/>
      <c r="S1443" s="35" t="n"/>
      <c r="T1443" s="35" t="n"/>
      <c r="U1443" s="35" t="n"/>
      <c r="V1443" s="18">
        <f>IF(COUNTA($B1443:$R1443)=0,"",ROUND(N($R1443)+N($S1443)+N($T1443)-N($U1443),2))</f>
        <v/>
      </c>
      <c r="W1443" s="18">
        <f>IF(COUNTA($B1443:$R1443)=0,"",IF(OR($X1443="Pago",$X1443="Recebido",$X1443="Cancelado"),0,ROUND(N($Q1443)+N($S1443)+N($T1443)-N($U1443)-N($R1443),2)))</f>
        <v/>
      </c>
      <c r="X1443" s="14" t="n"/>
      <c r="Y1443" s="17">
        <f>IF(COUNTA($B1443:$R1443)=0,"",IF($X1443="Cancelado","Cancelado",IF(OR($X1443="Pago",$X1443="Recebido"),$X1443,IF(OR($X1443="Parcial",N($R1443)&gt;0),"Parcial",IF($C1443="","Sem vencimento",IF($C1443&lt;TODAY(),"Vencido",IF($C1443=TODAY(),"Vence hoje",IF($C1443&lt;=TODAY()+7,"Vence em 7 dias",IF($C1443&lt;=TODAY()+30,"Vence em 30 dias","Futuro")))))))))</f>
        <v/>
      </c>
      <c r="Z1443" s="24">
        <f>IF($B1443="","",MONTH($B1443))</f>
        <v/>
      </c>
      <c r="AA1443" s="24">
        <f>IF($B1443="","",YEAR($B1443))</f>
        <v/>
      </c>
      <c r="AB1443" s="24">
        <f>IF($B1443="","",ISOWEEKNUM($B1443))</f>
        <v/>
      </c>
      <c r="AC1443" s="17">
        <f>IF($B1443="","",CHOOSE(WEEKDAY($B1443,2),"Segunda","Terça","Quarta","Quinta","Sexta","Sábado","Domingo"))</f>
        <v/>
      </c>
      <c r="AD1443" s="17">
        <f>IF($B1443="","",TEXT($B1443,"MM/AAAA"))</f>
        <v/>
      </c>
      <c r="AE1443" s="18">
        <f>IF(COUNTA($B1443:$R1443)=0,"",IF($X1443="Cancelado",0,ROUND(N($Q1443)+N($S1443)+N($T1443)-N($U1443),2)))</f>
        <v/>
      </c>
      <c r="AF1443" s="9">
        <f>IF($G1443="","",IFERROR(INDEX(LINHAS_DRE_PLANO,MATCH($G1443,SUBCATEGORIAS_PLANO,0)),"Não classificado"))</f>
        <v/>
      </c>
      <c r="AG1443" s="17">
        <f>IF($G1443="","",IFERROR(INDEX(TIPOS_FLUXO_PLANO,MATCH($G1443,SUBCATEGORIAS_PLANO,0)),"Não classificado"))</f>
        <v/>
      </c>
      <c r="AH1443" s="9">
        <f>IF($G1443="","",IFERROR(INDEX(GRUPOS_PLANO,MATCH($G1443,SUBCATEGORIAS_PLANO,0)),"Não classificado"))</f>
        <v/>
      </c>
      <c r="AI1443" s="24">
        <f>IF(OR($C1443="",$X1443="Pago",$X1443="Recebido",$X1443="Cancelado"),"",$C1443-TODAY())</f>
        <v/>
      </c>
      <c r="AJ1443" s="24">
        <f>IF(OR($C1443="",$X1443="Pago",$X1443="Recebido",$X1443="Cancelado"),0,MAX(0,TODAY()-$C1443))</f>
        <v/>
      </c>
      <c r="AK1443" s="24">
        <f>IF($D1443="","",$D1443-$B1443)</f>
        <v/>
      </c>
      <c r="AL1443" s="18">
        <f>IF(OR($D1443="",$B1443=""),"",ROUND(N($R1443)*($D1443-$B1443),2))</f>
        <v/>
      </c>
      <c r="AM1443" s="17">
        <f>IF(AND($E1443="Saída",$W1443&gt;0,$C1443&lt;&gt;""),$C1443+ROW()/1000000,"")</f>
        <v/>
      </c>
      <c r="AN1443" s="17">
        <f>IF(AND($E1443="Entrada",$W1443&gt;0,$C1443&lt;&gt;""),$C1443+ROW()/1000000,"")</f>
        <v/>
      </c>
      <c r="AO1443" s="9">
        <f>IF(COUNTA($B1443:$R1443)=0,"",IF(AND($I1443&lt;&gt;"",COUNTIF(CLIENTES_NOMES,$I1443)+COUNTIF(CLIENTES_FANTASIA,$I1443)+COUNTIF(FORNECEDORES_NOMES,$I1443)+COUNTIF(FORNECEDORES_FANTASIA,$I1443)=0),"⚠ Cliente/Fornecedor não cadastrado",IF(AND($G1443&lt;&gt;"",COUNTIF(SUBCATEGORIAS_PLANO,$G1443)=0),"⚠ Subcategoria fora do plano de contas",IF(OR($Q1443="",N($Q1443)=0),"⚠ Valor previsto não informado",IF(AND(OR($X1443="Pago",$X1443="Recebido"),$D1443=""),"⚠ Status pago/recebido sem data",IF(AND($D1443&lt;&gt;"",N($R1443)=0),"⚠ Data de pagamento sem valor realizado",IF(AND(N($P1443)&gt;1,N($O1443)&gt;N($P1443)),"⚠ Nº da parcela maior que o total",IF(AND($C1443&lt;&gt;"",$B1443&lt;&gt;"",$C1443&lt;$B1443),"⚠ Vencimento anterior à competência","OK"))))))))</f>
        <v/>
      </c>
    </row>
    <row r="1444">
      <c r="A1444" s="14" t="n"/>
      <c r="B1444" s="36" t="n"/>
      <c r="C1444" s="36" t="n"/>
      <c r="D1444" s="36" t="n"/>
      <c r="E1444" s="14" t="n"/>
      <c r="F1444" s="29" t="n"/>
      <c r="G1444" s="29" t="n"/>
      <c r="H1444" s="29" t="n"/>
      <c r="I1444" s="29" t="n"/>
      <c r="J1444" s="29" t="n"/>
      <c r="K1444" s="14" t="n"/>
      <c r="L1444" s="29" t="n"/>
      <c r="M1444" s="14" t="n"/>
      <c r="N1444" s="29" t="n"/>
      <c r="O1444" s="13" t="n"/>
      <c r="P1444" s="13" t="n"/>
      <c r="Q1444" s="35" t="n"/>
      <c r="R1444" s="35" t="n"/>
      <c r="S1444" s="35" t="n"/>
      <c r="T1444" s="35" t="n"/>
      <c r="U1444" s="35" t="n"/>
      <c r="V1444" s="18">
        <f>IF(COUNTA($B1444:$R1444)=0,"",ROUND(N($R1444)+N($S1444)+N($T1444)-N($U1444),2))</f>
        <v/>
      </c>
      <c r="W1444" s="18">
        <f>IF(COUNTA($B1444:$R1444)=0,"",IF(OR($X1444="Pago",$X1444="Recebido",$X1444="Cancelado"),0,ROUND(N($Q1444)+N($S1444)+N($T1444)-N($U1444)-N($R1444),2)))</f>
        <v/>
      </c>
      <c r="X1444" s="14" t="n"/>
      <c r="Y1444" s="17">
        <f>IF(COUNTA($B1444:$R1444)=0,"",IF($X1444="Cancelado","Cancelado",IF(OR($X1444="Pago",$X1444="Recebido"),$X1444,IF(OR($X1444="Parcial",N($R1444)&gt;0),"Parcial",IF($C1444="","Sem vencimento",IF($C1444&lt;TODAY(),"Vencido",IF($C1444=TODAY(),"Vence hoje",IF($C1444&lt;=TODAY()+7,"Vence em 7 dias",IF($C1444&lt;=TODAY()+30,"Vence em 30 dias","Futuro")))))))))</f>
        <v/>
      </c>
      <c r="Z1444" s="24">
        <f>IF($B1444="","",MONTH($B1444))</f>
        <v/>
      </c>
      <c r="AA1444" s="24">
        <f>IF($B1444="","",YEAR($B1444))</f>
        <v/>
      </c>
      <c r="AB1444" s="24">
        <f>IF($B1444="","",ISOWEEKNUM($B1444))</f>
        <v/>
      </c>
      <c r="AC1444" s="17">
        <f>IF($B1444="","",CHOOSE(WEEKDAY($B1444,2),"Segunda","Terça","Quarta","Quinta","Sexta","Sábado","Domingo"))</f>
        <v/>
      </c>
      <c r="AD1444" s="17">
        <f>IF($B1444="","",TEXT($B1444,"MM/AAAA"))</f>
        <v/>
      </c>
      <c r="AE1444" s="18">
        <f>IF(COUNTA($B1444:$R1444)=0,"",IF($X1444="Cancelado",0,ROUND(N($Q1444)+N($S1444)+N($T1444)-N($U1444),2)))</f>
        <v/>
      </c>
      <c r="AF1444" s="9">
        <f>IF($G1444="","",IFERROR(INDEX(LINHAS_DRE_PLANO,MATCH($G1444,SUBCATEGORIAS_PLANO,0)),"Não classificado"))</f>
        <v/>
      </c>
      <c r="AG1444" s="17">
        <f>IF($G1444="","",IFERROR(INDEX(TIPOS_FLUXO_PLANO,MATCH($G1444,SUBCATEGORIAS_PLANO,0)),"Não classificado"))</f>
        <v/>
      </c>
      <c r="AH1444" s="9">
        <f>IF($G1444="","",IFERROR(INDEX(GRUPOS_PLANO,MATCH($G1444,SUBCATEGORIAS_PLANO,0)),"Não classificado"))</f>
        <v/>
      </c>
      <c r="AI1444" s="24">
        <f>IF(OR($C1444="",$X1444="Pago",$X1444="Recebido",$X1444="Cancelado"),"",$C1444-TODAY())</f>
        <v/>
      </c>
      <c r="AJ1444" s="24">
        <f>IF(OR($C1444="",$X1444="Pago",$X1444="Recebido",$X1444="Cancelado"),0,MAX(0,TODAY()-$C1444))</f>
        <v/>
      </c>
      <c r="AK1444" s="24">
        <f>IF($D1444="","",$D1444-$B1444)</f>
        <v/>
      </c>
      <c r="AL1444" s="18">
        <f>IF(OR($D1444="",$B1444=""),"",ROUND(N($R1444)*($D1444-$B1444),2))</f>
        <v/>
      </c>
      <c r="AM1444" s="17">
        <f>IF(AND($E1444="Saída",$W1444&gt;0,$C1444&lt;&gt;""),$C1444+ROW()/1000000,"")</f>
        <v/>
      </c>
      <c r="AN1444" s="17">
        <f>IF(AND($E1444="Entrada",$W1444&gt;0,$C1444&lt;&gt;""),$C1444+ROW()/1000000,"")</f>
        <v/>
      </c>
      <c r="AO1444" s="9">
        <f>IF(COUNTA($B1444:$R1444)=0,"",IF(AND($I1444&lt;&gt;"",COUNTIF(CLIENTES_NOMES,$I1444)+COUNTIF(CLIENTES_FANTASIA,$I1444)+COUNTIF(FORNECEDORES_NOMES,$I1444)+COUNTIF(FORNECEDORES_FANTASIA,$I1444)=0),"⚠ Cliente/Fornecedor não cadastrado",IF(AND($G1444&lt;&gt;"",COUNTIF(SUBCATEGORIAS_PLANO,$G1444)=0),"⚠ Subcategoria fora do plano de contas",IF(OR($Q1444="",N($Q1444)=0),"⚠ Valor previsto não informado",IF(AND(OR($X1444="Pago",$X1444="Recebido"),$D1444=""),"⚠ Status pago/recebido sem data",IF(AND($D1444&lt;&gt;"",N($R1444)=0),"⚠ Data de pagamento sem valor realizado",IF(AND(N($P1444)&gt;1,N($O1444)&gt;N($P1444)),"⚠ Nº da parcela maior que o total",IF(AND($C1444&lt;&gt;"",$B1444&lt;&gt;"",$C1444&lt;$B1444),"⚠ Vencimento anterior à competência","OK"))))))))</f>
        <v/>
      </c>
    </row>
    <row r="1445">
      <c r="A1445" s="14" t="n"/>
      <c r="B1445" s="36" t="n"/>
      <c r="C1445" s="36" t="n"/>
      <c r="D1445" s="36" t="n"/>
      <c r="E1445" s="14" t="n"/>
      <c r="F1445" s="29" t="n"/>
      <c r="G1445" s="29" t="n"/>
      <c r="H1445" s="29" t="n"/>
      <c r="I1445" s="29" t="n"/>
      <c r="J1445" s="29" t="n"/>
      <c r="K1445" s="14" t="n"/>
      <c r="L1445" s="29" t="n"/>
      <c r="M1445" s="14" t="n"/>
      <c r="N1445" s="29" t="n"/>
      <c r="O1445" s="13" t="n"/>
      <c r="P1445" s="13" t="n"/>
      <c r="Q1445" s="35" t="n"/>
      <c r="R1445" s="35" t="n"/>
      <c r="S1445" s="35" t="n"/>
      <c r="T1445" s="35" t="n"/>
      <c r="U1445" s="35" t="n"/>
      <c r="V1445" s="18">
        <f>IF(COUNTA($B1445:$R1445)=0,"",ROUND(N($R1445)+N($S1445)+N($T1445)-N($U1445),2))</f>
        <v/>
      </c>
      <c r="W1445" s="18">
        <f>IF(COUNTA($B1445:$R1445)=0,"",IF(OR($X1445="Pago",$X1445="Recebido",$X1445="Cancelado"),0,ROUND(N($Q1445)+N($S1445)+N($T1445)-N($U1445)-N($R1445),2)))</f>
        <v/>
      </c>
      <c r="X1445" s="14" t="n"/>
      <c r="Y1445" s="17">
        <f>IF(COUNTA($B1445:$R1445)=0,"",IF($X1445="Cancelado","Cancelado",IF(OR($X1445="Pago",$X1445="Recebido"),$X1445,IF(OR($X1445="Parcial",N($R1445)&gt;0),"Parcial",IF($C1445="","Sem vencimento",IF($C1445&lt;TODAY(),"Vencido",IF($C1445=TODAY(),"Vence hoje",IF($C1445&lt;=TODAY()+7,"Vence em 7 dias",IF($C1445&lt;=TODAY()+30,"Vence em 30 dias","Futuro")))))))))</f>
        <v/>
      </c>
      <c r="Z1445" s="24">
        <f>IF($B1445="","",MONTH($B1445))</f>
        <v/>
      </c>
      <c r="AA1445" s="24">
        <f>IF($B1445="","",YEAR($B1445))</f>
        <v/>
      </c>
      <c r="AB1445" s="24">
        <f>IF($B1445="","",ISOWEEKNUM($B1445))</f>
        <v/>
      </c>
      <c r="AC1445" s="17">
        <f>IF($B1445="","",CHOOSE(WEEKDAY($B1445,2),"Segunda","Terça","Quarta","Quinta","Sexta","Sábado","Domingo"))</f>
        <v/>
      </c>
      <c r="AD1445" s="17">
        <f>IF($B1445="","",TEXT($B1445,"MM/AAAA"))</f>
        <v/>
      </c>
      <c r="AE1445" s="18">
        <f>IF(COUNTA($B1445:$R1445)=0,"",IF($X1445="Cancelado",0,ROUND(N($Q1445)+N($S1445)+N($T1445)-N($U1445),2)))</f>
        <v/>
      </c>
      <c r="AF1445" s="9">
        <f>IF($G1445="","",IFERROR(INDEX(LINHAS_DRE_PLANO,MATCH($G1445,SUBCATEGORIAS_PLANO,0)),"Não classificado"))</f>
        <v/>
      </c>
      <c r="AG1445" s="17">
        <f>IF($G1445="","",IFERROR(INDEX(TIPOS_FLUXO_PLANO,MATCH($G1445,SUBCATEGORIAS_PLANO,0)),"Não classificado"))</f>
        <v/>
      </c>
      <c r="AH1445" s="9">
        <f>IF($G1445="","",IFERROR(INDEX(GRUPOS_PLANO,MATCH($G1445,SUBCATEGORIAS_PLANO,0)),"Não classificado"))</f>
        <v/>
      </c>
      <c r="AI1445" s="24">
        <f>IF(OR($C1445="",$X1445="Pago",$X1445="Recebido",$X1445="Cancelado"),"",$C1445-TODAY())</f>
        <v/>
      </c>
      <c r="AJ1445" s="24">
        <f>IF(OR($C1445="",$X1445="Pago",$X1445="Recebido",$X1445="Cancelado"),0,MAX(0,TODAY()-$C1445))</f>
        <v/>
      </c>
      <c r="AK1445" s="24">
        <f>IF($D1445="","",$D1445-$B1445)</f>
        <v/>
      </c>
      <c r="AL1445" s="18">
        <f>IF(OR($D1445="",$B1445=""),"",ROUND(N($R1445)*($D1445-$B1445),2))</f>
        <v/>
      </c>
      <c r="AM1445" s="17">
        <f>IF(AND($E1445="Saída",$W1445&gt;0,$C1445&lt;&gt;""),$C1445+ROW()/1000000,"")</f>
        <v/>
      </c>
      <c r="AN1445" s="17">
        <f>IF(AND($E1445="Entrada",$W1445&gt;0,$C1445&lt;&gt;""),$C1445+ROW()/1000000,"")</f>
        <v/>
      </c>
      <c r="AO1445" s="9">
        <f>IF(COUNTA($B1445:$R1445)=0,"",IF(AND($I1445&lt;&gt;"",COUNTIF(CLIENTES_NOMES,$I1445)+COUNTIF(CLIENTES_FANTASIA,$I1445)+COUNTIF(FORNECEDORES_NOMES,$I1445)+COUNTIF(FORNECEDORES_FANTASIA,$I1445)=0),"⚠ Cliente/Fornecedor não cadastrado",IF(AND($G1445&lt;&gt;"",COUNTIF(SUBCATEGORIAS_PLANO,$G1445)=0),"⚠ Subcategoria fora do plano de contas",IF(OR($Q1445="",N($Q1445)=0),"⚠ Valor previsto não informado",IF(AND(OR($X1445="Pago",$X1445="Recebido"),$D1445=""),"⚠ Status pago/recebido sem data",IF(AND($D1445&lt;&gt;"",N($R1445)=0),"⚠ Data de pagamento sem valor realizado",IF(AND(N($P1445)&gt;1,N($O1445)&gt;N($P1445)),"⚠ Nº da parcela maior que o total",IF(AND($C1445&lt;&gt;"",$B1445&lt;&gt;"",$C1445&lt;$B1445),"⚠ Vencimento anterior à competência","OK"))))))))</f>
        <v/>
      </c>
    </row>
    <row r="1446">
      <c r="A1446" s="14" t="n"/>
      <c r="B1446" s="36" t="n"/>
      <c r="C1446" s="36" t="n"/>
      <c r="D1446" s="36" t="n"/>
      <c r="E1446" s="14" t="n"/>
      <c r="F1446" s="29" t="n"/>
      <c r="G1446" s="29" t="n"/>
      <c r="H1446" s="29" t="n"/>
      <c r="I1446" s="29" t="n"/>
      <c r="J1446" s="29" t="n"/>
      <c r="K1446" s="14" t="n"/>
      <c r="L1446" s="29" t="n"/>
      <c r="M1446" s="14" t="n"/>
      <c r="N1446" s="29" t="n"/>
      <c r="O1446" s="13" t="n"/>
      <c r="P1446" s="13" t="n"/>
      <c r="Q1446" s="35" t="n"/>
      <c r="R1446" s="35" t="n"/>
      <c r="S1446" s="35" t="n"/>
      <c r="T1446" s="35" t="n"/>
      <c r="U1446" s="35" t="n"/>
      <c r="V1446" s="18">
        <f>IF(COUNTA($B1446:$R1446)=0,"",ROUND(N($R1446)+N($S1446)+N($T1446)-N($U1446),2))</f>
        <v/>
      </c>
      <c r="W1446" s="18">
        <f>IF(COUNTA($B1446:$R1446)=0,"",IF(OR($X1446="Pago",$X1446="Recebido",$X1446="Cancelado"),0,ROUND(N($Q1446)+N($S1446)+N($T1446)-N($U1446)-N($R1446),2)))</f>
        <v/>
      </c>
      <c r="X1446" s="14" t="n"/>
      <c r="Y1446" s="17">
        <f>IF(COUNTA($B1446:$R1446)=0,"",IF($X1446="Cancelado","Cancelado",IF(OR($X1446="Pago",$X1446="Recebido"),$X1446,IF(OR($X1446="Parcial",N($R1446)&gt;0),"Parcial",IF($C1446="","Sem vencimento",IF($C1446&lt;TODAY(),"Vencido",IF($C1446=TODAY(),"Vence hoje",IF($C1446&lt;=TODAY()+7,"Vence em 7 dias",IF($C1446&lt;=TODAY()+30,"Vence em 30 dias","Futuro")))))))))</f>
        <v/>
      </c>
      <c r="Z1446" s="24">
        <f>IF($B1446="","",MONTH($B1446))</f>
        <v/>
      </c>
      <c r="AA1446" s="24">
        <f>IF($B1446="","",YEAR($B1446))</f>
        <v/>
      </c>
      <c r="AB1446" s="24">
        <f>IF($B1446="","",ISOWEEKNUM($B1446))</f>
        <v/>
      </c>
      <c r="AC1446" s="17">
        <f>IF($B1446="","",CHOOSE(WEEKDAY($B1446,2),"Segunda","Terça","Quarta","Quinta","Sexta","Sábado","Domingo"))</f>
        <v/>
      </c>
      <c r="AD1446" s="17">
        <f>IF($B1446="","",TEXT($B1446,"MM/AAAA"))</f>
        <v/>
      </c>
      <c r="AE1446" s="18">
        <f>IF(COUNTA($B1446:$R1446)=0,"",IF($X1446="Cancelado",0,ROUND(N($Q1446)+N($S1446)+N($T1446)-N($U1446),2)))</f>
        <v/>
      </c>
      <c r="AF1446" s="9">
        <f>IF($G1446="","",IFERROR(INDEX(LINHAS_DRE_PLANO,MATCH($G1446,SUBCATEGORIAS_PLANO,0)),"Não classificado"))</f>
        <v/>
      </c>
      <c r="AG1446" s="17">
        <f>IF($G1446="","",IFERROR(INDEX(TIPOS_FLUXO_PLANO,MATCH($G1446,SUBCATEGORIAS_PLANO,0)),"Não classificado"))</f>
        <v/>
      </c>
      <c r="AH1446" s="9">
        <f>IF($G1446="","",IFERROR(INDEX(GRUPOS_PLANO,MATCH($G1446,SUBCATEGORIAS_PLANO,0)),"Não classificado"))</f>
        <v/>
      </c>
      <c r="AI1446" s="24">
        <f>IF(OR($C1446="",$X1446="Pago",$X1446="Recebido",$X1446="Cancelado"),"",$C1446-TODAY())</f>
        <v/>
      </c>
      <c r="AJ1446" s="24">
        <f>IF(OR($C1446="",$X1446="Pago",$X1446="Recebido",$X1446="Cancelado"),0,MAX(0,TODAY()-$C1446))</f>
        <v/>
      </c>
      <c r="AK1446" s="24">
        <f>IF($D1446="","",$D1446-$B1446)</f>
        <v/>
      </c>
      <c r="AL1446" s="18">
        <f>IF(OR($D1446="",$B1446=""),"",ROUND(N($R1446)*($D1446-$B1446),2))</f>
        <v/>
      </c>
      <c r="AM1446" s="17">
        <f>IF(AND($E1446="Saída",$W1446&gt;0,$C1446&lt;&gt;""),$C1446+ROW()/1000000,"")</f>
        <v/>
      </c>
      <c r="AN1446" s="17">
        <f>IF(AND($E1446="Entrada",$W1446&gt;0,$C1446&lt;&gt;""),$C1446+ROW()/1000000,"")</f>
        <v/>
      </c>
      <c r="AO1446" s="9">
        <f>IF(COUNTA($B1446:$R1446)=0,"",IF(AND($I1446&lt;&gt;"",COUNTIF(CLIENTES_NOMES,$I1446)+COUNTIF(CLIENTES_FANTASIA,$I1446)+COUNTIF(FORNECEDORES_NOMES,$I1446)+COUNTIF(FORNECEDORES_FANTASIA,$I1446)=0),"⚠ Cliente/Fornecedor não cadastrado",IF(AND($G1446&lt;&gt;"",COUNTIF(SUBCATEGORIAS_PLANO,$G1446)=0),"⚠ Subcategoria fora do plano de contas",IF(OR($Q1446="",N($Q1446)=0),"⚠ Valor previsto não informado",IF(AND(OR($X1446="Pago",$X1446="Recebido"),$D1446=""),"⚠ Status pago/recebido sem data",IF(AND($D1446&lt;&gt;"",N($R1446)=0),"⚠ Data de pagamento sem valor realizado",IF(AND(N($P1446)&gt;1,N($O1446)&gt;N($P1446)),"⚠ Nº da parcela maior que o total",IF(AND($C1446&lt;&gt;"",$B1446&lt;&gt;"",$C1446&lt;$B1446),"⚠ Vencimento anterior à competência","OK"))))))))</f>
        <v/>
      </c>
    </row>
    <row r="1447">
      <c r="A1447" s="14" t="n"/>
      <c r="B1447" s="36" t="n"/>
      <c r="C1447" s="36" t="n"/>
      <c r="D1447" s="36" t="n"/>
      <c r="E1447" s="14" t="n"/>
      <c r="F1447" s="29" t="n"/>
      <c r="G1447" s="29" t="n"/>
      <c r="H1447" s="29" t="n"/>
      <c r="I1447" s="29" t="n"/>
      <c r="J1447" s="29" t="n"/>
      <c r="K1447" s="14" t="n"/>
      <c r="L1447" s="29" t="n"/>
      <c r="M1447" s="14" t="n"/>
      <c r="N1447" s="29" t="n"/>
      <c r="O1447" s="13" t="n"/>
      <c r="P1447" s="13" t="n"/>
      <c r="Q1447" s="35" t="n"/>
      <c r="R1447" s="35" t="n"/>
      <c r="S1447" s="35" t="n"/>
      <c r="T1447" s="35" t="n"/>
      <c r="U1447" s="35" t="n"/>
      <c r="V1447" s="18">
        <f>IF(COUNTA($B1447:$R1447)=0,"",ROUND(N($R1447)+N($S1447)+N($T1447)-N($U1447),2))</f>
        <v/>
      </c>
      <c r="W1447" s="18">
        <f>IF(COUNTA($B1447:$R1447)=0,"",IF(OR($X1447="Pago",$X1447="Recebido",$X1447="Cancelado"),0,ROUND(N($Q1447)+N($S1447)+N($T1447)-N($U1447)-N($R1447),2)))</f>
        <v/>
      </c>
      <c r="X1447" s="14" t="n"/>
      <c r="Y1447" s="17">
        <f>IF(COUNTA($B1447:$R1447)=0,"",IF($X1447="Cancelado","Cancelado",IF(OR($X1447="Pago",$X1447="Recebido"),$X1447,IF(OR($X1447="Parcial",N($R1447)&gt;0),"Parcial",IF($C1447="","Sem vencimento",IF($C1447&lt;TODAY(),"Vencido",IF($C1447=TODAY(),"Vence hoje",IF($C1447&lt;=TODAY()+7,"Vence em 7 dias",IF($C1447&lt;=TODAY()+30,"Vence em 30 dias","Futuro")))))))))</f>
        <v/>
      </c>
      <c r="Z1447" s="24">
        <f>IF($B1447="","",MONTH($B1447))</f>
        <v/>
      </c>
      <c r="AA1447" s="24">
        <f>IF($B1447="","",YEAR($B1447))</f>
        <v/>
      </c>
      <c r="AB1447" s="24">
        <f>IF($B1447="","",ISOWEEKNUM($B1447))</f>
        <v/>
      </c>
      <c r="AC1447" s="17">
        <f>IF($B1447="","",CHOOSE(WEEKDAY($B1447,2),"Segunda","Terça","Quarta","Quinta","Sexta","Sábado","Domingo"))</f>
        <v/>
      </c>
      <c r="AD1447" s="17">
        <f>IF($B1447="","",TEXT($B1447,"MM/AAAA"))</f>
        <v/>
      </c>
      <c r="AE1447" s="18">
        <f>IF(COUNTA($B1447:$R1447)=0,"",IF($X1447="Cancelado",0,ROUND(N($Q1447)+N($S1447)+N($T1447)-N($U1447),2)))</f>
        <v/>
      </c>
      <c r="AF1447" s="9">
        <f>IF($G1447="","",IFERROR(INDEX(LINHAS_DRE_PLANO,MATCH($G1447,SUBCATEGORIAS_PLANO,0)),"Não classificado"))</f>
        <v/>
      </c>
      <c r="AG1447" s="17">
        <f>IF($G1447="","",IFERROR(INDEX(TIPOS_FLUXO_PLANO,MATCH($G1447,SUBCATEGORIAS_PLANO,0)),"Não classificado"))</f>
        <v/>
      </c>
      <c r="AH1447" s="9">
        <f>IF($G1447="","",IFERROR(INDEX(GRUPOS_PLANO,MATCH($G1447,SUBCATEGORIAS_PLANO,0)),"Não classificado"))</f>
        <v/>
      </c>
      <c r="AI1447" s="24">
        <f>IF(OR($C1447="",$X1447="Pago",$X1447="Recebido",$X1447="Cancelado"),"",$C1447-TODAY())</f>
        <v/>
      </c>
      <c r="AJ1447" s="24">
        <f>IF(OR($C1447="",$X1447="Pago",$X1447="Recebido",$X1447="Cancelado"),0,MAX(0,TODAY()-$C1447))</f>
        <v/>
      </c>
      <c r="AK1447" s="24">
        <f>IF($D1447="","",$D1447-$B1447)</f>
        <v/>
      </c>
      <c r="AL1447" s="18">
        <f>IF(OR($D1447="",$B1447=""),"",ROUND(N($R1447)*($D1447-$B1447),2))</f>
        <v/>
      </c>
      <c r="AM1447" s="17">
        <f>IF(AND($E1447="Saída",$W1447&gt;0,$C1447&lt;&gt;""),$C1447+ROW()/1000000,"")</f>
        <v/>
      </c>
      <c r="AN1447" s="17">
        <f>IF(AND($E1447="Entrada",$W1447&gt;0,$C1447&lt;&gt;""),$C1447+ROW()/1000000,"")</f>
        <v/>
      </c>
      <c r="AO1447" s="9">
        <f>IF(COUNTA($B1447:$R1447)=0,"",IF(AND($I1447&lt;&gt;"",COUNTIF(CLIENTES_NOMES,$I1447)+COUNTIF(CLIENTES_FANTASIA,$I1447)+COUNTIF(FORNECEDORES_NOMES,$I1447)+COUNTIF(FORNECEDORES_FANTASIA,$I1447)=0),"⚠ Cliente/Fornecedor não cadastrado",IF(AND($G1447&lt;&gt;"",COUNTIF(SUBCATEGORIAS_PLANO,$G1447)=0),"⚠ Subcategoria fora do plano de contas",IF(OR($Q1447="",N($Q1447)=0),"⚠ Valor previsto não informado",IF(AND(OR($X1447="Pago",$X1447="Recebido"),$D1447=""),"⚠ Status pago/recebido sem data",IF(AND($D1447&lt;&gt;"",N($R1447)=0),"⚠ Data de pagamento sem valor realizado",IF(AND(N($P1447)&gt;1,N($O1447)&gt;N($P1447)),"⚠ Nº da parcela maior que o total",IF(AND($C1447&lt;&gt;"",$B1447&lt;&gt;"",$C1447&lt;$B1447),"⚠ Vencimento anterior à competência","OK"))))))))</f>
        <v/>
      </c>
    </row>
    <row r="1448">
      <c r="A1448" s="14" t="n"/>
      <c r="B1448" s="36" t="n"/>
      <c r="C1448" s="36" t="n"/>
      <c r="D1448" s="36" t="n"/>
      <c r="E1448" s="14" t="n"/>
      <c r="F1448" s="29" t="n"/>
      <c r="G1448" s="29" t="n"/>
      <c r="H1448" s="29" t="n"/>
      <c r="I1448" s="29" t="n"/>
      <c r="J1448" s="29" t="n"/>
      <c r="K1448" s="14" t="n"/>
      <c r="L1448" s="29" t="n"/>
      <c r="M1448" s="14" t="n"/>
      <c r="N1448" s="29" t="n"/>
      <c r="O1448" s="13" t="n"/>
      <c r="P1448" s="13" t="n"/>
      <c r="Q1448" s="35" t="n"/>
      <c r="R1448" s="35" t="n"/>
      <c r="S1448" s="35" t="n"/>
      <c r="T1448" s="35" t="n"/>
      <c r="U1448" s="35" t="n"/>
      <c r="V1448" s="18">
        <f>IF(COUNTA($B1448:$R1448)=0,"",ROUND(N($R1448)+N($S1448)+N($T1448)-N($U1448),2))</f>
        <v/>
      </c>
      <c r="W1448" s="18">
        <f>IF(COUNTA($B1448:$R1448)=0,"",IF(OR($X1448="Pago",$X1448="Recebido",$X1448="Cancelado"),0,ROUND(N($Q1448)+N($S1448)+N($T1448)-N($U1448)-N($R1448),2)))</f>
        <v/>
      </c>
      <c r="X1448" s="14" t="n"/>
      <c r="Y1448" s="17">
        <f>IF(COUNTA($B1448:$R1448)=0,"",IF($X1448="Cancelado","Cancelado",IF(OR($X1448="Pago",$X1448="Recebido"),$X1448,IF(OR($X1448="Parcial",N($R1448)&gt;0),"Parcial",IF($C1448="","Sem vencimento",IF($C1448&lt;TODAY(),"Vencido",IF($C1448=TODAY(),"Vence hoje",IF($C1448&lt;=TODAY()+7,"Vence em 7 dias",IF($C1448&lt;=TODAY()+30,"Vence em 30 dias","Futuro")))))))))</f>
        <v/>
      </c>
      <c r="Z1448" s="24">
        <f>IF($B1448="","",MONTH($B1448))</f>
        <v/>
      </c>
      <c r="AA1448" s="24">
        <f>IF($B1448="","",YEAR($B1448))</f>
        <v/>
      </c>
      <c r="AB1448" s="24">
        <f>IF($B1448="","",ISOWEEKNUM($B1448))</f>
        <v/>
      </c>
      <c r="AC1448" s="17">
        <f>IF($B1448="","",CHOOSE(WEEKDAY($B1448,2),"Segunda","Terça","Quarta","Quinta","Sexta","Sábado","Domingo"))</f>
        <v/>
      </c>
      <c r="AD1448" s="17">
        <f>IF($B1448="","",TEXT($B1448,"MM/AAAA"))</f>
        <v/>
      </c>
      <c r="AE1448" s="18">
        <f>IF(COUNTA($B1448:$R1448)=0,"",IF($X1448="Cancelado",0,ROUND(N($Q1448)+N($S1448)+N($T1448)-N($U1448),2)))</f>
        <v/>
      </c>
      <c r="AF1448" s="9">
        <f>IF($G1448="","",IFERROR(INDEX(LINHAS_DRE_PLANO,MATCH($G1448,SUBCATEGORIAS_PLANO,0)),"Não classificado"))</f>
        <v/>
      </c>
      <c r="AG1448" s="17">
        <f>IF($G1448="","",IFERROR(INDEX(TIPOS_FLUXO_PLANO,MATCH($G1448,SUBCATEGORIAS_PLANO,0)),"Não classificado"))</f>
        <v/>
      </c>
      <c r="AH1448" s="9">
        <f>IF($G1448="","",IFERROR(INDEX(GRUPOS_PLANO,MATCH($G1448,SUBCATEGORIAS_PLANO,0)),"Não classificado"))</f>
        <v/>
      </c>
      <c r="AI1448" s="24">
        <f>IF(OR($C1448="",$X1448="Pago",$X1448="Recebido",$X1448="Cancelado"),"",$C1448-TODAY())</f>
        <v/>
      </c>
      <c r="AJ1448" s="24">
        <f>IF(OR($C1448="",$X1448="Pago",$X1448="Recebido",$X1448="Cancelado"),0,MAX(0,TODAY()-$C1448))</f>
        <v/>
      </c>
      <c r="AK1448" s="24">
        <f>IF($D1448="","",$D1448-$B1448)</f>
        <v/>
      </c>
      <c r="AL1448" s="18">
        <f>IF(OR($D1448="",$B1448=""),"",ROUND(N($R1448)*($D1448-$B1448),2))</f>
        <v/>
      </c>
      <c r="AM1448" s="17">
        <f>IF(AND($E1448="Saída",$W1448&gt;0,$C1448&lt;&gt;""),$C1448+ROW()/1000000,"")</f>
        <v/>
      </c>
      <c r="AN1448" s="17">
        <f>IF(AND($E1448="Entrada",$W1448&gt;0,$C1448&lt;&gt;""),$C1448+ROW()/1000000,"")</f>
        <v/>
      </c>
      <c r="AO1448" s="9">
        <f>IF(COUNTA($B1448:$R1448)=0,"",IF(AND($I1448&lt;&gt;"",COUNTIF(CLIENTES_NOMES,$I1448)+COUNTIF(CLIENTES_FANTASIA,$I1448)+COUNTIF(FORNECEDORES_NOMES,$I1448)+COUNTIF(FORNECEDORES_FANTASIA,$I1448)=0),"⚠ Cliente/Fornecedor não cadastrado",IF(AND($G1448&lt;&gt;"",COUNTIF(SUBCATEGORIAS_PLANO,$G1448)=0),"⚠ Subcategoria fora do plano de contas",IF(OR($Q1448="",N($Q1448)=0),"⚠ Valor previsto não informado",IF(AND(OR($X1448="Pago",$X1448="Recebido"),$D1448=""),"⚠ Status pago/recebido sem data",IF(AND($D1448&lt;&gt;"",N($R1448)=0),"⚠ Data de pagamento sem valor realizado",IF(AND(N($P1448)&gt;1,N($O1448)&gt;N($P1448)),"⚠ Nº da parcela maior que o total",IF(AND($C1448&lt;&gt;"",$B1448&lt;&gt;"",$C1448&lt;$B1448),"⚠ Vencimento anterior à competência","OK"))))))))</f>
        <v/>
      </c>
    </row>
    <row r="1449">
      <c r="A1449" s="14" t="n"/>
      <c r="B1449" s="36" t="n"/>
      <c r="C1449" s="36" t="n"/>
      <c r="D1449" s="36" t="n"/>
      <c r="E1449" s="14" t="n"/>
      <c r="F1449" s="29" t="n"/>
      <c r="G1449" s="29" t="n"/>
      <c r="H1449" s="29" t="n"/>
      <c r="I1449" s="29" t="n"/>
      <c r="J1449" s="29" t="n"/>
      <c r="K1449" s="14" t="n"/>
      <c r="L1449" s="29" t="n"/>
      <c r="M1449" s="14" t="n"/>
      <c r="N1449" s="29" t="n"/>
      <c r="O1449" s="13" t="n"/>
      <c r="P1449" s="13" t="n"/>
      <c r="Q1449" s="35" t="n"/>
      <c r="R1449" s="35" t="n"/>
      <c r="S1449" s="35" t="n"/>
      <c r="T1449" s="35" t="n"/>
      <c r="U1449" s="35" t="n"/>
      <c r="V1449" s="18">
        <f>IF(COUNTA($B1449:$R1449)=0,"",ROUND(N($R1449)+N($S1449)+N($T1449)-N($U1449),2))</f>
        <v/>
      </c>
      <c r="W1449" s="18">
        <f>IF(COUNTA($B1449:$R1449)=0,"",IF(OR($X1449="Pago",$X1449="Recebido",$X1449="Cancelado"),0,ROUND(N($Q1449)+N($S1449)+N($T1449)-N($U1449)-N($R1449),2)))</f>
        <v/>
      </c>
      <c r="X1449" s="14" t="n"/>
      <c r="Y1449" s="17">
        <f>IF(COUNTA($B1449:$R1449)=0,"",IF($X1449="Cancelado","Cancelado",IF(OR($X1449="Pago",$X1449="Recebido"),$X1449,IF(OR($X1449="Parcial",N($R1449)&gt;0),"Parcial",IF($C1449="","Sem vencimento",IF($C1449&lt;TODAY(),"Vencido",IF($C1449=TODAY(),"Vence hoje",IF($C1449&lt;=TODAY()+7,"Vence em 7 dias",IF($C1449&lt;=TODAY()+30,"Vence em 30 dias","Futuro")))))))))</f>
        <v/>
      </c>
      <c r="Z1449" s="24">
        <f>IF($B1449="","",MONTH($B1449))</f>
        <v/>
      </c>
      <c r="AA1449" s="24">
        <f>IF($B1449="","",YEAR($B1449))</f>
        <v/>
      </c>
      <c r="AB1449" s="24">
        <f>IF($B1449="","",ISOWEEKNUM($B1449))</f>
        <v/>
      </c>
      <c r="AC1449" s="17">
        <f>IF($B1449="","",CHOOSE(WEEKDAY($B1449,2),"Segunda","Terça","Quarta","Quinta","Sexta","Sábado","Domingo"))</f>
        <v/>
      </c>
      <c r="AD1449" s="17">
        <f>IF($B1449="","",TEXT($B1449,"MM/AAAA"))</f>
        <v/>
      </c>
      <c r="AE1449" s="18">
        <f>IF(COUNTA($B1449:$R1449)=0,"",IF($X1449="Cancelado",0,ROUND(N($Q1449)+N($S1449)+N($T1449)-N($U1449),2)))</f>
        <v/>
      </c>
      <c r="AF1449" s="9">
        <f>IF($G1449="","",IFERROR(INDEX(LINHAS_DRE_PLANO,MATCH($G1449,SUBCATEGORIAS_PLANO,0)),"Não classificado"))</f>
        <v/>
      </c>
      <c r="AG1449" s="17">
        <f>IF($G1449="","",IFERROR(INDEX(TIPOS_FLUXO_PLANO,MATCH($G1449,SUBCATEGORIAS_PLANO,0)),"Não classificado"))</f>
        <v/>
      </c>
      <c r="AH1449" s="9">
        <f>IF($G1449="","",IFERROR(INDEX(GRUPOS_PLANO,MATCH($G1449,SUBCATEGORIAS_PLANO,0)),"Não classificado"))</f>
        <v/>
      </c>
      <c r="AI1449" s="24">
        <f>IF(OR($C1449="",$X1449="Pago",$X1449="Recebido",$X1449="Cancelado"),"",$C1449-TODAY())</f>
        <v/>
      </c>
      <c r="AJ1449" s="24">
        <f>IF(OR($C1449="",$X1449="Pago",$X1449="Recebido",$X1449="Cancelado"),0,MAX(0,TODAY()-$C1449))</f>
        <v/>
      </c>
      <c r="AK1449" s="24">
        <f>IF($D1449="","",$D1449-$B1449)</f>
        <v/>
      </c>
      <c r="AL1449" s="18">
        <f>IF(OR($D1449="",$B1449=""),"",ROUND(N($R1449)*($D1449-$B1449),2))</f>
        <v/>
      </c>
      <c r="AM1449" s="17">
        <f>IF(AND($E1449="Saída",$W1449&gt;0,$C1449&lt;&gt;""),$C1449+ROW()/1000000,"")</f>
        <v/>
      </c>
      <c r="AN1449" s="17">
        <f>IF(AND($E1449="Entrada",$W1449&gt;0,$C1449&lt;&gt;""),$C1449+ROW()/1000000,"")</f>
        <v/>
      </c>
      <c r="AO1449" s="9">
        <f>IF(COUNTA($B1449:$R1449)=0,"",IF(AND($I1449&lt;&gt;"",COUNTIF(CLIENTES_NOMES,$I1449)+COUNTIF(CLIENTES_FANTASIA,$I1449)+COUNTIF(FORNECEDORES_NOMES,$I1449)+COUNTIF(FORNECEDORES_FANTASIA,$I1449)=0),"⚠ Cliente/Fornecedor não cadastrado",IF(AND($G1449&lt;&gt;"",COUNTIF(SUBCATEGORIAS_PLANO,$G1449)=0),"⚠ Subcategoria fora do plano de contas",IF(OR($Q1449="",N($Q1449)=0),"⚠ Valor previsto não informado",IF(AND(OR($X1449="Pago",$X1449="Recebido"),$D1449=""),"⚠ Status pago/recebido sem data",IF(AND($D1449&lt;&gt;"",N($R1449)=0),"⚠ Data de pagamento sem valor realizado",IF(AND(N($P1449)&gt;1,N($O1449)&gt;N($P1449)),"⚠ Nº da parcela maior que o total",IF(AND($C1449&lt;&gt;"",$B1449&lt;&gt;"",$C1449&lt;$B1449),"⚠ Vencimento anterior à competência","OK"))))))))</f>
        <v/>
      </c>
    </row>
    <row r="1450">
      <c r="A1450" s="14" t="n"/>
      <c r="B1450" s="36" t="n"/>
      <c r="C1450" s="36" t="n"/>
      <c r="D1450" s="36" t="n"/>
      <c r="E1450" s="14" t="n"/>
      <c r="F1450" s="29" t="n"/>
      <c r="G1450" s="29" t="n"/>
      <c r="H1450" s="29" t="n"/>
      <c r="I1450" s="29" t="n"/>
      <c r="J1450" s="29" t="n"/>
      <c r="K1450" s="14" t="n"/>
      <c r="L1450" s="29" t="n"/>
      <c r="M1450" s="14" t="n"/>
      <c r="N1450" s="29" t="n"/>
      <c r="O1450" s="13" t="n"/>
      <c r="P1450" s="13" t="n"/>
      <c r="Q1450" s="35" t="n"/>
      <c r="R1450" s="35" t="n"/>
      <c r="S1450" s="35" t="n"/>
      <c r="T1450" s="35" t="n"/>
      <c r="U1450" s="35" t="n"/>
      <c r="V1450" s="18">
        <f>IF(COUNTA($B1450:$R1450)=0,"",ROUND(N($R1450)+N($S1450)+N($T1450)-N($U1450),2))</f>
        <v/>
      </c>
      <c r="W1450" s="18">
        <f>IF(COUNTA($B1450:$R1450)=0,"",IF(OR($X1450="Pago",$X1450="Recebido",$X1450="Cancelado"),0,ROUND(N($Q1450)+N($S1450)+N($T1450)-N($U1450)-N($R1450),2)))</f>
        <v/>
      </c>
      <c r="X1450" s="14" t="n"/>
      <c r="Y1450" s="17">
        <f>IF(COUNTA($B1450:$R1450)=0,"",IF($X1450="Cancelado","Cancelado",IF(OR($X1450="Pago",$X1450="Recebido"),$X1450,IF(OR($X1450="Parcial",N($R1450)&gt;0),"Parcial",IF($C1450="","Sem vencimento",IF($C1450&lt;TODAY(),"Vencido",IF($C1450=TODAY(),"Vence hoje",IF($C1450&lt;=TODAY()+7,"Vence em 7 dias",IF($C1450&lt;=TODAY()+30,"Vence em 30 dias","Futuro")))))))))</f>
        <v/>
      </c>
      <c r="Z1450" s="24">
        <f>IF($B1450="","",MONTH($B1450))</f>
        <v/>
      </c>
      <c r="AA1450" s="24">
        <f>IF($B1450="","",YEAR($B1450))</f>
        <v/>
      </c>
      <c r="AB1450" s="24">
        <f>IF($B1450="","",ISOWEEKNUM($B1450))</f>
        <v/>
      </c>
      <c r="AC1450" s="17">
        <f>IF($B1450="","",CHOOSE(WEEKDAY($B1450,2),"Segunda","Terça","Quarta","Quinta","Sexta","Sábado","Domingo"))</f>
        <v/>
      </c>
      <c r="AD1450" s="17">
        <f>IF($B1450="","",TEXT($B1450,"MM/AAAA"))</f>
        <v/>
      </c>
      <c r="AE1450" s="18">
        <f>IF(COUNTA($B1450:$R1450)=0,"",IF($X1450="Cancelado",0,ROUND(N($Q1450)+N($S1450)+N($T1450)-N($U1450),2)))</f>
        <v/>
      </c>
      <c r="AF1450" s="9">
        <f>IF($G1450="","",IFERROR(INDEX(LINHAS_DRE_PLANO,MATCH($G1450,SUBCATEGORIAS_PLANO,0)),"Não classificado"))</f>
        <v/>
      </c>
      <c r="AG1450" s="17">
        <f>IF($G1450="","",IFERROR(INDEX(TIPOS_FLUXO_PLANO,MATCH($G1450,SUBCATEGORIAS_PLANO,0)),"Não classificado"))</f>
        <v/>
      </c>
      <c r="AH1450" s="9">
        <f>IF($G1450="","",IFERROR(INDEX(GRUPOS_PLANO,MATCH($G1450,SUBCATEGORIAS_PLANO,0)),"Não classificado"))</f>
        <v/>
      </c>
      <c r="AI1450" s="24">
        <f>IF(OR($C1450="",$X1450="Pago",$X1450="Recebido",$X1450="Cancelado"),"",$C1450-TODAY())</f>
        <v/>
      </c>
      <c r="AJ1450" s="24">
        <f>IF(OR($C1450="",$X1450="Pago",$X1450="Recebido",$X1450="Cancelado"),0,MAX(0,TODAY()-$C1450))</f>
        <v/>
      </c>
      <c r="AK1450" s="24">
        <f>IF($D1450="","",$D1450-$B1450)</f>
        <v/>
      </c>
      <c r="AL1450" s="18">
        <f>IF(OR($D1450="",$B1450=""),"",ROUND(N($R1450)*($D1450-$B1450),2))</f>
        <v/>
      </c>
      <c r="AM1450" s="17">
        <f>IF(AND($E1450="Saída",$W1450&gt;0,$C1450&lt;&gt;""),$C1450+ROW()/1000000,"")</f>
        <v/>
      </c>
      <c r="AN1450" s="17">
        <f>IF(AND($E1450="Entrada",$W1450&gt;0,$C1450&lt;&gt;""),$C1450+ROW()/1000000,"")</f>
        <v/>
      </c>
      <c r="AO1450" s="9">
        <f>IF(COUNTA($B1450:$R1450)=0,"",IF(AND($I1450&lt;&gt;"",COUNTIF(CLIENTES_NOMES,$I1450)+COUNTIF(CLIENTES_FANTASIA,$I1450)+COUNTIF(FORNECEDORES_NOMES,$I1450)+COUNTIF(FORNECEDORES_FANTASIA,$I1450)=0),"⚠ Cliente/Fornecedor não cadastrado",IF(AND($G1450&lt;&gt;"",COUNTIF(SUBCATEGORIAS_PLANO,$G1450)=0),"⚠ Subcategoria fora do plano de contas",IF(OR($Q1450="",N($Q1450)=0),"⚠ Valor previsto não informado",IF(AND(OR($X1450="Pago",$X1450="Recebido"),$D1450=""),"⚠ Status pago/recebido sem data",IF(AND($D1450&lt;&gt;"",N($R1450)=0),"⚠ Data de pagamento sem valor realizado",IF(AND(N($P1450)&gt;1,N($O1450)&gt;N($P1450)),"⚠ Nº da parcela maior que o total",IF(AND($C1450&lt;&gt;"",$B1450&lt;&gt;"",$C1450&lt;$B1450),"⚠ Vencimento anterior à competência","OK"))))))))</f>
        <v/>
      </c>
    </row>
    <row r="1451">
      <c r="A1451" s="14" t="n"/>
      <c r="B1451" s="36" t="n"/>
      <c r="C1451" s="36" t="n"/>
      <c r="D1451" s="36" t="n"/>
      <c r="E1451" s="14" t="n"/>
      <c r="F1451" s="29" t="n"/>
      <c r="G1451" s="29" t="n"/>
      <c r="H1451" s="29" t="n"/>
      <c r="I1451" s="29" t="n"/>
      <c r="J1451" s="29" t="n"/>
      <c r="K1451" s="14" t="n"/>
      <c r="L1451" s="29" t="n"/>
      <c r="M1451" s="14" t="n"/>
      <c r="N1451" s="29" t="n"/>
      <c r="O1451" s="13" t="n"/>
      <c r="P1451" s="13" t="n"/>
      <c r="Q1451" s="35" t="n"/>
      <c r="R1451" s="35" t="n"/>
      <c r="S1451" s="35" t="n"/>
      <c r="T1451" s="35" t="n"/>
      <c r="U1451" s="35" t="n"/>
      <c r="V1451" s="18">
        <f>IF(COUNTA($B1451:$R1451)=0,"",ROUND(N($R1451)+N($S1451)+N($T1451)-N($U1451),2))</f>
        <v/>
      </c>
      <c r="W1451" s="18">
        <f>IF(COUNTA($B1451:$R1451)=0,"",IF(OR($X1451="Pago",$X1451="Recebido",$X1451="Cancelado"),0,ROUND(N($Q1451)+N($S1451)+N($T1451)-N($U1451)-N($R1451),2)))</f>
        <v/>
      </c>
      <c r="X1451" s="14" t="n"/>
      <c r="Y1451" s="17">
        <f>IF(COUNTA($B1451:$R1451)=0,"",IF($X1451="Cancelado","Cancelado",IF(OR($X1451="Pago",$X1451="Recebido"),$X1451,IF(OR($X1451="Parcial",N($R1451)&gt;0),"Parcial",IF($C1451="","Sem vencimento",IF($C1451&lt;TODAY(),"Vencido",IF($C1451=TODAY(),"Vence hoje",IF($C1451&lt;=TODAY()+7,"Vence em 7 dias",IF($C1451&lt;=TODAY()+30,"Vence em 30 dias","Futuro")))))))))</f>
        <v/>
      </c>
      <c r="Z1451" s="24">
        <f>IF($B1451="","",MONTH($B1451))</f>
        <v/>
      </c>
      <c r="AA1451" s="24">
        <f>IF($B1451="","",YEAR($B1451))</f>
        <v/>
      </c>
      <c r="AB1451" s="24">
        <f>IF($B1451="","",ISOWEEKNUM($B1451))</f>
        <v/>
      </c>
      <c r="AC1451" s="17">
        <f>IF($B1451="","",CHOOSE(WEEKDAY($B1451,2),"Segunda","Terça","Quarta","Quinta","Sexta","Sábado","Domingo"))</f>
        <v/>
      </c>
      <c r="AD1451" s="17">
        <f>IF($B1451="","",TEXT($B1451,"MM/AAAA"))</f>
        <v/>
      </c>
      <c r="AE1451" s="18">
        <f>IF(COUNTA($B1451:$R1451)=0,"",IF($X1451="Cancelado",0,ROUND(N($Q1451)+N($S1451)+N($T1451)-N($U1451),2)))</f>
        <v/>
      </c>
      <c r="AF1451" s="9">
        <f>IF($G1451="","",IFERROR(INDEX(LINHAS_DRE_PLANO,MATCH($G1451,SUBCATEGORIAS_PLANO,0)),"Não classificado"))</f>
        <v/>
      </c>
      <c r="AG1451" s="17">
        <f>IF($G1451="","",IFERROR(INDEX(TIPOS_FLUXO_PLANO,MATCH($G1451,SUBCATEGORIAS_PLANO,0)),"Não classificado"))</f>
        <v/>
      </c>
      <c r="AH1451" s="9">
        <f>IF($G1451="","",IFERROR(INDEX(GRUPOS_PLANO,MATCH($G1451,SUBCATEGORIAS_PLANO,0)),"Não classificado"))</f>
        <v/>
      </c>
      <c r="AI1451" s="24">
        <f>IF(OR($C1451="",$X1451="Pago",$X1451="Recebido",$X1451="Cancelado"),"",$C1451-TODAY())</f>
        <v/>
      </c>
      <c r="AJ1451" s="24">
        <f>IF(OR($C1451="",$X1451="Pago",$X1451="Recebido",$X1451="Cancelado"),0,MAX(0,TODAY()-$C1451))</f>
        <v/>
      </c>
      <c r="AK1451" s="24">
        <f>IF($D1451="","",$D1451-$B1451)</f>
        <v/>
      </c>
      <c r="AL1451" s="18">
        <f>IF(OR($D1451="",$B1451=""),"",ROUND(N($R1451)*($D1451-$B1451),2))</f>
        <v/>
      </c>
      <c r="AM1451" s="17">
        <f>IF(AND($E1451="Saída",$W1451&gt;0,$C1451&lt;&gt;""),$C1451+ROW()/1000000,"")</f>
        <v/>
      </c>
      <c r="AN1451" s="17">
        <f>IF(AND($E1451="Entrada",$W1451&gt;0,$C1451&lt;&gt;""),$C1451+ROW()/1000000,"")</f>
        <v/>
      </c>
      <c r="AO1451" s="9">
        <f>IF(COUNTA($B1451:$R1451)=0,"",IF(AND($I1451&lt;&gt;"",COUNTIF(CLIENTES_NOMES,$I1451)+COUNTIF(CLIENTES_FANTASIA,$I1451)+COUNTIF(FORNECEDORES_NOMES,$I1451)+COUNTIF(FORNECEDORES_FANTASIA,$I1451)=0),"⚠ Cliente/Fornecedor não cadastrado",IF(AND($G1451&lt;&gt;"",COUNTIF(SUBCATEGORIAS_PLANO,$G1451)=0),"⚠ Subcategoria fora do plano de contas",IF(OR($Q1451="",N($Q1451)=0),"⚠ Valor previsto não informado",IF(AND(OR($X1451="Pago",$X1451="Recebido"),$D1451=""),"⚠ Status pago/recebido sem data",IF(AND($D1451&lt;&gt;"",N($R1451)=0),"⚠ Data de pagamento sem valor realizado",IF(AND(N($P1451)&gt;1,N($O1451)&gt;N($P1451)),"⚠ Nº da parcela maior que o total",IF(AND($C1451&lt;&gt;"",$B1451&lt;&gt;"",$C1451&lt;$B1451),"⚠ Vencimento anterior à competência","OK"))))))))</f>
        <v/>
      </c>
    </row>
    <row r="1452">
      <c r="A1452" s="14" t="n"/>
      <c r="B1452" s="36" t="n"/>
      <c r="C1452" s="36" t="n"/>
      <c r="D1452" s="36" t="n"/>
      <c r="E1452" s="14" t="n"/>
      <c r="F1452" s="29" t="n"/>
      <c r="G1452" s="29" t="n"/>
      <c r="H1452" s="29" t="n"/>
      <c r="I1452" s="29" t="n"/>
      <c r="J1452" s="29" t="n"/>
      <c r="K1452" s="14" t="n"/>
      <c r="L1452" s="29" t="n"/>
      <c r="M1452" s="14" t="n"/>
      <c r="N1452" s="29" t="n"/>
      <c r="O1452" s="13" t="n"/>
      <c r="P1452" s="13" t="n"/>
      <c r="Q1452" s="35" t="n"/>
      <c r="R1452" s="35" t="n"/>
      <c r="S1452" s="35" t="n"/>
      <c r="T1452" s="35" t="n"/>
      <c r="U1452" s="35" t="n"/>
      <c r="V1452" s="18">
        <f>IF(COUNTA($B1452:$R1452)=0,"",ROUND(N($R1452)+N($S1452)+N($T1452)-N($U1452),2))</f>
        <v/>
      </c>
      <c r="W1452" s="18">
        <f>IF(COUNTA($B1452:$R1452)=0,"",IF(OR($X1452="Pago",$X1452="Recebido",$X1452="Cancelado"),0,ROUND(N($Q1452)+N($S1452)+N($T1452)-N($U1452)-N($R1452),2)))</f>
        <v/>
      </c>
      <c r="X1452" s="14" t="n"/>
      <c r="Y1452" s="17">
        <f>IF(COUNTA($B1452:$R1452)=0,"",IF($X1452="Cancelado","Cancelado",IF(OR($X1452="Pago",$X1452="Recebido"),$X1452,IF(OR($X1452="Parcial",N($R1452)&gt;0),"Parcial",IF($C1452="","Sem vencimento",IF($C1452&lt;TODAY(),"Vencido",IF($C1452=TODAY(),"Vence hoje",IF($C1452&lt;=TODAY()+7,"Vence em 7 dias",IF($C1452&lt;=TODAY()+30,"Vence em 30 dias","Futuro")))))))))</f>
        <v/>
      </c>
      <c r="Z1452" s="24">
        <f>IF($B1452="","",MONTH($B1452))</f>
        <v/>
      </c>
      <c r="AA1452" s="24">
        <f>IF($B1452="","",YEAR($B1452))</f>
        <v/>
      </c>
      <c r="AB1452" s="24">
        <f>IF($B1452="","",ISOWEEKNUM($B1452))</f>
        <v/>
      </c>
      <c r="AC1452" s="17">
        <f>IF($B1452="","",CHOOSE(WEEKDAY($B1452,2),"Segunda","Terça","Quarta","Quinta","Sexta","Sábado","Domingo"))</f>
        <v/>
      </c>
      <c r="AD1452" s="17">
        <f>IF($B1452="","",TEXT($B1452,"MM/AAAA"))</f>
        <v/>
      </c>
      <c r="AE1452" s="18">
        <f>IF(COUNTA($B1452:$R1452)=0,"",IF($X1452="Cancelado",0,ROUND(N($Q1452)+N($S1452)+N($T1452)-N($U1452),2)))</f>
        <v/>
      </c>
      <c r="AF1452" s="9">
        <f>IF($G1452="","",IFERROR(INDEX(LINHAS_DRE_PLANO,MATCH($G1452,SUBCATEGORIAS_PLANO,0)),"Não classificado"))</f>
        <v/>
      </c>
      <c r="AG1452" s="17">
        <f>IF($G1452="","",IFERROR(INDEX(TIPOS_FLUXO_PLANO,MATCH($G1452,SUBCATEGORIAS_PLANO,0)),"Não classificado"))</f>
        <v/>
      </c>
      <c r="AH1452" s="9">
        <f>IF($G1452="","",IFERROR(INDEX(GRUPOS_PLANO,MATCH($G1452,SUBCATEGORIAS_PLANO,0)),"Não classificado"))</f>
        <v/>
      </c>
      <c r="AI1452" s="24">
        <f>IF(OR($C1452="",$X1452="Pago",$X1452="Recebido",$X1452="Cancelado"),"",$C1452-TODAY())</f>
        <v/>
      </c>
      <c r="AJ1452" s="24">
        <f>IF(OR($C1452="",$X1452="Pago",$X1452="Recebido",$X1452="Cancelado"),0,MAX(0,TODAY()-$C1452))</f>
        <v/>
      </c>
      <c r="AK1452" s="24">
        <f>IF($D1452="","",$D1452-$B1452)</f>
        <v/>
      </c>
      <c r="AL1452" s="18">
        <f>IF(OR($D1452="",$B1452=""),"",ROUND(N($R1452)*($D1452-$B1452),2))</f>
        <v/>
      </c>
      <c r="AM1452" s="17">
        <f>IF(AND($E1452="Saída",$W1452&gt;0,$C1452&lt;&gt;""),$C1452+ROW()/1000000,"")</f>
        <v/>
      </c>
      <c r="AN1452" s="17">
        <f>IF(AND($E1452="Entrada",$W1452&gt;0,$C1452&lt;&gt;""),$C1452+ROW()/1000000,"")</f>
        <v/>
      </c>
      <c r="AO1452" s="9">
        <f>IF(COUNTA($B1452:$R1452)=0,"",IF(AND($I1452&lt;&gt;"",COUNTIF(CLIENTES_NOMES,$I1452)+COUNTIF(CLIENTES_FANTASIA,$I1452)+COUNTIF(FORNECEDORES_NOMES,$I1452)+COUNTIF(FORNECEDORES_FANTASIA,$I1452)=0),"⚠ Cliente/Fornecedor não cadastrado",IF(AND($G1452&lt;&gt;"",COUNTIF(SUBCATEGORIAS_PLANO,$G1452)=0),"⚠ Subcategoria fora do plano de contas",IF(OR($Q1452="",N($Q1452)=0),"⚠ Valor previsto não informado",IF(AND(OR($X1452="Pago",$X1452="Recebido"),$D1452=""),"⚠ Status pago/recebido sem data",IF(AND($D1452&lt;&gt;"",N($R1452)=0),"⚠ Data de pagamento sem valor realizado",IF(AND(N($P1452)&gt;1,N($O1452)&gt;N($P1452)),"⚠ Nº da parcela maior que o total",IF(AND($C1452&lt;&gt;"",$B1452&lt;&gt;"",$C1452&lt;$B1452),"⚠ Vencimento anterior à competência","OK"))))))))</f>
        <v/>
      </c>
    </row>
    <row r="1453">
      <c r="A1453" s="14" t="n"/>
      <c r="B1453" s="36" t="n"/>
      <c r="C1453" s="36" t="n"/>
      <c r="D1453" s="36" t="n"/>
      <c r="E1453" s="14" t="n"/>
      <c r="F1453" s="29" t="n"/>
      <c r="G1453" s="29" t="n"/>
      <c r="H1453" s="29" t="n"/>
      <c r="I1453" s="29" t="n"/>
      <c r="J1453" s="29" t="n"/>
      <c r="K1453" s="14" t="n"/>
      <c r="L1453" s="29" t="n"/>
      <c r="M1453" s="14" t="n"/>
      <c r="N1453" s="29" t="n"/>
      <c r="O1453" s="13" t="n"/>
      <c r="P1453" s="13" t="n"/>
      <c r="Q1453" s="35" t="n"/>
      <c r="R1453" s="35" t="n"/>
      <c r="S1453" s="35" t="n"/>
      <c r="T1453" s="35" t="n"/>
      <c r="U1453" s="35" t="n"/>
      <c r="V1453" s="18">
        <f>IF(COUNTA($B1453:$R1453)=0,"",ROUND(N($R1453)+N($S1453)+N($T1453)-N($U1453),2))</f>
        <v/>
      </c>
      <c r="W1453" s="18">
        <f>IF(COUNTA($B1453:$R1453)=0,"",IF(OR($X1453="Pago",$X1453="Recebido",$X1453="Cancelado"),0,ROUND(N($Q1453)+N($S1453)+N($T1453)-N($U1453)-N($R1453),2)))</f>
        <v/>
      </c>
      <c r="X1453" s="14" t="n"/>
      <c r="Y1453" s="17">
        <f>IF(COUNTA($B1453:$R1453)=0,"",IF($X1453="Cancelado","Cancelado",IF(OR($X1453="Pago",$X1453="Recebido"),$X1453,IF(OR($X1453="Parcial",N($R1453)&gt;0),"Parcial",IF($C1453="","Sem vencimento",IF($C1453&lt;TODAY(),"Vencido",IF($C1453=TODAY(),"Vence hoje",IF($C1453&lt;=TODAY()+7,"Vence em 7 dias",IF($C1453&lt;=TODAY()+30,"Vence em 30 dias","Futuro")))))))))</f>
        <v/>
      </c>
      <c r="Z1453" s="24">
        <f>IF($B1453="","",MONTH($B1453))</f>
        <v/>
      </c>
      <c r="AA1453" s="24">
        <f>IF($B1453="","",YEAR($B1453))</f>
        <v/>
      </c>
      <c r="AB1453" s="24">
        <f>IF($B1453="","",ISOWEEKNUM($B1453))</f>
        <v/>
      </c>
      <c r="AC1453" s="17">
        <f>IF($B1453="","",CHOOSE(WEEKDAY($B1453,2),"Segunda","Terça","Quarta","Quinta","Sexta","Sábado","Domingo"))</f>
        <v/>
      </c>
      <c r="AD1453" s="17">
        <f>IF($B1453="","",TEXT($B1453,"MM/AAAA"))</f>
        <v/>
      </c>
      <c r="AE1453" s="18">
        <f>IF(COUNTA($B1453:$R1453)=0,"",IF($X1453="Cancelado",0,ROUND(N($Q1453)+N($S1453)+N($T1453)-N($U1453),2)))</f>
        <v/>
      </c>
      <c r="AF1453" s="9">
        <f>IF($G1453="","",IFERROR(INDEX(LINHAS_DRE_PLANO,MATCH($G1453,SUBCATEGORIAS_PLANO,0)),"Não classificado"))</f>
        <v/>
      </c>
      <c r="AG1453" s="17">
        <f>IF($G1453="","",IFERROR(INDEX(TIPOS_FLUXO_PLANO,MATCH($G1453,SUBCATEGORIAS_PLANO,0)),"Não classificado"))</f>
        <v/>
      </c>
      <c r="AH1453" s="9">
        <f>IF($G1453="","",IFERROR(INDEX(GRUPOS_PLANO,MATCH($G1453,SUBCATEGORIAS_PLANO,0)),"Não classificado"))</f>
        <v/>
      </c>
      <c r="AI1453" s="24">
        <f>IF(OR($C1453="",$X1453="Pago",$X1453="Recebido",$X1453="Cancelado"),"",$C1453-TODAY())</f>
        <v/>
      </c>
      <c r="AJ1453" s="24">
        <f>IF(OR($C1453="",$X1453="Pago",$X1453="Recebido",$X1453="Cancelado"),0,MAX(0,TODAY()-$C1453))</f>
        <v/>
      </c>
      <c r="AK1453" s="24">
        <f>IF($D1453="","",$D1453-$B1453)</f>
        <v/>
      </c>
      <c r="AL1453" s="18">
        <f>IF(OR($D1453="",$B1453=""),"",ROUND(N($R1453)*($D1453-$B1453),2))</f>
        <v/>
      </c>
      <c r="AM1453" s="17">
        <f>IF(AND($E1453="Saída",$W1453&gt;0,$C1453&lt;&gt;""),$C1453+ROW()/1000000,"")</f>
        <v/>
      </c>
      <c r="AN1453" s="17">
        <f>IF(AND($E1453="Entrada",$W1453&gt;0,$C1453&lt;&gt;""),$C1453+ROW()/1000000,"")</f>
        <v/>
      </c>
      <c r="AO1453" s="9">
        <f>IF(COUNTA($B1453:$R1453)=0,"",IF(AND($I1453&lt;&gt;"",COUNTIF(CLIENTES_NOMES,$I1453)+COUNTIF(CLIENTES_FANTASIA,$I1453)+COUNTIF(FORNECEDORES_NOMES,$I1453)+COUNTIF(FORNECEDORES_FANTASIA,$I1453)=0),"⚠ Cliente/Fornecedor não cadastrado",IF(AND($G1453&lt;&gt;"",COUNTIF(SUBCATEGORIAS_PLANO,$G1453)=0),"⚠ Subcategoria fora do plano de contas",IF(OR($Q1453="",N($Q1453)=0),"⚠ Valor previsto não informado",IF(AND(OR($X1453="Pago",$X1453="Recebido"),$D1453=""),"⚠ Status pago/recebido sem data",IF(AND($D1453&lt;&gt;"",N($R1453)=0),"⚠ Data de pagamento sem valor realizado",IF(AND(N($P1453)&gt;1,N($O1453)&gt;N($P1453)),"⚠ Nº da parcela maior que o total",IF(AND($C1453&lt;&gt;"",$B1453&lt;&gt;"",$C1453&lt;$B1453),"⚠ Vencimento anterior à competência","OK"))))))))</f>
        <v/>
      </c>
    </row>
    <row r="1454">
      <c r="A1454" s="14" t="n"/>
      <c r="B1454" s="36" t="n"/>
      <c r="C1454" s="36" t="n"/>
      <c r="D1454" s="36" t="n"/>
      <c r="E1454" s="14" t="n"/>
      <c r="F1454" s="29" t="n"/>
      <c r="G1454" s="29" t="n"/>
      <c r="H1454" s="29" t="n"/>
      <c r="I1454" s="29" t="n"/>
      <c r="J1454" s="29" t="n"/>
      <c r="K1454" s="14" t="n"/>
      <c r="L1454" s="29" t="n"/>
      <c r="M1454" s="14" t="n"/>
      <c r="N1454" s="29" t="n"/>
      <c r="O1454" s="13" t="n"/>
      <c r="P1454" s="13" t="n"/>
      <c r="Q1454" s="35" t="n"/>
      <c r="R1454" s="35" t="n"/>
      <c r="S1454" s="35" t="n"/>
      <c r="T1454" s="35" t="n"/>
      <c r="U1454" s="35" t="n"/>
      <c r="V1454" s="18">
        <f>IF(COUNTA($B1454:$R1454)=0,"",ROUND(N($R1454)+N($S1454)+N($T1454)-N($U1454),2))</f>
        <v/>
      </c>
      <c r="W1454" s="18">
        <f>IF(COUNTA($B1454:$R1454)=0,"",IF(OR($X1454="Pago",$X1454="Recebido",$X1454="Cancelado"),0,ROUND(N($Q1454)+N($S1454)+N($T1454)-N($U1454)-N($R1454),2)))</f>
        <v/>
      </c>
      <c r="X1454" s="14" t="n"/>
      <c r="Y1454" s="17">
        <f>IF(COUNTA($B1454:$R1454)=0,"",IF($X1454="Cancelado","Cancelado",IF(OR($X1454="Pago",$X1454="Recebido"),$X1454,IF(OR($X1454="Parcial",N($R1454)&gt;0),"Parcial",IF($C1454="","Sem vencimento",IF($C1454&lt;TODAY(),"Vencido",IF($C1454=TODAY(),"Vence hoje",IF($C1454&lt;=TODAY()+7,"Vence em 7 dias",IF($C1454&lt;=TODAY()+30,"Vence em 30 dias","Futuro")))))))))</f>
        <v/>
      </c>
      <c r="Z1454" s="24">
        <f>IF($B1454="","",MONTH($B1454))</f>
        <v/>
      </c>
      <c r="AA1454" s="24">
        <f>IF($B1454="","",YEAR($B1454))</f>
        <v/>
      </c>
      <c r="AB1454" s="24">
        <f>IF($B1454="","",ISOWEEKNUM($B1454))</f>
        <v/>
      </c>
      <c r="AC1454" s="17">
        <f>IF($B1454="","",CHOOSE(WEEKDAY($B1454,2),"Segunda","Terça","Quarta","Quinta","Sexta","Sábado","Domingo"))</f>
        <v/>
      </c>
      <c r="AD1454" s="17">
        <f>IF($B1454="","",TEXT($B1454,"MM/AAAA"))</f>
        <v/>
      </c>
      <c r="AE1454" s="18">
        <f>IF(COUNTA($B1454:$R1454)=0,"",IF($X1454="Cancelado",0,ROUND(N($Q1454)+N($S1454)+N($T1454)-N($U1454),2)))</f>
        <v/>
      </c>
      <c r="AF1454" s="9">
        <f>IF($G1454="","",IFERROR(INDEX(LINHAS_DRE_PLANO,MATCH($G1454,SUBCATEGORIAS_PLANO,0)),"Não classificado"))</f>
        <v/>
      </c>
      <c r="AG1454" s="17">
        <f>IF($G1454="","",IFERROR(INDEX(TIPOS_FLUXO_PLANO,MATCH($G1454,SUBCATEGORIAS_PLANO,0)),"Não classificado"))</f>
        <v/>
      </c>
      <c r="AH1454" s="9">
        <f>IF($G1454="","",IFERROR(INDEX(GRUPOS_PLANO,MATCH($G1454,SUBCATEGORIAS_PLANO,0)),"Não classificado"))</f>
        <v/>
      </c>
      <c r="AI1454" s="24">
        <f>IF(OR($C1454="",$X1454="Pago",$X1454="Recebido",$X1454="Cancelado"),"",$C1454-TODAY())</f>
        <v/>
      </c>
      <c r="AJ1454" s="24">
        <f>IF(OR($C1454="",$X1454="Pago",$X1454="Recebido",$X1454="Cancelado"),0,MAX(0,TODAY()-$C1454))</f>
        <v/>
      </c>
      <c r="AK1454" s="24">
        <f>IF($D1454="","",$D1454-$B1454)</f>
        <v/>
      </c>
      <c r="AL1454" s="18">
        <f>IF(OR($D1454="",$B1454=""),"",ROUND(N($R1454)*($D1454-$B1454),2))</f>
        <v/>
      </c>
      <c r="AM1454" s="17">
        <f>IF(AND($E1454="Saída",$W1454&gt;0,$C1454&lt;&gt;""),$C1454+ROW()/1000000,"")</f>
        <v/>
      </c>
      <c r="AN1454" s="17">
        <f>IF(AND($E1454="Entrada",$W1454&gt;0,$C1454&lt;&gt;""),$C1454+ROW()/1000000,"")</f>
        <v/>
      </c>
      <c r="AO1454" s="9">
        <f>IF(COUNTA($B1454:$R1454)=0,"",IF(AND($I1454&lt;&gt;"",COUNTIF(CLIENTES_NOMES,$I1454)+COUNTIF(CLIENTES_FANTASIA,$I1454)+COUNTIF(FORNECEDORES_NOMES,$I1454)+COUNTIF(FORNECEDORES_FANTASIA,$I1454)=0),"⚠ Cliente/Fornecedor não cadastrado",IF(AND($G1454&lt;&gt;"",COUNTIF(SUBCATEGORIAS_PLANO,$G1454)=0),"⚠ Subcategoria fora do plano de contas",IF(OR($Q1454="",N($Q1454)=0),"⚠ Valor previsto não informado",IF(AND(OR($X1454="Pago",$X1454="Recebido"),$D1454=""),"⚠ Status pago/recebido sem data",IF(AND($D1454&lt;&gt;"",N($R1454)=0),"⚠ Data de pagamento sem valor realizado",IF(AND(N($P1454)&gt;1,N($O1454)&gt;N($P1454)),"⚠ Nº da parcela maior que o total",IF(AND($C1454&lt;&gt;"",$B1454&lt;&gt;"",$C1454&lt;$B1454),"⚠ Vencimento anterior à competência","OK"))))))))</f>
        <v/>
      </c>
    </row>
    <row r="1455">
      <c r="A1455" s="14" t="n"/>
      <c r="B1455" s="36" t="n"/>
      <c r="C1455" s="36" t="n"/>
      <c r="D1455" s="36" t="n"/>
      <c r="E1455" s="14" t="n"/>
      <c r="F1455" s="29" t="n"/>
      <c r="G1455" s="29" t="n"/>
      <c r="H1455" s="29" t="n"/>
      <c r="I1455" s="29" t="n"/>
      <c r="J1455" s="29" t="n"/>
      <c r="K1455" s="14" t="n"/>
      <c r="L1455" s="29" t="n"/>
      <c r="M1455" s="14" t="n"/>
      <c r="N1455" s="29" t="n"/>
      <c r="O1455" s="13" t="n"/>
      <c r="P1455" s="13" t="n"/>
      <c r="Q1455" s="35" t="n"/>
      <c r="R1455" s="35" t="n"/>
      <c r="S1455" s="35" t="n"/>
      <c r="T1455" s="35" t="n"/>
      <c r="U1455" s="35" t="n"/>
      <c r="V1455" s="18">
        <f>IF(COUNTA($B1455:$R1455)=0,"",ROUND(N($R1455)+N($S1455)+N($T1455)-N($U1455),2))</f>
        <v/>
      </c>
      <c r="W1455" s="18">
        <f>IF(COUNTA($B1455:$R1455)=0,"",IF(OR($X1455="Pago",$X1455="Recebido",$X1455="Cancelado"),0,ROUND(N($Q1455)+N($S1455)+N($T1455)-N($U1455)-N($R1455),2)))</f>
        <v/>
      </c>
      <c r="X1455" s="14" t="n"/>
      <c r="Y1455" s="17">
        <f>IF(COUNTA($B1455:$R1455)=0,"",IF($X1455="Cancelado","Cancelado",IF(OR($X1455="Pago",$X1455="Recebido"),$X1455,IF(OR($X1455="Parcial",N($R1455)&gt;0),"Parcial",IF($C1455="","Sem vencimento",IF($C1455&lt;TODAY(),"Vencido",IF($C1455=TODAY(),"Vence hoje",IF($C1455&lt;=TODAY()+7,"Vence em 7 dias",IF($C1455&lt;=TODAY()+30,"Vence em 30 dias","Futuro")))))))))</f>
        <v/>
      </c>
      <c r="Z1455" s="24">
        <f>IF($B1455="","",MONTH($B1455))</f>
        <v/>
      </c>
      <c r="AA1455" s="24">
        <f>IF($B1455="","",YEAR($B1455))</f>
        <v/>
      </c>
      <c r="AB1455" s="24">
        <f>IF($B1455="","",ISOWEEKNUM($B1455))</f>
        <v/>
      </c>
      <c r="AC1455" s="17">
        <f>IF($B1455="","",CHOOSE(WEEKDAY($B1455,2),"Segunda","Terça","Quarta","Quinta","Sexta","Sábado","Domingo"))</f>
        <v/>
      </c>
      <c r="AD1455" s="17">
        <f>IF($B1455="","",TEXT($B1455,"MM/AAAA"))</f>
        <v/>
      </c>
      <c r="AE1455" s="18">
        <f>IF(COUNTA($B1455:$R1455)=0,"",IF($X1455="Cancelado",0,ROUND(N($Q1455)+N($S1455)+N($T1455)-N($U1455),2)))</f>
        <v/>
      </c>
      <c r="AF1455" s="9">
        <f>IF($G1455="","",IFERROR(INDEX(LINHAS_DRE_PLANO,MATCH($G1455,SUBCATEGORIAS_PLANO,0)),"Não classificado"))</f>
        <v/>
      </c>
      <c r="AG1455" s="17">
        <f>IF($G1455="","",IFERROR(INDEX(TIPOS_FLUXO_PLANO,MATCH($G1455,SUBCATEGORIAS_PLANO,0)),"Não classificado"))</f>
        <v/>
      </c>
      <c r="AH1455" s="9">
        <f>IF($G1455="","",IFERROR(INDEX(GRUPOS_PLANO,MATCH($G1455,SUBCATEGORIAS_PLANO,0)),"Não classificado"))</f>
        <v/>
      </c>
      <c r="AI1455" s="24">
        <f>IF(OR($C1455="",$X1455="Pago",$X1455="Recebido",$X1455="Cancelado"),"",$C1455-TODAY())</f>
        <v/>
      </c>
      <c r="AJ1455" s="24">
        <f>IF(OR($C1455="",$X1455="Pago",$X1455="Recebido",$X1455="Cancelado"),0,MAX(0,TODAY()-$C1455))</f>
        <v/>
      </c>
      <c r="AK1455" s="24">
        <f>IF($D1455="","",$D1455-$B1455)</f>
        <v/>
      </c>
      <c r="AL1455" s="18">
        <f>IF(OR($D1455="",$B1455=""),"",ROUND(N($R1455)*($D1455-$B1455),2))</f>
        <v/>
      </c>
      <c r="AM1455" s="17">
        <f>IF(AND($E1455="Saída",$W1455&gt;0,$C1455&lt;&gt;""),$C1455+ROW()/1000000,"")</f>
        <v/>
      </c>
      <c r="AN1455" s="17">
        <f>IF(AND($E1455="Entrada",$W1455&gt;0,$C1455&lt;&gt;""),$C1455+ROW()/1000000,"")</f>
        <v/>
      </c>
      <c r="AO1455" s="9">
        <f>IF(COUNTA($B1455:$R1455)=0,"",IF(AND($I1455&lt;&gt;"",COUNTIF(CLIENTES_NOMES,$I1455)+COUNTIF(CLIENTES_FANTASIA,$I1455)+COUNTIF(FORNECEDORES_NOMES,$I1455)+COUNTIF(FORNECEDORES_FANTASIA,$I1455)=0),"⚠ Cliente/Fornecedor não cadastrado",IF(AND($G1455&lt;&gt;"",COUNTIF(SUBCATEGORIAS_PLANO,$G1455)=0),"⚠ Subcategoria fora do plano de contas",IF(OR($Q1455="",N($Q1455)=0),"⚠ Valor previsto não informado",IF(AND(OR($X1455="Pago",$X1455="Recebido"),$D1455=""),"⚠ Status pago/recebido sem data",IF(AND($D1455&lt;&gt;"",N($R1455)=0),"⚠ Data de pagamento sem valor realizado",IF(AND(N($P1455)&gt;1,N($O1455)&gt;N($P1455)),"⚠ Nº da parcela maior que o total",IF(AND($C1455&lt;&gt;"",$B1455&lt;&gt;"",$C1455&lt;$B1455),"⚠ Vencimento anterior à competência","OK"))))))))</f>
        <v/>
      </c>
    </row>
    <row r="1456">
      <c r="A1456" s="14" t="n"/>
      <c r="B1456" s="36" t="n"/>
      <c r="C1456" s="36" t="n"/>
      <c r="D1456" s="36" t="n"/>
      <c r="E1456" s="14" t="n"/>
      <c r="F1456" s="29" t="n"/>
      <c r="G1456" s="29" t="n"/>
      <c r="H1456" s="29" t="n"/>
      <c r="I1456" s="29" t="n"/>
      <c r="J1456" s="29" t="n"/>
      <c r="K1456" s="14" t="n"/>
      <c r="L1456" s="29" t="n"/>
      <c r="M1456" s="14" t="n"/>
      <c r="N1456" s="29" t="n"/>
      <c r="O1456" s="13" t="n"/>
      <c r="P1456" s="13" t="n"/>
      <c r="Q1456" s="35" t="n"/>
      <c r="R1456" s="35" t="n"/>
      <c r="S1456" s="35" t="n"/>
      <c r="T1456" s="35" t="n"/>
      <c r="U1456" s="35" t="n"/>
      <c r="V1456" s="18">
        <f>IF(COUNTA($B1456:$R1456)=0,"",ROUND(N($R1456)+N($S1456)+N($T1456)-N($U1456),2))</f>
        <v/>
      </c>
      <c r="W1456" s="18">
        <f>IF(COUNTA($B1456:$R1456)=0,"",IF(OR($X1456="Pago",$X1456="Recebido",$X1456="Cancelado"),0,ROUND(N($Q1456)+N($S1456)+N($T1456)-N($U1456)-N($R1456),2)))</f>
        <v/>
      </c>
      <c r="X1456" s="14" t="n"/>
      <c r="Y1456" s="17">
        <f>IF(COUNTA($B1456:$R1456)=0,"",IF($X1456="Cancelado","Cancelado",IF(OR($X1456="Pago",$X1456="Recebido"),$X1456,IF(OR($X1456="Parcial",N($R1456)&gt;0),"Parcial",IF($C1456="","Sem vencimento",IF($C1456&lt;TODAY(),"Vencido",IF($C1456=TODAY(),"Vence hoje",IF($C1456&lt;=TODAY()+7,"Vence em 7 dias",IF($C1456&lt;=TODAY()+30,"Vence em 30 dias","Futuro")))))))))</f>
        <v/>
      </c>
      <c r="Z1456" s="24">
        <f>IF($B1456="","",MONTH($B1456))</f>
        <v/>
      </c>
      <c r="AA1456" s="24">
        <f>IF($B1456="","",YEAR($B1456))</f>
        <v/>
      </c>
      <c r="AB1456" s="24">
        <f>IF($B1456="","",ISOWEEKNUM($B1456))</f>
        <v/>
      </c>
      <c r="AC1456" s="17">
        <f>IF($B1456="","",CHOOSE(WEEKDAY($B1456,2),"Segunda","Terça","Quarta","Quinta","Sexta","Sábado","Domingo"))</f>
        <v/>
      </c>
      <c r="AD1456" s="17">
        <f>IF($B1456="","",TEXT($B1456,"MM/AAAA"))</f>
        <v/>
      </c>
      <c r="AE1456" s="18">
        <f>IF(COUNTA($B1456:$R1456)=0,"",IF($X1456="Cancelado",0,ROUND(N($Q1456)+N($S1456)+N($T1456)-N($U1456),2)))</f>
        <v/>
      </c>
      <c r="AF1456" s="9">
        <f>IF($G1456="","",IFERROR(INDEX(LINHAS_DRE_PLANO,MATCH($G1456,SUBCATEGORIAS_PLANO,0)),"Não classificado"))</f>
        <v/>
      </c>
      <c r="AG1456" s="17">
        <f>IF($G1456="","",IFERROR(INDEX(TIPOS_FLUXO_PLANO,MATCH($G1456,SUBCATEGORIAS_PLANO,0)),"Não classificado"))</f>
        <v/>
      </c>
      <c r="AH1456" s="9">
        <f>IF($G1456="","",IFERROR(INDEX(GRUPOS_PLANO,MATCH($G1456,SUBCATEGORIAS_PLANO,0)),"Não classificado"))</f>
        <v/>
      </c>
      <c r="AI1456" s="24">
        <f>IF(OR($C1456="",$X1456="Pago",$X1456="Recebido",$X1456="Cancelado"),"",$C1456-TODAY())</f>
        <v/>
      </c>
      <c r="AJ1456" s="24">
        <f>IF(OR($C1456="",$X1456="Pago",$X1456="Recebido",$X1456="Cancelado"),0,MAX(0,TODAY()-$C1456))</f>
        <v/>
      </c>
      <c r="AK1456" s="24">
        <f>IF($D1456="","",$D1456-$B1456)</f>
        <v/>
      </c>
      <c r="AL1456" s="18">
        <f>IF(OR($D1456="",$B1456=""),"",ROUND(N($R1456)*($D1456-$B1456),2))</f>
        <v/>
      </c>
      <c r="AM1456" s="17">
        <f>IF(AND($E1456="Saída",$W1456&gt;0,$C1456&lt;&gt;""),$C1456+ROW()/1000000,"")</f>
        <v/>
      </c>
      <c r="AN1456" s="17">
        <f>IF(AND($E1456="Entrada",$W1456&gt;0,$C1456&lt;&gt;""),$C1456+ROW()/1000000,"")</f>
        <v/>
      </c>
      <c r="AO1456" s="9">
        <f>IF(COUNTA($B1456:$R1456)=0,"",IF(AND($I1456&lt;&gt;"",COUNTIF(CLIENTES_NOMES,$I1456)+COUNTIF(CLIENTES_FANTASIA,$I1456)+COUNTIF(FORNECEDORES_NOMES,$I1456)+COUNTIF(FORNECEDORES_FANTASIA,$I1456)=0),"⚠ Cliente/Fornecedor não cadastrado",IF(AND($G1456&lt;&gt;"",COUNTIF(SUBCATEGORIAS_PLANO,$G1456)=0),"⚠ Subcategoria fora do plano de contas",IF(OR($Q1456="",N($Q1456)=0),"⚠ Valor previsto não informado",IF(AND(OR($X1456="Pago",$X1456="Recebido"),$D1456=""),"⚠ Status pago/recebido sem data",IF(AND($D1456&lt;&gt;"",N($R1456)=0),"⚠ Data de pagamento sem valor realizado",IF(AND(N($P1456)&gt;1,N($O1456)&gt;N($P1456)),"⚠ Nº da parcela maior que o total",IF(AND($C1456&lt;&gt;"",$B1456&lt;&gt;"",$C1456&lt;$B1456),"⚠ Vencimento anterior à competência","OK"))))))))</f>
        <v/>
      </c>
    </row>
    <row r="1457">
      <c r="A1457" s="14" t="n"/>
      <c r="B1457" s="36" t="n"/>
      <c r="C1457" s="36" t="n"/>
      <c r="D1457" s="36" t="n"/>
      <c r="E1457" s="14" t="n"/>
      <c r="F1457" s="29" t="n"/>
      <c r="G1457" s="29" t="n"/>
      <c r="H1457" s="29" t="n"/>
      <c r="I1457" s="29" t="n"/>
      <c r="J1457" s="29" t="n"/>
      <c r="K1457" s="14" t="n"/>
      <c r="L1457" s="29" t="n"/>
      <c r="M1457" s="14" t="n"/>
      <c r="N1457" s="29" t="n"/>
      <c r="O1457" s="13" t="n"/>
      <c r="P1457" s="13" t="n"/>
      <c r="Q1457" s="35" t="n"/>
      <c r="R1457" s="35" t="n"/>
      <c r="S1457" s="35" t="n"/>
      <c r="T1457" s="35" t="n"/>
      <c r="U1457" s="35" t="n"/>
      <c r="V1457" s="18">
        <f>IF(COUNTA($B1457:$R1457)=0,"",ROUND(N($R1457)+N($S1457)+N($T1457)-N($U1457),2))</f>
        <v/>
      </c>
      <c r="W1457" s="18">
        <f>IF(COUNTA($B1457:$R1457)=0,"",IF(OR($X1457="Pago",$X1457="Recebido",$X1457="Cancelado"),0,ROUND(N($Q1457)+N($S1457)+N($T1457)-N($U1457)-N($R1457),2)))</f>
        <v/>
      </c>
      <c r="X1457" s="14" t="n"/>
      <c r="Y1457" s="17">
        <f>IF(COUNTA($B1457:$R1457)=0,"",IF($X1457="Cancelado","Cancelado",IF(OR($X1457="Pago",$X1457="Recebido"),$X1457,IF(OR($X1457="Parcial",N($R1457)&gt;0),"Parcial",IF($C1457="","Sem vencimento",IF($C1457&lt;TODAY(),"Vencido",IF($C1457=TODAY(),"Vence hoje",IF($C1457&lt;=TODAY()+7,"Vence em 7 dias",IF($C1457&lt;=TODAY()+30,"Vence em 30 dias","Futuro")))))))))</f>
        <v/>
      </c>
      <c r="Z1457" s="24">
        <f>IF($B1457="","",MONTH($B1457))</f>
        <v/>
      </c>
      <c r="AA1457" s="24">
        <f>IF($B1457="","",YEAR($B1457))</f>
        <v/>
      </c>
      <c r="AB1457" s="24">
        <f>IF($B1457="","",ISOWEEKNUM($B1457))</f>
        <v/>
      </c>
      <c r="AC1457" s="17">
        <f>IF($B1457="","",CHOOSE(WEEKDAY($B1457,2),"Segunda","Terça","Quarta","Quinta","Sexta","Sábado","Domingo"))</f>
        <v/>
      </c>
      <c r="AD1457" s="17">
        <f>IF($B1457="","",TEXT($B1457,"MM/AAAA"))</f>
        <v/>
      </c>
      <c r="AE1457" s="18">
        <f>IF(COUNTA($B1457:$R1457)=0,"",IF($X1457="Cancelado",0,ROUND(N($Q1457)+N($S1457)+N($T1457)-N($U1457),2)))</f>
        <v/>
      </c>
      <c r="AF1457" s="9">
        <f>IF($G1457="","",IFERROR(INDEX(LINHAS_DRE_PLANO,MATCH($G1457,SUBCATEGORIAS_PLANO,0)),"Não classificado"))</f>
        <v/>
      </c>
      <c r="AG1457" s="17">
        <f>IF($G1457="","",IFERROR(INDEX(TIPOS_FLUXO_PLANO,MATCH($G1457,SUBCATEGORIAS_PLANO,0)),"Não classificado"))</f>
        <v/>
      </c>
      <c r="AH1457" s="9">
        <f>IF($G1457="","",IFERROR(INDEX(GRUPOS_PLANO,MATCH($G1457,SUBCATEGORIAS_PLANO,0)),"Não classificado"))</f>
        <v/>
      </c>
      <c r="AI1457" s="24">
        <f>IF(OR($C1457="",$X1457="Pago",$X1457="Recebido",$X1457="Cancelado"),"",$C1457-TODAY())</f>
        <v/>
      </c>
      <c r="AJ1457" s="24">
        <f>IF(OR($C1457="",$X1457="Pago",$X1457="Recebido",$X1457="Cancelado"),0,MAX(0,TODAY()-$C1457))</f>
        <v/>
      </c>
      <c r="AK1457" s="24">
        <f>IF($D1457="","",$D1457-$B1457)</f>
        <v/>
      </c>
      <c r="AL1457" s="18">
        <f>IF(OR($D1457="",$B1457=""),"",ROUND(N($R1457)*($D1457-$B1457),2))</f>
        <v/>
      </c>
      <c r="AM1457" s="17">
        <f>IF(AND($E1457="Saída",$W1457&gt;0,$C1457&lt;&gt;""),$C1457+ROW()/1000000,"")</f>
        <v/>
      </c>
      <c r="AN1457" s="17">
        <f>IF(AND($E1457="Entrada",$W1457&gt;0,$C1457&lt;&gt;""),$C1457+ROW()/1000000,"")</f>
        <v/>
      </c>
      <c r="AO1457" s="9">
        <f>IF(COUNTA($B1457:$R1457)=0,"",IF(AND($I1457&lt;&gt;"",COUNTIF(CLIENTES_NOMES,$I1457)+COUNTIF(CLIENTES_FANTASIA,$I1457)+COUNTIF(FORNECEDORES_NOMES,$I1457)+COUNTIF(FORNECEDORES_FANTASIA,$I1457)=0),"⚠ Cliente/Fornecedor não cadastrado",IF(AND($G1457&lt;&gt;"",COUNTIF(SUBCATEGORIAS_PLANO,$G1457)=0),"⚠ Subcategoria fora do plano de contas",IF(OR($Q1457="",N($Q1457)=0),"⚠ Valor previsto não informado",IF(AND(OR($X1457="Pago",$X1457="Recebido"),$D1457=""),"⚠ Status pago/recebido sem data",IF(AND($D1457&lt;&gt;"",N($R1457)=0),"⚠ Data de pagamento sem valor realizado",IF(AND(N($P1457)&gt;1,N($O1457)&gt;N($P1457)),"⚠ Nº da parcela maior que o total",IF(AND($C1457&lt;&gt;"",$B1457&lt;&gt;"",$C1457&lt;$B1457),"⚠ Vencimento anterior à competência","OK"))))))))</f>
        <v/>
      </c>
    </row>
    <row r="1458">
      <c r="A1458" s="14" t="n"/>
      <c r="B1458" s="36" t="n"/>
      <c r="C1458" s="36" t="n"/>
      <c r="D1458" s="36" t="n"/>
      <c r="E1458" s="14" t="n"/>
      <c r="F1458" s="29" t="n"/>
      <c r="G1458" s="29" t="n"/>
      <c r="H1458" s="29" t="n"/>
      <c r="I1458" s="29" t="n"/>
      <c r="J1458" s="29" t="n"/>
      <c r="K1458" s="14" t="n"/>
      <c r="L1458" s="29" t="n"/>
      <c r="M1458" s="14" t="n"/>
      <c r="N1458" s="29" t="n"/>
      <c r="O1458" s="13" t="n"/>
      <c r="P1458" s="13" t="n"/>
      <c r="Q1458" s="35" t="n"/>
      <c r="R1458" s="35" t="n"/>
      <c r="S1458" s="35" t="n"/>
      <c r="T1458" s="35" t="n"/>
      <c r="U1458" s="35" t="n"/>
      <c r="V1458" s="18">
        <f>IF(COUNTA($B1458:$R1458)=0,"",ROUND(N($R1458)+N($S1458)+N($T1458)-N($U1458),2))</f>
        <v/>
      </c>
      <c r="W1458" s="18">
        <f>IF(COUNTA($B1458:$R1458)=0,"",IF(OR($X1458="Pago",$X1458="Recebido",$X1458="Cancelado"),0,ROUND(N($Q1458)+N($S1458)+N($T1458)-N($U1458)-N($R1458),2)))</f>
        <v/>
      </c>
      <c r="X1458" s="14" t="n"/>
      <c r="Y1458" s="17">
        <f>IF(COUNTA($B1458:$R1458)=0,"",IF($X1458="Cancelado","Cancelado",IF(OR($X1458="Pago",$X1458="Recebido"),$X1458,IF(OR($X1458="Parcial",N($R1458)&gt;0),"Parcial",IF($C1458="","Sem vencimento",IF($C1458&lt;TODAY(),"Vencido",IF($C1458=TODAY(),"Vence hoje",IF($C1458&lt;=TODAY()+7,"Vence em 7 dias",IF($C1458&lt;=TODAY()+30,"Vence em 30 dias","Futuro")))))))))</f>
        <v/>
      </c>
      <c r="Z1458" s="24">
        <f>IF($B1458="","",MONTH($B1458))</f>
        <v/>
      </c>
      <c r="AA1458" s="24">
        <f>IF($B1458="","",YEAR($B1458))</f>
        <v/>
      </c>
      <c r="AB1458" s="24">
        <f>IF($B1458="","",ISOWEEKNUM($B1458))</f>
        <v/>
      </c>
      <c r="AC1458" s="17">
        <f>IF($B1458="","",CHOOSE(WEEKDAY($B1458,2),"Segunda","Terça","Quarta","Quinta","Sexta","Sábado","Domingo"))</f>
        <v/>
      </c>
      <c r="AD1458" s="17">
        <f>IF($B1458="","",TEXT($B1458,"MM/AAAA"))</f>
        <v/>
      </c>
      <c r="AE1458" s="18">
        <f>IF(COUNTA($B1458:$R1458)=0,"",IF($X1458="Cancelado",0,ROUND(N($Q1458)+N($S1458)+N($T1458)-N($U1458),2)))</f>
        <v/>
      </c>
      <c r="AF1458" s="9">
        <f>IF($G1458="","",IFERROR(INDEX(LINHAS_DRE_PLANO,MATCH($G1458,SUBCATEGORIAS_PLANO,0)),"Não classificado"))</f>
        <v/>
      </c>
      <c r="AG1458" s="17">
        <f>IF($G1458="","",IFERROR(INDEX(TIPOS_FLUXO_PLANO,MATCH($G1458,SUBCATEGORIAS_PLANO,0)),"Não classificado"))</f>
        <v/>
      </c>
      <c r="AH1458" s="9">
        <f>IF($G1458="","",IFERROR(INDEX(GRUPOS_PLANO,MATCH($G1458,SUBCATEGORIAS_PLANO,0)),"Não classificado"))</f>
        <v/>
      </c>
      <c r="AI1458" s="24">
        <f>IF(OR($C1458="",$X1458="Pago",$X1458="Recebido",$X1458="Cancelado"),"",$C1458-TODAY())</f>
        <v/>
      </c>
      <c r="AJ1458" s="24">
        <f>IF(OR($C1458="",$X1458="Pago",$X1458="Recebido",$X1458="Cancelado"),0,MAX(0,TODAY()-$C1458))</f>
        <v/>
      </c>
      <c r="AK1458" s="24">
        <f>IF($D1458="","",$D1458-$B1458)</f>
        <v/>
      </c>
      <c r="AL1458" s="18">
        <f>IF(OR($D1458="",$B1458=""),"",ROUND(N($R1458)*($D1458-$B1458),2))</f>
        <v/>
      </c>
      <c r="AM1458" s="17">
        <f>IF(AND($E1458="Saída",$W1458&gt;0,$C1458&lt;&gt;""),$C1458+ROW()/1000000,"")</f>
        <v/>
      </c>
      <c r="AN1458" s="17">
        <f>IF(AND($E1458="Entrada",$W1458&gt;0,$C1458&lt;&gt;""),$C1458+ROW()/1000000,"")</f>
        <v/>
      </c>
      <c r="AO1458" s="9">
        <f>IF(COUNTA($B1458:$R1458)=0,"",IF(AND($I1458&lt;&gt;"",COUNTIF(CLIENTES_NOMES,$I1458)+COUNTIF(CLIENTES_FANTASIA,$I1458)+COUNTIF(FORNECEDORES_NOMES,$I1458)+COUNTIF(FORNECEDORES_FANTASIA,$I1458)=0),"⚠ Cliente/Fornecedor não cadastrado",IF(AND($G1458&lt;&gt;"",COUNTIF(SUBCATEGORIAS_PLANO,$G1458)=0),"⚠ Subcategoria fora do plano de contas",IF(OR($Q1458="",N($Q1458)=0),"⚠ Valor previsto não informado",IF(AND(OR($X1458="Pago",$X1458="Recebido"),$D1458=""),"⚠ Status pago/recebido sem data",IF(AND($D1458&lt;&gt;"",N($R1458)=0),"⚠ Data de pagamento sem valor realizado",IF(AND(N($P1458)&gt;1,N($O1458)&gt;N($P1458)),"⚠ Nº da parcela maior que o total",IF(AND($C1458&lt;&gt;"",$B1458&lt;&gt;"",$C1458&lt;$B1458),"⚠ Vencimento anterior à competência","OK"))))))))</f>
        <v/>
      </c>
    </row>
    <row r="1459">
      <c r="A1459" s="14" t="n"/>
      <c r="B1459" s="36" t="n"/>
      <c r="C1459" s="36" t="n"/>
      <c r="D1459" s="36" t="n"/>
      <c r="E1459" s="14" t="n"/>
      <c r="F1459" s="29" t="n"/>
      <c r="G1459" s="29" t="n"/>
      <c r="H1459" s="29" t="n"/>
      <c r="I1459" s="29" t="n"/>
      <c r="J1459" s="29" t="n"/>
      <c r="K1459" s="14" t="n"/>
      <c r="L1459" s="29" t="n"/>
      <c r="M1459" s="14" t="n"/>
      <c r="N1459" s="29" t="n"/>
      <c r="O1459" s="13" t="n"/>
      <c r="P1459" s="13" t="n"/>
      <c r="Q1459" s="35" t="n"/>
      <c r="R1459" s="35" t="n"/>
      <c r="S1459" s="35" t="n"/>
      <c r="T1459" s="35" t="n"/>
      <c r="U1459" s="35" t="n"/>
      <c r="V1459" s="18">
        <f>IF(COUNTA($B1459:$R1459)=0,"",ROUND(N($R1459)+N($S1459)+N($T1459)-N($U1459),2))</f>
        <v/>
      </c>
      <c r="W1459" s="18">
        <f>IF(COUNTA($B1459:$R1459)=0,"",IF(OR($X1459="Pago",$X1459="Recebido",$X1459="Cancelado"),0,ROUND(N($Q1459)+N($S1459)+N($T1459)-N($U1459)-N($R1459),2)))</f>
        <v/>
      </c>
      <c r="X1459" s="14" t="n"/>
      <c r="Y1459" s="17">
        <f>IF(COUNTA($B1459:$R1459)=0,"",IF($X1459="Cancelado","Cancelado",IF(OR($X1459="Pago",$X1459="Recebido"),$X1459,IF(OR($X1459="Parcial",N($R1459)&gt;0),"Parcial",IF($C1459="","Sem vencimento",IF($C1459&lt;TODAY(),"Vencido",IF($C1459=TODAY(),"Vence hoje",IF($C1459&lt;=TODAY()+7,"Vence em 7 dias",IF($C1459&lt;=TODAY()+30,"Vence em 30 dias","Futuro")))))))))</f>
        <v/>
      </c>
      <c r="Z1459" s="24">
        <f>IF($B1459="","",MONTH($B1459))</f>
        <v/>
      </c>
      <c r="AA1459" s="24">
        <f>IF($B1459="","",YEAR($B1459))</f>
        <v/>
      </c>
      <c r="AB1459" s="24">
        <f>IF($B1459="","",ISOWEEKNUM($B1459))</f>
        <v/>
      </c>
      <c r="AC1459" s="17">
        <f>IF($B1459="","",CHOOSE(WEEKDAY($B1459,2),"Segunda","Terça","Quarta","Quinta","Sexta","Sábado","Domingo"))</f>
        <v/>
      </c>
      <c r="AD1459" s="17">
        <f>IF($B1459="","",TEXT($B1459,"MM/AAAA"))</f>
        <v/>
      </c>
      <c r="AE1459" s="18">
        <f>IF(COUNTA($B1459:$R1459)=0,"",IF($X1459="Cancelado",0,ROUND(N($Q1459)+N($S1459)+N($T1459)-N($U1459),2)))</f>
        <v/>
      </c>
      <c r="AF1459" s="9">
        <f>IF($G1459="","",IFERROR(INDEX(LINHAS_DRE_PLANO,MATCH($G1459,SUBCATEGORIAS_PLANO,0)),"Não classificado"))</f>
        <v/>
      </c>
      <c r="AG1459" s="17">
        <f>IF($G1459="","",IFERROR(INDEX(TIPOS_FLUXO_PLANO,MATCH($G1459,SUBCATEGORIAS_PLANO,0)),"Não classificado"))</f>
        <v/>
      </c>
      <c r="AH1459" s="9">
        <f>IF($G1459="","",IFERROR(INDEX(GRUPOS_PLANO,MATCH($G1459,SUBCATEGORIAS_PLANO,0)),"Não classificado"))</f>
        <v/>
      </c>
      <c r="AI1459" s="24">
        <f>IF(OR($C1459="",$X1459="Pago",$X1459="Recebido",$X1459="Cancelado"),"",$C1459-TODAY())</f>
        <v/>
      </c>
      <c r="AJ1459" s="24">
        <f>IF(OR($C1459="",$X1459="Pago",$X1459="Recebido",$X1459="Cancelado"),0,MAX(0,TODAY()-$C1459))</f>
        <v/>
      </c>
      <c r="AK1459" s="24">
        <f>IF($D1459="","",$D1459-$B1459)</f>
        <v/>
      </c>
      <c r="AL1459" s="18">
        <f>IF(OR($D1459="",$B1459=""),"",ROUND(N($R1459)*($D1459-$B1459),2))</f>
        <v/>
      </c>
      <c r="AM1459" s="17">
        <f>IF(AND($E1459="Saída",$W1459&gt;0,$C1459&lt;&gt;""),$C1459+ROW()/1000000,"")</f>
        <v/>
      </c>
      <c r="AN1459" s="17">
        <f>IF(AND($E1459="Entrada",$W1459&gt;0,$C1459&lt;&gt;""),$C1459+ROW()/1000000,"")</f>
        <v/>
      </c>
      <c r="AO1459" s="9">
        <f>IF(COUNTA($B1459:$R1459)=0,"",IF(AND($I1459&lt;&gt;"",COUNTIF(CLIENTES_NOMES,$I1459)+COUNTIF(CLIENTES_FANTASIA,$I1459)+COUNTIF(FORNECEDORES_NOMES,$I1459)+COUNTIF(FORNECEDORES_FANTASIA,$I1459)=0),"⚠ Cliente/Fornecedor não cadastrado",IF(AND($G1459&lt;&gt;"",COUNTIF(SUBCATEGORIAS_PLANO,$G1459)=0),"⚠ Subcategoria fora do plano de contas",IF(OR($Q1459="",N($Q1459)=0),"⚠ Valor previsto não informado",IF(AND(OR($X1459="Pago",$X1459="Recebido"),$D1459=""),"⚠ Status pago/recebido sem data",IF(AND($D1459&lt;&gt;"",N($R1459)=0),"⚠ Data de pagamento sem valor realizado",IF(AND(N($P1459)&gt;1,N($O1459)&gt;N($P1459)),"⚠ Nº da parcela maior que o total",IF(AND($C1459&lt;&gt;"",$B1459&lt;&gt;"",$C1459&lt;$B1459),"⚠ Vencimento anterior à competência","OK"))))))))</f>
        <v/>
      </c>
    </row>
    <row r="1460">
      <c r="A1460" s="14" t="n"/>
      <c r="B1460" s="36" t="n"/>
      <c r="C1460" s="36" t="n"/>
      <c r="D1460" s="36" t="n"/>
      <c r="E1460" s="14" t="n"/>
      <c r="F1460" s="29" t="n"/>
      <c r="G1460" s="29" t="n"/>
      <c r="H1460" s="29" t="n"/>
      <c r="I1460" s="29" t="n"/>
      <c r="J1460" s="29" t="n"/>
      <c r="K1460" s="14" t="n"/>
      <c r="L1460" s="29" t="n"/>
      <c r="M1460" s="14" t="n"/>
      <c r="N1460" s="29" t="n"/>
      <c r="O1460" s="13" t="n"/>
      <c r="P1460" s="13" t="n"/>
      <c r="Q1460" s="35" t="n"/>
      <c r="R1460" s="35" t="n"/>
      <c r="S1460" s="35" t="n"/>
      <c r="T1460" s="35" t="n"/>
      <c r="U1460" s="35" t="n"/>
      <c r="V1460" s="18">
        <f>IF(COUNTA($B1460:$R1460)=0,"",ROUND(N($R1460)+N($S1460)+N($T1460)-N($U1460),2))</f>
        <v/>
      </c>
      <c r="W1460" s="18">
        <f>IF(COUNTA($B1460:$R1460)=0,"",IF(OR($X1460="Pago",$X1460="Recebido",$X1460="Cancelado"),0,ROUND(N($Q1460)+N($S1460)+N($T1460)-N($U1460)-N($R1460),2)))</f>
        <v/>
      </c>
      <c r="X1460" s="14" t="n"/>
      <c r="Y1460" s="17">
        <f>IF(COUNTA($B1460:$R1460)=0,"",IF($X1460="Cancelado","Cancelado",IF(OR($X1460="Pago",$X1460="Recebido"),$X1460,IF(OR($X1460="Parcial",N($R1460)&gt;0),"Parcial",IF($C1460="","Sem vencimento",IF($C1460&lt;TODAY(),"Vencido",IF($C1460=TODAY(),"Vence hoje",IF($C1460&lt;=TODAY()+7,"Vence em 7 dias",IF($C1460&lt;=TODAY()+30,"Vence em 30 dias","Futuro")))))))))</f>
        <v/>
      </c>
      <c r="Z1460" s="24">
        <f>IF($B1460="","",MONTH($B1460))</f>
        <v/>
      </c>
      <c r="AA1460" s="24">
        <f>IF($B1460="","",YEAR($B1460))</f>
        <v/>
      </c>
      <c r="AB1460" s="24">
        <f>IF($B1460="","",ISOWEEKNUM($B1460))</f>
        <v/>
      </c>
      <c r="AC1460" s="17">
        <f>IF($B1460="","",CHOOSE(WEEKDAY($B1460,2),"Segunda","Terça","Quarta","Quinta","Sexta","Sábado","Domingo"))</f>
        <v/>
      </c>
      <c r="AD1460" s="17">
        <f>IF($B1460="","",TEXT($B1460,"MM/AAAA"))</f>
        <v/>
      </c>
      <c r="AE1460" s="18">
        <f>IF(COUNTA($B1460:$R1460)=0,"",IF($X1460="Cancelado",0,ROUND(N($Q1460)+N($S1460)+N($T1460)-N($U1460),2)))</f>
        <v/>
      </c>
      <c r="AF1460" s="9">
        <f>IF($G1460="","",IFERROR(INDEX(LINHAS_DRE_PLANO,MATCH($G1460,SUBCATEGORIAS_PLANO,0)),"Não classificado"))</f>
        <v/>
      </c>
      <c r="AG1460" s="17">
        <f>IF($G1460="","",IFERROR(INDEX(TIPOS_FLUXO_PLANO,MATCH($G1460,SUBCATEGORIAS_PLANO,0)),"Não classificado"))</f>
        <v/>
      </c>
      <c r="AH1460" s="9">
        <f>IF($G1460="","",IFERROR(INDEX(GRUPOS_PLANO,MATCH($G1460,SUBCATEGORIAS_PLANO,0)),"Não classificado"))</f>
        <v/>
      </c>
      <c r="AI1460" s="24">
        <f>IF(OR($C1460="",$X1460="Pago",$X1460="Recebido",$X1460="Cancelado"),"",$C1460-TODAY())</f>
        <v/>
      </c>
      <c r="AJ1460" s="24">
        <f>IF(OR($C1460="",$X1460="Pago",$X1460="Recebido",$X1460="Cancelado"),0,MAX(0,TODAY()-$C1460))</f>
        <v/>
      </c>
      <c r="AK1460" s="24">
        <f>IF($D1460="","",$D1460-$B1460)</f>
        <v/>
      </c>
      <c r="AL1460" s="18">
        <f>IF(OR($D1460="",$B1460=""),"",ROUND(N($R1460)*($D1460-$B1460),2))</f>
        <v/>
      </c>
      <c r="AM1460" s="17">
        <f>IF(AND($E1460="Saída",$W1460&gt;0,$C1460&lt;&gt;""),$C1460+ROW()/1000000,"")</f>
        <v/>
      </c>
      <c r="AN1460" s="17">
        <f>IF(AND($E1460="Entrada",$W1460&gt;0,$C1460&lt;&gt;""),$C1460+ROW()/1000000,"")</f>
        <v/>
      </c>
      <c r="AO1460" s="9">
        <f>IF(COUNTA($B1460:$R1460)=0,"",IF(AND($I1460&lt;&gt;"",COUNTIF(CLIENTES_NOMES,$I1460)+COUNTIF(CLIENTES_FANTASIA,$I1460)+COUNTIF(FORNECEDORES_NOMES,$I1460)+COUNTIF(FORNECEDORES_FANTASIA,$I1460)=0),"⚠ Cliente/Fornecedor não cadastrado",IF(AND($G1460&lt;&gt;"",COUNTIF(SUBCATEGORIAS_PLANO,$G1460)=0),"⚠ Subcategoria fora do plano de contas",IF(OR($Q1460="",N($Q1460)=0),"⚠ Valor previsto não informado",IF(AND(OR($X1460="Pago",$X1460="Recebido"),$D1460=""),"⚠ Status pago/recebido sem data",IF(AND($D1460&lt;&gt;"",N($R1460)=0),"⚠ Data de pagamento sem valor realizado",IF(AND(N($P1460)&gt;1,N($O1460)&gt;N($P1460)),"⚠ Nº da parcela maior que o total",IF(AND($C1460&lt;&gt;"",$B1460&lt;&gt;"",$C1460&lt;$B1460),"⚠ Vencimento anterior à competência","OK"))))))))</f>
        <v/>
      </c>
    </row>
    <row r="1461">
      <c r="A1461" s="14" t="n"/>
      <c r="B1461" s="36" t="n"/>
      <c r="C1461" s="36" t="n"/>
      <c r="D1461" s="36" t="n"/>
      <c r="E1461" s="14" t="n"/>
      <c r="F1461" s="29" t="n"/>
      <c r="G1461" s="29" t="n"/>
      <c r="H1461" s="29" t="n"/>
      <c r="I1461" s="29" t="n"/>
      <c r="J1461" s="29" t="n"/>
      <c r="K1461" s="14" t="n"/>
      <c r="L1461" s="29" t="n"/>
      <c r="M1461" s="14" t="n"/>
      <c r="N1461" s="29" t="n"/>
      <c r="O1461" s="13" t="n"/>
      <c r="P1461" s="13" t="n"/>
      <c r="Q1461" s="35" t="n"/>
      <c r="R1461" s="35" t="n"/>
      <c r="S1461" s="35" t="n"/>
      <c r="T1461" s="35" t="n"/>
      <c r="U1461" s="35" t="n"/>
      <c r="V1461" s="18">
        <f>IF(COUNTA($B1461:$R1461)=0,"",ROUND(N($R1461)+N($S1461)+N($T1461)-N($U1461),2))</f>
        <v/>
      </c>
      <c r="W1461" s="18">
        <f>IF(COUNTA($B1461:$R1461)=0,"",IF(OR($X1461="Pago",$X1461="Recebido",$X1461="Cancelado"),0,ROUND(N($Q1461)+N($S1461)+N($T1461)-N($U1461)-N($R1461),2)))</f>
        <v/>
      </c>
      <c r="X1461" s="14" t="n"/>
      <c r="Y1461" s="17">
        <f>IF(COUNTA($B1461:$R1461)=0,"",IF($X1461="Cancelado","Cancelado",IF(OR($X1461="Pago",$X1461="Recebido"),$X1461,IF(OR($X1461="Parcial",N($R1461)&gt;0),"Parcial",IF($C1461="","Sem vencimento",IF($C1461&lt;TODAY(),"Vencido",IF($C1461=TODAY(),"Vence hoje",IF($C1461&lt;=TODAY()+7,"Vence em 7 dias",IF($C1461&lt;=TODAY()+30,"Vence em 30 dias","Futuro")))))))))</f>
        <v/>
      </c>
      <c r="Z1461" s="24">
        <f>IF($B1461="","",MONTH($B1461))</f>
        <v/>
      </c>
      <c r="AA1461" s="24">
        <f>IF($B1461="","",YEAR($B1461))</f>
        <v/>
      </c>
      <c r="AB1461" s="24">
        <f>IF($B1461="","",ISOWEEKNUM($B1461))</f>
        <v/>
      </c>
      <c r="AC1461" s="17">
        <f>IF($B1461="","",CHOOSE(WEEKDAY($B1461,2),"Segunda","Terça","Quarta","Quinta","Sexta","Sábado","Domingo"))</f>
        <v/>
      </c>
      <c r="AD1461" s="17">
        <f>IF($B1461="","",TEXT($B1461,"MM/AAAA"))</f>
        <v/>
      </c>
      <c r="AE1461" s="18">
        <f>IF(COUNTA($B1461:$R1461)=0,"",IF($X1461="Cancelado",0,ROUND(N($Q1461)+N($S1461)+N($T1461)-N($U1461),2)))</f>
        <v/>
      </c>
      <c r="AF1461" s="9">
        <f>IF($G1461="","",IFERROR(INDEX(LINHAS_DRE_PLANO,MATCH($G1461,SUBCATEGORIAS_PLANO,0)),"Não classificado"))</f>
        <v/>
      </c>
      <c r="AG1461" s="17">
        <f>IF($G1461="","",IFERROR(INDEX(TIPOS_FLUXO_PLANO,MATCH($G1461,SUBCATEGORIAS_PLANO,0)),"Não classificado"))</f>
        <v/>
      </c>
      <c r="AH1461" s="9">
        <f>IF($G1461="","",IFERROR(INDEX(GRUPOS_PLANO,MATCH($G1461,SUBCATEGORIAS_PLANO,0)),"Não classificado"))</f>
        <v/>
      </c>
      <c r="AI1461" s="24">
        <f>IF(OR($C1461="",$X1461="Pago",$X1461="Recebido",$X1461="Cancelado"),"",$C1461-TODAY())</f>
        <v/>
      </c>
      <c r="AJ1461" s="24">
        <f>IF(OR($C1461="",$X1461="Pago",$X1461="Recebido",$X1461="Cancelado"),0,MAX(0,TODAY()-$C1461))</f>
        <v/>
      </c>
      <c r="AK1461" s="24">
        <f>IF($D1461="","",$D1461-$B1461)</f>
        <v/>
      </c>
      <c r="AL1461" s="18">
        <f>IF(OR($D1461="",$B1461=""),"",ROUND(N($R1461)*($D1461-$B1461),2))</f>
        <v/>
      </c>
      <c r="AM1461" s="17">
        <f>IF(AND($E1461="Saída",$W1461&gt;0,$C1461&lt;&gt;""),$C1461+ROW()/1000000,"")</f>
        <v/>
      </c>
      <c r="AN1461" s="17">
        <f>IF(AND($E1461="Entrada",$W1461&gt;0,$C1461&lt;&gt;""),$C1461+ROW()/1000000,"")</f>
        <v/>
      </c>
      <c r="AO1461" s="9">
        <f>IF(COUNTA($B1461:$R1461)=0,"",IF(AND($I1461&lt;&gt;"",COUNTIF(CLIENTES_NOMES,$I1461)+COUNTIF(CLIENTES_FANTASIA,$I1461)+COUNTIF(FORNECEDORES_NOMES,$I1461)+COUNTIF(FORNECEDORES_FANTASIA,$I1461)=0),"⚠ Cliente/Fornecedor não cadastrado",IF(AND($G1461&lt;&gt;"",COUNTIF(SUBCATEGORIAS_PLANO,$G1461)=0),"⚠ Subcategoria fora do plano de contas",IF(OR($Q1461="",N($Q1461)=0),"⚠ Valor previsto não informado",IF(AND(OR($X1461="Pago",$X1461="Recebido"),$D1461=""),"⚠ Status pago/recebido sem data",IF(AND($D1461&lt;&gt;"",N($R1461)=0),"⚠ Data de pagamento sem valor realizado",IF(AND(N($P1461)&gt;1,N($O1461)&gt;N($P1461)),"⚠ Nº da parcela maior que o total",IF(AND($C1461&lt;&gt;"",$B1461&lt;&gt;"",$C1461&lt;$B1461),"⚠ Vencimento anterior à competência","OK"))))))))</f>
        <v/>
      </c>
    </row>
    <row r="1462">
      <c r="A1462" s="14" t="n"/>
      <c r="B1462" s="36" t="n"/>
      <c r="C1462" s="36" t="n"/>
      <c r="D1462" s="36" t="n"/>
      <c r="E1462" s="14" t="n"/>
      <c r="F1462" s="29" t="n"/>
      <c r="G1462" s="29" t="n"/>
      <c r="H1462" s="29" t="n"/>
      <c r="I1462" s="29" t="n"/>
      <c r="J1462" s="29" t="n"/>
      <c r="K1462" s="14" t="n"/>
      <c r="L1462" s="29" t="n"/>
      <c r="M1462" s="14" t="n"/>
      <c r="N1462" s="29" t="n"/>
      <c r="O1462" s="13" t="n"/>
      <c r="P1462" s="13" t="n"/>
      <c r="Q1462" s="35" t="n"/>
      <c r="R1462" s="35" t="n"/>
      <c r="S1462" s="35" t="n"/>
      <c r="T1462" s="35" t="n"/>
      <c r="U1462" s="35" t="n"/>
      <c r="V1462" s="18">
        <f>IF(COUNTA($B1462:$R1462)=0,"",ROUND(N($R1462)+N($S1462)+N($T1462)-N($U1462),2))</f>
        <v/>
      </c>
      <c r="W1462" s="18">
        <f>IF(COUNTA($B1462:$R1462)=0,"",IF(OR($X1462="Pago",$X1462="Recebido",$X1462="Cancelado"),0,ROUND(N($Q1462)+N($S1462)+N($T1462)-N($U1462)-N($R1462),2)))</f>
        <v/>
      </c>
      <c r="X1462" s="14" t="n"/>
      <c r="Y1462" s="17">
        <f>IF(COUNTA($B1462:$R1462)=0,"",IF($X1462="Cancelado","Cancelado",IF(OR($X1462="Pago",$X1462="Recebido"),$X1462,IF(OR($X1462="Parcial",N($R1462)&gt;0),"Parcial",IF($C1462="","Sem vencimento",IF($C1462&lt;TODAY(),"Vencido",IF($C1462=TODAY(),"Vence hoje",IF($C1462&lt;=TODAY()+7,"Vence em 7 dias",IF($C1462&lt;=TODAY()+30,"Vence em 30 dias","Futuro")))))))))</f>
        <v/>
      </c>
      <c r="Z1462" s="24">
        <f>IF($B1462="","",MONTH($B1462))</f>
        <v/>
      </c>
      <c r="AA1462" s="24">
        <f>IF($B1462="","",YEAR($B1462))</f>
        <v/>
      </c>
      <c r="AB1462" s="24">
        <f>IF($B1462="","",ISOWEEKNUM($B1462))</f>
        <v/>
      </c>
      <c r="AC1462" s="17">
        <f>IF($B1462="","",CHOOSE(WEEKDAY($B1462,2),"Segunda","Terça","Quarta","Quinta","Sexta","Sábado","Domingo"))</f>
        <v/>
      </c>
      <c r="AD1462" s="17">
        <f>IF($B1462="","",TEXT($B1462,"MM/AAAA"))</f>
        <v/>
      </c>
      <c r="AE1462" s="18">
        <f>IF(COUNTA($B1462:$R1462)=0,"",IF($X1462="Cancelado",0,ROUND(N($Q1462)+N($S1462)+N($T1462)-N($U1462),2)))</f>
        <v/>
      </c>
      <c r="AF1462" s="9">
        <f>IF($G1462="","",IFERROR(INDEX(LINHAS_DRE_PLANO,MATCH($G1462,SUBCATEGORIAS_PLANO,0)),"Não classificado"))</f>
        <v/>
      </c>
      <c r="AG1462" s="17">
        <f>IF($G1462="","",IFERROR(INDEX(TIPOS_FLUXO_PLANO,MATCH($G1462,SUBCATEGORIAS_PLANO,0)),"Não classificado"))</f>
        <v/>
      </c>
      <c r="AH1462" s="9">
        <f>IF($G1462="","",IFERROR(INDEX(GRUPOS_PLANO,MATCH($G1462,SUBCATEGORIAS_PLANO,0)),"Não classificado"))</f>
        <v/>
      </c>
      <c r="AI1462" s="24">
        <f>IF(OR($C1462="",$X1462="Pago",$X1462="Recebido",$X1462="Cancelado"),"",$C1462-TODAY())</f>
        <v/>
      </c>
      <c r="AJ1462" s="24">
        <f>IF(OR($C1462="",$X1462="Pago",$X1462="Recebido",$X1462="Cancelado"),0,MAX(0,TODAY()-$C1462))</f>
        <v/>
      </c>
      <c r="AK1462" s="24">
        <f>IF($D1462="","",$D1462-$B1462)</f>
        <v/>
      </c>
      <c r="AL1462" s="18">
        <f>IF(OR($D1462="",$B1462=""),"",ROUND(N($R1462)*($D1462-$B1462),2))</f>
        <v/>
      </c>
      <c r="AM1462" s="17">
        <f>IF(AND($E1462="Saída",$W1462&gt;0,$C1462&lt;&gt;""),$C1462+ROW()/1000000,"")</f>
        <v/>
      </c>
      <c r="AN1462" s="17">
        <f>IF(AND($E1462="Entrada",$W1462&gt;0,$C1462&lt;&gt;""),$C1462+ROW()/1000000,"")</f>
        <v/>
      </c>
      <c r="AO1462" s="9">
        <f>IF(COUNTA($B1462:$R1462)=0,"",IF(AND($I1462&lt;&gt;"",COUNTIF(CLIENTES_NOMES,$I1462)+COUNTIF(CLIENTES_FANTASIA,$I1462)+COUNTIF(FORNECEDORES_NOMES,$I1462)+COUNTIF(FORNECEDORES_FANTASIA,$I1462)=0),"⚠ Cliente/Fornecedor não cadastrado",IF(AND($G1462&lt;&gt;"",COUNTIF(SUBCATEGORIAS_PLANO,$G1462)=0),"⚠ Subcategoria fora do plano de contas",IF(OR($Q1462="",N($Q1462)=0),"⚠ Valor previsto não informado",IF(AND(OR($X1462="Pago",$X1462="Recebido"),$D1462=""),"⚠ Status pago/recebido sem data",IF(AND($D1462&lt;&gt;"",N($R1462)=0),"⚠ Data de pagamento sem valor realizado",IF(AND(N($P1462)&gt;1,N($O1462)&gt;N($P1462)),"⚠ Nº da parcela maior que o total",IF(AND($C1462&lt;&gt;"",$B1462&lt;&gt;"",$C1462&lt;$B1462),"⚠ Vencimento anterior à competência","OK"))))))))</f>
        <v/>
      </c>
    </row>
    <row r="1463">
      <c r="A1463" s="14" t="n"/>
      <c r="B1463" s="36" t="n"/>
      <c r="C1463" s="36" t="n"/>
      <c r="D1463" s="36" t="n"/>
      <c r="E1463" s="14" t="n"/>
      <c r="F1463" s="29" t="n"/>
      <c r="G1463" s="29" t="n"/>
      <c r="H1463" s="29" t="n"/>
      <c r="I1463" s="29" t="n"/>
      <c r="J1463" s="29" t="n"/>
      <c r="K1463" s="14" t="n"/>
      <c r="L1463" s="29" t="n"/>
      <c r="M1463" s="14" t="n"/>
      <c r="N1463" s="29" t="n"/>
      <c r="O1463" s="13" t="n"/>
      <c r="P1463" s="13" t="n"/>
      <c r="Q1463" s="35" t="n"/>
      <c r="R1463" s="35" t="n"/>
      <c r="S1463" s="35" t="n"/>
      <c r="T1463" s="35" t="n"/>
      <c r="U1463" s="35" t="n"/>
      <c r="V1463" s="18">
        <f>IF(COUNTA($B1463:$R1463)=0,"",ROUND(N($R1463)+N($S1463)+N($T1463)-N($U1463),2))</f>
        <v/>
      </c>
      <c r="W1463" s="18">
        <f>IF(COUNTA($B1463:$R1463)=0,"",IF(OR($X1463="Pago",$X1463="Recebido",$X1463="Cancelado"),0,ROUND(N($Q1463)+N($S1463)+N($T1463)-N($U1463)-N($R1463),2)))</f>
        <v/>
      </c>
      <c r="X1463" s="14" t="n"/>
      <c r="Y1463" s="17">
        <f>IF(COUNTA($B1463:$R1463)=0,"",IF($X1463="Cancelado","Cancelado",IF(OR($X1463="Pago",$X1463="Recebido"),$X1463,IF(OR($X1463="Parcial",N($R1463)&gt;0),"Parcial",IF($C1463="","Sem vencimento",IF($C1463&lt;TODAY(),"Vencido",IF($C1463=TODAY(),"Vence hoje",IF($C1463&lt;=TODAY()+7,"Vence em 7 dias",IF($C1463&lt;=TODAY()+30,"Vence em 30 dias","Futuro")))))))))</f>
        <v/>
      </c>
      <c r="Z1463" s="24">
        <f>IF($B1463="","",MONTH($B1463))</f>
        <v/>
      </c>
      <c r="AA1463" s="24">
        <f>IF($B1463="","",YEAR($B1463))</f>
        <v/>
      </c>
      <c r="AB1463" s="24">
        <f>IF($B1463="","",ISOWEEKNUM($B1463))</f>
        <v/>
      </c>
      <c r="AC1463" s="17">
        <f>IF($B1463="","",CHOOSE(WEEKDAY($B1463,2),"Segunda","Terça","Quarta","Quinta","Sexta","Sábado","Domingo"))</f>
        <v/>
      </c>
      <c r="AD1463" s="17">
        <f>IF($B1463="","",TEXT($B1463,"MM/AAAA"))</f>
        <v/>
      </c>
      <c r="AE1463" s="18">
        <f>IF(COUNTA($B1463:$R1463)=0,"",IF($X1463="Cancelado",0,ROUND(N($Q1463)+N($S1463)+N($T1463)-N($U1463),2)))</f>
        <v/>
      </c>
      <c r="AF1463" s="9">
        <f>IF($G1463="","",IFERROR(INDEX(LINHAS_DRE_PLANO,MATCH($G1463,SUBCATEGORIAS_PLANO,0)),"Não classificado"))</f>
        <v/>
      </c>
      <c r="AG1463" s="17">
        <f>IF($G1463="","",IFERROR(INDEX(TIPOS_FLUXO_PLANO,MATCH($G1463,SUBCATEGORIAS_PLANO,0)),"Não classificado"))</f>
        <v/>
      </c>
      <c r="AH1463" s="9">
        <f>IF($G1463="","",IFERROR(INDEX(GRUPOS_PLANO,MATCH($G1463,SUBCATEGORIAS_PLANO,0)),"Não classificado"))</f>
        <v/>
      </c>
      <c r="AI1463" s="24">
        <f>IF(OR($C1463="",$X1463="Pago",$X1463="Recebido",$X1463="Cancelado"),"",$C1463-TODAY())</f>
        <v/>
      </c>
      <c r="AJ1463" s="24">
        <f>IF(OR($C1463="",$X1463="Pago",$X1463="Recebido",$X1463="Cancelado"),0,MAX(0,TODAY()-$C1463))</f>
        <v/>
      </c>
      <c r="AK1463" s="24">
        <f>IF($D1463="","",$D1463-$B1463)</f>
        <v/>
      </c>
      <c r="AL1463" s="18">
        <f>IF(OR($D1463="",$B1463=""),"",ROUND(N($R1463)*($D1463-$B1463),2))</f>
        <v/>
      </c>
      <c r="AM1463" s="17">
        <f>IF(AND($E1463="Saída",$W1463&gt;0,$C1463&lt;&gt;""),$C1463+ROW()/1000000,"")</f>
        <v/>
      </c>
      <c r="AN1463" s="17">
        <f>IF(AND($E1463="Entrada",$W1463&gt;0,$C1463&lt;&gt;""),$C1463+ROW()/1000000,"")</f>
        <v/>
      </c>
      <c r="AO1463" s="9">
        <f>IF(COUNTA($B1463:$R1463)=0,"",IF(AND($I1463&lt;&gt;"",COUNTIF(CLIENTES_NOMES,$I1463)+COUNTIF(CLIENTES_FANTASIA,$I1463)+COUNTIF(FORNECEDORES_NOMES,$I1463)+COUNTIF(FORNECEDORES_FANTASIA,$I1463)=0),"⚠ Cliente/Fornecedor não cadastrado",IF(AND($G1463&lt;&gt;"",COUNTIF(SUBCATEGORIAS_PLANO,$G1463)=0),"⚠ Subcategoria fora do plano de contas",IF(OR($Q1463="",N($Q1463)=0),"⚠ Valor previsto não informado",IF(AND(OR($X1463="Pago",$X1463="Recebido"),$D1463=""),"⚠ Status pago/recebido sem data",IF(AND($D1463&lt;&gt;"",N($R1463)=0),"⚠ Data de pagamento sem valor realizado",IF(AND(N($P1463)&gt;1,N($O1463)&gt;N($P1463)),"⚠ Nº da parcela maior que o total",IF(AND($C1463&lt;&gt;"",$B1463&lt;&gt;"",$C1463&lt;$B1463),"⚠ Vencimento anterior à competência","OK"))))))))</f>
        <v/>
      </c>
    </row>
    <row r="1464">
      <c r="A1464" s="14" t="n"/>
      <c r="B1464" s="36" t="n"/>
      <c r="C1464" s="36" t="n"/>
      <c r="D1464" s="36" t="n"/>
      <c r="E1464" s="14" t="n"/>
      <c r="F1464" s="29" t="n"/>
      <c r="G1464" s="29" t="n"/>
      <c r="H1464" s="29" t="n"/>
      <c r="I1464" s="29" t="n"/>
      <c r="J1464" s="29" t="n"/>
      <c r="K1464" s="14" t="n"/>
      <c r="L1464" s="29" t="n"/>
      <c r="M1464" s="14" t="n"/>
      <c r="N1464" s="29" t="n"/>
      <c r="O1464" s="13" t="n"/>
      <c r="P1464" s="13" t="n"/>
      <c r="Q1464" s="35" t="n"/>
      <c r="R1464" s="35" t="n"/>
      <c r="S1464" s="35" t="n"/>
      <c r="T1464" s="35" t="n"/>
      <c r="U1464" s="35" t="n"/>
      <c r="V1464" s="18">
        <f>IF(COUNTA($B1464:$R1464)=0,"",ROUND(N($R1464)+N($S1464)+N($T1464)-N($U1464),2))</f>
        <v/>
      </c>
      <c r="W1464" s="18">
        <f>IF(COUNTA($B1464:$R1464)=0,"",IF(OR($X1464="Pago",$X1464="Recebido",$X1464="Cancelado"),0,ROUND(N($Q1464)+N($S1464)+N($T1464)-N($U1464)-N($R1464),2)))</f>
        <v/>
      </c>
      <c r="X1464" s="14" t="n"/>
      <c r="Y1464" s="17">
        <f>IF(COUNTA($B1464:$R1464)=0,"",IF($X1464="Cancelado","Cancelado",IF(OR($X1464="Pago",$X1464="Recebido"),$X1464,IF(OR($X1464="Parcial",N($R1464)&gt;0),"Parcial",IF($C1464="","Sem vencimento",IF($C1464&lt;TODAY(),"Vencido",IF($C1464=TODAY(),"Vence hoje",IF($C1464&lt;=TODAY()+7,"Vence em 7 dias",IF($C1464&lt;=TODAY()+30,"Vence em 30 dias","Futuro")))))))))</f>
        <v/>
      </c>
      <c r="Z1464" s="24">
        <f>IF($B1464="","",MONTH($B1464))</f>
        <v/>
      </c>
      <c r="AA1464" s="24">
        <f>IF($B1464="","",YEAR($B1464))</f>
        <v/>
      </c>
      <c r="AB1464" s="24">
        <f>IF($B1464="","",ISOWEEKNUM($B1464))</f>
        <v/>
      </c>
      <c r="AC1464" s="17">
        <f>IF($B1464="","",CHOOSE(WEEKDAY($B1464,2),"Segunda","Terça","Quarta","Quinta","Sexta","Sábado","Domingo"))</f>
        <v/>
      </c>
      <c r="AD1464" s="17">
        <f>IF($B1464="","",TEXT($B1464,"MM/AAAA"))</f>
        <v/>
      </c>
      <c r="AE1464" s="18">
        <f>IF(COUNTA($B1464:$R1464)=0,"",IF($X1464="Cancelado",0,ROUND(N($Q1464)+N($S1464)+N($T1464)-N($U1464),2)))</f>
        <v/>
      </c>
      <c r="AF1464" s="9">
        <f>IF($G1464="","",IFERROR(INDEX(LINHAS_DRE_PLANO,MATCH($G1464,SUBCATEGORIAS_PLANO,0)),"Não classificado"))</f>
        <v/>
      </c>
      <c r="AG1464" s="17">
        <f>IF($G1464="","",IFERROR(INDEX(TIPOS_FLUXO_PLANO,MATCH($G1464,SUBCATEGORIAS_PLANO,0)),"Não classificado"))</f>
        <v/>
      </c>
      <c r="AH1464" s="9">
        <f>IF($G1464="","",IFERROR(INDEX(GRUPOS_PLANO,MATCH($G1464,SUBCATEGORIAS_PLANO,0)),"Não classificado"))</f>
        <v/>
      </c>
      <c r="AI1464" s="24">
        <f>IF(OR($C1464="",$X1464="Pago",$X1464="Recebido",$X1464="Cancelado"),"",$C1464-TODAY())</f>
        <v/>
      </c>
      <c r="AJ1464" s="24">
        <f>IF(OR($C1464="",$X1464="Pago",$X1464="Recebido",$X1464="Cancelado"),0,MAX(0,TODAY()-$C1464))</f>
        <v/>
      </c>
      <c r="AK1464" s="24">
        <f>IF($D1464="","",$D1464-$B1464)</f>
        <v/>
      </c>
      <c r="AL1464" s="18">
        <f>IF(OR($D1464="",$B1464=""),"",ROUND(N($R1464)*($D1464-$B1464),2))</f>
        <v/>
      </c>
      <c r="AM1464" s="17">
        <f>IF(AND($E1464="Saída",$W1464&gt;0,$C1464&lt;&gt;""),$C1464+ROW()/1000000,"")</f>
        <v/>
      </c>
      <c r="AN1464" s="17">
        <f>IF(AND($E1464="Entrada",$W1464&gt;0,$C1464&lt;&gt;""),$C1464+ROW()/1000000,"")</f>
        <v/>
      </c>
      <c r="AO1464" s="9">
        <f>IF(COUNTA($B1464:$R1464)=0,"",IF(AND($I1464&lt;&gt;"",COUNTIF(CLIENTES_NOMES,$I1464)+COUNTIF(CLIENTES_FANTASIA,$I1464)+COUNTIF(FORNECEDORES_NOMES,$I1464)+COUNTIF(FORNECEDORES_FANTASIA,$I1464)=0),"⚠ Cliente/Fornecedor não cadastrado",IF(AND($G1464&lt;&gt;"",COUNTIF(SUBCATEGORIAS_PLANO,$G1464)=0),"⚠ Subcategoria fora do plano de contas",IF(OR($Q1464="",N($Q1464)=0),"⚠ Valor previsto não informado",IF(AND(OR($X1464="Pago",$X1464="Recebido"),$D1464=""),"⚠ Status pago/recebido sem data",IF(AND($D1464&lt;&gt;"",N($R1464)=0),"⚠ Data de pagamento sem valor realizado",IF(AND(N($P1464)&gt;1,N($O1464)&gt;N($P1464)),"⚠ Nº da parcela maior que o total",IF(AND($C1464&lt;&gt;"",$B1464&lt;&gt;"",$C1464&lt;$B1464),"⚠ Vencimento anterior à competência","OK"))))))))</f>
        <v/>
      </c>
    </row>
    <row r="1465">
      <c r="A1465" s="14" t="n"/>
      <c r="B1465" s="36" t="n"/>
      <c r="C1465" s="36" t="n"/>
      <c r="D1465" s="36" t="n"/>
      <c r="E1465" s="14" t="n"/>
      <c r="F1465" s="29" t="n"/>
      <c r="G1465" s="29" t="n"/>
      <c r="H1465" s="29" t="n"/>
      <c r="I1465" s="29" t="n"/>
      <c r="J1465" s="29" t="n"/>
      <c r="K1465" s="14" t="n"/>
      <c r="L1465" s="29" t="n"/>
      <c r="M1465" s="14" t="n"/>
      <c r="N1465" s="29" t="n"/>
      <c r="O1465" s="13" t="n"/>
      <c r="P1465" s="13" t="n"/>
      <c r="Q1465" s="35" t="n"/>
      <c r="R1465" s="35" t="n"/>
      <c r="S1465" s="35" t="n"/>
      <c r="T1465" s="35" t="n"/>
      <c r="U1465" s="35" t="n"/>
      <c r="V1465" s="18">
        <f>IF(COUNTA($B1465:$R1465)=0,"",ROUND(N($R1465)+N($S1465)+N($T1465)-N($U1465),2))</f>
        <v/>
      </c>
      <c r="W1465" s="18">
        <f>IF(COUNTA($B1465:$R1465)=0,"",IF(OR($X1465="Pago",$X1465="Recebido",$X1465="Cancelado"),0,ROUND(N($Q1465)+N($S1465)+N($T1465)-N($U1465)-N($R1465),2)))</f>
        <v/>
      </c>
      <c r="X1465" s="14" t="n"/>
      <c r="Y1465" s="17">
        <f>IF(COUNTA($B1465:$R1465)=0,"",IF($X1465="Cancelado","Cancelado",IF(OR($X1465="Pago",$X1465="Recebido"),$X1465,IF(OR($X1465="Parcial",N($R1465)&gt;0),"Parcial",IF($C1465="","Sem vencimento",IF($C1465&lt;TODAY(),"Vencido",IF($C1465=TODAY(),"Vence hoje",IF($C1465&lt;=TODAY()+7,"Vence em 7 dias",IF($C1465&lt;=TODAY()+30,"Vence em 30 dias","Futuro")))))))))</f>
        <v/>
      </c>
      <c r="Z1465" s="24">
        <f>IF($B1465="","",MONTH($B1465))</f>
        <v/>
      </c>
      <c r="AA1465" s="24">
        <f>IF($B1465="","",YEAR($B1465))</f>
        <v/>
      </c>
      <c r="AB1465" s="24">
        <f>IF($B1465="","",ISOWEEKNUM($B1465))</f>
        <v/>
      </c>
      <c r="AC1465" s="17">
        <f>IF($B1465="","",CHOOSE(WEEKDAY($B1465,2),"Segunda","Terça","Quarta","Quinta","Sexta","Sábado","Domingo"))</f>
        <v/>
      </c>
      <c r="AD1465" s="17">
        <f>IF($B1465="","",TEXT($B1465,"MM/AAAA"))</f>
        <v/>
      </c>
      <c r="AE1465" s="18">
        <f>IF(COUNTA($B1465:$R1465)=0,"",IF($X1465="Cancelado",0,ROUND(N($Q1465)+N($S1465)+N($T1465)-N($U1465),2)))</f>
        <v/>
      </c>
      <c r="AF1465" s="9">
        <f>IF($G1465="","",IFERROR(INDEX(LINHAS_DRE_PLANO,MATCH($G1465,SUBCATEGORIAS_PLANO,0)),"Não classificado"))</f>
        <v/>
      </c>
      <c r="AG1465" s="17">
        <f>IF($G1465="","",IFERROR(INDEX(TIPOS_FLUXO_PLANO,MATCH($G1465,SUBCATEGORIAS_PLANO,0)),"Não classificado"))</f>
        <v/>
      </c>
      <c r="AH1465" s="9">
        <f>IF($G1465="","",IFERROR(INDEX(GRUPOS_PLANO,MATCH($G1465,SUBCATEGORIAS_PLANO,0)),"Não classificado"))</f>
        <v/>
      </c>
      <c r="AI1465" s="24">
        <f>IF(OR($C1465="",$X1465="Pago",$X1465="Recebido",$X1465="Cancelado"),"",$C1465-TODAY())</f>
        <v/>
      </c>
      <c r="AJ1465" s="24">
        <f>IF(OR($C1465="",$X1465="Pago",$X1465="Recebido",$X1465="Cancelado"),0,MAX(0,TODAY()-$C1465))</f>
        <v/>
      </c>
      <c r="AK1465" s="24">
        <f>IF($D1465="","",$D1465-$B1465)</f>
        <v/>
      </c>
      <c r="AL1465" s="18">
        <f>IF(OR($D1465="",$B1465=""),"",ROUND(N($R1465)*($D1465-$B1465),2))</f>
        <v/>
      </c>
      <c r="AM1465" s="17">
        <f>IF(AND($E1465="Saída",$W1465&gt;0,$C1465&lt;&gt;""),$C1465+ROW()/1000000,"")</f>
        <v/>
      </c>
      <c r="AN1465" s="17">
        <f>IF(AND($E1465="Entrada",$W1465&gt;0,$C1465&lt;&gt;""),$C1465+ROW()/1000000,"")</f>
        <v/>
      </c>
      <c r="AO1465" s="9">
        <f>IF(COUNTA($B1465:$R1465)=0,"",IF(AND($I1465&lt;&gt;"",COUNTIF(CLIENTES_NOMES,$I1465)+COUNTIF(CLIENTES_FANTASIA,$I1465)+COUNTIF(FORNECEDORES_NOMES,$I1465)+COUNTIF(FORNECEDORES_FANTASIA,$I1465)=0),"⚠ Cliente/Fornecedor não cadastrado",IF(AND($G1465&lt;&gt;"",COUNTIF(SUBCATEGORIAS_PLANO,$G1465)=0),"⚠ Subcategoria fora do plano de contas",IF(OR($Q1465="",N($Q1465)=0),"⚠ Valor previsto não informado",IF(AND(OR($X1465="Pago",$X1465="Recebido"),$D1465=""),"⚠ Status pago/recebido sem data",IF(AND($D1465&lt;&gt;"",N($R1465)=0),"⚠ Data de pagamento sem valor realizado",IF(AND(N($P1465)&gt;1,N($O1465)&gt;N($P1465)),"⚠ Nº da parcela maior que o total",IF(AND($C1465&lt;&gt;"",$B1465&lt;&gt;"",$C1465&lt;$B1465),"⚠ Vencimento anterior à competência","OK"))))))))</f>
        <v/>
      </c>
    </row>
    <row r="1466">
      <c r="A1466" s="14" t="n"/>
      <c r="B1466" s="36" t="n"/>
      <c r="C1466" s="36" t="n"/>
      <c r="D1466" s="36" t="n"/>
      <c r="E1466" s="14" t="n"/>
      <c r="F1466" s="29" t="n"/>
      <c r="G1466" s="29" t="n"/>
      <c r="H1466" s="29" t="n"/>
      <c r="I1466" s="29" t="n"/>
      <c r="J1466" s="29" t="n"/>
      <c r="K1466" s="14" t="n"/>
      <c r="L1466" s="29" t="n"/>
      <c r="M1466" s="14" t="n"/>
      <c r="N1466" s="29" t="n"/>
      <c r="O1466" s="13" t="n"/>
      <c r="P1466" s="13" t="n"/>
      <c r="Q1466" s="35" t="n"/>
      <c r="R1466" s="35" t="n"/>
      <c r="S1466" s="35" t="n"/>
      <c r="T1466" s="35" t="n"/>
      <c r="U1466" s="35" t="n"/>
      <c r="V1466" s="18">
        <f>IF(COUNTA($B1466:$R1466)=0,"",ROUND(N($R1466)+N($S1466)+N($T1466)-N($U1466),2))</f>
        <v/>
      </c>
      <c r="W1466" s="18">
        <f>IF(COUNTA($B1466:$R1466)=0,"",IF(OR($X1466="Pago",$X1466="Recebido",$X1466="Cancelado"),0,ROUND(N($Q1466)+N($S1466)+N($T1466)-N($U1466)-N($R1466),2)))</f>
        <v/>
      </c>
      <c r="X1466" s="14" t="n"/>
      <c r="Y1466" s="17">
        <f>IF(COUNTA($B1466:$R1466)=0,"",IF($X1466="Cancelado","Cancelado",IF(OR($X1466="Pago",$X1466="Recebido"),$X1466,IF(OR($X1466="Parcial",N($R1466)&gt;0),"Parcial",IF($C1466="","Sem vencimento",IF($C1466&lt;TODAY(),"Vencido",IF($C1466=TODAY(),"Vence hoje",IF($C1466&lt;=TODAY()+7,"Vence em 7 dias",IF($C1466&lt;=TODAY()+30,"Vence em 30 dias","Futuro")))))))))</f>
        <v/>
      </c>
      <c r="Z1466" s="24">
        <f>IF($B1466="","",MONTH($B1466))</f>
        <v/>
      </c>
      <c r="AA1466" s="24">
        <f>IF($B1466="","",YEAR($B1466))</f>
        <v/>
      </c>
      <c r="AB1466" s="24">
        <f>IF($B1466="","",ISOWEEKNUM($B1466))</f>
        <v/>
      </c>
      <c r="AC1466" s="17">
        <f>IF($B1466="","",CHOOSE(WEEKDAY($B1466,2),"Segunda","Terça","Quarta","Quinta","Sexta","Sábado","Domingo"))</f>
        <v/>
      </c>
      <c r="AD1466" s="17">
        <f>IF($B1466="","",TEXT($B1466,"MM/AAAA"))</f>
        <v/>
      </c>
      <c r="AE1466" s="18">
        <f>IF(COUNTA($B1466:$R1466)=0,"",IF($X1466="Cancelado",0,ROUND(N($Q1466)+N($S1466)+N($T1466)-N($U1466),2)))</f>
        <v/>
      </c>
      <c r="AF1466" s="9">
        <f>IF($G1466="","",IFERROR(INDEX(LINHAS_DRE_PLANO,MATCH($G1466,SUBCATEGORIAS_PLANO,0)),"Não classificado"))</f>
        <v/>
      </c>
      <c r="AG1466" s="17">
        <f>IF($G1466="","",IFERROR(INDEX(TIPOS_FLUXO_PLANO,MATCH($G1466,SUBCATEGORIAS_PLANO,0)),"Não classificado"))</f>
        <v/>
      </c>
      <c r="AH1466" s="9">
        <f>IF($G1466="","",IFERROR(INDEX(GRUPOS_PLANO,MATCH($G1466,SUBCATEGORIAS_PLANO,0)),"Não classificado"))</f>
        <v/>
      </c>
      <c r="AI1466" s="24">
        <f>IF(OR($C1466="",$X1466="Pago",$X1466="Recebido",$X1466="Cancelado"),"",$C1466-TODAY())</f>
        <v/>
      </c>
      <c r="AJ1466" s="24">
        <f>IF(OR($C1466="",$X1466="Pago",$X1466="Recebido",$X1466="Cancelado"),0,MAX(0,TODAY()-$C1466))</f>
        <v/>
      </c>
      <c r="AK1466" s="24">
        <f>IF($D1466="","",$D1466-$B1466)</f>
        <v/>
      </c>
      <c r="AL1466" s="18">
        <f>IF(OR($D1466="",$B1466=""),"",ROUND(N($R1466)*($D1466-$B1466),2))</f>
        <v/>
      </c>
      <c r="AM1466" s="17">
        <f>IF(AND($E1466="Saída",$W1466&gt;0,$C1466&lt;&gt;""),$C1466+ROW()/1000000,"")</f>
        <v/>
      </c>
      <c r="AN1466" s="17">
        <f>IF(AND($E1466="Entrada",$W1466&gt;0,$C1466&lt;&gt;""),$C1466+ROW()/1000000,"")</f>
        <v/>
      </c>
      <c r="AO1466" s="9">
        <f>IF(COUNTA($B1466:$R1466)=0,"",IF(AND($I1466&lt;&gt;"",COUNTIF(CLIENTES_NOMES,$I1466)+COUNTIF(CLIENTES_FANTASIA,$I1466)+COUNTIF(FORNECEDORES_NOMES,$I1466)+COUNTIF(FORNECEDORES_FANTASIA,$I1466)=0),"⚠ Cliente/Fornecedor não cadastrado",IF(AND($G1466&lt;&gt;"",COUNTIF(SUBCATEGORIAS_PLANO,$G1466)=0),"⚠ Subcategoria fora do plano de contas",IF(OR($Q1466="",N($Q1466)=0),"⚠ Valor previsto não informado",IF(AND(OR($X1466="Pago",$X1466="Recebido"),$D1466=""),"⚠ Status pago/recebido sem data",IF(AND($D1466&lt;&gt;"",N($R1466)=0),"⚠ Data de pagamento sem valor realizado",IF(AND(N($P1466)&gt;1,N($O1466)&gt;N($P1466)),"⚠ Nº da parcela maior que o total",IF(AND($C1466&lt;&gt;"",$B1466&lt;&gt;"",$C1466&lt;$B1466),"⚠ Vencimento anterior à competência","OK"))))))))</f>
        <v/>
      </c>
    </row>
    <row r="1467">
      <c r="A1467" s="14" t="n"/>
      <c r="B1467" s="36" t="n"/>
      <c r="C1467" s="36" t="n"/>
      <c r="D1467" s="36" t="n"/>
      <c r="E1467" s="14" t="n"/>
      <c r="F1467" s="29" t="n"/>
      <c r="G1467" s="29" t="n"/>
      <c r="H1467" s="29" t="n"/>
      <c r="I1467" s="29" t="n"/>
      <c r="J1467" s="29" t="n"/>
      <c r="K1467" s="14" t="n"/>
      <c r="L1467" s="29" t="n"/>
      <c r="M1467" s="14" t="n"/>
      <c r="N1467" s="29" t="n"/>
      <c r="O1467" s="13" t="n"/>
      <c r="P1467" s="13" t="n"/>
      <c r="Q1467" s="35" t="n"/>
      <c r="R1467" s="35" t="n"/>
      <c r="S1467" s="35" t="n"/>
      <c r="T1467" s="35" t="n"/>
      <c r="U1467" s="35" t="n"/>
      <c r="V1467" s="18">
        <f>IF(COUNTA($B1467:$R1467)=0,"",ROUND(N($R1467)+N($S1467)+N($T1467)-N($U1467),2))</f>
        <v/>
      </c>
      <c r="W1467" s="18">
        <f>IF(COUNTA($B1467:$R1467)=0,"",IF(OR($X1467="Pago",$X1467="Recebido",$X1467="Cancelado"),0,ROUND(N($Q1467)+N($S1467)+N($T1467)-N($U1467)-N($R1467),2)))</f>
        <v/>
      </c>
      <c r="X1467" s="14" t="n"/>
      <c r="Y1467" s="17">
        <f>IF(COUNTA($B1467:$R1467)=0,"",IF($X1467="Cancelado","Cancelado",IF(OR($X1467="Pago",$X1467="Recebido"),$X1467,IF(OR($X1467="Parcial",N($R1467)&gt;0),"Parcial",IF($C1467="","Sem vencimento",IF($C1467&lt;TODAY(),"Vencido",IF($C1467=TODAY(),"Vence hoje",IF($C1467&lt;=TODAY()+7,"Vence em 7 dias",IF($C1467&lt;=TODAY()+30,"Vence em 30 dias","Futuro")))))))))</f>
        <v/>
      </c>
      <c r="Z1467" s="24">
        <f>IF($B1467="","",MONTH($B1467))</f>
        <v/>
      </c>
      <c r="AA1467" s="24">
        <f>IF($B1467="","",YEAR($B1467))</f>
        <v/>
      </c>
      <c r="AB1467" s="24">
        <f>IF($B1467="","",ISOWEEKNUM($B1467))</f>
        <v/>
      </c>
      <c r="AC1467" s="17">
        <f>IF($B1467="","",CHOOSE(WEEKDAY($B1467,2),"Segunda","Terça","Quarta","Quinta","Sexta","Sábado","Domingo"))</f>
        <v/>
      </c>
      <c r="AD1467" s="17">
        <f>IF($B1467="","",TEXT($B1467,"MM/AAAA"))</f>
        <v/>
      </c>
      <c r="AE1467" s="18">
        <f>IF(COUNTA($B1467:$R1467)=0,"",IF($X1467="Cancelado",0,ROUND(N($Q1467)+N($S1467)+N($T1467)-N($U1467),2)))</f>
        <v/>
      </c>
      <c r="AF1467" s="9">
        <f>IF($G1467="","",IFERROR(INDEX(LINHAS_DRE_PLANO,MATCH($G1467,SUBCATEGORIAS_PLANO,0)),"Não classificado"))</f>
        <v/>
      </c>
      <c r="AG1467" s="17">
        <f>IF($G1467="","",IFERROR(INDEX(TIPOS_FLUXO_PLANO,MATCH($G1467,SUBCATEGORIAS_PLANO,0)),"Não classificado"))</f>
        <v/>
      </c>
      <c r="AH1467" s="9">
        <f>IF($G1467="","",IFERROR(INDEX(GRUPOS_PLANO,MATCH($G1467,SUBCATEGORIAS_PLANO,0)),"Não classificado"))</f>
        <v/>
      </c>
      <c r="AI1467" s="24">
        <f>IF(OR($C1467="",$X1467="Pago",$X1467="Recebido",$X1467="Cancelado"),"",$C1467-TODAY())</f>
        <v/>
      </c>
      <c r="AJ1467" s="24">
        <f>IF(OR($C1467="",$X1467="Pago",$X1467="Recebido",$X1467="Cancelado"),0,MAX(0,TODAY()-$C1467))</f>
        <v/>
      </c>
      <c r="AK1467" s="24">
        <f>IF($D1467="","",$D1467-$B1467)</f>
        <v/>
      </c>
      <c r="AL1467" s="18">
        <f>IF(OR($D1467="",$B1467=""),"",ROUND(N($R1467)*($D1467-$B1467),2))</f>
        <v/>
      </c>
      <c r="AM1467" s="17">
        <f>IF(AND($E1467="Saída",$W1467&gt;0,$C1467&lt;&gt;""),$C1467+ROW()/1000000,"")</f>
        <v/>
      </c>
      <c r="AN1467" s="17">
        <f>IF(AND($E1467="Entrada",$W1467&gt;0,$C1467&lt;&gt;""),$C1467+ROW()/1000000,"")</f>
        <v/>
      </c>
      <c r="AO1467" s="9">
        <f>IF(COUNTA($B1467:$R1467)=0,"",IF(AND($I1467&lt;&gt;"",COUNTIF(CLIENTES_NOMES,$I1467)+COUNTIF(CLIENTES_FANTASIA,$I1467)+COUNTIF(FORNECEDORES_NOMES,$I1467)+COUNTIF(FORNECEDORES_FANTASIA,$I1467)=0),"⚠ Cliente/Fornecedor não cadastrado",IF(AND($G1467&lt;&gt;"",COUNTIF(SUBCATEGORIAS_PLANO,$G1467)=0),"⚠ Subcategoria fora do plano de contas",IF(OR($Q1467="",N($Q1467)=0),"⚠ Valor previsto não informado",IF(AND(OR($X1467="Pago",$X1467="Recebido"),$D1467=""),"⚠ Status pago/recebido sem data",IF(AND($D1467&lt;&gt;"",N($R1467)=0),"⚠ Data de pagamento sem valor realizado",IF(AND(N($P1467)&gt;1,N($O1467)&gt;N($P1467)),"⚠ Nº da parcela maior que o total",IF(AND($C1467&lt;&gt;"",$B1467&lt;&gt;"",$C1467&lt;$B1467),"⚠ Vencimento anterior à competência","OK"))))))))</f>
        <v/>
      </c>
    </row>
    <row r="1468">
      <c r="A1468" s="14" t="n"/>
      <c r="B1468" s="36" t="n"/>
      <c r="C1468" s="36" t="n"/>
      <c r="D1468" s="36" t="n"/>
      <c r="E1468" s="14" t="n"/>
      <c r="F1468" s="29" t="n"/>
      <c r="G1468" s="29" t="n"/>
      <c r="H1468" s="29" t="n"/>
      <c r="I1468" s="29" t="n"/>
      <c r="J1468" s="29" t="n"/>
      <c r="K1468" s="14" t="n"/>
      <c r="L1468" s="29" t="n"/>
      <c r="M1468" s="14" t="n"/>
      <c r="N1468" s="29" t="n"/>
      <c r="O1468" s="13" t="n"/>
      <c r="P1468" s="13" t="n"/>
      <c r="Q1468" s="35" t="n"/>
      <c r="R1468" s="35" t="n"/>
      <c r="S1468" s="35" t="n"/>
      <c r="T1468" s="35" t="n"/>
      <c r="U1468" s="35" t="n"/>
      <c r="V1468" s="18">
        <f>IF(COUNTA($B1468:$R1468)=0,"",ROUND(N($R1468)+N($S1468)+N($T1468)-N($U1468),2))</f>
        <v/>
      </c>
      <c r="W1468" s="18">
        <f>IF(COUNTA($B1468:$R1468)=0,"",IF(OR($X1468="Pago",$X1468="Recebido",$X1468="Cancelado"),0,ROUND(N($Q1468)+N($S1468)+N($T1468)-N($U1468)-N($R1468),2)))</f>
        <v/>
      </c>
      <c r="X1468" s="14" t="n"/>
      <c r="Y1468" s="17">
        <f>IF(COUNTA($B1468:$R1468)=0,"",IF($X1468="Cancelado","Cancelado",IF(OR($X1468="Pago",$X1468="Recebido"),$X1468,IF(OR($X1468="Parcial",N($R1468)&gt;0),"Parcial",IF($C1468="","Sem vencimento",IF($C1468&lt;TODAY(),"Vencido",IF($C1468=TODAY(),"Vence hoje",IF($C1468&lt;=TODAY()+7,"Vence em 7 dias",IF($C1468&lt;=TODAY()+30,"Vence em 30 dias","Futuro")))))))))</f>
        <v/>
      </c>
      <c r="Z1468" s="24">
        <f>IF($B1468="","",MONTH($B1468))</f>
        <v/>
      </c>
      <c r="AA1468" s="24">
        <f>IF($B1468="","",YEAR($B1468))</f>
        <v/>
      </c>
      <c r="AB1468" s="24">
        <f>IF($B1468="","",ISOWEEKNUM($B1468))</f>
        <v/>
      </c>
      <c r="AC1468" s="17">
        <f>IF($B1468="","",CHOOSE(WEEKDAY($B1468,2),"Segunda","Terça","Quarta","Quinta","Sexta","Sábado","Domingo"))</f>
        <v/>
      </c>
      <c r="AD1468" s="17">
        <f>IF($B1468="","",TEXT($B1468,"MM/AAAA"))</f>
        <v/>
      </c>
      <c r="AE1468" s="18">
        <f>IF(COUNTA($B1468:$R1468)=0,"",IF($X1468="Cancelado",0,ROUND(N($Q1468)+N($S1468)+N($T1468)-N($U1468),2)))</f>
        <v/>
      </c>
      <c r="AF1468" s="9">
        <f>IF($G1468="","",IFERROR(INDEX(LINHAS_DRE_PLANO,MATCH($G1468,SUBCATEGORIAS_PLANO,0)),"Não classificado"))</f>
        <v/>
      </c>
      <c r="AG1468" s="17">
        <f>IF($G1468="","",IFERROR(INDEX(TIPOS_FLUXO_PLANO,MATCH($G1468,SUBCATEGORIAS_PLANO,0)),"Não classificado"))</f>
        <v/>
      </c>
      <c r="AH1468" s="9">
        <f>IF($G1468="","",IFERROR(INDEX(GRUPOS_PLANO,MATCH($G1468,SUBCATEGORIAS_PLANO,0)),"Não classificado"))</f>
        <v/>
      </c>
      <c r="AI1468" s="24">
        <f>IF(OR($C1468="",$X1468="Pago",$X1468="Recebido",$X1468="Cancelado"),"",$C1468-TODAY())</f>
        <v/>
      </c>
      <c r="AJ1468" s="24">
        <f>IF(OR($C1468="",$X1468="Pago",$X1468="Recebido",$X1468="Cancelado"),0,MAX(0,TODAY()-$C1468))</f>
        <v/>
      </c>
      <c r="AK1468" s="24">
        <f>IF($D1468="","",$D1468-$B1468)</f>
        <v/>
      </c>
      <c r="AL1468" s="18">
        <f>IF(OR($D1468="",$B1468=""),"",ROUND(N($R1468)*($D1468-$B1468),2))</f>
        <v/>
      </c>
      <c r="AM1468" s="17">
        <f>IF(AND($E1468="Saída",$W1468&gt;0,$C1468&lt;&gt;""),$C1468+ROW()/1000000,"")</f>
        <v/>
      </c>
      <c r="AN1468" s="17">
        <f>IF(AND($E1468="Entrada",$W1468&gt;0,$C1468&lt;&gt;""),$C1468+ROW()/1000000,"")</f>
        <v/>
      </c>
      <c r="AO1468" s="9">
        <f>IF(COUNTA($B1468:$R1468)=0,"",IF(AND($I1468&lt;&gt;"",COUNTIF(CLIENTES_NOMES,$I1468)+COUNTIF(CLIENTES_FANTASIA,$I1468)+COUNTIF(FORNECEDORES_NOMES,$I1468)+COUNTIF(FORNECEDORES_FANTASIA,$I1468)=0),"⚠ Cliente/Fornecedor não cadastrado",IF(AND($G1468&lt;&gt;"",COUNTIF(SUBCATEGORIAS_PLANO,$G1468)=0),"⚠ Subcategoria fora do plano de contas",IF(OR($Q1468="",N($Q1468)=0),"⚠ Valor previsto não informado",IF(AND(OR($X1468="Pago",$X1468="Recebido"),$D1468=""),"⚠ Status pago/recebido sem data",IF(AND($D1468&lt;&gt;"",N($R1468)=0),"⚠ Data de pagamento sem valor realizado",IF(AND(N($P1468)&gt;1,N($O1468)&gt;N($P1468)),"⚠ Nº da parcela maior que o total",IF(AND($C1468&lt;&gt;"",$B1468&lt;&gt;"",$C1468&lt;$B1468),"⚠ Vencimento anterior à competência","OK"))))))))</f>
        <v/>
      </c>
    </row>
    <row r="1469">
      <c r="A1469" s="14" t="n"/>
      <c r="B1469" s="36" t="n"/>
      <c r="C1469" s="36" t="n"/>
      <c r="D1469" s="36" t="n"/>
      <c r="E1469" s="14" t="n"/>
      <c r="F1469" s="29" t="n"/>
      <c r="G1469" s="29" t="n"/>
      <c r="H1469" s="29" t="n"/>
      <c r="I1469" s="29" t="n"/>
      <c r="J1469" s="29" t="n"/>
      <c r="K1469" s="14" t="n"/>
      <c r="L1469" s="29" t="n"/>
      <c r="M1469" s="14" t="n"/>
      <c r="N1469" s="29" t="n"/>
      <c r="O1469" s="13" t="n"/>
      <c r="P1469" s="13" t="n"/>
      <c r="Q1469" s="35" t="n"/>
      <c r="R1469" s="35" t="n"/>
      <c r="S1469" s="35" t="n"/>
      <c r="T1469" s="35" t="n"/>
      <c r="U1469" s="35" t="n"/>
      <c r="V1469" s="18">
        <f>IF(COUNTA($B1469:$R1469)=0,"",ROUND(N($R1469)+N($S1469)+N($T1469)-N($U1469),2))</f>
        <v/>
      </c>
      <c r="W1469" s="18">
        <f>IF(COUNTA($B1469:$R1469)=0,"",IF(OR($X1469="Pago",$X1469="Recebido",$X1469="Cancelado"),0,ROUND(N($Q1469)+N($S1469)+N($T1469)-N($U1469)-N($R1469),2)))</f>
        <v/>
      </c>
      <c r="X1469" s="14" t="n"/>
      <c r="Y1469" s="17">
        <f>IF(COUNTA($B1469:$R1469)=0,"",IF($X1469="Cancelado","Cancelado",IF(OR($X1469="Pago",$X1469="Recebido"),$X1469,IF(OR($X1469="Parcial",N($R1469)&gt;0),"Parcial",IF($C1469="","Sem vencimento",IF($C1469&lt;TODAY(),"Vencido",IF($C1469=TODAY(),"Vence hoje",IF($C1469&lt;=TODAY()+7,"Vence em 7 dias",IF($C1469&lt;=TODAY()+30,"Vence em 30 dias","Futuro")))))))))</f>
        <v/>
      </c>
      <c r="Z1469" s="24">
        <f>IF($B1469="","",MONTH($B1469))</f>
        <v/>
      </c>
      <c r="AA1469" s="24">
        <f>IF($B1469="","",YEAR($B1469))</f>
        <v/>
      </c>
      <c r="AB1469" s="24">
        <f>IF($B1469="","",ISOWEEKNUM($B1469))</f>
        <v/>
      </c>
      <c r="AC1469" s="17">
        <f>IF($B1469="","",CHOOSE(WEEKDAY($B1469,2),"Segunda","Terça","Quarta","Quinta","Sexta","Sábado","Domingo"))</f>
        <v/>
      </c>
      <c r="AD1469" s="17">
        <f>IF($B1469="","",TEXT($B1469,"MM/AAAA"))</f>
        <v/>
      </c>
      <c r="AE1469" s="18">
        <f>IF(COUNTA($B1469:$R1469)=0,"",IF($X1469="Cancelado",0,ROUND(N($Q1469)+N($S1469)+N($T1469)-N($U1469),2)))</f>
        <v/>
      </c>
      <c r="AF1469" s="9">
        <f>IF($G1469="","",IFERROR(INDEX(LINHAS_DRE_PLANO,MATCH($G1469,SUBCATEGORIAS_PLANO,0)),"Não classificado"))</f>
        <v/>
      </c>
      <c r="AG1469" s="17">
        <f>IF($G1469="","",IFERROR(INDEX(TIPOS_FLUXO_PLANO,MATCH($G1469,SUBCATEGORIAS_PLANO,0)),"Não classificado"))</f>
        <v/>
      </c>
      <c r="AH1469" s="9">
        <f>IF($G1469="","",IFERROR(INDEX(GRUPOS_PLANO,MATCH($G1469,SUBCATEGORIAS_PLANO,0)),"Não classificado"))</f>
        <v/>
      </c>
      <c r="AI1469" s="24">
        <f>IF(OR($C1469="",$X1469="Pago",$X1469="Recebido",$X1469="Cancelado"),"",$C1469-TODAY())</f>
        <v/>
      </c>
      <c r="AJ1469" s="24">
        <f>IF(OR($C1469="",$X1469="Pago",$X1469="Recebido",$X1469="Cancelado"),0,MAX(0,TODAY()-$C1469))</f>
        <v/>
      </c>
      <c r="AK1469" s="24">
        <f>IF($D1469="","",$D1469-$B1469)</f>
        <v/>
      </c>
      <c r="AL1469" s="18">
        <f>IF(OR($D1469="",$B1469=""),"",ROUND(N($R1469)*($D1469-$B1469),2))</f>
        <v/>
      </c>
      <c r="AM1469" s="17">
        <f>IF(AND($E1469="Saída",$W1469&gt;0,$C1469&lt;&gt;""),$C1469+ROW()/1000000,"")</f>
        <v/>
      </c>
      <c r="AN1469" s="17">
        <f>IF(AND($E1469="Entrada",$W1469&gt;0,$C1469&lt;&gt;""),$C1469+ROW()/1000000,"")</f>
        <v/>
      </c>
      <c r="AO1469" s="9">
        <f>IF(COUNTA($B1469:$R1469)=0,"",IF(AND($I1469&lt;&gt;"",COUNTIF(CLIENTES_NOMES,$I1469)+COUNTIF(CLIENTES_FANTASIA,$I1469)+COUNTIF(FORNECEDORES_NOMES,$I1469)+COUNTIF(FORNECEDORES_FANTASIA,$I1469)=0),"⚠ Cliente/Fornecedor não cadastrado",IF(AND($G1469&lt;&gt;"",COUNTIF(SUBCATEGORIAS_PLANO,$G1469)=0),"⚠ Subcategoria fora do plano de contas",IF(OR($Q1469="",N($Q1469)=0),"⚠ Valor previsto não informado",IF(AND(OR($X1469="Pago",$X1469="Recebido"),$D1469=""),"⚠ Status pago/recebido sem data",IF(AND($D1469&lt;&gt;"",N($R1469)=0),"⚠ Data de pagamento sem valor realizado",IF(AND(N($P1469)&gt;1,N($O1469)&gt;N($P1469)),"⚠ Nº da parcela maior que o total",IF(AND($C1469&lt;&gt;"",$B1469&lt;&gt;"",$C1469&lt;$B1469),"⚠ Vencimento anterior à competência","OK"))))))))</f>
        <v/>
      </c>
    </row>
    <row r="1470">
      <c r="A1470" s="14" t="n"/>
      <c r="B1470" s="36" t="n"/>
      <c r="C1470" s="36" t="n"/>
      <c r="D1470" s="36" t="n"/>
      <c r="E1470" s="14" t="n"/>
      <c r="F1470" s="29" t="n"/>
      <c r="G1470" s="29" t="n"/>
      <c r="H1470" s="29" t="n"/>
      <c r="I1470" s="29" t="n"/>
      <c r="J1470" s="29" t="n"/>
      <c r="K1470" s="14" t="n"/>
      <c r="L1470" s="29" t="n"/>
      <c r="M1470" s="14" t="n"/>
      <c r="N1470" s="29" t="n"/>
      <c r="O1470" s="13" t="n"/>
      <c r="P1470" s="13" t="n"/>
      <c r="Q1470" s="35" t="n"/>
      <c r="R1470" s="35" t="n"/>
      <c r="S1470" s="35" t="n"/>
      <c r="T1470" s="35" t="n"/>
      <c r="U1470" s="35" t="n"/>
      <c r="V1470" s="18">
        <f>IF(COUNTA($B1470:$R1470)=0,"",ROUND(N($R1470)+N($S1470)+N($T1470)-N($U1470),2))</f>
        <v/>
      </c>
      <c r="W1470" s="18">
        <f>IF(COUNTA($B1470:$R1470)=0,"",IF(OR($X1470="Pago",$X1470="Recebido",$X1470="Cancelado"),0,ROUND(N($Q1470)+N($S1470)+N($T1470)-N($U1470)-N($R1470),2)))</f>
        <v/>
      </c>
      <c r="X1470" s="14" t="n"/>
      <c r="Y1470" s="17">
        <f>IF(COUNTA($B1470:$R1470)=0,"",IF($X1470="Cancelado","Cancelado",IF(OR($X1470="Pago",$X1470="Recebido"),$X1470,IF(OR($X1470="Parcial",N($R1470)&gt;0),"Parcial",IF($C1470="","Sem vencimento",IF($C1470&lt;TODAY(),"Vencido",IF($C1470=TODAY(),"Vence hoje",IF($C1470&lt;=TODAY()+7,"Vence em 7 dias",IF($C1470&lt;=TODAY()+30,"Vence em 30 dias","Futuro")))))))))</f>
        <v/>
      </c>
      <c r="Z1470" s="24">
        <f>IF($B1470="","",MONTH($B1470))</f>
        <v/>
      </c>
      <c r="AA1470" s="24">
        <f>IF($B1470="","",YEAR($B1470))</f>
        <v/>
      </c>
      <c r="AB1470" s="24">
        <f>IF($B1470="","",ISOWEEKNUM($B1470))</f>
        <v/>
      </c>
      <c r="AC1470" s="17">
        <f>IF($B1470="","",CHOOSE(WEEKDAY($B1470,2),"Segunda","Terça","Quarta","Quinta","Sexta","Sábado","Domingo"))</f>
        <v/>
      </c>
      <c r="AD1470" s="17">
        <f>IF($B1470="","",TEXT($B1470,"MM/AAAA"))</f>
        <v/>
      </c>
      <c r="AE1470" s="18">
        <f>IF(COUNTA($B1470:$R1470)=0,"",IF($X1470="Cancelado",0,ROUND(N($Q1470)+N($S1470)+N($T1470)-N($U1470),2)))</f>
        <v/>
      </c>
      <c r="AF1470" s="9">
        <f>IF($G1470="","",IFERROR(INDEX(LINHAS_DRE_PLANO,MATCH($G1470,SUBCATEGORIAS_PLANO,0)),"Não classificado"))</f>
        <v/>
      </c>
      <c r="AG1470" s="17">
        <f>IF($G1470="","",IFERROR(INDEX(TIPOS_FLUXO_PLANO,MATCH($G1470,SUBCATEGORIAS_PLANO,0)),"Não classificado"))</f>
        <v/>
      </c>
      <c r="AH1470" s="9">
        <f>IF($G1470="","",IFERROR(INDEX(GRUPOS_PLANO,MATCH($G1470,SUBCATEGORIAS_PLANO,0)),"Não classificado"))</f>
        <v/>
      </c>
      <c r="AI1470" s="24">
        <f>IF(OR($C1470="",$X1470="Pago",$X1470="Recebido",$X1470="Cancelado"),"",$C1470-TODAY())</f>
        <v/>
      </c>
      <c r="AJ1470" s="24">
        <f>IF(OR($C1470="",$X1470="Pago",$X1470="Recebido",$X1470="Cancelado"),0,MAX(0,TODAY()-$C1470))</f>
        <v/>
      </c>
      <c r="AK1470" s="24">
        <f>IF($D1470="","",$D1470-$B1470)</f>
        <v/>
      </c>
      <c r="AL1470" s="18">
        <f>IF(OR($D1470="",$B1470=""),"",ROUND(N($R1470)*($D1470-$B1470),2))</f>
        <v/>
      </c>
      <c r="AM1470" s="17">
        <f>IF(AND($E1470="Saída",$W1470&gt;0,$C1470&lt;&gt;""),$C1470+ROW()/1000000,"")</f>
        <v/>
      </c>
      <c r="AN1470" s="17">
        <f>IF(AND($E1470="Entrada",$W1470&gt;0,$C1470&lt;&gt;""),$C1470+ROW()/1000000,"")</f>
        <v/>
      </c>
      <c r="AO1470" s="9">
        <f>IF(COUNTA($B1470:$R1470)=0,"",IF(AND($I1470&lt;&gt;"",COUNTIF(CLIENTES_NOMES,$I1470)+COUNTIF(CLIENTES_FANTASIA,$I1470)+COUNTIF(FORNECEDORES_NOMES,$I1470)+COUNTIF(FORNECEDORES_FANTASIA,$I1470)=0),"⚠ Cliente/Fornecedor não cadastrado",IF(AND($G1470&lt;&gt;"",COUNTIF(SUBCATEGORIAS_PLANO,$G1470)=0),"⚠ Subcategoria fora do plano de contas",IF(OR($Q1470="",N($Q1470)=0),"⚠ Valor previsto não informado",IF(AND(OR($X1470="Pago",$X1470="Recebido"),$D1470=""),"⚠ Status pago/recebido sem data",IF(AND($D1470&lt;&gt;"",N($R1470)=0),"⚠ Data de pagamento sem valor realizado",IF(AND(N($P1470)&gt;1,N($O1470)&gt;N($P1470)),"⚠ Nº da parcela maior que o total",IF(AND($C1470&lt;&gt;"",$B1470&lt;&gt;"",$C1470&lt;$B1470),"⚠ Vencimento anterior à competência","OK"))))))))</f>
        <v/>
      </c>
    </row>
    <row r="1471">
      <c r="A1471" s="14" t="n"/>
      <c r="B1471" s="36" t="n"/>
      <c r="C1471" s="36" t="n"/>
      <c r="D1471" s="36" t="n"/>
      <c r="E1471" s="14" t="n"/>
      <c r="F1471" s="29" t="n"/>
      <c r="G1471" s="29" t="n"/>
      <c r="H1471" s="29" t="n"/>
      <c r="I1471" s="29" t="n"/>
      <c r="J1471" s="29" t="n"/>
      <c r="K1471" s="14" t="n"/>
      <c r="L1471" s="29" t="n"/>
      <c r="M1471" s="14" t="n"/>
      <c r="N1471" s="29" t="n"/>
      <c r="O1471" s="13" t="n"/>
      <c r="P1471" s="13" t="n"/>
      <c r="Q1471" s="35" t="n"/>
      <c r="R1471" s="35" t="n"/>
      <c r="S1471" s="35" t="n"/>
      <c r="T1471" s="35" t="n"/>
      <c r="U1471" s="35" t="n"/>
      <c r="V1471" s="18">
        <f>IF(COUNTA($B1471:$R1471)=0,"",ROUND(N($R1471)+N($S1471)+N($T1471)-N($U1471),2))</f>
        <v/>
      </c>
      <c r="W1471" s="18">
        <f>IF(COUNTA($B1471:$R1471)=0,"",IF(OR($X1471="Pago",$X1471="Recebido",$X1471="Cancelado"),0,ROUND(N($Q1471)+N($S1471)+N($T1471)-N($U1471)-N($R1471),2)))</f>
        <v/>
      </c>
      <c r="X1471" s="14" t="n"/>
      <c r="Y1471" s="17">
        <f>IF(COUNTA($B1471:$R1471)=0,"",IF($X1471="Cancelado","Cancelado",IF(OR($X1471="Pago",$X1471="Recebido"),$X1471,IF(OR($X1471="Parcial",N($R1471)&gt;0),"Parcial",IF($C1471="","Sem vencimento",IF($C1471&lt;TODAY(),"Vencido",IF($C1471=TODAY(),"Vence hoje",IF($C1471&lt;=TODAY()+7,"Vence em 7 dias",IF($C1471&lt;=TODAY()+30,"Vence em 30 dias","Futuro")))))))))</f>
        <v/>
      </c>
      <c r="Z1471" s="24">
        <f>IF($B1471="","",MONTH($B1471))</f>
        <v/>
      </c>
      <c r="AA1471" s="24">
        <f>IF($B1471="","",YEAR($B1471))</f>
        <v/>
      </c>
      <c r="AB1471" s="24">
        <f>IF($B1471="","",ISOWEEKNUM($B1471))</f>
        <v/>
      </c>
      <c r="AC1471" s="17">
        <f>IF($B1471="","",CHOOSE(WEEKDAY($B1471,2),"Segunda","Terça","Quarta","Quinta","Sexta","Sábado","Domingo"))</f>
        <v/>
      </c>
      <c r="AD1471" s="17">
        <f>IF($B1471="","",TEXT($B1471,"MM/AAAA"))</f>
        <v/>
      </c>
      <c r="AE1471" s="18">
        <f>IF(COUNTA($B1471:$R1471)=0,"",IF($X1471="Cancelado",0,ROUND(N($Q1471)+N($S1471)+N($T1471)-N($U1471),2)))</f>
        <v/>
      </c>
      <c r="AF1471" s="9">
        <f>IF($G1471="","",IFERROR(INDEX(LINHAS_DRE_PLANO,MATCH($G1471,SUBCATEGORIAS_PLANO,0)),"Não classificado"))</f>
        <v/>
      </c>
      <c r="AG1471" s="17">
        <f>IF($G1471="","",IFERROR(INDEX(TIPOS_FLUXO_PLANO,MATCH($G1471,SUBCATEGORIAS_PLANO,0)),"Não classificado"))</f>
        <v/>
      </c>
      <c r="AH1471" s="9">
        <f>IF($G1471="","",IFERROR(INDEX(GRUPOS_PLANO,MATCH($G1471,SUBCATEGORIAS_PLANO,0)),"Não classificado"))</f>
        <v/>
      </c>
      <c r="AI1471" s="24">
        <f>IF(OR($C1471="",$X1471="Pago",$X1471="Recebido",$X1471="Cancelado"),"",$C1471-TODAY())</f>
        <v/>
      </c>
      <c r="AJ1471" s="24">
        <f>IF(OR($C1471="",$X1471="Pago",$X1471="Recebido",$X1471="Cancelado"),0,MAX(0,TODAY()-$C1471))</f>
        <v/>
      </c>
      <c r="AK1471" s="24">
        <f>IF($D1471="","",$D1471-$B1471)</f>
        <v/>
      </c>
      <c r="AL1471" s="18">
        <f>IF(OR($D1471="",$B1471=""),"",ROUND(N($R1471)*($D1471-$B1471),2))</f>
        <v/>
      </c>
      <c r="AM1471" s="17">
        <f>IF(AND($E1471="Saída",$W1471&gt;0,$C1471&lt;&gt;""),$C1471+ROW()/1000000,"")</f>
        <v/>
      </c>
      <c r="AN1471" s="17">
        <f>IF(AND($E1471="Entrada",$W1471&gt;0,$C1471&lt;&gt;""),$C1471+ROW()/1000000,"")</f>
        <v/>
      </c>
      <c r="AO1471" s="9">
        <f>IF(COUNTA($B1471:$R1471)=0,"",IF(AND($I1471&lt;&gt;"",COUNTIF(CLIENTES_NOMES,$I1471)+COUNTIF(CLIENTES_FANTASIA,$I1471)+COUNTIF(FORNECEDORES_NOMES,$I1471)+COUNTIF(FORNECEDORES_FANTASIA,$I1471)=0),"⚠ Cliente/Fornecedor não cadastrado",IF(AND($G1471&lt;&gt;"",COUNTIF(SUBCATEGORIAS_PLANO,$G1471)=0),"⚠ Subcategoria fora do plano de contas",IF(OR($Q1471="",N($Q1471)=0),"⚠ Valor previsto não informado",IF(AND(OR($X1471="Pago",$X1471="Recebido"),$D1471=""),"⚠ Status pago/recebido sem data",IF(AND($D1471&lt;&gt;"",N($R1471)=0),"⚠ Data de pagamento sem valor realizado",IF(AND(N($P1471)&gt;1,N($O1471)&gt;N($P1471)),"⚠ Nº da parcela maior que o total",IF(AND($C1471&lt;&gt;"",$B1471&lt;&gt;"",$C1471&lt;$B1471),"⚠ Vencimento anterior à competência","OK"))))))))</f>
        <v/>
      </c>
    </row>
    <row r="1472">
      <c r="A1472" s="14" t="n"/>
      <c r="B1472" s="36" t="n"/>
      <c r="C1472" s="36" t="n"/>
      <c r="D1472" s="36" t="n"/>
      <c r="E1472" s="14" t="n"/>
      <c r="F1472" s="29" t="n"/>
      <c r="G1472" s="29" t="n"/>
      <c r="H1472" s="29" t="n"/>
      <c r="I1472" s="29" t="n"/>
      <c r="J1472" s="29" t="n"/>
      <c r="K1472" s="14" t="n"/>
      <c r="L1472" s="29" t="n"/>
      <c r="M1472" s="14" t="n"/>
      <c r="N1472" s="29" t="n"/>
      <c r="O1472" s="13" t="n"/>
      <c r="P1472" s="13" t="n"/>
      <c r="Q1472" s="35" t="n"/>
      <c r="R1472" s="35" t="n"/>
      <c r="S1472" s="35" t="n"/>
      <c r="T1472" s="35" t="n"/>
      <c r="U1472" s="35" t="n"/>
      <c r="V1472" s="18">
        <f>IF(COUNTA($B1472:$R1472)=0,"",ROUND(N($R1472)+N($S1472)+N($T1472)-N($U1472),2))</f>
        <v/>
      </c>
      <c r="W1472" s="18">
        <f>IF(COUNTA($B1472:$R1472)=0,"",IF(OR($X1472="Pago",$X1472="Recebido",$X1472="Cancelado"),0,ROUND(N($Q1472)+N($S1472)+N($T1472)-N($U1472)-N($R1472),2)))</f>
        <v/>
      </c>
      <c r="X1472" s="14" t="n"/>
      <c r="Y1472" s="17">
        <f>IF(COUNTA($B1472:$R1472)=0,"",IF($X1472="Cancelado","Cancelado",IF(OR($X1472="Pago",$X1472="Recebido"),$X1472,IF(OR($X1472="Parcial",N($R1472)&gt;0),"Parcial",IF($C1472="","Sem vencimento",IF($C1472&lt;TODAY(),"Vencido",IF($C1472=TODAY(),"Vence hoje",IF($C1472&lt;=TODAY()+7,"Vence em 7 dias",IF($C1472&lt;=TODAY()+30,"Vence em 30 dias","Futuro")))))))))</f>
        <v/>
      </c>
      <c r="Z1472" s="24">
        <f>IF($B1472="","",MONTH($B1472))</f>
        <v/>
      </c>
      <c r="AA1472" s="24">
        <f>IF($B1472="","",YEAR($B1472))</f>
        <v/>
      </c>
      <c r="AB1472" s="24">
        <f>IF($B1472="","",ISOWEEKNUM($B1472))</f>
        <v/>
      </c>
      <c r="AC1472" s="17">
        <f>IF($B1472="","",CHOOSE(WEEKDAY($B1472,2),"Segunda","Terça","Quarta","Quinta","Sexta","Sábado","Domingo"))</f>
        <v/>
      </c>
      <c r="AD1472" s="17">
        <f>IF($B1472="","",TEXT($B1472,"MM/AAAA"))</f>
        <v/>
      </c>
      <c r="AE1472" s="18">
        <f>IF(COUNTA($B1472:$R1472)=0,"",IF($X1472="Cancelado",0,ROUND(N($Q1472)+N($S1472)+N($T1472)-N($U1472),2)))</f>
        <v/>
      </c>
      <c r="AF1472" s="9">
        <f>IF($G1472="","",IFERROR(INDEX(LINHAS_DRE_PLANO,MATCH($G1472,SUBCATEGORIAS_PLANO,0)),"Não classificado"))</f>
        <v/>
      </c>
      <c r="AG1472" s="17">
        <f>IF($G1472="","",IFERROR(INDEX(TIPOS_FLUXO_PLANO,MATCH($G1472,SUBCATEGORIAS_PLANO,0)),"Não classificado"))</f>
        <v/>
      </c>
      <c r="AH1472" s="9">
        <f>IF($G1472="","",IFERROR(INDEX(GRUPOS_PLANO,MATCH($G1472,SUBCATEGORIAS_PLANO,0)),"Não classificado"))</f>
        <v/>
      </c>
      <c r="AI1472" s="24">
        <f>IF(OR($C1472="",$X1472="Pago",$X1472="Recebido",$X1472="Cancelado"),"",$C1472-TODAY())</f>
        <v/>
      </c>
      <c r="AJ1472" s="24">
        <f>IF(OR($C1472="",$X1472="Pago",$X1472="Recebido",$X1472="Cancelado"),0,MAX(0,TODAY()-$C1472))</f>
        <v/>
      </c>
      <c r="AK1472" s="24">
        <f>IF($D1472="","",$D1472-$B1472)</f>
        <v/>
      </c>
      <c r="AL1472" s="18">
        <f>IF(OR($D1472="",$B1472=""),"",ROUND(N($R1472)*($D1472-$B1472),2))</f>
        <v/>
      </c>
      <c r="AM1472" s="17">
        <f>IF(AND($E1472="Saída",$W1472&gt;0,$C1472&lt;&gt;""),$C1472+ROW()/1000000,"")</f>
        <v/>
      </c>
      <c r="AN1472" s="17">
        <f>IF(AND($E1472="Entrada",$W1472&gt;0,$C1472&lt;&gt;""),$C1472+ROW()/1000000,"")</f>
        <v/>
      </c>
      <c r="AO1472" s="9">
        <f>IF(COUNTA($B1472:$R1472)=0,"",IF(AND($I1472&lt;&gt;"",COUNTIF(CLIENTES_NOMES,$I1472)+COUNTIF(CLIENTES_FANTASIA,$I1472)+COUNTIF(FORNECEDORES_NOMES,$I1472)+COUNTIF(FORNECEDORES_FANTASIA,$I1472)=0),"⚠ Cliente/Fornecedor não cadastrado",IF(AND($G1472&lt;&gt;"",COUNTIF(SUBCATEGORIAS_PLANO,$G1472)=0),"⚠ Subcategoria fora do plano de contas",IF(OR($Q1472="",N($Q1472)=0),"⚠ Valor previsto não informado",IF(AND(OR($X1472="Pago",$X1472="Recebido"),$D1472=""),"⚠ Status pago/recebido sem data",IF(AND($D1472&lt;&gt;"",N($R1472)=0),"⚠ Data de pagamento sem valor realizado",IF(AND(N($P1472)&gt;1,N($O1472)&gt;N($P1472)),"⚠ Nº da parcela maior que o total",IF(AND($C1472&lt;&gt;"",$B1472&lt;&gt;"",$C1472&lt;$B1472),"⚠ Vencimento anterior à competência","OK"))))))))</f>
        <v/>
      </c>
    </row>
    <row r="1473">
      <c r="A1473" s="14" t="n"/>
      <c r="B1473" s="36" t="n"/>
      <c r="C1473" s="36" t="n"/>
      <c r="D1473" s="36" t="n"/>
      <c r="E1473" s="14" t="n"/>
      <c r="F1473" s="29" t="n"/>
      <c r="G1473" s="29" t="n"/>
      <c r="H1473" s="29" t="n"/>
      <c r="I1473" s="29" t="n"/>
      <c r="J1473" s="29" t="n"/>
      <c r="K1473" s="14" t="n"/>
      <c r="L1473" s="29" t="n"/>
      <c r="M1473" s="14" t="n"/>
      <c r="N1473" s="29" t="n"/>
      <c r="O1473" s="13" t="n"/>
      <c r="P1473" s="13" t="n"/>
      <c r="Q1473" s="35" t="n"/>
      <c r="R1473" s="35" t="n"/>
      <c r="S1473" s="35" t="n"/>
      <c r="T1473" s="35" t="n"/>
      <c r="U1473" s="35" t="n"/>
      <c r="V1473" s="18">
        <f>IF(COUNTA($B1473:$R1473)=0,"",ROUND(N($R1473)+N($S1473)+N($T1473)-N($U1473),2))</f>
        <v/>
      </c>
      <c r="W1473" s="18">
        <f>IF(COUNTA($B1473:$R1473)=0,"",IF(OR($X1473="Pago",$X1473="Recebido",$X1473="Cancelado"),0,ROUND(N($Q1473)+N($S1473)+N($T1473)-N($U1473)-N($R1473),2)))</f>
        <v/>
      </c>
      <c r="X1473" s="14" t="n"/>
      <c r="Y1473" s="17">
        <f>IF(COUNTA($B1473:$R1473)=0,"",IF($X1473="Cancelado","Cancelado",IF(OR($X1473="Pago",$X1473="Recebido"),$X1473,IF(OR($X1473="Parcial",N($R1473)&gt;0),"Parcial",IF($C1473="","Sem vencimento",IF($C1473&lt;TODAY(),"Vencido",IF($C1473=TODAY(),"Vence hoje",IF($C1473&lt;=TODAY()+7,"Vence em 7 dias",IF($C1473&lt;=TODAY()+30,"Vence em 30 dias","Futuro")))))))))</f>
        <v/>
      </c>
      <c r="Z1473" s="24">
        <f>IF($B1473="","",MONTH($B1473))</f>
        <v/>
      </c>
      <c r="AA1473" s="24">
        <f>IF($B1473="","",YEAR($B1473))</f>
        <v/>
      </c>
      <c r="AB1473" s="24">
        <f>IF($B1473="","",ISOWEEKNUM($B1473))</f>
        <v/>
      </c>
      <c r="AC1473" s="17">
        <f>IF($B1473="","",CHOOSE(WEEKDAY($B1473,2),"Segunda","Terça","Quarta","Quinta","Sexta","Sábado","Domingo"))</f>
        <v/>
      </c>
      <c r="AD1473" s="17">
        <f>IF($B1473="","",TEXT($B1473,"MM/AAAA"))</f>
        <v/>
      </c>
      <c r="AE1473" s="18">
        <f>IF(COUNTA($B1473:$R1473)=0,"",IF($X1473="Cancelado",0,ROUND(N($Q1473)+N($S1473)+N($T1473)-N($U1473),2)))</f>
        <v/>
      </c>
      <c r="AF1473" s="9">
        <f>IF($G1473="","",IFERROR(INDEX(LINHAS_DRE_PLANO,MATCH($G1473,SUBCATEGORIAS_PLANO,0)),"Não classificado"))</f>
        <v/>
      </c>
      <c r="AG1473" s="17">
        <f>IF($G1473="","",IFERROR(INDEX(TIPOS_FLUXO_PLANO,MATCH($G1473,SUBCATEGORIAS_PLANO,0)),"Não classificado"))</f>
        <v/>
      </c>
      <c r="AH1473" s="9">
        <f>IF($G1473="","",IFERROR(INDEX(GRUPOS_PLANO,MATCH($G1473,SUBCATEGORIAS_PLANO,0)),"Não classificado"))</f>
        <v/>
      </c>
      <c r="AI1473" s="24">
        <f>IF(OR($C1473="",$X1473="Pago",$X1473="Recebido",$X1473="Cancelado"),"",$C1473-TODAY())</f>
        <v/>
      </c>
      <c r="AJ1473" s="24">
        <f>IF(OR($C1473="",$X1473="Pago",$X1473="Recebido",$X1473="Cancelado"),0,MAX(0,TODAY()-$C1473))</f>
        <v/>
      </c>
      <c r="AK1473" s="24">
        <f>IF($D1473="","",$D1473-$B1473)</f>
        <v/>
      </c>
      <c r="AL1473" s="18">
        <f>IF(OR($D1473="",$B1473=""),"",ROUND(N($R1473)*($D1473-$B1473),2))</f>
        <v/>
      </c>
      <c r="AM1473" s="17">
        <f>IF(AND($E1473="Saída",$W1473&gt;0,$C1473&lt;&gt;""),$C1473+ROW()/1000000,"")</f>
        <v/>
      </c>
      <c r="AN1473" s="17">
        <f>IF(AND($E1473="Entrada",$W1473&gt;0,$C1473&lt;&gt;""),$C1473+ROW()/1000000,"")</f>
        <v/>
      </c>
      <c r="AO1473" s="9">
        <f>IF(COUNTA($B1473:$R1473)=0,"",IF(AND($I1473&lt;&gt;"",COUNTIF(CLIENTES_NOMES,$I1473)+COUNTIF(CLIENTES_FANTASIA,$I1473)+COUNTIF(FORNECEDORES_NOMES,$I1473)+COUNTIF(FORNECEDORES_FANTASIA,$I1473)=0),"⚠ Cliente/Fornecedor não cadastrado",IF(AND($G1473&lt;&gt;"",COUNTIF(SUBCATEGORIAS_PLANO,$G1473)=0),"⚠ Subcategoria fora do plano de contas",IF(OR($Q1473="",N($Q1473)=0),"⚠ Valor previsto não informado",IF(AND(OR($X1473="Pago",$X1473="Recebido"),$D1473=""),"⚠ Status pago/recebido sem data",IF(AND($D1473&lt;&gt;"",N($R1473)=0),"⚠ Data de pagamento sem valor realizado",IF(AND(N($P1473)&gt;1,N($O1473)&gt;N($P1473)),"⚠ Nº da parcela maior que o total",IF(AND($C1473&lt;&gt;"",$B1473&lt;&gt;"",$C1473&lt;$B1473),"⚠ Vencimento anterior à competência","OK"))))))))</f>
        <v/>
      </c>
    </row>
    <row r="1474">
      <c r="A1474" s="14" t="n"/>
      <c r="B1474" s="36" t="n"/>
      <c r="C1474" s="36" t="n"/>
      <c r="D1474" s="36" t="n"/>
      <c r="E1474" s="14" t="n"/>
      <c r="F1474" s="29" t="n"/>
      <c r="G1474" s="29" t="n"/>
      <c r="H1474" s="29" t="n"/>
      <c r="I1474" s="29" t="n"/>
      <c r="J1474" s="29" t="n"/>
      <c r="K1474" s="14" t="n"/>
      <c r="L1474" s="29" t="n"/>
      <c r="M1474" s="14" t="n"/>
      <c r="N1474" s="29" t="n"/>
      <c r="O1474" s="13" t="n"/>
      <c r="P1474" s="13" t="n"/>
      <c r="Q1474" s="35" t="n"/>
      <c r="R1474" s="35" t="n"/>
      <c r="S1474" s="35" t="n"/>
      <c r="T1474" s="35" t="n"/>
      <c r="U1474" s="35" t="n"/>
      <c r="V1474" s="18">
        <f>IF(COUNTA($B1474:$R1474)=0,"",ROUND(N($R1474)+N($S1474)+N($T1474)-N($U1474),2))</f>
        <v/>
      </c>
      <c r="W1474" s="18">
        <f>IF(COUNTA($B1474:$R1474)=0,"",IF(OR($X1474="Pago",$X1474="Recebido",$X1474="Cancelado"),0,ROUND(N($Q1474)+N($S1474)+N($T1474)-N($U1474)-N($R1474),2)))</f>
        <v/>
      </c>
      <c r="X1474" s="14" t="n"/>
      <c r="Y1474" s="17">
        <f>IF(COUNTA($B1474:$R1474)=0,"",IF($X1474="Cancelado","Cancelado",IF(OR($X1474="Pago",$X1474="Recebido"),$X1474,IF(OR($X1474="Parcial",N($R1474)&gt;0),"Parcial",IF($C1474="","Sem vencimento",IF($C1474&lt;TODAY(),"Vencido",IF($C1474=TODAY(),"Vence hoje",IF($C1474&lt;=TODAY()+7,"Vence em 7 dias",IF($C1474&lt;=TODAY()+30,"Vence em 30 dias","Futuro")))))))))</f>
        <v/>
      </c>
      <c r="Z1474" s="24">
        <f>IF($B1474="","",MONTH($B1474))</f>
        <v/>
      </c>
      <c r="AA1474" s="24">
        <f>IF($B1474="","",YEAR($B1474))</f>
        <v/>
      </c>
      <c r="AB1474" s="24">
        <f>IF($B1474="","",ISOWEEKNUM($B1474))</f>
        <v/>
      </c>
      <c r="AC1474" s="17">
        <f>IF($B1474="","",CHOOSE(WEEKDAY($B1474,2),"Segunda","Terça","Quarta","Quinta","Sexta","Sábado","Domingo"))</f>
        <v/>
      </c>
      <c r="AD1474" s="17">
        <f>IF($B1474="","",TEXT($B1474,"MM/AAAA"))</f>
        <v/>
      </c>
      <c r="AE1474" s="18">
        <f>IF(COUNTA($B1474:$R1474)=0,"",IF($X1474="Cancelado",0,ROUND(N($Q1474)+N($S1474)+N($T1474)-N($U1474),2)))</f>
        <v/>
      </c>
      <c r="AF1474" s="9">
        <f>IF($G1474="","",IFERROR(INDEX(LINHAS_DRE_PLANO,MATCH($G1474,SUBCATEGORIAS_PLANO,0)),"Não classificado"))</f>
        <v/>
      </c>
      <c r="AG1474" s="17">
        <f>IF($G1474="","",IFERROR(INDEX(TIPOS_FLUXO_PLANO,MATCH($G1474,SUBCATEGORIAS_PLANO,0)),"Não classificado"))</f>
        <v/>
      </c>
      <c r="AH1474" s="9">
        <f>IF($G1474="","",IFERROR(INDEX(GRUPOS_PLANO,MATCH($G1474,SUBCATEGORIAS_PLANO,0)),"Não classificado"))</f>
        <v/>
      </c>
      <c r="AI1474" s="24">
        <f>IF(OR($C1474="",$X1474="Pago",$X1474="Recebido",$X1474="Cancelado"),"",$C1474-TODAY())</f>
        <v/>
      </c>
      <c r="AJ1474" s="24">
        <f>IF(OR($C1474="",$X1474="Pago",$X1474="Recebido",$X1474="Cancelado"),0,MAX(0,TODAY()-$C1474))</f>
        <v/>
      </c>
      <c r="AK1474" s="24">
        <f>IF($D1474="","",$D1474-$B1474)</f>
        <v/>
      </c>
      <c r="AL1474" s="18">
        <f>IF(OR($D1474="",$B1474=""),"",ROUND(N($R1474)*($D1474-$B1474),2))</f>
        <v/>
      </c>
      <c r="AM1474" s="17">
        <f>IF(AND($E1474="Saída",$W1474&gt;0,$C1474&lt;&gt;""),$C1474+ROW()/1000000,"")</f>
        <v/>
      </c>
      <c r="AN1474" s="17">
        <f>IF(AND($E1474="Entrada",$W1474&gt;0,$C1474&lt;&gt;""),$C1474+ROW()/1000000,"")</f>
        <v/>
      </c>
      <c r="AO1474" s="9">
        <f>IF(COUNTA($B1474:$R1474)=0,"",IF(AND($I1474&lt;&gt;"",COUNTIF(CLIENTES_NOMES,$I1474)+COUNTIF(CLIENTES_FANTASIA,$I1474)+COUNTIF(FORNECEDORES_NOMES,$I1474)+COUNTIF(FORNECEDORES_FANTASIA,$I1474)=0),"⚠ Cliente/Fornecedor não cadastrado",IF(AND($G1474&lt;&gt;"",COUNTIF(SUBCATEGORIAS_PLANO,$G1474)=0),"⚠ Subcategoria fora do plano de contas",IF(OR($Q1474="",N($Q1474)=0),"⚠ Valor previsto não informado",IF(AND(OR($X1474="Pago",$X1474="Recebido"),$D1474=""),"⚠ Status pago/recebido sem data",IF(AND($D1474&lt;&gt;"",N($R1474)=0),"⚠ Data de pagamento sem valor realizado",IF(AND(N($P1474)&gt;1,N($O1474)&gt;N($P1474)),"⚠ Nº da parcela maior que o total",IF(AND($C1474&lt;&gt;"",$B1474&lt;&gt;"",$C1474&lt;$B1474),"⚠ Vencimento anterior à competência","OK"))))))))</f>
        <v/>
      </c>
    </row>
    <row r="1475">
      <c r="A1475" s="14" t="n"/>
      <c r="B1475" s="36" t="n"/>
      <c r="C1475" s="36" t="n"/>
      <c r="D1475" s="36" t="n"/>
      <c r="E1475" s="14" t="n"/>
      <c r="F1475" s="29" t="n"/>
      <c r="G1475" s="29" t="n"/>
      <c r="H1475" s="29" t="n"/>
      <c r="I1475" s="29" t="n"/>
      <c r="J1475" s="29" t="n"/>
      <c r="K1475" s="14" t="n"/>
      <c r="L1475" s="29" t="n"/>
      <c r="M1475" s="14" t="n"/>
      <c r="N1475" s="29" t="n"/>
      <c r="O1475" s="13" t="n"/>
      <c r="P1475" s="13" t="n"/>
      <c r="Q1475" s="35" t="n"/>
      <c r="R1475" s="35" t="n"/>
      <c r="S1475" s="35" t="n"/>
      <c r="T1475" s="35" t="n"/>
      <c r="U1475" s="35" t="n"/>
      <c r="V1475" s="18">
        <f>IF(COUNTA($B1475:$R1475)=0,"",ROUND(N($R1475)+N($S1475)+N($T1475)-N($U1475),2))</f>
        <v/>
      </c>
      <c r="W1475" s="18">
        <f>IF(COUNTA($B1475:$R1475)=0,"",IF(OR($X1475="Pago",$X1475="Recebido",$X1475="Cancelado"),0,ROUND(N($Q1475)+N($S1475)+N($T1475)-N($U1475)-N($R1475),2)))</f>
        <v/>
      </c>
      <c r="X1475" s="14" t="n"/>
      <c r="Y1475" s="17">
        <f>IF(COUNTA($B1475:$R1475)=0,"",IF($X1475="Cancelado","Cancelado",IF(OR($X1475="Pago",$X1475="Recebido"),$X1475,IF(OR($X1475="Parcial",N($R1475)&gt;0),"Parcial",IF($C1475="","Sem vencimento",IF($C1475&lt;TODAY(),"Vencido",IF($C1475=TODAY(),"Vence hoje",IF($C1475&lt;=TODAY()+7,"Vence em 7 dias",IF($C1475&lt;=TODAY()+30,"Vence em 30 dias","Futuro")))))))))</f>
        <v/>
      </c>
      <c r="Z1475" s="24">
        <f>IF($B1475="","",MONTH($B1475))</f>
        <v/>
      </c>
      <c r="AA1475" s="24">
        <f>IF($B1475="","",YEAR($B1475))</f>
        <v/>
      </c>
      <c r="AB1475" s="24">
        <f>IF($B1475="","",ISOWEEKNUM($B1475))</f>
        <v/>
      </c>
      <c r="AC1475" s="17">
        <f>IF($B1475="","",CHOOSE(WEEKDAY($B1475,2),"Segunda","Terça","Quarta","Quinta","Sexta","Sábado","Domingo"))</f>
        <v/>
      </c>
      <c r="AD1475" s="17">
        <f>IF($B1475="","",TEXT($B1475,"MM/AAAA"))</f>
        <v/>
      </c>
      <c r="AE1475" s="18">
        <f>IF(COUNTA($B1475:$R1475)=0,"",IF($X1475="Cancelado",0,ROUND(N($Q1475)+N($S1475)+N($T1475)-N($U1475),2)))</f>
        <v/>
      </c>
      <c r="AF1475" s="9">
        <f>IF($G1475="","",IFERROR(INDEX(LINHAS_DRE_PLANO,MATCH($G1475,SUBCATEGORIAS_PLANO,0)),"Não classificado"))</f>
        <v/>
      </c>
      <c r="AG1475" s="17">
        <f>IF($G1475="","",IFERROR(INDEX(TIPOS_FLUXO_PLANO,MATCH($G1475,SUBCATEGORIAS_PLANO,0)),"Não classificado"))</f>
        <v/>
      </c>
      <c r="AH1475" s="9">
        <f>IF($G1475="","",IFERROR(INDEX(GRUPOS_PLANO,MATCH($G1475,SUBCATEGORIAS_PLANO,0)),"Não classificado"))</f>
        <v/>
      </c>
      <c r="AI1475" s="24">
        <f>IF(OR($C1475="",$X1475="Pago",$X1475="Recebido",$X1475="Cancelado"),"",$C1475-TODAY())</f>
        <v/>
      </c>
      <c r="AJ1475" s="24">
        <f>IF(OR($C1475="",$X1475="Pago",$X1475="Recebido",$X1475="Cancelado"),0,MAX(0,TODAY()-$C1475))</f>
        <v/>
      </c>
      <c r="AK1475" s="24">
        <f>IF($D1475="","",$D1475-$B1475)</f>
        <v/>
      </c>
      <c r="AL1475" s="18">
        <f>IF(OR($D1475="",$B1475=""),"",ROUND(N($R1475)*($D1475-$B1475),2))</f>
        <v/>
      </c>
      <c r="AM1475" s="17">
        <f>IF(AND($E1475="Saída",$W1475&gt;0,$C1475&lt;&gt;""),$C1475+ROW()/1000000,"")</f>
        <v/>
      </c>
      <c r="AN1475" s="17">
        <f>IF(AND($E1475="Entrada",$W1475&gt;0,$C1475&lt;&gt;""),$C1475+ROW()/1000000,"")</f>
        <v/>
      </c>
      <c r="AO1475" s="9">
        <f>IF(COUNTA($B1475:$R1475)=0,"",IF(AND($I1475&lt;&gt;"",COUNTIF(CLIENTES_NOMES,$I1475)+COUNTIF(CLIENTES_FANTASIA,$I1475)+COUNTIF(FORNECEDORES_NOMES,$I1475)+COUNTIF(FORNECEDORES_FANTASIA,$I1475)=0),"⚠ Cliente/Fornecedor não cadastrado",IF(AND($G1475&lt;&gt;"",COUNTIF(SUBCATEGORIAS_PLANO,$G1475)=0),"⚠ Subcategoria fora do plano de contas",IF(OR($Q1475="",N($Q1475)=0),"⚠ Valor previsto não informado",IF(AND(OR($X1475="Pago",$X1475="Recebido"),$D1475=""),"⚠ Status pago/recebido sem data",IF(AND($D1475&lt;&gt;"",N($R1475)=0),"⚠ Data de pagamento sem valor realizado",IF(AND(N($P1475)&gt;1,N($O1475)&gt;N($P1475)),"⚠ Nº da parcela maior que o total",IF(AND($C1475&lt;&gt;"",$B1475&lt;&gt;"",$C1475&lt;$B1475),"⚠ Vencimento anterior à competência","OK"))))))))</f>
        <v/>
      </c>
    </row>
    <row r="1476">
      <c r="A1476" s="14" t="n"/>
      <c r="B1476" s="36" t="n"/>
      <c r="C1476" s="36" t="n"/>
      <c r="D1476" s="36" t="n"/>
      <c r="E1476" s="14" t="n"/>
      <c r="F1476" s="29" t="n"/>
      <c r="G1476" s="29" t="n"/>
      <c r="H1476" s="29" t="n"/>
      <c r="I1476" s="29" t="n"/>
      <c r="J1476" s="29" t="n"/>
      <c r="K1476" s="14" t="n"/>
      <c r="L1476" s="29" t="n"/>
      <c r="M1476" s="14" t="n"/>
      <c r="N1476" s="29" t="n"/>
      <c r="O1476" s="13" t="n"/>
      <c r="P1476" s="13" t="n"/>
      <c r="Q1476" s="35" t="n"/>
      <c r="R1476" s="35" t="n"/>
      <c r="S1476" s="35" t="n"/>
      <c r="T1476" s="35" t="n"/>
      <c r="U1476" s="35" t="n"/>
      <c r="V1476" s="18">
        <f>IF(COUNTA($B1476:$R1476)=0,"",ROUND(N($R1476)+N($S1476)+N($T1476)-N($U1476),2))</f>
        <v/>
      </c>
      <c r="W1476" s="18">
        <f>IF(COUNTA($B1476:$R1476)=0,"",IF(OR($X1476="Pago",$X1476="Recebido",$X1476="Cancelado"),0,ROUND(N($Q1476)+N($S1476)+N($T1476)-N($U1476)-N($R1476),2)))</f>
        <v/>
      </c>
      <c r="X1476" s="14" t="n"/>
      <c r="Y1476" s="17">
        <f>IF(COUNTA($B1476:$R1476)=0,"",IF($X1476="Cancelado","Cancelado",IF(OR($X1476="Pago",$X1476="Recebido"),$X1476,IF(OR($X1476="Parcial",N($R1476)&gt;0),"Parcial",IF($C1476="","Sem vencimento",IF($C1476&lt;TODAY(),"Vencido",IF($C1476=TODAY(),"Vence hoje",IF($C1476&lt;=TODAY()+7,"Vence em 7 dias",IF($C1476&lt;=TODAY()+30,"Vence em 30 dias","Futuro")))))))))</f>
        <v/>
      </c>
      <c r="Z1476" s="24">
        <f>IF($B1476="","",MONTH($B1476))</f>
        <v/>
      </c>
      <c r="AA1476" s="24">
        <f>IF($B1476="","",YEAR($B1476))</f>
        <v/>
      </c>
      <c r="AB1476" s="24">
        <f>IF($B1476="","",ISOWEEKNUM($B1476))</f>
        <v/>
      </c>
      <c r="AC1476" s="17">
        <f>IF($B1476="","",CHOOSE(WEEKDAY($B1476,2),"Segunda","Terça","Quarta","Quinta","Sexta","Sábado","Domingo"))</f>
        <v/>
      </c>
      <c r="AD1476" s="17">
        <f>IF($B1476="","",TEXT($B1476,"MM/AAAA"))</f>
        <v/>
      </c>
      <c r="AE1476" s="18">
        <f>IF(COUNTA($B1476:$R1476)=0,"",IF($X1476="Cancelado",0,ROUND(N($Q1476)+N($S1476)+N($T1476)-N($U1476),2)))</f>
        <v/>
      </c>
      <c r="AF1476" s="9">
        <f>IF($G1476="","",IFERROR(INDEX(LINHAS_DRE_PLANO,MATCH($G1476,SUBCATEGORIAS_PLANO,0)),"Não classificado"))</f>
        <v/>
      </c>
      <c r="AG1476" s="17">
        <f>IF($G1476="","",IFERROR(INDEX(TIPOS_FLUXO_PLANO,MATCH($G1476,SUBCATEGORIAS_PLANO,0)),"Não classificado"))</f>
        <v/>
      </c>
      <c r="AH1476" s="9">
        <f>IF($G1476="","",IFERROR(INDEX(GRUPOS_PLANO,MATCH($G1476,SUBCATEGORIAS_PLANO,0)),"Não classificado"))</f>
        <v/>
      </c>
      <c r="AI1476" s="24">
        <f>IF(OR($C1476="",$X1476="Pago",$X1476="Recebido",$X1476="Cancelado"),"",$C1476-TODAY())</f>
        <v/>
      </c>
      <c r="AJ1476" s="24">
        <f>IF(OR($C1476="",$X1476="Pago",$X1476="Recebido",$X1476="Cancelado"),0,MAX(0,TODAY()-$C1476))</f>
        <v/>
      </c>
      <c r="AK1476" s="24">
        <f>IF($D1476="","",$D1476-$B1476)</f>
        <v/>
      </c>
      <c r="AL1476" s="18">
        <f>IF(OR($D1476="",$B1476=""),"",ROUND(N($R1476)*($D1476-$B1476),2))</f>
        <v/>
      </c>
      <c r="AM1476" s="17">
        <f>IF(AND($E1476="Saída",$W1476&gt;0,$C1476&lt;&gt;""),$C1476+ROW()/1000000,"")</f>
        <v/>
      </c>
      <c r="AN1476" s="17">
        <f>IF(AND($E1476="Entrada",$W1476&gt;0,$C1476&lt;&gt;""),$C1476+ROW()/1000000,"")</f>
        <v/>
      </c>
      <c r="AO1476" s="9">
        <f>IF(COUNTA($B1476:$R1476)=0,"",IF(AND($I1476&lt;&gt;"",COUNTIF(CLIENTES_NOMES,$I1476)+COUNTIF(CLIENTES_FANTASIA,$I1476)+COUNTIF(FORNECEDORES_NOMES,$I1476)+COUNTIF(FORNECEDORES_FANTASIA,$I1476)=0),"⚠ Cliente/Fornecedor não cadastrado",IF(AND($G1476&lt;&gt;"",COUNTIF(SUBCATEGORIAS_PLANO,$G1476)=0),"⚠ Subcategoria fora do plano de contas",IF(OR($Q1476="",N($Q1476)=0),"⚠ Valor previsto não informado",IF(AND(OR($X1476="Pago",$X1476="Recebido"),$D1476=""),"⚠ Status pago/recebido sem data",IF(AND($D1476&lt;&gt;"",N($R1476)=0),"⚠ Data de pagamento sem valor realizado",IF(AND(N($P1476)&gt;1,N($O1476)&gt;N($P1476)),"⚠ Nº da parcela maior que o total",IF(AND($C1476&lt;&gt;"",$B1476&lt;&gt;"",$C1476&lt;$B1476),"⚠ Vencimento anterior à competência","OK"))))))))</f>
        <v/>
      </c>
    </row>
    <row r="1477">
      <c r="A1477" s="14" t="n"/>
      <c r="B1477" s="36" t="n"/>
      <c r="C1477" s="36" t="n"/>
      <c r="D1477" s="36" t="n"/>
      <c r="E1477" s="14" t="n"/>
      <c r="F1477" s="29" t="n"/>
      <c r="G1477" s="29" t="n"/>
      <c r="H1477" s="29" t="n"/>
      <c r="I1477" s="29" t="n"/>
      <c r="J1477" s="29" t="n"/>
      <c r="K1477" s="14" t="n"/>
      <c r="L1477" s="29" t="n"/>
      <c r="M1477" s="14" t="n"/>
      <c r="N1477" s="29" t="n"/>
      <c r="O1477" s="13" t="n"/>
      <c r="P1477" s="13" t="n"/>
      <c r="Q1477" s="35" t="n"/>
      <c r="R1477" s="35" t="n"/>
      <c r="S1477" s="35" t="n"/>
      <c r="T1477" s="35" t="n"/>
      <c r="U1477" s="35" t="n"/>
      <c r="V1477" s="18">
        <f>IF(COUNTA($B1477:$R1477)=0,"",ROUND(N($R1477)+N($S1477)+N($T1477)-N($U1477),2))</f>
        <v/>
      </c>
      <c r="W1477" s="18">
        <f>IF(COUNTA($B1477:$R1477)=0,"",IF(OR($X1477="Pago",$X1477="Recebido",$X1477="Cancelado"),0,ROUND(N($Q1477)+N($S1477)+N($T1477)-N($U1477)-N($R1477),2)))</f>
        <v/>
      </c>
      <c r="X1477" s="14" t="n"/>
      <c r="Y1477" s="17">
        <f>IF(COUNTA($B1477:$R1477)=0,"",IF($X1477="Cancelado","Cancelado",IF(OR($X1477="Pago",$X1477="Recebido"),$X1477,IF(OR($X1477="Parcial",N($R1477)&gt;0),"Parcial",IF($C1477="","Sem vencimento",IF($C1477&lt;TODAY(),"Vencido",IF($C1477=TODAY(),"Vence hoje",IF($C1477&lt;=TODAY()+7,"Vence em 7 dias",IF($C1477&lt;=TODAY()+30,"Vence em 30 dias","Futuro")))))))))</f>
        <v/>
      </c>
      <c r="Z1477" s="24">
        <f>IF($B1477="","",MONTH($B1477))</f>
        <v/>
      </c>
      <c r="AA1477" s="24">
        <f>IF($B1477="","",YEAR($B1477))</f>
        <v/>
      </c>
      <c r="AB1477" s="24">
        <f>IF($B1477="","",ISOWEEKNUM($B1477))</f>
        <v/>
      </c>
      <c r="AC1477" s="17">
        <f>IF($B1477="","",CHOOSE(WEEKDAY($B1477,2),"Segunda","Terça","Quarta","Quinta","Sexta","Sábado","Domingo"))</f>
        <v/>
      </c>
      <c r="AD1477" s="17">
        <f>IF($B1477="","",TEXT($B1477,"MM/AAAA"))</f>
        <v/>
      </c>
      <c r="AE1477" s="18">
        <f>IF(COUNTA($B1477:$R1477)=0,"",IF($X1477="Cancelado",0,ROUND(N($Q1477)+N($S1477)+N($T1477)-N($U1477),2)))</f>
        <v/>
      </c>
      <c r="AF1477" s="9">
        <f>IF($G1477="","",IFERROR(INDEX(LINHAS_DRE_PLANO,MATCH($G1477,SUBCATEGORIAS_PLANO,0)),"Não classificado"))</f>
        <v/>
      </c>
      <c r="AG1477" s="17">
        <f>IF($G1477="","",IFERROR(INDEX(TIPOS_FLUXO_PLANO,MATCH($G1477,SUBCATEGORIAS_PLANO,0)),"Não classificado"))</f>
        <v/>
      </c>
      <c r="AH1477" s="9">
        <f>IF($G1477="","",IFERROR(INDEX(GRUPOS_PLANO,MATCH($G1477,SUBCATEGORIAS_PLANO,0)),"Não classificado"))</f>
        <v/>
      </c>
      <c r="AI1477" s="24">
        <f>IF(OR($C1477="",$X1477="Pago",$X1477="Recebido",$X1477="Cancelado"),"",$C1477-TODAY())</f>
        <v/>
      </c>
      <c r="AJ1477" s="24">
        <f>IF(OR($C1477="",$X1477="Pago",$X1477="Recebido",$X1477="Cancelado"),0,MAX(0,TODAY()-$C1477))</f>
        <v/>
      </c>
      <c r="AK1477" s="24">
        <f>IF($D1477="","",$D1477-$B1477)</f>
        <v/>
      </c>
      <c r="AL1477" s="18">
        <f>IF(OR($D1477="",$B1477=""),"",ROUND(N($R1477)*($D1477-$B1477),2))</f>
        <v/>
      </c>
      <c r="AM1477" s="17">
        <f>IF(AND($E1477="Saída",$W1477&gt;0,$C1477&lt;&gt;""),$C1477+ROW()/1000000,"")</f>
        <v/>
      </c>
      <c r="AN1477" s="17">
        <f>IF(AND($E1477="Entrada",$W1477&gt;0,$C1477&lt;&gt;""),$C1477+ROW()/1000000,"")</f>
        <v/>
      </c>
      <c r="AO1477" s="9">
        <f>IF(COUNTA($B1477:$R1477)=0,"",IF(AND($I1477&lt;&gt;"",COUNTIF(CLIENTES_NOMES,$I1477)+COUNTIF(CLIENTES_FANTASIA,$I1477)+COUNTIF(FORNECEDORES_NOMES,$I1477)+COUNTIF(FORNECEDORES_FANTASIA,$I1477)=0),"⚠ Cliente/Fornecedor não cadastrado",IF(AND($G1477&lt;&gt;"",COUNTIF(SUBCATEGORIAS_PLANO,$G1477)=0),"⚠ Subcategoria fora do plano de contas",IF(OR($Q1477="",N($Q1477)=0),"⚠ Valor previsto não informado",IF(AND(OR($X1477="Pago",$X1477="Recebido"),$D1477=""),"⚠ Status pago/recebido sem data",IF(AND($D1477&lt;&gt;"",N($R1477)=0),"⚠ Data de pagamento sem valor realizado",IF(AND(N($P1477)&gt;1,N($O1477)&gt;N($P1477)),"⚠ Nº da parcela maior que o total",IF(AND($C1477&lt;&gt;"",$B1477&lt;&gt;"",$C1477&lt;$B1477),"⚠ Vencimento anterior à competência","OK"))))))))</f>
        <v/>
      </c>
    </row>
    <row r="1478">
      <c r="A1478" s="14" t="n"/>
      <c r="B1478" s="36" t="n"/>
      <c r="C1478" s="36" t="n"/>
      <c r="D1478" s="36" t="n"/>
      <c r="E1478" s="14" t="n"/>
      <c r="F1478" s="29" t="n"/>
      <c r="G1478" s="29" t="n"/>
      <c r="H1478" s="29" t="n"/>
      <c r="I1478" s="29" t="n"/>
      <c r="J1478" s="29" t="n"/>
      <c r="K1478" s="14" t="n"/>
      <c r="L1478" s="29" t="n"/>
      <c r="M1478" s="14" t="n"/>
      <c r="N1478" s="29" t="n"/>
      <c r="O1478" s="13" t="n"/>
      <c r="P1478" s="13" t="n"/>
      <c r="Q1478" s="35" t="n"/>
      <c r="R1478" s="35" t="n"/>
      <c r="S1478" s="35" t="n"/>
      <c r="T1478" s="35" t="n"/>
      <c r="U1478" s="35" t="n"/>
      <c r="V1478" s="18">
        <f>IF(COUNTA($B1478:$R1478)=0,"",ROUND(N($R1478)+N($S1478)+N($T1478)-N($U1478),2))</f>
        <v/>
      </c>
      <c r="W1478" s="18">
        <f>IF(COUNTA($B1478:$R1478)=0,"",IF(OR($X1478="Pago",$X1478="Recebido",$X1478="Cancelado"),0,ROUND(N($Q1478)+N($S1478)+N($T1478)-N($U1478)-N($R1478),2)))</f>
        <v/>
      </c>
      <c r="X1478" s="14" t="n"/>
      <c r="Y1478" s="17">
        <f>IF(COUNTA($B1478:$R1478)=0,"",IF($X1478="Cancelado","Cancelado",IF(OR($X1478="Pago",$X1478="Recebido"),$X1478,IF(OR($X1478="Parcial",N($R1478)&gt;0),"Parcial",IF($C1478="","Sem vencimento",IF($C1478&lt;TODAY(),"Vencido",IF($C1478=TODAY(),"Vence hoje",IF($C1478&lt;=TODAY()+7,"Vence em 7 dias",IF($C1478&lt;=TODAY()+30,"Vence em 30 dias","Futuro")))))))))</f>
        <v/>
      </c>
      <c r="Z1478" s="24">
        <f>IF($B1478="","",MONTH($B1478))</f>
        <v/>
      </c>
      <c r="AA1478" s="24">
        <f>IF($B1478="","",YEAR($B1478))</f>
        <v/>
      </c>
      <c r="AB1478" s="24">
        <f>IF($B1478="","",ISOWEEKNUM($B1478))</f>
        <v/>
      </c>
      <c r="AC1478" s="17">
        <f>IF($B1478="","",CHOOSE(WEEKDAY($B1478,2),"Segunda","Terça","Quarta","Quinta","Sexta","Sábado","Domingo"))</f>
        <v/>
      </c>
      <c r="AD1478" s="17">
        <f>IF($B1478="","",TEXT($B1478,"MM/AAAA"))</f>
        <v/>
      </c>
      <c r="AE1478" s="18">
        <f>IF(COUNTA($B1478:$R1478)=0,"",IF($X1478="Cancelado",0,ROUND(N($Q1478)+N($S1478)+N($T1478)-N($U1478),2)))</f>
        <v/>
      </c>
      <c r="AF1478" s="9">
        <f>IF($G1478="","",IFERROR(INDEX(LINHAS_DRE_PLANO,MATCH($G1478,SUBCATEGORIAS_PLANO,0)),"Não classificado"))</f>
        <v/>
      </c>
      <c r="AG1478" s="17">
        <f>IF($G1478="","",IFERROR(INDEX(TIPOS_FLUXO_PLANO,MATCH($G1478,SUBCATEGORIAS_PLANO,0)),"Não classificado"))</f>
        <v/>
      </c>
      <c r="AH1478" s="9">
        <f>IF($G1478="","",IFERROR(INDEX(GRUPOS_PLANO,MATCH($G1478,SUBCATEGORIAS_PLANO,0)),"Não classificado"))</f>
        <v/>
      </c>
      <c r="AI1478" s="24">
        <f>IF(OR($C1478="",$X1478="Pago",$X1478="Recebido",$X1478="Cancelado"),"",$C1478-TODAY())</f>
        <v/>
      </c>
      <c r="AJ1478" s="24">
        <f>IF(OR($C1478="",$X1478="Pago",$X1478="Recebido",$X1478="Cancelado"),0,MAX(0,TODAY()-$C1478))</f>
        <v/>
      </c>
      <c r="AK1478" s="24">
        <f>IF($D1478="","",$D1478-$B1478)</f>
        <v/>
      </c>
      <c r="AL1478" s="18">
        <f>IF(OR($D1478="",$B1478=""),"",ROUND(N($R1478)*($D1478-$B1478),2))</f>
        <v/>
      </c>
      <c r="AM1478" s="17">
        <f>IF(AND($E1478="Saída",$W1478&gt;0,$C1478&lt;&gt;""),$C1478+ROW()/1000000,"")</f>
        <v/>
      </c>
      <c r="AN1478" s="17">
        <f>IF(AND($E1478="Entrada",$W1478&gt;0,$C1478&lt;&gt;""),$C1478+ROW()/1000000,"")</f>
        <v/>
      </c>
      <c r="AO1478" s="9">
        <f>IF(COUNTA($B1478:$R1478)=0,"",IF(AND($I1478&lt;&gt;"",COUNTIF(CLIENTES_NOMES,$I1478)+COUNTIF(CLIENTES_FANTASIA,$I1478)+COUNTIF(FORNECEDORES_NOMES,$I1478)+COUNTIF(FORNECEDORES_FANTASIA,$I1478)=0),"⚠ Cliente/Fornecedor não cadastrado",IF(AND($G1478&lt;&gt;"",COUNTIF(SUBCATEGORIAS_PLANO,$G1478)=0),"⚠ Subcategoria fora do plano de contas",IF(OR($Q1478="",N($Q1478)=0),"⚠ Valor previsto não informado",IF(AND(OR($X1478="Pago",$X1478="Recebido"),$D1478=""),"⚠ Status pago/recebido sem data",IF(AND($D1478&lt;&gt;"",N($R1478)=0),"⚠ Data de pagamento sem valor realizado",IF(AND(N($P1478)&gt;1,N($O1478)&gt;N($P1478)),"⚠ Nº da parcela maior que o total",IF(AND($C1478&lt;&gt;"",$B1478&lt;&gt;"",$C1478&lt;$B1478),"⚠ Vencimento anterior à competência","OK"))))))))</f>
        <v/>
      </c>
    </row>
    <row r="1479">
      <c r="A1479" s="14" t="n"/>
      <c r="B1479" s="36" t="n"/>
      <c r="C1479" s="36" t="n"/>
      <c r="D1479" s="36" t="n"/>
      <c r="E1479" s="14" t="n"/>
      <c r="F1479" s="29" t="n"/>
      <c r="G1479" s="29" t="n"/>
      <c r="H1479" s="29" t="n"/>
      <c r="I1479" s="29" t="n"/>
      <c r="J1479" s="29" t="n"/>
      <c r="K1479" s="14" t="n"/>
      <c r="L1479" s="29" t="n"/>
      <c r="M1479" s="14" t="n"/>
      <c r="N1479" s="29" t="n"/>
      <c r="O1479" s="13" t="n"/>
      <c r="P1479" s="13" t="n"/>
      <c r="Q1479" s="35" t="n"/>
      <c r="R1479" s="35" t="n"/>
      <c r="S1479" s="35" t="n"/>
      <c r="T1479" s="35" t="n"/>
      <c r="U1479" s="35" t="n"/>
      <c r="V1479" s="18">
        <f>IF(COUNTA($B1479:$R1479)=0,"",ROUND(N($R1479)+N($S1479)+N($T1479)-N($U1479),2))</f>
        <v/>
      </c>
      <c r="W1479" s="18">
        <f>IF(COUNTA($B1479:$R1479)=0,"",IF(OR($X1479="Pago",$X1479="Recebido",$X1479="Cancelado"),0,ROUND(N($Q1479)+N($S1479)+N($T1479)-N($U1479)-N($R1479),2)))</f>
        <v/>
      </c>
      <c r="X1479" s="14" t="n"/>
      <c r="Y1479" s="17">
        <f>IF(COUNTA($B1479:$R1479)=0,"",IF($X1479="Cancelado","Cancelado",IF(OR($X1479="Pago",$X1479="Recebido"),$X1479,IF(OR($X1479="Parcial",N($R1479)&gt;0),"Parcial",IF($C1479="","Sem vencimento",IF($C1479&lt;TODAY(),"Vencido",IF($C1479=TODAY(),"Vence hoje",IF($C1479&lt;=TODAY()+7,"Vence em 7 dias",IF($C1479&lt;=TODAY()+30,"Vence em 30 dias","Futuro")))))))))</f>
        <v/>
      </c>
      <c r="Z1479" s="24">
        <f>IF($B1479="","",MONTH($B1479))</f>
        <v/>
      </c>
      <c r="AA1479" s="24">
        <f>IF($B1479="","",YEAR($B1479))</f>
        <v/>
      </c>
      <c r="AB1479" s="24">
        <f>IF($B1479="","",ISOWEEKNUM($B1479))</f>
        <v/>
      </c>
      <c r="AC1479" s="17">
        <f>IF($B1479="","",CHOOSE(WEEKDAY($B1479,2),"Segunda","Terça","Quarta","Quinta","Sexta","Sábado","Domingo"))</f>
        <v/>
      </c>
      <c r="AD1479" s="17">
        <f>IF($B1479="","",TEXT($B1479,"MM/AAAA"))</f>
        <v/>
      </c>
      <c r="AE1479" s="18">
        <f>IF(COUNTA($B1479:$R1479)=0,"",IF($X1479="Cancelado",0,ROUND(N($Q1479)+N($S1479)+N($T1479)-N($U1479),2)))</f>
        <v/>
      </c>
      <c r="AF1479" s="9">
        <f>IF($G1479="","",IFERROR(INDEX(LINHAS_DRE_PLANO,MATCH($G1479,SUBCATEGORIAS_PLANO,0)),"Não classificado"))</f>
        <v/>
      </c>
      <c r="AG1479" s="17">
        <f>IF($G1479="","",IFERROR(INDEX(TIPOS_FLUXO_PLANO,MATCH($G1479,SUBCATEGORIAS_PLANO,0)),"Não classificado"))</f>
        <v/>
      </c>
      <c r="AH1479" s="9">
        <f>IF($G1479="","",IFERROR(INDEX(GRUPOS_PLANO,MATCH($G1479,SUBCATEGORIAS_PLANO,0)),"Não classificado"))</f>
        <v/>
      </c>
      <c r="AI1479" s="24">
        <f>IF(OR($C1479="",$X1479="Pago",$X1479="Recebido",$X1479="Cancelado"),"",$C1479-TODAY())</f>
        <v/>
      </c>
      <c r="AJ1479" s="24">
        <f>IF(OR($C1479="",$X1479="Pago",$X1479="Recebido",$X1479="Cancelado"),0,MAX(0,TODAY()-$C1479))</f>
        <v/>
      </c>
      <c r="AK1479" s="24">
        <f>IF($D1479="","",$D1479-$B1479)</f>
        <v/>
      </c>
      <c r="AL1479" s="18">
        <f>IF(OR($D1479="",$B1479=""),"",ROUND(N($R1479)*($D1479-$B1479),2))</f>
        <v/>
      </c>
      <c r="AM1479" s="17">
        <f>IF(AND($E1479="Saída",$W1479&gt;0,$C1479&lt;&gt;""),$C1479+ROW()/1000000,"")</f>
        <v/>
      </c>
      <c r="AN1479" s="17">
        <f>IF(AND($E1479="Entrada",$W1479&gt;0,$C1479&lt;&gt;""),$C1479+ROW()/1000000,"")</f>
        <v/>
      </c>
      <c r="AO1479" s="9">
        <f>IF(COUNTA($B1479:$R1479)=0,"",IF(AND($I1479&lt;&gt;"",COUNTIF(CLIENTES_NOMES,$I1479)+COUNTIF(CLIENTES_FANTASIA,$I1479)+COUNTIF(FORNECEDORES_NOMES,$I1479)+COUNTIF(FORNECEDORES_FANTASIA,$I1479)=0),"⚠ Cliente/Fornecedor não cadastrado",IF(AND($G1479&lt;&gt;"",COUNTIF(SUBCATEGORIAS_PLANO,$G1479)=0),"⚠ Subcategoria fora do plano de contas",IF(OR($Q1479="",N($Q1479)=0),"⚠ Valor previsto não informado",IF(AND(OR($X1479="Pago",$X1479="Recebido"),$D1479=""),"⚠ Status pago/recebido sem data",IF(AND($D1479&lt;&gt;"",N($R1479)=0),"⚠ Data de pagamento sem valor realizado",IF(AND(N($P1479)&gt;1,N($O1479)&gt;N($P1479)),"⚠ Nº da parcela maior que o total",IF(AND($C1479&lt;&gt;"",$B1479&lt;&gt;"",$C1479&lt;$B1479),"⚠ Vencimento anterior à competência","OK"))))))))</f>
        <v/>
      </c>
    </row>
    <row r="1480">
      <c r="A1480" s="14" t="n"/>
      <c r="B1480" s="36" t="n"/>
      <c r="C1480" s="36" t="n"/>
      <c r="D1480" s="36" t="n"/>
      <c r="E1480" s="14" t="n"/>
      <c r="F1480" s="29" t="n"/>
      <c r="G1480" s="29" t="n"/>
      <c r="H1480" s="29" t="n"/>
      <c r="I1480" s="29" t="n"/>
      <c r="J1480" s="29" t="n"/>
      <c r="K1480" s="14" t="n"/>
      <c r="L1480" s="29" t="n"/>
      <c r="M1480" s="14" t="n"/>
      <c r="N1480" s="29" t="n"/>
      <c r="O1480" s="13" t="n"/>
      <c r="P1480" s="13" t="n"/>
      <c r="Q1480" s="35" t="n"/>
      <c r="R1480" s="35" t="n"/>
      <c r="S1480" s="35" t="n"/>
      <c r="T1480" s="35" t="n"/>
      <c r="U1480" s="35" t="n"/>
      <c r="V1480" s="18">
        <f>IF(COUNTA($B1480:$R1480)=0,"",ROUND(N($R1480)+N($S1480)+N($T1480)-N($U1480),2))</f>
        <v/>
      </c>
      <c r="W1480" s="18">
        <f>IF(COUNTA($B1480:$R1480)=0,"",IF(OR($X1480="Pago",$X1480="Recebido",$X1480="Cancelado"),0,ROUND(N($Q1480)+N($S1480)+N($T1480)-N($U1480)-N($R1480),2)))</f>
        <v/>
      </c>
      <c r="X1480" s="14" t="n"/>
      <c r="Y1480" s="17">
        <f>IF(COUNTA($B1480:$R1480)=0,"",IF($X1480="Cancelado","Cancelado",IF(OR($X1480="Pago",$X1480="Recebido"),$X1480,IF(OR($X1480="Parcial",N($R1480)&gt;0),"Parcial",IF($C1480="","Sem vencimento",IF($C1480&lt;TODAY(),"Vencido",IF($C1480=TODAY(),"Vence hoje",IF($C1480&lt;=TODAY()+7,"Vence em 7 dias",IF($C1480&lt;=TODAY()+30,"Vence em 30 dias","Futuro")))))))))</f>
        <v/>
      </c>
      <c r="Z1480" s="24">
        <f>IF($B1480="","",MONTH($B1480))</f>
        <v/>
      </c>
      <c r="AA1480" s="24">
        <f>IF($B1480="","",YEAR($B1480))</f>
        <v/>
      </c>
      <c r="AB1480" s="24">
        <f>IF($B1480="","",ISOWEEKNUM($B1480))</f>
        <v/>
      </c>
      <c r="AC1480" s="17">
        <f>IF($B1480="","",CHOOSE(WEEKDAY($B1480,2),"Segunda","Terça","Quarta","Quinta","Sexta","Sábado","Domingo"))</f>
        <v/>
      </c>
      <c r="AD1480" s="17">
        <f>IF($B1480="","",TEXT($B1480,"MM/AAAA"))</f>
        <v/>
      </c>
      <c r="AE1480" s="18">
        <f>IF(COUNTA($B1480:$R1480)=0,"",IF($X1480="Cancelado",0,ROUND(N($Q1480)+N($S1480)+N($T1480)-N($U1480),2)))</f>
        <v/>
      </c>
      <c r="AF1480" s="9">
        <f>IF($G1480="","",IFERROR(INDEX(LINHAS_DRE_PLANO,MATCH($G1480,SUBCATEGORIAS_PLANO,0)),"Não classificado"))</f>
        <v/>
      </c>
      <c r="AG1480" s="17">
        <f>IF($G1480="","",IFERROR(INDEX(TIPOS_FLUXO_PLANO,MATCH($G1480,SUBCATEGORIAS_PLANO,0)),"Não classificado"))</f>
        <v/>
      </c>
      <c r="AH1480" s="9">
        <f>IF($G1480="","",IFERROR(INDEX(GRUPOS_PLANO,MATCH($G1480,SUBCATEGORIAS_PLANO,0)),"Não classificado"))</f>
        <v/>
      </c>
      <c r="AI1480" s="24">
        <f>IF(OR($C1480="",$X1480="Pago",$X1480="Recebido",$X1480="Cancelado"),"",$C1480-TODAY())</f>
        <v/>
      </c>
      <c r="AJ1480" s="24">
        <f>IF(OR($C1480="",$X1480="Pago",$X1480="Recebido",$X1480="Cancelado"),0,MAX(0,TODAY()-$C1480))</f>
        <v/>
      </c>
      <c r="AK1480" s="24">
        <f>IF($D1480="","",$D1480-$B1480)</f>
        <v/>
      </c>
      <c r="AL1480" s="18">
        <f>IF(OR($D1480="",$B1480=""),"",ROUND(N($R1480)*($D1480-$B1480),2))</f>
        <v/>
      </c>
      <c r="AM1480" s="17">
        <f>IF(AND($E1480="Saída",$W1480&gt;0,$C1480&lt;&gt;""),$C1480+ROW()/1000000,"")</f>
        <v/>
      </c>
      <c r="AN1480" s="17">
        <f>IF(AND($E1480="Entrada",$W1480&gt;0,$C1480&lt;&gt;""),$C1480+ROW()/1000000,"")</f>
        <v/>
      </c>
      <c r="AO1480" s="9">
        <f>IF(COUNTA($B1480:$R1480)=0,"",IF(AND($I1480&lt;&gt;"",COUNTIF(CLIENTES_NOMES,$I1480)+COUNTIF(CLIENTES_FANTASIA,$I1480)+COUNTIF(FORNECEDORES_NOMES,$I1480)+COUNTIF(FORNECEDORES_FANTASIA,$I1480)=0),"⚠ Cliente/Fornecedor não cadastrado",IF(AND($G1480&lt;&gt;"",COUNTIF(SUBCATEGORIAS_PLANO,$G1480)=0),"⚠ Subcategoria fora do plano de contas",IF(OR($Q1480="",N($Q1480)=0),"⚠ Valor previsto não informado",IF(AND(OR($X1480="Pago",$X1480="Recebido"),$D1480=""),"⚠ Status pago/recebido sem data",IF(AND($D1480&lt;&gt;"",N($R1480)=0),"⚠ Data de pagamento sem valor realizado",IF(AND(N($P1480)&gt;1,N($O1480)&gt;N($P1480)),"⚠ Nº da parcela maior que o total",IF(AND($C1480&lt;&gt;"",$B1480&lt;&gt;"",$C1480&lt;$B1480),"⚠ Vencimento anterior à competência","OK"))))))))</f>
        <v/>
      </c>
    </row>
    <row r="1481">
      <c r="A1481" s="14" t="n"/>
      <c r="B1481" s="36" t="n"/>
      <c r="C1481" s="36" t="n"/>
      <c r="D1481" s="36" t="n"/>
      <c r="E1481" s="14" t="n"/>
      <c r="F1481" s="29" t="n"/>
      <c r="G1481" s="29" t="n"/>
      <c r="H1481" s="29" t="n"/>
      <c r="I1481" s="29" t="n"/>
      <c r="J1481" s="29" t="n"/>
      <c r="K1481" s="14" t="n"/>
      <c r="L1481" s="29" t="n"/>
      <c r="M1481" s="14" t="n"/>
      <c r="N1481" s="29" t="n"/>
      <c r="O1481" s="13" t="n"/>
      <c r="P1481" s="13" t="n"/>
      <c r="Q1481" s="35" t="n"/>
      <c r="R1481" s="35" t="n"/>
      <c r="S1481" s="35" t="n"/>
      <c r="T1481" s="35" t="n"/>
      <c r="U1481" s="35" t="n"/>
      <c r="V1481" s="18">
        <f>IF(COUNTA($B1481:$R1481)=0,"",ROUND(N($R1481)+N($S1481)+N($T1481)-N($U1481),2))</f>
        <v/>
      </c>
      <c r="W1481" s="18">
        <f>IF(COUNTA($B1481:$R1481)=0,"",IF(OR($X1481="Pago",$X1481="Recebido",$X1481="Cancelado"),0,ROUND(N($Q1481)+N($S1481)+N($T1481)-N($U1481)-N($R1481),2)))</f>
        <v/>
      </c>
      <c r="X1481" s="14" t="n"/>
      <c r="Y1481" s="17">
        <f>IF(COUNTA($B1481:$R1481)=0,"",IF($X1481="Cancelado","Cancelado",IF(OR($X1481="Pago",$X1481="Recebido"),$X1481,IF(OR($X1481="Parcial",N($R1481)&gt;0),"Parcial",IF($C1481="","Sem vencimento",IF($C1481&lt;TODAY(),"Vencido",IF($C1481=TODAY(),"Vence hoje",IF($C1481&lt;=TODAY()+7,"Vence em 7 dias",IF($C1481&lt;=TODAY()+30,"Vence em 30 dias","Futuro")))))))))</f>
        <v/>
      </c>
      <c r="Z1481" s="24">
        <f>IF($B1481="","",MONTH($B1481))</f>
        <v/>
      </c>
      <c r="AA1481" s="24">
        <f>IF($B1481="","",YEAR($B1481))</f>
        <v/>
      </c>
      <c r="AB1481" s="24">
        <f>IF($B1481="","",ISOWEEKNUM($B1481))</f>
        <v/>
      </c>
      <c r="AC1481" s="17">
        <f>IF($B1481="","",CHOOSE(WEEKDAY($B1481,2),"Segunda","Terça","Quarta","Quinta","Sexta","Sábado","Domingo"))</f>
        <v/>
      </c>
      <c r="AD1481" s="17">
        <f>IF($B1481="","",TEXT($B1481,"MM/AAAA"))</f>
        <v/>
      </c>
      <c r="AE1481" s="18">
        <f>IF(COUNTA($B1481:$R1481)=0,"",IF($X1481="Cancelado",0,ROUND(N($Q1481)+N($S1481)+N($T1481)-N($U1481),2)))</f>
        <v/>
      </c>
      <c r="AF1481" s="9">
        <f>IF($G1481="","",IFERROR(INDEX(LINHAS_DRE_PLANO,MATCH($G1481,SUBCATEGORIAS_PLANO,0)),"Não classificado"))</f>
        <v/>
      </c>
      <c r="AG1481" s="17">
        <f>IF($G1481="","",IFERROR(INDEX(TIPOS_FLUXO_PLANO,MATCH($G1481,SUBCATEGORIAS_PLANO,0)),"Não classificado"))</f>
        <v/>
      </c>
      <c r="AH1481" s="9">
        <f>IF($G1481="","",IFERROR(INDEX(GRUPOS_PLANO,MATCH($G1481,SUBCATEGORIAS_PLANO,0)),"Não classificado"))</f>
        <v/>
      </c>
      <c r="AI1481" s="24">
        <f>IF(OR($C1481="",$X1481="Pago",$X1481="Recebido",$X1481="Cancelado"),"",$C1481-TODAY())</f>
        <v/>
      </c>
      <c r="AJ1481" s="24">
        <f>IF(OR($C1481="",$X1481="Pago",$X1481="Recebido",$X1481="Cancelado"),0,MAX(0,TODAY()-$C1481))</f>
        <v/>
      </c>
      <c r="AK1481" s="24">
        <f>IF($D1481="","",$D1481-$B1481)</f>
        <v/>
      </c>
      <c r="AL1481" s="18">
        <f>IF(OR($D1481="",$B1481=""),"",ROUND(N($R1481)*($D1481-$B1481),2))</f>
        <v/>
      </c>
      <c r="AM1481" s="17">
        <f>IF(AND($E1481="Saída",$W1481&gt;0,$C1481&lt;&gt;""),$C1481+ROW()/1000000,"")</f>
        <v/>
      </c>
      <c r="AN1481" s="17">
        <f>IF(AND($E1481="Entrada",$W1481&gt;0,$C1481&lt;&gt;""),$C1481+ROW()/1000000,"")</f>
        <v/>
      </c>
      <c r="AO1481" s="9">
        <f>IF(COUNTA($B1481:$R1481)=0,"",IF(AND($I1481&lt;&gt;"",COUNTIF(CLIENTES_NOMES,$I1481)+COUNTIF(CLIENTES_FANTASIA,$I1481)+COUNTIF(FORNECEDORES_NOMES,$I1481)+COUNTIF(FORNECEDORES_FANTASIA,$I1481)=0),"⚠ Cliente/Fornecedor não cadastrado",IF(AND($G1481&lt;&gt;"",COUNTIF(SUBCATEGORIAS_PLANO,$G1481)=0),"⚠ Subcategoria fora do plano de contas",IF(OR($Q1481="",N($Q1481)=0),"⚠ Valor previsto não informado",IF(AND(OR($X1481="Pago",$X1481="Recebido"),$D1481=""),"⚠ Status pago/recebido sem data",IF(AND($D1481&lt;&gt;"",N($R1481)=0),"⚠ Data de pagamento sem valor realizado",IF(AND(N($P1481)&gt;1,N($O1481)&gt;N($P1481)),"⚠ Nº da parcela maior que o total",IF(AND($C1481&lt;&gt;"",$B1481&lt;&gt;"",$C1481&lt;$B1481),"⚠ Vencimento anterior à competência","OK"))))))))</f>
        <v/>
      </c>
    </row>
    <row r="1482">
      <c r="A1482" s="14" t="n"/>
      <c r="B1482" s="36" t="n"/>
      <c r="C1482" s="36" t="n"/>
      <c r="D1482" s="36" t="n"/>
      <c r="E1482" s="14" t="n"/>
      <c r="F1482" s="29" t="n"/>
      <c r="G1482" s="29" t="n"/>
      <c r="H1482" s="29" t="n"/>
      <c r="I1482" s="29" t="n"/>
      <c r="J1482" s="29" t="n"/>
      <c r="K1482" s="14" t="n"/>
      <c r="L1482" s="29" t="n"/>
      <c r="M1482" s="14" t="n"/>
      <c r="N1482" s="29" t="n"/>
      <c r="O1482" s="13" t="n"/>
      <c r="P1482" s="13" t="n"/>
      <c r="Q1482" s="35" t="n"/>
      <c r="R1482" s="35" t="n"/>
      <c r="S1482" s="35" t="n"/>
      <c r="T1482" s="35" t="n"/>
      <c r="U1482" s="35" t="n"/>
      <c r="V1482" s="18">
        <f>IF(COUNTA($B1482:$R1482)=0,"",ROUND(N($R1482)+N($S1482)+N($T1482)-N($U1482),2))</f>
        <v/>
      </c>
      <c r="W1482" s="18">
        <f>IF(COUNTA($B1482:$R1482)=0,"",IF(OR($X1482="Pago",$X1482="Recebido",$X1482="Cancelado"),0,ROUND(N($Q1482)+N($S1482)+N($T1482)-N($U1482)-N($R1482),2)))</f>
        <v/>
      </c>
      <c r="X1482" s="14" t="n"/>
      <c r="Y1482" s="17">
        <f>IF(COUNTA($B1482:$R1482)=0,"",IF($X1482="Cancelado","Cancelado",IF(OR($X1482="Pago",$X1482="Recebido"),$X1482,IF(OR($X1482="Parcial",N($R1482)&gt;0),"Parcial",IF($C1482="","Sem vencimento",IF($C1482&lt;TODAY(),"Vencido",IF($C1482=TODAY(),"Vence hoje",IF($C1482&lt;=TODAY()+7,"Vence em 7 dias",IF($C1482&lt;=TODAY()+30,"Vence em 30 dias","Futuro")))))))))</f>
        <v/>
      </c>
      <c r="Z1482" s="24">
        <f>IF($B1482="","",MONTH($B1482))</f>
        <v/>
      </c>
      <c r="AA1482" s="24">
        <f>IF($B1482="","",YEAR($B1482))</f>
        <v/>
      </c>
      <c r="AB1482" s="24">
        <f>IF($B1482="","",ISOWEEKNUM($B1482))</f>
        <v/>
      </c>
      <c r="AC1482" s="17">
        <f>IF($B1482="","",CHOOSE(WEEKDAY($B1482,2),"Segunda","Terça","Quarta","Quinta","Sexta","Sábado","Domingo"))</f>
        <v/>
      </c>
      <c r="AD1482" s="17">
        <f>IF($B1482="","",TEXT($B1482,"MM/AAAA"))</f>
        <v/>
      </c>
      <c r="AE1482" s="18">
        <f>IF(COUNTA($B1482:$R1482)=0,"",IF($X1482="Cancelado",0,ROUND(N($Q1482)+N($S1482)+N($T1482)-N($U1482),2)))</f>
        <v/>
      </c>
      <c r="AF1482" s="9">
        <f>IF($G1482="","",IFERROR(INDEX(LINHAS_DRE_PLANO,MATCH($G1482,SUBCATEGORIAS_PLANO,0)),"Não classificado"))</f>
        <v/>
      </c>
      <c r="AG1482" s="17">
        <f>IF($G1482="","",IFERROR(INDEX(TIPOS_FLUXO_PLANO,MATCH($G1482,SUBCATEGORIAS_PLANO,0)),"Não classificado"))</f>
        <v/>
      </c>
      <c r="AH1482" s="9">
        <f>IF($G1482="","",IFERROR(INDEX(GRUPOS_PLANO,MATCH($G1482,SUBCATEGORIAS_PLANO,0)),"Não classificado"))</f>
        <v/>
      </c>
      <c r="AI1482" s="24">
        <f>IF(OR($C1482="",$X1482="Pago",$X1482="Recebido",$X1482="Cancelado"),"",$C1482-TODAY())</f>
        <v/>
      </c>
      <c r="AJ1482" s="24">
        <f>IF(OR($C1482="",$X1482="Pago",$X1482="Recebido",$X1482="Cancelado"),0,MAX(0,TODAY()-$C1482))</f>
        <v/>
      </c>
      <c r="AK1482" s="24">
        <f>IF($D1482="","",$D1482-$B1482)</f>
        <v/>
      </c>
      <c r="AL1482" s="18">
        <f>IF(OR($D1482="",$B1482=""),"",ROUND(N($R1482)*($D1482-$B1482),2))</f>
        <v/>
      </c>
      <c r="AM1482" s="17">
        <f>IF(AND($E1482="Saída",$W1482&gt;0,$C1482&lt;&gt;""),$C1482+ROW()/1000000,"")</f>
        <v/>
      </c>
      <c r="AN1482" s="17">
        <f>IF(AND($E1482="Entrada",$W1482&gt;0,$C1482&lt;&gt;""),$C1482+ROW()/1000000,"")</f>
        <v/>
      </c>
      <c r="AO1482" s="9">
        <f>IF(COUNTA($B1482:$R1482)=0,"",IF(AND($I1482&lt;&gt;"",COUNTIF(CLIENTES_NOMES,$I1482)+COUNTIF(CLIENTES_FANTASIA,$I1482)+COUNTIF(FORNECEDORES_NOMES,$I1482)+COUNTIF(FORNECEDORES_FANTASIA,$I1482)=0),"⚠ Cliente/Fornecedor não cadastrado",IF(AND($G1482&lt;&gt;"",COUNTIF(SUBCATEGORIAS_PLANO,$G1482)=0),"⚠ Subcategoria fora do plano de contas",IF(OR($Q1482="",N($Q1482)=0),"⚠ Valor previsto não informado",IF(AND(OR($X1482="Pago",$X1482="Recebido"),$D1482=""),"⚠ Status pago/recebido sem data",IF(AND($D1482&lt;&gt;"",N($R1482)=0),"⚠ Data de pagamento sem valor realizado",IF(AND(N($P1482)&gt;1,N($O1482)&gt;N($P1482)),"⚠ Nº da parcela maior que o total",IF(AND($C1482&lt;&gt;"",$B1482&lt;&gt;"",$C1482&lt;$B1482),"⚠ Vencimento anterior à competência","OK"))))))))</f>
        <v/>
      </c>
    </row>
    <row r="1483">
      <c r="A1483" s="14" t="n"/>
      <c r="B1483" s="36" t="n"/>
      <c r="C1483" s="36" t="n"/>
      <c r="D1483" s="36" t="n"/>
      <c r="E1483" s="14" t="n"/>
      <c r="F1483" s="29" t="n"/>
      <c r="G1483" s="29" t="n"/>
      <c r="H1483" s="29" t="n"/>
      <c r="I1483" s="29" t="n"/>
      <c r="J1483" s="29" t="n"/>
      <c r="K1483" s="14" t="n"/>
      <c r="L1483" s="29" t="n"/>
      <c r="M1483" s="14" t="n"/>
      <c r="N1483" s="29" t="n"/>
      <c r="O1483" s="13" t="n"/>
      <c r="P1483" s="13" t="n"/>
      <c r="Q1483" s="35" t="n"/>
      <c r="R1483" s="35" t="n"/>
      <c r="S1483" s="35" t="n"/>
      <c r="T1483" s="35" t="n"/>
      <c r="U1483" s="35" t="n"/>
      <c r="V1483" s="18">
        <f>IF(COUNTA($B1483:$R1483)=0,"",ROUND(N($R1483)+N($S1483)+N($T1483)-N($U1483),2))</f>
        <v/>
      </c>
      <c r="W1483" s="18">
        <f>IF(COUNTA($B1483:$R1483)=0,"",IF(OR($X1483="Pago",$X1483="Recebido",$X1483="Cancelado"),0,ROUND(N($Q1483)+N($S1483)+N($T1483)-N($U1483)-N($R1483),2)))</f>
        <v/>
      </c>
      <c r="X1483" s="14" t="n"/>
      <c r="Y1483" s="17">
        <f>IF(COUNTA($B1483:$R1483)=0,"",IF($X1483="Cancelado","Cancelado",IF(OR($X1483="Pago",$X1483="Recebido"),$X1483,IF(OR($X1483="Parcial",N($R1483)&gt;0),"Parcial",IF($C1483="","Sem vencimento",IF($C1483&lt;TODAY(),"Vencido",IF($C1483=TODAY(),"Vence hoje",IF($C1483&lt;=TODAY()+7,"Vence em 7 dias",IF($C1483&lt;=TODAY()+30,"Vence em 30 dias","Futuro")))))))))</f>
        <v/>
      </c>
      <c r="Z1483" s="24">
        <f>IF($B1483="","",MONTH($B1483))</f>
        <v/>
      </c>
      <c r="AA1483" s="24">
        <f>IF($B1483="","",YEAR($B1483))</f>
        <v/>
      </c>
      <c r="AB1483" s="24">
        <f>IF($B1483="","",ISOWEEKNUM($B1483))</f>
        <v/>
      </c>
      <c r="AC1483" s="17">
        <f>IF($B1483="","",CHOOSE(WEEKDAY($B1483,2),"Segunda","Terça","Quarta","Quinta","Sexta","Sábado","Domingo"))</f>
        <v/>
      </c>
      <c r="AD1483" s="17">
        <f>IF($B1483="","",TEXT($B1483,"MM/AAAA"))</f>
        <v/>
      </c>
      <c r="AE1483" s="18">
        <f>IF(COUNTA($B1483:$R1483)=0,"",IF($X1483="Cancelado",0,ROUND(N($Q1483)+N($S1483)+N($T1483)-N($U1483),2)))</f>
        <v/>
      </c>
      <c r="AF1483" s="9">
        <f>IF($G1483="","",IFERROR(INDEX(LINHAS_DRE_PLANO,MATCH($G1483,SUBCATEGORIAS_PLANO,0)),"Não classificado"))</f>
        <v/>
      </c>
      <c r="AG1483" s="17">
        <f>IF($G1483="","",IFERROR(INDEX(TIPOS_FLUXO_PLANO,MATCH($G1483,SUBCATEGORIAS_PLANO,0)),"Não classificado"))</f>
        <v/>
      </c>
      <c r="AH1483" s="9">
        <f>IF($G1483="","",IFERROR(INDEX(GRUPOS_PLANO,MATCH($G1483,SUBCATEGORIAS_PLANO,0)),"Não classificado"))</f>
        <v/>
      </c>
      <c r="AI1483" s="24">
        <f>IF(OR($C1483="",$X1483="Pago",$X1483="Recebido",$X1483="Cancelado"),"",$C1483-TODAY())</f>
        <v/>
      </c>
      <c r="AJ1483" s="24">
        <f>IF(OR($C1483="",$X1483="Pago",$X1483="Recebido",$X1483="Cancelado"),0,MAX(0,TODAY()-$C1483))</f>
        <v/>
      </c>
      <c r="AK1483" s="24">
        <f>IF($D1483="","",$D1483-$B1483)</f>
        <v/>
      </c>
      <c r="AL1483" s="18">
        <f>IF(OR($D1483="",$B1483=""),"",ROUND(N($R1483)*($D1483-$B1483),2))</f>
        <v/>
      </c>
      <c r="AM1483" s="17">
        <f>IF(AND($E1483="Saída",$W1483&gt;0,$C1483&lt;&gt;""),$C1483+ROW()/1000000,"")</f>
        <v/>
      </c>
      <c r="AN1483" s="17">
        <f>IF(AND($E1483="Entrada",$W1483&gt;0,$C1483&lt;&gt;""),$C1483+ROW()/1000000,"")</f>
        <v/>
      </c>
      <c r="AO1483" s="9">
        <f>IF(COUNTA($B1483:$R1483)=0,"",IF(AND($I1483&lt;&gt;"",COUNTIF(CLIENTES_NOMES,$I1483)+COUNTIF(CLIENTES_FANTASIA,$I1483)+COUNTIF(FORNECEDORES_NOMES,$I1483)+COUNTIF(FORNECEDORES_FANTASIA,$I1483)=0),"⚠ Cliente/Fornecedor não cadastrado",IF(AND($G1483&lt;&gt;"",COUNTIF(SUBCATEGORIAS_PLANO,$G1483)=0),"⚠ Subcategoria fora do plano de contas",IF(OR($Q1483="",N($Q1483)=0),"⚠ Valor previsto não informado",IF(AND(OR($X1483="Pago",$X1483="Recebido"),$D1483=""),"⚠ Status pago/recebido sem data",IF(AND($D1483&lt;&gt;"",N($R1483)=0),"⚠ Data de pagamento sem valor realizado",IF(AND(N($P1483)&gt;1,N($O1483)&gt;N($P1483)),"⚠ Nº da parcela maior que o total",IF(AND($C1483&lt;&gt;"",$B1483&lt;&gt;"",$C1483&lt;$B1483),"⚠ Vencimento anterior à competência","OK"))))))))</f>
        <v/>
      </c>
    </row>
    <row r="1484">
      <c r="A1484" s="14" t="n"/>
      <c r="B1484" s="36" t="n"/>
      <c r="C1484" s="36" t="n"/>
      <c r="D1484" s="36" t="n"/>
      <c r="E1484" s="14" t="n"/>
      <c r="F1484" s="29" t="n"/>
      <c r="G1484" s="29" t="n"/>
      <c r="H1484" s="29" t="n"/>
      <c r="I1484" s="29" t="n"/>
      <c r="J1484" s="29" t="n"/>
      <c r="K1484" s="14" t="n"/>
      <c r="L1484" s="29" t="n"/>
      <c r="M1484" s="14" t="n"/>
      <c r="N1484" s="29" t="n"/>
      <c r="O1484" s="13" t="n"/>
      <c r="P1484" s="13" t="n"/>
      <c r="Q1484" s="35" t="n"/>
      <c r="R1484" s="35" t="n"/>
      <c r="S1484" s="35" t="n"/>
      <c r="T1484" s="35" t="n"/>
      <c r="U1484" s="35" t="n"/>
      <c r="V1484" s="18">
        <f>IF(COUNTA($B1484:$R1484)=0,"",ROUND(N($R1484)+N($S1484)+N($T1484)-N($U1484),2))</f>
        <v/>
      </c>
      <c r="W1484" s="18">
        <f>IF(COUNTA($B1484:$R1484)=0,"",IF(OR($X1484="Pago",$X1484="Recebido",$X1484="Cancelado"),0,ROUND(N($Q1484)+N($S1484)+N($T1484)-N($U1484)-N($R1484),2)))</f>
        <v/>
      </c>
      <c r="X1484" s="14" t="n"/>
      <c r="Y1484" s="17">
        <f>IF(COUNTA($B1484:$R1484)=0,"",IF($X1484="Cancelado","Cancelado",IF(OR($X1484="Pago",$X1484="Recebido"),$X1484,IF(OR($X1484="Parcial",N($R1484)&gt;0),"Parcial",IF($C1484="","Sem vencimento",IF($C1484&lt;TODAY(),"Vencido",IF($C1484=TODAY(),"Vence hoje",IF($C1484&lt;=TODAY()+7,"Vence em 7 dias",IF($C1484&lt;=TODAY()+30,"Vence em 30 dias","Futuro")))))))))</f>
        <v/>
      </c>
      <c r="Z1484" s="24">
        <f>IF($B1484="","",MONTH($B1484))</f>
        <v/>
      </c>
      <c r="AA1484" s="24">
        <f>IF($B1484="","",YEAR($B1484))</f>
        <v/>
      </c>
      <c r="AB1484" s="24">
        <f>IF($B1484="","",ISOWEEKNUM($B1484))</f>
        <v/>
      </c>
      <c r="AC1484" s="17">
        <f>IF($B1484="","",CHOOSE(WEEKDAY($B1484,2),"Segunda","Terça","Quarta","Quinta","Sexta","Sábado","Domingo"))</f>
        <v/>
      </c>
      <c r="AD1484" s="17">
        <f>IF($B1484="","",TEXT($B1484,"MM/AAAA"))</f>
        <v/>
      </c>
      <c r="AE1484" s="18">
        <f>IF(COUNTA($B1484:$R1484)=0,"",IF($X1484="Cancelado",0,ROUND(N($Q1484)+N($S1484)+N($T1484)-N($U1484),2)))</f>
        <v/>
      </c>
      <c r="AF1484" s="9">
        <f>IF($G1484="","",IFERROR(INDEX(LINHAS_DRE_PLANO,MATCH($G1484,SUBCATEGORIAS_PLANO,0)),"Não classificado"))</f>
        <v/>
      </c>
      <c r="AG1484" s="17">
        <f>IF($G1484="","",IFERROR(INDEX(TIPOS_FLUXO_PLANO,MATCH($G1484,SUBCATEGORIAS_PLANO,0)),"Não classificado"))</f>
        <v/>
      </c>
      <c r="AH1484" s="9">
        <f>IF($G1484="","",IFERROR(INDEX(GRUPOS_PLANO,MATCH($G1484,SUBCATEGORIAS_PLANO,0)),"Não classificado"))</f>
        <v/>
      </c>
      <c r="AI1484" s="24">
        <f>IF(OR($C1484="",$X1484="Pago",$X1484="Recebido",$X1484="Cancelado"),"",$C1484-TODAY())</f>
        <v/>
      </c>
      <c r="AJ1484" s="24">
        <f>IF(OR($C1484="",$X1484="Pago",$X1484="Recebido",$X1484="Cancelado"),0,MAX(0,TODAY()-$C1484))</f>
        <v/>
      </c>
      <c r="AK1484" s="24">
        <f>IF($D1484="","",$D1484-$B1484)</f>
        <v/>
      </c>
      <c r="AL1484" s="18">
        <f>IF(OR($D1484="",$B1484=""),"",ROUND(N($R1484)*($D1484-$B1484),2))</f>
        <v/>
      </c>
      <c r="AM1484" s="17">
        <f>IF(AND($E1484="Saída",$W1484&gt;0,$C1484&lt;&gt;""),$C1484+ROW()/1000000,"")</f>
        <v/>
      </c>
      <c r="AN1484" s="17">
        <f>IF(AND($E1484="Entrada",$W1484&gt;0,$C1484&lt;&gt;""),$C1484+ROW()/1000000,"")</f>
        <v/>
      </c>
      <c r="AO1484" s="9">
        <f>IF(COUNTA($B1484:$R1484)=0,"",IF(AND($I1484&lt;&gt;"",COUNTIF(CLIENTES_NOMES,$I1484)+COUNTIF(CLIENTES_FANTASIA,$I1484)+COUNTIF(FORNECEDORES_NOMES,$I1484)+COUNTIF(FORNECEDORES_FANTASIA,$I1484)=0),"⚠ Cliente/Fornecedor não cadastrado",IF(AND($G1484&lt;&gt;"",COUNTIF(SUBCATEGORIAS_PLANO,$G1484)=0),"⚠ Subcategoria fora do plano de contas",IF(OR($Q1484="",N($Q1484)=0),"⚠ Valor previsto não informado",IF(AND(OR($X1484="Pago",$X1484="Recebido"),$D1484=""),"⚠ Status pago/recebido sem data",IF(AND($D1484&lt;&gt;"",N($R1484)=0),"⚠ Data de pagamento sem valor realizado",IF(AND(N($P1484)&gt;1,N($O1484)&gt;N($P1484)),"⚠ Nº da parcela maior que o total",IF(AND($C1484&lt;&gt;"",$B1484&lt;&gt;"",$C1484&lt;$B1484),"⚠ Vencimento anterior à competência","OK"))))))))</f>
        <v/>
      </c>
    </row>
    <row r="1485">
      <c r="A1485" s="14" t="n"/>
      <c r="B1485" s="36" t="n"/>
      <c r="C1485" s="36" t="n"/>
      <c r="D1485" s="36" t="n"/>
      <c r="E1485" s="14" t="n"/>
      <c r="F1485" s="29" t="n"/>
      <c r="G1485" s="29" t="n"/>
      <c r="H1485" s="29" t="n"/>
      <c r="I1485" s="29" t="n"/>
      <c r="J1485" s="29" t="n"/>
      <c r="K1485" s="14" t="n"/>
      <c r="L1485" s="29" t="n"/>
      <c r="M1485" s="14" t="n"/>
      <c r="N1485" s="29" t="n"/>
      <c r="O1485" s="13" t="n"/>
      <c r="P1485" s="13" t="n"/>
      <c r="Q1485" s="35" t="n"/>
      <c r="R1485" s="35" t="n"/>
      <c r="S1485" s="35" t="n"/>
      <c r="T1485" s="35" t="n"/>
      <c r="U1485" s="35" t="n"/>
      <c r="V1485" s="18">
        <f>IF(COUNTA($B1485:$R1485)=0,"",ROUND(N($R1485)+N($S1485)+N($T1485)-N($U1485),2))</f>
        <v/>
      </c>
      <c r="W1485" s="18">
        <f>IF(COUNTA($B1485:$R1485)=0,"",IF(OR($X1485="Pago",$X1485="Recebido",$X1485="Cancelado"),0,ROUND(N($Q1485)+N($S1485)+N($T1485)-N($U1485)-N($R1485),2)))</f>
        <v/>
      </c>
      <c r="X1485" s="14" t="n"/>
      <c r="Y1485" s="17">
        <f>IF(COUNTA($B1485:$R1485)=0,"",IF($X1485="Cancelado","Cancelado",IF(OR($X1485="Pago",$X1485="Recebido"),$X1485,IF(OR($X1485="Parcial",N($R1485)&gt;0),"Parcial",IF($C1485="","Sem vencimento",IF($C1485&lt;TODAY(),"Vencido",IF($C1485=TODAY(),"Vence hoje",IF($C1485&lt;=TODAY()+7,"Vence em 7 dias",IF($C1485&lt;=TODAY()+30,"Vence em 30 dias","Futuro")))))))))</f>
        <v/>
      </c>
      <c r="Z1485" s="24">
        <f>IF($B1485="","",MONTH($B1485))</f>
        <v/>
      </c>
      <c r="AA1485" s="24">
        <f>IF($B1485="","",YEAR($B1485))</f>
        <v/>
      </c>
      <c r="AB1485" s="24">
        <f>IF($B1485="","",ISOWEEKNUM($B1485))</f>
        <v/>
      </c>
      <c r="AC1485" s="17">
        <f>IF($B1485="","",CHOOSE(WEEKDAY($B1485,2),"Segunda","Terça","Quarta","Quinta","Sexta","Sábado","Domingo"))</f>
        <v/>
      </c>
      <c r="AD1485" s="17">
        <f>IF($B1485="","",TEXT($B1485,"MM/AAAA"))</f>
        <v/>
      </c>
      <c r="AE1485" s="18">
        <f>IF(COUNTA($B1485:$R1485)=0,"",IF($X1485="Cancelado",0,ROUND(N($Q1485)+N($S1485)+N($T1485)-N($U1485),2)))</f>
        <v/>
      </c>
      <c r="AF1485" s="9">
        <f>IF($G1485="","",IFERROR(INDEX(LINHAS_DRE_PLANO,MATCH($G1485,SUBCATEGORIAS_PLANO,0)),"Não classificado"))</f>
        <v/>
      </c>
      <c r="AG1485" s="17">
        <f>IF($G1485="","",IFERROR(INDEX(TIPOS_FLUXO_PLANO,MATCH($G1485,SUBCATEGORIAS_PLANO,0)),"Não classificado"))</f>
        <v/>
      </c>
      <c r="AH1485" s="9">
        <f>IF($G1485="","",IFERROR(INDEX(GRUPOS_PLANO,MATCH($G1485,SUBCATEGORIAS_PLANO,0)),"Não classificado"))</f>
        <v/>
      </c>
      <c r="AI1485" s="24">
        <f>IF(OR($C1485="",$X1485="Pago",$X1485="Recebido",$X1485="Cancelado"),"",$C1485-TODAY())</f>
        <v/>
      </c>
      <c r="AJ1485" s="24">
        <f>IF(OR($C1485="",$X1485="Pago",$X1485="Recebido",$X1485="Cancelado"),0,MAX(0,TODAY()-$C1485))</f>
        <v/>
      </c>
      <c r="AK1485" s="24">
        <f>IF($D1485="","",$D1485-$B1485)</f>
        <v/>
      </c>
      <c r="AL1485" s="18">
        <f>IF(OR($D1485="",$B1485=""),"",ROUND(N($R1485)*($D1485-$B1485),2))</f>
        <v/>
      </c>
      <c r="AM1485" s="17">
        <f>IF(AND($E1485="Saída",$W1485&gt;0,$C1485&lt;&gt;""),$C1485+ROW()/1000000,"")</f>
        <v/>
      </c>
      <c r="AN1485" s="17">
        <f>IF(AND($E1485="Entrada",$W1485&gt;0,$C1485&lt;&gt;""),$C1485+ROW()/1000000,"")</f>
        <v/>
      </c>
      <c r="AO1485" s="9">
        <f>IF(COUNTA($B1485:$R1485)=0,"",IF(AND($I1485&lt;&gt;"",COUNTIF(CLIENTES_NOMES,$I1485)+COUNTIF(CLIENTES_FANTASIA,$I1485)+COUNTIF(FORNECEDORES_NOMES,$I1485)+COUNTIF(FORNECEDORES_FANTASIA,$I1485)=0),"⚠ Cliente/Fornecedor não cadastrado",IF(AND($G1485&lt;&gt;"",COUNTIF(SUBCATEGORIAS_PLANO,$G1485)=0),"⚠ Subcategoria fora do plano de contas",IF(OR($Q1485="",N($Q1485)=0),"⚠ Valor previsto não informado",IF(AND(OR($X1485="Pago",$X1485="Recebido"),$D1485=""),"⚠ Status pago/recebido sem data",IF(AND($D1485&lt;&gt;"",N($R1485)=0),"⚠ Data de pagamento sem valor realizado",IF(AND(N($P1485)&gt;1,N($O1485)&gt;N($P1485)),"⚠ Nº da parcela maior que o total",IF(AND($C1485&lt;&gt;"",$B1485&lt;&gt;"",$C1485&lt;$B1485),"⚠ Vencimento anterior à competência","OK"))))))))</f>
        <v/>
      </c>
    </row>
    <row r="1486">
      <c r="A1486" s="14" t="n"/>
      <c r="B1486" s="36" t="n"/>
      <c r="C1486" s="36" t="n"/>
      <c r="D1486" s="36" t="n"/>
      <c r="E1486" s="14" t="n"/>
      <c r="F1486" s="29" t="n"/>
      <c r="G1486" s="29" t="n"/>
      <c r="H1486" s="29" t="n"/>
      <c r="I1486" s="29" t="n"/>
      <c r="J1486" s="29" t="n"/>
      <c r="K1486" s="14" t="n"/>
      <c r="L1486" s="29" t="n"/>
      <c r="M1486" s="14" t="n"/>
      <c r="N1486" s="29" t="n"/>
      <c r="O1486" s="13" t="n"/>
      <c r="P1486" s="13" t="n"/>
      <c r="Q1486" s="35" t="n"/>
      <c r="R1486" s="35" t="n"/>
      <c r="S1486" s="35" t="n"/>
      <c r="T1486" s="35" t="n"/>
      <c r="U1486" s="35" t="n"/>
      <c r="V1486" s="18">
        <f>IF(COUNTA($B1486:$R1486)=0,"",ROUND(N($R1486)+N($S1486)+N($T1486)-N($U1486),2))</f>
        <v/>
      </c>
      <c r="W1486" s="18">
        <f>IF(COUNTA($B1486:$R1486)=0,"",IF(OR($X1486="Pago",$X1486="Recebido",$X1486="Cancelado"),0,ROUND(N($Q1486)+N($S1486)+N($T1486)-N($U1486)-N($R1486),2)))</f>
        <v/>
      </c>
      <c r="X1486" s="14" t="n"/>
      <c r="Y1486" s="17">
        <f>IF(COUNTA($B1486:$R1486)=0,"",IF($X1486="Cancelado","Cancelado",IF(OR($X1486="Pago",$X1486="Recebido"),$X1486,IF(OR($X1486="Parcial",N($R1486)&gt;0),"Parcial",IF($C1486="","Sem vencimento",IF($C1486&lt;TODAY(),"Vencido",IF($C1486=TODAY(),"Vence hoje",IF($C1486&lt;=TODAY()+7,"Vence em 7 dias",IF($C1486&lt;=TODAY()+30,"Vence em 30 dias","Futuro")))))))))</f>
        <v/>
      </c>
      <c r="Z1486" s="24">
        <f>IF($B1486="","",MONTH($B1486))</f>
        <v/>
      </c>
      <c r="AA1486" s="24">
        <f>IF($B1486="","",YEAR($B1486))</f>
        <v/>
      </c>
      <c r="AB1486" s="24">
        <f>IF($B1486="","",ISOWEEKNUM($B1486))</f>
        <v/>
      </c>
      <c r="AC1486" s="17">
        <f>IF($B1486="","",CHOOSE(WEEKDAY($B1486,2),"Segunda","Terça","Quarta","Quinta","Sexta","Sábado","Domingo"))</f>
        <v/>
      </c>
      <c r="AD1486" s="17">
        <f>IF($B1486="","",TEXT($B1486,"MM/AAAA"))</f>
        <v/>
      </c>
      <c r="AE1486" s="18">
        <f>IF(COUNTA($B1486:$R1486)=0,"",IF($X1486="Cancelado",0,ROUND(N($Q1486)+N($S1486)+N($T1486)-N($U1486),2)))</f>
        <v/>
      </c>
      <c r="AF1486" s="9">
        <f>IF($G1486="","",IFERROR(INDEX(LINHAS_DRE_PLANO,MATCH($G1486,SUBCATEGORIAS_PLANO,0)),"Não classificado"))</f>
        <v/>
      </c>
      <c r="AG1486" s="17">
        <f>IF($G1486="","",IFERROR(INDEX(TIPOS_FLUXO_PLANO,MATCH($G1486,SUBCATEGORIAS_PLANO,0)),"Não classificado"))</f>
        <v/>
      </c>
      <c r="AH1486" s="9">
        <f>IF($G1486="","",IFERROR(INDEX(GRUPOS_PLANO,MATCH($G1486,SUBCATEGORIAS_PLANO,0)),"Não classificado"))</f>
        <v/>
      </c>
      <c r="AI1486" s="24">
        <f>IF(OR($C1486="",$X1486="Pago",$X1486="Recebido",$X1486="Cancelado"),"",$C1486-TODAY())</f>
        <v/>
      </c>
      <c r="AJ1486" s="24">
        <f>IF(OR($C1486="",$X1486="Pago",$X1486="Recebido",$X1486="Cancelado"),0,MAX(0,TODAY()-$C1486))</f>
        <v/>
      </c>
      <c r="AK1486" s="24">
        <f>IF($D1486="","",$D1486-$B1486)</f>
        <v/>
      </c>
      <c r="AL1486" s="18">
        <f>IF(OR($D1486="",$B1486=""),"",ROUND(N($R1486)*($D1486-$B1486),2))</f>
        <v/>
      </c>
      <c r="AM1486" s="17">
        <f>IF(AND($E1486="Saída",$W1486&gt;0,$C1486&lt;&gt;""),$C1486+ROW()/1000000,"")</f>
        <v/>
      </c>
      <c r="AN1486" s="17">
        <f>IF(AND($E1486="Entrada",$W1486&gt;0,$C1486&lt;&gt;""),$C1486+ROW()/1000000,"")</f>
        <v/>
      </c>
      <c r="AO1486" s="9">
        <f>IF(COUNTA($B1486:$R1486)=0,"",IF(AND($I1486&lt;&gt;"",COUNTIF(CLIENTES_NOMES,$I1486)+COUNTIF(CLIENTES_FANTASIA,$I1486)+COUNTIF(FORNECEDORES_NOMES,$I1486)+COUNTIF(FORNECEDORES_FANTASIA,$I1486)=0),"⚠ Cliente/Fornecedor não cadastrado",IF(AND($G1486&lt;&gt;"",COUNTIF(SUBCATEGORIAS_PLANO,$G1486)=0),"⚠ Subcategoria fora do plano de contas",IF(OR($Q1486="",N($Q1486)=0),"⚠ Valor previsto não informado",IF(AND(OR($X1486="Pago",$X1486="Recebido"),$D1486=""),"⚠ Status pago/recebido sem data",IF(AND($D1486&lt;&gt;"",N($R1486)=0),"⚠ Data de pagamento sem valor realizado",IF(AND(N($P1486)&gt;1,N($O1486)&gt;N($P1486)),"⚠ Nº da parcela maior que o total",IF(AND($C1486&lt;&gt;"",$B1486&lt;&gt;"",$C1486&lt;$B1486),"⚠ Vencimento anterior à competência","OK"))))))))</f>
        <v/>
      </c>
    </row>
    <row r="1487">
      <c r="A1487" s="14" t="n"/>
      <c r="B1487" s="36" t="n"/>
      <c r="C1487" s="36" t="n"/>
      <c r="D1487" s="36" t="n"/>
      <c r="E1487" s="14" t="n"/>
      <c r="F1487" s="29" t="n"/>
      <c r="G1487" s="29" t="n"/>
      <c r="H1487" s="29" t="n"/>
      <c r="I1487" s="29" t="n"/>
      <c r="J1487" s="29" t="n"/>
      <c r="K1487" s="14" t="n"/>
      <c r="L1487" s="29" t="n"/>
      <c r="M1487" s="14" t="n"/>
      <c r="N1487" s="29" t="n"/>
      <c r="O1487" s="13" t="n"/>
      <c r="P1487" s="13" t="n"/>
      <c r="Q1487" s="35" t="n"/>
      <c r="R1487" s="35" t="n"/>
      <c r="S1487" s="35" t="n"/>
      <c r="T1487" s="35" t="n"/>
      <c r="U1487" s="35" t="n"/>
      <c r="V1487" s="18">
        <f>IF(COUNTA($B1487:$R1487)=0,"",ROUND(N($R1487)+N($S1487)+N($T1487)-N($U1487),2))</f>
        <v/>
      </c>
      <c r="W1487" s="18">
        <f>IF(COUNTA($B1487:$R1487)=0,"",IF(OR($X1487="Pago",$X1487="Recebido",$X1487="Cancelado"),0,ROUND(N($Q1487)+N($S1487)+N($T1487)-N($U1487)-N($R1487),2)))</f>
        <v/>
      </c>
      <c r="X1487" s="14" t="n"/>
      <c r="Y1487" s="17">
        <f>IF(COUNTA($B1487:$R1487)=0,"",IF($X1487="Cancelado","Cancelado",IF(OR($X1487="Pago",$X1487="Recebido"),$X1487,IF(OR($X1487="Parcial",N($R1487)&gt;0),"Parcial",IF($C1487="","Sem vencimento",IF($C1487&lt;TODAY(),"Vencido",IF($C1487=TODAY(),"Vence hoje",IF($C1487&lt;=TODAY()+7,"Vence em 7 dias",IF($C1487&lt;=TODAY()+30,"Vence em 30 dias","Futuro")))))))))</f>
        <v/>
      </c>
      <c r="Z1487" s="24">
        <f>IF($B1487="","",MONTH($B1487))</f>
        <v/>
      </c>
      <c r="AA1487" s="24">
        <f>IF($B1487="","",YEAR($B1487))</f>
        <v/>
      </c>
      <c r="AB1487" s="24">
        <f>IF($B1487="","",ISOWEEKNUM($B1487))</f>
        <v/>
      </c>
      <c r="AC1487" s="17">
        <f>IF($B1487="","",CHOOSE(WEEKDAY($B1487,2),"Segunda","Terça","Quarta","Quinta","Sexta","Sábado","Domingo"))</f>
        <v/>
      </c>
      <c r="AD1487" s="17">
        <f>IF($B1487="","",TEXT($B1487,"MM/AAAA"))</f>
        <v/>
      </c>
      <c r="AE1487" s="18">
        <f>IF(COUNTA($B1487:$R1487)=0,"",IF($X1487="Cancelado",0,ROUND(N($Q1487)+N($S1487)+N($T1487)-N($U1487),2)))</f>
        <v/>
      </c>
      <c r="AF1487" s="9">
        <f>IF($G1487="","",IFERROR(INDEX(LINHAS_DRE_PLANO,MATCH($G1487,SUBCATEGORIAS_PLANO,0)),"Não classificado"))</f>
        <v/>
      </c>
      <c r="AG1487" s="17">
        <f>IF($G1487="","",IFERROR(INDEX(TIPOS_FLUXO_PLANO,MATCH($G1487,SUBCATEGORIAS_PLANO,0)),"Não classificado"))</f>
        <v/>
      </c>
      <c r="AH1487" s="9">
        <f>IF($G1487="","",IFERROR(INDEX(GRUPOS_PLANO,MATCH($G1487,SUBCATEGORIAS_PLANO,0)),"Não classificado"))</f>
        <v/>
      </c>
      <c r="AI1487" s="24">
        <f>IF(OR($C1487="",$X1487="Pago",$X1487="Recebido",$X1487="Cancelado"),"",$C1487-TODAY())</f>
        <v/>
      </c>
      <c r="AJ1487" s="24">
        <f>IF(OR($C1487="",$X1487="Pago",$X1487="Recebido",$X1487="Cancelado"),0,MAX(0,TODAY()-$C1487))</f>
        <v/>
      </c>
      <c r="AK1487" s="24">
        <f>IF($D1487="","",$D1487-$B1487)</f>
        <v/>
      </c>
      <c r="AL1487" s="18">
        <f>IF(OR($D1487="",$B1487=""),"",ROUND(N($R1487)*($D1487-$B1487),2))</f>
        <v/>
      </c>
      <c r="AM1487" s="17">
        <f>IF(AND($E1487="Saída",$W1487&gt;0,$C1487&lt;&gt;""),$C1487+ROW()/1000000,"")</f>
        <v/>
      </c>
      <c r="AN1487" s="17">
        <f>IF(AND($E1487="Entrada",$W1487&gt;0,$C1487&lt;&gt;""),$C1487+ROW()/1000000,"")</f>
        <v/>
      </c>
      <c r="AO1487" s="9">
        <f>IF(COUNTA($B1487:$R1487)=0,"",IF(AND($I1487&lt;&gt;"",COUNTIF(CLIENTES_NOMES,$I1487)+COUNTIF(CLIENTES_FANTASIA,$I1487)+COUNTIF(FORNECEDORES_NOMES,$I1487)+COUNTIF(FORNECEDORES_FANTASIA,$I1487)=0),"⚠ Cliente/Fornecedor não cadastrado",IF(AND($G1487&lt;&gt;"",COUNTIF(SUBCATEGORIAS_PLANO,$G1487)=0),"⚠ Subcategoria fora do plano de contas",IF(OR($Q1487="",N($Q1487)=0),"⚠ Valor previsto não informado",IF(AND(OR($X1487="Pago",$X1487="Recebido"),$D1487=""),"⚠ Status pago/recebido sem data",IF(AND($D1487&lt;&gt;"",N($R1487)=0),"⚠ Data de pagamento sem valor realizado",IF(AND(N($P1487)&gt;1,N($O1487)&gt;N($P1487)),"⚠ Nº da parcela maior que o total",IF(AND($C1487&lt;&gt;"",$B1487&lt;&gt;"",$C1487&lt;$B1487),"⚠ Vencimento anterior à competência","OK"))))))))</f>
        <v/>
      </c>
    </row>
    <row r="1488">
      <c r="A1488" s="14" t="n"/>
      <c r="B1488" s="36" t="n"/>
      <c r="C1488" s="36" t="n"/>
      <c r="D1488" s="36" t="n"/>
      <c r="E1488" s="14" t="n"/>
      <c r="F1488" s="29" t="n"/>
      <c r="G1488" s="29" t="n"/>
      <c r="H1488" s="29" t="n"/>
      <c r="I1488" s="29" t="n"/>
      <c r="J1488" s="29" t="n"/>
      <c r="K1488" s="14" t="n"/>
      <c r="L1488" s="29" t="n"/>
      <c r="M1488" s="14" t="n"/>
      <c r="N1488" s="29" t="n"/>
      <c r="O1488" s="13" t="n"/>
      <c r="P1488" s="13" t="n"/>
      <c r="Q1488" s="35" t="n"/>
      <c r="R1488" s="35" t="n"/>
      <c r="S1488" s="35" t="n"/>
      <c r="T1488" s="35" t="n"/>
      <c r="U1488" s="35" t="n"/>
      <c r="V1488" s="18">
        <f>IF(COUNTA($B1488:$R1488)=0,"",ROUND(N($R1488)+N($S1488)+N($T1488)-N($U1488),2))</f>
        <v/>
      </c>
      <c r="W1488" s="18">
        <f>IF(COUNTA($B1488:$R1488)=0,"",IF(OR($X1488="Pago",$X1488="Recebido",$X1488="Cancelado"),0,ROUND(N($Q1488)+N($S1488)+N($T1488)-N($U1488)-N($R1488),2)))</f>
        <v/>
      </c>
      <c r="X1488" s="14" t="n"/>
      <c r="Y1488" s="17">
        <f>IF(COUNTA($B1488:$R1488)=0,"",IF($X1488="Cancelado","Cancelado",IF(OR($X1488="Pago",$X1488="Recebido"),$X1488,IF(OR($X1488="Parcial",N($R1488)&gt;0),"Parcial",IF($C1488="","Sem vencimento",IF($C1488&lt;TODAY(),"Vencido",IF($C1488=TODAY(),"Vence hoje",IF($C1488&lt;=TODAY()+7,"Vence em 7 dias",IF($C1488&lt;=TODAY()+30,"Vence em 30 dias","Futuro")))))))))</f>
        <v/>
      </c>
      <c r="Z1488" s="24">
        <f>IF($B1488="","",MONTH($B1488))</f>
        <v/>
      </c>
      <c r="AA1488" s="24">
        <f>IF($B1488="","",YEAR($B1488))</f>
        <v/>
      </c>
      <c r="AB1488" s="24">
        <f>IF($B1488="","",ISOWEEKNUM($B1488))</f>
        <v/>
      </c>
      <c r="AC1488" s="17">
        <f>IF($B1488="","",CHOOSE(WEEKDAY($B1488,2),"Segunda","Terça","Quarta","Quinta","Sexta","Sábado","Domingo"))</f>
        <v/>
      </c>
      <c r="AD1488" s="17">
        <f>IF($B1488="","",TEXT($B1488,"MM/AAAA"))</f>
        <v/>
      </c>
      <c r="AE1488" s="18">
        <f>IF(COUNTA($B1488:$R1488)=0,"",IF($X1488="Cancelado",0,ROUND(N($Q1488)+N($S1488)+N($T1488)-N($U1488),2)))</f>
        <v/>
      </c>
      <c r="AF1488" s="9">
        <f>IF($G1488="","",IFERROR(INDEX(LINHAS_DRE_PLANO,MATCH($G1488,SUBCATEGORIAS_PLANO,0)),"Não classificado"))</f>
        <v/>
      </c>
      <c r="AG1488" s="17">
        <f>IF($G1488="","",IFERROR(INDEX(TIPOS_FLUXO_PLANO,MATCH($G1488,SUBCATEGORIAS_PLANO,0)),"Não classificado"))</f>
        <v/>
      </c>
      <c r="AH1488" s="9">
        <f>IF($G1488="","",IFERROR(INDEX(GRUPOS_PLANO,MATCH($G1488,SUBCATEGORIAS_PLANO,0)),"Não classificado"))</f>
        <v/>
      </c>
      <c r="AI1488" s="24">
        <f>IF(OR($C1488="",$X1488="Pago",$X1488="Recebido",$X1488="Cancelado"),"",$C1488-TODAY())</f>
        <v/>
      </c>
      <c r="AJ1488" s="24">
        <f>IF(OR($C1488="",$X1488="Pago",$X1488="Recebido",$X1488="Cancelado"),0,MAX(0,TODAY()-$C1488))</f>
        <v/>
      </c>
      <c r="AK1488" s="24">
        <f>IF($D1488="","",$D1488-$B1488)</f>
        <v/>
      </c>
      <c r="AL1488" s="18">
        <f>IF(OR($D1488="",$B1488=""),"",ROUND(N($R1488)*($D1488-$B1488),2))</f>
        <v/>
      </c>
      <c r="AM1488" s="17">
        <f>IF(AND($E1488="Saída",$W1488&gt;0,$C1488&lt;&gt;""),$C1488+ROW()/1000000,"")</f>
        <v/>
      </c>
      <c r="AN1488" s="17">
        <f>IF(AND($E1488="Entrada",$W1488&gt;0,$C1488&lt;&gt;""),$C1488+ROW()/1000000,"")</f>
        <v/>
      </c>
      <c r="AO1488" s="9">
        <f>IF(COUNTA($B1488:$R1488)=0,"",IF(AND($I1488&lt;&gt;"",COUNTIF(CLIENTES_NOMES,$I1488)+COUNTIF(CLIENTES_FANTASIA,$I1488)+COUNTIF(FORNECEDORES_NOMES,$I1488)+COUNTIF(FORNECEDORES_FANTASIA,$I1488)=0),"⚠ Cliente/Fornecedor não cadastrado",IF(AND($G1488&lt;&gt;"",COUNTIF(SUBCATEGORIAS_PLANO,$G1488)=0),"⚠ Subcategoria fora do plano de contas",IF(OR($Q1488="",N($Q1488)=0),"⚠ Valor previsto não informado",IF(AND(OR($X1488="Pago",$X1488="Recebido"),$D1488=""),"⚠ Status pago/recebido sem data",IF(AND($D1488&lt;&gt;"",N($R1488)=0),"⚠ Data de pagamento sem valor realizado",IF(AND(N($P1488)&gt;1,N($O1488)&gt;N($P1488)),"⚠ Nº da parcela maior que o total",IF(AND($C1488&lt;&gt;"",$B1488&lt;&gt;"",$C1488&lt;$B1488),"⚠ Vencimento anterior à competência","OK"))))))))</f>
        <v/>
      </c>
    </row>
    <row r="1489">
      <c r="A1489" s="14" t="n"/>
      <c r="B1489" s="36" t="n"/>
      <c r="C1489" s="36" t="n"/>
      <c r="D1489" s="36" t="n"/>
      <c r="E1489" s="14" t="n"/>
      <c r="F1489" s="29" t="n"/>
      <c r="G1489" s="29" t="n"/>
      <c r="H1489" s="29" t="n"/>
      <c r="I1489" s="29" t="n"/>
      <c r="J1489" s="29" t="n"/>
      <c r="K1489" s="14" t="n"/>
      <c r="L1489" s="29" t="n"/>
      <c r="M1489" s="14" t="n"/>
      <c r="N1489" s="29" t="n"/>
      <c r="O1489" s="13" t="n"/>
      <c r="P1489" s="13" t="n"/>
      <c r="Q1489" s="35" t="n"/>
      <c r="R1489" s="35" t="n"/>
      <c r="S1489" s="35" t="n"/>
      <c r="T1489" s="35" t="n"/>
      <c r="U1489" s="35" t="n"/>
      <c r="V1489" s="18">
        <f>IF(COUNTA($B1489:$R1489)=0,"",ROUND(N($R1489)+N($S1489)+N($T1489)-N($U1489),2))</f>
        <v/>
      </c>
      <c r="W1489" s="18">
        <f>IF(COUNTA($B1489:$R1489)=0,"",IF(OR($X1489="Pago",$X1489="Recebido",$X1489="Cancelado"),0,ROUND(N($Q1489)+N($S1489)+N($T1489)-N($U1489)-N($R1489),2)))</f>
        <v/>
      </c>
      <c r="X1489" s="14" t="n"/>
      <c r="Y1489" s="17">
        <f>IF(COUNTA($B1489:$R1489)=0,"",IF($X1489="Cancelado","Cancelado",IF(OR($X1489="Pago",$X1489="Recebido"),$X1489,IF(OR($X1489="Parcial",N($R1489)&gt;0),"Parcial",IF($C1489="","Sem vencimento",IF($C1489&lt;TODAY(),"Vencido",IF($C1489=TODAY(),"Vence hoje",IF($C1489&lt;=TODAY()+7,"Vence em 7 dias",IF($C1489&lt;=TODAY()+30,"Vence em 30 dias","Futuro")))))))))</f>
        <v/>
      </c>
      <c r="Z1489" s="24">
        <f>IF($B1489="","",MONTH($B1489))</f>
        <v/>
      </c>
      <c r="AA1489" s="24">
        <f>IF($B1489="","",YEAR($B1489))</f>
        <v/>
      </c>
      <c r="AB1489" s="24">
        <f>IF($B1489="","",ISOWEEKNUM($B1489))</f>
        <v/>
      </c>
      <c r="AC1489" s="17">
        <f>IF($B1489="","",CHOOSE(WEEKDAY($B1489,2),"Segunda","Terça","Quarta","Quinta","Sexta","Sábado","Domingo"))</f>
        <v/>
      </c>
      <c r="AD1489" s="17">
        <f>IF($B1489="","",TEXT($B1489,"MM/AAAA"))</f>
        <v/>
      </c>
      <c r="AE1489" s="18">
        <f>IF(COUNTA($B1489:$R1489)=0,"",IF($X1489="Cancelado",0,ROUND(N($Q1489)+N($S1489)+N($T1489)-N($U1489),2)))</f>
        <v/>
      </c>
      <c r="AF1489" s="9">
        <f>IF($G1489="","",IFERROR(INDEX(LINHAS_DRE_PLANO,MATCH($G1489,SUBCATEGORIAS_PLANO,0)),"Não classificado"))</f>
        <v/>
      </c>
      <c r="AG1489" s="17">
        <f>IF($G1489="","",IFERROR(INDEX(TIPOS_FLUXO_PLANO,MATCH($G1489,SUBCATEGORIAS_PLANO,0)),"Não classificado"))</f>
        <v/>
      </c>
      <c r="AH1489" s="9">
        <f>IF($G1489="","",IFERROR(INDEX(GRUPOS_PLANO,MATCH($G1489,SUBCATEGORIAS_PLANO,0)),"Não classificado"))</f>
        <v/>
      </c>
      <c r="AI1489" s="24">
        <f>IF(OR($C1489="",$X1489="Pago",$X1489="Recebido",$X1489="Cancelado"),"",$C1489-TODAY())</f>
        <v/>
      </c>
      <c r="AJ1489" s="24">
        <f>IF(OR($C1489="",$X1489="Pago",$X1489="Recebido",$X1489="Cancelado"),0,MAX(0,TODAY()-$C1489))</f>
        <v/>
      </c>
      <c r="AK1489" s="24">
        <f>IF($D1489="","",$D1489-$B1489)</f>
        <v/>
      </c>
      <c r="AL1489" s="18">
        <f>IF(OR($D1489="",$B1489=""),"",ROUND(N($R1489)*($D1489-$B1489),2))</f>
        <v/>
      </c>
      <c r="AM1489" s="17">
        <f>IF(AND($E1489="Saída",$W1489&gt;0,$C1489&lt;&gt;""),$C1489+ROW()/1000000,"")</f>
        <v/>
      </c>
      <c r="AN1489" s="17">
        <f>IF(AND($E1489="Entrada",$W1489&gt;0,$C1489&lt;&gt;""),$C1489+ROW()/1000000,"")</f>
        <v/>
      </c>
      <c r="AO1489" s="9">
        <f>IF(COUNTA($B1489:$R1489)=0,"",IF(AND($I1489&lt;&gt;"",COUNTIF(CLIENTES_NOMES,$I1489)+COUNTIF(CLIENTES_FANTASIA,$I1489)+COUNTIF(FORNECEDORES_NOMES,$I1489)+COUNTIF(FORNECEDORES_FANTASIA,$I1489)=0),"⚠ Cliente/Fornecedor não cadastrado",IF(AND($G1489&lt;&gt;"",COUNTIF(SUBCATEGORIAS_PLANO,$G1489)=0),"⚠ Subcategoria fora do plano de contas",IF(OR($Q1489="",N($Q1489)=0),"⚠ Valor previsto não informado",IF(AND(OR($X1489="Pago",$X1489="Recebido"),$D1489=""),"⚠ Status pago/recebido sem data",IF(AND($D1489&lt;&gt;"",N($R1489)=0),"⚠ Data de pagamento sem valor realizado",IF(AND(N($P1489)&gt;1,N($O1489)&gt;N($P1489)),"⚠ Nº da parcela maior que o total",IF(AND($C1489&lt;&gt;"",$B1489&lt;&gt;"",$C1489&lt;$B1489),"⚠ Vencimento anterior à competência","OK"))))))))</f>
        <v/>
      </c>
    </row>
    <row r="1490">
      <c r="A1490" s="14" t="n"/>
      <c r="B1490" s="36" t="n"/>
      <c r="C1490" s="36" t="n"/>
      <c r="D1490" s="36" t="n"/>
      <c r="E1490" s="14" t="n"/>
      <c r="F1490" s="29" t="n"/>
      <c r="G1490" s="29" t="n"/>
      <c r="H1490" s="29" t="n"/>
      <c r="I1490" s="29" t="n"/>
      <c r="J1490" s="29" t="n"/>
      <c r="K1490" s="14" t="n"/>
      <c r="L1490" s="29" t="n"/>
      <c r="M1490" s="14" t="n"/>
      <c r="N1490" s="29" t="n"/>
      <c r="O1490" s="13" t="n"/>
      <c r="P1490" s="13" t="n"/>
      <c r="Q1490" s="35" t="n"/>
      <c r="R1490" s="35" t="n"/>
      <c r="S1490" s="35" t="n"/>
      <c r="T1490" s="35" t="n"/>
      <c r="U1490" s="35" t="n"/>
      <c r="V1490" s="18">
        <f>IF(COUNTA($B1490:$R1490)=0,"",ROUND(N($R1490)+N($S1490)+N($T1490)-N($U1490),2))</f>
        <v/>
      </c>
      <c r="W1490" s="18">
        <f>IF(COUNTA($B1490:$R1490)=0,"",IF(OR($X1490="Pago",$X1490="Recebido",$X1490="Cancelado"),0,ROUND(N($Q1490)+N($S1490)+N($T1490)-N($U1490)-N($R1490),2)))</f>
        <v/>
      </c>
      <c r="X1490" s="14" t="n"/>
      <c r="Y1490" s="17">
        <f>IF(COUNTA($B1490:$R1490)=0,"",IF($X1490="Cancelado","Cancelado",IF(OR($X1490="Pago",$X1490="Recebido"),$X1490,IF(OR($X1490="Parcial",N($R1490)&gt;0),"Parcial",IF($C1490="","Sem vencimento",IF($C1490&lt;TODAY(),"Vencido",IF($C1490=TODAY(),"Vence hoje",IF($C1490&lt;=TODAY()+7,"Vence em 7 dias",IF($C1490&lt;=TODAY()+30,"Vence em 30 dias","Futuro")))))))))</f>
        <v/>
      </c>
      <c r="Z1490" s="24">
        <f>IF($B1490="","",MONTH($B1490))</f>
        <v/>
      </c>
      <c r="AA1490" s="24">
        <f>IF($B1490="","",YEAR($B1490))</f>
        <v/>
      </c>
      <c r="AB1490" s="24">
        <f>IF($B1490="","",ISOWEEKNUM($B1490))</f>
        <v/>
      </c>
      <c r="AC1490" s="17">
        <f>IF($B1490="","",CHOOSE(WEEKDAY($B1490,2),"Segunda","Terça","Quarta","Quinta","Sexta","Sábado","Domingo"))</f>
        <v/>
      </c>
      <c r="AD1490" s="17">
        <f>IF($B1490="","",TEXT($B1490,"MM/AAAA"))</f>
        <v/>
      </c>
      <c r="AE1490" s="18">
        <f>IF(COUNTA($B1490:$R1490)=0,"",IF($X1490="Cancelado",0,ROUND(N($Q1490)+N($S1490)+N($T1490)-N($U1490),2)))</f>
        <v/>
      </c>
      <c r="AF1490" s="9">
        <f>IF($G1490="","",IFERROR(INDEX(LINHAS_DRE_PLANO,MATCH($G1490,SUBCATEGORIAS_PLANO,0)),"Não classificado"))</f>
        <v/>
      </c>
      <c r="AG1490" s="17">
        <f>IF($G1490="","",IFERROR(INDEX(TIPOS_FLUXO_PLANO,MATCH($G1490,SUBCATEGORIAS_PLANO,0)),"Não classificado"))</f>
        <v/>
      </c>
      <c r="AH1490" s="9">
        <f>IF($G1490="","",IFERROR(INDEX(GRUPOS_PLANO,MATCH($G1490,SUBCATEGORIAS_PLANO,0)),"Não classificado"))</f>
        <v/>
      </c>
      <c r="AI1490" s="24">
        <f>IF(OR($C1490="",$X1490="Pago",$X1490="Recebido",$X1490="Cancelado"),"",$C1490-TODAY())</f>
        <v/>
      </c>
      <c r="AJ1490" s="24">
        <f>IF(OR($C1490="",$X1490="Pago",$X1490="Recebido",$X1490="Cancelado"),0,MAX(0,TODAY()-$C1490))</f>
        <v/>
      </c>
      <c r="AK1490" s="24">
        <f>IF($D1490="","",$D1490-$B1490)</f>
        <v/>
      </c>
      <c r="AL1490" s="18">
        <f>IF(OR($D1490="",$B1490=""),"",ROUND(N($R1490)*($D1490-$B1490),2))</f>
        <v/>
      </c>
      <c r="AM1490" s="17">
        <f>IF(AND($E1490="Saída",$W1490&gt;0,$C1490&lt;&gt;""),$C1490+ROW()/1000000,"")</f>
        <v/>
      </c>
      <c r="AN1490" s="17">
        <f>IF(AND($E1490="Entrada",$W1490&gt;0,$C1490&lt;&gt;""),$C1490+ROW()/1000000,"")</f>
        <v/>
      </c>
      <c r="AO1490" s="9">
        <f>IF(COUNTA($B1490:$R1490)=0,"",IF(AND($I1490&lt;&gt;"",COUNTIF(CLIENTES_NOMES,$I1490)+COUNTIF(CLIENTES_FANTASIA,$I1490)+COUNTIF(FORNECEDORES_NOMES,$I1490)+COUNTIF(FORNECEDORES_FANTASIA,$I1490)=0),"⚠ Cliente/Fornecedor não cadastrado",IF(AND($G1490&lt;&gt;"",COUNTIF(SUBCATEGORIAS_PLANO,$G1490)=0),"⚠ Subcategoria fora do plano de contas",IF(OR($Q1490="",N($Q1490)=0),"⚠ Valor previsto não informado",IF(AND(OR($X1490="Pago",$X1490="Recebido"),$D1490=""),"⚠ Status pago/recebido sem data",IF(AND($D1490&lt;&gt;"",N($R1490)=0),"⚠ Data de pagamento sem valor realizado",IF(AND(N($P1490)&gt;1,N($O1490)&gt;N($P1490)),"⚠ Nº da parcela maior que o total",IF(AND($C1490&lt;&gt;"",$B1490&lt;&gt;"",$C1490&lt;$B1490),"⚠ Vencimento anterior à competência","OK"))))))))</f>
        <v/>
      </c>
    </row>
    <row r="1491">
      <c r="A1491" s="14" t="n"/>
      <c r="B1491" s="36" t="n"/>
      <c r="C1491" s="36" t="n"/>
      <c r="D1491" s="36" t="n"/>
      <c r="E1491" s="14" t="n"/>
      <c r="F1491" s="29" t="n"/>
      <c r="G1491" s="29" t="n"/>
      <c r="H1491" s="29" t="n"/>
      <c r="I1491" s="29" t="n"/>
      <c r="J1491" s="29" t="n"/>
      <c r="K1491" s="14" t="n"/>
      <c r="L1491" s="29" t="n"/>
      <c r="M1491" s="14" t="n"/>
      <c r="N1491" s="29" t="n"/>
      <c r="O1491" s="13" t="n"/>
      <c r="P1491" s="13" t="n"/>
      <c r="Q1491" s="35" t="n"/>
      <c r="R1491" s="35" t="n"/>
      <c r="S1491" s="35" t="n"/>
      <c r="T1491" s="35" t="n"/>
      <c r="U1491" s="35" t="n"/>
      <c r="V1491" s="18">
        <f>IF(COUNTA($B1491:$R1491)=0,"",ROUND(N($R1491)+N($S1491)+N($T1491)-N($U1491),2))</f>
        <v/>
      </c>
      <c r="W1491" s="18">
        <f>IF(COUNTA($B1491:$R1491)=0,"",IF(OR($X1491="Pago",$X1491="Recebido",$X1491="Cancelado"),0,ROUND(N($Q1491)+N($S1491)+N($T1491)-N($U1491)-N($R1491),2)))</f>
        <v/>
      </c>
      <c r="X1491" s="14" t="n"/>
      <c r="Y1491" s="17">
        <f>IF(COUNTA($B1491:$R1491)=0,"",IF($X1491="Cancelado","Cancelado",IF(OR($X1491="Pago",$X1491="Recebido"),$X1491,IF(OR($X1491="Parcial",N($R1491)&gt;0),"Parcial",IF($C1491="","Sem vencimento",IF($C1491&lt;TODAY(),"Vencido",IF($C1491=TODAY(),"Vence hoje",IF($C1491&lt;=TODAY()+7,"Vence em 7 dias",IF($C1491&lt;=TODAY()+30,"Vence em 30 dias","Futuro")))))))))</f>
        <v/>
      </c>
      <c r="Z1491" s="24">
        <f>IF($B1491="","",MONTH($B1491))</f>
        <v/>
      </c>
      <c r="AA1491" s="24">
        <f>IF($B1491="","",YEAR($B1491))</f>
        <v/>
      </c>
      <c r="AB1491" s="24">
        <f>IF($B1491="","",ISOWEEKNUM($B1491))</f>
        <v/>
      </c>
      <c r="AC1491" s="17">
        <f>IF($B1491="","",CHOOSE(WEEKDAY($B1491,2),"Segunda","Terça","Quarta","Quinta","Sexta","Sábado","Domingo"))</f>
        <v/>
      </c>
      <c r="AD1491" s="17">
        <f>IF($B1491="","",TEXT($B1491,"MM/AAAA"))</f>
        <v/>
      </c>
      <c r="AE1491" s="18">
        <f>IF(COUNTA($B1491:$R1491)=0,"",IF($X1491="Cancelado",0,ROUND(N($Q1491)+N($S1491)+N($T1491)-N($U1491),2)))</f>
        <v/>
      </c>
      <c r="AF1491" s="9">
        <f>IF($G1491="","",IFERROR(INDEX(LINHAS_DRE_PLANO,MATCH($G1491,SUBCATEGORIAS_PLANO,0)),"Não classificado"))</f>
        <v/>
      </c>
      <c r="AG1491" s="17">
        <f>IF($G1491="","",IFERROR(INDEX(TIPOS_FLUXO_PLANO,MATCH($G1491,SUBCATEGORIAS_PLANO,0)),"Não classificado"))</f>
        <v/>
      </c>
      <c r="AH1491" s="9">
        <f>IF($G1491="","",IFERROR(INDEX(GRUPOS_PLANO,MATCH($G1491,SUBCATEGORIAS_PLANO,0)),"Não classificado"))</f>
        <v/>
      </c>
      <c r="AI1491" s="24">
        <f>IF(OR($C1491="",$X1491="Pago",$X1491="Recebido",$X1491="Cancelado"),"",$C1491-TODAY())</f>
        <v/>
      </c>
      <c r="AJ1491" s="24">
        <f>IF(OR($C1491="",$X1491="Pago",$X1491="Recebido",$X1491="Cancelado"),0,MAX(0,TODAY()-$C1491))</f>
        <v/>
      </c>
      <c r="AK1491" s="24">
        <f>IF($D1491="","",$D1491-$B1491)</f>
        <v/>
      </c>
      <c r="AL1491" s="18">
        <f>IF(OR($D1491="",$B1491=""),"",ROUND(N($R1491)*($D1491-$B1491),2))</f>
        <v/>
      </c>
      <c r="AM1491" s="17">
        <f>IF(AND($E1491="Saída",$W1491&gt;0,$C1491&lt;&gt;""),$C1491+ROW()/1000000,"")</f>
        <v/>
      </c>
      <c r="AN1491" s="17">
        <f>IF(AND($E1491="Entrada",$W1491&gt;0,$C1491&lt;&gt;""),$C1491+ROW()/1000000,"")</f>
        <v/>
      </c>
      <c r="AO1491" s="9">
        <f>IF(COUNTA($B1491:$R1491)=0,"",IF(AND($I1491&lt;&gt;"",COUNTIF(CLIENTES_NOMES,$I1491)+COUNTIF(CLIENTES_FANTASIA,$I1491)+COUNTIF(FORNECEDORES_NOMES,$I1491)+COUNTIF(FORNECEDORES_FANTASIA,$I1491)=0),"⚠ Cliente/Fornecedor não cadastrado",IF(AND($G1491&lt;&gt;"",COUNTIF(SUBCATEGORIAS_PLANO,$G1491)=0),"⚠ Subcategoria fora do plano de contas",IF(OR($Q1491="",N($Q1491)=0),"⚠ Valor previsto não informado",IF(AND(OR($X1491="Pago",$X1491="Recebido"),$D1491=""),"⚠ Status pago/recebido sem data",IF(AND($D1491&lt;&gt;"",N($R1491)=0),"⚠ Data de pagamento sem valor realizado",IF(AND(N($P1491)&gt;1,N($O1491)&gt;N($P1491)),"⚠ Nº da parcela maior que o total",IF(AND($C1491&lt;&gt;"",$B1491&lt;&gt;"",$C1491&lt;$B1491),"⚠ Vencimento anterior à competência","OK"))))))))</f>
        <v/>
      </c>
    </row>
    <row r="1492">
      <c r="A1492" s="14" t="n"/>
      <c r="B1492" s="36" t="n"/>
      <c r="C1492" s="36" t="n"/>
      <c r="D1492" s="36" t="n"/>
      <c r="E1492" s="14" t="n"/>
      <c r="F1492" s="29" t="n"/>
      <c r="G1492" s="29" t="n"/>
      <c r="H1492" s="29" t="n"/>
      <c r="I1492" s="29" t="n"/>
      <c r="J1492" s="29" t="n"/>
      <c r="K1492" s="14" t="n"/>
      <c r="L1492" s="29" t="n"/>
      <c r="M1492" s="14" t="n"/>
      <c r="N1492" s="29" t="n"/>
      <c r="O1492" s="13" t="n"/>
      <c r="P1492" s="13" t="n"/>
      <c r="Q1492" s="35" t="n"/>
      <c r="R1492" s="35" t="n"/>
      <c r="S1492" s="35" t="n"/>
      <c r="T1492" s="35" t="n"/>
      <c r="U1492" s="35" t="n"/>
      <c r="V1492" s="18">
        <f>IF(COUNTA($B1492:$R1492)=0,"",ROUND(N($R1492)+N($S1492)+N($T1492)-N($U1492),2))</f>
        <v/>
      </c>
      <c r="W1492" s="18">
        <f>IF(COUNTA($B1492:$R1492)=0,"",IF(OR($X1492="Pago",$X1492="Recebido",$X1492="Cancelado"),0,ROUND(N($Q1492)+N($S1492)+N($T1492)-N($U1492)-N($R1492),2)))</f>
        <v/>
      </c>
      <c r="X1492" s="14" t="n"/>
      <c r="Y1492" s="17">
        <f>IF(COUNTA($B1492:$R1492)=0,"",IF($X1492="Cancelado","Cancelado",IF(OR($X1492="Pago",$X1492="Recebido"),$X1492,IF(OR($X1492="Parcial",N($R1492)&gt;0),"Parcial",IF($C1492="","Sem vencimento",IF($C1492&lt;TODAY(),"Vencido",IF($C1492=TODAY(),"Vence hoje",IF($C1492&lt;=TODAY()+7,"Vence em 7 dias",IF($C1492&lt;=TODAY()+30,"Vence em 30 dias","Futuro")))))))))</f>
        <v/>
      </c>
      <c r="Z1492" s="24">
        <f>IF($B1492="","",MONTH($B1492))</f>
        <v/>
      </c>
      <c r="AA1492" s="24">
        <f>IF($B1492="","",YEAR($B1492))</f>
        <v/>
      </c>
      <c r="AB1492" s="24">
        <f>IF($B1492="","",ISOWEEKNUM($B1492))</f>
        <v/>
      </c>
      <c r="AC1492" s="17">
        <f>IF($B1492="","",CHOOSE(WEEKDAY($B1492,2),"Segunda","Terça","Quarta","Quinta","Sexta","Sábado","Domingo"))</f>
        <v/>
      </c>
      <c r="AD1492" s="17">
        <f>IF($B1492="","",TEXT($B1492,"MM/AAAA"))</f>
        <v/>
      </c>
      <c r="AE1492" s="18">
        <f>IF(COUNTA($B1492:$R1492)=0,"",IF($X1492="Cancelado",0,ROUND(N($Q1492)+N($S1492)+N($T1492)-N($U1492),2)))</f>
        <v/>
      </c>
      <c r="AF1492" s="9">
        <f>IF($G1492="","",IFERROR(INDEX(LINHAS_DRE_PLANO,MATCH($G1492,SUBCATEGORIAS_PLANO,0)),"Não classificado"))</f>
        <v/>
      </c>
      <c r="AG1492" s="17">
        <f>IF($G1492="","",IFERROR(INDEX(TIPOS_FLUXO_PLANO,MATCH($G1492,SUBCATEGORIAS_PLANO,0)),"Não classificado"))</f>
        <v/>
      </c>
      <c r="AH1492" s="9">
        <f>IF($G1492="","",IFERROR(INDEX(GRUPOS_PLANO,MATCH($G1492,SUBCATEGORIAS_PLANO,0)),"Não classificado"))</f>
        <v/>
      </c>
      <c r="AI1492" s="24">
        <f>IF(OR($C1492="",$X1492="Pago",$X1492="Recebido",$X1492="Cancelado"),"",$C1492-TODAY())</f>
        <v/>
      </c>
      <c r="AJ1492" s="24">
        <f>IF(OR($C1492="",$X1492="Pago",$X1492="Recebido",$X1492="Cancelado"),0,MAX(0,TODAY()-$C1492))</f>
        <v/>
      </c>
      <c r="AK1492" s="24">
        <f>IF($D1492="","",$D1492-$B1492)</f>
        <v/>
      </c>
      <c r="AL1492" s="18">
        <f>IF(OR($D1492="",$B1492=""),"",ROUND(N($R1492)*($D1492-$B1492),2))</f>
        <v/>
      </c>
      <c r="AM1492" s="17">
        <f>IF(AND($E1492="Saída",$W1492&gt;0,$C1492&lt;&gt;""),$C1492+ROW()/1000000,"")</f>
        <v/>
      </c>
      <c r="AN1492" s="17">
        <f>IF(AND($E1492="Entrada",$W1492&gt;0,$C1492&lt;&gt;""),$C1492+ROW()/1000000,"")</f>
        <v/>
      </c>
      <c r="AO1492" s="9">
        <f>IF(COUNTA($B1492:$R1492)=0,"",IF(AND($I1492&lt;&gt;"",COUNTIF(CLIENTES_NOMES,$I1492)+COUNTIF(CLIENTES_FANTASIA,$I1492)+COUNTIF(FORNECEDORES_NOMES,$I1492)+COUNTIF(FORNECEDORES_FANTASIA,$I1492)=0),"⚠ Cliente/Fornecedor não cadastrado",IF(AND($G1492&lt;&gt;"",COUNTIF(SUBCATEGORIAS_PLANO,$G1492)=0),"⚠ Subcategoria fora do plano de contas",IF(OR($Q1492="",N($Q1492)=0),"⚠ Valor previsto não informado",IF(AND(OR($X1492="Pago",$X1492="Recebido"),$D1492=""),"⚠ Status pago/recebido sem data",IF(AND($D1492&lt;&gt;"",N($R1492)=0),"⚠ Data de pagamento sem valor realizado",IF(AND(N($P1492)&gt;1,N($O1492)&gt;N($P1492)),"⚠ Nº da parcela maior que o total",IF(AND($C1492&lt;&gt;"",$B1492&lt;&gt;"",$C1492&lt;$B1492),"⚠ Vencimento anterior à competência","OK"))))))))</f>
        <v/>
      </c>
    </row>
    <row r="1493">
      <c r="A1493" s="14" t="n"/>
      <c r="B1493" s="36" t="n"/>
      <c r="C1493" s="36" t="n"/>
      <c r="D1493" s="36" t="n"/>
      <c r="E1493" s="14" t="n"/>
      <c r="F1493" s="29" t="n"/>
      <c r="G1493" s="29" t="n"/>
      <c r="H1493" s="29" t="n"/>
      <c r="I1493" s="29" t="n"/>
      <c r="J1493" s="29" t="n"/>
      <c r="K1493" s="14" t="n"/>
      <c r="L1493" s="29" t="n"/>
      <c r="M1493" s="14" t="n"/>
      <c r="N1493" s="29" t="n"/>
      <c r="O1493" s="13" t="n"/>
      <c r="P1493" s="13" t="n"/>
      <c r="Q1493" s="35" t="n"/>
      <c r="R1493" s="35" t="n"/>
      <c r="S1493" s="35" t="n"/>
      <c r="T1493" s="35" t="n"/>
      <c r="U1493" s="35" t="n"/>
      <c r="V1493" s="18">
        <f>IF(COUNTA($B1493:$R1493)=0,"",ROUND(N($R1493)+N($S1493)+N($T1493)-N($U1493),2))</f>
        <v/>
      </c>
      <c r="W1493" s="18">
        <f>IF(COUNTA($B1493:$R1493)=0,"",IF(OR($X1493="Pago",$X1493="Recebido",$X1493="Cancelado"),0,ROUND(N($Q1493)+N($S1493)+N($T1493)-N($U1493)-N($R1493),2)))</f>
        <v/>
      </c>
      <c r="X1493" s="14" t="n"/>
      <c r="Y1493" s="17">
        <f>IF(COUNTA($B1493:$R1493)=0,"",IF($X1493="Cancelado","Cancelado",IF(OR($X1493="Pago",$X1493="Recebido"),$X1493,IF(OR($X1493="Parcial",N($R1493)&gt;0),"Parcial",IF($C1493="","Sem vencimento",IF($C1493&lt;TODAY(),"Vencido",IF($C1493=TODAY(),"Vence hoje",IF($C1493&lt;=TODAY()+7,"Vence em 7 dias",IF($C1493&lt;=TODAY()+30,"Vence em 30 dias","Futuro")))))))))</f>
        <v/>
      </c>
      <c r="Z1493" s="24">
        <f>IF($B1493="","",MONTH($B1493))</f>
        <v/>
      </c>
      <c r="AA1493" s="24">
        <f>IF($B1493="","",YEAR($B1493))</f>
        <v/>
      </c>
      <c r="AB1493" s="24">
        <f>IF($B1493="","",ISOWEEKNUM($B1493))</f>
        <v/>
      </c>
      <c r="AC1493" s="17">
        <f>IF($B1493="","",CHOOSE(WEEKDAY($B1493,2),"Segunda","Terça","Quarta","Quinta","Sexta","Sábado","Domingo"))</f>
        <v/>
      </c>
      <c r="AD1493" s="17">
        <f>IF($B1493="","",TEXT($B1493,"MM/AAAA"))</f>
        <v/>
      </c>
      <c r="AE1493" s="18">
        <f>IF(COUNTA($B1493:$R1493)=0,"",IF($X1493="Cancelado",0,ROUND(N($Q1493)+N($S1493)+N($T1493)-N($U1493),2)))</f>
        <v/>
      </c>
      <c r="AF1493" s="9">
        <f>IF($G1493="","",IFERROR(INDEX(LINHAS_DRE_PLANO,MATCH($G1493,SUBCATEGORIAS_PLANO,0)),"Não classificado"))</f>
        <v/>
      </c>
      <c r="AG1493" s="17">
        <f>IF($G1493="","",IFERROR(INDEX(TIPOS_FLUXO_PLANO,MATCH($G1493,SUBCATEGORIAS_PLANO,0)),"Não classificado"))</f>
        <v/>
      </c>
      <c r="AH1493" s="9">
        <f>IF($G1493="","",IFERROR(INDEX(GRUPOS_PLANO,MATCH($G1493,SUBCATEGORIAS_PLANO,0)),"Não classificado"))</f>
        <v/>
      </c>
      <c r="AI1493" s="24">
        <f>IF(OR($C1493="",$X1493="Pago",$X1493="Recebido",$X1493="Cancelado"),"",$C1493-TODAY())</f>
        <v/>
      </c>
      <c r="AJ1493" s="24">
        <f>IF(OR($C1493="",$X1493="Pago",$X1493="Recebido",$X1493="Cancelado"),0,MAX(0,TODAY()-$C1493))</f>
        <v/>
      </c>
      <c r="AK1493" s="24">
        <f>IF($D1493="","",$D1493-$B1493)</f>
        <v/>
      </c>
      <c r="AL1493" s="18">
        <f>IF(OR($D1493="",$B1493=""),"",ROUND(N($R1493)*($D1493-$B1493),2))</f>
        <v/>
      </c>
      <c r="AM1493" s="17">
        <f>IF(AND($E1493="Saída",$W1493&gt;0,$C1493&lt;&gt;""),$C1493+ROW()/1000000,"")</f>
        <v/>
      </c>
      <c r="AN1493" s="17">
        <f>IF(AND($E1493="Entrada",$W1493&gt;0,$C1493&lt;&gt;""),$C1493+ROW()/1000000,"")</f>
        <v/>
      </c>
      <c r="AO1493" s="9">
        <f>IF(COUNTA($B1493:$R1493)=0,"",IF(AND($I1493&lt;&gt;"",COUNTIF(CLIENTES_NOMES,$I1493)+COUNTIF(CLIENTES_FANTASIA,$I1493)+COUNTIF(FORNECEDORES_NOMES,$I1493)+COUNTIF(FORNECEDORES_FANTASIA,$I1493)=0),"⚠ Cliente/Fornecedor não cadastrado",IF(AND($G1493&lt;&gt;"",COUNTIF(SUBCATEGORIAS_PLANO,$G1493)=0),"⚠ Subcategoria fora do plano de contas",IF(OR($Q1493="",N($Q1493)=0),"⚠ Valor previsto não informado",IF(AND(OR($X1493="Pago",$X1493="Recebido"),$D1493=""),"⚠ Status pago/recebido sem data",IF(AND($D1493&lt;&gt;"",N($R1493)=0),"⚠ Data de pagamento sem valor realizado",IF(AND(N($P1493)&gt;1,N($O1493)&gt;N($P1493)),"⚠ Nº da parcela maior que o total",IF(AND($C1493&lt;&gt;"",$B1493&lt;&gt;"",$C1493&lt;$B1493),"⚠ Vencimento anterior à competência","OK"))))))))</f>
        <v/>
      </c>
    </row>
    <row r="1494">
      <c r="A1494" s="14" t="n"/>
      <c r="B1494" s="36" t="n"/>
      <c r="C1494" s="36" t="n"/>
      <c r="D1494" s="36" t="n"/>
      <c r="E1494" s="14" t="n"/>
      <c r="F1494" s="29" t="n"/>
      <c r="G1494" s="29" t="n"/>
      <c r="H1494" s="29" t="n"/>
      <c r="I1494" s="29" t="n"/>
      <c r="J1494" s="29" t="n"/>
      <c r="K1494" s="14" t="n"/>
      <c r="L1494" s="29" t="n"/>
      <c r="M1494" s="14" t="n"/>
      <c r="N1494" s="29" t="n"/>
      <c r="O1494" s="13" t="n"/>
      <c r="P1494" s="13" t="n"/>
      <c r="Q1494" s="35" t="n"/>
      <c r="R1494" s="35" t="n"/>
      <c r="S1494" s="35" t="n"/>
      <c r="T1494" s="35" t="n"/>
      <c r="U1494" s="35" t="n"/>
      <c r="V1494" s="18">
        <f>IF(COUNTA($B1494:$R1494)=0,"",ROUND(N($R1494)+N($S1494)+N($T1494)-N($U1494),2))</f>
        <v/>
      </c>
      <c r="W1494" s="18">
        <f>IF(COUNTA($B1494:$R1494)=0,"",IF(OR($X1494="Pago",$X1494="Recebido",$X1494="Cancelado"),0,ROUND(N($Q1494)+N($S1494)+N($T1494)-N($U1494)-N($R1494),2)))</f>
        <v/>
      </c>
      <c r="X1494" s="14" t="n"/>
      <c r="Y1494" s="17">
        <f>IF(COUNTA($B1494:$R1494)=0,"",IF($X1494="Cancelado","Cancelado",IF(OR($X1494="Pago",$X1494="Recebido"),$X1494,IF(OR($X1494="Parcial",N($R1494)&gt;0),"Parcial",IF($C1494="","Sem vencimento",IF($C1494&lt;TODAY(),"Vencido",IF($C1494=TODAY(),"Vence hoje",IF($C1494&lt;=TODAY()+7,"Vence em 7 dias",IF($C1494&lt;=TODAY()+30,"Vence em 30 dias","Futuro")))))))))</f>
        <v/>
      </c>
      <c r="Z1494" s="24">
        <f>IF($B1494="","",MONTH($B1494))</f>
        <v/>
      </c>
      <c r="AA1494" s="24">
        <f>IF($B1494="","",YEAR($B1494))</f>
        <v/>
      </c>
      <c r="AB1494" s="24">
        <f>IF($B1494="","",ISOWEEKNUM($B1494))</f>
        <v/>
      </c>
      <c r="AC1494" s="17">
        <f>IF($B1494="","",CHOOSE(WEEKDAY($B1494,2),"Segunda","Terça","Quarta","Quinta","Sexta","Sábado","Domingo"))</f>
        <v/>
      </c>
      <c r="AD1494" s="17">
        <f>IF($B1494="","",TEXT($B1494,"MM/AAAA"))</f>
        <v/>
      </c>
      <c r="AE1494" s="18">
        <f>IF(COUNTA($B1494:$R1494)=0,"",IF($X1494="Cancelado",0,ROUND(N($Q1494)+N($S1494)+N($T1494)-N($U1494),2)))</f>
        <v/>
      </c>
      <c r="AF1494" s="9">
        <f>IF($G1494="","",IFERROR(INDEX(LINHAS_DRE_PLANO,MATCH($G1494,SUBCATEGORIAS_PLANO,0)),"Não classificado"))</f>
        <v/>
      </c>
      <c r="AG1494" s="17">
        <f>IF($G1494="","",IFERROR(INDEX(TIPOS_FLUXO_PLANO,MATCH($G1494,SUBCATEGORIAS_PLANO,0)),"Não classificado"))</f>
        <v/>
      </c>
      <c r="AH1494" s="9">
        <f>IF($G1494="","",IFERROR(INDEX(GRUPOS_PLANO,MATCH($G1494,SUBCATEGORIAS_PLANO,0)),"Não classificado"))</f>
        <v/>
      </c>
      <c r="AI1494" s="24">
        <f>IF(OR($C1494="",$X1494="Pago",$X1494="Recebido",$X1494="Cancelado"),"",$C1494-TODAY())</f>
        <v/>
      </c>
      <c r="AJ1494" s="24">
        <f>IF(OR($C1494="",$X1494="Pago",$X1494="Recebido",$X1494="Cancelado"),0,MAX(0,TODAY()-$C1494))</f>
        <v/>
      </c>
      <c r="AK1494" s="24">
        <f>IF($D1494="","",$D1494-$B1494)</f>
        <v/>
      </c>
      <c r="AL1494" s="18">
        <f>IF(OR($D1494="",$B1494=""),"",ROUND(N($R1494)*($D1494-$B1494),2))</f>
        <v/>
      </c>
      <c r="AM1494" s="17">
        <f>IF(AND($E1494="Saída",$W1494&gt;0,$C1494&lt;&gt;""),$C1494+ROW()/1000000,"")</f>
        <v/>
      </c>
      <c r="AN1494" s="17">
        <f>IF(AND($E1494="Entrada",$W1494&gt;0,$C1494&lt;&gt;""),$C1494+ROW()/1000000,"")</f>
        <v/>
      </c>
      <c r="AO1494" s="9">
        <f>IF(COUNTA($B1494:$R1494)=0,"",IF(AND($I1494&lt;&gt;"",COUNTIF(CLIENTES_NOMES,$I1494)+COUNTIF(CLIENTES_FANTASIA,$I1494)+COUNTIF(FORNECEDORES_NOMES,$I1494)+COUNTIF(FORNECEDORES_FANTASIA,$I1494)=0),"⚠ Cliente/Fornecedor não cadastrado",IF(AND($G1494&lt;&gt;"",COUNTIF(SUBCATEGORIAS_PLANO,$G1494)=0),"⚠ Subcategoria fora do plano de contas",IF(OR($Q1494="",N($Q1494)=0),"⚠ Valor previsto não informado",IF(AND(OR($X1494="Pago",$X1494="Recebido"),$D1494=""),"⚠ Status pago/recebido sem data",IF(AND($D1494&lt;&gt;"",N($R1494)=0),"⚠ Data de pagamento sem valor realizado",IF(AND(N($P1494)&gt;1,N($O1494)&gt;N($P1494)),"⚠ Nº da parcela maior que o total",IF(AND($C1494&lt;&gt;"",$B1494&lt;&gt;"",$C1494&lt;$B1494),"⚠ Vencimento anterior à competência","OK"))))))))</f>
        <v/>
      </c>
    </row>
    <row r="1495">
      <c r="A1495" s="14" t="n"/>
      <c r="B1495" s="36" t="n"/>
      <c r="C1495" s="36" t="n"/>
      <c r="D1495" s="36" t="n"/>
      <c r="E1495" s="14" t="n"/>
      <c r="F1495" s="29" t="n"/>
      <c r="G1495" s="29" t="n"/>
      <c r="H1495" s="29" t="n"/>
      <c r="I1495" s="29" t="n"/>
      <c r="J1495" s="29" t="n"/>
      <c r="K1495" s="14" t="n"/>
      <c r="L1495" s="29" t="n"/>
      <c r="M1495" s="14" t="n"/>
      <c r="N1495" s="29" t="n"/>
      <c r="O1495" s="13" t="n"/>
      <c r="P1495" s="13" t="n"/>
      <c r="Q1495" s="35" t="n"/>
      <c r="R1495" s="35" t="n"/>
      <c r="S1495" s="35" t="n"/>
      <c r="T1495" s="35" t="n"/>
      <c r="U1495" s="35" t="n"/>
      <c r="V1495" s="18">
        <f>IF(COUNTA($B1495:$R1495)=0,"",ROUND(N($R1495)+N($S1495)+N($T1495)-N($U1495),2))</f>
        <v/>
      </c>
      <c r="W1495" s="18">
        <f>IF(COUNTA($B1495:$R1495)=0,"",IF(OR($X1495="Pago",$X1495="Recebido",$X1495="Cancelado"),0,ROUND(N($Q1495)+N($S1495)+N($T1495)-N($U1495)-N($R1495),2)))</f>
        <v/>
      </c>
      <c r="X1495" s="14" t="n"/>
      <c r="Y1495" s="17">
        <f>IF(COUNTA($B1495:$R1495)=0,"",IF($X1495="Cancelado","Cancelado",IF(OR($X1495="Pago",$X1495="Recebido"),$X1495,IF(OR($X1495="Parcial",N($R1495)&gt;0),"Parcial",IF($C1495="","Sem vencimento",IF($C1495&lt;TODAY(),"Vencido",IF($C1495=TODAY(),"Vence hoje",IF($C1495&lt;=TODAY()+7,"Vence em 7 dias",IF($C1495&lt;=TODAY()+30,"Vence em 30 dias","Futuro")))))))))</f>
        <v/>
      </c>
      <c r="Z1495" s="24">
        <f>IF($B1495="","",MONTH($B1495))</f>
        <v/>
      </c>
      <c r="AA1495" s="24">
        <f>IF($B1495="","",YEAR($B1495))</f>
        <v/>
      </c>
      <c r="AB1495" s="24">
        <f>IF($B1495="","",ISOWEEKNUM($B1495))</f>
        <v/>
      </c>
      <c r="AC1495" s="17">
        <f>IF($B1495="","",CHOOSE(WEEKDAY($B1495,2),"Segunda","Terça","Quarta","Quinta","Sexta","Sábado","Domingo"))</f>
        <v/>
      </c>
      <c r="AD1495" s="17">
        <f>IF($B1495="","",TEXT($B1495,"MM/AAAA"))</f>
        <v/>
      </c>
      <c r="AE1495" s="18">
        <f>IF(COUNTA($B1495:$R1495)=0,"",IF($X1495="Cancelado",0,ROUND(N($Q1495)+N($S1495)+N($T1495)-N($U1495),2)))</f>
        <v/>
      </c>
      <c r="AF1495" s="9">
        <f>IF($G1495="","",IFERROR(INDEX(LINHAS_DRE_PLANO,MATCH($G1495,SUBCATEGORIAS_PLANO,0)),"Não classificado"))</f>
        <v/>
      </c>
      <c r="AG1495" s="17">
        <f>IF($G1495="","",IFERROR(INDEX(TIPOS_FLUXO_PLANO,MATCH($G1495,SUBCATEGORIAS_PLANO,0)),"Não classificado"))</f>
        <v/>
      </c>
      <c r="AH1495" s="9">
        <f>IF($G1495="","",IFERROR(INDEX(GRUPOS_PLANO,MATCH($G1495,SUBCATEGORIAS_PLANO,0)),"Não classificado"))</f>
        <v/>
      </c>
      <c r="AI1495" s="24">
        <f>IF(OR($C1495="",$X1495="Pago",$X1495="Recebido",$X1495="Cancelado"),"",$C1495-TODAY())</f>
        <v/>
      </c>
      <c r="AJ1495" s="24">
        <f>IF(OR($C1495="",$X1495="Pago",$X1495="Recebido",$X1495="Cancelado"),0,MAX(0,TODAY()-$C1495))</f>
        <v/>
      </c>
      <c r="AK1495" s="24">
        <f>IF($D1495="","",$D1495-$B1495)</f>
        <v/>
      </c>
      <c r="AL1495" s="18">
        <f>IF(OR($D1495="",$B1495=""),"",ROUND(N($R1495)*($D1495-$B1495),2))</f>
        <v/>
      </c>
      <c r="AM1495" s="17">
        <f>IF(AND($E1495="Saída",$W1495&gt;0,$C1495&lt;&gt;""),$C1495+ROW()/1000000,"")</f>
        <v/>
      </c>
      <c r="AN1495" s="17">
        <f>IF(AND($E1495="Entrada",$W1495&gt;0,$C1495&lt;&gt;""),$C1495+ROW()/1000000,"")</f>
        <v/>
      </c>
      <c r="AO1495" s="9">
        <f>IF(COUNTA($B1495:$R1495)=0,"",IF(AND($I1495&lt;&gt;"",COUNTIF(CLIENTES_NOMES,$I1495)+COUNTIF(CLIENTES_FANTASIA,$I1495)+COUNTIF(FORNECEDORES_NOMES,$I1495)+COUNTIF(FORNECEDORES_FANTASIA,$I1495)=0),"⚠ Cliente/Fornecedor não cadastrado",IF(AND($G1495&lt;&gt;"",COUNTIF(SUBCATEGORIAS_PLANO,$G1495)=0),"⚠ Subcategoria fora do plano de contas",IF(OR($Q1495="",N($Q1495)=0),"⚠ Valor previsto não informado",IF(AND(OR($X1495="Pago",$X1495="Recebido"),$D1495=""),"⚠ Status pago/recebido sem data",IF(AND($D1495&lt;&gt;"",N($R1495)=0),"⚠ Data de pagamento sem valor realizado",IF(AND(N($P1495)&gt;1,N($O1495)&gt;N($P1495)),"⚠ Nº da parcela maior que o total",IF(AND($C1495&lt;&gt;"",$B1495&lt;&gt;"",$C1495&lt;$B1495),"⚠ Vencimento anterior à competência","OK"))))))))</f>
        <v/>
      </c>
    </row>
    <row r="1496">
      <c r="A1496" s="14" t="n"/>
      <c r="B1496" s="36" t="n"/>
      <c r="C1496" s="36" t="n"/>
      <c r="D1496" s="36" t="n"/>
      <c r="E1496" s="14" t="n"/>
      <c r="F1496" s="29" t="n"/>
      <c r="G1496" s="29" t="n"/>
      <c r="H1496" s="29" t="n"/>
      <c r="I1496" s="29" t="n"/>
      <c r="J1496" s="29" t="n"/>
      <c r="K1496" s="14" t="n"/>
      <c r="L1496" s="29" t="n"/>
      <c r="M1496" s="14" t="n"/>
      <c r="N1496" s="29" t="n"/>
      <c r="O1496" s="13" t="n"/>
      <c r="P1496" s="13" t="n"/>
      <c r="Q1496" s="35" t="n"/>
      <c r="R1496" s="35" t="n"/>
      <c r="S1496" s="35" t="n"/>
      <c r="T1496" s="35" t="n"/>
      <c r="U1496" s="35" t="n"/>
      <c r="V1496" s="18">
        <f>IF(COUNTA($B1496:$R1496)=0,"",ROUND(N($R1496)+N($S1496)+N($T1496)-N($U1496),2))</f>
        <v/>
      </c>
      <c r="W1496" s="18">
        <f>IF(COUNTA($B1496:$R1496)=0,"",IF(OR($X1496="Pago",$X1496="Recebido",$X1496="Cancelado"),0,ROUND(N($Q1496)+N($S1496)+N($T1496)-N($U1496)-N($R1496),2)))</f>
        <v/>
      </c>
      <c r="X1496" s="14" t="n"/>
      <c r="Y1496" s="17">
        <f>IF(COUNTA($B1496:$R1496)=0,"",IF($X1496="Cancelado","Cancelado",IF(OR($X1496="Pago",$X1496="Recebido"),$X1496,IF(OR($X1496="Parcial",N($R1496)&gt;0),"Parcial",IF($C1496="","Sem vencimento",IF($C1496&lt;TODAY(),"Vencido",IF($C1496=TODAY(),"Vence hoje",IF($C1496&lt;=TODAY()+7,"Vence em 7 dias",IF($C1496&lt;=TODAY()+30,"Vence em 30 dias","Futuro")))))))))</f>
        <v/>
      </c>
      <c r="Z1496" s="24">
        <f>IF($B1496="","",MONTH($B1496))</f>
        <v/>
      </c>
      <c r="AA1496" s="24">
        <f>IF($B1496="","",YEAR($B1496))</f>
        <v/>
      </c>
      <c r="AB1496" s="24">
        <f>IF($B1496="","",ISOWEEKNUM($B1496))</f>
        <v/>
      </c>
      <c r="AC1496" s="17">
        <f>IF($B1496="","",CHOOSE(WEEKDAY($B1496,2),"Segunda","Terça","Quarta","Quinta","Sexta","Sábado","Domingo"))</f>
        <v/>
      </c>
      <c r="AD1496" s="17">
        <f>IF($B1496="","",TEXT($B1496,"MM/AAAA"))</f>
        <v/>
      </c>
      <c r="AE1496" s="18">
        <f>IF(COUNTA($B1496:$R1496)=0,"",IF($X1496="Cancelado",0,ROUND(N($Q1496)+N($S1496)+N($T1496)-N($U1496),2)))</f>
        <v/>
      </c>
      <c r="AF1496" s="9">
        <f>IF($G1496="","",IFERROR(INDEX(LINHAS_DRE_PLANO,MATCH($G1496,SUBCATEGORIAS_PLANO,0)),"Não classificado"))</f>
        <v/>
      </c>
      <c r="AG1496" s="17">
        <f>IF($G1496="","",IFERROR(INDEX(TIPOS_FLUXO_PLANO,MATCH($G1496,SUBCATEGORIAS_PLANO,0)),"Não classificado"))</f>
        <v/>
      </c>
      <c r="AH1496" s="9">
        <f>IF($G1496="","",IFERROR(INDEX(GRUPOS_PLANO,MATCH($G1496,SUBCATEGORIAS_PLANO,0)),"Não classificado"))</f>
        <v/>
      </c>
      <c r="AI1496" s="24">
        <f>IF(OR($C1496="",$X1496="Pago",$X1496="Recebido",$X1496="Cancelado"),"",$C1496-TODAY())</f>
        <v/>
      </c>
      <c r="AJ1496" s="24">
        <f>IF(OR($C1496="",$X1496="Pago",$X1496="Recebido",$X1496="Cancelado"),0,MAX(0,TODAY()-$C1496))</f>
        <v/>
      </c>
      <c r="AK1496" s="24">
        <f>IF($D1496="","",$D1496-$B1496)</f>
        <v/>
      </c>
      <c r="AL1496" s="18">
        <f>IF(OR($D1496="",$B1496=""),"",ROUND(N($R1496)*($D1496-$B1496),2))</f>
        <v/>
      </c>
      <c r="AM1496" s="17">
        <f>IF(AND($E1496="Saída",$W1496&gt;0,$C1496&lt;&gt;""),$C1496+ROW()/1000000,"")</f>
        <v/>
      </c>
      <c r="AN1496" s="17">
        <f>IF(AND($E1496="Entrada",$W1496&gt;0,$C1496&lt;&gt;""),$C1496+ROW()/1000000,"")</f>
        <v/>
      </c>
      <c r="AO1496" s="9">
        <f>IF(COUNTA($B1496:$R1496)=0,"",IF(AND($I1496&lt;&gt;"",COUNTIF(CLIENTES_NOMES,$I1496)+COUNTIF(CLIENTES_FANTASIA,$I1496)+COUNTIF(FORNECEDORES_NOMES,$I1496)+COUNTIF(FORNECEDORES_FANTASIA,$I1496)=0),"⚠ Cliente/Fornecedor não cadastrado",IF(AND($G1496&lt;&gt;"",COUNTIF(SUBCATEGORIAS_PLANO,$G1496)=0),"⚠ Subcategoria fora do plano de contas",IF(OR($Q1496="",N($Q1496)=0),"⚠ Valor previsto não informado",IF(AND(OR($X1496="Pago",$X1496="Recebido"),$D1496=""),"⚠ Status pago/recebido sem data",IF(AND($D1496&lt;&gt;"",N($R1496)=0),"⚠ Data de pagamento sem valor realizado",IF(AND(N($P1496)&gt;1,N($O1496)&gt;N($P1496)),"⚠ Nº da parcela maior que o total",IF(AND($C1496&lt;&gt;"",$B1496&lt;&gt;"",$C1496&lt;$B1496),"⚠ Vencimento anterior à competência","OK"))))))))</f>
        <v/>
      </c>
    </row>
    <row r="1497">
      <c r="A1497" s="14" t="n"/>
      <c r="B1497" s="36" t="n"/>
      <c r="C1497" s="36" t="n"/>
      <c r="D1497" s="36" t="n"/>
      <c r="E1497" s="14" t="n"/>
      <c r="F1497" s="29" t="n"/>
      <c r="G1497" s="29" t="n"/>
      <c r="H1497" s="29" t="n"/>
      <c r="I1497" s="29" t="n"/>
      <c r="J1497" s="29" t="n"/>
      <c r="K1497" s="14" t="n"/>
      <c r="L1497" s="29" t="n"/>
      <c r="M1497" s="14" t="n"/>
      <c r="N1497" s="29" t="n"/>
      <c r="O1497" s="13" t="n"/>
      <c r="P1497" s="13" t="n"/>
      <c r="Q1497" s="35" t="n"/>
      <c r="R1497" s="35" t="n"/>
      <c r="S1497" s="35" t="n"/>
      <c r="T1497" s="35" t="n"/>
      <c r="U1497" s="35" t="n"/>
      <c r="V1497" s="18">
        <f>IF(COUNTA($B1497:$R1497)=0,"",ROUND(N($R1497)+N($S1497)+N($T1497)-N($U1497),2))</f>
        <v/>
      </c>
      <c r="W1497" s="18">
        <f>IF(COUNTA($B1497:$R1497)=0,"",IF(OR($X1497="Pago",$X1497="Recebido",$X1497="Cancelado"),0,ROUND(N($Q1497)+N($S1497)+N($T1497)-N($U1497)-N($R1497),2)))</f>
        <v/>
      </c>
      <c r="X1497" s="14" t="n"/>
      <c r="Y1497" s="17">
        <f>IF(COUNTA($B1497:$R1497)=0,"",IF($X1497="Cancelado","Cancelado",IF(OR($X1497="Pago",$X1497="Recebido"),$X1497,IF(OR($X1497="Parcial",N($R1497)&gt;0),"Parcial",IF($C1497="","Sem vencimento",IF($C1497&lt;TODAY(),"Vencido",IF($C1497=TODAY(),"Vence hoje",IF($C1497&lt;=TODAY()+7,"Vence em 7 dias",IF($C1497&lt;=TODAY()+30,"Vence em 30 dias","Futuro")))))))))</f>
        <v/>
      </c>
      <c r="Z1497" s="24">
        <f>IF($B1497="","",MONTH($B1497))</f>
        <v/>
      </c>
      <c r="AA1497" s="24">
        <f>IF($B1497="","",YEAR($B1497))</f>
        <v/>
      </c>
      <c r="AB1497" s="24">
        <f>IF($B1497="","",ISOWEEKNUM($B1497))</f>
        <v/>
      </c>
      <c r="AC1497" s="17">
        <f>IF($B1497="","",CHOOSE(WEEKDAY($B1497,2),"Segunda","Terça","Quarta","Quinta","Sexta","Sábado","Domingo"))</f>
        <v/>
      </c>
      <c r="AD1497" s="17">
        <f>IF($B1497="","",TEXT($B1497,"MM/AAAA"))</f>
        <v/>
      </c>
      <c r="AE1497" s="18">
        <f>IF(COUNTA($B1497:$R1497)=0,"",IF($X1497="Cancelado",0,ROUND(N($Q1497)+N($S1497)+N($T1497)-N($U1497),2)))</f>
        <v/>
      </c>
      <c r="AF1497" s="9">
        <f>IF($G1497="","",IFERROR(INDEX(LINHAS_DRE_PLANO,MATCH($G1497,SUBCATEGORIAS_PLANO,0)),"Não classificado"))</f>
        <v/>
      </c>
      <c r="AG1497" s="17">
        <f>IF($G1497="","",IFERROR(INDEX(TIPOS_FLUXO_PLANO,MATCH($G1497,SUBCATEGORIAS_PLANO,0)),"Não classificado"))</f>
        <v/>
      </c>
      <c r="AH1497" s="9">
        <f>IF($G1497="","",IFERROR(INDEX(GRUPOS_PLANO,MATCH($G1497,SUBCATEGORIAS_PLANO,0)),"Não classificado"))</f>
        <v/>
      </c>
      <c r="AI1497" s="24">
        <f>IF(OR($C1497="",$X1497="Pago",$X1497="Recebido",$X1497="Cancelado"),"",$C1497-TODAY())</f>
        <v/>
      </c>
      <c r="AJ1497" s="24">
        <f>IF(OR($C1497="",$X1497="Pago",$X1497="Recebido",$X1497="Cancelado"),0,MAX(0,TODAY()-$C1497))</f>
        <v/>
      </c>
      <c r="AK1497" s="24">
        <f>IF($D1497="","",$D1497-$B1497)</f>
        <v/>
      </c>
      <c r="AL1497" s="18">
        <f>IF(OR($D1497="",$B1497=""),"",ROUND(N($R1497)*($D1497-$B1497),2))</f>
        <v/>
      </c>
      <c r="AM1497" s="17">
        <f>IF(AND($E1497="Saída",$W1497&gt;0,$C1497&lt;&gt;""),$C1497+ROW()/1000000,"")</f>
        <v/>
      </c>
      <c r="AN1497" s="17">
        <f>IF(AND($E1497="Entrada",$W1497&gt;0,$C1497&lt;&gt;""),$C1497+ROW()/1000000,"")</f>
        <v/>
      </c>
      <c r="AO1497" s="9">
        <f>IF(COUNTA($B1497:$R1497)=0,"",IF(AND($I1497&lt;&gt;"",COUNTIF(CLIENTES_NOMES,$I1497)+COUNTIF(CLIENTES_FANTASIA,$I1497)+COUNTIF(FORNECEDORES_NOMES,$I1497)+COUNTIF(FORNECEDORES_FANTASIA,$I1497)=0),"⚠ Cliente/Fornecedor não cadastrado",IF(AND($G1497&lt;&gt;"",COUNTIF(SUBCATEGORIAS_PLANO,$G1497)=0),"⚠ Subcategoria fora do plano de contas",IF(OR($Q1497="",N($Q1497)=0),"⚠ Valor previsto não informado",IF(AND(OR($X1497="Pago",$X1497="Recebido"),$D1497=""),"⚠ Status pago/recebido sem data",IF(AND($D1497&lt;&gt;"",N($R1497)=0),"⚠ Data de pagamento sem valor realizado",IF(AND(N($P1497)&gt;1,N($O1497)&gt;N($P1497)),"⚠ Nº da parcela maior que o total",IF(AND($C1497&lt;&gt;"",$B1497&lt;&gt;"",$C1497&lt;$B1497),"⚠ Vencimento anterior à competência","OK"))))))))</f>
        <v/>
      </c>
    </row>
    <row r="1498">
      <c r="A1498" s="14" t="n"/>
      <c r="B1498" s="36" t="n"/>
      <c r="C1498" s="36" t="n"/>
      <c r="D1498" s="36" t="n"/>
      <c r="E1498" s="14" t="n"/>
      <c r="F1498" s="29" t="n"/>
      <c r="G1498" s="29" t="n"/>
      <c r="H1498" s="29" t="n"/>
      <c r="I1498" s="29" t="n"/>
      <c r="J1498" s="29" t="n"/>
      <c r="K1498" s="14" t="n"/>
      <c r="L1498" s="29" t="n"/>
      <c r="M1498" s="14" t="n"/>
      <c r="N1498" s="29" t="n"/>
      <c r="O1498" s="13" t="n"/>
      <c r="P1498" s="13" t="n"/>
      <c r="Q1498" s="35" t="n"/>
      <c r="R1498" s="35" t="n"/>
      <c r="S1498" s="35" t="n"/>
      <c r="T1498" s="35" t="n"/>
      <c r="U1498" s="35" t="n"/>
      <c r="V1498" s="18">
        <f>IF(COUNTA($B1498:$R1498)=0,"",ROUND(N($R1498)+N($S1498)+N($T1498)-N($U1498),2))</f>
        <v/>
      </c>
      <c r="W1498" s="18">
        <f>IF(COUNTA($B1498:$R1498)=0,"",IF(OR($X1498="Pago",$X1498="Recebido",$X1498="Cancelado"),0,ROUND(N($Q1498)+N($S1498)+N($T1498)-N($U1498)-N($R1498),2)))</f>
        <v/>
      </c>
      <c r="X1498" s="14" t="n"/>
      <c r="Y1498" s="17">
        <f>IF(COUNTA($B1498:$R1498)=0,"",IF($X1498="Cancelado","Cancelado",IF(OR($X1498="Pago",$X1498="Recebido"),$X1498,IF(OR($X1498="Parcial",N($R1498)&gt;0),"Parcial",IF($C1498="","Sem vencimento",IF($C1498&lt;TODAY(),"Vencido",IF($C1498=TODAY(),"Vence hoje",IF($C1498&lt;=TODAY()+7,"Vence em 7 dias",IF($C1498&lt;=TODAY()+30,"Vence em 30 dias","Futuro")))))))))</f>
        <v/>
      </c>
      <c r="Z1498" s="24">
        <f>IF($B1498="","",MONTH($B1498))</f>
        <v/>
      </c>
      <c r="AA1498" s="24">
        <f>IF($B1498="","",YEAR($B1498))</f>
        <v/>
      </c>
      <c r="AB1498" s="24">
        <f>IF($B1498="","",ISOWEEKNUM($B1498))</f>
        <v/>
      </c>
      <c r="AC1498" s="17">
        <f>IF($B1498="","",CHOOSE(WEEKDAY($B1498,2),"Segunda","Terça","Quarta","Quinta","Sexta","Sábado","Domingo"))</f>
        <v/>
      </c>
      <c r="AD1498" s="17">
        <f>IF($B1498="","",TEXT($B1498,"MM/AAAA"))</f>
        <v/>
      </c>
      <c r="AE1498" s="18">
        <f>IF(COUNTA($B1498:$R1498)=0,"",IF($X1498="Cancelado",0,ROUND(N($Q1498)+N($S1498)+N($T1498)-N($U1498),2)))</f>
        <v/>
      </c>
      <c r="AF1498" s="9">
        <f>IF($G1498="","",IFERROR(INDEX(LINHAS_DRE_PLANO,MATCH($G1498,SUBCATEGORIAS_PLANO,0)),"Não classificado"))</f>
        <v/>
      </c>
      <c r="AG1498" s="17">
        <f>IF($G1498="","",IFERROR(INDEX(TIPOS_FLUXO_PLANO,MATCH($G1498,SUBCATEGORIAS_PLANO,0)),"Não classificado"))</f>
        <v/>
      </c>
      <c r="AH1498" s="9">
        <f>IF($G1498="","",IFERROR(INDEX(GRUPOS_PLANO,MATCH($G1498,SUBCATEGORIAS_PLANO,0)),"Não classificado"))</f>
        <v/>
      </c>
      <c r="AI1498" s="24">
        <f>IF(OR($C1498="",$X1498="Pago",$X1498="Recebido",$X1498="Cancelado"),"",$C1498-TODAY())</f>
        <v/>
      </c>
      <c r="AJ1498" s="24">
        <f>IF(OR($C1498="",$X1498="Pago",$X1498="Recebido",$X1498="Cancelado"),0,MAX(0,TODAY()-$C1498))</f>
        <v/>
      </c>
      <c r="AK1498" s="24">
        <f>IF($D1498="","",$D1498-$B1498)</f>
        <v/>
      </c>
      <c r="AL1498" s="18">
        <f>IF(OR($D1498="",$B1498=""),"",ROUND(N($R1498)*($D1498-$B1498),2))</f>
        <v/>
      </c>
      <c r="AM1498" s="17">
        <f>IF(AND($E1498="Saída",$W1498&gt;0,$C1498&lt;&gt;""),$C1498+ROW()/1000000,"")</f>
        <v/>
      </c>
      <c r="AN1498" s="17">
        <f>IF(AND($E1498="Entrada",$W1498&gt;0,$C1498&lt;&gt;""),$C1498+ROW()/1000000,"")</f>
        <v/>
      </c>
      <c r="AO1498" s="9">
        <f>IF(COUNTA($B1498:$R1498)=0,"",IF(AND($I1498&lt;&gt;"",COUNTIF(CLIENTES_NOMES,$I1498)+COUNTIF(CLIENTES_FANTASIA,$I1498)+COUNTIF(FORNECEDORES_NOMES,$I1498)+COUNTIF(FORNECEDORES_FANTASIA,$I1498)=0),"⚠ Cliente/Fornecedor não cadastrado",IF(AND($G1498&lt;&gt;"",COUNTIF(SUBCATEGORIAS_PLANO,$G1498)=0),"⚠ Subcategoria fora do plano de contas",IF(OR($Q1498="",N($Q1498)=0),"⚠ Valor previsto não informado",IF(AND(OR($X1498="Pago",$X1498="Recebido"),$D1498=""),"⚠ Status pago/recebido sem data",IF(AND($D1498&lt;&gt;"",N($R1498)=0),"⚠ Data de pagamento sem valor realizado",IF(AND(N($P1498)&gt;1,N($O1498)&gt;N($P1498)),"⚠ Nº da parcela maior que o total",IF(AND($C1498&lt;&gt;"",$B1498&lt;&gt;"",$C1498&lt;$B1498),"⚠ Vencimento anterior à competência","OK"))))))))</f>
        <v/>
      </c>
    </row>
    <row r="1499">
      <c r="A1499" s="14" t="n"/>
      <c r="B1499" s="36" t="n"/>
      <c r="C1499" s="36" t="n"/>
      <c r="D1499" s="36" t="n"/>
      <c r="E1499" s="14" t="n"/>
      <c r="F1499" s="29" t="n"/>
      <c r="G1499" s="29" t="n"/>
      <c r="H1499" s="29" t="n"/>
      <c r="I1499" s="29" t="n"/>
      <c r="J1499" s="29" t="n"/>
      <c r="K1499" s="14" t="n"/>
      <c r="L1499" s="29" t="n"/>
      <c r="M1499" s="14" t="n"/>
      <c r="N1499" s="29" t="n"/>
      <c r="O1499" s="13" t="n"/>
      <c r="P1499" s="13" t="n"/>
      <c r="Q1499" s="35" t="n"/>
      <c r="R1499" s="35" t="n"/>
      <c r="S1499" s="35" t="n"/>
      <c r="T1499" s="35" t="n"/>
      <c r="U1499" s="35" t="n"/>
      <c r="V1499" s="18">
        <f>IF(COUNTA($B1499:$R1499)=0,"",ROUND(N($R1499)+N($S1499)+N($T1499)-N($U1499),2))</f>
        <v/>
      </c>
      <c r="W1499" s="18">
        <f>IF(COUNTA($B1499:$R1499)=0,"",IF(OR($X1499="Pago",$X1499="Recebido",$X1499="Cancelado"),0,ROUND(N($Q1499)+N($S1499)+N($T1499)-N($U1499)-N($R1499),2)))</f>
        <v/>
      </c>
      <c r="X1499" s="14" t="n"/>
      <c r="Y1499" s="17">
        <f>IF(COUNTA($B1499:$R1499)=0,"",IF($X1499="Cancelado","Cancelado",IF(OR($X1499="Pago",$X1499="Recebido"),$X1499,IF(OR($X1499="Parcial",N($R1499)&gt;0),"Parcial",IF($C1499="","Sem vencimento",IF($C1499&lt;TODAY(),"Vencido",IF($C1499=TODAY(),"Vence hoje",IF($C1499&lt;=TODAY()+7,"Vence em 7 dias",IF($C1499&lt;=TODAY()+30,"Vence em 30 dias","Futuro")))))))))</f>
        <v/>
      </c>
      <c r="Z1499" s="24">
        <f>IF($B1499="","",MONTH($B1499))</f>
        <v/>
      </c>
      <c r="AA1499" s="24">
        <f>IF($B1499="","",YEAR($B1499))</f>
        <v/>
      </c>
      <c r="AB1499" s="24">
        <f>IF($B1499="","",ISOWEEKNUM($B1499))</f>
        <v/>
      </c>
      <c r="AC1499" s="17">
        <f>IF($B1499="","",CHOOSE(WEEKDAY($B1499,2),"Segunda","Terça","Quarta","Quinta","Sexta","Sábado","Domingo"))</f>
        <v/>
      </c>
      <c r="AD1499" s="17">
        <f>IF($B1499="","",TEXT($B1499,"MM/AAAA"))</f>
        <v/>
      </c>
      <c r="AE1499" s="18">
        <f>IF(COUNTA($B1499:$R1499)=0,"",IF($X1499="Cancelado",0,ROUND(N($Q1499)+N($S1499)+N($T1499)-N($U1499),2)))</f>
        <v/>
      </c>
      <c r="AF1499" s="9">
        <f>IF($G1499="","",IFERROR(INDEX(LINHAS_DRE_PLANO,MATCH($G1499,SUBCATEGORIAS_PLANO,0)),"Não classificado"))</f>
        <v/>
      </c>
      <c r="AG1499" s="17">
        <f>IF($G1499="","",IFERROR(INDEX(TIPOS_FLUXO_PLANO,MATCH($G1499,SUBCATEGORIAS_PLANO,0)),"Não classificado"))</f>
        <v/>
      </c>
      <c r="AH1499" s="9">
        <f>IF($G1499="","",IFERROR(INDEX(GRUPOS_PLANO,MATCH($G1499,SUBCATEGORIAS_PLANO,0)),"Não classificado"))</f>
        <v/>
      </c>
      <c r="AI1499" s="24">
        <f>IF(OR($C1499="",$X1499="Pago",$X1499="Recebido",$X1499="Cancelado"),"",$C1499-TODAY())</f>
        <v/>
      </c>
      <c r="AJ1499" s="24">
        <f>IF(OR($C1499="",$X1499="Pago",$X1499="Recebido",$X1499="Cancelado"),0,MAX(0,TODAY()-$C1499))</f>
        <v/>
      </c>
      <c r="AK1499" s="24">
        <f>IF($D1499="","",$D1499-$B1499)</f>
        <v/>
      </c>
      <c r="AL1499" s="18">
        <f>IF(OR($D1499="",$B1499=""),"",ROUND(N($R1499)*($D1499-$B1499),2))</f>
        <v/>
      </c>
      <c r="AM1499" s="17">
        <f>IF(AND($E1499="Saída",$W1499&gt;0,$C1499&lt;&gt;""),$C1499+ROW()/1000000,"")</f>
        <v/>
      </c>
      <c r="AN1499" s="17">
        <f>IF(AND($E1499="Entrada",$W1499&gt;0,$C1499&lt;&gt;""),$C1499+ROW()/1000000,"")</f>
        <v/>
      </c>
      <c r="AO1499" s="9">
        <f>IF(COUNTA($B1499:$R1499)=0,"",IF(AND($I1499&lt;&gt;"",COUNTIF(CLIENTES_NOMES,$I1499)+COUNTIF(CLIENTES_FANTASIA,$I1499)+COUNTIF(FORNECEDORES_NOMES,$I1499)+COUNTIF(FORNECEDORES_FANTASIA,$I1499)=0),"⚠ Cliente/Fornecedor não cadastrado",IF(AND($G1499&lt;&gt;"",COUNTIF(SUBCATEGORIAS_PLANO,$G1499)=0),"⚠ Subcategoria fora do plano de contas",IF(OR($Q1499="",N($Q1499)=0),"⚠ Valor previsto não informado",IF(AND(OR($X1499="Pago",$X1499="Recebido"),$D1499=""),"⚠ Status pago/recebido sem data",IF(AND($D1499&lt;&gt;"",N($R1499)=0),"⚠ Data de pagamento sem valor realizado",IF(AND(N($P1499)&gt;1,N($O1499)&gt;N($P1499)),"⚠ Nº da parcela maior que o total",IF(AND($C1499&lt;&gt;"",$B1499&lt;&gt;"",$C1499&lt;$B1499),"⚠ Vencimento anterior à competência","OK"))))))))</f>
        <v/>
      </c>
    </row>
    <row r="1500">
      <c r="A1500" s="14" t="n"/>
      <c r="B1500" s="36" t="n"/>
      <c r="C1500" s="36" t="n"/>
      <c r="D1500" s="36" t="n"/>
      <c r="E1500" s="14" t="n"/>
      <c r="F1500" s="29" t="n"/>
      <c r="G1500" s="29" t="n"/>
      <c r="H1500" s="29" t="n"/>
      <c r="I1500" s="29" t="n"/>
      <c r="J1500" s="29" t="n"/>
      <c r="K1500" s="14" t="n"/>
      <c r="L1500" s="29" t="n"/>
      <c r="M1500" s="14" t="n"/>
      <c r="N1500" s="29" t="n"/>
      <c r="O1500" s="13" t="n"/>
      <c r="P1500" s="13" t="n"/>
      <c r="Q1500" s="35" t="n"/>
      <c r="R1500" s="35" t="n"/>
      <c r="S1500" s="35" t="n"/>
      <c r="T1500" s="35" t="n"/>
      <c r="U1500" s="35" t="n"/>
      <c r="V1500" s="18">
        <f>IF(COUNTA($B1500:$R1500)=0,"",ROUND(N($R1500)+N($S1500)+N($T1500)-N($U1500),2))</f>
        <v/>
      </c>
      <c r="W1500" s="18">
        <f>IF(COUNTA($B1500:$R1500)=0,"",IF(OR($X1500="Pago",$X1500="Recebido",$X1500="Cancelado"),0,ROUND(N($Q1500)+N($S1500)+N($T1500)-N($U1500)-N($R1500),2)))</f>
        <v/>
      </c>
      <c r="X1500" s="14" t="n"/>
      <c r="Y1500" s="17">
        <f>IF(COUNTA($B1500:$R1500)=0,"",IF($X1500="Cancelado","Cancelado",IF(OR($X1500="Pago",$X1500="Recebido"),$X1500,IF(OR($X1500="Parcial",N($R1500)&gt;0),"Parcial",IF($C1500="","Sem vencimento",IF($C1500&lt;TODAY(),"Vencido",IF($C1500=TODAY(),"Vence hoje",IF($C1500&lt;=TODAY()+7,"Vence em 7 dias",IF($C1500&lt;=TODAY()+30,"Vence em 30 dias","Futuro")))))))))</f>
        <v/>
      </c>
      <c r="Z1500" s="24">
        <f>IF($B1500="","",MONTH($B1500))</f>
        <v/>
      </c>
      <c r="AA1500" s="24">
        <f>IF($B1500="","",YEAR($B1500))</f>
        <v/>
      </c>
      <c r="AB1500" s="24">
        <f>IF($B1500="","",ISOWEEKNUM($B1500))</f>
        <v/>
      </c>
      <c r="AC1500" s="17">
        <f>IF($B1500="","",CHOOSE(WEEKDAY($B1500,2),"Segunda","Terça","Quarta","Quinta","Sexta","Sábado","Domingo"))</f>
        <v/>
      </c>
      <c r="AD1500" s="17">
        <f>IF($B1500="","",TEXT($B1500,"MM/AAAA"))</f>
        <v/>
      </c>
      <c r="AE1500" s="18">
        <f>IF(COUNTA($B1500:$R1500)=0,"",IF($X1500="Cancelado",0,ROUND(N($Q1500)+N($S1500)+N($T1500)-N($U1500),2)))</f>
        <v/>
      </c>
      <c r="AF1500" s="9">
        <f>IF($G1500="","",IFERROR(INDEX(LINHAS_DRE_PLANO,MATCH($G1500,SUBCATEGORIAS_PLANO,0)),"Não classificado"))</f>
        <v/>
      </c>
      <c r="AG1500" s="17">
        <f>IF($G1500="","",IFERROR(INDEX(TIPOS_FLUXO_PLANO,MATCH($G1500,SUBCATEGORIAS_PLANO,0)),"Não classificado"))</f>
        <v/>
      </c>
      <c r="AH1500" s="9">
        <f>IF($G1500="","",IFERROR(INDEX(GRUPOS_PLANO,MATCH($G1500,SUBCATEGORIAS_PLANO,0)),"Não classificado"))</f>
        <v/>
      </c>
      <c r="AI1500" s="24">
        <f>IF(OR($C1500="",$X1500="Pago",$X1500="Recebido",$X1500="Cancelado"),"",$C1500-TODAY())</f>
        <v/>
      </c>
      <c r="AJ1500" s="24">
        <f>IF(OR($C1500="",$X1500="Pago",$X1500="Recebido",$X1500="Cancelado"),0,MAX(0,TODAY()-$C1500))</f>
        <v/>
      </c>
      <c r="AK1500" s="24">
        <f>IF($D1500="","",$D1500-$B1500)</f>
        <v/>
      </c>
      <c r="AL1500" s="18">
        <f>IF(OR($D1500="",$B1500=""),"",ROUND(N($R1500)*($D1500-$B1500),2))</f>
        <v/>
      </c>
      <c r="AM1500" s="17">
        <f>IF(AND($E1500="Saída",$W1500&gt;0,$C1500&lt;&gt;""),$C1500+ROW()/1000000,"")</f>
        <v/>
      </c>
      <c r="AN1500" s="17">
        <f>IF(AND($E1500="Entrada",$W1500&gt;0,$C1500&lt;&gt;""),$C1500+ROW()/1000000,"")</f>
        <v/>
      </c>
      <c r="AO1500" s="9">
        <f>IF(COUNTA($B1500:$R1500)=0,"",IF(AND($I1500&lt;&gt;"",COUNTIF(CLIENTES_NOMES,$I1500)+COUNTIF(CLIENTES_FANTASIA,$I1500)+COUNTIF(FORNECEDORES_NOMES,$I1500)+COUNTIF(FORNECEDORES_FANTASIA,$I1500)=0),"⚠ Cliente/Fornecedor não cadastrado",IF(AND($G1500&lt;&gt;"",COUNTIF(SUBCATEGORIAS_PLANO,$G1500)=0),"⚠ Subcategoria fora do plano de contas",IF(OR($Q1500="",N($Q1500)=0),"⚠ Valor previsto não informado",IF(AND(OR($X1500="Pago",$X1500="Recebido"),$D1500=""),"⚠ Status pago/recebido sem data",IF(AND($D1500&lt;&gt;"",N($R1500)=0),"⚠ Data de pagamento sem valor realizado",IF(AND(N($P1500)&gt;1,N($O1500)&gt;N($P1500)),"⚠ Nº da parcela maior que o total",IF(AND($C1500&lt;&gt;"",$B1500&lt;&gt;"",$C1500&lt;$B1500),"⚠ Vencimento anterior à competência","OK"))))))))</f>
        <v/>
      </c>
    </row>
    <row r="1501">
      <c r="A1501" s="14" t="n"/>
      <c r="B1501" s="36" t="n"/>
      <c r="C1501" s="36" t="n"/>
      <c r="D1501" s="36" t="n"/>
      <c r="E1501" s="14" t="n"/>
      <c r="F1501" s="29" t="n"/>
      <c r="G1501" s="29" t="n"/>
      <c r="H1501" s="29" t="n"/>
      <c r="I1501" s="29" t="n"/>
      <c r="J1501" s="29" t="n"/>
      <c r="K1501" s="14" t="n"/>
      <c r="L1501" s="29" t="n"/>
      <c r="M1501" s="14" t="n"/>
      <c r="N1501" s="29" t="n"/>
      <c r="O1501" s="13" t="n"/>
      <c r="P1501" s="13" t="n"/>
      <c r="Q1501" s="35" t="n"/>
      <c r="R1501" s="35" t="n"/>
      <c r="S1501" s="35" t="n"/>
      <c r="T1501" s="35" t="n"/>
      <c r="U1501" s="35" t="n"/>
      <c r="V1501" s="18">
        <f>IF(COUNTA($B1501:$R1501)=0,"",ROUND(N($R1501)+N($S1501)+N($T1501)-N($U1501),2))</f>
        <v/>
      </c>
      <c r="W1501" s="18">
        <f>IF(COUNTA($B1501:$R1501)=0,"",IF(OR($X1501="Pago",$X1501="Recebido",$X1501="Cancelado"),0,ROUND(N($Q1501)+N($S1501)+N($T1501)-N($U1501)-N($R1501),2)))</f>
        <v/>
      </c>
      <c r="X1501" s="14" t="n"/>
      <c r="Y1501" s="17">
        <f>IF(COUNTA($B1501:$R1501)=0,"",IF($X1501="Cancelado","Cancelado",IF(OR($X1501="Pago",$X1501="Recebido"),$X1501,IF(OR($X1501="Parcial",N($R1501)&gt;0),"Parcial",IF($C1501="","Sem vencimento",IF($C1501&lt;TODAY(),"Vencido",IF($C1501=TODAY(),"Vence hoje",IF($C1501&lt;=TODAY()+7,"Vence em 7 dias",IF($C1501&lt;=TODAY()+30,"Vence em 30 dias","Futuro")))))))))</f>
        <v/>
      </c>
      <c r="Z1501" s="24">
        <f>IF($B1501="","",MONTH($B1501))</f>
        <v/>
      </c>
      <c r="AA1501" s="24">
        <f>IF($B1501="","",YEAR($B1501))</f>
        <v/>
      </c>
      <c r="AB1501" s="24">
        <f>IF($B1501="","",ISOWEEKNUM($B1501))</f>
        <v/>
      </c>
      <c r="AC1501" s="17">
        <f>IF($B1501="","",CHOOSE(WEEKDAY($B1501,2),"Segunda","Terça","Quarta","Quinta","Sexta","Sábado","Domingo"))</f>
        <v/>
      </c>
      <c r="AD1501" s="17">
        <f>IF($B1501="","",TEXT($B1501,"MM/AAAA"))</f>
        <v/>
      </c>
      <c r="AE1501" s="18">
        <f>IF(COUNTA($B1501:$R1501)=0,"",IF($X1501="Cancelado",0,ROUND(N($Q1501)+N($S1501)+N($T1501)-N($U1501),2)))</f>
        <v/>
      </c>
      <c r="AF1501" s="9">
        <f>IF($G1501="","",IFERROR(INDEX(LINHAS_DRE_PLANO,MATCH($G1501,SUBCATEGORIAS_PLANO,0)),"Não classificado"))</f>
        <v/>
      </c>
      <c r="AG1501" s="17">
        <f>IF($G1501="","",IFERROR(INDEX(TIPOS_FLUXO_PLANO,MATCH($G1501,SUBCATEGORIAS_PLANO,0)),"Não classificado"))</f>
        <v/>
      </c>
      <c r="AH1501" s="9">
        <f>IF($G1501="","",IFERROR(INDEX(GRUPOS_PLANO,MATCH($G1501,SUBCATEGORIAS_PLANO,0)),"Não classificado"))</f>
        <v/>
      </c>
      <c r="AI1501" s="24">
        <f>IF(OR($C1501="",$X1501="Pago",$X1501="Recebido",$X1501="Cancelado"),"",$C1501-TODAY())</f>
        <v/>
      </c>
      <c r="AJ1501" s="24">
        <f>IF(OR($C1501="",$X1501="Pago",$X1501="Recebido",$X1501="Cancelado"),0,MAX(0,TODAY()-$C1501))</f>
        <v/>
      </c>
      <c r="AK1501" s="24">
        <f>IF($D1501="","",$D1501-$B1501)</f>
        <v/>
      </c>
      <c r="AL1501" s="18">
        <f>IF(OR($D1501="",$B1501=""),"",ROUND(N($R1501)*($D1501-$B1501),2))</f>
        <v/>
      </c>
      <c r="AM1501" s="17">
        <f>IF(AND($E1501="Saída",$W1501&gt;0,$C1501&lt;&gt;""),$C1501+ROW()/1000000,"")</f>
        <v/>
      </c>
      <c r="AN1501" s="17">
        <f>IF(AND($E1501="Entrada",$W1501&gt;0,$C1501&lt;&gt;""),$C1501+ROW()/1000000,"")</f>
        <v/>
      </c>
      <c r="AO1501" s="9">
        <f>IF(COUNTA($B1501:$R1501)=0,"",IF(AND($I1501&lt;&gt;"",COUNTIF(CLIENTES_NOMES,$I1501)+COUNTIF(CLIENTES_FANTASIA,$I1501)+COUNTIF(FORNECEDORES_NOMES,$I1501)+COUNTIF(FORNECEDORES_FANTASIA,$I1501)=0),"⚠ Cliente/Fornecedor não cadastrado",IF(AND($G1501&lt;&gt;"",COUNTIF(SUBCATEGORIAS_PLANO,$G1501)=0),"⚠ Subcategoria fora do plano de contas",IF(OR($Q1501="",N($Q1501)=0),"⚠ Valor previsto não informado",IF(AND(OR($X1501="Pago",$X1501="Recebido"),$D1501=""),"⚠ Status pago/recebido sem data",IF(AND($D1501&lt;&gt;"",N($R1501)=0),"⚠ Data de pagamento sem valor realizado",IF(AND(N($P1501)&gt;1,N($O1501)&gt;N($P1501)),"⚠ Nº da parcela maior que o total",IF(AND($C1501&lt;&gt;"",$B1501&lt;&gt;"",$C1501&lt;$B1501),"⚠ Vencimento anterior à competência","OK"))))))))</f>
        <v/>
      </c>
    </row>
    <row r="1502">
      <c r="A1502" s="14" t="n"/>
      <c r="B1502" s="36" t="n"/>
      <c r="C1502" s="36" t="n"/>
      <c r="D1502" s="36" t="n"/>
      <c r="E1502" s="14" t="n"/>
      <c r="F1502" s="29" t="n"/>
      <c r="G1502" s="29" t="n"/>
      <c r="H1502" s="29" t="n"/>
      <c r="I1502" s="29" t="n"/>
      <c r="J1502" s="29" t="n"/>
      <c r="K1502" s="14" t="n"/>
      <c r="L1502" s="29" t="n"/>
      <c r="M1502" s="14" t="n"/>
      <c r="N1502" s="29" t="n"/>
      <c r="O1502" s="13" t="n"/>
      <c r="P1502" s="13" t="n"/>
      <c r="Q1502" s="35" t="n"/>
      <c r="R1502" s="35" t="n"/>
      <c r="S1502" s="35" t="n"/>
      <c r="T1502" s="35" t="n"/>
      <c r="U1502" s="35" t="n"/>
      <c r="V1502" s="18">
        <f>IF(COUNTA($B1502:$R1502)=0,"",ROUND(N($R1502)+N($S1502)+N($T1502)-N($U1502),2))</f>
        <v/>
      </c>
      <c r="W1502" s="18">
        <f>IF(COUNTA($B1502:$R1502)=0,"",IF(OR($X1502="Pago",$X1502="Recebido",$X1502="Cancelado"),0,ROUND(N($Q1502)+N($S1502)+N($T1502)-N($U1502)-N($R1502),2)))</f>
        <v/>
      </c>
      <c r="X1502" s="14" t="n"/>
      <c r="Y1502" s="17">
        <f>IF(COUNTA($B1502:$R1502)=0,"",IF($X1502="Cancelado","Cancelado",IF(OR($X1502="Pago",$X1502="Recebido"),$X1502,IF(OR($X1502="Parcial",N($R1502)&gt;0),"Parcial",IF($C1502="","Sem vencimento",IF($C1502&lt;TODAY(),"Vencido",IF($C1502=TODAY(),"Vence hoje",IF($C1502&lt;=TODAY()+7,"Vence em 7 dias",IF($C1502&lt;=TODAY()+30,"Vence em 30 dias","Futuro")))))))))</f>
        <v/>
      </c>
      <c r="Z1502" s="24">
        <f>IF($B1502="","",MONTH($B1502))</f>
        <v/>
      </c>
      <c r="AA1502" s="24">
        <f>IF($B1502="","",YEAR($B1502))</f>
        <v/>
      </c>
      <c r="AB1502" s="24">
        <f>IF($B1502="","",ISOWEEKNUM($B1502))</f>
        <v/>
      </c>
      <c r="AC1502" s="17">
        <f>IF($B1502="","",CHOOSE(WEEKDAY($B1502,2),"Segunda","Terça","Quarta","Quinta","Sexta","Sábado","Domingo"))</f>
        <v/>
      </c>
      <c r="AD1502" s="17">
        <f>IF($B1502="","",TEXT($B1502,"MM/AAAA"))</f>
        <v/>
      </c>
      <c r="AE1502" s="18">
        <f>IF(COUNTA($B1502:$R1502)=0,"",IF($X1502="Cancelado",0,ROUND(N($Q1502)+N($S1502)+N($T1502)-N($U1502),2)))</f>
        <v/>
      </c>
      <c r="AF1502" s="9">
        <f>IF($G1502="","",IFERROR(INDEX(LINHAS_DRE_PLANO,MATCH($G1502,SUBCATEGORIAS_PLANO,0)),"Não classificado"))</f>
        <v/>
      </c>
      <c r="AG1502" s="17">
        <f>IF($G1502="","",IFERROR(INDEX(TIPOS_FLUXO_PLANO,MATCH($G1502,SUBCATEGORIAS_PLANO,0)),"Não classificado"))</f>
        <v/>
      </c>
      <c r="AH1502" s="9">
        <f>IF($G1502="","",IFERROR(INDEX(GRUPOS_PLANO,MATCH($G1502,SUBCATEGORIAS_PLANO,0)),"Não classificado"))</f>
        <v/>
      </c>
      <c r="AI1502" s="24">
        <f>IF(OR($C1502="",$X1502="Pago",$X1502="Recebido",$X1502="Cancelado"),"",$C1502-TODAY())</f>
        <v/>
      </c>
      <c r="AJ1502" s="24">
        <f>IF(OR($C1502="",$X1502="Pago",$X1502="Recebido",$X1502="Cancelado"),0,MAX(0,TODAY()-$C1502))</f>
        <v/>
      </c>
      <c r="AK1502" s="24">
        <f>IF($D1502="","",$D1502-$B1502)</f>
        <v/>
      </c>
      <c r="AL1502" s="18">
        <f>IF(OR($D1502="",$B1502=""),"",ROUND(N($R1502)*($D1502-$B1502),2))</f>
        <v/>
      </c>
      <c r="AM1502" s="17">
        <f>IF(AND($E1502="Saída",$W1502&gt;0,$C1502&lt;&gt;""),$C1502+ROW()/1000000,"")</f>
        <v/>
      </c>
      <c r="AN1502" s="17">
        <f>IF(AND($E1502="Entrada",$W1502&gt;0,$C1502&lt;&gt;""),$C1502+ROW()/1000000,"")</f>
        <v/>
      </c>
      <c r="AO1502" s="9">
        <f>IF(COUNTA($B1502:$R1502)=0,"",IF(AND($I1502&lt;&gt;"",COUNTIF(CLIENTES_NOMES,$I1502)+COUNTIF(CLIENTES_FANTASIA,$I1502)+COUNTIF(FORNECEDORES_NOMES,$I1502)+COUNTIF(FORNECEDORES_FANTASIA,$I1502)=0),"⚠ Cliente/Fornecedor não cadastrado",IF(AND($G1502&lt;&gt;"",COUNTIF(SUBCATEGORIAS_PLANO,$G1502)=0),"⚠ Subcategoria fora do plano de contas",IF(OR($Q1502="",N($Q1502)=0),"⚠ Valor previsto não informado",IF(AND(OR($X1502="Pago",$X1502="Recebido"),$D1502=""),"⚠ Status pago/recebido sem data",IF(AND($D1502&lt;&gt;"",N($R1502)=0),"⚠ Data de pagamento sem valor realizado",IF(AND(N($P1502)&gt;1,N($O1502)&gt;N($P1502)),"⚠ Nº da parcela maior que o total",IF(AND($C1502&lt;&gt;"",$B1502&lt;&gt;"",$C1502&lt;$B1502),"⚠ Vencimento anterior à competência","OK"))))))))</f>
        <v/>
      </c>
    </row>
    <row r="1503">
      <c r="A1503" s="14" t="n"/>
      <c r="B1503" s="36" t="n"/>
      <c r="C1503" s="36" t="n"/>
      <c r="D1503" s="36" t="n"/>
      <c r="E1503" s="14" t="n"/>
      <c r="F1503" s="29" t="n"/>
      <c r="G1503" s="29" t="n"/>
      <c r="H1503" s="29" t="n"/>
      <c r="I1503" s="29" t="n"/>
      <c r="J1503" s="29" t="n"/>
      <c r="K1503" s="14" t="n"/>
      <c r="L1503" s="29" t="n"/>
      <c r="M1503" s="14" t="n"/>
      <c r="N1503" s="29" t="n"/>
      <c r="O1503" s="13" t="n"/>
      <c r="P1503" s="13" t="n"/>
      <c r="Q1503" s="35" t="n"/>
      <c r="R1503" s="35" t="n"/>
      <c r="S1503" s="35" t="n"/>
      <c r="T1503" s="35" t="n"/>
      <c r="U1503" s="35" t="n"/>
      <c r="V1503" s="18">
        <f>IF(COUNTA($B1503:$R1503)=0,"",ROUND(N($R1503)+N($S1503)+N($T1503)-N($U1503),2))</f>
        <v/>
      </c>
      <c r="W1503" s="18">
        <f>IF(COUNTA($B1503:$R1503)=0,"",IF(OR($X1503="Pago",$X1503="Recebido",$X1503="Cancelado"),0,ROUND(N($Q1503)+N($S1503)+N($T1503)-N($U1503)-N($R1503),2)))</f>
        <v/>
      </c>
      <c r="X1503" s="14" t="n"/>
      <c r="Y1503" s="17">
        <f>IF(COUNTA($B1503:$R1503)=0,"",IF($X1503="Cancelado","Cancelado",IF(OR($X1503="Pago",$X1503="Recebido"),$X1503,IF(OR($X1503="Parcial",N($R1503)&gt;0),"Parcial",IF($C1503="","Sem vencimento",IF($C1503&lt;TODAY(),"Vencido",IF($C1503=TODAY(),"Vence hoje",IF($C1503&lt;=TODAY()+7,"Vence em 7 dias",IF($C1503&lt;=TODAY()+30,"Vence em 30 dias","Futuro")))))))))</f>
        <v/>
      </c>
      <c r="Z1503" s="24">
        <f>IF($B1503="","",MONTH($B1503))</f>
        <v/>
      </c>
      <c r="AA1503" s="24">
        <f>IF($B1503="","",YEAR($B1503))</f>
        <v/>
      </c>
      <c r="AB1503" s="24">
        <f>IF($B1503="","",ISOWEEKNUM($B1503))</f>
        <v/>
      </c>
      <c r="AC1503" s="17">
        <f>IF($B1503="","",CHOOSE(WEEKDAY($B1503,2),"Segunda","Terça","Quarta","Quinta","Sexta","Sábado","Domingo"))</f>
        <v/>
      </c>
      <c r="AD1503" s="17">
        <f>IF($B1503="","",TEXT($B1503,"MM/AAAA"))</f>
        <v/>
      </c>
      <c r="AE1503" s="18">
        <f>IF(COUNTA($B1503:$R1503)=0,"",IF($X1503="Cancelado",0,ROUND(N($Q1503)+N($S1503)+N($T1503)-N($U1503),2)))</f>
        <v/>
      </c>
      <c r="AF1503" s="9">
        <f>IF($G1503="","",IFERROR(INDEX(LINHAS_DRE_PLANO,MATCH($G1503,SUBCATEGORIAS_PLANO,0)),"Não classificado"))</f>
        <v/>
      </c>
      <c r="AG1503" s="17">
        <f>IF($G1503="","",IFERROR(INDEX(TIPOS_FLUXO_PLANO,MATCH($G1503,SUBCATEGORIAS_PLANO,0)),"Não classificado"))</f>
        <v/>
      </c>
      <c r="AH1503" s="9">
        <f>IF($G1503="","",IFERROR(INDEX(GRUPOS_PLANO,MATCH($G1503,SUBCATEGORIAS_PLANO,0)),"Não classificado"))</f>
        <v/>
      </c>
      <c r="AI1503" s="24">
        <f>IF(OR($C1503="",$X1503="Pago",$X1503="Recebido",$X1503="Cancelado"),"",$C1503-TODAY())</f>
        <v/>
      </c>
      <c r="AJ1503" s="24">
        <f>IF(OR($C1503="",$X1503="Pago",$X1503="Recebido",$X1503="Cancelado"),0,MAX(0,TODAY()-$C1503))</f>
        <v/>
      </c>
      <c r="AK1503" s="24">
        <f>IF($D1503="","",$D1503-$B1503)</f>
        <v/>
      </c>
      <c r="AL1503" s="18">
        <f>IF(OR($D1503="",$B1503=""),"",ROUND(N($R1503)*($D1503-$B1503),2))</f>
        <v/>
      </c>
      <c r="AM1503" s="17">
        <f>IF(AND($E1503="Saída",$W1503&gt;0,$C1503&lt;&gt;""),$C1503+ROW()/1000000,"")</f>
        <v/>
      </c>
      <c r="AN1503" s="17">
        <f>IF(AND($E1503="Entrada",$W1503&gt;0,$C1503&lt;&gt;""),$C1503+ROW()/1000000,"")</f>
        <v/>
      </c>
      <c r="AO1503" s="9">
        <f>IF(COUNTA($B1503:$R1503)=0,"",IF(AND($I1503&lt;&gt;"",COUNTIF(CLIENTES_NOMES,$I1503)+COUNTIF(CLIENTES_FANTASIA,$I1503)+COUNTIF(FORNECEDORES_NOMES,$I1503)+COUNTIF(FORNECEDORES_FANTASIA,$I1503)=0),"⚠ Cliente/Fornecedor não cadastrado",IF(AND($G1503&lt;&gt;"",COUNTIF(SUBCATEGORIAS_PLANO,$G1503)=0),"⚠ Subcategoria fora do plano de contas",IF(OR($Q1503="",N($Q1503)=0),"⚠ Valor previsto não informado",IF(AND(OR($X1503="Pago",$X1503="Recebido"),$D1503=""),"⚠ Status pago/recebido sem data",IF(AND($D1503&lt;&gt;"",N($R1503)=0),"⚠ Data de pagamento sem valor realizado",IF(AND(N($P1503)&gt;1,N($O1503)&gt;N($P1503)),"⚠ Nº da parcela maior que o total",IF(AND($C1503&lt;&gt;"",$B1503&lt;&gt;"",$C1503&lt;$B1503),"⚠ Vencimento anterior à competência","OK"))))))))</f>
        <v/>
      </c>
    </row>
    <row r="1504">
      <c r="A1504" s="14" t="n"/>
      <c r="B1504" s="36" t="n"/>
      <c r="C1504" s="36" t="n"/>
      <c r="D1504" s="36" t="n"/>
      <c r="E1504" s="14" t="n"/>
      <c r="F1504" s="29" t="n"/>
      <c r="G1504" s="29" t="n"/>
      <c r="H1504" s="29" t="n"/>
      <c r="I1504" s="29" t="n"/>
      <c r="J1504" s="29" t="n"/>
      <c r="K1504" s="14" t="n"/>
      <c r="L1504" s="29" t="n"/>
      <c r="M1504" s="14" t="n"/>
      <c r="N1504" s="29" t="n"/>
      <c r="O1504" s="13" t="n"/>
      <c r="P1504" s="13" t="n"/>
      <c r="Q1504" s="35" t="n"/>
      <c r="R1504" s="35" t="n"/>
      <c r="S1504" s="35" t="n"/>
      <c r="T1504" s="35" t="n"/>
      <c r="U1504" s="35" t="n"/>
      <c r="V1504" s="18">
        <f>IF(COUNTA($B1504:$R1504)=0,"",ROUND(N($R1504)+N($S1504)+N($T1504)-N($U1504),2))</f>
        <v/>
      </c>
      <c r="W1504" s="18">
        <f>IF(COUNTA($B1504:$R1504)=0,"",IF(OR($X1504="Pago",$X1504="Recebido",$X1504="Cancelado"),0,ROUND(N($Q1504)+N($S1504)+N($T1504)-N($U1504)-N($R1504),2)))</f>
        <v/>
      </c>
      <c r="X1504" s="14" t="n"/>
      <c r="Y1504" s="17">
        <f>IF(COUNTA($B1504:$R1504)=0,"",IF($X1504="Cancelado","Cancelado",IF(OR($X1504="Pago",$X1504="Recebido"),$X1504,IF(OR($X1504="Parcial",N($R1504)&gt;0),"Parcial",IF($C1504="","Sem vencimento",IF($C1504&lt;TODAY(),"Vencido",IF($C1504=TODAY(),"Vence hoje",IF($C1504&lt;=TODAY()+7,"Vence em 7 dias",IF($C1504&lt;=TODAY()+30,"Vence em 30 dias","Futuro")))))))))</f>
        <v/>
      </c>
      <c r="Z1504" s="24">
        <f>IF($B1504="","",MONTH($B1504))</f>
        <v/>
      </c>
      <c r="AA1504" s="24">
        <f>IF($B1504="","",YEAR($B1504))</f>
        <v/>
      </c>
      <c r="AB1504" s="24">
        <f>IF($B1504="","",ISOWEEKNUM($B1504))</f>
        <v/>
      </c>
      <c r="AC1504" s="17">
        <f>IF($B1504="","",CHOOSE(WEEKDAY($B1504,2),"Segunda","Terça","Quarta","Quinta","Sexta","Sábado","Domingo"))</f>
        <v/>
      </c>
      <c r="AD1504" s="17">
        <f>IF($B1504="","",TEXT($B1504,"MM/AAAA"))</f>
        <v/>
      </c>
      <c r="AE1504" s="18">
        <f>IF(COUNTA($B1504:$R1504)=0,"",IF($X1504="Cancelado",0,ROUND(N($Q1504)+N($S1504)+N($T1504)-N($U1504),2)))</f>
        <v/>
      </c>
      <c r="AF1504" s="9">
        <f>IF($G1504="","",IFERROR(INDEX(LINHAS_DRE_PLANO,MATCH($G1504,SUBCATEGORIAS_PLANO,0)),"Não classificado"))</f>
        <v/>
      </c>
      <c r="AG1504" s="17">
        <f>IF($G1504="","",IFERROR(INDEX(TIPOS_FLUXO_PLANO,MATCH($G1504,SUBCATEGORIAS_PLANO,0)),"Não classificado"))</f>
        <v/>
      </c>
      <c r="AH1504" s="9">
        <f>IF($G1504="","",IFERROR(INDEX(GRUPOS_PLANO,MATCH($G1504,SUBCATEGORIAS_PLANO,0)),"Não classificado"))</f>
        <v/>
      </c>
      <c r="AI1504" s="24">
        <f>IF(OR($C1504="",$X1504="Pago",$X1504="Recebido",$X1504="Cancelado"),"",$C1504-TODAY())</f>
        <v/>
      </c>
      <c r="AJ1504" s="24">
        <f>IF(OR($C1504="",$X1504="Pago",$X1504="Recebido",$X1504="Cancelado"),0,MAX(0,TODAY()-$C1504))</f>
        <v/>
      </c>
      <c r="AK1504" s="24">
        <f>IF($D1504="","",$D1504-$B1504)</f>
        <v/>
      </c>
      <c r="AL1504" s="18">
        <f>IF(OR($D1504="",$B1504=""),"",ROUND(N($R1504)*($D1504-$B1504),2))</f>
        <v/>
      </c>
      <c r="AM1504" s="17">
        <f>IF(AND($E1504="Saída",$W1504&gt;0,$C1504&lt;&gt;""),$C1504+ROW()/1000000,"")</f>
        <v/>
      </c>
      <c r="AN1504" s="17">
        <f>IF(AND($E1504="Entrada",$W1504&gt;0,$C1504&lt;&gt;""),$C1504+ROW()/1000000,"")</f>
        <v/>
      </c>
      <c r="AO1504" s="9">
        <f>IF(COUNTA($B1504:$R1504)=0,"",IF(AND($I1504&lt;&gt;"",COUNTIF(CLIENTES_NOMES,$I1504)+COUNTIF(CLIENTES_FANTASIA,$I1504)+COUNTIF(FORNECEDORES_NOMES,$I1504)+COUNTIF(FORNECEDORES_FANTASIA,$I1504)=0),"⚠ Cliente/Fornecedor não cadastrado",IF(AND($G1504&lt;&gt;"",COUNTIF(SUBCATEGORIAS_PLANO,$G1504)=0),"⚠ Subcategoria fora do plano de contas",IF(OR($Q1504="",N($Q1504)=0),"⚠ Valor previsto não informado",IF(AND(OR($X1504="Pago",$X1504="Recebido"),$D1504=""),"⚠ Status pago/recebido sem data",IF(AND($D1504&lt;&gt;"",N($R1504)=0),"⚠ Data de pagamento sem valor realizado",IF(AND(N($P1504)&gt;1,N($O1504)&gt;N($P1504)),"⚠ Nº da parcela maior que o total",IF(AND($C1504&lt;&gt;"",$B1504&lt;&gt;"",$C1504&lt;$B1504),"⚠ Vencimento anterior à competência","OK"))))))))</f>
        <v/>
      </c>
    </row>
    <row r="1505">
      <c r="A1505" s="14" t="n"/>
      <c r="B1505" s="36" t="n"/>
      <c r="C1505" s="36" t="n"/>
      <c r="D1505" s="36" t="n"/>
      <c r="E1505" s="14" t="n"/>
      <c r="F1505" s="29" t="n"/>
      <c r="G1505" s="29" t="n"/>
      <c r="H1505" s="29" t="n"/>
      <c r="I1505" s="29" t="n"/>
      <c r="J1505" s="29" t="n"/>
      <c r="K1505" s="14" t="n"/>
      <c r="L1505" s="29" t="n"/>
      <c r="M1505" s="14" t="n"/>
      <c r="N1505" s="29" t="n"/>
      <c r="O1505" s="13" t="n"/>
      <c r="P1505" s="13" t="n"/>
      <c r="Q1505" s="35" t="n"/>
      <c r="R1505" s="35" t="n"/>
      <c r="S1505" s="35" t="n"/>
      <c r="T1505" s="35" t="n"/>
      <c r="U1505" s="35" t="n"/>
      <c r="V1505" s="18">
        <f>IF(COUNTA($B1505:$R1505)=0,"",ROUND(N($R1505)+N($S1505)+N($T1505)-N($U1505),2))</f>
        <v/>
      </c>
      <c r="W1505" s="18">
        <f>IF(COUNTA($B1505:$R1505)=0,"",IF(OR($X1505="Pago",$X1505="Recebido",$X1505="Cancelado"),0,ROUND(N($Q1505)+N($S1505)+N($T1505)-N($U1505)-N($R1505),2)))</f>
        <v/>
      </c>
      <c r="X1505" s="14" t="n"/>
      <c r="Y1505" s="17">
        <f>IF(COUNTA($B1505:$R1505)=0,"",IF($X1505="Cancelado","Cancelado",IF(OR($X1505="Pago",$X1505="Recebido"),$X1505,IF(OR($X1505="Parcial",N($R1505)&gt;0),"Parcial",IF($C1505="","Sem vencimento",IF($C1505&lt;TODAY(),"Vencido",IF($C1505=TODAY(),"Vence hoje",IF($C1505&lt;=TODAY()+7,"Vence em 7 dias",IF($C1505&lt;=TODAY()+30,"Vence em 30 dias","Futuro")))))))))</f>
        <v/>
      </c>
      <c r="Z1505" s="24">
        <f>IF($B1505="","",MONTH($B1505))</f>
        <v/>
      </c>
      <c r="AA1505" s="24">
        <f>IF($B1505="","",YEAR($B1505))</f>
        <v/>
      </c>
      <c r="AB1505" s="24">
        <f>IF($B1505="","",ISOWEEKNUM($B1505))</f>
        <v/>
      </c>
      <c r="AC1505" s="17">
        <f>IF($B1505="","",CHOOSE(WEEKDAY($B1505,2),"Segunda","Terça","Quarta","Quinta","Sexta","Sábado","Domingo"))</f>
        <v/>
      </c>
      <c r="AD1505" s="17">
        <f>IF($B1505="","",TEXT($B1505,"MM/AAAA"))</f>
        <v/>
      </c>
      <c r="AE1505" s="18">
        <f>IF(COUNTA($B1505:$R1505)=0,"",IF($X1505="Cancelado",0,ROUND(N($Q1505)+N($S1505)+N($T1505)-N($U1505),2)))</f>
        <v/>
      </c>
      <c r="AF1505" s="9">
        <f>IF($G1505="","",IFERROR(INDEX(LINHAS_DRE_PLANO,MATCH($G1505,SUBCATEGORIAS_PLANO,0)),"Não classificado"))</f>
        <v/>
      </c>
      <c r="AG1505" s="17">
        <f>IF($G1505="","",IFERROR(INDEX(TIPOS_FLUXO_PLANO,MATCH($G1505,SUBCATEGORIAS_PLANO,0)),"Não classificado"))</f>
        <v/>
      </c>
      <c r="AH1505" s="9">
        <f>IF($G1505="","",IFERROR(INDEX(GRUPOS_PLANO,MATCH($G1505,SUBCATEGORIAS_PLANO,0)),"Não classificado"))</f>
        <v/>
      </c>
      <c r="AI1505" s="24">
        <f>IF(OR($C1505="",$X1505="Pago",$X1505="Recebido",$X1505="Cancelado"),"",$C1505-TODAY())</f>
        <v/>
      </c>
      <c r="AJ1505" s="24">
        <f>IF(OR($C1505="",$X1505="Pago",$X1505="Recebido",$X1505="Cancelado"),0,MAX(0,TODAY()-$C1505))</f>
        <v/>
      </c>
      <c r="AK1505" s="24">
        <f>IF($D1505="","",$D1505-$B1505)</f>
        <v/>
      </c>
      <c r="AL1505" s="18">
        <f>IF(OR($D1505="",$B1505=""),"",ROUND(N($R1505)*($D1505-$B1505),2))</f>
        <v/>
      </c>
      <c r="AM1505" s="17">
        <f>IF(AND($E1505="Saída",$W1505&gt;0,$C1505&lt;&gt;""),$C1505+ROW()/1000000,"")</f>
        <v/>
      </c>
      <c r="AN1505" s="17">
        <f>IF(AND($E1505="Entrada",$W1505&gt;0,$C1505&lt;&gt;""),$C1505+ROW()/1000000,"")</f>
        <v/>
      </c>
      <c r="AO1505" s="9">
        <f>IF(COUNTA($B1505:$R1505)=0,"",IF(AND($I1505&lt;&gt;"",COUNTIF(CLIENTES_NOMES,$I1505)+COUNTIF(CLIENTES_FANTASIA,$I1505)+COUNTIF(FORNECEDORES_NOMES,$I1505)+COUNTIF(FORNECEDORES_FANTASIA,$I1505)=0),"⚠ Cliente/Fornecedor não cadastrado",IF(AND($G1505&lt;&gt;"",COUNTIF(SUBCATEGORIAS_PLANO,$G1505)=0),"⚠ Subcategoria fora do plano de contas",IF(OR($Q1505="",N($Q1505)=0),"⚠ Valor previsto não informado",IF(AND(OR($X1505="Pago",$X1505="Recebido"),$D1505=""),"⚠ Status pago/recebido sem data",IF(AND($D1505&lt;&gt;"",N($R1505)=0),"⚠ Data de pagamento sem valor realizado",IF(AND(N($P1505)&gt;1,N($O1505)&gt;N($P1505)),"⚠ Nº da parcela maior que o total",IF(AND($C1505&lt;&gt;"",$B1505&lt;&gt;"",$C1505&lt;$B1505),"⚠ Vencimento anterior à competência","OK"))))))))</f>
        <v/>
      </c>
    </row>
    <row r="1506">
      <c r="A1506" s="14" t="n"/>
      <c r="B1506" s="36" t="n"/>
      <c r="C1506" s="36" t="n"/>
      <c r="D1506" s="36" t="n"/>
      <c r="E1506" s="14" t="n"/>
      <c r="F1506" s="29" t="n"/>
      <c r="G1506" s="29" t="n"/>
      <c r="H1506" s="29" t="n"/>
      <c r="I1506" s="29" t="n"/>
      <c r="J1506" s="29" t="n"/>
      <c r="K1506" s="14" t="n"/>
      <c r="L1506" s="29" t="n"/>
      <c r="M1506" s="14" t="n"/>
      <c r="N1506" s="29" t="n"/>
      <c r="O1506" s="13" t="n"/>
      <c r="P1506" s="13" t="n"/>
      <c r="Q1506" s="35" t="n"/>
      <c r="R1506" s="35" t="n"/>
      <c r="S1506" s="35" t="n"/>
      <c r="T1506" s="35" t="n"/>
      <c r="U1506" s="35" t="n"/>
      <c r="V1506" s="18">
        <f>IF(COUNTA($B1506:$R1506)=0,"",ROUND(N($R1506)+N($S1506)+N($T1506)-N($U1506),2))</f>
        <v/>
      </c>
      <c r="W1506" s="18">
        <f>IF(COUNTA($B1506:$R1506)=0,"",IF(OR($X1506="Pago",$X1506="Recebido",$X1506="Cancelado"),0,ROUND(N($Q1506)+N($S1506)+N($T1506)-N($U1506)-N($R1506),2)))</f>
        <v/>
      </c>
      <c r="X1506" s="14" t="n"/>
      <c r="Y1506" s="17">
        <f>IF(COUNTA($B1506:$R1506)=0,"",IF($X1506="Cancelado","Cancelado",IF(OR($X1506="Pago",$X1506="Recebido"),$X1506,IF(OR($X1506="Parcial",N($R1506)&gt;0),"Parcial",IF($C1506="","Sem vencimento",IF($C1506&lt;TODAY(),"Vencido",IF($C1506=TODAY(),"Vence hoje",IF($C1506&lt;=TODAY()+7,"Vence em 7 dias",IF($C1506&lt;=TODAY()+30,"Vence em 30 dias","Futuro")))))))))</f>
        <v/>
      </c>
      <c r="Z1506" s="24">
        <f>IF($B1506="","",MONTH($B1506))</f>
        <v/>
      </c>
      <c r="AA1506" s="24">
        <f>IF($B1506="","",YEAR($B1506))</f>
        <v/>
      </c>
      <c r="AB1506" s="24">
        <f>IF($B1506="","",ISOWEEKNUM($B1506))</f>
        <v/>
      </c>
      <c r="AC1506" s="17">
        <f>IF($B1506="","",CHOOSE(WEEKDAY($B1506,2),"Segunda","Terça","Quarta","Quinta","Sexta","Sábado","Domingo"))</f>
        <v/>
      </c>
      <c r="AD1506" s="17">
        <f>IF($B1506="","",TEXT($B1506,"MM/AAAA"))</f>
        <v/>
      </c>
      <c r="AE1506" s="18">
        <f>IF(COUNTA($B1506:$R1506)=0,"",IF($X1506="Cancelado",0,ROUND(N($Q1506)+N($S1506)+N($T1506)-N($U1506),2)))</f>
        <v/>
      </c>
      <c r="AF1506" s="9">
        <f>IF($G1506="","",IFERROR(INDEX(LINHAS_DRE_PLANO,MATCH($G1506,SUBCATEGORIAS_PLANO,0)),"Não classificado"))</f>
        <v/>
      </c>
      <c r="AG1506" s="17">
        <f>IF($G1506="","",IFERROR(INDEX(TIPOS_FLUXO_PLANO,MATCH($G1506,SUBCATEGORIAS_PLANO,0)),"Não classificado"))</f>
        <v/>
      </c>
      <c r="AH1506" s="9">
        <f>IF($G1506="","",IFERROR(INDEX(GRUPOS_PLANO,MATCH($G1506,SUBCATEGORIAS_PLANO,0)),"Não classificado"))</f>
        <v/>
      </c>
      <c r="AI1506" s="24">
        <f>IF(OR($C1506="",$X1506="Pago",$X1506="Recebido",$X1506="Cancelado"),"",$C1506-TODAY())</f>
        <v/>
      </c>
      <c r="AJ1506" s="24">
        <f>IF(OR($C1506="",$X1506="Pago",$X1506="Recebido",$X1506="Cancelado"),0,MAX(0,TODAY()-$C1506))</f>
        <v/>
      </c>
      <c r="AK1506" s="24">
        <f>IF($D1506="","",$D1506-$B1506)</f>
        <v/>
      </c>
      <c r="AL1506" s="18">
        <f>IF(OR($D1506="",$B1506=""),"",ROUND(N($R1506)*($D1506-$B1506),2))</f>
        <v/>
      </c>
      <c r="AM1506" s="17">
        <f>IF(AND($E1506="Saída",$W1506&gt;0,$C1506&lt;&gt;""),$C1506+ROW()/1000000,"")</f>
        <v/>
      </c>
      <c r="AN1506" s="17">
        <f>IF(AND($E1506="Entrada",$W1506&gt;0,$C1506&lt;&gt;""),$C1506+ROW()/1000000,"")</f>
        <v/>
      </c>
      <c r="AO1506" s="9">
        <f>IF(COUNTA($B1506:$R1506)=0,"",IF(AND($I1506&lt;&gt;"",COUNTIF(CLIENTES_NOMES,$I1506)+COUNTIF(CLIENTES_FANTASIA,$I1506)+COUNTIF(FORNECEDORES_NOMES,$I1506)+COUNTIF(FORNECEDORES_FANTASIA,$I1506)=0),"⚠ Cliente/Fornecedor não cadastrado",IF(AND($G1506&lt;&gt;"",COUNTIF(SUBCATEGORIAS_PLANO,$G1506)=0),"⚠ Subcategoria fora do plano de contas",IF(OR($Q1506="",N($Q1506)=0),"⚠ Valor previsto não informado",IF(AND(OR($X1506="Pago",$X1506="Recebido"),$D1506=""),"⚠ Status pago/recebido sem data",IF(AND($D1506&lt;&gt;"",N($R1506)=0),"⚠ Data de pagamento sem valor realizado",IF(AND(N($P1506)&gt;1,N($O1506)&gt;N($P1506)),"⚠ Nº da parcela maior que o total",IF(AND($C1506&lt;&gt;"",$B1506&lt;&gt;"",$C1506&lt;$B1506),"⚠ Vencimento anterior à competência","OK"))))))))</f>
        <v/>
      </c>
    </row>
    <row r="1507">
      <c r="A1507" s="14" t="n"/>
      <c r="B1507" s="36" t="n"/>
      <c r="C1507" s="36" t="n"/>
      <c r="D1507" s="36" t="n"/>
      <c r="E1507" s="14" t="n"/>
      <c r="F1507" s="29" t="n"/>
      <c r="G1507" s="29" t="n"/>
      <c r="H1507" s="29" t="n"/>
      <c r="I1507" s="29" t="n"/>
      <c r="J1507" s="29" t="n"/>
      <c r="K1507" s="14" t="n"/>
      <c r="L1507" s="29" t="n"/>
      <c r="M1507" s="14" t="n"/>
      <c r="N1507" s="29" t="n"/>
      <c r="O1507" s="13" t="n"/>
      <c r="P1507" s="13" t="n"/>
      <c r="Q1507" s="35" t="n"/>
      <c r="R1507" s="35" t="n"/>
      <c r="S1507" s="35" t="n"/>
      <c r="T1507" s="35" t="n"/>
      <c r="U1507" s="35" t="n"/>
      <c r="V1507" s="18">
        <f>IF(COUNTA($B1507:$R1507)=0,"",ROUND(N($R1507)+N($S1507)+N($T1507)-N($U1507),2))</f>
        <v/>
      </c>
      <c r="W1507" s="18">
        <f>IF(COUNTA($B1507:$R1507)=0,"",IF(OR($X1507="Pago",$X1507="Recebido",$X1507="Cancelado"),0,ROUND(N($Q1507)+N($S1507)+N($T1507)-N($U1507)-N($R1507),2)))</f>
        <v/>
      </c>
      <c r="X1507" s="14" t="n"/>
      <c r="Y1507" s="17">
        <f>IF(COUNTA($B1507:$R1507)=0,"",IF($X1507="Cancelado","Cancelado",IF(OR($X1507="Pago",$X1507="Recebido"),$X1507,IF(OR($X1507="Parcial",N($R1507)&gt;0),"Parcial",IF($C1507="","Sem vencimento",IF($C1507&lt;TODAY(),"Vencido",IF($C1507=TODAY(),"Vence hoje",IF($C1507&lt;=TODAY()+7,"Vence em 7 dias",IF($C1507&lt;=TODAY()+30,"Vence em 30 dias","Futuro")))))))))</f>
        <v/>
      </c>
      <c r="Z1507" s="24">
        <f>IF($B1507="","",MONTH($B1507))</f>
        <v/>
      </c>
      <c r="AA1507" s="24">
        <f>IF($B1507="","",YEAR($B1507))</f>
        <v/>
      </c>
      <c r="AB1507" s="24">
        <f>IF($B1507="","",ISOWEEKNUM($B1507))</f>
        <v/>
      </c>
      <c r="AC1507" s="17">
        <f>IF($B1507="","",CHOOSE(WEEKDAY($B1507,2),"Segunda","Terça","Quarta","Quinta","Sexta","Sábado","Domingo"))</f>
        <v/>
      </c>
      <c r="AD1507" s="17">
        <f>IF($B1507="","",TEXT($B1507,"MM/AAAA"))</f>
        <v/>
      </c>
      <c r="AE1507" s="18">
        <f>IF(COUNTA($B1507:$R1507)=0,"",IF($X1507="Cancelado",0,ROUND(N($Q1507)+N($S1507)+N($T1507)-N($U1507),2)))</f>
        <v/>
      </c>
      <c r="AF1507" s="9">
        <f>IF($G1507="","",IFERROR(INDEX(LINHAS_DRE_PLANO,MATCH($G1507,SUBCATEGORIAS_PLANO,0)),"Não classificado"))</f>
        <v/>
      </c>
      <c r="AG1507" s="17">
        <f>IF($G1507="","",IFERROR(INDEX(TIPOS_FLUXO_PLANO,MATCH($G1507,SUBCATEGORIAS_PLANO,0)),"Não classificado"))</f>
        <v/>
      </c>
      <c r="AH1507" s="9">
        <f>IF($G1507="","",IFERROR(INDEX(GRUPOS_PLANO,MATCH($G1507,SUBCATEGORIAS_PLANO,0)),"Não classificado"))</f>
        <v/>
      </c>
      <c r="AI1507" s="24">
        <f>IF(OR($C1507="",$X1507="Pago",$X1507="Recebido",$X1507="Cancelado"),"",$C1507-TODAY())</f>
        <v/>
      </c>
      <c r="AJ1507" s="24">
        <f>IF(OR($C1507="",$X1507="Pago",$X1507="Recebido",$X1507="Cancelado"),0,MAX(0,TODAY()-$C1507))</f>
        <v/>
      </c>
      <c r="AK1507" s="24">
        <f>IF($D1507="","",$D1507-$B1507)</f>
        <v/>
      </c>
      <c r="AL1507" s="18">
        <f>IF(OR($D1507="",$B1507=""),"",ROUND(N($R1507)*($D1507-$B1507),2))</f>
        <v/>
      </c>
      <c r="AM1507" s="17">
        <f>IF(AND($E1507="Saída",$W1507&gt;0,$C1507&lt;&gt;""),$C1507+ROW()/1000000,"")</f>
        <v/>
      </c>
      <c r="AN1507" s="17">
        <f>IF(AND($E1507="Entrada",$W1507&gt;0,$C1507&lt;&gt;""),$C1507+ROW()/1000000,"")</f>
        <v/>
      </c>
      <c r="AO1507" s="9">
        <f>IF(COUNTA($B1507:$R1507)=0,"",IF(AND($I1507&lt;&gt;"",COUNTIF(CLIENTES_NOMES,$I1507)+COUNTIF(CLIENTES_FANTASIA,$I1507)+COUNTIF(FORNECEDORES_NOMES,$I1507)+COUNTIF(FORNECEDORES_FANTASIA,$I1507)=0),"⚠ Cliente/Fornecedor não cadastrado",IF(AND($G1507&lt;&gt;"",COUNTIF(SUBCATEGORIAS_PLANO,$G1507)=0),"⚠ Subcategoria fora do plano de contas",IF(OR($Q1507="",N($Q1507)=0),"⚠ Valor previsto não informado",IF(AND(OR($X1507="Pago",$X1507="Recebido"),$D1507=""),"⚠ Status pago/recebido sem data",IF(AND($D1507&lt;&gt;"",N($R1507)=0),"⚠ Data de pagamento sem valor realizado",IF(AND(N($P1507)&gt;1,N($O1507)&gt;N($P1507)),"⚠ Nº da parcela maior que o total",IF(AND($C1507&lt;&gt;"",$B1507&lt;&gt;"",$C1507&lt;$B1507),"⚠ Vencimento anterior à competência","OK"))))))))</f>
        <v/>
      </c>
    </row>
    <row r="1508">
      <c r="A1508" s="14" t="n"/>
      <c r="B1508" s="36" t="n"/>
      <c r="C1508" s="36" t="n"/>
      <c r="D1508" s="36" t="n"/>
      <c r="E1508" s="14" t="n"/>
      <c r="F1508" s="29" t="n"/>
      <c r="G1508" s="29" t="n"/>
      <c r="H1508" s="29" t="n"/>
      <c r="I1508" s="29" t="n"/>
      <c r="J1508" s="29" t="n"/>
      <c r="K1508" s="14" t="n"/>
      <c r="L1508" s="29" t="n"/>
      <c r="M1508" s="14" t="n"/>
      <c r="N1508" s="29" t="n"/>
      <c r="O1508" s="13" t="n"/>
      <c r="P1508" s="13" t="n"/>
      <c r="Q1508" s="35" t="n"/>
      <c r="R1508" s="35" t="n"/>
      <c r="S1508" s="35" t="n"/>
      <c r="T1508" s="35" t="n"/>
      <c r="U1508" s="35" t="n"/>
      <c r="V1508" s="18">
        <f>IF(COUNTA($B1508:$R1508)=0,"",ROUND(N($R1508)+N($S1508)+N($T1508)-N($U1508),2))</f>
        <v/>
      </c>
      <c r="W1508" s="18">
        <f>IF(COUNTA($B1508:$R1508)=0,"",IF(OR($X1508="Pago",$X1508="Recebido",$X1508="Cancelado"),0,ROUND(N($Q1508)+N($S1508)+N($T1508)-N($U1508)-N($R1508),2)))</f>
        <v/>
      </c>
      <c r="X1508" s="14" t="n"/>
      <c r="Y1508" s="17">
        <f>IF(COUNTA($B1508:$R1508)=0,"",IF($X1508="Cancelado","Cancelado",IF(OR($X1508="Pago",$X1508="Recebido"),$X1508,IF(OR($X1508="Parcial",N($R1508)&gt;0),"Parcial",IF($C1508="","Sem vencimento",IF($C1508&lt;TODAY(),"Vencido",IF($C1508=TODAY(),"Vence hoje",IF($C1508&lt;=TODAY()+7,"Vence em 7 dias",IF($C1508&lt;=TODAY()+30,"Vence em 30 dias","Futuro")))))))))</f>
        <v/>
      </c>
      <c r="Z1508" s="24">
        <f>IF($B1508="","",MONTH($B1508))</f>
        <v/>
      </c>
      <c r="AA1508" s="24">
        <f>IF($B1508="","",YEAR($B1508))</f>
        <v/>
      </c>
      <c r="AB1508" s="24">
        <f>IF($B1508="","",ISOWEEKNUM($B1508))</f>
        <v/>
      </c>
      <c r="AC1508" s="17">
        <f>IF($B1508="","",CHOOSE(WEEKDAY($B1508,2),"Segunda","Terça","Quarta","Quinta","Sexta","Sábado","Domingo"))</f>
        <v/>
      </c>
      <c r="AD1508" s="17">
        <f>IF($B1508="","",TEXT($B1508,"MM/AAAA"))</f>
        <v/>
      </c>
      <c r="AE1508" s="18">
        <f>IF(COUNTA($B1508:$R1508)=0,"",IF($X1508="Cancelado",0,ROUND(N($Q1508)+N($S1508)+N($T1508)-N($U1508),2)))</f>
        <v/>
      </c>
      <c r="AF1508" s="9">
        <f>IF($G1508="","",IFERROR(INDEX(LINHAS_DRE_PLANO,MATCH($G1508,SUBCATEGORIAS_PLANO,0)),"Não classificado"))</f>
        <v/>
      </c>
      <c r="AG1508" s="17">
        <f>IF($G1508="","",IFERROR(INDEX(TIPOS_FLUXO_PLANO,MATCH($G1508,SUBCATEGORIAS_PLANO,0)),"Não classificado"))</f>
        <v/>
      </c>
      <c r="AH1508" s="9">
        <f>IF($G1508="","",IFERROR(INDEX(GRUPOS_PLANO,MATCH($G1508,SUBCATEGORIAS_PLANO,0)),"Não classificado"))</f>
        <v/>
      </c>
      <c r="AI1508" s="24">
        <f>IF(OR($C1508="",$X1508="Pago",$X1508="Recebido",$X1508="Cancelado"),"",$C1508-TODAY())</f>
        <v/>
      </c>
      <c r="AJ1508" s="24">
        <f>IF(OR($C1508="",$X1508="Pago",$X1508="Recebido",$X1508="Cancelado"),0,MAX(0,TODAY()-$C1508))</f>
        <v/>
      </c>
      <c r="AK1508" s="24">
        <f>IF($D1508="","",$D1508-$B1508)</f>
        <v/>
      </c>
      <c r="AL1508" s="18">
        <f>IF(OR($D1508="",$B1508=""),"",ROUND(N($R1508)*($D1508-$B1508),2))</f>
        <v/>
      </c>
      <c r="AM1508" s="17">
        <f>IF(AND($E1508="Saída",$W1508&gt;0,$C1508&lt;&gt;""),$C1508+ROW()/1000000,"")</f>
        <v/>
      </c>
      <c r="AN1508" s="17">
        <f>IF(AND($E1508="Entrada",$W1508&gt;0,$C1508&lt;&gt;""),$C1508+ROW()/1000000,"")</f>
        <v/>
      </c>
      <c r="AO1508" s="9">
        <f>IF(COUNTA($B1508:$R1508)=0,"",IF(AND($I1508&lt;&gt;"",COUNTIF(CLIENTES_NOMES,$I1508)+COUNTIF(CLIENTES_FANTASIA,$I1508)+COUNTIF(FORNECEDORES_NOMES,$I1508)+COUNTIF(FORNECEDORES_FANTASIA,$I1508)=0),"⚠ Cliente/Fornecedor não cadastrado",IF(AND($G1508&lt;&gt;"",COUNTIF(SUBCATEGORIAS_PLANO,$G1508)=0),"⚠ Subcategoria fora do plano de contas",IF(OR($Q1508="",N($Q1508)=0),"⚠ Valor previsto não informado",IF(AND(OR($X1508="Pago",$X1508="Recebido"),$D1508=""),"⚠ Status pago/recebido sem data",IF(AND($D1508&lt;&gt;"",N($R1508)=0),"⚠ Data de pagamento sem valor realizado",IF(AND(N($P1508)&gt;1,N($O1508)&gt;N($P1508)),"⚠ Nº da parcela maior que o total",IF(AND($C1508&lt;&gt;"",$B1508&lt;&gt;"",$C1508&lt;$B1508),"⚠ Vencimento anterior à competência","OK"))))))))</f>
        <v/>
      </c>
    </row>
    <row r="1509">
      <c r="A1509" s="14" t="n"/>
      <c r="B1509" s="36" t="n"/>
      <c r="C1509" s="36" t="n"/>
      <c r="D1509" s="36" t="n"/>
      <c r="E1509" s="14" t="n"/>
      <c r="F1509" s="29" t="n"/>
      <c r="G1509" s="29" t="n"/>
      <c r="H1509" s="29" t="n"/>
      <c r="I1509" s="29" t="n"/>
      <c r="J1509" s="29" t="n"/>
      <c r="K1509" s="14" t="n"/>
      <c r="L1509" s="29" t="n"/>
      <c r="M1509" s="14" t="n"/>
      <c r="N1509" s="29" t="n"/>
      <c r="O1509" s="13" t="n"/>
      <c r="P1509" s="13" t="n"/>
      <c r="Q1509" s="35" t="n"/>
      <c r="R1509" s="35" t="n"/>
      <c r="S1509" s="35" t="n"/>
      <c r="T1509" s="35" t="n"/>
      <c r="U1509" s="35" t="n"/>
      <c r="V1509" s="18">
        <f>IF(COUNTA($B1509:$R1509)=0,"",ROUND(N($R1509)+N($S1509)+N($T1509)-N($U1509),2))</f>
        <v/>
      </c>
      <c r="W1509" s="18">
        <f>IF(COUNTA($B1509:$R1509)=0,"",IF(OR($X1509="Pago",$X1509="Recebido",$X1509="Cancelado"),0,ROUND(N($Q1509)+N($S1509)+N($T1509)-N($U1509)-N($R1509),2)))</f>
        <v/>
      </c>
      <c r="X1509" s="14" t="n"/>
      <c r="Y1509" s="17">
        <f>IF(COUNTA($B1509:$R1509)=0,"",IF($X1509="Cancelado","Cancelado",IF(OR($X1509="Pago",$X1509="Recebido"),$X1509,IF(OR($X1509="Parcial",N($R1509)&gt;0),"Parcial",IF($C1509="","Sem vencimento",IF($C1509&lt;TODAY(),"Vencido",IF($C1509=TODAY(),"Vence hoje",IF($C1509&lt;=TODAY()+7,"Vence em 7 dias",IF($C1509&lt;=TODAY()+30,"Vence em 30 dias","Futuro")))))))))</f>
        <v/>
      </c>
      <c r="Z1509" s="24">
        <f>IF($B1509="","",MONTH($B1509))</f>
        <v/>
      </c>
      <c r="AA1509" s="24">
        <f>IF($B1509="","",YEAR($B1509))</f>
        <v/>
      </c>
      <c r="AB1509" s="24">
        <f>IF($B1509="","",ISOWEEKNUM($B1509))</f>
        <v/>
      </c>
      <c r="AC1509" s="17">
        <f>IF($B1509="","",CHOOSE(WEEKDAY($B1509,2),"Segunda","Terça","Quarta","Quinta","Sexta","Sábado","Domingo"))</f>
        <v/>
      </c>
      <c r="AD1509" s="17">
        <f>IF($B1509="","",TEXT($B1509,"MM/AAAA"))</f>
        <v/>
      </c>
      <c r="AE1509" s="18">
        <f>IF(COUNTA($B1509:$R1509)=0,"",IF($X1509="Cancelado",0,ROUND(N($Q1509)+N($S1509)+N($T1509)-N($U1509),2)))</f>
        <v/>
      </c>
      <c r="AF1509" s="9">
        <f>IF($G1509="","",IFERROR(INDEX(LINHAS_DRE_PLANO,MATCH($G1509,SUBCATEGORIAS_PLANO,0)),"Não classificado"))</f>
        <v/>
      </c>
      <c r="AG1509" s="17">
        <f>IF($G1509="","",IFERROR(INDEX(TIPOS_FLUXO_PLANO,MATCH($G1509,SUBCATEGORIAS_PLANO,0)),"Não classificado"))</f>
        <v/>
      </c>
      <c r="AH1509" s="9">
        <f>IF($G1509="","",IFERROR(INDEX(GRUPOS_PLANO,MATCH($G1509,SUBCATEGORIAS_PLANO,0)),"Não classificado"))</f>
        <v/>
      </c>
      <c r="AI1509" s="24">
        <f>IF(OR($C1509="",$X1509="Pago",$X1509="Recebido",$X1509="Cancelado"),"",$C1509-TODAY())</f>
        <v/>
      </c>
      <c r="AJ1509" s="24">
        <f>IF(OR($C1509="",$X1509="Pago",$X1509="Recebido",$X1509="Cancelado"),0,MAX(0,TODAY()-$C1509))</f>
        <v/>
      </c>
      <c r="AK1509" s="24">
        <f>IF($D1509="","",$D1509-$B1509)</f>
        <v/>
      </c>
      <c r="AL1509" s="18">
        <f>IF(OR($D1509="",$B1509=""),"",ROUND(N($R1509)*($D1509-$B1509),2))</f>
        <v/>
      </c>
      <c r="AM1509" s="17">
        <f>IF(AND($E1509="Saída",$W1509&gt;0,$C1509&lt;&gt;""),$C1509+ROW()/1000000,"")</f>
        <v/>
      </c>
      <c r="AN1509" s="17">
        <f>IF(AND($E1509="Entrada",$W1509&gt;0,$C1509&lt;&gt;""),$C1509+ROW()/1000000,"")</f>
        <v/>
      </c>
      <c r="AO1509" s="9">
        <f>IF(COUNTA($B1509:$R1509)=0,"",IF(AND($I1509&lt;&gt;"",COUNTIF(CLIENTES_NOMES,$I1509)+COUNTIF(CLIENTES_FANTASIA,$I1509)+COUNTIF(FORNECEDORES_NOMES,$I1509)+COUNTIF(FORNECEDORES_FANTASIA,$I1509)=0),"⚠ Cliente/Fornecedor não cadastrado",IF(AND($G1509&lt;&gt;"",COUNTIF(SUBCATEGORIAS_PLANO,$G1509)=0),"⚠ Subcategoria fora do plano de contas",IF(OR($Q1509="",N($Q1509)=0),"⚠ Valor previsto não informado",IF(AND(OR($X1509="Pago",$X1509="Recebido"),$D1509=""),"⚠ Status pago/recebido sem data",IF(AND($D1509&lt;&gt;"",N($R1509)=0),"⚠ Data de pagamento sem valor realizado",IF(AND(N($P1509)&gt;1,N($O1509)&gt;N($P1509)),"⚠ Nº da parcela maior que o total",IF(AND($C1509&lt;&gt;"",$B1509&lt;&gt;"",$C1509&lt;$B1509),"⚠ Vencimento anterior à competência","OK"))))))))</f>
        <v/>
      </c>
    </row>
    <row r="1510">
      <c r="A1510" s="14" t="n"/>
      <c r="B1510" s="36" t="n"/>
      <c r="C1510" s="36" t="n"/>
      <c r="D1510" s="36" t="n"/>
      <c r="E1510" s="14" t="n"/>
      <c r="F1510" s="29" t="n"/>
      <c r="G1510" s="29" t="n"/>
      <c r="H1510" s="29" t="n"/>
      <c r="I1510" s="29" t="n"/>
      <c r="J1510" s="29" t="n"/>
      <c r="K1510" s="14" t="n"/>
      <c r="L1510" s="29" t="n"/>
      <c r="M1510" s="14" t="n"/>
      <c r="N1510" s="29" t="n"/>
      <c r="O1510" s="13" t="n"/>
      <c r="P1510" s="13" t="n"/>
      <c r="Q1510" s="35" t="n"/>
      <c r="R1510" s="35" t="n"/>
      <c r="S1510" s="35" t="n"/>
      <c r="T1510" s="35" t="n"/>
      <c r="U1510" s="35" t="n"/>
      <c r="V1510" s="18">
        <f>IF(COUNTA($B1510:$R1510)=0,"",ROUND(N($R1510)+N($S1510)+N($T1510)-N($U1510),2))</f>
        <v/>
      </c>
      <c r="W1510" s="18">
        <f>IF(COUNTA($B1510:$R1510)=0,"",IF(OR($X1510="Pago",$X1510="Recebido",$X1510="Cancelado"),0,ROUND(N($Q1510)+N($S1510)+N($T1510)-N($U1510)-N($R1510),2)))</f>
        <v/>
      </c>
      <c r="X1510" s="14" t="n"/>
      <c r="Y1510" s="17">
        <f>IF(COUNTA($B1510:$R1510)=0,"",IF($X1510="Cancelado","Cancelado",IF(OR($X1510="Pago",$X1510="Recebido"),$X1510,IF(OR($X1510="Parcial",N($R1510)&gt;0),"Parcial",IF($C1510="","Sem vencimento",IF($C1510&lt;TODAY(),"Vencido",IF($C1510=TODAY(),"Vence hoje",IF($C1510&lt;=TODAY()+7,"Vence em 7 dias",IF($C1510&lt;=TODAY()+30,"Vence em 30 dias","Futuro")))))))))</f>
        <v/>
      </c>
      <c r="Z1510" s="24">
        <f>IF($B1510="","",MONTH($B1510))</f>
        <v/>
      </c>
      <c r="AA1510" s="24">
        <f>IF($B1510="","",YEAR($B1510))</f>
        <v/>
      </c>
      <c r="AB1510" s="24">
        <f>IF($B1510="","",ISOWEEKNUM($B1510))</f>
        <v/>
      </c>
      <c r="AC1510" s="17">
        <f>IF($B1510="","",CHOOSE(WEEKDAY($B1510,2),"Segunda","Terça","Quarta","Quinta","Sexta","Sábado","Domingo"))</f>
        <v/>
      </c>
      <c r="AD1510" s="17">
        <f>IF($B1510="","",TEXT($B1510,"MM/AAAA"))</f>
        <v/>
      </c>
      <c r="AE1510" s="18">
        <f>IF(COUNTA($B1510:$R1510)=0,"",IF($X1510="Cancelado",0,ROUND(N($Q1510)+N($S1510)+N($T1510)-N($U1510),2)))</f>
        <v/>
      </c>
      <c r="AF1510" s="9">
        <f>IF($G1510="","",IFERROR(INDEX(LINHAS_DRE_PLANO,MATCH($G1510,SUBCATEGORIAS_PLANO,0)),"Não classificado"))</f>
        <v/>
      </c>
      <c r="AG1510" s="17">
        <f>IF($G1510="","",IFERROR(INDEX(TIPOS_FLUXO_PLANO,MATCH($G1510,SUBCATEGORIAS_PLANO,0)),"Não classificado"))</f>
        <v/>
      </c>
      <c r="AH1510" s="9">
        <f>IF($G1510="","",IFERROR(INDEX(GRUPOS_PLANO,MATCH($G1510,SUBCATEGORIAS_PLANO,0)),"Não classificado"))</f>
        <v/>
      </c>
      <c r="AI1510" s="24">
        <f>IF(OR($C1510="",$X1510="Pago",$X1510="Recebido",$X1510="Cancelado"),"",$C1510-TODAY())</f>
        <v/>
      </c>
      <c r="AJ1510" s="24">
        <f>IF(OR($C1510="",$X1510="Pago",$X1510="Recebido",$X1510="Cancelado"),0,MAX(0,TODAY()-$C1510))</f>
        <v/>
      </c>
      <c r="AK1510" s="24">
        <f>IF($D1510="","",$D1510-$B1510)</f>
        <v/>
      </c>
      <c r="AL1510" s="18">
        <f>IF(OR($D1510="",$B1510=""),"",ROUND(N($R1510)*($D1510-$B1510),2))</f>
        <v/>
      </c>
      <c r="AM1510" s="17">
        <f>IF(AND($E1510="Saída",$W1510&gt;0,$C1510&lt;&gt;""),$C1510+ROW()/1000000,"")</f>
        <v/>
      </c>
      <c r="AN1510" s="17">
        <f>IF(AND($E1510="Entrada",$W1510&gt;0,$C1510&lt;&gt;""),$C1510+ROW()/1000000,"")</f>
        <v/>
      </c>
      <c r="AO1510" s="9">
        <f>IF(COUNTA($B1510:$R1510)=0,"",IF(AND($I1510&lt;&gt;"",COUNTIF(CLIENTES_NOMES,$I1510)+COUNTIF(CLIENTES_FANTASIA,$I1510)+COUNTIF(FORNECEDORES_NOMES,$I1510)+COUNTIF(FORNECEDORES_FANTASIA,$I1510)=0),"⚠ Cliente/Fornecedor não cadastrado",IF(AND($G1510&lt;&gt;"",COUNTIF(SUBCATEGORIAS_PLANO,$G1510)=0),"⚠ Subcategoria fora do plano de contas",IF(OR($Q1510="",N($Q1510)=0),"⚠ Valor previsto não informado",IF(AND(OR($X1510="Pago",$X1510="Recebido"),$D1510=""),"⚠ Status pago/recebido sem data",IF(AND($D1510&lt;&gt;"",N($R1510)=0),"⚠ Data de pagamento sem valor realizado",IF(AND(N($P1510)&gt;1,N($O1510)&gt;N($P1510)),"⚠ Nº da parcela maior que o total",IF(AND($C1510&lt;&gt;"",$B1510&lt;&gt;"",$C1510&lt;$B1510),"⚠ Vencimento anterior à competência","OK"))))))))</f>
        <v/>
      </c>
    </row>
    <row r="1511">
      <c r="A1511" s="14" t="n"/>
      <c r="B1511" s="36" t="n"/>
      <c r="C1511" s="36" t="n"/>
      <c r="D1511" s="36" t="n"/>
      <c r="E1511" s="14" t="n"/>
      <c r="F1511" s="29" t="n"/>
      <c r="G1511" s="29" t="n"/>
      <c r="H1511" s="29" t="n"/>
      <c r="I1511" s="29" t="n"/>
      <c r="J1511" s="29" t="n"/>
      <c r="K1511" s="14" t="n"/>
      <c r="L1511" s="29" t="n"/>
      <c r="M1511" s="14" t="n"/>
      <c r="N1511" s="29" t="n"/>
      <c r="O1511" s="13" t="n"/>
      <c r="P1511" s="13" t="n"/>
      <c r="Q1511" s="35" t="n"/>
      <c r="R1511" s="35" t="n"/>
      <c r="S1511" s="35" t="n"/>
      <c r="T1511" s="35" t="n"/>
      <c r="U1511" s="35" t="n"/>
      <c r="V1511" s="18">
        <f>IF(COUNTA($B1511:$R1511)=0,"",ROUND(N($R1511)+N($S1511)+N($T1511)-N($U1511),2))</f>
        <v/>
      </c>
      <c r="W1511" s="18">
        <f>IF(COUNTA($B1511:$R1511)=0,"",IF(OR($X1511="Pago",$X1511="Recebido",$X1511="Cancelado"),0,ROUND(N($Q1511)+N($S1511)+N($T1511)-N($U1511)-N($R1511),2)))</f>
        <v/>
      </c>
      <c r="X1511" s="14" t="n"/>
      <c r="Y1511" s="17">
        <f>IF(COUNTA($B1511:$R1511)=0,"",IF($X1511="Cancelado","Cancelado",IF(OR($X1511="Pago",$X1511="Recebido"),$X1511,IF(OR($X1511="Parcial",N($R1511)&gt;0),"Parcial",IF($C1511="","Sem vencimento",IF($C1511&lt;TODAY(),"Vencido",IF($C1511=TODAY(),"Vence hoje",IF($C1511&lt;=TODAY()+7,"Vence em 7 dias",IF($C1511&lt;=TODAY()+30,"Vence em 30 dias","Futuro")))))))))</f>
        <v/>
      </c>
      <c r="Z1511" s="24">
        <f>IF($B1511="","",MONTH($B1511))</f>
        <v/>
      </c>
      <c r="AA1511" s="24">
        <f>IF($B1511="","",YEAR($B1511))</f>
        <v/>
      </c>
      <c r="AB1511" s="24">
        <f>IF($B1511="","",ISOWEEKNUM($B1511))</f>
        <v/>
      </c>
      <c r="AC1511" s="17">
        <f>IF($B1511="","",CHOOSE(WEEKDAY($B1511,2),"Segunda","Terça","Quarta","Quinta","Sexta","Sábado","Domingo"))</f>
        <v/>
      </c>
      <c r="AD1511" s="17">
        <f>IF($B1511="","",TEXT($B1511,"MM/AAAA"))</f>
        <v/>
      </c>
      <c r="AE1511" s="18">
        <f>IF(COUNTA($B1511:$R1511)=0,"",IF($X1511="Cancelado",0,ROUND(N($Q1511)+N($S1511)+N($T1511)-N($U1511),2)))</f>
        <v/>
      </c>
      <c r="AF1511" s="9">
        <f>IF($G1511="","",IFERROR(INDEX(LINHAS_DRE_PLANO,MATCH($G1511,SUBCATEGORIAS_PLANO,0)),"Não classificado"))</f>
        <v/>
      </c>
      <c r="AG1511" s="17">
        <f>IF($G1511="","",IFERROR(INDEX(TIPOS_FLUXO_PLANO,MATCH($G1511,SUBCATEGORIAS_PLANO,0)),"Não classificado"))</f>
        <v/>
      </c>
      <c r="AH1511" s="9">
        <f>IF($G1511="","",IFERROR(INDEX(GRUPOS_PLANO,MATCH($G1511,SUBCATEGORIAS_PLANO,0)),"Não classificado"))</f>
        <v/>
      </c>
      <c r="AI1511" s="24">
        <f>IF(OR($C1511="",$X1511="Pago",$X1511="Recebido",$X1511="Cancelado"),"",$C1511-TODAY())</f>
        <v/>
      </c>
      <c r="AJ1511" s="24">
        <f>IF(OR($C1511="",$X1511="Pago",$X1511="Recebido",$X1511="Cancelado"),0,MAX(0,TODAY()-$C1511))</f>
        <v/>
      </c>
      <c r="AK1511" s="24">
        <f>IF($D1511="","",$D1511-$B1511)</f>
        <v/>
      </c>
      <c r="AL1511" s="18">
        <f>IF(OR($D1511="",$B1511=""),"",ROUND(N($R1511)*($D1511-$B1511),2))</f>
        <v/>
      </c>
      <c r="AM1511" s="17">
        <f>IF(AND($E1511="Saída",$W1511&gt;0,$C1511&lt;&gt;""),$C1511+ROW()/1000000,"")</f>
        <v/>
      </c>
      <c r="AN1511" s="17">
        <f>IF(AND($E1511="Entrada",$W1511&gt;0,$C1511&lt;&gt;""),$C1511+ROW()/1000000,"")</f>
        <v/>
      </c>
      <c r="AO1511" s="9">
        <f>IF(COUNTA($B1511:$R1511)=0,"",IF(AND($I1511&lt;&gt;"",COUNTIF(CLIENTES_NOMES,$I1511)+COUNTIF(CLIENTES_FANTASIA,$I1511)+COUNTIF(FORNECEDORES_NOMES,$I1511)+COUNTIF(FORNECEDORES_FANTASIA,$I1511)=0),"⚠ Cliente/Fornecedor não cadastrado",IF(AND($G1511&lt;&gt;"",COUNTIF(SUBCATEGORIAS_PLANO,$G1511)=0),"⚠ Subcategoria fora do plano de contas",IF(OR($Q1511="",N($Q1511)=0),"⚠ Valor previsto não informado",IF(AND(OR($X1511="Pago",$X1511="Recebido"),$D1511=""),"⚠ Status pago/recebido sem data",IF(AND($D1511&lt;&gt;"",N($R1511)=0),"⚠ Data de pagamento sem valor realizado",IF(AND(N($P1511)&gt;1,N($O1511)&gt;N($P1511)),"⚠ Nº da parcela maior que o total",IF(AND($C1511&lt;&gt;"",$B1511&lt;&gt;"",$C1511&lt;$B1511),"⚠ Vencimento anterior à competência","OK"))))))))</f>
        <v/>
      </c>
    </row>
    <row r="1512">
      <c r="A1512" s="14" t="n"/>
      <c r="B1512" s="36" t="n"/>
      <c r="C1512" s="36" t="n"/>
      <c r="D1512" s="36" t="n"/>
      <c r="E1512" s="14" t="n"/>
      <c r="F1512" s="29" t="n"/>
      <c r="G1512" s="29" t="n"/>
      <c r="H1512" s="29" t="n"/>
      <c r="I1512" s="29" t="n"/>
      <c r="J1512" s="29" t="n"/>
      <c r="K1512" s="14" t="n"/>
      <c r="L1512" s="29" t="n"/>
      <c r="M1512" s="14" t="n"/>
      <c r="N1512" s="29" t="n"/>
      <c r="O1512" s="13" t="n"/>
      <c r="P1512" s="13" t="n"/>
      <c r="Q1512" s="35" t="n"/>
      <c r="R1512" s="35" t="n"/>
      <c r="S1512" s="35" t="n"/>
      <c r="T1512" s="35" t="n"/>
      <c r="U1512" s="35" t="n"/>
      <c r="V1512" s="18">
        <f>IF(COUNTA($B1512:$R1512)=0,"",ROUND(N($R1512)+N($S1512)+N($T1512)-N($U1512),2))</f>
        <v/>
      </c>
      <c r="W1512" s="18">
        <f>IF(COUNTA($B1512:$R1512)=0,"",IF(OR($X1512="Pago",$X1512="Recebido",$X1512="Cancelado"),0,ROUND(N($Q1512)+N($S1512)+N($T1512)-N($U1512)-N($R1512),2)))</f>
        <v/>
      </c>
      <c r="X1512" s="14" t="n"/>
      <c r="Y1512" s="17">
        <f>IF(COUNTA($B1512:$R1512)=0,"",IF($X1512="Cancelado","Cancelado",IF(OR($X1512="Pago",$X1512="Recebido"),$X1512,IF(OR($X1512="Parcial",N($R1512)&gt;0),"Parcial",IF($C1512="","Sem vencimento",IF($C1512&lt;TODAY(),"Vencido",IF($C1512=TODAY(),"Vence hoje",IF($C1512&lt;=TODAY()+7,"Vence em 7 dias",IF($C1512&lt;=TODAY()+30,"Vence em 30 dias","Futuro")))))))))</f>
        <v/>
      </c>
      <c r="Z1512" s="24">
        <f>IF($B1512="","",MONTH($B1512))</f>
        <v/>
      </c>
      <c r="AA1512" s="24">
        <f>IF($B1512="","",YEAR($B1512))</f>
        <v/>
      </c>
      <c r="AB1512" s="24">
        <f>IF($B1512="","",ISOWEEKNUM($B1512))</f>
        <v/>
      </c>
      <c r="AC1512" s="17">
        <f>IF($B1512="","",CHOOSE(WEEKDAY($B1512,2),"Segunda","Terça","Quarta","Quinta","Sexta","Sábado","Domingo"))</f>
        <v/>
      </c>
      <c r="AD1512" s="17">
        <f>IF($B1512="","",TEXT($B1512,"MM/AAAA"))</f>
        <v/>
      </c>
      <c r="AE1512" s="18">
        <f>IF(COUNTA($B1512:$R1512)=0,"",IF($X1512="Cancelado",0,ROUND(N($Q1512)+N($S1512)+N($T1512)-N($U1512),2)))</f>
        <v/>
      </c>
      <c r="AF1512" s="9">
        <f>IF($G1512="","",IFERROR(INDEX(LINHAS_DRE_PLANO,MATCH($G1512,SUBCATEGORIAS_PLANO,0)),"Não classificado"))</f>
        <v/>
      </c>
      <c r="AG1512" s="17">
        <f>IF($G1512="","",IFERROR(INDEX(TIPOS_FLUXO_PLANO,MATCH($G1512,SUBCATEGORIAS_PLANO,0)),"Não classificado"))</f>
        <v/>
      </c>
      <c r="AH1512" s="9">
        <f>IF($G1512="","",IFERROR(INDEX(GRUPOS_PLANO,MATCH($G1512,SUBCATEGORIAS_PLANO,0)),"Não classificado"))</f>
        <v/>
      </c>
      <c r="AI1512" s="24">
        <f>IF(OR($C1512="",$X1512="Pago",$X1512="Recebido",$X1512="Cancelado"),"",$C1512-TODAY())</f>
        <v/>
      </c>
      <c r="AJ1512" s="24">
        <f>IF(OR($C1512="",$X1512="Pago",$X1512="Recebido",$X1512="Cancelado"),0,MAX(0,TODAY()-$C1512))</f>
        <v/>
      </c>
      <c r="AK1512" s="24">
        <f>IF($D1512="","",$D1512-$B1512)</f>
        <v/>
      </c>
      <c r="AL1512" s="18">
        <f>IF(OR($D1512="",$B1512=""),"",ROUND(N($R1512)*($D1512-$B1512),2))</f>
        <v/>
      </c>
      <c r="AM1512" s="17">
        <f>IF(AND($E1512="Saída",$W1512&gt;0,$C1512&lt;&gt;""),$C1512+ROW()/1000000,"")</f>
        <v/>
      </c>
      <c r="AN1512" s="17">
        <f>IF(AND($E1512="Entrada",$W1512&gt;0,$C1512&lt;&gt;""),$C1512+ROW()/1000000,"")</f>
        <v/>
      </c>
      <c r="AO1512" s="9">
        <f>IF(COUNTA($B1512:$R1512)=0,"",IF(AND($I1512&lt;&gt;"",COUNTIF(CLIENTES_NOMES,$I1512)+COUNTIF(CLIENTES_FANTASIA,$I1512)+COUNTIF(FORNECEDORES_NOMES,$I1512)+COUNTIF(FORNECEDORES_FANTASIA,$I1512)=0),"⚠ Cliente/Fornecedor não cadastrado",IF(AND($G1512&lt;&gt;"",COUNTIF(SUBCATEGORIAS_PLANO,$G1512)=0),"⚠ Subcategoria fora do plano de contas",IF(OR($Q1512="",N($Q1512)=0),"⚠ Valor previsto não informado",IF(AND(OR($X1512="Pago",$X1512="Recebido"),$D1512=""),"⚠ Status pago/recebido sem data",IF(AND($D1512&lt;&gt;"",N($R1512)=0),"⚠ Data de pagamento sem valor realizado",IF(AND(N($P1512)&gt;1,N($O1512)&gt;N($P1512)),"⚠ Nº da parcela maior que o total",IF(AND($C1512&lt;&gt;"",$B1512&lt;&gt;"",$C1512&lt;$B1512),"⚠ Vencimento anterior à competência","OK"))))))))</f>
        <v/>
      </c>
    </row>
    <row r="1513">
      <c r="A1513" s="14" t="n"/>
      <c r="B1513" s="36" t="n"/>
      <c r="C1513" s="36" t="n"/>
      <c r="D1513" s="36" t="n"/>
      <c r="E1513" s="14" t="n"/>
      <c r="F1513" s="29" t="n"/>
      <c r="G1513" s="29" t="n"/>
      <c r="H1513" s="29" t="n"/>
      <c r="I1513" s="29" t="n"/>
      <c r="J1513" s="29" t="n"/>
      <c r="K1513" s="14" t="n"/>
      <c r="L1513" s="29" t="n"/>
      <c r="M1513" s="14" t="n"/>
      <c r="N1513" s="29" t="n"/>
      <c r="O1513" s="13" t="n"/>
      <c r="P1513" s="13" t="n"/>
      <c r="Q1513" s="35" t="n"/>
      <c r="R1513" s="35" t="n"/>
      <c r="S1513" s="35" t="n"/>
      <c r="T1513" s="35" t="n"/>
      <c r="U1513" s="35" t="n"/>
      <c r="V1513" s="18">
        <f>IF(COUNTA($B1513:$R1513)=0,"",ROUND(N($R1513)+N($S1513)+N($T1513)-N($U1513),2))</f>
        <v/>
      </c>
      <c r="W1513" s="18">
        <f>IF(COUNTA($B1513:$R1513)=0,"",IF(OR($X1513="Pago",$X1513="Recebido",$X1513="Cancelado"),0,ROUND(N($Q1513)+N($S1513)+N($T1513)-N($U1513)-N($R1513),2)))</f>
        <v/>
      </c>
      <c r="X1513" s="14" t="n"/>
      <c r="Y1513" s="17">
        <f>IF(COUNTA($B1513:$R1513)=0,"",IF($X1513="Cancelado","Cancelado",IF(OR($X1513="Pago",$X1513="Recebido"),$X1513,IF(OR($X1513="Parcial",N($R1513)&gt;0),"Parcial",IF($C1513="","Sem vencimento",IF($C1513&lt;TODAY(),"Vencido",IF($C1513=TODAY(),"Vence hoje",IF($C1513&lt;=TODAY()+7,"Vence em 7 dias",IF($C1513&lt;=TODAY()+30,"Vence em 30 dias","Futuro")))))))))</f>
        <v/>
      </c>
      <c r="Z1513" s="24">
        <f>IF($B1513="","",MONTH($B1513))</f>
        <v/>
      </c>
      <c r="AA1513" s="24">
        <f>IF($B1513="","",YEAR($B1513))</f>
        <v/>
      </c>
      <c r="AB1513" s="24">
        <f>IF($B1513="","",ISOWEEKNUM($B1513))</f>
        <v/>
      </c>
      <c r="AC1513" s="17">
        <f>IF($B1513="","",CHOOSE(WEEKDAY($B1513,2),"Segunda","Terça","Quarta","Quinta","Sexta","Sábado","Domingo"))</f>
        <v/>
      </c>
      <c r="AD1513" s="17">
        <f>IF($B1513="","",TEXT($B1513,"MM/AAAA"))</f>
        <v/>
      </c>
      <c r="AE1513" s="18">
        <f>IF(COUNTA($B1513:$R1513)=0,"",IF($X1513="Cancelado",0,ROUND(N($Q1513)+N($S1513)+N($T1513)-N($U1513),2)))</f>
        <v/>
      </c>
      <c r="AF1513" s="9">
        <f>IF($G1513="","",IFERROR(INDEX(LINHAS_DRE_PLANO,MATCH($G1513,SUBCATEGORIAS_PLANO,0)),"Não classificado"))</f>
        <v/>
      </c>
      <c r="AG1513" s="17">
        <f>IF($G1513="","",IFERROR(INDEX(TIPOS_FLUXO_PLANO,MATCH($G1513,SUBCATEGORIAS_PLANO,0)),"Não classificado"))</f>
        <v/>
      </c>
      <c r="AH1513" s="9">
        <f>IF($G1513="","",IFERROR(INDEX(GRUPOS_PLANO,MATCH($G1513,SUBCATEGORIAS_PLANO,0)),"Não classificado"))</f>
        <v/>
      </c>
      <c r="AI1513" s="24">
        <f>IF(OR($C1513="",$X1513="Pago",$X1513="Recebido",$X1513="Cancelado"),"",$C1513-TODAY())</f>
        <v/>
      </c>
      <c r="AJ1513" s="24">
        <f>IF(OR($C1513="",$X1513="Pago",$X1513="Recebido",$X1513="Cancelado"),0,MAX(0,TODAY()-$C1513))</f>
        <v/>
      </c>
      <c r="AK1513" s="24">
        <f>IF($D1513="","",$D1513-$B1513)</f>
        <v/>
      </c>
      <c r="AL1513" s="18">
        <f>IF(OR($D1513="",$B1513=""),"",ROUND(N($R1513)*($D1513-$B1513),2))</f>
        <v/>
      </c>
      <c r="AM1513" s="17">
        <f>IF(AND($E1513="Saída",$W1513&gt;0,$C1513&lt;&gt;""),$C1513+ROW()/1000000,"")</f>
        <v/>
      </c>
      <c r="AN1513" s="17">
        <f>IF(AND($E1513="Entrada",$W1513&gt;0,$C1513&lt;&gt;""),$C1513+ROW()/1000000,"")</f>
        <v/>
      </c>
      <c r="AO1513" s="9">
        <f>IF(COUNTA($B1513:$R1513)=0,"",IF(AND($I1513&lt;&gt;"",COUNTIF(CLIENTES_NOMES,$I1513)+COUNTIF(CLIENTES_FANTASIA,$I1513)+COUNTIF(FORNECEDORES_NOMES,$I1513)+COUNTIF(FORNECEDORES_FANTASIA,$I1513)=0),"⚠ Cliente/Fornecedor não cadastrado",IF(AND($G1513&lt;&gt;"",COUNTIF(SUBCATEGORIAS_PLANO,$G1513)=0),"⚠ Subcategoria fora do plano de contas",IF(OR($Q1513="",N($Q1513)=0),"⚠ Valor previsto não informado",IF(AND(OR($X1513="Pago",$X1513="Recebido"),$D1513=""),"⚠ Status pago/recebido sem data",IF(AND($D1513&lt;&gt;"",N($R1513)=0),"⚠ Data de pagamento sem valor realizado",IF(AND(N($P1513)&gt;1,N($O1513)&gt;N($P1513)),"⚠ Nº da parcela maior que o total",IF(AND($C1513&lt;&gt;"",$B1513&lt;&gt;"",$C1513&lt;$B1513),"⚠ Vencimento anterior à competência","OK"))))))))</f>
        <v/>
      </c>
    </row>
    <row r="1514">
      <c r="A1514" s="14" t="n"/>
      <c r="B1514" s="36" t="n"/>
      <c r="C1514" s="36" t="n"/>
      <c r="D1514" s="36" t="n"/>
      <c r="E1514" s="14" t="n"/>
      <c r="F1514" s="29" t="n"/>
      <c r="G1514" s="29" t="n"/>
      <c r="H1514" s="29" t="n"/>
      <c r="I1514" s="29" t="n"/>
      <c r="J1514" s="29" t="n"/>
      <c r="K1514" s="14" t="n"/>
      <c r="L1514" s="29" t="n"/>
      <c r="M1514" s="14" t="n"/>
      <c r="N1514" s="29" t="n"/>
      <c r="O1514" s="13" t="n"/>
      <c r="P1514" s="13" t="n"/>
      <c r="Q1514" s="35" t="n"/>
      <c r="R1514" s="35" t="n"/>
      <c r="S1514" s="35" t="n"/>
      <c r="T1514" s="35" t="n"/>
      <c r="U1514" s="35" t="n"/>
      <c r="V1514" s="18">
        <f>IF(COUNTA($B1514:$R1514)=0,"",ROUND(N($R1514)+N($S1514)+N($T1514)-N($U1514),2))</f>
        <v/>
      </c>
      <c r="W1514" s="18">
        <f>IF(COUNTA($B1514:$R1514)=0,"",IF(OR($X1514="Pago",$X1514="Recebido",$X1514="Cancelado"),0,ROUND(N($Q1514)+N($S1514)+N($T1514)-N($U1514)-N($R1514),2)))</f>
        <v/>
      </c>
      <c r="X1514" s="14" t="n"/>
      <c r="Y1514" s="17">
        <f>IF(COUNTA($B1514:$R1514)=0,"",IF($X1514="Cancelado","Cancelado",IF(OR($X1514="Pago",$X1514="Recebido"),$X1514,IF(OR($X1514="Parcial",N($R1514)&gt;0),"Parcial",IF($C1514="","Sem vencimento",IF($C1514&lt;TODAY(),"Vencido",IF($C1514=TODAY(),"Vence hoje",IF($C1514&lt;=TODAY()+7,"Vence em 7 dias",IF($C1514&lt;=TODAY()+30,"Vence em 30 dias","Futuro")))))))))</f>
        <v/>
      </c>
      <c r="Z1514" s="24">
        <f>IF($B1514="","",MONTH($B1514))</f>
        <v/>
      </c>
      <c r="AA1514" s="24">
        <f>IF($B1514="","",YEAR($B1514))</f>
        <v/>
      </c>
      <c r="AB1514" s="24">
        <f>IF($B1514="","",ISOWEEKNUM($B1514))</f>
        <v/>
      </c>
      <c r="AC1514" s="17">
        <f>IF($B1514="","",CHOOSE(WEEKDAY($B1514,2),"Segunda","Terça","Quarta","Quinta","Sexta","Sábado","Domingo"))</f>
        <v/>
      </c>
      <c r="AD1514" s="17">
        <f>IF($B1514="","",TEXT($B1514,"MM/AAAA"))</f>
        <v/>
      </c>
      <c r="AE1514" s="18">
        <f>IF(COUNTA($B1514:$R1514)=0,"",IF($X1514="Cancelado",0,ROUND(N($Q1514)+N($S1514)+N($T1514)-N($U1514),2)))</f>
        <v/>
      </c>
      <c r="AF1514" s="9">
        <f>IF($G1514="","",IFERROR(INDEX(LINHAS_DRE_PLANO,MATCH($G1514,SUBCATEGORIAS_PLANO,0)),"Não classificado"))</f>
        <v/>
      </c>
      <c r="AG1514" s="17">
        <f>IF($G1514="","",IFERROR(INDEX(TIPOS_FLUXO_PLANO,MATCH($G1514,SUBCATEGORIAS_PLANO,0)),"Não classificado"))</f>
        <v/>
      </c>
      <c r="AH1514" s="9">
        <f>IF($G1514="","",IFERROR(INDEX(GRUPOS_PLANO,MATCH($G1514,SUBCATEGORIAS_PLANO,0)),"Não classificado"))</f>
        <v/>
      </c>
      <c r="AI1514" s="24">
        <f>IF(OR($C1514="",$X1514="Pago",$X1514="Recebido",$X1514="Cancelado"),"",$C1514-TODAY())</f>
        <v/>
      </c>
      <c r="AJ1514" s="24">
        <f>IF(OR($C1514="",$X1514="Pago",$X1514="Recebido",$X1514="Cancelado"),0,MAX(0,TODAY()-$C1514))</f>
        <v/>
      </c>
      <c r="AK1514" s="24">
        <f>IF($D1514="","",$D1514-$B1514)</f>
        <v/>
      </c>
      <c r="AL1514" s="18">
        <f>IF(OR($D1514="",$B1514=""),"",ROUND(N($R1514)*($D1514-$B1514),2))</f>
        <v/>
      </c>
      <c r="AM1514" s="17">
        <f>IF(AND($E1514="Saída",$W1514&gt;0,$C1514&lt;&gt;""),$C1514+ROW()/1000000,"")</f>
        <v/>
      </c>
      <c r="AN1514" s="17">
        <f>IF(AND($E1514="Entrada",$W1514&gt;0,$C1514&lt;&gt;""),$C1514+ROW()/1000000,"")</f>
        <v/>
      </c>
      <c r="AO1514" s="9">
        <f>IF(COUNTA($B1514:$R1514)=0,"",IF(AND($I1514&lt;&gt;"",COUNTIF(CLIENTES_NOMES,$I1514)+COUNTIF(CLIENTES_FANTASIA,$I1514)+COUNTIF(FORNECEDORES_NOMES,$I1514)+COUNTIF(FORNECEDORES_FANTASIA,$I1514)=0),"⚠ Cliente/Fornecedor não cadastrado",IF(AND($G1514&lt;&gt;"",COUNTIF(SUBCATEGORIAS_PLANO,$G1514)=0),"⚠ Subcategoria fora do plano de contas",IF(OR($Q1514="",N($Q1514)=0),"⚠ Valor previsto não informado",IF(AND(OR($X1514="Pago",$X1514="Recebido"),$D1514=""),"⚠ Status pago/recebido sem data",IF(AND($D1514&lt;&gt;"",N($R1514)=0),"⚠ Data de pagamento sem valor realizado",IF(AND(N($P1514)&gt;1,N($O1514)&gt;N($P1514)),"⚠ Nº da parcela maior que o total",IF(AND($C1514&lt;&gt;"",$B1514&lt;&gt;"",$C1514&lt;$B1514),"⚠ Vencimento anterior à competência","OK"))))))))</f>
        <v/>
      </c>
    </row>
    <row r="1515">
      <c r="A1515" s="14" t="n"/>
      <c r="B1515" s="36" t="n"/>
      <c r="C1515" s="36" t="n"/>
      <c r="D1515" s="36" t="n"/>
      <c r="E1515" s="14" t="n"/>
      <c r="F1515" s="29" t="n"/>
      <c r="G1515" s="29" t="n"/>
      <c r="H1515" s="29" t="n"/>
      <c r="I1515" s="29" t="n"/>
      <c r="J1515" s="29" t="n"/>
      <c r="K1515" s="14" t="n"/>
      <c r="L1515" s="29" t="n"/>
      <c r="M1515" s="14" t="n"/>
      <c r="N1515" s="29" t="n"/>
      <c r="O1515" s="13" t="n"/>
      <c r="P1515" s="13" t="n"/>
      <c r="Q1515" s="35" t="n"/>
      <c r="R1515" s="35" t="n"/>
      <c r="S1515" s="35" t="n"/>
      <c r="T1515" s="35" t="n"/>
      <c r="U1515" s="35" t="n"/>
      <c r="V1515" s="18">
        <f>IF(COUNTA($B1515:$R1515)=0,"",ROUND(N($R1515)+N($S1515)+N($T1515)-N($U1515),2))</f>
        <v/>
      </c>
      <c r="W1515" s="18">
        <f>IF(COUNTA($B1515:$R1515)=0,"",IF(OR($X1515="Pago",$X1515="Recebido",$X1515="Cancelado"),0,ROUND(N($Q1515)+N($S1515)+N($T1515)-N($U1515)-N($R1515),2)))</f>
        <v/>
      </c>
      <c r="X1515" s="14" t="n"/>
      <c r="Y1515" s="17">
        <f>IF(COUNTA($B1515:$R1515)=0,"",IF($X1515="Cancelado","Cancelado",IF(OR($X1515="Pago",$X1515="Recebido"),$X1515,IF(OR($X1515="Parcial",N($R1515)&gt;0),"Parcial",IF($C1515="","Sem vencimento",IF($C1515&lt;TODAY(),"Vencido",IF($C1515=TODAY(),"Vence hoje",IF($C1515&lt;=TODAY()+7,"Vence em 7 dias",IF($C1515&lt;=TODAY()+30,"Vence em 30 dias","Futuro")))))))))</f>
        <v/>
      </c>
      <c r="Z1515" s="24">
        <f>IF($B1515="","",MONTH($B1515))</f>
        <v/>
      </c>
      <c r="AA1515" s="24">
        <f>IF($B1515="","",YEAR($B1515))</f>
        <v/>
      </c>
      <c r="AB1515" s="24">
        <f>IF($B1515="","",ISOWEEKNUM($B1515))</f>
        <v/>
      </c>
      <c r="AC1515" s="17">
        <f>IF($B1515="","",CHOOSE(WEEKDAY($B1515,2),"Segunda","Terça","Quarta","Quinta","Sexta","Sábado","Domingo"))</f>
        <v/>
      </c>
      <c r="AD1515" s="17">
        <f>IF($B1515="","",TEXT($B1515,"MM/AAAA"))</f>
        <v/>
      </c>
      <c r="AE1515" s="18">
        <f>IF(COUNTA($B1515:$R1515)=0,"",IF($X1515="Cancelado",0,ROUND(N($Q1515)+N($S1515)+N($T1515)-N($U1515),2)))</f>
        <v/>
      </c>
      <c r="AF1515" s="9">
        <f>IF($G1515="","",IFERROR(INDEX(LINHAS_DRE_PLANO,MATCH($G1515,SUBCATEGORIAS_PLANO,0)),"Não classificado"))</f>
        <v/>
      </c>
      <c r="AG1515" s="17">
        <f>IF($G1515="","",IFERROR(INDEX(TIPOS_FLUXO_PLANO,MATCH($G1515,SUBCATEGORIAS_PLANO,0)),"Não classificado"))</f>
        <v/>
      </c>
      <c r="AH1515" s="9">
        <f>IF($G1515="","",IFERROR(INDEX(GRUPOS_PLANO,MATCH($G1515,SUBCATEGORIAS_PLANO,0)),"Não classificado"))</f>
        <v/>
      </c>
      <c r="AI1515" s="24">
        <f>IF(OR($C1515="",$X1515="Pago",$X1515="Recebido",$X1515="Cancelado"),"",$C1515-TODAY())</f>
        <v/>
      </c>
      <c r="AJ1515" s="24">
        <f>IF(OR($C1515="",$X1515="Pago",$X1515="Recebido",$X1515="Cancelado"),0,MAX(0,TODAY()-$C1515))</f>
        <v/>
      </c>
      <c r="AK1515" s="24">
        <f>IF($D1515="","",$D1515-$B1515)</f>
        <v/>
      </c>
      <c r="AL1515" s="18">
        <f>IF(OR($D1515="",$B1515=""),"",ROUND(N($R1515)*($D1515-$B1515),2))</f>
        <v/>
      </c>
      <c r="AM1515" s="17">
        <f>IF(AND($E1515="Saída",$W1515&gt;0,$C1515&lt;&gt;""),$C1515+ROW()/1000000,"")</f>
        <v/>
      </c>
      <c r="AN1515" s="17">
        <f>IF(AND($E1515="Entrada",$W1515&gt;0,$C1515&lt;&gt;""),$C1515+ROW()/1000000,"")</f>
        <v/>
      </c>
      <c r="AO1515" s="9">
        <f>IF(COUNTA($B1515:$R1515)=0,"",IF(AND($I1515&lt;&gt;"",COUNTIF(CLIENTES_NOMES,$I1515)+COUNTIF(CLIENTES_FANTASIA,$I1515)+COUNTIF(FORNECEDORES_NOMES,$I1515)+COUNTIF(FORNECEDORES_FANTASIA,$I1515)=0),"⚠ Cliente/Fornecedor não cadastrado",IF(AND($G1515&lt;&gt;"",COUNTIF(SUBCATEGORIAS_PLANO,$G1515)=0),"⚠ Subcategoria fora do plano de contas",IF(OR($Q1515="",N($Q1515)=0),"⚠ Valor previsto não informado",IF(AND(OR($X1515="Pago",$X1515="Recebido"),$D1515=""),"⚠ Status pago/recebido sem data",IF(AND($D1515&lt;&gt;"",N($R1515)=0),"⚠ Data de pagamento sem valor realizado",IF(AND(N($P1515)&gt;1,N($O1515)&gt;N($P1515)),"⚠ Nº da parcela maior que o total",IF(AND($C1515&lt;&gt;"",$B1515&lt;&gt;"",$C1515&lt;$B1515),"⚠ Vencimento anterior à competência","OK"))))))))</f>
        <v/>
      </c>
    </row>
    <row r="1516">
      <c r="A1516" s="14" t="n"/>
      <c r="B1516" s="36" t="n"/>
      <c r="C1516" s="36" t="n"/>
      <c r="D1516" s="36" t="n"/>
      <c r="E1516" s="14" t="n"/>
      <c r="F1516" s="29" t="n"/>
      <c r="G1516" s="29" t="n"/>
      <c r="H1516" s="29" t="n"/>
      <c r="I1516" s="29" t="n"/>
      <c r="J1516" s="29" t="n"/>
      <c r="K1516" s="14" t="n"/>
      <c r="L1516" s="29" t="n"/>
      <c r="M1516" s="14" t="n"/>
      <c r="N1516" s="29" t="n"/>
      <c r="O1516" s="13" t="n"/>
      <c r="P1516" s="13" t="n"/>
      <c r="Q1516" s="35" t="n"/>
      <c r="R1516" s="35" t="n"/>
      <c r="S1516" s="35" t="n"/>
      <c r="T1516" s="35" t="n"/>
      <c r="U1516" s="35" t="n"/>
      <c r="V1516" s="18">
        <f>IF(COUNTA($B1516:$R1516)=0,"",ROUND(N($R1516)+N($S1516)+N($T1516)-N($U1516),2))</f>
        <v/>
      </c>
      <c r="W1516" s="18">
        <f>IF(COUNTA($B1516:$R1516)=0,"",IF(OR($X1516="Pago",$X1516="Recebido",$X1516="Cancelado"),0,ROUND(N($Q1516)+N($S1516)+N($T1516)-N($U1516)-N($R1516),2)))</f>
        <v/>
      </c>
      <c r="X1516" s="14" t="n"/>
      <c r="Y1516" s="17">
        <f>IF(COUNTA($B1516:$R1516)=0,"",IF($X1516="Cancelado","Cancelado",IF(OR($X1516="Pago",$X1516="Recebido"),$X1516,IF(OR($X1516="Parcial",N($R1516)&gt;0),"Parcial",IF($C1516="","Sem vencimento",IF($C1516&lt;TODAY(),"Vencido",IF($C1516=TODAY(),"Vence hoje",IF($C1516&lt;=TODAY()+7,"Vence em 7 dias",IF($C1516&lt;=TODAY()+30,"Vence em 30 dias","Futuro")))))))))</f>
        <v/>
      </c>
      <c r="Z1516" s="24">
        <f>IF($B1516="","",MONTH($B1516))</f>
        <v/>
      </c>
      <c r="AA1516" s="24">
        <f>IF($B1516="","",YEAR($B1516))</f>
        <v/>
      </c>
      <c r="AB1516" s="24">
        <f>IF($B1516="","",ISOWEEKNUM($B1516))</f>
        <v/>
      </c>
      <c r="AC1516" s="17">
        <f>IF($B1516="","",CHOOSE(WEEKDAY($B1516,2),"Segunda","Terça","Quarta","Quinta","Sexta","Sábado","Domingo"))</f>
        <v/>
      </c>
      <c r="AD1516" s="17">
        <f>IF($B1516="","",TEXT($B1516,"MM/AAAA"))</f>
        <v/>
      </c>
      <c r="AE1516" s="18">
        <f>IF(COUNTA($B1516:$R1516)=0,"",IF($X1516="Cancelado",0,ROUND(N($Q1516)+N($S1516)+N($T1516)-N($U1516),2)))</f>
        <v/>
      </c>
      <c r="AF1516" s="9">
        <f>IF($G1516="","",IFERROR(INDEX(LINHAS_DRE_PLANO,MATCH($G1516,SUBCATEGORIAS_PLANO,0)),"Não classificado"))</f>
        <v/>
      </c>
      <c r="AG1516" s="17">
        <f>IF($G1516="","",IFERROR(INDEX(TIPOS_FLUXO_PLANO,MATCH($G1516,SUBCATEGORIAS_PLANO,0)),"Não classificado"))</f>
        <v/>
      </c>
      <c r="AH1516" s="9">
        <f>IF($G1516="","",IFERROR(INDEX(GRUPOS_PLANO,MATCH($G1516,SUBCATEGORIAS_PLANO,0)),"Não classificado"))</f>
        <v/>
      </c>
      <c r="AI1516" s="24">
        <f>IF(OR($C1516="",$X1516="Pago",$X1516="Recebido",$X1516="Cancelado"),"",$C1516-TODAY())</f>
        <v/>
      </c>
      <c r="AJ1516" s="24">
        <f>IF(OR($C1516="",$X1516="Pago",$X1516="Recebido",$X1516="Cancelado"),0,MAX(0,TODAY()-$C1516))</f>
        <v/>
      </c>
      <c r="AK1516" s="24">
        <f>IF($D1516="","",$D1516-$B1516)</f>
        <v/>
      </c>
      <c r="AL1516" s="18">
        <f>IF(OR($D1516="",$B1516=""),"",ROUND(N($R1516)*($D1516-$B1516),2))</f>
        <v/>
      </c>
      <c r="AM1516" s="17">
        <f>IF(AND($E1516="Saída",$W1516&gt;0,$C1516&lt;&gt;""),$C1516+ROW()/1000000,"")</f>
        <v/>
      </c>
      <c r="AN1516" s="17">
        <f>IF(AND($E1516="Entrada",$W1516&gt;0,$C1516&lt;&gt;""),$C1516+ROW()/1000000,"")</f>
        <v/>
      </c>
      <c r="AO1516" s="9">
        <f>IF(COUNTA($B1516:$R1516)=0,"",IF(AND($I1516&lt;&gt;"",COUNTIF(CLIENTES_NOMES,$I1516)+COUNTIF(CLIENTES_FANTASIA,$I1516)+COUNTIF(FORNECEDORES_NOMES,$I1516)+COUNTIF(FORNECEDORES_FANTASIA,$I1516)=0),"⚠ Cliente/Fornecedor não cadastrado",IF(AND($G1516&lt;&gt;"",COUNTIF(SUBCATEGORIAS_PLANO,$G1516)=0),"⚠ Subcategoria fora do plano de contas",IF(OR($Q1516="",N($Q1516)=0),"⚠ Valor previsto não informado",IF(AND(OR($X1516="Pago",$X1516="Recebido"),$D1516=""),"⚠ Status pago/recebido sem data",IF(AND($D1516&lt;&gt;"",N($R1516)=0),"⚠ Data de pagamento sem valor realizado",IF(AND(N($P1516)&gt;1,N($O1516)&gt;N($P1516)),"⚠ Nº da parcela maior que o total",IF(AND($C1516&lt;&gt;"",$B1516&lt;&gt;"",$C1516&lt;$B1516),"⚠ Vencimento anterior à competência","OK"))))))))</f>
        <v/>
      </c>
    </row>
    <row r="1517">
      <c r="A1517" s="14" t="n"/>
      <c r="B1517" s="36" t="n"/>
      <c r="C1517" s="36" t="n"/>
      <c r="D1517" s="36" t="n"/>
      <c r="E1517" s="14" t="n"/>
      <c r="F1517" s="29" t="n"/>
      <c r="G1517" s="29" t="n"/>
      <c r="H1517" s="29" t="n"/>
      <c r="I1517" s="29" t="n"/>
      <c r="J1517" s="29" t="n"/>
      <c r="K1517" s="14" t="n"/>
      <c r="L1517" s="29" t="n"/>
      <c r="M1517" s="14" t="n"/>
      <c r="N1517" s="29" t="n"/>
      <c r="O1517" s="13" t="n"/>
      <c r="P1517" s="13" t="n"/>
      <c r="Q1517" s="35" t="n"/>
      <c r="R1517" s="35" t="n"/>
      <c r="S1517" s="35" t="n"/>
      <c r="T1517" s="35" t="n"/>
      <c r="U1517" s="35" t="n"/>
      <c r="V1517" s="18">
        <f>IF(COUNTA($B1517:$R1517)=0,"",ROUND(N($R1517)+N($S1517)+N($T1517)-N($U1517),2))</f>
        <v/>
      </c>
      <c r="W1517" s="18">
        <f>IF(COUNTA($B1517:$R1517)=0,"",IF(OR($X1517="Pago",$X1517="Recebido",$X1517="Cancelado"),0,ROUND(N($Q1517)+N($S1517)+N($T1517)-N($U1517)-N($R1517),2)))</f>
        <v/>
      </c>
      <c r="X1517" s="14" t="n"/>
      <c r="Y1517" s="17">
        <f>IF(COUNTA($B1517:$R1517)=0,"",IF($X1517="Cancelado","Cancelado",IF(OR($X1517="Pago",$X1517="Recebido"),$X1517,IF(OR($X1517="Parcial",N($R1517)&gt;0),"Parcial",IF($C1517="","Sem vencimento",IF($C1517&lt;TODAY(),"Vencido",IF($C1517=TODAY(),"Vence hoje",IF($C1517&lt;=TODAY()+7,"Vence em 7 dias",IF($C1517&lt;=TODAY()+30,"Vence em 30 dias","Futuro")))))))))</f>
        <v/>
      </c>
      <c r="Z1517" s="24">
        <f>IF($B1517="","",MONTH($B1517))</f>
        <v/>
      </c>
      <c r="AA1517" s="24">
        <f>IF($B1517="","",YEAR($B1517))</f>
        <v/>
      </c>
      <c r="AB1517" s="24">
        <f>IF($B1517="","",ISOWEEKNUM($B1517))</f>
        <v/>
      </c>
      <c r="AC1517" s="17">
        <f>IF($B1517="","",CHOOSE(WEEKDAY($B1517,2),"Segunda","Terça","Quarta","Quinta","Sexta","Sábado","Domingo"))</f>
        <v/>
      </c>
      <c r="AD1517" s="17">
        <f>IF($B1517="","",TEXT($B1517,"MM/AAAA"))</f>
        <v/>
      </c>
      <c r="AE1517" s="18">
        <f>IF(COUNTA($B1517:$R1517)=0,"",IF($X1517="Cancelado",0,ROUND(N($Q1517)+N($S1517)+N($T1517)-N($U1517),2)))</f>
        <v/>
      </c>
      <c r="AF1517" s="9">
        <f>IF($G1517="","",IFERROR(INDEX(LINHAS_DRE_PLANO,MATCH($G1517,SUBCATEGORIAS_PLANO,0)),"Não classificado"))</f>
        <v/>
      </c>
      <c r="AG1517" s="17">
        <f>IF($G1517="","",IFERROR(INDEX(TIPOS_FLUXO_PLANO,MATCH($G1517,SUBCATEGORIAS_PLANO,0)),"Não classificado"))</f>
        <v/>
      </c>
      <c r="AH1517" s="9">
        <f>IF($G1517="","",IFERROR(INDEX(GRUPOS_PLANO,MATCH($G1517,SUBCATEGORIAS_PLANO,0)),"Não classificado"))</f>
        <v/>
      </c>
      <c r="AI1517" s="24">
        <f>IF(OR($C1517="",$X1517="Pago",$X1517="Recebido",$X1517="Cancelado"),"",$C1517-TODAY())</f>
        <v/>
      </c>
      <c r="AJ1517" s="24">
        <f>IF(OR($C1517="",$X1517="Pago",$X1517="Recebido",$X1517="Cancelado"),0,MAX(0,TODAY()-$C1517))</f>
        <v/>
      </c>
      <c r="AK1517" s="24">
        <f>IF($D1517="","",$D1517-$B1517)</f>
        <v/>
      </c>
      <c r="AL1517" s="18">
        <f>IF(OR($D1517="",$B1517=""),"",ROUND(N($R1517)*($D1517-$B1517),2))</f>
        <v/>
      </c>
      <c r="AM1517" s="17">
        <f>IF(AND($E1517="Saída",$W1517&gt;0,$C1517&lt;&gt;""),$C1517+ROW()/1000000,"")</f>
        <v/>
      </c>
      <c r="AN1517" s="17">
        <f>IF(AND($E1517="Entrada",$W1517&gt;0,$C1517&lt;&gt;""),$C1517+ROW()/1000000,"")</f>
        <v/>
      </c>
      <c r="AO1517" s="9">
        <f>IF(COUNTA($B1517:$R1517)=0,"",IF(AND($I1517&lt;&gt;"",COUNTIF(CLIENTES_NOMES,$I1517)+COUNTIF(CLIENTES_FANTASIA,$I1517)+COUNTIF(FORNECEDORES_NOMES,$I1517)+COUNTIF(FORNECEDORES_FANTASIA,$I1517)=0),"⚠ Cliente/Fornecedor não cadastrado",IF(AND($G1517&lt;&gt;"",COUNTIF(SUBCATEGORIAS_PLANO,$G1517)=0),"⚠ Subcategoria fora do plano de contas",IF(OR($Q1517="",N($Q1517)=0),"⚠ Valor previsto não informado",IF(AND(OR($X1517="Pago",$X1517="Recebido"),$D1517=""),"⚠ Status pago/recebido sem data",IF(AND($D1517&lt;&gt;"",N($R1517)=0),"⚠ Data de pagamento sem valor realizado",IF(AND(N($P1517)&gt;1,N($O1517)&gt;N($P1517)),"⚠ Nº da parcela maior que o total",IF(AND($C1517&lt;&gt;"",$B1517&lt;&gt;"",$C1517&lt;$B1517),"⚠ Vencimento anterior à competência","OK"))))))))</f>
        <v/>
      </c>
    </row>
    <row r="1518">
      <c r="A1518" s="14" t="n"/>
      <c r="B1518" s="36" t="n"/>
      <c r="C1518" s="36" t="n"/>
      <c r="D1518" s="36" t="n"/>
      <c r="E1518" s="14" t="n"/>
      <c r="F1518" s="29" t="n"/>
      <c r="G1518" s="29" t="n"/>
      <c r="H1518" s="29" t="n"/>
      <c r="I1518" s="29" t="n"/>
      <c r="J1518" s="29" t="n"/>
      <c r="K1518" s="14" t="n"/>
      <c r="L1518" s="29" t="n"/>
      <c r="M1518" s="14" t="n"/>
      <c r="N1518" s="29" t="n"/>
      <c r="O1518" s="13" t="n"/>
      <c r="P1518" s="13" t="n"/>
      <c r="Q1518" s="35" t="n"/>
      <c r="R1518" s="35" t="n"/>
      <c r="S1518" s="35" t="n"/>
      <c r="T1518" s="35" t="n"/>
      <c r="U1518" s="35" t="n"/>
      <c r="V1518" s="18">
        <f>IF(COUNTA($B1518:$R1518)=0,"",ROUND(N($R1518)+N($S1518)+N($T1518)-N($U1518),2))</f>
        <v/>
      </c>
      <c r="W1518" s="18">
        <f>IF(COUNTA($B1518:$R1518)=0,"",IF(OR($X1518="Pago",$X1518="Recebido",$X1518="Cancelado"),0,ROUND(N($Q1518)+N($S1518)+N($T1518)-N($U1518)-N($R1518),2)))</f>
        <v/>
      </c>
      <c r="X1518" s="14" t="n"/>
      <c r="Y1518" s="17">
        <f>IF(COUNTA($B1518:$R1518)=0,"",IF($X1518="Cancelado","Cancelado",IF(OR($X1518="Pago",$X1518="Recebido"),$X1518,IF(OR($X1518="Parcial",N($R1518)&gt;0),"Parcial",IF($C1518="","Sem vencimento",IF($C1518&lt;TODAY(),"Vencido",IF($C1518=TODAY(),"Vence hoje",IF($C1518&lt;=TODAY()+7,"Vence em 7 dias",IF($C1518&lt;=TODAY()+30,"Vence em 30 dias","Futuro")))))))))</f>
        <v/>
      </c>
      <c r="Z1518" s="24">
        <f>IF($B1518="","",MONTH($B1518))</f>
        <v/>
      </c>
      <c r="AA1518" s="24">
        <f>IF($B1518="","",YEAR($B1518))</f>
        <v/>
      </c>
      <c r="AB1518" s="24">
        <f>IF($B1518="","",ISOWEEKNUM($B1518))</f>
        <v/>
      </c>
      <c r="AC1518" s="17">
        <f>IF($B1518="","",CHOOSE(WEEKDAY($B1518,2),"Segunda","Terça","Quarta","Quinta","Sexta","Sábado","Domingo"))</f>
        <v/>
      </c>
      <c r="AD1518" s="17">
        <f>IF($B1518="","",TEXT($B1518,"MM/AAAA"))</f>
        <v/>
      </c>
      <c r="AE1518" s="18">
        <f>IF(COUNTA($B1518:$R1518)=0,"",IF($X1518="Cancelado",0,ROUND(N($Q1518)+N($S1518)+N($T1518)-N($U1518),2)))</f>
        <v/>
      </c>
      <c r="AF1518" s="9">
        <f>IF($G1518="","",IFERROR(INDEX(LINHAS_DRE_PLANO,MATCH($G1518,SUBCATEGORIAS_PLANO,0)),"Não classificado"))</f>
        <v/>
      </c>
      <c r="AG1518" s="17">
        <f>IF($G1518="","",IFERROR(INDEX(TIPOS_FLUXO_PLANO,MATCH($G1518,SUBCATEGORIAS_PLANO,0)),"Não classificado"))</f>
        <v/>
      </c>
      <c r="AH1518" s="9">
        <f>IF($G1518="","",IFERROR(INDEX(GRUPOS_PLANO,MATCH($G1518,SUBCATEGORIAS_PLANO,0)),"Não classificado"))</f>
        <v/>
      </c>
      <c r="AI1518" s="24">
        <f>IF(OR($C1518="",$X1518="Pago",$X1518="Recebido",$X1518="Cancelado"),"",$C1518-TODAY())</f>
        <v/>
      </c>
      <c r="AJ1518" s="24">
        <f>IF(OR($C1518="",$X1518="Pago",$X1518="Recebido",$X1518="Cancelado"),0,MAX(0,TODAY()-$C1518))</f>
        <v/>
      </c>
      <c r="AK1518" s="24">
        <f>IF($D1518="","",$D1518-$B1518)</f>
        <v/>
      </c>
      <c r="AL1518" s="18">
        <f>IF(OR($D1518="",$B1518=""),"",ROUND(N($R1518)*($D1518-$B1518),2))</f>
        <v/>
      </c>
      <c r="AM1518" s="17">
        <f>IF(AND($E1518="Saída",$W1518&gt;0,$C1518&lt;&gt;""),$C1518+ROW()/1000000,"")</f>
        <v/>
      </c>
      <c r="AN1518" s="17">
        <f>IF(AND($E1518="Entrada",$W1518&gt;0,$C1518&lt;&gt;""),$C1518+ROW()/1000000,"")</f>
        <v/>
      </c>
      <c r="AO1518" s="9">
        <f>IF(COUNTA($B1518:$R1518)=0,"",IF(AND($I1518&lt;&gt;"",COUNTIF(CLIENTES_NOMES,$I1518)+COUNTIF(CLIENTES_FANTASIA,$I1518)+COUNTIF(FORNECEDORES_NOMES,$I1518)+COUNTIF(FORNECEDORES_FANTASIA,$I1518)=0),"⚠ Cliente/Fornecedor não cadastrado",IF(AND($G1518&lt;&gt;"",COUNTIF(SUBCATEGORIAS_PLANO,$G1518)=0),"⚠ Subcategoria fora do plano de contas",IF(OR($Q1518="",N($Q1518)=0),"⚠ Valor previsto não informado",IF(AND(OR($X1518="Pago",$X1518="Recebido"),$D1518=""),"⚠ Status pago/recebido sem data",IF(AND($D1518&lt;&gt;"",N($R1518)=0),"⚠ Data de pagamento sem valor realizado",IF(AND(N($P1518)&gt;1,N($O1518)&gt;N($P1518)),"⚠ Nº da parcela maior que o total",IF(AND($C1518&lt;&gt;"",$B1518&lt;&gt;"",$C1518&lt;$B1518),"⚠ Vencimento anterior à competência","OK"))))))))</f>
        <v/>
      </c>
    </row>
    <row r="1519">
      <c r="A1519" s="14" t="n"/>
      <c r="B1519" s="36" t="n"/>
      <c r="C1519" s="36" t="n"/>
      <c r="D1519" s="36" t="n"/>
      <c r="E1519" s="14" t="n"/>
      <c r="F1519" s="29" t="n"/>
      <c r="G1519" s="29" t="n"/>
      <c r="H1519" s="29" t="n"/>
      <c r="I1519" s="29" t="n"/>
      <c r="J1519" s="29" t="n"/>
      <c r="K1519" s="14" t="n"/>
      <c r="L1519" s="29" t="n"/>
      <c r="M1519" s="14" t="n"/>
      <c r="N1519" s="29" t="n"/>
      <c r="O1519" s="13" t="n"/>
      <c r="P1519" s="13" t="n"/>
      <c r="Q1519" s="35" t="n"/>
      <c r="R1519" s="35" t="n"/>
      <c r="S1519" s="35" t="n"/>
      <c r="T1519" s="35" t="n"/>
      <c r="U1519" s="35" t="n"/>
      <c r="V1519" s="18">
        <f>IF(COUNTA($B1519:$R1519)=0,"",ROUND(N($R1519)+N($S1519)+N($T1519)-N($U1519),2))</f>
        <v/>
      </c>
      <c r="W1519" s="18">
        <f>IF(COUNTA($B1519:$R1519)=0,"",IF(OR($X1519="Pago",$X1519="Recebido",$X1519="Cancelado"),0,ROUND(N($Q1519)+N($S1519)+N($T1519)-N($U1519)-N($R1519),2)))</f>
        <v/>
      </c>
      <c r="X1519" s="14" t="n"/>
      <c r="Y1519" s="17">
        <f>IF(COUNTA($B1519:$R1519)=0,"",IF($X1519="Cancelado","Cancelado",IF(OR($X1519="Pago",$X1519="Recebido"),$X1519,IF(OR($X1519="Parcial",N($R1519)&gt;0),"Parcial",IF($C1519="","Sem vencimento",IF($C1519&lt;TODAY(),"Vencido",IF($C1519=TODAY(),"Vence hoje",IF($C1519&lt;=TODAY()+7,"Vence em 7 dias",IF($C1519&lt;=TODAY()+30,"Vence em 30 dias","Futuro")))))))))</f>
        <v/>
      </c>
      <c r="Z1519" s="24">
        <f>IF($B1519="","",MONTH($B1519))</f>
        <v/>
      </c>
      <c r="AA1519" s="24">
        <f>IF($B1519="","",YEAR($B1519))</f>
        <v/>
      </c>
      <c r="AB1519" s="24">
        <f>IF($B1519="","",ISOWEEKNUM($B1519))</f>
        <v/>
      </c>
      <c r="AC1519" s="17">
        <f>IF($B1519="","",CHOOSE(WEEKDAY($B1519,2),"Segunda","Terça","Quarta","Quinta","Sexta","Sábado","Domingo"))</f>
        <v/>
      </c>
      <c r="AD1519" s="17">
        <f>IF($B1519="","",TEXT($B1519,"MM/AAAA"))</f>
        <v/>
      </c>
      <c r="AE1519" s="18">
        <f>IF(COUNTA($B1519:$R1519)=0,"",IF($X1519="Cancelado",0,ROUND(N($Q1519)+N($S1519)+N($T1519)-N($U1519),2)))</f>
        <v/>
      </c>
      <c r="AF1519" s="9">
        <f>IF($G1519="","",IFERROR(INDEX(LINHAS_DRE_PLANO,MATCH($G1519,SUBCATEGORIAS_PLANO,0)),"Não classificado"))</f>
        <v/>
      </c>
      <c r="AG1519" s="17">
        <f>IF($G1519="","",IFERROR(INDEX(TIPOS_FLUXO_PLANO,MATCH($G1519,SUBCATEGORIAS_PLANO,0)),"Não classificado"))</f>
        <v/>
      </c>
      <c r="AH1519" s="9">
        <f>IF($G1519="","",IFERROR(INDEX(GRUPOS_PLANO,MATCH($G1519,SUBCATEGORIAS_PLANO,0)),"Não classificado"))</f>
        <v/>
      </c>
      <c r="AI1519" s="24">
        <f>IF(OR($C1519="",$X1519="Pago",$X1519="Recebido",$X1519="Cancelado"),"",$C1519-TODAY())</f>
        <v/>
      </c>
      <c r="AJ1519" s="24">
        <f>IF(OR($C1519="",$X1519="Pago",$X1519="Recebido",$X1519="Cancelado"),0,MAX(0,TODAY()-$C1519))</f>
        <v/>
      </c>
      <c r="AK1519" s="24">
        <f>IF($D1519="","",$D1519-$B1519)</f>
        <v/>
      </c>
      <c r="AL1519" s="18">
        <f>IF(OR($D1519="",$B1519=""),"",ROUND(N($R1519)*($D1519-$B1519),2))</f>
        <v/>
      </c>
      <c r="AM1519" s="17">
        <f>IF(AND($E1519="Saída",$W1519&gt;0,$C1519&lt;&gt;""),$C1519+ROW()/1000000,"")</f>
        <v/>
      </c>
      <c r="AN1519" s="17">
        <f>IF(AND($E1519="Entrada",$W1519&gt;0,$C1519&lt;&gt;""),$C1519+ROW()/1000000,"")</f>
        <v/>
      </c>
      <c r="AO1519" s="9">
        <f>IF(COUNTA($B1519:$R1519)=0,"",IF(AND($I1519&lt;&gt;"",COUNTIF(CLIENTES_NOMES,$I1519)+COUNTIF(CLIENTES_FANTASIA,$I1519)+COUNTIF(FORNECEDORES_NOMES,$I1519)+COUNTIF(FORNECEDORES_FANTASIA,$I1519)=0),"⚠ Cliente/Fornecedor não cadastrado",IF(AND($G1519&lt;&gt;"",COUNTIF(SUBCATEGORIAS_PLANO,$G1519)=0),"⚠ Subcategoria fora do plano de contas",IF(OR($Q1519="",N($Q1519)=0),"⚠ Valor previsto não informado",IF(AND(OR($X1519="Pago",$X1519="Recebido"),$D1519=""),"⚠ Status pago/recebido sem data",IF(AND($D1519&lt;&gt;"",N($R1519)=0),"⚠ Data de pagamento sem valor realizado",IF(AND(N($P1519)&gt;1,N($O1519)&gt;N($P1519)),"⚠ Nº da parcela maior que o total",IF(AND($C1519&lt;&gt;"",$B1519&lt;&gt;"",$C1519&lt;$B1519),"⚠ Vencimento anterior à competência","OK"))))))))</f>
        <v/>
      </c>
    </row>
    <row r="1520">
      <c r="A1520" s="14" t="n"/>
      <c r="B1520" s="36" t="n"/>
      <c r="C1520" s="36" t="n"/>
      <c r="D1520" s="36" t="n"/>
      <c r="E1520" s="14" t="n"/>
      <c r="F1520" s="29" t="n"/>
      <c r="G1520" s="29" t="n"/>
      <c r="H1520" s="29" t="n"/>
      <c r="I1520" s="29" t="n"/>
      <c r="J1520" s="29" t="n"/>
      <c r="K1520" s="14" t="n"/>
      <c r="L1520" s="29" t="n"/>
      <c r="M1520" s="14" t="n"/>
      <c r="N1520" s="29" t="n"/>
      <c r="O1520" s="13" t="n"/>
      <c r="P1520" s="13" t="n"/>
      <c r="Q1520" s="35" t="n"/>
      <c r="R1520" s="35" t="n"/>
      <c r="S1520" s="35" t="n"/>
      <c r="T1520" s="35" t="n"/>
      <c r="U1520" s="35" t="n"/>
      <c r="V1520" s="18">
        <f>IF(COUNTA($B1520:$R1520)=0,"",ROUND(N($R1520)+N($S1520)+N($T1520)-N($U1520),2))</f>
        <v/>
      </c>
      <c r="W1520" s="18">
        <f>IF(COUNTA($B1520:$R1520)=0,"",IF(OR($X1520="Pago",$X1520="Recebido",$X1520="Cancelado"),0,ROUND(N($Q1520)+N($S1520)+N($T1520)-N($U1520)-N($R1520),2)))</f>
        <v/>
      </c>
      <c r="X1520" s="14" t="n"/>
      <c r="Y1520" s="17">
        <f>IF(COUNTA($B1520:$R1520)=0,"",IF($X1520="Cancelado","Cancelado",IF(OR($X1520="Pago",$X1520="Recebido"),$X1520,IF(OR($X1520="Parcial",N($R1520)&gt;0),"Parcial",IF($C1520="","Sem vencimento",IF($C1520&lt;TODAY(),"Vencido",IF($C1520=TODAY(),"Vence hoje",IF($C1520&lt;=TODAY()+7,"Vence em 7 dias",IF($C1520&lt;=TODAY()+30,"Vence em 30 dias","Futuro")))))))))</f>
        <v/>
      </c>
      <c r="Z1520" s="24">
        <f>IF($B1520="","",MONTH($B1520))</f>
        <v/>
      </c>
      <c r="AA1520" s="24">
        <f>IF($B1520="","",YEAR($B1520))</f>
        <v/>
      </c>
      <c r="AB1520" s="24">
        <f>IF($B1520="","",ISOWEEKNUM($B1520))</f>
        <v/>
      </c>
      <c r="AC1520" s="17">
        <f>IF($B1520="","",CHOOSE(WEEKDAY($B1520,2),"Segunda","Terça","Quarta","Quinta","Sexta","Sábado","Domingo"))</f>
        <v/>
      </c>
      <c r="AD1520" s="17">
        <f>IF($B1520="","",TEXT($B1520,"MM/AAAA"))</f>
        <v/>
      </c>
      <c r="AE1520" s="18">
        <f>IF(COUNTA($B1520:$R1520)=0,"",IF($X1520="Cancelado",0,ROUND(N($Q1520)+N($S1520)+N($T1520)-N($U1520),2)))</f>
        <v/>
      </c>
      <c r="AF1520" s="9">
        <f>IF($G1520="","",IFERROR(INDEX(LINHAS_DRE_PLANO,MATCH($G1520,SUBCATEGORIAS_PLANO,0)),"Não classificado"))</f>
        <v/>
      </c>
      <c r="AG1520" s="17">
        <f>IF($G1520="","",IFERROR(INDEX(TIPOS_FLUXO_PLANO,MATCH($G1520,SUBCATEGORIAS_PLANO,0)),"Não classificado"))</f>
        <v/>
      </c>
      <c r="AH1520" s="9">
        <f>IF($G1520="","",IFERROR(INDEX(GRUPOS_PLANO,MATCH($G1520,SUBCATEGORIAS_PLANO,0)),"Não classificado"))</f>
        <v/>
      </c>
      <c r="AI1520" s="24">
        <f>IF(OR($C1520="",$X1520="Pago",$X1520="Recebido",$X1520="Cancelado"),"",$C1520-TODAY())</f>
        <v/>
      </c>
      <c r="AJ1520" s="24">
        <f>IF(OR($C1520="",$X1520="Pago",$X1520="Recebido",$X1520="Cancelado"),0,MAX(0,TODAY()-$C1520))</f>
        <v/>
      </c>
      <c r="AK1520" s="24">
        <f>IF($D1520="","",$D1520-$B1520)</f>
        <v/>
      </c>
      <c r="AL1520" s="18">
        <f>IF(OR($D1520="",$B1520=""),"",ROUND(N($R1520)*($D1520-$B1520),2))</f>
        <v/>
      </c>
      <c r="AM1520" s="17">
        <f>IF(AND($E1520="Saída",$W1520&gt;0,$C1520&lt;&gt;""),$C1520+ROW()/1000000,"")</f>
        <v/>
      </c>
      <c r="AN1520" s="17">
        <f>IF(AND($E1520="Entrada",$W1520&gt;0,$C1520&lt;&gt;""),$C1520+ROW()/1000000,"")</f>
        <v/>
      </c>
      <c r="AO1520" s="9">
        <f>IF(COUNTA($B1520:$R1520)=0,"",IF(AND($I1520&lt;&gt;"",COUNTIF(CLIENTES_NOMES,$I1520)+COUNTIF(CLIENTES_FANTASIA,$I1520)+COUNTIF(FORNECEDORES_NOMES,$I1520)+COUNTIF(FORNECEDORES_FANTASIA,$I1520)=0),"⚠ Cliente/Fornecedor não cadastrado",IF(AND($G1520&lt;&gt;"",COUNTIF(SUBCATEGORIAS_PLANO,$G1520)=0),"⚠ Subcategoria fora do plano de contas",IF(OR($Q1520="",N($Q1520)=0),"⚠ Valor previsto não informado",IF(AND(OR($X1520="Pago",$X1520="Recebido"),$D1520=""),"⚠ Status pago/recebido sem data",IF(AND($D1520&lt;&gt;"",N($R1520)=0),"⚠ Data de pagamento sem valor realizado",IF(AND(N($P1520)&gt;1,N($O1520)&gt;N($P1520)),"⚠ Nº da parcela maior que o total",IF(AND($C1520&lt;&gt;"",$B1520&lt;&gt;"",$C1520&lt;$B1520),"⚠ Vencimento anterior à competência","OK"))))))))</f>
        <v/>
      </c>
    </row>
    <row r="1521">
      <c r="A1521" s="14" t="n"/>
      <c r="B1521" s="36" t="n"/>
      <c r="C1521" s="36" t="n"/>
      <c r="D1521" s="36" t="n"/>
      <c r="E1521" s="14" t="n"/>
      <c r="F1521" s="29" t="n"/>
      <c r="G1521" s="29" t="n"/>
      <c r="H1521" s="29" t="n"/>
      <c r="I1521" s="29" t="n"/>
      <c r="J1521" s="29" t="n"/>
      <c r="K1521" s="14" t="n"/>
      <c r="L1521" s="29" t="n"/>
      <c r="M1521" s="14" t="n"/>
      <c r="N1521" s="29" t="n"/>
      <c r="O1521" s="13" t="n"/>
      <c r="P1521" s="13" t="n"/>
      <c r="Q1521" s="35" t="n"/>
      <c r="R1521" s="35" t="n"/>
      <c r="S1521" s="35" t="n"/>
      <c r="T1521" s="35" t="n"/>
      <c r="U1521" s="35" t="n"/>
      <c r="V1521" s="18">
        <f>IF(COUNTA($B1521:$R1521)=0,"",ROUND(N($R1521)+N($S1521)+N($T1521)-N($U1521),2))</f>
        <v/>
      </c>
      <c r="W1521" s="18">
        <f>IF(COUNTA($B1521:$R1521)=0,"",IF(OR($X1521="Pago",$X1521="Recebido",$X1521="Cancelado"),0,ROUND(N($Q1521)+N($S1521)+N($T1521)-N($U1521)-N($R1521),2)))</f>
        <v/>
      </c>
      <c r="X1521" s="14" t="n"/>
      <c r="Y1521" s="17">
        <f>IF(COUNTA($B1521:$R1521)=0,"",IF($X1521="Cancelado","Cancelado",IF(OR($X1521="Pago",$X1521="Recebido"),$X1521,IF(OR($X1521="Parcial",N($R1521)&gt;0),"Parcial",IF($C1521="","Sem vencimento",IF($C1521&lt;TODAY(),"Vencido",IF($C1521=TODAY(),"Vence hoje",IF($C1521&lt;=TODAY()+7,"Vence em 7 dias",IF($C1521&lt;=TODAY()+30,"Vence em 30 dias","Futuro")))))))))</f>
        <v/>
      </c>
      <c r="Z1521" s="24">
        <f>IF($B1521="","",MONTH($B1521))</f>
        <v/>
      </c>
      <c r="AA1521" s="24">
        <f>IF($B1521="","",YEAR($B1521))</f>
        <v/>
      </c>
      <c r="AB1521" s="24">
        <f>IF($B1521="","",ISOWEEKNUM($B1521))</f>
        <v/>
      </c>
      <c r="AC1521" s="17">
        <f>IF($B1521="","",CHOOSE(WEEKDAY($B1521,2),"Segunda","Terça","Quarta","Quinta","Sexta","Sábado","Domingo"))</f>
        <v/>
      </c>
      <c r="AD1521" s="17">
        <f>IF($B1521="","",TEXT($B1521,"MM/AAAA"))</f>
        <v/>
      </c>
      <c r="AE1521" s="18">
        <f>IF(COUNTA($B1521:$R1521)=0,"",IF($X1521="Cancelado",0,ROUND(N($Q1521)+N($S1521)+N($T1521)-N($U1521),2)))</f>
        <v/>
      </c>
      <c r="AF1521" s="9">
        <f>IF($G1521="","",IFERROR(INDEX(LINHAS_DRE_PLANO,MATCH($G1521,SUBCATEGORIAS_PLANO,0)),"Não classificado"))</f>
        <v/>
      </c>
      <c r="AG1521" s="17">
        <f>IF($G1521="","",IFERROR(INDEX(TIPOS_FLUXO_PLANO,MATCH($G1521,SUBCATEGORIAS_PLANO,0)),"Não classificado"))</f>
        <v/>
      </c>
      <c r="AH1521" s="9">
        <f>IF($G1521="","",IFERROR(INDEX(GRUPOS_PLANO,MATCH($G1521,SUBCATEGORIAS_PLANO,0)),"Não classificado"))</f>
        <v/>
      </c>
      <c r="AI1521" s="24">
        <f>IF(OR($C1521="",$X1521="Pago",$X1521="Recebido",$X1521="Cancelado"),"",$C1521-TODAY())</f>
        <v/>
      </c>
      <c r="AJ1521" s="24">
        <f>IF(OR($C1521="",$X1521="Pago",$X1521="Recebido",$X1521="Cancelado"),0,MAX(0,TODAY()-$C1521))</f>
        <v/>
      </c>
      <c r="AK1521" s="24">
        <f>IF($D1521="","",$D1521-$B1521)</f>
        <v/>
      </c>
      <c r="AL1521" s="18">
        <f>IF(OR($D1521="",$B1521=""),"",ROUND(N($R1521)*($D1521-$B1521),2))</f>
        <v/>
      </c>
      <c r="AM1521" s="17">
        <f>IF(AND($E1521="Saída",$W1521&gt;0,$C1521&lt;&gt;""),$C1521+ROW()/1000000,"")</f>
        <v/>
      </c>
      <c r="AN1521" s="17">
        <f>IF(AND($E1521="Entrada",$W1521&gt;0,$C1521&lt;&gt;""),$C1521+ROW()/1000000,"")</f>
        <v/>
      </c>
      <c r="AO1521" s="9">
        <f>IF(COUNTA($B1521:$R1521)=0,"",IF(AND($I1521&lt;&gt;"",COUNTIF(CLIENTES_NOMES,$I1521)+COUNTIF(CLIENTES_FANTASIA,$I1521)+COUNTIF(FORNECEDORES_NOMES,$I1521)+COUNTIF(FORNECEDORES_FANTASIA,$I1521)=0),"⚠ Cliente/Fornecedor não cadastrado",IF(AND($G1521&lt;&gt;"",COUNTIF(SUBCATEGORIAS_PLANO,$G1521)=0),"⚠ Subcategoria fora do plano de contas",IF(OR($Q1521="",N($Q1521)=0),"⚠ Valor previsto não informado",IF(AND(OR($X1521="Pago",$X1521="Recebido"),$D1521=""),"⚠ Status pago/recebido sem data",IF(AND($D1521&lt;&gt;"",N($R1521)=0),"⚠ Data de pagamento sem valor realizado",IF(AND(N($P1521)&gt;1,N($O1521)&gt;N($P1521)),"⚠ Nº da parcela maior que o total",IF(AND($C1521&lt;&gt;"",$B1521&lt;&gt;"",$C1521&lt;$B1521),"⚠ Vencimento anterior à competência","OK"))))))))</f>
        <v/>
      </c>
    </row>
    <row r="1522">
      <c r="A1522" s="14" t="n"/>
      <c r="B1522" s="36" t="n"/>
      <c r="C1522" s="36" t="n"/>
      <c r="D1522" s="36" t="n"/>
      <c r="E1522" s="14" t="n"/>
      <c r="F1522" s="29" t="n"/>
      <c r="G1522" s="29" t="n"/>
      <c r="H1522" s="29" t="n"/>
      <c r="I1522" s="29" t="n"/>
      <c r="J1522" s="29" t="n"/>
      <c r="K1522" s="14" t="n"/>
      <c r="L1522" s="29" t="n"/>
      <c r="M1522" s="14" t="n"/>
      <c r="N1522" s="29" t="n"/>
      <c r="O1522" s="13" t="n"/>
      <c r="P1522" s="13" t="n"/>
      <c r="Q1522" s="35" t="n"/>
      <c r="R1522" s="35" t="n"/>
      <c r="S1522" s="35" t="n"/>
      <c r="T1522" s="35" t="n"/>
      <c r="U1522" s="35" t="n"/>
      <c r="V1522" s="18">
        <f>IF(COUNTA($B1522:$R1522)=0,"",ROUND(N($R1522)+N($S1522)+N($T1522)-N($U1522),2))</f>
        <v/>
      </c>
      <c r="W1522" s="18">
        <f>IF(COUNTA($B1522:$R1522)=0,"",IF(OR($X1522="Pago",$X1522="Recebido",$X1522="Cancelado"),0,ROUND(N($Q1522)+N($S1522)+N($T1522)-N($U1522)-N($R1522),2)))</f>
        <v/>
      </c>
      <c r="X1522" s="14" t="n"/>
      <c r="Y1522" s="17">
        <f>IF(COUNTA($B1522:$R1522)=0,"",IF($X1522="Cancelado","Cancelado",IF(OR($X1522="Pago",$X1522="Recebido"),$X1522,IF(OR($X1522="Parcial",N($R1522)&gt;0),"Parcial",IF($C1522="","Sem vencimento",IF($C1522&lt;TODAY(),"Vencido",IF($C1522=TODAY(),"Vence hoje",IF($C1522&lt;=TODAY()+7,"Vence em 7 dias",IF($C1522&lt;=TODAY()+30,"Vence em 30 dias","Futuro")))))))))</f>
        <v/>
      </c>
      <c r="Z1522" s="24">
        <f>IF($B1522="","",MONTH($B1522))</f>
        <v/>
      </c>
      <c r="AA1522" s="24">
        <f>IF($B1522="","",YEAR($B1522))</f>
        <v/>
      </c>
      <c r="AB1522" s="24">
        <f>IF($B1522="","",ISOWEEKNUM($B1522))</f>
        <v/>
      </c>
      <c r="AC1522" s="17">
        <f>IF($B1522="","",CHOOSE(WEEKDAY($B1522,2),"Segunda","Terça","Quarta","Quinta","Sexta","Sábado","Domingo"))</f>
        <v/>
      </c>
      <c r="AD1522" s="17">
        <f>IF($B1522="","",TEXT($B1522,"MM/AAAA"))</f>
        <v/>
      </c>
      <c r="AE1522" s="18">
        <f>IF(COUNTA($B1522:$R1522)=0,"",IF($X1522="Cancelado",0,ROUND(N($Q1522)+N($S1522)+N($T1522)-N($U1522),2)))</f>
        <v/>
      </c>
      <c r="AF1522" s="9">
        <f>IF($G1522="","",IFERROR(INDEX(LINHAS_DRE_PLANO,MATCH($G1522,SUBCATEGORIAS_PLANO,0)),"Não classificado"))</f>
        <v/>
      </c>
      <c r="AG1522" s="17">
        <f>IF($G1522="","",IFERROR(INDEX(TIPOS_FLUXO_PLANO,MATCH($G1522,SUBCATEGORIAS_PLANO,0)),"Não classificado"))</f>
        <v/>
      </c>
      <c r="AH1522" s="9">
        <f>IF($G1522="","",IFERROR(INDEX(GRUPOS_PLANO,MATCH($G1522,SUBCATEGORIAS_PLANO,0)),"Não classificado"))</f>
        <v/>
      </c>
      <c r="AI1522" s="24">
        <f>IF(OR($C1522="",$X1522="Pago",$X1522="Recebido",$X1522="Cancelado"),"",$C1522-TODAY())</f>
        <v/>
      </c>
      <c r="AJ1522" s="24">
        <f>IF(OR($C1522="",$X1522="Pago",$X1522="Recebido",$X1522="Cancelado"),0,MAX(0,TODAY()-$C1522))</f>
        <v/>
      </c>
      <c r="AK1522" s="24">
        <f>IF($D1522="","",$D1522-$B1522)</f>
        <v/>
      </c>
      <c r="AL1522" s="18">
        <f>IF(OR($D1522="",$B1522=""),"",ROUND(N($R1522)*($D1522-$B1522),2))</f>
        <v/>
      </c>
      <c r="AM1522" s="17">
        <f>IF(AND($E1522="Saída",$W1522&gt;0,$C1522&lt;&gt;""),$C1522+ROW()/1000000,"")</f>
        <v/>
      </c>
      <c r="AN1522" s="17">
        <f>IF(AND($E1522="Entrada",$W1522&gt;0,$C1522&lt;&gt;""),$C1522+ROW()/1000000,"")</f>
        <v/>
      </c>
      <c r="AO1522" s="9">
        <f>IF(COUNTA($B1522:$R1522)=0,"",IF(AND($I1522&lt;&gt;"",COUNTIF(CLIENTES_NOMES,$I1522)+COUNTIF(CLIENTES_FANTASIA,$I1522)+COUNTIF(FORNECEDORES_NOMES,$I1522)+COUNTIF(FORNECEDORES_FANTASIA,$I1522)=0),"⚠ Cliente/Fornecedor não cadastrado",IF(AND($G1522&lt;&gt;"",COUNTIF(SUBCATEGORIAS_PLANO,$G1522)=0),"⚠ Subcategoria fora do plano de contas",IF(OR($Q1522="",N($Q1522)=0),"⚠ Valor previsto não informado",IF(AND(OR($X1522="Pago",$X1522="Recebido"),$D1522=""),"⚠ Status pago/recebido sem data",IF(AND($D1522&lt;&gt;"",N($R1522)=0),"⚠ Data de pagamento sem valor realizado",IF(AND(N($P1522)&gt;1,N($O1522)&gt;N($P1522)),"⚠ Nº da parcela maior que o total",IF(AND($C1522&lt;&gt;"",$B1522&lt;&gt;"",$C1522&lt;$B1522),"⚠ Vencimento anterior à competência","OK"))))))))</f>
        <v/>
      </c>
    </row>
    <row r="1523">
      <c r="A1523" s="14" t="n"/>
      <c r="B1523" s="36" t="n"/>
      <c r="C1523" s="36" t="n"/>
      <c r="D1523" s="36" t="n"/>
      <c r="E1523" s="14" t="n"/>
      <c r="F1523" s="29" t="n"/>
      <c r="G1523" s="29" t="n"/>
      <c r="H1523" s="29" t="n"/>
      <c r="I1523" s="29" t="n"/>
      <c r="J1523" s="29" t="n"/>
      <c r="K1523" s="14" t="n"/>
      <c r="L1523" s="29" t="n"/>
      <c r="M1523" s="14" t="n"/>
      <c r="N1523" s="29" t="n"/>
      <c r="O1523" s="13" t="n"/>
      <c r="P1523" s="13" t="n"/>
      <c r="Q1523" s="35" t="n"/>
      <c r="R1523" s="35" t="n"/>
      <c r="S1523" s="35" t="n"/>
      <c r="T1523" s="35" t="n"/>
      <c r="U1523" s="35" t="n"/>
      <c r="V1523" s="18">
        <f>IF(COUNTA($B1523:$R1523)=0,"",ROUND(N($R1523)+N($S1523)+N($T1523)-N($U1523),2))</f>
        <v/>
      </c>
      <c r="W1523" s="18">
        <f>IF(COUNTA($B1523:$R1523)=0,"",IF(OR($X1523="Pago",$X1523="Recebido",$X1523="Cancelado"),0,ROUND(N($Q1523)+N($S1523)+N($T1523)-N($U1523)-N($R1523),2)))</f>
        <v/>
      </c>
      <c r="X1523" s="14" t="n"/>
      <c r="Y1523" s="17">
        <f>IF(COUNTA($B1523:$R1523)=0,"",IF($X1523="Cancelado","Cancelado",IF(OR($X1523="Pago",$X1523="Recebido"),$X1523,IF(OR($X1523="Parcial",N($R1523)&gt;0),"Parcial",IF($C1523="","Sem vencimento",IF($C1523&lt;TODAY(),"Vencido",IF($C1523=TODAY(),"Vence hoje",IF($C1523&lt;=TODAY()+7,"Vence em 7 dias",IF($C1523&lt;=TODAY()+30,"Vence em 30 dias","Futuro")))))))))</f>
        <v/>
      </c>
      <c r="Z1523" s="24">
        <f>IF($B1523="","",MONTH($B1523))</f>
        <v/>
      </c>
      <c r="AA1523" s="24">
        <f>IF($B1523="","",YEAR($B1523))</f>
        <v/>
      </c>
      <c r="AB1523" s="24">
        <f>IF($B1523="","",ISOWEEKNUM($B1523))</f>
        <v/>
      </c>
      <c r="AC1523" s="17">
        <f>IF($B1523="","",CHOOSE(WEEKDAY($B1523,2),"Segunda","Terça","Quarta","Quinta","Sexta","Sábado","Domingo"))</f>
        <v/>
      </c>
      <c r="AD1523" s="17">
        <f>IF($B1523="","",TEXT($B1523,"MM/AAAA"))</f>
        <v/>
      </c>
      <c r="AE1523" s="18">
        <f>IF(COUNTA($B1523:$R1523)=0,"",IF($X1523="Cancelado",0,ROUND(N($Q1523)+N($S1523)+N($T1523)-N($U1523),2)))</f>
        <v/>
      </c>
      <c r="AF1523" s="9">
        <f>IF($G1523="","",IFERROR(INDEX(LINHAS_DRE_PLANO,MATCH($G1523,SUBCATEGORIAS_PLANO,0)),"Não classificado"))</f>
        <v/>
      </c>
      <c r="AG1523" s="17">
        <f>IF($G1523="","",IFERROR(INDEX(TIPOS_FLUXO_PLANO,MATCH($G1523,SUBCATEGORIAS_PLANO,0)),"Não classificado"))</f>
        <v/>
      </c>
      <c r="AH1523" s="9">
        <f>IF($G1523="","",IFERROR(INDEX(GRUPOS_PLANO,MATCH($G1523,SUBCATEGORIAS_PLANO,0)),"Não classificado"))</f>
        <v/>
      </c>
      <c r="AI1523" s="24">
        <f>IF(OR($C1523="",$X1523="Pago",$X1523="Recebido",$X1523="Cancelado"),"",$C1523-TODAY())</f>
        <v/>
      </c>
      <c r="AJ1523" s="24">
        <f>IF(OR($C1523="",$X1523="Pago",$X1523="Recebido",$X1523="Cancelado"),0,MAX(0,TODAY()-$C1523))</f>
        <v/>
      </c>
      <c r="AK1523" s="24">
        <f>IF($D1523="","",$D1523-$B1523)</f>
        <v/>
      </c>
      <c r="AL1523" s="18">
        <f>IF(OR($D1523="",$B1523=""),"",ROUND(N($R1523)*($D1523-$B1523),2))</f>
        <v/>
      </c>
      <c r="AM1523" s="17">
        <f>IF(AND($E1523="Saída",$W1523&gt;0,$C1523&lt;&gt;""),$C1523+ROW()/1000000,"")</f>
        <v/>
      </c>
      <c r="AN1523" s="17">
        <f>IF(AND($E1523="Entrada",$W1523&gt;0,$C1523&lt;&gt;""),$C1523+ROW()/1000000,"")</f>
        <v/>
      </c>
      <c r="AO1523" s="9">
        <f>IF(COUNTA($B1523:$R1523)=0,"",IF(AND($I1523&lt;&gt;"",COUNTIF(CLIENTES_NOMES,$I1523)+COUNTIF(CLIENTES_FANTASIA,$I1523)+COUNTIF(FORNECEDORES_NOMES,$I1523)+COUNTIF(FORNECEDORES_FANTASIA,$I1523)=0),"⚠ Cliente/Fornecedor não cadastrado",IF(AND($G1523&lt;&gt;"",COUNTIF(SUBCATEGORIAS_PLANO,$G1523)=0),"⚠ Subcategoria fora do plano de contas",IF(OR($Q1523="",N($Q1523)=0),"⚠ Valor previsto não informado",IF(AND(OR($X1523="Pago",$X1523="Recebido"),$D1523=""),"⚠ Status pago/recebido sem data",IF(AND($D1523&lt;&gt;"",N($R1523)=0),"⚠ Data de pagamento sem valor realizado",IF(AND(N($P1523)&gt;1,N($O1523)&gt;N($P1523)),"⚠ Nº da parcela maior que o total",IF(AND($C1523&lt;&gt;"",$B1523&lt;&gt;"",$C1523&lt;$B1523),"⚠ Vencimento anterior à competência","OK"))))))))</f>
        <v/>
      </c>
    </row>
    <row r="1524">
      <c r="A1524" s="14" t="n"/>
      <c r="B1524" s="36" t="n"/>
      <c r="C1524" s="36" t="n"/>
      <c r="D1524" s="36" t="n"/>
      <c r="E1524" s="14" t="n"/>
      <c r="F1524" s="29" t="n"/>
      <c r="G1524" s="29" t="n"/>
      <c r="H1524" s="29" t="n"/>
      <c r="I1524" s="29" t="n"/>
      <c r="J1524" s="29" t="n"/>
      <c r="K1524" s="14" t="n"/>
      <c r="L1524" s="29" t="n"/>
      <c r="M1524" s="14" t="n"/>
      <c r="N1524" s="29" t="n"/>
      <c r="O1524" s="13" t="n"/>
      <c r="P1524" s="13" t="n"/>
      <c r="Q1524" s="35" t="n"/>
      <c r="R1524" s="35" t="n"/>
      <c r="S1524" s="35" t="n"/>
      <c r="T1524" s="35" t="n"/>
      <c r="U1524" s="35" t="n"/>
      <c r="V1524" s="18">
        <f>IF(COUNTA($B1524:$R1524)=0,"",ROUND(N($R1524)+N($S1524)+N($T1524)-N($U1524),2))</f>
        <v/>
      </c>
      <c r="W1524" s="18">
        <f>IF(COUNTA($B1524:$R1524)=0,"",IF(OR($X1524="Pago",$X1524="Recebido",$X1524="Cancelado"),0,ROUND(N($Q1524)+N($S1524)+N($T1524)-N($U1524)-N($R1524),2)))</f>
        <v/>
      </c>
      <c r="X1524" s="14" t="n"/>
      <c r="Y1524" s="17">
        <f>IF(COUNTA($B1524:$R1524)=0,"",IF($X1524="Cancelado","Cancelado",IF(OR($X1524="Pago",$X1524="Recebido"),$X1524,IF(OR($X1524="Parcial",N($R1524)&gt;0),"Parcial",IF($C1524="","Sem vencimento",IF($C1524&lt;TODAY(),"Vencido",IF($C1524=TODAY(),"Vence hoje",IF($C1524&lt;=TODAY()+7,"Vence em 7 dias",IF($C1524&lt;=TODAY()+30,"Vence em 30 dias","Futuro")))))))))</f>
        <v/>
      </c>
      <c r="Z1524" s="24">
        <f>IF($B1524="","",MONTH($B1524))</f>
        <v/>
      </c>
      <c r="AA1524" s="24">
        <f>IF($B1524="","",YEAR($B1524))</f>
        <v/>
      </c>
      <c r="AB1524" s="24">
        <f>IF($B1524="","",ISOWEEKNUM($B1524))</f>
        <v/>
      </c>
      <c r="AC1524" s="17">
        <f>IF($B1524="","",CHOOSE(WEEKDAY($B1524,2),"Segunda","Terça","Quarta","Quinta","Sexta","Sábado","Domingo"))</f>
        <v/>
      </c>
      <c r="AD1524" s="17">
        <f>IF($B1524="","",TEXT($B1524,"MM/AAAA"))</f>
        <v/>
      </c>
      <c r="AE1524" s="18">
        <f>IF(COUNTA($B1524:$R1524)=0,"",IF($X1524="Cancelado",0,ROUND(N($Q1524)+N($S1524)+N($T1524)-N($U1524),2)))</f>
        <v/>
      </c>
      <c r="AF1524" s="9">
        <f>IF($G1524="","",IFERROR(INDEX(LINHAS_DRE_PLANO,MATCH($G1524,SUBCATEGORIAS_PLANO,0)),"Não classificado"))</f>
        <v/>
      </c>
      <c r="AG1524" s="17">
        <f>IF($G1524="","",IFERROR(INDEX(TIPOS_FLUXO_PLANO,MATCH($G1524,SUBCATEGORIAS_PLANO,0)),"Não classificado"))</f>
        <v/>
      </c>
      <c r="AH1524" s="9">
        <f>IF($G1524="","",IFERROR(INDEX(GRUPOS_PLANO,MATCH($G1524,SUBCATEGORIAS_PLANO,0)),"Não classificado"))</f>
        <v/>
      </c>
      <c r="AI1524" s="24">
        <f>IF(OR($C1524="",$X1524="Pago",$X1524="Recebido",$X1524="Cancelado"),"",$C1524-TODAY())</f>
        <v/>
      </c>
      <c r="AJ1524" s="24">
        <f>IF(OR($C1524="",$X1524="Pago",$X1524="Recebido",$X1524="Cancelado"),0,MAX(0,TODAY()-$C1524))</f>
        <v/>
      </c>
      <c r="AK1524" s="24">
        <f>IF($D1524="","",$D1524-$B1524)</f>
        <v/>
      </c>
      <c r="AL1524" s="18">
        <f>IF(OR($D1524="",$B1524=""),"",ROUND(N($R1524)*($D1524-$B1524),2))</f>
        <v/>
      </c>
      <c r="AM1524" s="17">
        <f>IF(AND($E1524="Saída",$W1524&gt;0,$C1524&lt;&gt;""),$C1524+ROW()/1000000,"")</f>
        <v/>
      </c>
      <c r="AN1524" s="17">
        <f>IF(AND($E1524="Entrada",$W1524&gt;0,$C1524&lt;&gt;""),$C1524+ROW()/1000000,"")</f>
        <v/>
      </c>
      <c r="AO1524" s="9">
        <f>IF(COUNTA($B1524:$R1524)=0,"",IF(AND($I1524&lt;&gt;"",COUNTIF(CLIENTES_NOMES,$I1524)+COUNTIF(CLIENTES_FANTASIA,$I1524)+COUNTIF(FORNECEDORES_NOMES,$I1524)+COUNTIF(FORNECEDORES_FANTASIA,$I1524)=0),"⚠ Cliente/Fornecedor não cadastrado",IF(AND($G1524&lt;&gt;"",COUNTIF(SUBCATEGORIAS_PLANO,$G1524)=0),"⚠ Subcategoria fora do plano de contas",IF(OR($Q1524="",N($Q1524)=0),"⚠ Valor previsto não informado",IF(AND(OR($X1524="Pago",$X1524="Recebido"),$D1524=""),"⚠ Status pago/recebido sem data",IF(AND($D1524&lt;&gt;"",N($R1524)=0),"⚠ Data de pagamento sem valor realizado",IF(AND(N($P1524)&gt;1,N($O1524)&gt;N($P1524)),"⚠ Nº da parcela maior que o total",IF(AND($C1524&lt;&gt;"",$B1524&lt;&gt;"",$C1524&lt;$B1524),"⚠ Vencimento anterior à competência","OK"))))))))</f>
        <v/>
      </c>
    </row>
    <row r="1525">
      <c r="A1525" s="14" t="n"/>
      <c r="B1525" s="36" t="n"/>
      <c r="C1525" s="36" t="n"/>
      <c r="D1525" s="36" t="n"/>
      <c r="E1525" s="14" t="n"/>
      <c r="F1525" s="29" t="n"/>
      <c r="G1525" s="29" t="n"/>
      <c r="H1525" s="29" t="n"/>
      <c r="I1525" s="29" t="n"/>
      <c r="J1525" s="29" t="n"/>
      <c r="K1525" s="14" t="n"/>
      <c r="L1525" s="29" t="n"/>
      <c r="M1525" s="14" t="n"/>
      <c r="N1525" s="29" t="n"/>
      <c r="O1525" s="13" t="n"/>
      <c r="P1525" s="13" t="n"/>
      <c r="Q1525" s="35" t="n"/>
      <c r="R1525" s="35" t="n"/>
      <c r="S1525" s="35" t="n"/>
      <c r="T1525" s="35" t="n"/>
      <c r="U1525" s="35" t="n"/>
      <c r="V1525" s="18">
        <f>IF(COUNTA($B1525:$R1525)=0,"",ROUND(N($R1525)+N($S1525)+N($T1525)-N($U1525),2))</f>
        <v/>
      </c>
      <c r="W1525" s="18">
        <f>IF(COUNTA($B1525:$R1525)=0,"",IF(OR($X1525="Pago",$X1525="Recebido",$X1525="Cancelado"),0,ROUND(N($Q1525)+N($S1525)+N($T1525)-N($U1525)-N($R1525),2)))</f>
        <v/>
      </c>
      <c r="X1525" s="14" t="n"/>
      <c r="Y1525" s="17">
        <f>IF(COUNTA($B1525:$R1525)=0,"",IF($X1525="Cancelado","Cancelado",IF(OR($X1525="Pago",$X1525="Recebido"),$X1525,IF(OR($X1525="Parcial",N($R1525)&gt;0),"Parcial",IF($C1525="","Sem vencimento",IF($C1525&lt;TODAY(),"Vencido",IF($C1525=TODAY(),"Vence hoje",IF($C1525&lt;=TODAY()+7,"Vence em 7 dias",IF($C1525&lt;=TODAY()+30,"Vence em 30 dias","Futuro")))))))))</f>
        <v/>
      </c>
      <c r="Z1525" s="24">
        <f>IF($B1525="","",MONTH($B1525))</f>
        <v/>
      </c>
      <c r="AA1525" s="24">
        <f>IF($B1525="","",YEAR($B1525))</f>
        <v/>
      </c>
      <c r="AB1525" s="24">
        <f>IF($B1525="","",ISOWEEKNUM($B1525))</f>
        <v/>
      </c>
      <c r="AC1525" s="17">
        <f>IF($B1525="","",CHOOSE(WEEKDAY($B1525,2),"Segunda","Terça","Quarta","Quinta","Sexta","Sábado","Domingo"))</f>
        <v/>
      </c>
      <c r="AD1525" s="17">
        <f>IF($B1525="","",TEXT($B1525,"MM/AAAA"))</f>
        <v/>
      </c>
      <c r="AE1525" s="18">
        <f>IF(COUNTA($B1525:$R1525)=0,"",IF($X1525="Cancelado",0,ROUND(N($Q1525)+N($S1525)+N($T1525)-N($U1525),2)))</f>
        <v/>
      </c>
      <c r="AF1525" s="9">
        <f>IF($G1525="","",IFERROR(INDEX(LINHAS_DRE_PLANO,MATCH($G1525,SUBCATEGORIAS_PLANO,0)),"Não classificado"))</f>
        <v/>
      </c>
      <c r="AG1525" s="17">
        <f>IF($G1525="","",IFERROR(INDEX(TIPOS_FLUXO_PLANO,MATCH($G1525,SUBCATEGORIAS_PLANO,0)),"Não classificado"))</f>
        <v/>
      </c>
      <c r="AH1525" s="9">
        <f>IF($G1525="","",IFERROR(INDEX(GRUPOS_PLANO,MATCH($G1525,SUBCATEGORIAS_PLANO,0)),"Não classificado"))</f>
        <v/>
      </c>
      <c r="AI1525" s="24">
        <f>IF(OR($C1525="",$X1525="Pago",$X1525="Recebido",$X1525="Cancelado"),"",$C1525-TODAY())</f>
        <v/>
      </c>
      <c r="AJ1525" s="24">
        <f>IF(OR($C1525="",$X1525="Pago",$X1525="Recebido",$X1525="Cancelado"),0,MAX(0,TODAY()-$C1525))</f>
        <v/>
      </c>
      <c r="AK1525" s="24">
        <f>IF($D1525="","",$D1525-$B1525)</f>
        <v/>
      </c>
      <c r="AL1525" s="18">
        <f>IF(OR($D1525="",$B1525=""),"",ROUND(N($R1525)*($D1525-$B1525),2))</f>
        <v/>
      </c>
      <c r="AM1525" s="17">
        <f>IF(AND($E1525="Saída",$W1525&gt;0,$C1525&lt;&gt;""),$C1525+ROW()/1000000,"")</f>
        <v/>
      </c>
      <c r="AN1525" s="17">
        <f>IF(AND($E1525="Entrada",$W1525&gt;0,$C1525&lt;&gt;""),$C1525+ROW()/1000000,"")</f>
        <v/>
      </c>
      <c r="AO1525" s="9">
        <f>IF(COUNTA($B1525:$R1525)=0,"",IF(AND($I1525&lt;&gt;"",COUNTIF(CLIENTES_NOMES,$I1525)+COUNTIF(CLIENTES_FANTASIA,$I1525)+COUNTIF(FORNECEDORES_NOMES,$I1525)+COUNTIF(FORNECEDORES_FANTASIA,$I1525)=0),"⚠ Cliente/Fornecedor não cadastrado",IF(AND($G1525&lt;&gt;"",COUNTIF(SUBCATEGORIAS_PLANO,$G1525)=0),"⚠ Subcategoria fora do plano de contas",IF(OR($Q1525="",N($Q1525)=0),"⚠ Valor previsto não informado",IF(AND(OR($X1525="Pago",$X1525="Recebido"),$D1525=""),"⚠ Status pago/recebido sem data",IF(AND($D1525&lt;&gt;"",N($R1525)=0),"⚠ Data de pagamento sem valor realizado",IF(AND(N($P1525)&gt;1,N($O1525)&gt;N($P1525)),"⚠ Nº da parcela maior que o total",IF(AND($C1525&lt;&gt;"",$B1525&lt;&gt;"",$C1525&lt;$B1525),"⚠ Vencimento anterior à competência","OK"))))))))</f>
        <v/>
      </c>
    </row>
    <row r="1526">
      <c r="A1526" s="14" t="n"/>
      <c r="B1526" s="36" t="n"/>
      <c r="C1526" s="36" t="n"/>
      <c r="D1526" s="36" t="n"/>
      <c r="E1526" s="14" t="n"/>
      <c r="F1526" s="29" t="n"/>
      <c r="G1526" s="29" t="n"/>
      <c r="H1526" s="29" t="n"/>
      <c r="I1526" s="29" t="n"/>
      <c r="J1526" s="29" t="n"/>
      <c r="K1526" s="14" t="n"/>
      <c r="L1526" s="29" t="n"/>
      <c r="M1526" s="14" t="n"/>
      <c r="N1526" s="29" t="n"/>
      <c r="O1526" s="13" t="n"/>
      <c r="P1526" s="13" t="n"/>
      <c r="Q1526" s="35" t="n"/>
      <c r="R1526" s="35" t="n"/>
      <c r="S1526" s="35" t="n"/>
      <c r="T1526" s="35" t="n"/>
      <c r="U1526" s="35" t="n"/>
      <c r="V1526" s="18">
        <f>IF(COUNTA($B1526:$R1526)=0,"",ROUND(N($R1526)+N($S1526)+N($T1526)-N($U1526),2))</f>
        <v/>
      </c>
      <c r="W1526" s="18">
        <f>IF(COUNTA($B1526:$R1526)=0,"",IF(OR($X1526="Pago",$X1526="Recebido",$X1526="Cancelado"),0,ROUND(N($Q1526)+N($S1526)+N($T1526)-N($U1526)-N($R1526),2)))</f>
        <v/>
      </c>
      <c r="X1526" s="14" t="n"/>
      <c r="Y1526" s="17">
        <f>IF(COUNTA($B1526:$R1526)=0,"",IF($X1526="Cancelado","Cancelado",IF(OR($X1526="Pago",$X1526="Recebido"),$X1526,IF(OR($X1526="Parcial",N($R1526)&gt;0),"Parcial",IF($C1526="","Sem vencimento",IF($C1526&lt;TODAY(),"Vencido",IF($C1526=TODAY(),"Vence hoje",IF($C1526&lt;=TODAY()+7,"Vence em 7 dias",IF($C1526&lt;=TODAY()+30,"Vence em 30 dias","Futuro")))))))))</f>
        <v/>
      </c>
      <c r="Z1526" s="24">
        <f>IF($B1526="","",MONTH($B1526))</f>
        <v/>
      </c>
      <c r="AA1526" s="24">
        <f>IF($B1526="","",YEAR($B1526))</f>
        <v/>
      </c>
      <c r="AB1526" s="24">
        <f>IF($B1526="","",ISOWEEKNUM($B1526))</f>
        <v/>
      </c>
      <c r="AC1526" s="17">
        <f>IF($B1526="","",CHOOSE(WEEKDAY($B1526,2),"Segunda","Terça","Quarta","Quinta","Sexta","Sábado","Domingo"))</f>
        <v/>
      </c>
      <c r="AD1526" s="17">
        <f>IF($B1526="","",TEXT($B1526,"MM/AAAA"))</f>
        <v/>
      </c>
      <c r="AE1526" s="18">
        <f>IF(COUNTA($B1526:$R1526)=0,"",IF($X1526="Cancelado",0,ROUND(N($Q1526)+N($S1526)+N($T1526)-N($U1526),2)))</f>
        <v/>
      </c>
      <c r="AF1526" s="9">
        <f>IF($G1526="","",IFERROR(INDEX(LINHAS_DRE_PLANO,MATCH($G1526,SUBCATEGORIAS_PLANO,0)),"Não classificado"))</f>
        <v/>
      </c>
      <c r="AG1526" s="17">
        <f>IF($G1526="","",IFERROR(INDEX(TIPOS_FLUXO_PLANO,MATCH($G1526,SUBCATEGORIAS_PLANO,0)),"Não classificado"))</f>
        <v/>
      </c>
      <c r="AH1526" s="9">
        <f>IF($G1526="","",IFERROR(INDEX(GRUPOS_PLANO,MATCH($G1526,SUBCATEGORIAS_PLANO,0)),"Não classificado"))</f>
        <v/>
      </c>
      <c r="AI1526" s="24">
        <f>IF(OR($C1526="",$X1526="Pago",$X1526="Recebido",$X1526="Cancelado"),"",$C1526-TODAY())</f>
        <v/>
      </c>
      <c r="AJ1526" s="24">
        <f>IF(OR($C1526="",$X1526="Pago",$X1526="Recebido",$X1526="Cancelado"),0,MAX(0,TODAY()-$C1526))</f>
        <v/>
      </c>
      <c r="AK1526" s="24">
        <f>IF($D1526="","",$D1526-$B1526)</f>
        <v/>
      </c>
      <c r="AL1526" s="18">
        <f>IF(OR($D1526="",$B1526=""),"",ROUND(N($R1526)*($D1526-$B1526),2))</f>
        <v/>
      </c>
      <c r="AM1526" s="17">
        <f>IF(AND($E1526="Saída",$W1526&gt;0,$C1526&lt;&gt;""),$C1526+ROW()/1000000,"")</f>
        <v/>
      </c>
      <c r="AN1526" s="17">
        <f>IF(AND($E1526="Entrada",$W1526&gt;0,$C1526&lt;&gt;""),$C1526+ROW()/1000000,"")</f>
        <v/>
      </c>
      <c r="AO1526" s="9">
        <f>IF(COUNTA($B1526:$R1526)=0,"",IF(AND($I1526&lt;&gt;"",COUNTIF(CLIENTES_NOMES,$I1526)+COUNTIF(CLIENTES_FANTASIA,$I1526)+COUNTIF(FORNECEDORES_NOMES,$I1526)+COUNTIF(FORNECEDORES_FANTASIA,$I1526)=0),"⚠ Cliente/Fornecedor não cadastrado",IF(AND($G1526&lt;&gt;"",COUNTIF(SUBCATEGORIAS_PLANO,$G1526)=0),"⚠ Subcategoria fora do plano de contas",IF(OR($Q1526="",N($Q1526)=0),"⚠ Valor previsto não informado",IF(AND(OR($X1526="Pago",$X1526="Recebido"),$D1526=""),"⚠ Status pago/recebido sem data",IF(AND($D1526&lt;&gt;"",N($R1526)=0),"⚠ Data de pagamento sem valor realizado",IF(AND(N($P1526)&gt;1,N($O1526)&gt;N($P1526)),"⚠ Nº da parcela maior que o total",IF(AND($C1526&lt;&gt;"",$B1526&lt;&gt;"",$C1526&lt;$B1526),"⚠ Vencimento anterior à competência","OK"))))))))</f>
        <v/>
      </c>
    </row>
    <row r="1527">
      <c r="A1527" s="14" t="n"/>
      <c r="B1527" s="36" t="n"/>
      <c r="C1527" s="36" t="n"/>
      <c r="D1527" s="36" t="n"/>
      <c r="E1527" s="14" t="n"/>
      <c r="F1527" s="29" t="n"/>
      <c r="G1527" s="29" t="n"/>
      <c r="H1527" s="29" t="n"/>
      <c r="I1527" s="29" t="n"/>
      <c r="J1527" s="29" t="n"/>
      <c r="K1527" s="14" t="n"/>
      <c r="L1527" s="29" t="n"/>
      <c r="M1527" s="14" t="n"/>
      <c r="N1527" s="29" t="n"/>
      <c r="O1527" s="13" t="n"/>
      <c r="P1527" s="13" t="n"/>
      <c r="Q1527" s="35" t="n"/>
      <c r="R1527" s="35" t="n"/>
      <c r="S1527" s="35" t="n"/>
      <c r="T1527" s="35" t="n"/>
      <c r="U1527" s="35" t="n"/>
      <c r="V1527" s="18">
        <f>IF(COUNTA($B1527:$R1527)=0,"",ROUND(N($R1527)+N($S1527)+N($T1527)-N($U1527),2))</f>
        <v/>
      </c>
      <c r="W1527" s="18">
        <f>IF(COUNTA($B1527:$R1527)=0,"",IF(OR($X1527="Pago",$X1527="Recebido",$X1527="Cancelado"),0,ROUND(N($Q1527)+N($S1527)+N($T1527)-N($U1527)-N($R1527),2)))</f>
        <v/>
      </c>
      <c r="X1527" s="14" t="n"/>
      <c r="Y1527" s="17">
        <f>IF(COUNTA($B1527:$R1527)=0,"",IF($X1527="Cancelado","Cancelado",IF(OR($X1527="Pago",$X1527="Recebido"),$X1527,IF(OR($X1527="Parcial",N($R1527)&gt;0),"Parcial",IF($C1527="","Sem vencimento",IF($C1527&lt;TODAY(),"Vencido",IF($C1527=TODAY(),"Vence hoje",IF($C1527&lt;=TODAY()+7,"Vence em 7 dias",IF($C1527&lt;=TODAY()+30,"Vence em 30 dias","Futuro")))))))))</f>
        <v/>
      </c>
      <c r="Z1527" s="24">
        <f>IF($B1527="","",MONTH($B1527))</f>
        <v/>
      </c>
      <c r="AA1527" s="24">
        <f>IF($B1527="","",YEAR($B1527))</f>
        <v/>
      </c>
      <c r="AB1527" s="24">
        <f>IF($B1527="","",ISOWEEKNUM($B1527))</f>
        <v/>
      </c>
      <c r="AC1527" s="17">
        <f>IF($B1527="","",CHOOSE(WEEKDAY($B1527,2),"Segunda","Terça","Quarta","Quinta","Sexta","Sábado","Domingo"))</f>
        <v/>
      </c>
      <c r="AD1527" s="17">
        <f>IF($B1527="","",TEXT($B1527,"MM/AAAA"))</f>
        <v/>
      </c>
      <c r="AE1527" s="18">
        <f>IF(COUNTA($B1527:$R1527)=0,"",IF($X1527="Cancelado",0,ROUND(N($Q1527)+N($S1527)+N($T1527)-N($U1527),2)))</f>
        <v/>
      </c>
      <c r="AF1527" s="9">
        <f>IF($G1527="","",IFERROR(INDEX(LINHAS_DRE_PLANO,MATCH($G1527,SUBCATEGORIAS_PLANO,0)),"Não classificado"))</f>
        <v/>
      </c>
      <c r="AG1527" s="17">
        <f>IF($G1527="","",IFERROR(INDEX(TIPOS_FLUXO_PLANO,MATCH($G1527,SUBCATEGORIAS_PLANO,0)),"Não classificado"))</f>
        <v/>
      </c>
      <c r="AH1527" s="9">
        <f>IF($G1527="","",IFERROR(INDEX(GRUPOS_PLANO,MATCH($G1527,SUBCATEGORIAS_PLANO,0)),"Não classificado"))</f>
        <v/>
      </c>
      <c r="AI1527" s="24">
        <f>IF(OR($C1527="",$X1527="Pago",$X1527="Recebido",$X1527="Cancelado"),"",$C1527-TODAY())</f>
        <v/>
      </c>
      <c r="AJ1527" s="24">
        <f>IF(OR($C1527="",$X1527="Pago",$X1527="Recebido",$X1527="Cancelado"),0,MAX(0,TODAY()-$C1527))</f>
        <v/>
      </c>
      <c r="AK1527" s="24">
        <f>IF($D1527="","",$D1527-$B1527)</f>
        <v/>
      </c>
      <c r="AL1527" s="18">
        <f>IF(OR($D1527="",$B1527=""),"",ROUND(N($R1527)*($D1527-$B1527),2))</f>
        <v/>
      </c>
      <c r="AM1527" s="17">
        <f>IF(AND($E1527="Saída",$W1527&gt;0,$C1527&lt;&gt;""),$C1527+ROW()/1000000,"")</f>
        <v/>
      </c>
      <c r="AN1527" s="17">
        <f>IF(AND($E1527="Entrada",$W1527&gt;0,$C1527&lt;&gt;""),$C1527+ROW()/1000000,"")</f>
        <v/>
      </c>
      <c r="AO1527" s="9">
        <f>IF(COUNTA($B1527:$R1527)=0,"",IF(AND($I1527&lt;&gt;"",COUNTIF(CLIENTES_NOMES,$I1527)+COUNTIF(CLIENTES_FANTASIA,$I1527)+COUNTIF(FORNECEDORES_NOMES,$I1527)+COUNTIF(FORNECEDORES_FANTASIA,$I1527)=0),"⚠ Cliente/Fornecedor não cadastrado",IF(AND($G1527&lt;&gt;"",COUNTIF(SUBCATEGORIAS_PLANO,$G1527)=0),"⚠ Subcategoria fora do plano de contas",IF(OR($Q1527="",N($Q1527)=0),"⚠ Valor previsto não informado",IF(AND(OR($X1527="Pago",$X1527="Recebido"),$D1527=""),"⚠ Status pago/recebido sem data",IF(AND($D1527&lt;&gt;"",N($R1527)=0),"⚠ Data de pagamento sem valor realizado",IF(AND(N($P1527)&gt;1,N($O1527)&gt;N($P1527)),"⚠ Nº da parcela maior que o total",IF(AND($C1527&lt;&gt;"",$B1527&lt;&gt;"",$C1527&lt;$B1527),"⚠ Vencimento anterior à competência","OK"))))))))</f>
        <v/>
      </c>
    </row>
    <row r="1528">
      <c r="A1528" s="14" t="n"/>
      <c r="B1528" s="36" t="n"/>
      <c r="C1528" s="36" t="n"/>
      <c r="D1528" s="36" t="n"/>
      <c r="E1528" s="14" t="n"/>
      <c r="F1528" s="29" t="n"/>
      <c r="G1528" s="29" t="n"/>
      <c r="H1528" s="29" t="n"/>
      <c r="I1528" s="29" t="n"/>
      <c r="J1528" s="29" t="n"/>
      <c r="K1528" s="14" t="n"/>
      <c r="L1528" s="29" t="n"/>
      <c r="M1528" s="14" t="n"/>
      <c r="N1528" s="29" t="n"/>
      <c r="O1528" s="13" t="n"/>
      <c r="P1528" s="13" t="n"/>
      <c r="Q1528" s="35" t="n"/>
      <c r="R1528" s="35" t="n"/>
      <c r="S1528" s="35" t="n"/>
      <c r="T1528" s="35" t="n"/>
      <c r="U1528" s="35" t="n"/>
      <c r="V1528" s="18">
        <f>IF(COUNTA($B1528:$R1528)=0,"",ROUND(N($R1528)+N($S1528)+N($T1528)-N($U1528),2))</f>
        <v/>
      </c>
      <c r="W1528" s="18">
        <f>IF(COUNTA($B1528:$R1528)=0,"",IF(OR($X1528="Pago",$X1528="Recebido",$X1528="Cancelado"),0,ROUND(N($Q1528)+N($S1528)+N($T1528)-N($U1528)-N($R1528),2)))</f>
        <v/>
      </c>
      <c r="X1528" s="14" t="n"/>
      <c r="Y1528" s="17">
        <f>IF(COUNTA($B1528:$R1528)=0,"",IF($X1528="Cancelado","Cancelado",IF(OR($X1528="Pago",$X1528="Recebido"),$X1528,IF(OR($X1528="Parcial",N($R1528)&gt;0),"Parcial",IF($C1528="","Sem vencimento",IF($C1528&lt;TODAY(),"Vencido",IF($C1528=TODAY(),"Vence hoje",IF($C1528&lt;=TODAY()+7,"Vence em 7 dias",IF($C1528&lt;=TODAY()+30,"Vence em 30 dias","Futuro")))))))))</f>
        <v/>
      </c>
      <c r="Z1528" s="24">
        <f>IF($B1528="","",MONTH($B1528))</f>
        <v/>
      </c>
      <c r="AA1528" s="24">
        <f>IF($B1528="","",YEAR($B1528))</f>
        <v/>
      </c>
      <c r="AB1528" s="24">
        <f>IF($B1528="","",ISOWEEKNUM($B1528))</f>
        <v/>
      </c>
      <c r="AC1528" s="17">
        <f>IF($B1528="","",CHOOSE(WEEKDAY($B1528,2),"Segunda","Terça","Quarta","Quinta","Sexta","Sábado","Domingo"))</f>
        <v/>
      </c>
      <c r="AD1528" s="17">
        <f>IF($B1528="","",TEXT($B1528,"MM/AAAA"))</f>
        <v/>
      </c>
      <c r="AE1528" s="18">
        <f>IF(COUNTA($B1528:$R1528)=0,"",IF($X1528="Cancelado",0,ROUND(N($Q1528)+N($S1528)+N($T1528)-N($U1528),2)))</f>
        <v/>
      </c>
      <c r="AF1528" s="9">
        <f>IF($G1528="","",IFERROR(INDEX(LINHAS_DRE_PLANO,MATCH($G1528,SUBCATEGORIAS_PLANO,0)),"Não classificado"))</f>
        <v/>
      </c>
      <c r="AG1528" s="17">
        <f>IF($G1528="","",IFERROR(INDEX(TIPOS_FLUXO_PLANO,MATCH($G1528,SUBCATEGORIAS_PLANO,0)),"Não classificado"))</f>
        <v/>
      </c>
      <c r="AH1528" s="9">
        <f>IF($G1528="","",IFERROR(INDEX(GRUPOS_PLANO,MATCH($G1528,SUBCATEGORIAS_PLANO,0)),"Não classificado"))</f>
        <v/>
      </c>
      <c r="AI1528" s="24">
        <f>IF(OR($C1528="",$X1528="Pago",$X1528="Recebido",$X1528="Cancelado"),"",$C1528-TODAY())</f>
        <v/>
      </c>
      <c r="AJ1528" s="24">
        <f>IF(OR($C1528="",$X1528="Pago",$X1528="Recebido",$X1528="Cancelado"),0,MAX(0,TODAY()-$C1528))</f>
        <v/>
      </c>
      <c r="AK1528" s="24">
        <f>IF($D1528="","",$D1528-$B1528)</f>
        <v/>
      </c>
      <c r="AL1528" s="18">
        <f>IF(OR($D1528="",$B1528=""),"",ROUND(N($R1528)*($D1528-$B1528),2))</f>
        <v/>
      </c>
      <c r="AM1528" s="17">
        <f>IF(AND($E1528="Saída",$W1528&gt;0,$C1528&lt;&gt;""),$C1528+ROW()/1000000,"")</f>
        <v/>
      </c>
      <c r="AN1528" s="17">
        <f>IF(AND($E1528="Entrada",$W1528&gt;0,$C1528&lt;&gt;""),$C1528+ROW()/1000000,"")</f>
        <v/>
      </c>
      <c r="AO1528" s="9">
        <f>IF(COUNTA($B1528:$R1528)=0,"",IF(AND($I1528&lt;&gt;"",COUNTIF(CLIENTES_NOMES,$I1528)+COUNTIF(CLIENTES_FANTASIA,$I1528)+COUNTIF(FORNECEDORES_NOMES,$I1528)+COUNTIF(FORNECEDORES_FANTASIA,$I1528)=0),"⚠ Cliente/Fornecedor não cadastrado",IF(AND($G1528&lt;&gt;"",COUNTIF(SUBCATEGORIAS_PLANO,$G1528)=0),"⚠ Subcategoria fora do plano de contas",IF(OR($Q1528="",N($Q1528)=0),"⚠ Valor previsto não informado",IF(AND(OR($X1528="Pago",$X1528="Recebido"),$D1528=""),"⚠ Status pago/recebido sem data",IF(AND($D1528&lt;&gt;"",N($R1528)=0),"⚠ Data de pagamento sem valor realizado",IF(AND(N($P1528)&gt;1,N($O1528)&gt;N($P1528)),"⚠ Nº da parcela maior que o total",IF(AND($C1528&lt;&gt;"",$B1528&lt;&gt;"",$C1528&lt;$B1528),"⚠ Vencimento anterior à competência","OK"))))))))</f>
        <v/>
      </c>
    </row>
    <row r="1529">
      <c r="A1529" s="14" t="n"/>
      <c r="B1529" s="36" t="n"/>
      <c r="C1529" s="36" t="n"/>
      <c r="D1529" s="36" t="n"/>
      <c r="E1529" s="14" t="n"/>
      <c r="F1529" s="29" t="n"/>
      <c r="G1529" s="29" t="n"/>
      <c r="H1529" s="29" t="n"/>
      <c r="I1529" s="29" t="n"/>
      <c r="J1529" s="29" t="n"/>
      <c r="K1529" s="14" t="n"/>
      <c r="L1529" s="29" t="n"/>
      <c r="M1529" s="14" t="n"/>
      <c r="N1529" s="29" t="n"/>
      <c r="O1529" s="13" t="n"/>
      <c r="P1529" s="13" t="n"/>
      <c r="Q1529" s="35" t="n"/>
      <c r="R1529" s="35" t="n"/>
      <c r="S1529" s="35" t="n"/>
      <c r="T1529" s="35" t="n"/>
      <c r="U1529" s="35" t="n"/>
      <c r="V1529" s="18">
        <f>IF(COUNTA($B1529:$R1529)=0,"",ROUND(N($R1529)+N($S1529)+N($T1529)-N($U1529),2))</f>
        <v/>
      </c>
      <c r="W1529" s="18">
        <f>IF(COUNTA($B1529:$R1529)=0,"",IF(OR($X1529="Pago",$X1529="Recebido",$X1529="Cancelado"),0,ROUND(N($Q1529)+N($S1529)+N($T1529)-N($U1529)-N($R1529),2)))</f>
        <v/>
      </c>
      <c r="X1529" s="14" t="n"/>
      <c r="Y1529" s="17">
        <f>IF(COUNTA($B1529:$R1529)=0,"",IF($X1529="Cancelado","Cancelado",IF(OR($X1529="Pago",$X1529="Recebido"),$X1529,IF(OR($X1529="Parcial",N($R1529)&gt;0),"Parcial",IF($C1529="","Sem vencimento",IF($C1529&lt;TODAY(),"Vencido",IF($C1529=TODAY(),"Vence hoje",IF($C1529&lt;=TODAY()+7,"Vence em 7 dias",IF($C1529&lt;=TODAY()+30,"Vence em 30 dias","Futuro")))))))))</f>
        <v/>
      </c>
      <c r="Z1529" s="24">
        <f>IF($B1529="","",MONTH($B1529))</f>
        <v/>
      </c>
      <c r="AA1529" s="24">
        <f>IF($B1529="","",YEAR($B1529))</f>
        <v/>
      </c>
      <c r="AB1529" s="24">
        <f>IF($B1529="","",ISOWEEKNUM($B1529))</f>
        <v/>
      </c>
      <c r="AC1529" s="17">
        <f>IF($B1529="","",CHOOSE(WEEKDAY($B1529,2),"Segunda","Terça","Quarta","Quinta","Sexta","Sábado","Domingo"))</f>
        <v/>
      </c>
      <c r="AD1529" s="17">
        <f>IF($B1529="","",TEXT($B1529,"MM/AAAA"))</f>
        <v/>
      </c>
      <c r="AE1529" s="18">
        <f>IF(COUNTA($B1529:$R1529)=0,"",IF($X1529="Cancelado",0,ROUND(N($Q1529)+N($S1529)+N($T1529)-N($U1529),2)))</f>
        <v/>
      </c>
      <c r="AF1529" s="9">
        <f>IF($G1529="","",IFERROR(INDEX(LINHAS_DRE_PLANO,MATCH($G1529,SUBCATEGORIAS_PLANO,0)),"Não classificado"))</f>
        <v/>
      </c>
      <c r="AG1529" s="17">
        <f>IF($G1529="","",IFERROR(INDEX(TIPOS_FLUXO_PLANO,MATCH($G1529,SUBCATEGORIAS_PLANO,0)),"Não classificado"))</f>
        <v/>
      </c>
      <c r="AH1529" s="9">
        <f>IF($G1529="","",IFERROR(INDEX(GRUPOS_PLANO,MATCH($G1529,SUBCATEGORIAS_PLANO,0)),"Não classificado"))</f>
        <v/>
      </c>
      <c r="AI1529" s="24">
        <f>IF(OR($C1529="",$X1529="Pago",$X1529="Recebido",$X1529="Cancelado"),"",$C1529-TODAY())</f>
        <v/>
      </c>
      <c r="AJ1529" s="24">
        <f>IF(OR($C1529="",$X1529="Pago",$X1529="Recebido",$X1529="Cancelado"),0,MAX(0,TODAY()-$C1529))</f>
        <v/>
      </c>
      <c r="AK1529" s="24">
        <f>IF($D1529="","",$D1529-$B1529)</f>
        <v/>
      </c>
      <c r="AL1529" s="18">
        <f>IF(OR($D1529="",$B1529=""),"",ROUND(N($R1529)*($D1529-$B1529),2))</f>
        <v/>
      </c>
      <c r="AM1529" s="17">
        <f>IF(AND($E1529="Saída",$W1529&gt;0,$C1529&lt;&gt;""),$C1529+ROW()/1000000,"")</f>
        <v/>
      </c>
      <c r="AN1529" s="17">
        <f>IF(AND($E1529="Entrada",$W1529&gt;0,$C1529&lt;&gt;""),$C1529+ROW()/1000000,"")</f>
        <v/>
      </c>
      <c r="AO1529" s="9">
        <f>IF(COUNTA($B1529:$R1529)=0,"",IF(AND($I1529&lt;&gt;"",COUNTIF(CLIENTES_NOMES,$I1529)+COUNTIF(CLIENTES_FANTASIA,$I1529)+COUNTIF(FORNECEDORES_NOMES,$I1529)+COUNTIF(FORNECEDORES_FANTASIA,$I1529)=0),"⚠ Cliente/Fornecedor não cadastrado",IF(AND($G1529&lt;&gt;"",COUNTIF(SUBCATEGORIAS_PLANO,$G1529)=0),"⚠ Subcategoria fora do plano de contas",IF(OR($Q1529="",N($Q1529)=0),"⚠ Valor previsto não informado",IF(AND(OR($X1529="Pago",$X1529="Recebido"),$D1529=""),"⚠ Status pago/recebido sem data",IF(AND($D1529&lt;&gt;"",N($R1529)=0),"⚠ Data de pagamento sem valor realizado",IF(AND(N($P1529)&gt;1,N($O1529)&gt;N($P1529)),"⚠ Nº da parcela maior que o total",IF(AND($C1529&lt;&gt;"",$B1529&lt;&gt;"",$C1529&lt;$B1529),"⚠ Vencimento anterior à competência","OK"))))))))</f>
        <v/>
      </c>
    </row>
    <row r="1530">
      <c r="A1530" s="14" t="n"/>
      <c r="B1530" s="36" t="n"/>
      <c r="C1530" s="36" t="n"/>
      <c r="D1530" s="36" t="n"/>
      <c r="E1530" s="14" t="n"/>
      <c r="F1530" s="29" t="n"/>
      <c r="G1530" s="29" t="n"/>
      <c r="H1530" s="29" t="n"/>
      <c r="I1530" s="29" t="n"/>
      <c r="J1530" s="29" t="n"/>
      <c r="K1530" s="14" t="n"/>
      <c r="L1530" s="29" t="n"/>
      <c r="M1530" s="14" t="n"/>
      <c r="N1530" s="29" t="n"/>
      <c r="O1530" s="13" t="n"/>
      <c r="P1530" s="13" t="n"/>
      <c r="Q1530" s="35" t="n"/>
      <c r="R1530" s="35" t="n"/>
      <c r="S1530" s="35" t="n"/>
      <c r="T1530" s="35" t="n"/>
      <c r="U1530" s="35" t="n"/>
      <c r="V1530" s="18">
        <f>IF(COUNTA($B1530:$R1530)=0,"",ROUND(N($R1530)+N($S1530)+N($T1530)-N($U1530),2))</f>
        <v/>
      </c>
      <c r="W1530" s="18">
        <f>IF(COUNTA($B1530:$R1530)=0,"",IF(OR($X1530="Pago",$X1530="Recebido",$X1530="Cancelado"),0,ROUND(N($Q1530)+N($S1530)+N($T1530)-N($U1530)-N($R1530),2)))</f>
        <v/>
      </c>
      <c r="X1530" s="14" t="n"/>
      <c r="Y1530" s="17">
        <f>IF(COUNTA($B1530:$R1530)=0,"",IF($X1530="Cancelado","Cancelado",IF(OR($X1530="Pago",$X1530="Recebido"),$X1530,IF(OR($X1530="Parcial",N($R1530)&gt;0),"Parcial",IF($C1530="","Sem vencimento",IF($C1530&lt;TODAY(),"Vencido",IF($C1530=TODAY(),"Vence hoje",IF($C1530&lt;=TODAY()+7,"Vence em 7 dias",IF($C1530&lt;=TODAY()+30,"Vence em 30 dias","Futuro")))))))))</f>
        <v/>
      </c>
      <c r="Z1530" s="24">
        <f>IF($B1530="","",MONTH($B1530))</f>
        <v/>
      </c>
      <c r="AA1530" s="24">
        <f>IF($B1530="","",YEAR($B1530))</f>
        <v/>
      </c>
      <c r="AB1530" s="24">
        <f>IF($B1530="","",ISOWEEKNUM($B1530))</f>
        <v/>
      </c>
      <c r="AC1530" s="17">
        <f>IF($B1530="","",CHOOSE(WEEKDAY($B1530,2),"Segunda","Terça","Quarta","Quinta","Sexta","Sábado","Domingo"))</f>
        <v/>
      </c>
      <c r="AD1530" s="17">
        <f>IF($B1530="","",TEXT($B1530,"MM/AAAA"))</f>
        <v/>
      </c>
      <c r="AE1530" s="18">
        <f>IF(COUNTA($B1530:$R1530)=0,"",IF($X1530="Cancelado",0,ROUND(N($Q1530)+N($S1530)+N($T1530)-N($U1530),2)))</f>
        <v/>
      </c>
      <c r="AF1530" s="9">
        <f>IF($G1530="","",IFERROR(INDEX(LINHAS_DRE_PLANO,MATCH($G1530,SUBCATEGORIAS_PLANO,0)),"Não classificado"))</f>
        <v/>
      </c>
      <c r="AG1530" s="17">
        <f>IF($G1530="","",IFERROR(INDEX(TIPOS_FLUXO_PLANO,MATCH($G1530,SUBCATEGORIAS_PLANO,0)),"Não classificado"))</f>
        <v/>
      </c>
      <c r="AH1530" s="9">
        <f>IF($G1530="","",IFERROR(INDEX(GRUPOS_PLANO,MATCH($G1530,SUBCATEGORIAS_PLANO,0)),"Não classificado"))</f>
        <v/>
      </c>
      <c r="AI1530" s="24">
        <f>IF(OR($C1530="",$X1530="Pago",$X1530="Recebido",$X1530="Cancelado"),"",$C1530-TODAY())</f>
        <v/>
      </c>
      <c r="AJ1530" s="24">
        <f>IF(OR($C1530="",$X1530="Pago",$X1530="Recebido",$X1530="Cancelado"),0,MAX(0,TODAY()-$C1530))</f>
        <v/>
      </c>
      <c r="AK1530" s="24">
        <f>IF($D1530="","",$D1530-$B1530)</f>
        <v/>
      </c>
      <c r="AL1530" s="18">
        <f>IF(OR($D1530="",$B1530=""),"",ROUND(N($R1530)*($D1530-$B1530),2))</f>
        <v/>
      </c>
      <c r="AM1530" s="17">
        <f>IF(AND($E1530="Saída",$W1530&gt;0,$C1530&lt;&gt;""),$C1530+ROW()/1000000,"")</f>
        <v/>
      </c>
      <c r="AN1530" s="17">
        <f>IF(AND($E1530="Entrada",$W1530&gt;0,$C1530&lt;&gt;""),$C1530+ROW()/1000000,"")</f>
        <v/>
      </c>
      <c r="AO1530" s="9">
        <f>IF(COUNTA($B1530:$R1530)=0,"",IF(AND($I1530&lt;&gt;"",COUNTIF(CLIENTES_NOMES,$I1530)+COUNTIF(CLIENTES_FANTASIA,$I1530)+COUNTIF(FORNECEDORES_NOMES,$I1530)+COUNTIF(FORNECEDORES_FANTASIA,$I1530)=0),"⚠ Cliente/Fornecedor não cadastrado",IF(AND($G1530&lt;&gt;"",COUNTIF(SUBCATEGORIAS_PLANO,$G1530)=0),"⚠ Subcategoria fora do plano de contas",IF(OR($Q1530="",N($Q1530)=0),"⚠ Valor previsto não informado",IF(AND(OR($X1530="Pago",$X1530="Recebido"),$D1530=""),"⚠ Status pago/recebido sem data",IF(AND($D1530&lt;&gt;"",N($R1530)=0),"⚠ Data de pagamento sem valor realizado",IF(AND(N($P1530)&gt;1,N($O1530)&gt;N($P1530)),"⚠ Nº da parcela maior que o total",IF(AND($C1530&lt;&gt;"",$B1530&lt;&gt;"",$C1530&lt;$B1530),"⚠ Vencimento anterior à competência","OK"))))))))</f>
        <v/>
      </c>
    </row>
    <row r="1531">
      <c r="A1531" s="14" t="n"/>
      <c r="B1531" s="36" t="n"/>
      <c r="C1531" s="36" t="n"/>
      <c r="D1531" s="36" t="n"/>
      <c r="E1531" s="14" t="n"/>
      <c r="F1531" s="29" t="n"/>
      <c r="G1531" s="29" t="n"/>
      <c r="H1531" s="29" t="n"/>
      <c r="I1531" s="29" t="n"/>
      <c r="J1531" s="29" t="n"/>
      <c r="K1531" s="14" t="n"/>
      <c r="L1531" s="29" t="n"/>
      <c r="M1531" s="14" t="n"/>
      <c r="N1531" s="29" t="n"/>
      <c r="O1531" s="13" t="n"/>
      <c r="P1531" s="13" t="n"/>
      <c r="Q1531" s="35" t="n"/>
      <c r="R1531" s="35" t="n"/>
      <c r="S1531" s="35" t="n"/>
      <c r="T1531" s="35" t="n"/>
      <c r="U1531" s="35" t="n"/>
      <c r="V1531" s="18">
        <f>IF(COUNTA($B1531:$R1531)=0,"",ROUND(N($R1531)+N($S1531)+N($T1531)-N($U1531),2))</f>
        <v/>
      </c>
      <c r="W1531" s="18">
        <f>IF(COUNTA($B1531:$R1531)=0,"",IF(OR($X1531="Pago",$X1531="Recebido",$X1531="Cancelado"),0,ROUND(N($Q1531)+N($S1531)+N($T1531)-N($U1531)-N($R1531),2)))</f>
        <v/>
      </c>
      <c r="X1531" s="14" t="n"/>
      <c r="Y1531" s="17">
        <f>IF(COUNTA($B1531:$R1531)=0,"",IF($X1531="Cancelado","Cancelado",IF(OR($X1531="Pago",$X1531="Recebido"),$X1531,IF(OR($X1531="Parcial",N($R1531)&gt;0),"Parcial",IF($C1531="","Sem vencimento",IF($C1531&lt;TODAY(),"Vencido",IF($C1531=TODAY(),"Vence hoje",IF($C1531&lt;=TODAY()+7,"Vence em 7 dias",IF($C1531&lt;=TODAY()+30,"Vence em 30 dias","Futuro")))))))))</f>
        <v/>
      </c>
      <c r="Z1531" s="24">
        <f>IF($B1531="","",MONTH($B1531))</f>
        <v/>
      </c>
      <c r="AA1531" s="24">
        <f>IF($B1531="","",YEAR($B1531))</f>
        <v/>
      </c>
      <c r="AB1531" s="24">
        <f>IF($B1531="","",ISOWEEKNUM($B1531))</f>
        <v/>
      </c>
      <c r="AC1531" s="17">
        <f>IF($B1531="","",CHOOSE(WEEKDAY($B1531,2),"Segunda","Terça","Quarta","Quinta","Sexta","Sábado","Domingo"))</f>
        <v/>
      </c>
      <c r="AD1531" s="17">
        <f>IF($B1531="","",TEXT($B1531,"MM/AAAA"))</f>
        <v/>
      </c>
      <c r="AE1531" s="18">
        <f>IF(COUNTA($B1531:$R1531)=0,"",IF($X1531="Cancelado",0,ROUND(N($Q1531)+N($S1531)+N($T1531)-N($U1531),2)))</f>
        <v/>
      </c>
      <c r="AF1531" s="9">
        <f>IF($G1531="","",IFERROR(INDEX(LINHAS_DRE_PLANO,MATCH($G1531,SUBCATEGORIAS_PLANO,0)),"Não classificado"))</f>
        <v/>
      </c>
      <c r="AG1531" s="17">
        <f>IF($G1531="","",IFERROR(INDEX(TIPOS_FLUXO_PLANO,MATCH($G1531,SUBCATEGORIAS_PLANO,0)),"Não classificado"))</f>
        <v/>
      </c>
      <c r="AH1531" s="9">
        <f>IF($G1531="","",IFERROR(INDEX(GRUPOS_PLANO,MATCH($G1531,SUBCATEGORIAS_PLANO,0)),"Não classificado"))</f>
        <v/>
      </c>
      <c r="AI1531" s="24">
        <f>IF(OR($C1531="",$X1531="Pago",$X1531="Recebido",$X1531="Cancelado"),"",$C1531-TODAY())</f>
        <v/>
      </c>
      <c r="AJ1531" s="24">
        <f>IF(OR($C1531="",$X1531="Pago",$X1531="Recebido",$X1531="Cancelado"),0,MAX(0,TODAY()-$C1531))</f>
        <v/>
      </c>
      <c r="AK1531" s="24">
        <f>IF($D1531="","",$D1531-$B1531)</f>
        <v/>
      </c>
      <c r="AL1531" s="18">
        <f>IF(OR($D1531="",$B1531=""),"",ROUND(N($R1531)*($D1531-$B1531),2))</f>
        <v/>
      </c>
      <c r="AM1531" s="17">
        <f>IF(AND($E1531="Saída",$W1531&gt;0,$C1531&lt;&gt;""),$C1531+ROW()/1000000,"")</f>
        <v/>
      </c>
      <c r="AN1531" s="17">
        <f>IF(AND($E1531="Entrada",$W1531&gt;0,$C1531&lt;&gt;""),$C1531+ROW()/1000000,"")</f>
        <v/>
      </c>
      <c r="AO1531" s="9">
        <f>IF(COUNTA($B1531:$R1531)=0,"",IF(AND($I1531&lt;&gt;"",COUNTIF(CLIENTES_NOMES,$I1531)+COUNTIF(CLIENTES_FANTASIA,$I1531)+COUNTIF(FORNECEDORES_NOMES,$I1531)+COUNTIF(FORNECEDORES_FANTASIA,$I1531)=0),"⚠ Cliente/Fornecedor não cadastrado",IF(AND($G1531&lt;&gt;"",COUNTIF(SUBCATEGORIAS_PLANO,$G1531)=0),"⚠ Subcategoria fora do plano de contas",IF(OR($Q1531="",N($Q1531)=0),"⚠ Valor previsto não informado",IF(AND(OR($X1531="Pago",$X1531="Recebido"),$D1531=""),"⚠ Status pago/recebido sem data",IF(AND($D1531&lt;&gt;"",N($R1531)=0),"⚠ Data de pagamento sem valor realizado",IF(AND(N($P1531)&gt;1,N($O1531)&gt;N($P1531)),"⚠ Nº da parcela maior que o total",IF(AND($C1531&lt;&gt;"",$B1531&lt;&gt;"",$C1531&lt;$B1531),"⚠ Vencimento anterior à competência","OK"))))))))</f>
        <v/>
      </c>
    </row>
    <row r="1532">
      <c r="A1532" s="14" t="n"/>
      <c r="B1532" s="36" t="n"/>
      <c r="C1532" s="36" t="n"/>
      <c r="D1532" s="36" t="n"/>
      <c r="E1532" s="14" t="n"/>
      <c r="F1532" s="29" t="n"/>
      <c r="G1532" s="29" t="n"/>
      <c r="H1532" s="29" t="n"/>
      <c r="I1532" s="29" t="n"/>
      <c r="J1532" s="29" t="n"/>
      <c r="K1532" s="14" t="n"/>
      <c r="L1532" s="29" t="n"/>
      <c r="M1532" s="14" t="n"/>
      <c r="N1532" s="29" t="n"/>
      <c r="O1532" s="13" t="n"/>
      <c r="P1532" s="13" t="n"/>
      <c r="Q1532" s="35" t="n"/>
      <c r="R1532" s="35" t="n"/>
      <c r="S1532" s="35" t="n"/>
      <c r="T1532" s="35" t="n"/>
      <c r="U1532" s="35" t="n"/>
      <c r="V1532" s="18">
        <f>IF(COUNTA($B1532:$R1532)=0,"",ROUND(N($R1532)+N($S1532)+N($T1532)-N($U1532),2))</f>
        <v/>
      </c>
      <c r="W1532" s="18">
        <f>IF(COUNTA($B1532:$R1532)=0,"",IF(OR($X1532="Pago",$X1532="Recebido",$X1532="Cancelado"),0,ROUND(N($Q1532)+N($S1532)+N($T1532)-N($U1532)-N($R1532),2)))</f>
        <v/>
      </c>
      <c r="X1532" s="14" t="n"/>
      <c r="Y1532" s="17">
        <f>IF(COUNTA($B1532:$R1532)=0,"",IF($X1532="Cancelado","Cancelado",IF(OR($X1532="Pago",$X1532="Recebido"),$X1532,IF(OR($X1532="Parcial",N($R1532)&gt;0),"Parcial",IF($C1532="","Sem vencimento",IF($C1532&lt;TODAY(),"Vencido",IF($C1532=TODAY(),"Vence hoje",IF($C1532&lt;=TODAY()+7,"Vence em 7 dias",IF($C1532&lt;=TODAY()+30,"Vence em 30 dias","Futuro")))))))))</f>
        <v/>
      </c>
      <c r="Z1532" s="24">
        <f>IF($B1532="","",MONTH($B1532))</f>
        <v/>
      </c>
      <c r="AA1532" s="24">
        <f>IF($B1532="","",YEAR($B1532))</f>
        <v/>
      </c>
      <c r="AB1532" s="24">
        <f>IF($B1532="","",ISOWEEKNUM($B1532))</f>
        <v/>
      </c>
      <c r="AC1532" s="17">
        <f>IF($B1532="","",CHOOSE(WEEKDAY($B1532,2),"Segunda","Terça","Quarta","Quinta","Sexta","Sábado","Domingo"))</f>
        <v/>
      </c>
      <c r="AD1532" s="17">
        <f>IF($B1532="","",TEXT($B1532,"MM/AAAA"))</f>
        <v/>
      </c>
      <c r="AE1532" s="18">
        <f>IF(COUNTA($B1532:$R1532)=0,"",IF($X1532="Cancelado",0,ROUND(N($Q1532)+N($S1532)+N($T1532)-N($U1532),2)))</f>
        <v/>
      </c>
      <c r="AF1532" s="9">
        <f>IF($G1532="","",IFERROR(INDEX(LINHAS_DRE_PLANO,MATCH($G1532,SUBCATEGORIAS_PLANO,0)),"Não classificado"))</f>
        <v/>
      </c>
      <c r="AG1532" s="17">
        <f>IF($G1532="","",IFERROR(INDEX(TIPOS_FLUXO_PLANO,MATCH($G1532,SUBCATEGORIAS_PLANO,0)),"Não classificado"))</f>
        <v/>
      </c>
      <c r="AH1532" s="9">
        <f>IF($G1532="","",IFERROR(INDEX(GRUPOS_PLANO,MATCH($G1532,SUBCATEGORIAS_PLANO,0)),"Não classificado"))</f>
        <v/>
      </c>
      <c r="AI1532" s="24">
        <f>IF(OR($C1532="",$X1532="Pago",$X1532="Recebido",$X1532="Cancelado"),"",$C1532-TODAY())</f>
        <v/>
      </c>
      <c r="AJ1532" s="24">
        <f>IF(OR($C1532="",$X1532="Pago",$X1532="Recebido",$X1532="Cancelado"),0,MAX(0,TODAY()-$C1532))</f>
        <v/>
      </c>
      <c r="AK1532" s="24">
        <f>IF($D1532="","",$D1532-$B1532)</f>
        <v/>
      </c>
      <c r="AL1532" s="18">
        <f>IF(OR($D1532="",$B1532=""),"",ROUND(N($R1532)*($D1532-$B1532),2))</f>
        <v/>
      </c>
      <c r="AM1532" s="17">
        <f>IF(AND($E1532="Saída",$W1532&gt;0,$C1532&lt;&gt;""),$C1532+ROW()/1000000,"")</f>
        <v/>
      </c>
      <c r="AN1532" s="17">
        <f>IF(AND($E1532="Entrada",$W1532&gt;0,$C1532&lt;&gt;""),$C1532+ROW()/1000000,"")</f>
        <v/>
      </c>
      <c r="AO1532" s="9">
        <f>IF(COUNTA($B1532:$R1532)=0,"",IF(AND($I1532&lt;&gt;"",COUNTIF(CLIENTES_NOMES,$I1532)+COUNTIF(CLIENTES_FANTASIA,$I1532)+COUNTIF(FORNECEDORES_NOMES,$I1532)+COUNTIF(FORNECEDORES_FANTASIA,$I1532)=0),"⚠ Cliente/Fornecedor não cadastrado",IF(AND($G1532&lt;&gt;"",COUNTIF(SUBCATEGORIAS_PLANO,$G1532)=0),"⚠ Subcategoria fora do plano de contas",IF(OR($Q1532="",N($Q1532)=0),"⚠ Valor previsto não informado",IF(AND(OR($X1532="Pago",$X1532="Recebido"),$D1532=""),"⚠ Status pago/recebido sem data",IF(AND($D1532&lt;&gt;"",N($R1532)=0),"⚠ Data de pagamento sem valor realizado",IF(AND(N($P1532)&gt;1,N($O1532)&gt;N($P1532)),"⚠ Nº da parcela maior que o total",IF(AND($C1532&lt;&gt;"",$B1532&lt;&gt;"",$C1532&lt;$B1532),"⚠ Vencimento anterior à competência","OK"))))))))</f>
        <v/>
      </c>
    </row>
    <row r="1533">
      <c r="A1533" s="14" t="n"/>
      <c r="B1533" s="36" t="n"/>
      <c r="C1533" s="36" t="n"/>
      <c r="D1533" s="36" t="n"/>
      <c r="E1533" s="14" t="n"/>
      <c r="F1533" s="29" t="n"/>
      <c r="G1533" s="29" t="n"/>
      <c r="H1533" s="29" t="n"/>
      <c r="I1533" s="29" t="n"/>
      <c r="J1533" s="29" t="n"/>
      <c r="K1533" s="14" t="n"/>
      <c r="L1533" s="29" t="n"/>
      <c r="M1533" s="14" t="n"/>
      <c r="N1533" s="29" t="n"/>
      <c r="O1533" s="13" t="n"/>
      <c r="P1533" s="13" t="n"/>
      <c r="Q1533" s="35" t="n"/>
      <c r="R1533" s="35" t="n"/>
      <c r="S1533" s="35" t="n"/>
      <c r="T1533" s="35" t="n"/>
      <c r="U1533" s="35" t="n"/>
      <c r="V1533" s="18">
        <f>IF(COUNTA($B1533:$R1533)=0,"",ROUND(N($R1533)+N($S1533)+N($T1533)-N($U1533),2))</f>
        <v/>
      </c>
      <c r="W1533" s="18">
        <f>IF(COUNTA($B1533:$R1533)=0,"",IF(OR($X1533="Pago",$X1533="Recebido",$X1533="Cancelado"),0,ROUND(N($Q1533)+N($S1533)+N($T1533)-N($U1533)-N($R1533),2)))</f>
        <v/>
      </c>
      <c r="X1533" s="14" t="n"/>
      <c r="Y1533" s="17">
        <f>IF(COUNTA($B1533:$R1533)=0,"",IF($X1533="Cancelado","Cancelado",IF(OR($X1533="Pago",$X1533="Recebido"),$X1533,IF(OR($X1533="Parcial",N($R1533)&gt;0),"Parcial",IF($C1533="","Sem vencimento",IF($C1533&lt;TODAY(),"Vencido",IF($C1533=TODAY(),"Vence hoje",IF($C1533&lt;=TODAY()+7,"Vence em 7 dias",IF($C1533&lt;=TODAY()+30,"Vence em 30 dias","Futuro")))))))))</f>
        <v/>
      </c>
      <c r="Z1533" s="24">
        <f>IF($B1533="","",MONTH($B1533))</f>
        <v/>
      </c>
      <c r="AA1533" s="24">
        <f>IF($B1533="","",YEAR($B1533))</f>
        <v/>
      </c>
      <c r="AB1533" s="24">
        <f>IF($B1533="","",ISOWEEKNUM($B1533))</f>
        <v/>
      </c>
      <c r="AC1533" s="17">
        <f>IF($B1533="","",CHOOSE(WEEKDAY($B1533,2),"Segunda","Terça","Quarta","Quinta","Sexta","Sábado","Domingo"))</f>
        <v/>
      </c>
      <c r="AD1533" s="17">
        <f>IF($B1533="","",TEXT($B1533,"MM/AAAA"))</f>
        <v/>
      </c>
      <c r="AE1533" s="18">
        <f>IF(COUNTA($B1533:$R1533)=0,"",IF($X1533="Cancelado",0,ROUND(N($Q1533)+N($S1533)+N($T1533)-N($U1533),2)))</f>
        <v/>
      </c>
      <c r="AF1533" s="9">
        <f>IF($G1533="","",IFERROR(INDEX(LINHAS_DRE_PLANO,MATCH($G1533,SUBCATEGORIAS_PLANO,0)),"Não classificado"))</f>
        <v/>
      </c>
      <c r="AG1533" s="17">
        <f>IF($G1533="","",IFERROR(INDEX(TIPOS_FLUXO_PLANO,MATCH($G1533,SUBCATEGORIAS_PLANO,0)),"Não classificado"))</f>
        <v/>
      </c>
      <c r="AH1533" s="9">
        <f>IF($G1533="","",IFERROR(INDEX(GRUPOS_PLANO,MATCH($G1533,SUBCATEGORIAS_PLANO,0)),"Não classificado"))</f>
        <v/>
      </c>
      <c r="AI1533" s="24">
        <f>IF(OR($C1533="",$X1533="Pago",$X1533="Recebido",$X1533="Cancelado"),"",$C1533-TODAY())</f>
        <v/>
      </c>
      <c r="AJ1533" s="24">
        <f>IF(OR($C1533="",$X1533="Pago",$X1533="Recebido",$X1533="Cancelado"),0,MAX(0,TODAY()-$C1533))</f>
        <v/>
      </c>
      <c r="AK1533" s="24">
        <f>IF($D1533="","",$D1533-$B1533)</f>
        <v/>
      </c>
      <c r="AL1533" s="18">
        <f>IF(OR($D1533="",$B1533=""),"",ROUND(N($R1533)*($D1533-$B1533),2))</f>
        <v/>
      </c>
      <c r="AM1533" s="17">
        <f>IF(AND($E1533="Saída",$W1533&gt;0,$C1533&lt;&gt;""),$C1533+ROW()/1000000,"")</f>
        <v/>
      </c>
      <c r="AN1533" s="17">
        <f>IF(AND($E1533="Entrada",$W1533&gt;0,$C1533&lt;&gt;""),$C1533+ROW()/1000000,"")</f>
        <v/>
      </c>
      <c r="AO1533" s="9">
        <f>IF(COUNTA($B1533:$R1533)=0,"",IF(AND($I1533&lt;&gt;"",COUNTIF(CLIENTES_NOMES,$I1533)+COUNTIF(CLIENTES_FANTASIA,$I1533)+COUNTIF(FORNECEDORES_NOMES,$I1533)+COUNTIF(FORNECEDORES_FANTASIA,$I1533)=0),"⚠ Cliente/Fornecedor não cadastrado",IF(AND($G1533&lt;&gt;"",COUNTIF(SUBCATEGORIAS_PLANO,$G1533)=0),"⚠ Subcategoria fora do plano de contas",IF(OR($Q1533="",N($Q1533)=0),"⚠ Valor previsto não informado",IF(AND(OR($X1533="Pago",$X1533="Recebido"),$D1533=""),"⚠ Status pago/recebido sem data",IF(AND($D1533&lt;&gt;"",N($R1533)=0),"⚠ Data de pagamento sem valor realizado",IF(AND(N($P1533)&gt;1,N($O1533)&gt;N($P1533)),"⚠ Nº da parcela maior que o total",IF(AND($C1533&lt;&gt;"",$B1533&lt;&gt;"",$C1533&lt;$B1533),"⚠ Vencimento anterior à competência","OK"))))))))</f>
        <v/>
      </c>
    </row>
    <row r="1534">
      <c r="A1534" s="14" t="n"/>
      <c r="B1534" s="36" t="n"/>
      <c r="C1534" s="36" t="n"/>
      <c r="D1534" s="36" t="n"/>
      <c r="E1534" s="14" t="n"/>
      <c r="F1534" s="29" t="n"/>
      <c r="G1534" s="29" t="n"/>
      <c r="H1534" s="29" t="n"/>
      <c r="I1534" s="29" t="n"/>
      <c r="J1534" s="29" t="n"/>
      <c r="K1534" s="14" t="n"/>
      <c r="L1534" s="29" t="n"/>
      <c r="M1534" s="14" t="n"/>
      <c r="N1534" s="29" t="n"/>
      <c r="O1534" s="13" t="n"/>
      <c r="P1534" s="13" t="n"/>
      <c r="Q1534" s="35" t="n"/>
      <c r="R1534" s="35" t="n"/>
      <c r="S1534" s="35" t="n"/>
      <c r="T1534" s="35" t="n"/>
      <c r="U1534" s="35" t="n"/>
      <c r="V1534" s="18">
        <f>IF(COUNTA($B1534:$R1534)=0,"",ROUND(N($R1534)+N($S1534)+N($T1534)-N($U1534),2))</f>
        <v/>
      </c>
      <c r="W1534" s="18">
        <f>IF(COUNTA($B1534:$R1534)=0,"",IF(OR($X1534="Pago",$X1534="Recebido",$X1534="Cancelado"),0,ROUND(N($Q1534)+N($S1534)+N($T1534)-N($U1534)-N($R1534),2)))</f>
        <v/>
      </c>
      <c r="X1534" s="14" t="n"/>
      <c r="Y1534" s="17">
        <f>IF(COUNTA($B1534:$R1534)=0,"",IF($X1534="Cancelado","Cancelado",IF(OR($X1534="Pago",$X1534="Recebido"),$X1534,IF(OR($X1534="Parcial",N($R1534)&gt;0),"Parcial",IF($C1534="","Sem vencimento",IF($C1534&lt;TODAY(),"Vencido",IF($C1534=TODAY(),"Vence hoje",IF($C1534&lt;=TODAY()+7,"Vence em 7 dias",IF($C1534&lt;=TODAY()+30,"Vence em 30 dias","Futuro")))))))))</f>
        <v/>
      </c>
      <c r="Z1534" s="24">
        <f>IF($B1534="","",MONTH($B1534))</f>
        <v/>
      </c>
      <c r="AA1534" s="24">
        <f>IF($B1534="","",YEAR($B1534))</f>
        <v/>
      </c>
      <c r="AB1534" s="24">
        <f>IF($B1534="","",ISOWEEKNUM($B1534))</f>
        <v/>
      </c>
      <c r="AC1534" s="17">
        <f>IF($B1534="","",CHOOSE(WEEKDAY($B1534,2),"Segunda","Terça","Quarta","Quinta","Sexta","Sábado","Domingo"))</f>
        <v/>
      </c>
      <c r="AD1534" s="17">
        <f>IF($B1534="","",TEXT($B1534,"MM/AAAA"))</f>
        <v/>
      </c>
      <c r="AE1534" s="18">
        <f>IF(COUNTA($B1534:$R1534)=0,"",IF($X1534="Cancelado",0,ROUND(N($Q1534)+N($S1534)+N($T1534)-N($U1534),2)))</f>
        <v/>
      </c>
      <c r="AF1534" s="9">
        <f>IF($G1534="","",IFERROR(INDEX(LINHAS_DRE_PLANO,MATCH($G1534,SUBCATEGORIAS_PLANO,0)),"Não classificado"))</f>
        <v/>
      </c>
      <c r="AG1534" s="17">
        <f>IF($G1534="","",IFERROR(INDEX(TIPOS_FLUXO_PLANO,MATCH($G1534,SUBCATEGORIAS_PLANO,0)),"Não classificado"))</f>
        <v/>
      </c>
      <c r="AH1534" s="9">
        <f>IF($G1534="","",IFERROR(INDEX(GRUPOS_PLANO,MATCH($G1534,SUBCATEGORIAS_PLANO,0)),"Não classificado"))</f>
        <v/>
      </c>
      <c r="AI1534" s="24">
        <f>IF(OR($C1534="",$X1534="Pago",$X1534="Recebido",$X1534="Cancelado"),"",$C1534-TODAY())</f>
        <v/>
      </c>
      <c r="AJ1534" s="24">
        <f>IF(OR($C1534="",$X1534="Pago",$X1534="Recebido",$X1534="Cancelado"),0,MAX(0,TODAY()-$C1534))</f>
        <v/>
      </c>
      <c r="AK1534" s="24">
        <f>IF($D1534="","",$D1534-$B1534)</f>
        <v/>
      </c>
      <c r="AL1534" s="18">
        <f>IF(OR($D1534="",$B1534=""),"",ROUND(N($R1534)*($D1534-$B1534),2))</f>
        <v/>
      </c>
      <c r="AM1534" s="17">
        <f>IF(AND($E1534="Saída",$W1534&gt;0,$C1534&lt;&gt;""),$C1534+ROW()/1000000,"")</f>
        <v/>
      </c>
      <c r="AN1534" s="17">
        <f>IF(AND($E1534="Entrada",$W1534&gt;0,$C1534&lt;&gt;""),$C1534+ROW()/1000000,"")</f>
        <v/>
      </c>
      <c r="AO1534" s="9">
        <f>IF(COUNTA($B1534:$R1534)=0,"",IF(AND($I1534&lt;&gt;"",COUNTIF(CLIENTES_NOMES,$I1534)+COUNTIF(CLIENTES_FANTASIA,$I1534)+COUNTIF(FORNECEDORES_NOMES,$I1534)+COUNTIF(FORNECEDORES_FANTASIA,$I1534)=0),"⚠ Cliente/Fornecedor não cadastrado",IF(AND($G1534&lt;&gt;"",COUNTIF(SUBCATEGORIAS_PLANO,$G1534)=0),"⚠ Subcategoria fora do plano de contas",IF(OR($Q1534="",N($Q1534)=0),"⚠ Valor previsto não informado",IF(AND(OR($X1534="Pago",$X1534="Recebido"),$D1534=""),"⚠ Status pago/recebido sem data",IF(AND($D1534&lt;&gt;"",N($R1534)=0),"⚠ Data de pagamento sem valor realizado",IF(AND(N($P1534)&gt;1,N($O1534)&gt;N($P1534)),"⚠ Nº da parcela maior que o total",IF(AND($C1534&lt;&gt;"",$B1534&lt;&gt;"",$C1534&lt;$B1534),"⚠ Vencimento anterior à competência","OK"))))))))</f>
        <v/>
      </c>
    </row>
    <row r="1535">
      <c r="A1535" s="14" t="n"/>
      <c r="B1535" s="36" t="n"/>
      <c r="C1535" s="36" t="n"/>
      <c r="D1535" s="36" t="n"/>
      <c r="E1535" s="14" t="n"/>
      <c r="F1535" s="29" t="n"/>
      <c r="G1535" s="29" t="n"/>
      <c r="H1535" s="29" t="n"/>
      <c r="I1535" s="29" t="n"/>
      <c r="J1535" s="29" t="n"/>
      <c r="K1535" s="14" t="n"/>
      <c r="L1535" s="29" t="n"/>
      <c r="M1535" s="14" t="n"/>
      <c r="N1535" s="29" t="n"/>
      <c r="O1535" s="13" t="n"/>
      <c r="P1535" s="13" t="n"/>
      <c r="Q1535" s="35" t="n"/>
      <c r="R1535" s="35" t="n"/>
      <c r="S1535" s="35" t="n"/>
      <c r="T1535" s="35" t="n"/>
      <c r="U1535" s="35" t="n"/>
      <c r="V1535" s="18">
        <f>IF(COUNTA($B1535:$R1535)=0,"",ROUND(N($R1535)+N($S1535)+N($T1535)-N($U1535),2))</f>
        <v/>
      </c>
      <c r="W1535" s="18">
        <f>IF(COUNTA($B1535:$R1535)=0,"",IF(OR($X1535="Pago",$X1535="Recebido",$X1535="Cancelado"),0,ROUND(N($Q1535)+N($S1535)+N($T1535)-N($U1535)-N($R1535),2)))</f>
        <v/>
      </c>
      <c r="X1535" s="14" t="n"/>
      <c r="Y1535" s="17">
        <f>IF(COUNTA($B1535:$R1535)=0,"",IF($X1535="Cancelado","Cancelado",IF(OR($X1535="Pago",$X1535="Recebido"),$X1535,IF(OR($X1535="Parcial",N($R1535)&gt;0),"Parcial",IF($C1535="","Sem vencimento",IF($C1535&lt;TODAY(),"Vencido",IF($C1535=TODAY(),"Vence hoje",IF($C1535&lt;=TODAY()+7,"Vence em 7 dias",IF($C1535&lt;=TODAY()+30,"Vence em 30 dias","Futuro")))))))))</f>
        <v/>
      </c>
      <c r="Z1535" s="24">
        <f>IF($B1535="","",MONTH($B1535))</f>
        <v/>
      </c>
      <c r="AA1535" s="24">
        <f>IF($B1535="","",YEAR($B1535))</f>
        <v/>
      </c>
      <c r="AB1535" s="24">
        <f>IF($B1535="","",ISOWEEKNUM($B1535))</f>
        <v/>
      </c>
      <c r="AC1535" s="17">
        <f>IF($B1535="","",CHOOSE(WEEKDAY($B1535,2),"Segunda","Terça","Quarta","Quinta","Sexta","Sábado","Domingo"))</f>
        <v/>
      </c>
      <c r="AD1535" s="17">
        <f>IF($B1535="","",TEXT($B1535,"MM/AAAA"))</f>
        <v/>
      </c>
      <c r="AE1535" s="18">
        <f>IF(COUNTA($B1535:$R1535)=0,"",IF($X1535="Cancelado",0,ROUND(N($Q1535)+N($S1535)+N($T1535)-N($U1535),2)))</f>
        <v/>
      </c>
      <c r="AF1535" s="9">
        <f>IF($G1535="","",IFERROR(INDEX(LINHAS_DRE_PLANO,MATCH($G1535,SUBCATEGORIAS_PLANO,0)),"Não classificado"))</f>
        <v/>
      </c>
      <c r="AG1535" s="17">
        <f>IF($G1535="","",IFERROR(INDEX(TIPOS_FLUXO_PLANO,MATCH($G1535,SUBCATEGORIAS_PLANO,0)),"Não classificado"))</f>
        <v/>
      </c>
      <c r="AH1535" s="9">
        <f>IF($G1535="","",IFERROR(INDEX(GRUPOS_PLANO,MATCH($G1535,SUBCATEGORIAS_PLANO,0)),"Não classificado"))</f>
        <v/>
      </c>
      <c r="AI1535" s="24">
        <f>IF(OR($C1535="",$X1535="Pago",$X1535="Recebido",$X1535="Cancelado"),"",$C1535-TODAY())</f>
        <v/>
      </c>
      <c r="AJ1535" s="24">
        <f>IF(OR($C1535="",$X1535="Pago",$X1535="Recebido",$X1535="Cancelado"),0,MAX(0,TODAY()-$C1535))</f>
        <v/>
      </c>
      <c r="AK1535" s="24">
        <f>IF($D1535="","",$D1535-$B1535)</f>
        <v/>
      </c>
      <c r="AL1535" s="18">
        <f>IF(OR($D1535="",$B1535=""),"",ROUND(N($R1535)*($D1535-$B1535),2))</f>
        <v/>
      </c>
      <c r="AM1535" s="17">
        <f>IF(AND($E1535="Saída",$W1535&gt;0,$C1535&lt;&gt;""),$C1535+ROW()/1000000,"")</f>
        <v/>
      </c>
      <c r="AN1535" s="17">
        <f>IF(AND($E1535="Entrada",$W1535&gt;0,$C1535&lt;&gt;""),$C1535+ROW()/1000000,"")</f>
        <v/>
      </c>
      <c r="AO1535" s="9">
        <f>IF(COUNTA($B1535:$R1535)=0,"",IF(AND($I1535&lt;&gt;"",COUNTIF(CLIENTES_NOMES,$I1535)+COUNTIF(CLIENTES_FANTASIA,$I1535)+COUNTIF(FORNECEDORES_NOMES,$I1535)+COUNTIF(FORNECEDORES_FANTASIA,$I1535)=0),"⚠ Cliente/Fornecedor não cadastrado",IF(AND($G1535&lt;&gt;"",COUNTIF(SUBCATEGORIAS_PLANO,$G1535)=0),"⚠ Subcategoria fora do plano de contas",IF(OR($Q1535="",N($Q1535)=0),"⚠ Valor previsto não informado",IF(AND(OR($X1535="Pago",$X1535="Recebido"),$D1535=""),"⚠ Status pago/recebido sem data",IF(AND($D1535&lt;&gt;"",N($R1535)=0),"⚠ Data de pagamento sem valor realizado",IF(AND(N($P1535)&gt;1,N($O1535)&gt;N($P1535)),"⚠ Nº da parcela maior que o total",IF(AND($C1535&lt;&gt;"",$B1535&lt;&gt;"",$C1535&lt;$B1535),"⚠ Vencimento anterior à competência","OK"))))))))</f>
        <v/>
      </c>
    </row>
    <row r="1536">
      <c r="A1536" s="14" t="n"/>
      <c r="B1536" s="36" t="n"/>
      <c r="C1536" s="36" t="n"/>
      <c r="D1536" s="36" t="n"/>
      <c r="E1536" s="14" t="n"/>
      <c r="F1536" s="29" t="n"/>
      <c r="G1536" s="29" t="n"/>
      <c r="H1536" s="29" t="n"/>
      <c r="I1536" s="29" t="n"/>
      <c r="J1536" s="29" t="n"/>
      <c r="K1536" s="14" t="n"/>
      <c r="L1536" s="29" t="n"/>
      <c r="M1536" s="14" t="n"/>
      <c r="N1536" s="29" t="n"/>
      <c r="O1536" s="13" t="n"/>
      <c r="P1536" s="13" t="n"/>
      <c r="Q1536" s="35" t="n"/>
      <c r="R1536" s="35" t="n"/>
      <c r="S1536" s="35" t="n"/>
      <c r="T1536" s="35" t="n"/>
      <c r="U1536" s="35" t="n"/>
      <c r="V1536" s="18">
        <f>IF(COUNTA($B1536:$R1536)=0,"",ROUND(N($R1536)+N($S1536)+N($T1536)-N($U1536),2))</f>
        <v/>
      </c>
      <c r="W1536" s="18">
        <f>IF(COUNTA($B1536:$R1536)=0,"",IF(OR($X1536="Pago",$X1536="Recebido",$X1536="Cancelado"),0,ROUND(N($Q1536)+N($S1536)+N($T1536)-N($U1536)-N($R1536),2)))</f>
        <v/>
      </c>
      <c r="X1536" s="14" t="n"/>
      <c r="Y1536" s="17">
        <f>IF(COUNTA($B1536:$R1536)=0,"",IF($X1536="Cancelado","Cancelado",IF(OR($X1536="Pago",$X1536="Recebido"),$X1536,IF(OR($X1536="Parcial",N($R1536)&gt;0),"Parcial",IF($C1536="","Sem vencimento",IF($C1536&lt;TODAY(),"Vencido",IF($C1536=TODAY(),"Vence hoje",IF($C1536&lt;=TODAY()+7,"Vence em 7 dias",IF($C1536&lt;=TODAY()+30,"Vence em 30 dias","Futuro")))))))))</f>
        <v/>
      </c>
      <c r="Z1536" s="24">
        <f>IF($B1536="","",MONTH($B1536))</f>
        <v/>
      </c>
      <c r="AA1536" s="24">
        <f>IF($B1536="","",YEAR($B1536))</f>
        <v/>
      </c>
      <c r="AB1536" s="24">
        <f>IF($B1536="","",ISOWEEKNUM($B1536))</f>
        <v/>
      </c>
      <c r="AC1536" s="17">
        <f>IF($B1536="","",CHOOSE(WEEKDAY($B1536,2),"Segunda","Terça","Quarta","Quinta","Sexta","Sábado","Domingo"))</f>
        <v/>
      </c>
      <c r="AD1536" s="17">
        <f>IF($B1536="","",TEXT($B1536,"MM/AAAA"))</f>
        <v/>
      </c>
      <c r="AE1536" s="18">
        <f>IF(COUNTA($B1536:$R1536)=0,"",IF($X1536="Cancelado",0,ROUND(N($Q1536)+N($S1536)+N($T1536)-N($U1536),2)))</f>
        <v/>
      </c>
      <c r="AF1536" s="9">
        <f>IF($G1536="","",IFERROR(INDEX(LINHAS_DRE_PLANO,MATCH($G1536,SUBCATEGORIAS_PLANO,0)),"Não classificado"))</f>
        <v/>
      </c>
      <c r="AG1536" s="17">
        <f>IF($G1536="","",IFERROR(INDEX(TIPOS_FLUXO_PLANO,MATCH($G1536,SUBCATEGORIAS_PLANO,0)),"Não classificado"))</f>
        <v/>
      </c>
      <c r="AH1536" s="9">
        <f>IF($G1536="","",IFERROR(INDEX(GRUPOS_PLANO,MATCH($G1536,SUBCATEGORIAS_PLANO,0)),"Não classificado"))</f>
        <v/>
      </c>
      <c r="AI1536" s="24">
        <f>IF(OR($C1536="",$X1536="Pago",$X1536="Recebido",$X1536="Cancelado"),"",$C1536-TODAY())</f>
        <v/>
      </c>
      <c r="AJ1536" s="24">
        <f>IF(OR($C1536="",$X1536="Pago",$X1536="Recebido",$X1536="Cancelado"),0,MAX(0,TODAY()-$C1536))</f>
        <v/>
      </c>
      <c r="AK1536" s="24">
        <f>IF($D1536="","",$D1536-$B1536)</f>
        <v/>
      </c>
      <c r="AL1536" s="18">
        <f>IF(OR($D1536="",$B1536=""),"",ROUND(N($R1536)*($D1536-$B1536),2))</f>
        <v/>
      </c>
      <c r="AM1536" s="17">
        <f>IF(AND($E1536="Saída",$W1536&gt;0,$C1536&lt;&gt;""),$C1536+ROW()/1000000,"")</f>
        <v/>
      </c>
      <c r="AN1536" s="17">
        <f>IF(AND($E1536="Entrada",$W1536&gt;0,$C1536&lt;&gt;""),$C1536+ROW()/1000000,"")</f>
        <v/>
      </c>
      <c r="AO1536" s="9">
        <f>IF(COUNTA($B1536:$R1536)=0,"",IF(AND($I1536&lt;&gt;"",COUNTIF(CLIENTES_NOMES,$I1536)+COUNTIF(CLIENTES_FANTASIA,$I1536)+COUNTIF(FORNECEDORES_NOMES,$I1536)+COUNTIF(FORNECEDORES_FANTASIA,$I1536)=0),"⚠ Cliente/Fornecedor não cadastrado",IF(AND($G1536&lt;&gt;"",COUNTIF(SUBCATEGORIAS_PLANO,$G1536)=0),"⚠ Subcategoria fora do plano de contas",IF(OR($Q1536="",N($Q1536)=0),"⚠ Valor previsto não informado",IF(AND(OR($X1536="Pago",$X1536="Recebido"),$D1536=""),"⚠ Status pago/recebido sem data",IF(AND($D1536&lt;&gt;"",N($R1536)=0),"⚠ Data de pagamento sem valor realizado",IF(AND(N($P1536)&gt;1,N($O1536)&gt;N($P1536)),"⚠ Nº da parcela maior que o total",IF(AND($C1536&lt;&gt;"",$B1536&lt;&gt;"",$C1536&lt;$B1536),"⚠ Vencimento anterior à competência","OK"))))))))</f>
        <v/>
      </c>
    </row>
    <row r="1537">
      <c r="A1537" s="14" t="n"/>
      <c r="B1537" s="36" t="n"/>
      <c r="C1537" s="36" t="n"/>
      <c r="D1537" s="36" t="n"/>
      <c r="E1537" s="14" t="n"/>
      <c r="F1537" s="29" t="n"/>
      <c r="G1537" s="29" t="n"/>
      <c r="H1537" s="29" t="n"/>
      <c r="I1537" s="29" t="n"/>
      <c r="J1537" s="29" t="n"/>
      <c r="K1537" s="14" t="n"/>
      <c r="L1537" s="29" t="n"/>
      <c r="M1537" s="14" t="n"/>
      <c r="N1537" s="29" t="n"/>
      <c r="O1537" s="13" t="n"/>
      <c r="P1537" s="13" t="n"/>
      <c r="Q1537" s="35" t="n"/>
      <c r="R1537" s="35" t="n"/>
      <c r="S1537" s="35" t="n"/>
      <c r="T1537" s="35" t="n"/>
      <c r="U1537" s="35" t="n"/>
      <c r="V1537" s="18">
        <f>IF(COUNTA($B1537:$R1537)=0,"",ROUND(N($R1537)+N($S1537)+N($T1537)-N($U1537),2))</f>
        <v/>
      </c>
      <c r="W1537" s="18">
        <f>IF(COUNTA($B1537:$R1537)=0,"",IF(OR($X1537="Pago",$X1537="Recebido",$X1537="Cancelado"),0,ROUND(N($Q1537)+N($S1537)+N($T1537)-N($U1537)-N($R1537),2)))</f>
        <v/>
      </c>
      <c r="X1537" s="14" t="n"/>
      <c r="Y1537" s="17">
        <f>IF(COUNTA($B1537:$R1537)=0,"",IF($X1537="Cancelado","Cancelado",IF(OR($X1537="Pago",$X1537="Recebido"),$X1537,IF(OR($X1537="Parcial",N($R1537)&gt;0),"Parcial",IF($C1537="","Sem vencimento",IF($C1537&lt;TODAY(),"Vencido",IF($C1537=TODAY(),"Vence hoje",IF($C1537&lt;=TODAY()+7,"Vence em 7 dias",IF($C1537&lt;=TODAY()+30,"Vence em 30 dias","Futuro")))))))))</f>
        <v/>
      </c>
      <c r="Z1537" s="24">
        <f>IF($B1537="","",MONTH($B1537))</f>
        <v/>
      </c>
      <c r="AA1537" s="24">
        <f>IF($B1537="","",YEAR($B1537))</f>
        <v/>
      </c>
      <c r="AB1537" s="24">
        <f>IF($B1537="","",ISOWEEKNUM($B1537))</f>
        <v/>
      </c>
      <c r="AC1537" s="17">
        <f>IF($B1537="","",CHOOSE(WEEKDAY($B1537,2),"Segunda","Terça","Quarta","Quinta","Sexta","Sábado","Domingo"))</f>
        <v/>
      </c>
      <c r="AD1537" s="17">
        <f>IF($B1537="","",TEXT($B1537,"MM/AAAA"))</f>
        <v/>
      </c>
      <c r="AE1537" s="18">
        <f>IF(COUNTA($B1537:$R1537)=0,"",IF($X1537="Cancelado",0,ROUND(N($Q1537)+N($S1537)+N($T1537)-N($U1537),2)))</f>
        <v/>
      </c>
      <c r="AF1537" s="9">
        <f>IF($G1537="","",IFERROR(INDEX(LINHAS_DRE_PLANO,MATCH($G1537,SUBCATEGORIAS_PLANO,0)),"Não classificado"))</f>
        <v/>
      </c>
      <c r="AG1537" s="17">
        <f>IF($G1537="","",IFERROR(INDEX(TIPOS_FLUXO_PLANO,MATCH($G1537,SUBCATEGORIAS_PLANO,0)),"Não classificado"))</f>
        <v/>
      </c>
      <c r="AH1537" s="9">
        <f>IF($G1537="","",IFERROR(INDEX(GRUPOS_PLANO,MATCH($G1537,SUBCATEGORIAS_PLANO,0)),"Não classificado"))</f>
        <v/>
      </c>
      <c r="AI1537" s="24">
        <f>IF(OR($C1537="",$X1537="Pago",$X1537="Recebido",$X1537="Cancelado"),"",$C1537-TODAY())</f>
        <v/>
      </c>
      <c r="AJ1537" s="24">
        <f>IF(OR($C1537="",$X1537="Pago",$X1537="Recebido",$X1537="Cancelado"),0,MAX(0,TODAY()-$C1537))</f>
        <v/>
      </c>
      <c r="AK1537" s="24">
        <f>IF($D1537="","",$D1537-$B1537)</f>
        <v/>
      </c>
      <c r="AL1537" s="18">
        <f>IF(OR($D1537="",$B1537=""),"",ROUND(N($R1537)*($D1537-$B1537),2))</f>
        <v/>
      </c>
      <c r="AM1537" s="17">
        <f>IF(AND($E1537="Saída",$W1537&gt;0,$C1537&lt;&gt;""),$C1537+ROW()/1000000,"")</f>
        <v/>
      </c>
      <c r="AN1537" s="17">
        <f>IF(AND($E1537="Entrada",$W1537&gt;0,$C1537&lt;&gt;""),$C1537+ROW()/1000000,"")</f>
        <v/>
      </c>
      <c r="AO1537" s="9">
        <f>IF(COUNTA($B1537:$R1537)=0,"",IF(AND($I1537&lt;&gt;"",COUNTIF(CLIENTES_NOMES,$I1537)+COUNTIF(CLIENTES_FANTASIA,$I1537)+COUNTIF(FORNECEDORES_NOMES,$I1537)+COUNTIF(FORNECEDORES_FANTASIA,$I1537)=0),"⚠ Cliente/Fornecedor não cadastrado",IF(AND($G1537&lt;&gt;"",COUNTIF(SUBCATEGORIAS_PLANO,$G1537)=0),"⚠ Subcategoria fora do plano de contas",IF(OR($Q1537="",N($Q1537)=0),"⚠ Valor previsto não informado",IF(AND(OR($X1537="Pago",$X1537="Recebido"),$D1537=""),"⚠ Status pago/recebido sem data",IF(AND($D1537&lt;&gt;"",N($R1537)=0),"⚠ Data de pagamento sem valor realizado",IF(AND(N($P1537)&gt;1,N($O1537)&gt;N($P1537)),"⚠ Nº da parcela maior que o total",IF(AND($C1537&lt;&gt;"",$B1537&lt;&gt;"",$C1537&lt;$B1537),"⚠ Vencimento anterior à competência","OK"))))))))</f>
        <v/>
      </c>
    </row>
    <row r="1538">
      <c r="A1538" s="14" t="n"/>
      <c r="B1538" s="36" t="n"/>
      <c r="C1538" s="36" t="n"/>
      <c r="D1538" s="36" t="n"/>
      <c r="E1538" s="14" t="n"/>
      <c r="F1538" s="29" t="n"/>
      <c r="G1538" s="29" t="n"/>
      <c r="H1538" s="29" t="n"/>
      <c r="I1538" s="29" t="n"/>
      <c r="J1538" s="29" t="n"/>
      <c r="K1538" s="14" t="n"/>
      <c r="L1538" s="29" t="n"/>
      <c r="M1538" s="14" t="n"/>
      <c r="N1538" s="29" t="n"/>
      <c r="O1538" s="13" t="n"/>
      <c r="P1538" s="13" t="n"/>
      <c r="Q1538" s="35" t="n"/>
      <c r="R1538" s="35" t="n"/>
      <c r="S1538" s="35" t="n"/>
      <c r="T1538" s="35" t="n"/>
      <c r="U1538" s="35" t="n"/>
      <c r="V1538" s="18">
        <f>IF(COUNTA($B1538:$R1538)=0,"",ROUND(N($R1538)+N($S1538)+N($T1538)-N($U1538),2))</f>
        <v/>
      </c>
      <c r="W1538" s="18">
        <f>IF(COUNTA($B1538:$R1538)=0,"",IF(OR($X1538="Pago",$X1538="Recebido",$X1538="Cancelado"),0,ROUND(N($Q1538)+N($S1538)+N($T1538)-N($U1538)-N($R1538),2)))</f>
        <v/>
      </c>
      <c r="X1538" s="14" t="n"/>
      <c r="Y1538" s="17">
        <f>IF(COUNTA($B1538:$R1538)=0,"",IF($X1538="Cancelado","Cancelado",IF(OR($X1538="Pago",$X1538="Recebido"),$X1538,IF(OR($X1538="Parcial",N($R1538)&gt;0),"Parcial",IF($C1538="","Sem vencimento",IF($C1538&lt;TODAY(),"Vencido",IF($C1538=TODAY(),"Vence hoje",IF($C1538&lt;=TODAY()+7,"Vence em 7 dias",IF($C1538&lt;=TODAY()+30,"Vence em 30 dias","Futuro")))))))))</f>
        <v/>
      </c>
      <c r="Z1538" s="24">
        <f>IF($B1538="","",MONTH($B1538))</f>
        <v/>
      </c>
      <c r="AA1538" s="24">
        <f>IF($B1538="","",YEAR($B1538))</f>
        <v/>
      </c>
      <c r="AB1538" s="24">
        <f>IF($B1538="","",ISOWEEKNUM($B1538))</f>
        <v/>
      </c>
      <c r="AC1538" s="17">
        <f>IF($B1538="","",CHOOSE(WEEKDAY($B1538,2),"Segunda","Terça","Quarta","Quinta","Sexta","Sábado","Domingo"))</f>
        <v/>
      </c>
      <c r="AD1538" s="17">
        <f>IF($B1538="","",TEXT($B1538,"MM/AAAA"))</f>
        <v/>
      </c>
      <c r="AE1538" s="18">
        <f>IF(COUNTA($B1538:$R1538)=0,"",IF($X1538="Cancelado",0,ROUND(N($Q1538)+N($S1538)+N($T1538)-N($U1538),2)))</f>
        <v/>
      </c>
      <c r="AF1538" s="9">
        <f>IF($G1538="","",IFERROR(INDEX(LINHAS_DRE_PLANO,MATCH($G1538,SUBCATEGORIAS_PLANO,0)),"Não classificado"))</f>
        <v/>
      </c>
      <c r="AG1538" s="17">
        <f>IF($G1538="","",IFERROR(INDEX(TIPOS_FLUXO_PLANO,MATCH($G1538,SUBCATEGORIAS_PLANO,0)),"Não classificado"))</f>
        <v/>
      </c>
      <c r="AH1538" s="9">
        <f>IF($G1538="","",IFERROR(INDEX(GRUPOS_PLANO,MATCH($G1538,SUBCATEGORIAS_PLANO,0)),"Não classificado"))</f>
        <v/>
      </c>
      <c r="AI1538" s="24">
        <f>IF(OR($C1538="",$X1538="Pago",$X1538="Recebido",$X1538="Cancelado"),"",$C1538-TODAY())</f>
        <v/>
      </c>
      <c r="AJ1538" s="24">
        <f>IF(OR($C1538="",$X1538="Pago",$X1538="Recebido",$X1538="Cancelado"),0,MAX(0,TODAY()-$C1538))</f>
        <v/>
      </c>
      <c r="AK1538" s="24">
        <f>IF($D1538="","",$D1538-$B1538)</f>
        <v/>
      </c>
      <c r="AL1538" s="18">
        <f>IF(OR($D1538="",$B1538=""),"",ROUND(N($R1538)*($D1538-$B1538),2))</f>
        <v/>
      </c>
      <c r="AM1538" s="17">
        <f>IF(AND($E1538="Saída",$W1538&gt;0,$C1538&lt;&gt;""),$C1538+ROW()/1000000,"")</f>
        <v/>
      </c>
      <c r="AN1538" s="17">
        <f>IF(AND($E1538="Entrada",$W1538&gt;0,$C1538&lt;&gt;""),$C1538+ROW()/1000000,"")</f>
        <v/>
      </c>
      <c r="AO1538" s="9">
        <f>IF(COUNTA($B1538:$R1538)=0,"",IF(AND($I1538&lt;&gt;"",COUNTIF(CLIENTES_NOMES,$I1538)+COUNTIF(CLIENTES_FANTASIA,$I1538)+COUNTIF(FORNECEDORES_NOMES,$I1538)+COUNTIF(FORNECEDORES_FANTASIA,$I1538)=0),"⚠ Cliente/Fornecedor não cadastrado",IF(AND($G1538&lt;&gt;"",COUNTIF(SUBCATEGORIAS_PLANO,$G1538)=0),"⚠ Subcategoria fora do plano de contas",IF(OR($Q1538="",N($Q1538)=0),"⚠ Valor previsto não informado",IF(AND(OR($X1538="Pago",$X1538="Recebido"),$D1538=""),"⚠ Status pago/recebido sem data",IF(AND($D1538&lt;&gt;"",N($R1538)=0),"⚠ Data de pagamento sem valor realizado",IF(AND(N($P1538)&gt;1,N($O1538)&gt;N($P1538)),"⚠ Nº da parcela maior que o total",IF(AND($C1538&lt;&gt;"",$B1538&lt;&gt;"",$C1538&lt;$B1538),"⚠ Vencimento anterior à competência","OK"))))))))</f>
        <v/>
      </c>
    </row>
    <row r="1539">
      <c r="A1539" s="14" t="n"/>
      <c r="B1539" s="36" t="n"/>
      <c r="C1539" s="36" t="n"/>
      <c r="D1539" s="36" t="n"/>
      <c r="E1539" s="14" t="n"/>
      <c r="F1539" s="29" t="n"/>
      <c r="G1539" s="29" t="n"/>
      <c r="H1539" s="29" t="n"/>
      <c r="I1539" s="29" t="n"/>
      <c r="J1539" s="29" t="n"/>
      <c r="K1539" s="14" t="n"/>
      <c r="L1539" s="29" t="n"/>
      <c r="M1539" s="14" t="n"/>
      <c r="N1539" s="29" t="n"/>
      <c r="O1539" s="13" t="n"/>
      <c r="P1539" s="13" t="n"/>
      <c r="Q1539" s="35" t="n"/>
      <c r="R1539" s="35" t="n"/>
      <c r="S1539" s="35" t="n"/>
      <c r="T1539" s="35" t="n"/>
      <c r="U1539" s="35" t="n"/>
      <c r="V1539" s="18">
        <f>IF(COUNTA($B1539:$R1539)=0,"",ROUND(N($R1539)+N($S1539)+N($T1539)-N($U1539),2))</f>
        <v/>
      </c>
      <c r="W1539" s="18">
        <f>IF(COUNTA($B1539:$R1539)=0,"",IF(OR($X1539="Pago",$X1539="Recebido",$X1539="Cancelado"),0,ROUND(N($Q1539)+N($S1539)+N($T1539)-N($U1539)-N($R1539),2)))</f>
        <v/>
      </c>
      <c r="X1539" s="14" t="n"/>
      <c r="Y1539" s="17">
        <f>IF(COUNTA($B1539:$R1539)=0,"",IF($X1539="Cancelado","Cancelado",IF(OR($X1539="Pago",$X1539="Recebido"),$X1539,IF(OR($X1539="Parcial",N($R1539)&gt;0),"Parcial",IF($C1539="","Sem vencimento",IF($C1539&lt;TODAY(),"Vencido",IF($C1539=TODAY(),"Vence hoje",IF($C1539&lt;=TODAY()+7,"Vence em 7 dias",IF($C1539&lt;=TODAY()+30,"Vence em 30 dias","Futuro")))))))))</f>
        <v/>
      </c>
      <c r="Z1539" s="24">
        <f>IF($B1539="","",MONTH($B1539))</f>
        <v/>
      </c>
      <c r="AA1539" s="24">
        <f>IF($B1539="","",YEAR($B1539))</f>
        <v/>
      </c>
      <c r="AB1539" s="24">
        <f>IF($B1539="","",ISOWEEKNUM($B1539))</f>
        <v/>
      </c>
      <c r="AC1539" s="17">
        <f>IF($B1539="","",CHOOSE(WEEKDAY($B1539,2),"Segunda","Terça","Quarta","Quinta","Sexta","Sábado","Domingo"))</f>
        <v/>
      </c>
      <c r="AD1539" s="17">
        <f>IF($B1539="","",TEXT($B1539,"MM/AAAA"))</f>
        <v/>
      </c>
      <c r="AE1539" s="18">
        <f>IF(COUNTA($B1539:$R1539)=0,"",IF($X1539="Cancelado",0,ROUND(N($Q1539)+N($S1539)+N($T1539)-N($U1539),2)))</f>
        <v/>
      </c>
      <c r="AF1539" s="9">
        <f>IF($G1539="","",IFERROR(INDEX(LINHAS_DRE_PLANO,MATCH($G1539,SUBCATEGORIAS_PLANO,0)),"Não classificado"))</f>
        <v/>
      </c>
      <c r="AG1539" s="17">
        <f>IF($G1539="","",IFERROR(INDEX(TIPOS_FLUXO_PLANO,MATCH($G1539,SUBCATEGORIAS_PLANO,0)),"Não classificado"))</f>
        <v/>
      </c>
      <c r="AH1539" s="9">
        <f>IF($G1539="","",IFERROR(INDEX(GRUPOS_PLANO,MATCH($G1539,SUBCATEGORIAS_PLANO,0)),"Não classificado"))</f>
        <v/>
      </c>
      <c r="AI1539" s="24">
        <f>IF(OR($C1539="",$X1539="Pago",$X1539="Recebido",$X1539="Cancelado"),"",$C1539-TODAY())</f>
        <v/>
      </c>
      <c r="AJ1539" s="24">
        <f>IF(OR($C1539="",$X1539="Pago",$X1539="Recebido",$X1539="Cancelado"),0,MAX(0,TODAY()-$C1539))</f>
        <v/>
      </c>
      <c r="AK1539" s="24">
        <f>IF($D1539="","",$D1539-$B1539)</f>
        <v/>
      </c>
      <c r="AL1539" s="18">
        <f>IF(OR($D1539="",$B1539=""),"",ROUND(N($R1539)*($D1539-$B1539),2))</f>
        <v/>
      </c>
      <c r="AM1539" s="17">
        <f>IF(AND($E1539="Saída",$W1539&gt;0,$C1539&lt;&gt;""),$C1539+ROW()/1000000,"")</f>
        <v/>
      </c>
      <c r="AN1539" s="17">
        <f>IF(AND($E1539="Entrada",$W1539&gt;0,$C1539&lt;&gt;""),$C1539+ROW()/1000000,"")</f>
        <v/>
      </c>
      <c r="AO1539" s="9">
        <f>IF(COUNTA($B1539:$R1539)=0,"",IF(AND($I1539&lt;&gt;"",COUNTIF(CLIENTES_NOMES,$I1539)+COUNTIF(CLIENTES_FANTASIA,$I1539)+COUNTIF(FORNECEDORES_NOMES,$I1539)+COUNTIF(FORNECEDORES_FANTASIA,$I1539)=0),"⚠ Cliente/Fornecedor não cadastrado",IF(AND($G1539&lt;&gt;"",COUNTIF(SUBCATEGORIAS_PLANO,$G1539)=0),"⚠ Subcategoria fora do plano de contas",IF(OR($Q1539="",N($Q1539)=0),"⚠ Valor previsto não informado",IF(AND(OR($X1539="Pago",$X1539="Recebido"),$D1539=""),"⚠ Status pago/recebido sem data",IF(AND($D1539&lt;&gt;"",N($R1539)=0),"⚠ Data de pagamento sem valor realizado",IF(AND(N($P1539)&gt;1,N($O1539)&gt;N($P1539)),"⚠ Nº da parcela maior que o total",IF(AND($C1539&lt;&gt;"",$B1539&lt;&gt;"",$C1539&lt;$B1539),"⚠ Vencimento anterior à competência","OK"))))))))</f>
        <v/>
      </c>
    </row>
    <row r="1540">
      <c r="A1540" s="14" t="n"/>
      <c r="B1540" s="36" t="n"/>
      <c r="C1540" s="36" t="n"/>
      <c r="D1540" s="36" t="n"/>
      <c r="E1540" s="14" t="n"/>
      <c r="F1540" s="29" t="n"/>
      <c r="G1540" s="29" t="n"/>
      <c r="H1540" s="29" t="n"/>
      <c r="I1540" s="29" t="n"/>
      <c r="J1540" s="29" t="n"/>
      <c r="K1540" s="14" t="n"/>
      <c r="L1540" s="29" t="n"/>
      <c r="M1540" s="14" t="n"/>
      <c r="N1540" s="29" t="n"/>
      <c r="O1540" s="13" t="n"/>
      <c r="P1540" s="13" t="n"/>
      <c r="Q1540" s="35" t="n"/>
      <c r="R1540" s="35" t="n"/>
      <c r="S1540" s="35" t="n"/>
      <c r="T1540" s="35" t="n"/>
      <c r="U1540" s="35" t="n"/>
      <c r="V1540" s="18">
        <f>IF(COUNTA($B1540:$R1540)=0,"",ROUND(N($R1540)+N($S1540)+N($T1540)-N($U1540),2))</f>
        <v/>
      </c>
      <c r="W1540" s="18">
        <f>IF(COUNTA($B1540:$R1540)=0,"",IF(OR($X1540="Pago",$X1540="Recebido",$X1540="Cancelado"),0,ROUND(N($Q1540)+N($S1540)+N($T1540)-N($U1540)-N($R1540),2)))</f>
        <v/>
      </c>
      <c r="X1540" s="14" t="n"/>
      <c r="Y1540" s="17">
        <f>IF(COUNTA($B1540:$R1540)=0,"",IF($X1540="Cancelado","Cancelado",IF(OR($X1540="Pago",$X1540="Recebido"),$X1540,IF(OR($X1540="Parcial",N($R1540)&gt;0),"Parcial",IF($C1540="","Sem vencimento",IF($C1540&lt;TODAY(),"Vencido",IF($C1540=TODAY(),"Vence hoje",IF($C1540&lt;=TODAY()+7,"Vence em 7 dias",IF($C1540&lt;=TODAY()+30,"Vence em 30 dias","Futuro")))))))))</f>
        <v/>
      </c>
      <c r="Z1540" s="24">
        <f>IF($B1540="","",MONTH($B1540))</f>
        <v/>
      </c>
      <c r="AA1540" s="24">
        <f>IF($B1540="","",YEAR($B1540))</f>
        <v/>
      </c>
      <c r="AB1540" s="24">
        <f>IF($B1540="","",ISOWEEKNUM($B1540))</f>
        <v/>
      </c>
      <c r="AC1540" s="17">
        <f>IF($B1540="","",CHOOSE(WEEKDAY($B1540,2),"Segunda","Terça","Quarta","Quinta","Sexta","Sábado","Domingo"))</f>
        <v/>
      </c>
      <c r="AD1540" s="17">
        <f>IF($B1540="","",TEXT($B1540,"MM/AAAA"))</f>
        <v/>
      </c>
      <c r="AE1540" s="18">
        <f>IF(COUNTA($B1540:$R1540)=0,"",IF($X1540="Cancelado",0,ROUND(N($Q1540)+N($S1540)+N($T1540)-N($U1540),2)))</f>
        <v/>
      </c>
      <c r="AF1540" s="9">
        <f>IF($G1540="","",IFERROR(INDEX(LINHAS_DRE_PLANO,MATCH($G1540,SUBCATEGORIAS_PLANO,0)),"Não classificado"))</f>
        <v/>
      </c>
      <c r="AG1540" s="17">
        <f>IF($G1540="","",IFERROR(INDEX(TIPOS_FLUXO_PLANO,MATCH($G1540,SUBCATEGORIAS_PLANO,0)),"Não classificado"))</f>
        <v/>
      </c>
      <c r="AH1540" s="9">
        <f>IF($G1540="","",IFERROR(INDEX(GRUPOS_PLANO,MATCH($G1540,SUBCATEGORIAS_PLANO,0)),"Não classificado"))</f>
        <v/>
      </c>
      <c r="AI1540" s="24">
        <f>IF(OR($C1540="",$X1540="Pago",$X1540="Recebido",$X1540="Cancelado"),"",$C1540-TODAY())</f>
        <v/>
      </c>
      <c r="AJ1540" s="24">
        <f>IF(OR($C1540="",$X1540="Pago",$X1540="Recebido",$X1540="Cancelado"),0,MAX(0,TODAY()-$C1540))</f>
        <v/>
      </c>
      <c r="AK1540" s="24">
        <f>IF($D1540="","",$D1540-$B1540)</f>
        <v/>
      </c>
      <c r="AL1540" s="18">
        <f>IF(OR($D1540="",$B1540=""),"",ROUND(N($R1540)*($D1540-$B1540),2))</f>
        <v/>
      </c>
      <c r="AM1540" s="17">
        <f>IF(AND($E1540="Saída",$W1540&gt;0,$C1540&lt;&gt;""),$C1540+ROW()/1000000,"")</f>
        <v/>
      </c>
      <c r="AN1540" s="17">
        <f>IF(AND($E1540="Entrada",$W1540&gt;0,$C1540&lt;&gt;""),$C1540+ROW()/1000000,"")</f>
        <v/>
      </c>
      <c r="AO1540" s="9">
        <f>IF(COUNTA($B1540:$R1540)=0,"",IF(AND($I1540&lt;&gt;"",COUNTIF(CLIENTES_NOMES,$I1540)+COUNTIF(CLIENTES_FANTASIA,$I1540)+COUNTIF(FORNECEDORES_NOMES,$I1540)+COUNTIF(FORNECEDORES_FANTASIA,$I1540)=0),"⚠ Cliente/Fornecedor não cadastrado",IF(AND($G1540&lt;&gt;"",COUNTIF(SUBCATEGORIAS_PLANO,$G1540)=0),"⚠ Subcategoria fora do plano de contas",IF(OR($Q1540="",N($Q1540)=0),"⚠ Valor previsto não informado",IF(AND(OR($X1540="Pago",$X1540="Recebido"),$D1540=""),"⚠ Status pago/recebido sem data",IF(AND($D1540&lt;&gt;"",N($R1540)=0),"⚠ Data de pagamento sem valor realizado",IF(AND(N($P1540)&gt;1,N($O1540)&gt;N($P1540)),"⚠ Nº da parcela maior que o total",IF(AND($C1540&lt;&gt;"",$B1540&lt;&gt;"",$C1540&lt;$B1540),"⚠ Vencimento anterior à competência","OK"))))))))</f>
        <v/>
      </c>
    </row>
    <row r="1541">
      <c r="A1541" s="14" t="n"/>
      <c r="B1541" s="36" t="n"/>
      <c r="C1541" s="36" t="n"/>
      <c r="D1541" s="36" t="n"/>
      <c r="E1541" s="14" t="n"/>
      <c r="F1541" s="29" t="n"/>
      <c r="G1541" s="29" t="n"/>
      <c r="H1541" s="29" t="n"/>
      <c r="I1541" s="29" t="n"/>
      <c r="J1541" s="29" t="n"/>
      <c r="K1541" s="14" t="n"/>
      <c r="L1541" s="29" t="n"/>
      <c r="M1541" s="14" t="n"/>
      <c r="N1541" s="29" t="n"/>
      <c r="O1541" s="13" t="n"/>
      <c r="P1541" s="13" t="n"/>
      <c r="Q1541" s="35" t="n"/>
      <c r="R1541" s="35" t="n"/>
      <c r="S1541" s="35" t="n"/>
      <c r="T1541" s="35" t="n"/>
      <c r="U1541" s="35" t="n"/>
      <c r="V1541" s="18">
        <f>IF(COUNTA($B1541:$R1541)=0,"",ROUND(N($R1541)+N($S1541)+N($T1541)-N($U1541),2))</f>
        <v/>
      </c>
      <c r="W1541" s="18">
        <f>IF(COUNTA($B1541:$R1541)=0,"",IF(OR($X1541="Pago",$X1541="Recebido",$X1541="Cancelado"),0,ROUND(N($Q1541)+N($S1541)+N($T1541)-N($U1541)-N($R1541),2)))</f>
        <v/>
      </c>
      <c r="X1541" s="14" t="n"/>
      <c r="Y1541" s="17">
        <f>IF(COUNTA($B1541:$R1541)=0,"",IF($X1541="Cancelado","Cancelado",IF(OR($X1541="Pago",$X1541="Recebido"),$X1541,IF(OR($X1541="Parcial",N($R1541)&gt;0),"Parcial",IF($C1541="","Sem vencimento",IF($C1541&lt;TODAY(),"Vencido",IF($C1541=TODAY(),"Vence hoje",IF($C1541&lt;=TODAY()+7,"Vence em 7 dias",IF($C1541&lt;=TODAY()+30,"Vence em 30 dias","Futuro")))))))))</f>
        <v/>
      </c>
      <c r="Z1541" s="24">
        <f>IF($B1541="","",MONTH($B1541))</f>
        <v/>
      </c>
      <c r="AA1541" s="24">
        <f>IF($B1541="","",YEAR($B1541))</f>
        <v/>
      </c>
      <c r="AB1541" s="24">
        <f>IF($B1541="","",ISOWEEKNUM($B1541))</f>
        <v/>
      </c>
      <c r="AC1541" s="17">
        <f>IF($B1541="","",CHOOSE(WEEKDAY($B1541,2),"Segunda","Terça","Quarta","Quinta","Sexta","Sábado","Domingo"))</f>
        <v/>
      </c>
      <c r="AD1541" s="17">
        <f>IF($B1541="","",TEXT($B1541,"MM/AAAA"))</f>
        <v/>
      </c>
      <c r="AE1541" s="18">
        <f>IF(COUNTA($B1541:$R1541)=0,"",IF($X1541="Cancelado",0,ROUND(N($Q1541)+N($S1541)+N($T1541)-N($U1541),2)))</f>
        <v/>
      </c>
      <c r="AF1541" s="9">
        <f>IF($G1541="","",IFERROR(INDEX(LINHAS_DRE_PLANO,MATCH($G1541,SUBCATEGORIAS_PLANO,0)),"Não classificado"))</f>
        <v/>
      </c>
      <c r="AG1541" s="17">
        <f>IF($G1541="","",IFERROR(INDEX(TIPOS_FLUXO_PLANO,MATCH($G1541,SUBCATEGORIAS_PLANO,0)),"Não classificado"))</f>
        <v/>
      </c>
      <c r="AH1541" s="9">
        <f>IF($G1541="","",IFERROR(INDEX(GRUPOS_PLANO,MATCH($G1541,SUBCATEGORIAS_PLANO,0)),"Não classificado"))</f>
        <v/>
      </c>
      <c r="AI1541" s="24">
        <f>IF(OR($C1541="",$X1541="Pago",$X1541="Recebido",$X1541="Cancelado"),"",$C1541-TODAY())</f>
        <v/>
      </c>
      <c r="AJ1541" s="24">
        <f>IF(OR($C1541="",$X1541="Pago",$X1541="Recebido",$X1541="Cancelado"),0,MAX(0,TODAY()-$C1541))</f>
        <v/>
      </c>
      <c r="AK1541" s="24">
        <f>IF($D1541="","",$D1541-$B1541)</f>
        <v/>
      </c>
      <c r="AL1541" s="18">
        <f>IF(OR($D1541="",$B1541=""),"",ROUND(N($R1541)*($D1541-$B1541),2))</f>
        <v/>
      </c>
      <c r="AM1541" s="17">
        <f>IF(AND($E1541="Saída",$W1541&gt;0,$C1541&lt;&gt;""),$C1541+ROW()/1000000,"")</f>
        <v/>
      </c>
      <c r="AN1541" s="17">
        <f>IF(AND($E1541="Entrada",$W1541&gt;0,$C1541&lt;&gt;""),$C1541+ROW()/1000000,"")</f>
        <v/>
      </c>
      <c r="AO1541" s="9">
        <f>IF(COUNTA($B1541:$R1541)=0,"",IF(AND($I1541&lt;&gt;"",COUNTIF(CLIENTES_NOMES,$I1541)+COUNTIF(CLIENTES_FANTASIA,$I1541)+COUNTIF(FORNECEDORES_NOMES,$I1541)+COUNTIF(FORNECEDORES_FANTASIA,$I1541)=0),"⚠ Cliente/Fornecedor não cadastrado",IF(AND($G1541&lt;&gt;"",COUNTIF(SUBCATEGORIAS_PLANO,$G1541)=0),"⚠ Subcategoria fora do plano de contas",IF(OR($Q1541="",N($Q1541)=0),"⚠ Valor previsto não informado",IF(AND(OR($X1541="Pago",$X1541="Recebido"),$D1541=""),"⚠ Status pago/recebido sem data",IF(AND($D1541&lt;&gt;"",N($R1541)=0),"⚠ Data de pagamento sem valor realizado",IF(AND(N($P1541)&gt;1,N($O1541)&gt;N($P1541)),"⚠ Nº da parcela maior que o total",IF(AND($C1541&lt;&gt;"",$B1541&lt;&gt;"",$C1541&lt;$B1541),"⚠ Vencimento anterior à competência","OK"))))))))</f>
        <v/>
      </c>
    </row>
    <row r="1542">
      <c r="A1542" s="14" t="n"/>
      <c r="B1542" s="36" t="n"/>
      <c r="C1542" s="36" t="n"/>
      <c r="D1542" s="36" t="n"/>
      <c r="E1542" s="14" t="n"/>
      <c r="F1542" s="29" t="n"/>
      <c r="G1542" s="29" t="n"/>
      <c r="H1542" s="29" t="n"/>
      <c r="I1542" s="29" t="n"/>
      <c r="J1542" s="29" t="n"/>
      <c r="K1542" s="14" t="n"/>
      <c r="L1542" s="29" t="n"/>
      <c r="M1542" s="14" t="n"/>
      <c r="N1542" s="29" t="n"/>
      <c r="O1542" s="13" t="n"/>
      <c r="P1542" s="13" t="n"/>
      <c r="Q1542" s="35" t="n"/>
      <c r="R1542" s="35" t="n"/>
      <c r="S1542" s="35" t="n"/>
      <c r="T1542" s="35" t="n"/>
      <c r="U1542" s="35" t="n"/>
      <c r="V1542" s="18">
        <f>IF(COUNTA($B1542:$R1542)=0,"",ROUND(N($R1542)+N($S1542)+N($T1542)-N($U1542),2))</f>
        <v/>
      </c>
      <c r="W1542" s="18">
        <f>IF(COUNTA($B1542:$R1542)=0,"",IF(OR($X1542="Pago",$X1542="Recebido",$X1542="Cancelado"),0,ROUND(N($Q1542)+N($S1542)+N($T1542)-N($U1542)-N($R1542),2)))</f>
        <v/>
      </c>
      <c r="X1542" s="14" t="n"/>
      <c r="Y1542" s="17">
        <f>IF(COUNTA($B1542:$R1542)=0,"",IF($X1542="Cancelado","Cancelado",IF(OR($X1542="Pago",$X1542="Recebido"),$X1542,IF(OR($X1542="Parcial",N($R1542)&gt;0),"Parcial",IF($C1542="","Sem vencimento",IF($C1542&lt;TODAY(),"Vencido",IF($C1542=TODAY(),"Vence hoje",IF($C1542&lt;=TODAY()+7,"Vence em 7 dias",IF($C1542&lt;=TODAY()+30,"Vence em 30 dias","Futuro")))))))))</f>
        <v/>
      </c>
      <c r="Z1542" s="24">
        <f>IF($B1542="","",MONTH($B1542))</f>
        <v/>
      </c>
      <c r="AA1542" s="24">
        <f>IF($B1542="","",YEAR($B1542))</f>
        <v/>
      </c>
      <c r="AB1542" s="24">
        <f>IF($B1542="","",ISOWEEKNUM($B1542))</f>
        <v/>
      </c>
      <c r="AC1542" s="17">
        <f>IF($B1542="","",CHOOSE(WEEKDAY($B1542,2),"Segunda","Terça","Quarta","Quinta","Sexta","Sábado","Domingo"))</f>
        <v/>
      </c>
      <c r="AD1542" s="17">
        <f>IF($B1542="","",TEXT($B1542,"MM/AAAA"))</f>
        <v/>
      </c>
      <c r="AE1542" s="18">
        <f>IF(COUNTA($B1542:$R1542)=0,"",IF($X1542="Cancelado",0,ROUND(N($Q1542)+N($S1542)+N($T1542)-N($U1542),2)))</f>
        <v/>
      </c>
      <c r="AF1542" s="9">
        <f>IF($G1542="","",IFERROR(INDEX(LINHAS_DRE_PLANO,MATCH($G1542,SUBCATEGORIAS_PLANO,0)),"Não classificado"))</f>
        <v/>
      </c>
      <c r="AG1542" s="17">
        <f>IF($G1542="","",IFERROR(INDEX(TIPOS_FLUXO_PLANO,MATCH($G1542,SUBCATEGORIAS_PLANO,0)),"Não classificado"))</f>
        <v/>
      </c>
      <c r="AH1542" s="9">
        <f>IF($G1542="","",IFERROR(INDEX(GRUPOS_PLANO,MATCH($G1542,SUBCATEGORIAS_PLANO,0)),"Não classificado"))</f>
        <v/>
      </c>
      <c r="AI1542" s="24">
        <f>IF(OR($C1542="",$X1542="Pago",$X1542="Recebido",$X1542="Cancelado"),"",$C1542-TODAY())</f>
        <v/>
      </c>
      <c r="AJ1542" s="24">
        <f>IF(OR($C1542="",$X1542="Pago",$X1542="Recebido",$X1542="Cancelado"),0,MAX(0,TODAY()-$C1542))</f>
        <v/>
      </c>
      <c r="AK1542" s="24">
        <f>IF($D1542="","",$D1542-$B1542)</f>
        <v/>
      </c>
      <c r="AL1542" s="18">
        <f>IF(OR($D1542="",$B1542=""),"",ROUND(N($R1542)*($D1542-$B1542),2))</f>
        <v/>
      </c>
      <c r="AM1542" s="17">
        <f>IF(AND($E1542="Saída",$W1542&gt;0,$C1542&lt;&gt;""),$C1542+ROW()/1000000,"")</f>
        <v/>
      </c>
      <c r="AN1542" s="17">
        <f>IF(AND($E1542="Entrada",$W1542&gt;0,$C1542&lt;&gt;""),$C1542+ROW()/1000000,"")</f>
        <v/>
      </c>
      <c r="AO1542" s="9">
        <f>IF(COUNTA($B1542:$R1542)=0,"",IF(AND($I1542&lt;&gt;"",COUNTIF(CLIENTES_NOMES,$I1542)+COUNTIF(CLIENTES_FANTASIA,$I1542)+COUNTIF(FORNECEDORES_NOMES,$I1542)+COUNTIF(FORNECEDORES_FANTASIA,$I1542)=0),"⚠ Cliente/Fornecedor não cadastrado",IF(AND($G1542&lt;&gt;"",COUNTIF(SUBCATEGORIAS_PLANO,$G1542)=0),"⚠ Subcategoria fora do plano de contas",IF(OR($Q1542="",N($Q1542)=0),"⚠ Valor previsto não informado",IF(AND(OR($X1542="Pago",$X1542="Recebido"),$D1542=""),"⚠ Status pago/recebido sem data",IF(AND($D1542&lt;&gt;"",N($R1542)=0),"⚠ Data de pagamento sem valor realizado",IF(AND(N($P1542)&gt;1,N($O1542)&gt;N($P1542)),"⚠ Nº da parcela maior que o total",IF(AND($C1542&lt;&gt;"",$B1542&lt;&gt;"",$C1542&lt;$B1542),"⚠ Vencimento anterior à competência","OK"))))))))</f>
        <v/>
      </c>
    </row>
    <row r="1543">
      <c r="A1543" s="14" t="n"/>
      <c r="B1543" s="36" t="n"/>
      <c r="C1543" s="36" t="n"/>
      <c r="D1543" s="36" t="n"/>
      <c r="E1543" s="14" t="n"/>
      <c r="F1543" s="29" t="n"/>
      <c r="G1543" s="29" t="n"/>
      <c r="H1543" s="29" t="n"/>
      <c r="I1543" s="29" t="n"/>
      <c r="J1543" s="29" t="n"/>
      <c r="K1543" s="14" t="n"/>
      <c r="L1543" s="29" t="n"/>
      <c r="M1543" s="14" t="n"/>
      <c r="N1543" s="29" t="n"/>
      <c r="O1543" s="13" t="n"/>
      <c r="P1543" s="13" t="n"/>
      <c r="Q1543" s="35" t="n"/>
      <c r="R1543" s="35" t="n"/>
      <c r="S1543" s="35" t="n"/>
      <c r="T1543" s="35" t="n"/>
      <c r="U1543" s="35" t="n"/>
      <c r="V1543" s="18">
        <f>IF(COUNTA($B1543:$R1543)=0,"",ROUND(N($R1543)+N($S1543)+N($T1543)-N($U1543),2))</f>
        <v/>
      </c>
      <c r="W1543" s="18">
        <f>IF(COUNTA($B1543:$R1543)=0,"",IF(OR($X1543="Pago",$X1543="Recebido",$X1543="Cancelado"),0,ROUND(N($Q1543)+N($S1543)+N($T1543)-N($U1543)-N($R1543),2)))</f>
        <v/>
      </c>
      <c r="X1543" s="14" t="n"/>
      <c r="Y1543" s="17">
        <f>IF(COUNTA($B1543:$R1543)=0,"",IF($X1543="Cancelado","Cancelado",IF(OR($X1543="Pago",$X1543="Recebido"),$X1543,IF(OR($X1543="Parcial",N($R1543)&gt;0),"Parcial",IF($C1543="","Sem vencimento",IF($C1543&lt;TODAY(),"Vencido",IF($C1543=TODAY(),"Vence hoje",IF($C1543&lt;=TODAY()+7,"Vence em 7 dias",IF($C1543&lt;=TODAY()+30,"Vence em 30 dias","Futuro")))))))))</f>
        <v/>
      </c>
      <c r="Z1543" s="24">
        <f>IF($B1543="","",MONTH($B1543))</f>
        <v/>
      </c>
      <c r="AA1543" s="24">
        <f>IF($B1543="","",YEAR($B1543))</f>
        <v/>
      </c>
      <c r="AB1543" s="24">
        <f>IF($B1543="","",ISOWEEKNUM($B1543))</f>
        <v/>
      </c>
      <c r="AC1543" s="17">
        <f>IF($B1543="","",CHOOSE(WEEKDAY($B1543,2),"Segunda","Terça","Quarta","Quinta","Sexta","Sábado","Domingo"))</f>
        <v/>
      </c>
      <c r="AD1543" s="17">
        <f>IF($B1543="","",TEXT($B1543,"MM/AAAA"))</f>
        <v/>
      </c>
      <c r="AE1543" s="18">
        <f>IF(COUNTA($B1543:$R1543)=0,"",IF($X1543="Cancelado",0,ROUND(N($Q1543)+N($S1543)+N($T1543)-N($U1543),2)))</f>
        <v/>
      </c>
      <c r="AF1543" s="9">
        <f>IF($G1543="","",IFERROR(INDEX(LINHAS_DRE_PLANO,MATCH($G1543,SUBCATEGORIAS_PLANO,0)),"Não classificado"))</f>
        <v/>
      </c>
      <c r="AG1543" s="17">
        <f>IF($G1543="","",IFERROR(INDEX(TIPOS_FLUXO_PLANO,MATCH($G1543,SUBCATEGORIAS_PLANO,0)),"Não classificado"))</f>
        <v/>
      </c>
      <c r="AH1543" s="9">
        <f>IF($G1543="","",IFERROR(INDEX(GRUPOS_PLANO,MATCH($G1543,SUBCATEGORIAS_PLANO,0)),"Não classificado"))</f>
        <v/>
      </c>
      <c r="AI1543" s="24">
        <f>IF(OR($C1543="",$X1543="Pago",$X1543="Recebido",$X1543="Cancelado"),"",$C1543-TODAY())</f>
        <v/>
      </c>
      <c r="AJ1543" s="24">
        <f>IF(OR($C1543="",$X1543="Pago",$X1543="Recebido",$X1543="Cancelado"),0,MAX(0,TODAY()-$C1543))</f>
        <v/>
      </c>
      <c r="AK1543" s="24">
        <f>IF($D1543="","",$D1543-$B1543)</f>
        <v/>
      </c>
      <c r="AL1543" s="18">
        <f>IF(OR($D1543="",$B1543=""),"",ROUND(N($R1543)*($D1543-$B1543),2))</f>
        <v/>
      </c>
      <c r="AM1543" s="17">
        <f>IF(AND($E1543="Saída",$W1543&gt;0,$C1543&lt;&gt;""),$C1543+ROW()/1000000,"")</f>
        <v/>
      </c>
      <c r="AN1543" s="17">
        <f>IF(AND($E1543="Entrada",$W1543&gt;0,$C1543&lt;&gt;""),$C1543+ROW()/1000000,"")</f>
        <v/>
      </c>
      <c r="AO1543" s="9">
        <f>IF(COUNTA($B1543:$R1543)=0,"",IF(AND($I1543&lt;&gt;"",COUNTIF(CLIENTES_NOMES,$I1543)+COUNTIF(CLIENTES_FANTASIA,$I1543)+COUNTIF(FORNECEDORES_NOMES,$I1543)+COUNTIF(FORNECEDORES_FANTASIA,$I1543)=0),"⚠ Cliente/Fornecedor não cadastrado",IF(AND($G1543&lt;&gt;"",COUNTIF(SUBCATEGORIAS_PLANO,$G1543)=0),"⚠ Subcategoria fora do plano de contas",IF(OR($Q1543="",N($Q1543)=0),"⚠ Valor previsto não informado",IF(AND(OR($X1543="Pago",$X1543="Recebido"),$D1543=""),"⚠ Status pago/recebido sem data",IF(AND($D1543&lt;&gt;"",N($R1543)=0),"⚠ Data de pagamento sem valor realizado",IF(AND(N($P1543)&gt;1,N($O1543)&gt;N($P1543)),"⚠ Nº da parcela maior que o total",IF(AND($C1543&lt;&gt;"",$B1543&lt;&gt;"",$C1543&lt;$B1543),"⚠ Vencimento anterior à competência","OK"))))))))</f>
        <v/>
      </c>
    </row>
    <row r="1544">
      <c r="A1544" s="14" t="n"/>
      <c r="B1544" s="36" t="n"/>
      <c r="C1544" s="36" t="n"/>
      <c r="D1544" s="36" t="n"/>
      <c r="E1544" s="14" t="n"/>
      <c r="F1544" s="29" t="n"/>
      <c r="G1544" s="29" t="n"/>
      <c r="H1544" s="29" t="n"/>
      <c r="I1544" s="29" t="n"/>
      <c r="J1544" s="29" t="n"/>
      <c r="K1544" s="14" t="n"/>
      <c r="L1544" s="29" t="n"/>
      <c r="M1544" s="14" t="n"/>
      <c r="N1544" s="29" t="n"/>
      <c r="O1544" s="13" t="n"/>
      <c r="P1544" s="13" t="n"/>
      <c r="Q1544" s="35" t="n"/>
      <c r="R1544" s="35" t="n"/>
      <c r="S1544" s="35" t="n"/>
      <c r="T1544" s="35" t="n"/>
      <c r="U1544" s="35" t="n"/>
      <c r="V1544" s="18">
        <f>IF(COUNTA($B1544:$R1544)=0,"",ROUND(N($R1544)+N($S1544)+N($T1544)-N($U1544),2))</f>
        <v/>
      </c>
      <c r="W1544" s="18">
        <f>IF(COUNTA($B1544:$R1544)=0,"",IF(OR($X1544="Pago",$X1544="Recebido",$X1544="Cancelado"),0,ROUND(N($Q1544)+N($S1544)+N($T1544)-N($U1544)-N($R1544),2)))</f>
        <v/>
      </c>
      <c r="X1544" s="14" t="n"/>
      <c r="Y1544" s="17">
        <f>IF(COUNTA($B1544:$R1544)=0,"",IF($X1544="Cancelado","Cancelado",IF(OR($X1544="Pago",$X1544="Recebido"),$X1544,IF(OR($X1544="Parcial",N($R1544)&gt;0),"Parcial",IF($C1544="","Sem vencimento",IF($C1544&lt;TODAY(),"Vencido",IF($C1544=TODAY(),"Vence hoje",IF($C1544&lt;=TODAY()+7,"Vence em 7 dias",IF($C1544&lt;=TODAY()+30,"Vence em 30 dias","Futuro")))))))))</f>
        <v/>
      </c>
      <c r="Z1544" s="24">
        <f>IF($B1544="","",MONTH($B1544))</f>
        <v/>
      </c>
      <c r="AA1544" s="24">
        <f>IF($B1544="","",YEAR($B1544))</f>
        <v/>
      </c>
      <c r="AB1544" s="24">
        <f>IF($B1544="","",ISOWEEKNUM($B1544))</f>
        <v/>
      </c>
      <c r="AC1544" s="17">
        <f>IF($B1544="","",CHOOSE(WEEKDAY($B1544,2),"Segunda","Terça","Quarta","Quinta","Sexta","Sábado","Domingo"))</f>
        <v/>
      </c>
      <c r="AD1544" s="17">
        <f>IF($B1544="","",TEXT($B1544,"MM/AAAA"))</f>
        <v/>
      </c>
      <c r="AE1544" s="18">
        <f>IF(COUNTA($B1544:$R1544)=0,"",IF($X1544="Cancelado",0,ROUND(N($Q1544)+N($S1544)+N($T1544)-N($U1544),2)))</f>
        <v/>
      </c>
      <c r="AF1544" s="9">
        <f>IF($G1544="","",IFERROR(INDEX(LINHAS_DRE_PLANO,MATCH($G1544,SUBCATEGORIAS_PLANO,0)),"Não classificado"))</f>
        <v/>
      </c>
      <c r="AG1544" s="17">
        <f>IF($G1544="","",IFERROR(INDEX(TIPOS_FLUXO_PLANO,MATCH($G1544,SUBCATEGORIAS_PLANO,0)),"Não classificado"))</f>
        <v/>
      </c>
      <c r="AH1544" s="9">
        <f>IF($G1544="","",IFERROR(INDEX(GRUPOS_PLANO,MATCH($G1544,SUBCATEGORIAS_PLANO,0)),"Não classificado"))</f>
        <v/>
      </c>
      <c r="AI1544" s="24">
        <f>IF(OR($C1544="",$X1544="Pago",$X1544="Recebido",$X1544="Cancelado"),"",$C1544-TODAY())</f>
        <v/>
      </c>
      <c r="AJ1544" s="24">
        <f>IF(OR($C1544="",$X1544="Pago",$X1544="Recebido",$X1544="Cancelado"),0,MAX(0,TODAY()-$C1544))</f>
        <v/>
      </c>
      <c r="AK1544" s="24">
        <f>IF($D1544="","",$D1544-$B1544)</f>
        <v/>
      </c>
      <c r="AL1544" s="18">
        <f>IF(OR($D1544="",$B1544=""),"",ROUND(N($R1544)*($D1544-$B1544),2))</f>
        <v/>
      </c>
      <c r="AM1544" s="17">
        <f>IF(AND($E1544="Saída",$W1544&gt;0,$C1544&lt;&gt;""),$C1544+ROW()/1000000,"")</f>
        <v/>
      </c>
      <c r="AN1544" s="17">
        <f>IF(AND($E1544="Entrada",$W1544&gt;0,$C1544&lt;&gt;""),$C1544+ROW()/1000000,"")</f>
        <v/>
      </c>
      <c r="AO1544" s="9">
        <f>IF(COUNTA($B1544:$R1544)=0,"",IF(AND($I1544&lt;&gt;"",COUNTIF(CLIENTES_NOMES,$I1544)+COUNTIF(CLIENTES_FANTASIA,$I1544)+COUNTIF(FORNECEDORES_NOMES,$I1544)+COUNTIF(FORNECEDORES_FANTASIA,$I1544)=0),"⚠ Cliente/Fornecedor não cadastrado",IF(AND($G1544&lt;&gt;"",COUNTIF(SUBCATEGORIAS_PLANO,$G1544)=0),"⚠ Subcategoria fora do plano de contas",IF(OR($Q1544="",N($Q1544)=0),"⚠ Valor previsto não informado",IF(AND(OR($X1544="Pago",$X1544="Recebido"),$D1544=""),"⚠ Status pago/recebido sem data",IF(AND($D1544&lt;&gt;"",N($R1544)=0),"⚠ Data de pagamento sem valor realizado",IF(AND(N($P1544)&gt;1,N($O1544)&gt;N($P1544)),"⚠ Nº da parcela maior que o total",IF(AND($C1544&lt;&gt;"",$B1544&lt;&gt;"",$C1544&lt;$B1544),"⚠ Vencimento anterior à competência","OK"))))))))</f>
        <v/>
      </c>
    </row>
    <row r="1545">
      <c r="A1545" s="14" t="n"/>
      <c r="B1545" s="36" t="n"/>
      <c r="C1545" s="36" t="n"/>
      <c r="D1545" s="36" t="n"/>
      <c r="E1545" s="14" t="n"/>
      <c r="F1545" s="29" t="n"/>
      <c r="G1545" s="29" t="n"/>
      <c r="H1545" s="29" t="n"/>
      <c r="I1545" s="29" t="n"/>
      <c r="J1545" s="29" t="n"/>
      <c r="K1545" s="14" t="n"/>
      <c r="L1545" s="29" t="n"/>
      <c r="M1545" s="14" t="n"/>
      <c r="N1545" s="29" t="n"/>
      <c r="O1545" s="13" t="n"/>
      <c r="P1545" s="13" t="n"/>
      <c r="Q1545" s="35" t="n"/>
      <c r="R1545" s="35" t="n"/>
      <c r="S1545" s="35" t="n"/>
      <c r="T1545" s="35" t="n"/>
      <c r="U1545" s="35" t="n"/>
      <c r="V1545" s="18">
        <f>IF(COUNTA($B1545:$R1545)=0,"",ROUND(N($R1545)+N($S1545)+N($T1545)-N($U1545),2))</f>
        <v/>
      </c>
      <c r="W1545" s="18">
        <f>IF(COUNTA($B1545:$R1545)=0,"",IF(OR($X1545="Pago",$X1545="Recebido",$X1545="Cancelado"),0,ROUND(N($Q1545)+N($S1545)+N($T1545)-N($U1545)-N($R1545),2)))</f>
        <v/>
      </c>
      <c r="X1545" s="14" t="n"/>
      <c r="Y1545" s="17">
        <f>IF(COUNTA($B1545:$R1545)=0,"",IF($X1545="Cancelado","Cancelado",IF(OR($X1545="Pago",$X1545="Recebido"),$X1545,IF(OR($X1545="Parcial",N($R1545)&gt;0),"Parcial",IF($C1545="","Sem vencimento",IF($C1545&lt;TODAY(),"Vencido",IF($C1545=TODAY(),"Vence hoje",IF($C1545&lt;=TODAY()+7,"Vence em 7 dias",IF($C1545&lt;=TODAY()+30,"Vence em 30 dias","Futuro")))))))))</f>
        <v/>
      </c>
      <c r="Z1545" s="24">
        <f>IF($B1545="","",MONTH($B1545))</f>
        <v/>
      </c>
      <c r="AA1545" s="24">
        <f>IF($B1545="","",YEAR($B1545))</f>
        <v/>
      </c>
      <c r="AB1545" s="24">
        <f>IF($B1545="","",ISOWEEKNUM($B1545))</f>
        <v/>
      </c>
      <c r="AC1545" s="17">
        <f>IF($B1545="","",CHOOSE(WEEKDAY($B1545,2),"Segunda","Terça","Quarta","Quinta","Sexta","Sábado","Domingo"))</f>
        <v/>
      </c>
      <c r="AD1545" s="17">
        <f>IF($B1545="","",TEXT($B1545,"MM/AAAA"))</f>
        <v/>
      </c>
      <c r="AE1545" s="18">
        <f>IF(COUNTA($B1545:$R1545)=0,"",IF($X1545="Cancelado",0,ROUND(N($Q1545)+N($S1545)+N($T1545)-N($U1545),2)))</f>
        <v/>
      </c>
      <c r="AF1545" s="9">
        <f>IF($G1545="","",IFERROR(INDEX(LINHAS_DRE_PLANO,MATCH($G1545,SUBCATEGORIAS_PLANO,0)),"Não classificado"))</f>
        <v/>
      </c>
      <c r="AG1545" s="17">
        <f>IF($G1545="","",IFERROR(INDEX(TIPOS_FLUXO_PLANO,MATCH($G1545,SUBCATEGORIAS_PLANO,0)),"Não classificado"))</f>
        <v/>
      </c>
      <c r="AH1545" s="9">
        <f>IF($G1545="","",IFERROR(INDEX(GRUPOS_PLANO,MATCH($G1545,SUBCATEGORIAS_PLANO,0)),"Não classificado"))</f>
        <v/>
      </c>
      <c r="AI1545" s="24">
        <f>IF(OR($C1545="",$X1545="Pago",$X1545="Recebido",$X1545="Cancelado"),"",$C1545-TODAY())</f>
        <v/>
      </c>
      <c r="AJ1545" s="24">
        <f>IF(OR($C1545="",$X1545="Pago",$X1545="Recebido",$X1545="Cancelado"),0,MAX(0,TODAY()-$C1545))</f>
        <v/>
      </c>
      <c r="AK1545" s="24">
        <f>IF($D1545="","",$D1545-$B1545)</f>
        <v/>
      </c>
      <c r="AL1545" s="18">
        <f>IF(OR($D1545="",$B1545=""),"",ROUND(N($R1545)*($D1545-$B1545),2))</f>
        <v/>
      </c>
      <c r="AM1545" s="17">
        <f>IF(AND($E1545="Saída",$W1545&gt;0,$C1545&lt;&gt;""),$C1545+ROW()/1000000,"")</f>
        <v/>
      </c>
      <c r="AN1545" s="17">
        <f>IF(AND($E1545="Entrada",$W1545&gt;0,$C1545&lt;&gt;""),$C1545+ROW()/1000000,"")</f>
        <v/>
      </c>
      <c r="AO1545" s="9">
        <f>IF(COUNTA($B1545:$R1545)=0,"",IF(AND($I1545&lt;&gt;"",COUNTIF(CLIENTES_NOMES,$I1545)+COUNTIF(CLIENTES_FANTASIA,$I1545)+COUNTIF(FORNECEDORES_NOMES,$I1545)+COUNTIF(FORNECEDORES_FANTASIA,$I1545)=0),"⚠ Cliente/Fornecedor não cadastrado",IF(AND($G1545&lt;&gt;"",COUNTIF(SUBCATEGORIAS_PLANO,$G1545)=0),"⚠ Subcategoria fora do plano de contas",IF(OR($Q1545="",N($Q1545)=0),"⚠ Valor previsto não informado",IF(AND(OR($X1545="Pago",$X1545="Recebido"),$D1545=""),"⚠ Status pago/recebido sem data",IF(AND($D1545&lt;&gt;"",N($R1545)=0),"⚠ Data de pagamento sem valor realizado",IF(AND(N($P1545)&gt;1,N($O1545)&gt;N($P1545)),"⚠ Nº da parcela maior que o total",IF(AND($C1545&lt;&gt;"",$B1545&lt;&gt;"",$C1545&lt;$B1545),"⚠ Vencimento anterior à competência","OK"))))))))</f>
        <v/>
      </c>
    </row>
    <row r="1546">
      <c r="A1546" s="14" t="n"/>
      <c r="B1546" s="36" t="n"/>
      <c r="C1546" s="36" t="n"/>
      <c r="D1546" s="36" t="n"/>
      <c r="E1546" s="14" t="n"/>
      <c r="F1546" s="29" t="n"/>
      <c r="G1546" s="29" t="n"/>
      <c r="H1546" s="29" t="n"/>
      <c r="I1546" s="29" t="n"/>
      <c r="J1546" s="29" t="n"/>
      <c r="K1546" s="14" t="n"/>
      <c r="L1546" s="29" t="n"/>
      <c r="M1546" s="14" t="n"/>
      <c r="N1546" s="29" t="n"/>
      <c r="O1546" s="13" t="n"/>
      <c r="P1546" s="13" t="n"/>
      <c r="Q1546" s="35" t="n"/>
      <c r="R1546" s="35" t="n"/>
      <c r="S1546" s="35" t="n"/>
      <c r="T1546" s="35" t="n"/>
      <c r="U1546" s="35" t="n"/>
      <c r="V1546" s="18">
        <f>IF(COUNTA($B1546:$R1546)=0,"",ROUND(N($R1546)+N($S1546)+N($T1546)-N($U1546),2))</f>
        <v/>
      </c>
      <c r="W1546" s="18">
        <f>IF(COUNTA($B1546:$R1546)=0,"",IF(OR($X1546="Pago",$X1546="Recebido",$X1546="Cancelado"),0,ROUND(N($Q1546)+N($S1546)+N($T1546)-N($U1546)-N($R1546),2)))</f>
        <v/>
      </c>
      <c r="X1546" s="14" t="n"/>
      <c r="Y1546" s="17">
        <f>IF(COUNTA($B1546:$R1546)=0,"",IF($X1546="Cancelado","Cancelado",IF(OR($X1546="Pago",$X1546="Recebido"),$X1546,IF(OR($X1546="Parcial",N($R1546)&gt;0),"Parcial",IF($C1546="","Sem vencimento",IF($C1546&lt;TODAY(),"Vencido",IF($C1546=TODAY(),"Vence hoje",IF($C1546&lt;=TODAY()+7,"Vence em 7 dias",IF($C1546&lt;=TODAY()+30,"Vence em 30 dias","Futuro")))))))))</f>
        <v/>
      </c>
      <c r="Z1546" s="24">
        <f>IF($B1546="","",MONTH($B1546))</f>
        <v/>
      </c>
      <c r="AA1546" s="24">
        <f>IF($B1546="","",YEAR($B1546))</f>
        <v/>
      </c>
      <c r="AB1546" s="24">
        <f>IF($B1546="","",ISOWEEKNUM($B1546))</f>
        <v/>
      </c>
      <c r="AC1546" s="17">
        <f>IF($B1546="","",CHOOSE(WEEKDAY($B1546,2),"Segunda","Terça","Quarta","Quinta","Sexta","Sábado","Domingo"))</f>
        <v/>
      </c>
      <c r="AD1546" s="17">
        <f>IF($B1546="","",TEXT($B1546,"MM/AAAA"))</f>
        <v/>
      </c>
      <c r="AE1546" s="18">
        <f>IF(COUNTA($B1546:$R1546)=0,"",IF($X1546="Cancelado",0,ROUND(N($Q1546)+N($S1546)+N($T1546)-N($U1546),2)))</f>
        <v/>
      </c>
      <c r="AF1546" s="9">
        <f>IF($G1546="","",IFERROR(INDEX(LINHAS_DRE_PLANO,MATCH($G1546,SUBCATEGORIAS_PLANO,0)),"Não classificado"))</f>
        <v/>
      </c>
      <c r="AG1546" s="17">
        <f>IF($G1546="","",IFERROR(INDEX(TIPOS_FLUXO_PLANO,MATCH($G1546,SUBCATEGORIAS_PLANO,0)),"Não classificado"))</f>
        <v/>
      </c>
      <c r="AH1546" s="9">
        <f>IF($G1546="","",IFERROR(INDEX(GRUPOS_PLANO,MATCH($G1546,SUBCATEGORIAS_PLANO,0)),"Não classificado"))</f>
        <v/>
      </c>
      <c r="AI1546" s="24">
        <f>IF(OR($C1546="",$X1546="Pago",$X1546="Recebido",$X1546="Cancelado"),"",$C1546-TODAY())</f>
        <v/>
      </c>
      <c r="AJ1546" s="24">
        <f>IF(OR($C1546="",$X1546="Pago",$X1546="Recebido",$X1546="Cancelado"),0,MAX(0,TODAY()-$C1546))</f>
        <v/>
      </c>
      <c r="AK1546" s="24">
        <f>IF($D1546="","",$D1546-$B1546)</f>
        <v/>
      </c>
      <c r="AL1546" s="18">
        <f>IF(OR($D1546="",$B1546=""),"",ROUND(N($R1546)*($D1546-$B1546),2))</f>
        <v/>
      </c>
      <c r="AM1546" s="17">
        <f>IF(AND($E1546="Saída",$W1546&gt;0,$C1546&lt;&gt;""),$C1546+ROW()/1000000,"")</f>
        <v/>
      </c>
      <c r="AN1546" s="17">
        <f>IF(AND($E1546="Entrada",$W1546&gt;0,$C1546&lt;&gt;""),$C1546+ROW()/1000000,"")</f>
        <v/>
      </c>
      <c r="AO1546" s="9">
        <f>IF(COUNTA($B1546:$R1546)=0,"",IF(AND($I1546&lt;&gt;"",COUNTIF(CLIENTES_NOMES,$I1546)+COUNTIF(CLIENTES_FANTASIA,$I1546)+COUNTIF(FORNECEDORES_NOMES,$I1546)+COUNTIF(FORNECEDORES_FANTASIA,$I1546)=0),"⚠ Cliente/Fornecedor não cadastrado",IF(AND($G1546&lt;&gt;"",COUNTIF(SUBCATEGORIAS_PLANO,$G1546)=0),"⚠ Subcategoria fora do plano de contas",IF(OR($Q1546="",N($Q1546)=0),"⚠ Valor previsto não informado",IF(AND(OR($X1546="Pago",$X1546="Recebido"),$D1546=""),"⚠ Status pago/recebido sem data",IF(AND($D1546&lt;&gt;"",N($R1546)=0),"⚠ Data de pagamento sem valor realizado",IF(AND(N($P1546)&gt;1,N($O1546)&gt;N($P1546)),"⚠ Nº da parcela maior que o total",IF(AND($C1546&lt;&gt;"",$B1546&lt;&gt;"",$C1546&lt;$B1546),"⚠ Vencimento anterior à competência","OK"))))))))</f>
        <v/>
      </c>
    </row>
    <row r="1547">
      <c r="A1547" s="14" t="n"/>
      <c r="B1547" s="36" t="n"/>
      <c r="C1547" s="36" t="n"/>
      <c r="D1547" s="36" t="n"/>
      <c r="E1547" s="14" t="n"/>
      <c r="F1547" s="29" t="n"/>
      <c r="G1547" s="29" t="n"/>
      <c r="H1547" s="29" t="n"/>
      <c r="I1547" s="29" t="n"/>
      <c r="J1547" s="29" t="n"/>
      <c r="K1547" s="14" t="n"/>
      <c r="L1547" s="29" t="n"/>
      <c r="M1547" s="14" t="n"/>
      <c r="N1547" s="29" t="n"/>
      <c r="O1547" s="13" t="n"/>
      <c r="P1547" s="13" t="n"/>
      <c r="Q1547" s="35" t="n"/>
      <c r="R1547" s="35" t="n"/>
      <c r="S1547" s="35" t="n"/>
      <c r="T1547" s="35" t="n"/>
      <c r="U1547" s="35" t="n"/>
      <c r="V1547" s="18">
        <f>IF(COUNTA($B1547:$R1547)=0,"",ROUND(N($R1547)+N($S1547)+N($T1547)-N($U1547),2))</f>
        <v/>
      </c>
      <c r="W1547" s="18">
        <f>IF(COUNTA($B1547:$R1547)=0,"",IF(OR($X1547="Pago",$X1547="Recebido",$X1547="Cancelado"),0,ROUND(N($Q1547)+N($S1547)+N($T1547)-N($U1547)-N($R1547),2)))</f>
        <v/>
      </c>
      <c r="X1547" s="14" t="n"/>
      <c r="Y1547" s="17">
        <f>IF(COUNTA($B1547:$R1547)=0,"",IF($X1547="Cancelado","Cancelado",IF(OR($X1547="Pago",$X1547="Recebido"),$X1547,IF(OR($X1547="Parcial",N($R1547)&gt;0),"Parcial",IF($C1547="","Sem vencimento",IF($C1547&lt;TODAY(),"Vencido",IF($C1547=TODAY(),"Vence hoje",IF($C1547&lt;=TODAY()+7,"Vence em 7 dias",IF($C1547&lt;=TODAY()+30,"Vence em 30 dias","Futuro")))))))))</f>
        <v/>
      </c>
      <c r="Z1547" s="24">
        <f>IF($B1547="","",MONTH($B1547))</f>
        <v/>
      </c>
      <c r="AA1547" s="24">
        <f>IF($B1547="","",YEAR($B1547))</f>
        <v/>
      </c>
      <c r="AB1547" s="24">
        <f>IF($B1547="","",ISOWEEKNUM($B1547))</f>
        <v/>
      </c>
      <c r="AC1547" s="17">
        <f>IF($B1547="","",CHOOSE(WEEKDAY($B1547,2),"Segunda","Terça","Quarta","Quinta","Sexta","Sábado","Domingo"))</f>
        <v/>
      </c>
      <c r="AD1547" s="17">
        <f>IF($B1547="","",TEXT($B1547,"MM/AAAA"))</f>
        <v/>
      </c>
      <c r="AE1547" s="18">
        <f>IF(COUNTA($B1547:$R1547)=0,"",IF($X1547="Cancelado",0,ROUND(N($Q1547)+N($S1547)+N($T1547)-N($U1547),2)))</f>
        <v/>
      </c>
      <c r="AF1547" s="9">
        <f>IF($G1547="","",IFERROR(INDEX(LINHAS_DRE_PLANO,MATCH($G1547,SUBCATEGORIAS_PLANO,0)),"Não classificado"))</f>
        <v/>
      </c>
      <c r="AG1547" s="17">
        <f>IF($G1547="","",IFERROR(INDEX(TIPOS_FLUXO_PLANO,MATCH($G1547,SUBCATEGORIAS_PLANO,0)),"Não classificado"))</f>
        <v/>
      </c>
      <c r="AH1547" s="9">
        <f>IF($G1547="","",IFERROR(INDEX(GRUPOS_PLANO,MATCH($G1547,SUBCATEGORIAS_PLANO,0)),"Não classificado"))</f>
        <v/>
      </c>
      <c r="AI1547" s="24">
        <f>IF(OR($C1547="",$X1547="Pago",$X1547="Recebido",$X1547="Cancelado"),"",$C1547-TODAY())</f>
        <v/>
      </c>
      <c r="AJ1547" s="24">
        <f>IF(OR($C1547="",$X1547="Pago",$X1547="Recebido",$X1547="Cancelado"),0,MAX(0,TODAY()-$C1547))</f>
        <v/>
      </c>
      <c r="AK1547" s="24">
        <f>IF($D1547="","",$D1547-$B1547)</f>
        <v/>
      </c>
      <c r="AL1547" s="18">
        <f>IF(OR($D1547="",$B1547=""),"",ROUND(N($R1547)*($D1547-$B1547),2))</f>
        <v/>
      </c>
      <c r="AM1547" s="17">
        <f>IF(AND($E1547="Saída",$W1547&gt;0,$C1547&lt;&gt;""),$C1547+ROW()/1000000,"")</f>
        <v/>
      </c>
      <c r="AN1547" s="17">
        <f>IF(AND($E1547="Entrada",$W1547&gt;0,$C1547&lt;&gt;""),$C1547+ROW()/1000000,"")</f>
        <v/>
      </c>
      <c r="AO1547" s="9">
        <f>IF(COUNTA($B1547:$R1547)=0,"",IF(AND($I1547&lt;&gt;"",COUNTIF(CLIENTES_NOMES,$I1547)+COUNTIF(CLIENTES_FANTASIA,$I1547)+COUNTIF(FORNECEDORES_NOMES,$I1547)+COUNTIF(FORNECEDORES_FANTASIA,$I1547)=0),"⚠ Cliente/Fornecedor não cadastrado",IF(AND($G1547&lt;&gt;"",COUNTIF(SUBCATEGORIAS_PLANO,$G1547)=0),"⚠ Subcategoria fora do plano de contas",IF(OR($Q1547="",N($Q1547)=0),"⚠ Valor previsto não informado",IF(AND(OR($X1547="Pago",$X1547="Recebido"),$D1547=""),"⚠ Status pago/recebido sem data",IF(AND($D1547&lt;&gt;"",N($R1547)=0),"⚠ Data de pagamento sem valor realizado",IF(AND(N($P1547)&gt;1,N($O1547)&gt;N($P1547)),"⚠ Nº da parcela maior que o total",IF(AND($C1547&lt;&gt;"",$B1547&lt;&gt;"",$C1547&lt;$B1547),"⚠ Vencimento anterior à competência","OK"))))))))</f>
        <v/>
      </c>
    </row>
    <row r="1548">
      <c r="A1548" s="14" t="n"/>
      <c r="B1548" s="36" t="n"/>
      <c r="C1548" s="36" t="n"/>
      <c r="D1548" s="36" t="n"/>
      <c r="E1548" s="14" t="n"/>
      <c r="F1548" s="29" t="n"/>
      <c r="G1548" s="29" t="n"/>
      <c r="H1548" s="29" t="n"/>
      <c r="I1548" s="29" t="n"/>
      <c r="J1548" s="29" t="n"/>
      <c r="K1548" s="14" t="n"/>
      <c r="L1548" s="29" t="n"/>
      <c r="M1548" s="14" t="n"/>
      <c r="N1548" s="29" t="n"/>
      <c r="O1548" s="13" t="n"/>
      <c r="P1548" s="13" t="n"/>
      <c r="Q1548" s="35" t="n"/>
      <c r="R1548" s="35" t="n"/>
      <c r="S1548" s="35" t="n"/>
      <c r="T1548" s="35" t="n"/>
      <c r="U1548" s="35" t="n"/>
      <c r="V1548" s="18">
        <f>IF(COUNTA($B1548:$R1548)=0,"",ROUND(N($R1548)+N($S1548)+N($T1548)-N($U1548),2))</f>
        <v/>
      </c>
      <c r="W1548" s="18">
        <f>IF(COUNTA($B1548:$R1548)=0,"",IF(OR($X1548="Pago",$X1548="Recebido",$X1548="Cancelado"),0,ROUND(N($Q1548)+N($S1548)+N($T1548)-N($U1548)-N($R1548),2)))</f>
        <v/>
      </c>
      <c r="X1548" s="14" t="n"/>
      <c r="Y1548" s="17">
        <f>IF(COUNTA($B1548:$R1548)=0,"",IF($X1548="Cancelado","Cancelado",IF(OR($X1548="Pago",$X1548="Recebido"),$X1548,IF(OR($X1548="Parcial",N($R1548)&gt;0),"Parcial",IF($C1548="","Sem vencimento",IF($C1548&lt;TODAY(),"Vencido",IF($C1548=TODAY(),"Vence hoje",IF($C1548&lt;=TODAY()+7,"Vence em 7 dias",IF($C1548&lt;=TODAY()+30,"Vence em 30 dias","Futuro")))))))))</f>
        <v/>
      </c>
      <c r="Z1548" s="24">
        <f>IF($B1548="","",MONTH($B1548))</f>
        <v/>
      </c>
      <c r="AA1548" s="24">
        <f>IF($B1548="","",YEAR($B1548))</f>
        <v/>
      </c>
      <c r="AB1548" s="24">
        <f>IF($B1548="","",ISOWEEKNUM($B1548))</f>
        <v/>
      </c>
      <c r="AC1548" s="17">
        <f>IF($B1548="","",CHOOSE(WEEKDAY($B1548,2),"Segunda","Terça","Quarta","Quinta","Sexta","Sábado","Domingo"))</f>
        <v/>
      </c>
      <c r="AD1548" s="17">
        <f>IF($B1548="","",TEXT($B1548,"MM/AAAA"))</f>
        <v/>
      </c>
      <c r="AE1548" s="18">
        <f>IF(COUNTA($B1548:$R1548)=0,"",IF($X1548="Cancelado",0,ROUND(N($Q1548)+N($S1548)+N($T1548)-N($U1548),2)))</f>
        <v/>
      </c>
      <c r="AF1548" s="9">
        <f>IF($G1548="","",IFERROR(INDEX(LINHAS_DRE_PLANO,MATCH($G1548,SUBCATEGORIAS_PLANO,0)),"Não classificado"))</f>
        <v/>
      </c>
      <c r="AG1548" s="17">
        <f>IF($G1548="","",IFERROR(INDEX(TIPOS_FLUXO_PLANO,MATCH($G1548,SUBCATEGORIAS_PLANO,0)),"Não classificado"))</f>
        <v/>
      </c>
      <c r="AH1548" s="9">
        <f>IF($G1548="","",IFERROR(INDEX(GRUPOS_PLANO,MATCH($G1548,SUBCATEGORIAS_PLANO,0)),"Não classificado"))</f>
        <v/>
      </c>
      <c r="AI1548" s="24">
        <f>IF(OR($C1548="",$X1548="Pago",$X1548="Recebido",$X1548="Cancelado"),"",$C1548-TODAY())</f>
        <v/>
      </c>
      <c r="AJ1548" s="24">
        <f>IF(OR($C1548="",$X1548="Pago",$X1548="Recebido",$X1548="Cancelado"),0,MAX(0,TODAY()-$C1548))</f>
        <v/>
      </c>
      <c r="AK1548" s="24">
        <f>IF($D1548="","",$D1548-$B1548)</f>
        <v/>
      </c>
      <c r="AL1548" s="18">
        <f>IF(OR($D1548="",$B1548=""),"",ROUND(N($R1548)*($D1548-$B1548),2))</f>
        <v/>
      </c>
      <c r="AM1548" s="17">
        <f>IF(AND($E1548="Saída",$W1548&gt;0,$C1548&lt;&gt;""),$C1548+ROW()/1000000,"")</f>
        <v/>
      </c>
      <c r="AN1548" s="17">
        <f>IF(AND($E1548="Entrada",$W1548&gt;0,$C1548&lt;&gt;""),$C1548+ROW()/1000000,"")</f>
        <v/>
      </c>
      <c r="AO1548" s="9">
        <f>IF(COUNTA($B1548:$R1548)=0,"",IF(AND($I1548&lt;&gt;"",COUNTIF(CLIENTES_NOMES,$I1548)+COUNTIF(CLIENTES_FANTASIA,$I1548)+COUNTIF(FORNECEDORES_NOMES,$I1548)+COUNTIF(FORNECEDORES_FANTASIA,$I1548)=0),"⚠ Cliente/Fornecedor não cadastrado",IF(AND($G1548&lt;&gt;"",COUNTIF(SUBCATEGORIAS_PLANO,$G1548)=0),"⚠ Subcategoria fora do plano de contas",IF(OR($Q1548="",N($Q1548)=0),"⚠ Valor previsto não informado",IF(AND(OR($X1548="Pago",$X1548="Recebido"),$D1548=""),"⚠ Status pago/recebido sem data",IF(AND($D1548&lt;&gt;"",N($R1548)=0),"⚠ Data de pagamento sem valor realizado",IF(AND(N($P1548)&gt;1,N($O1548)&gt;N($P1548)),"⚠ Nº da parcela maior que o total",IF(AND($C1548&lt;&gt;"",$B1548&lt;&gt;"",$C1548&lt;$B1548),"⚠ Vencimento anterior à competência","OK"))))))))</f>
        <v/>
      </c>
    </row>
    <row r="1549">
      <c r="A1549" s="14" t="n"/>
      <c r="B1549" s="36" t="n"/>
      <c r="C1549" s="36" t="n"/>
      <c r="D1549" s="36" t="n"/>
      <c r="E1549" s="14" t="n"/>
      <c r="F1549" s="29" t="n"/>
      <c r="G1549" s="29" t="n"/>
      <c r="H1549" s="29" t="n"/>
      <c r="I1549" s="29" t="n"/>
      <c r="J1549" s="29" t="n"/>
      <c r="K1549" s="14" t="n"/>
      <c r="L1549" s="29" t="n"/>
      <c r="M1549" s="14" t="n"/>
      <c r="N1549" s="29" t="n"/>
      <c r="O1549" s="13" t="n"/>
      <c r="P1549" s="13" t="n"/>
      <c r="Q1549" s="35" t="n"/>
      <c r="R1549" s="35" t="n"/>
      <c r="S1549" s="35" t="n"/>
      <c r="T1549" s="35" t="n"/>
      <c r="U1549" s="35" t="n"/>
      <c r="V1549" s="18">
        <f>IF(COUNTA($B1549:$R1549)=0,"",ROUND(N($R1549)+N($S1549)+N($T1549)-N($U1549),2))</f>
        <v/>
      </c>
      <c r="W1549" s="18">
        <f>IF(COUNTA($B1549:$R1549)=0,"",IF(OR($X1549="Pago",$X1549="Recebido",$X1549="Cancelado"),0,ROUND(N($Q1549)+N($S1549)+N($T1549)-N($U1549)-N($R1549),2)))</f>
        <v/>
      </c>
      <c r="X1549" s="14" t="n"/>
      <c r="Y1549" s="17">
        <f>IF(COUNTA($B1549:$R1549)=0,"",IF($X1549="Cancelado","Cancelado",IF(OR($X1549="Pago",$X1549="Recebido"),$X1549,IF(OR($X1549="Parcial",N($R1549)&gt;0),"Parcial",IF($C1549="","Sem vencimento",IF($C1549&lt;TODAY(),"Vencido",IF($C1549=TODAY(),"Vence hoje",IF($C1549&lt;=TODAY()+7,"Vence em 7 dias",IF($C1549&lt;=TODAY()+30,"Vence em 30 dias","Futuro")))))))))</f>
        <v/>
      </c>
      <c r="Z1549" s="24">
        <f>IF($B1549="","",MONTH($B1549))</f>
        <v/>
      </c>
      <c r="AA1549" s="24">
        <f>IF($B1549="","",YEAR($B1549))</f>
        <v/>
      </c>
      <c r="AB1549" s="24">
        <f>IF($B1549="","",ISOWEEKNUM($B1549))</f>
        <v/>
      </c>
      <c r="AC1549" s="17">
        <f>IF($B1549="","",CHOOSE(WEEKDAY($B1549,2),"Segunda","Terça","Quarta","Quinta","Sexta","Sábado","Domingo"))</f>
        <v/>
      </c>
      <c r="AD1549" s="17">
        <f>IF($B1549="","",TEXT($B1549,"MM/AAAA"))</f>
        <v/>
      </c>
      <c r="AE1549" s="18">
        <f>IF(COUNTA($B1549:$R1549)=0,"",IF($X1549="Cancelado",0,ROUND(N($Q1549)+N($S1549)+N($T1549)-N($U1549),2)))</f>
        <v/>
      </c>
      <c r="AF1549" s="9">
        <f>IF($G1549="","",IFERROR(INDEX(LINHAS_DRE_PLANO,MATCH($G1549,SUBCATEGORIAS_PLANO,0)),"Não classificado"))</f>
        <v/>
      </c>
      <c r="AG1549" s="17">
        <f>IF($G1549="","",IFERROR(INDEX(TIPOS_FLUXO_PLANO,MATCH($G1549,SUBCATEGORIAS_PLANO,0)),"Não classificado"))</f>
        <v/>
      </c>
      <c r="AH1549" s="9">
        <f>IF($G1549="","",IFERROR(INDEX(GRUPOS_PLANO,MATCH($G1549,SUBCATEGORIAS_PLANO,0)),"Não classificado"))</f>
        <v/>
      </c>
      <c r="AI1549" s="24">
        <f>IF(OR($C1549="",$X1549="Pago",$X1549="Recebido",$X1549="Cancelado"),"",$C1549-TODAY())</f>
        <v/>
      </c>
      <c r="AJ1549" s="24">
        <f>IF(OR($C1549="",$X1549="Pago",$X1549="Recebido",$X1549="Cancelado"),0,MAX(0,TODAY()-$C1549))</f>
        <v/>
      </c>
      <c r="AK1549" s="24">
        <f>IF($D1549="","",$D1549-$B1549)</f>
        <v/>
      </c>
      <c r="AL1549" s="18">
        <f>IF(OR($D1549="",$B1549=""),"",ROUND(N($R1549)*($D1549-$B1549),2))</f>
        <v/>
      </c>
      <c r="AM1549" s="17">
        <f>IF(AND($E1549="Saída",$W1549&gt;0,$C1549&lt;&gt;""),$C1549+ROW()/1000000,"")</f>
        <v/>
      </c>
      <c r="AN1549" s="17">
        <f>IF(AND($E1549="Entrada",$W1549&gt;0,$C1549&lt;&gt;""),$C1549+ROW()/1000000,"")</f>
        <v/>
      </c>
      <c r="AO1549" s="9">
        <f>IF(COUNTA($B1549:$R1549)=0,"",IF(AND($I1549&lt;&gt;"",COUNTIF(CLIENTES_NOMES,$I1549)+COUNTIF(CLIENTES_FANTASIA,$I1549)+COUNTIF(FORNECEDORES_NOMES,$I1549)+COUNTIF(FORNECEDORES_FANTASIA,$I1549)=0),"⚠ Cliente/Fornecedor não cadastrado",IF(AND($G1549&lt;&gt;"",COUNTIF(SUBCATEGORIAS_PLANO,$G1549)=0),"⚠ Subcategoria fora do plano de contas",IF(OR($Q1549="",N($Q1549)=0),"⚠ Valor previsto não informado",IF(AND(OR($X1549="Pago",$X1549="Recebido"),$D1549=""),"⚠ Status pago/recebido sem data",IF(AND($D1549&lt;&gt;"",N($R1549)=0),"⚠ Data de pagamento sem valor realizado",IF(AND(N($P1549)&gt;1,N($O1549)&gt;N($P1549)),"⚠ Nº da parcela maior que o total",IF(AND($C1549&lt;&gt;"",$B1549&lt;&gt;"",$C1549&lt;$B1549),"⚠ Vencimento anterior à competência","OK"))))))))</f>
        <v/>
      </c>
    </row>
    <row r="1550">
      <c r="A1550" s="14" t="n"/>
      <c r="B1550" s="36" t="n"/>
      <c r="C1550" s="36" t="n"/>
      <c r="D1550" s="36" t="n"/>
      <c r="E1550" s="14" t="n"/>
      <c r="F1550" s="29" t="n"/>
      <c r="G1550" s="29" t="n"/>
      <c r="H1550" s="29" t="n"/>
      <c r="I1550" s="29" t="n"/>
      <c r="J1550" s="29" t="n"/>
      <c r="K1550" s="14" t="n"/>
      <c r="L1550" s="29" t="n"/>
      <c r="M1550" s="14" t="n"/>
      <c r="N1550" s="29" t="n"/>
      <c r="O1550" s="13" t="n"/>
      <c r="P1550" s="13" t="n"/>
      <c r="Q1550" s="35" t="n"/>
      <c r="R1550" s="35" t="n"/>
      <c r="S1550" s="35" t="n"/>
      <c r="T1550" s="35" t="n"/>
      <c r="U1550" s="35" t="n"/>
      <c r="V1550" s="18">
        <f>IF(COUNTA($B1550:$R1550)=0,"",ROUND(N($R1550)+N($S1550)+N($T1550)-N($U1550),2))</f>
        <v/>
      </c>
      <c r="W1550" s="18">
        <f>IF(COUNTA($B1550:$R1550)=0,"",IF(OR($X1550="Pago",$X1550="Recebido",$X1550="Cancelado"),0,ROUND(N($Q1550)+N($S1550)+N($T1550)-N($U1550)-N($R1550),2)))</f>
        <v/>
      </c>
      <c r="X1550" s="14" t="n"/>
      <c r="Y1550" s="17">
        <f>IF(COUNTA($B1550:$R1550)=0,"",IF($X1550="Cancelado","Cancelado",IF(OR($X1550="Pago",$X1550="Recebido"),$X1550,IF(OR($X1550="Parcial",N($R1550)&gt;0),"Parcial",IF($C1550="","Sem vencimento",IF($C1550&lt;TODAY(),"Vencido",IF($C1550=TODAY(),"Vence hoje",IF($C1550&lt;=TODAY()+7,"Vence em 7 dias",IF($C1550&lt;=TODAY()+30,"Vence em 30 dias","Futuro")))))))))</f>
        <v/>
      </c>
      <c r="Z1550" s="24">
        <f>IF($B1550="","",MONTH($B1550))</f>
        <v/>
      </c>
      <c r="AA1550" s="24">
        <f>IF($B1550="","",YEAR($B1550))</f>
        <v/>
      </c>
      <c r="AB1550" s="24">
        <f>IF($B1550="","",ISOWEEKNUM($B1550))</f>
        <v/>
      </c>
      <c r="AC1550" s="17">
        <f>IF($B1550="","",CHOOSE(WEEKDAY($B1550,2),"Segunda","Terça","Quarta","Quinta","Sexta","Sábado","Domingo"))</f>
        <v/>
      </c>
      <c r="AD1550" s="17">
        <f>IF($B1550="","",TEXT($B1550,"MM/AAAA"))</f>
        <v/>
      </c>
      <c r="AE1550" s="18">
        <f>IF(COUNTA($B1550:$R1550)=0,"",IF($X1550="Cancelado",0,ROUND(N($Q1550)+N($S1550)+N($T1550)-N($U1550),2)))</f>
        <v/>
      </c>
      <c r="AF1550" s="9">
        <f>IF($G1550="","",IFERROR(INDEX(LINHAS_DRE_PLANO,MATCH($G1550,SUBCATEGORIAS_PLANO,0)),"Não classificado"))</f>
        <v/>
      </c>
      <c r="AG1550" s="17">
        <f>IF($G1550="","",IFERROR(INDEX(TIPOS_FLUXO_PLANO,MATCH($G1550,SUBCATEGORIAS_PLANO,0)),"Não classificado"))</f>
        <v/>
      </c>
      <c r="AH1550" s="9">
        <f>IF($G1550="","",IFERROR(INDEX(GRUPOS_PLANO,MATCH($G1550,SUBCATEGORIAS_PLANO,0)),"Não classificado"))</f>
        <v/>
      </c>
      <c r="AI1550" s="24">
        <f>IF(OR($C1550="",$X1550="Pago",$X1550="Recebido",$X1550="Cancelado"),"",$C1550-TODAY())</f>
        <v/>
      </c>
      <c r="AJ1550" s="24">
        <f>IF(OR($C1550="",$X1550="Pago",$X1550="Recebido",$X1550="Cancelado"),0,MAX(0,TODAY()-$C1550))</f>
        <v/>
      </c>
      <c r="AK1550" s="24">
        <f>IF($D1550="","",$D1550-$B1550)</f>
        <v/>
      </c>
      <c r="AL1550" s="18">
        <f>IF(OR($D1550="",$B1550=""),"",ROUND(N($R1550)*($D1550-$B1550),2))</f>
        <v/>
      </c>
      <c r="AM1550" s="17">
        <f>IF(AND($E1550="Saída",$W1550&gt;0,$C1550&lt;&gt;""),$C1550+ROW()/1000000,"")</f>
        <v/>
      </c>
      <c r="AN1550" s="17">
        <f>IF(AND($E1550="Entrada",$W1550&gt;0,$C1550&lt;&gt;""),$C1550+ROW()/1000000,"")</f>
        <v/>
      </c>
      <c r="AO1550" s="9">
        <f>IF(COUNTA($B1550:$R1550)=0,"",IF(AND($I1550&lt;&gt;"",COUNTIF(CLIENTES_NOMES,$I1550)+COUNTIF(CLIENTES_FANTASIA,$I1550)+COUNTIF(FORNECEDORES_NOMES,$I1550)+COUNTIF(FORNECEDORES_FANTASIA,$I1550)=0),"⚠ Cliente/Fornecedor não cadastrado",IF(AND($G1550&lt;&gt;"",COUNTIF(SUBCATEGORIAS_PLANO,$G1550)=0),"⚠ Subcategoria fora do plano de contas",IF(OR($Q1550="",N($Q1550)=0),"⚠ Valor previsto não informado",IF(AND(OR($X1550="Pago",$X1550="Recebido"),$D1550=""),"⚠ Status pago/recebido sem data",IF(AND($D1550&lt;&gt;"",N($R1550)=0),"⚠ Data de pagamento sem valor realizado",IF(AND(N($P1550)&gt;1,N($O1550)&gt;N($P1550)),"⚠ Nº da parcela maior que o total",IF(AND($C1550&lt;&gt;"",$B1550&lt;&gt;"",$C1550&lt;$B1550),"⚠ Vencimento anterior à competência","OK"))))))))</f>
        <v/>
      </c>
    </row>
    <row r="1551">
      <c r="A1551" s="14" t="n"/>
      <c r="B1551" s="36" t="n"/>
      <c r="C1551" s="36" t="n"/>
      <c r="D1551" s="36" t="n"/>
      <c r="E1551" s="14" t="n"/>
      <c r="F1551" s="29" t="n"/>
      <c r="G1551" s="29" t="n"/>
      <c r="H1551" s="29" t="n"/>
      <c r="I1551" s="29" t="n"/>
      <c r="J1551" s="29" t="n"/>
      <c r="K1551" s="14" t="n"/>
      <c r="L1551" s="29" t="n"/>
      <c r="M1551" s="14" t="n"/>
      <c r="N1551" s="29" t="n"/>
      <c r="O1551" s="13" t="n"/>
      <c r="P1551" s="13" t="n"/>
      <c r="Q1551" s="35" t="n"/>
      <c r="R1551" s="35" t="n"/>
      <c r="S1551" s="35" t="n"/>
      <c r="T1551" s="35" t="n"/>
      <c r="U1551" s="35" t="n"/>
      <c r="V1551" s="18">
        <f>IF(COUNTA($B1551:$R1551)=0,"",ROUND(N($R1551)+N($S1551)+N($T1551)-N($U1551),2))</f>
        <v/>
      </c>
      <c r="W1551" s="18">
        <f>IF(COUNTA($B1551:$R1551)=0,"",IF(OR($X1551="Pago",$X1551="Recebido",$X1551="Cancelado"),0,ROUND(N($Q1551)+N($S1551)+N($T1551)-N($U1551)-N($R1551),2)))</f>
        <v/>
      </c>
      <c r="X1551" s="14" t="n"/>
      <c r="Y1551" s="17">
        <f>IF(COUNTA($B1551:$R1551)=0,"",IF($X1551="Cancelado","Cancelado",IF(OR($X1551="Pago",$X1551="Recebido"),$X1551,IF(OR($X1551="Parcial",N($R1551)&gt;0),"Parcial",IF($C1551="","Sem vencimento",IF($C1551&lt;TODAY(),"Vencido",IF($C1551=TODAY(),"Vence hoje",IF($C1551&lt;=TODAY()+7,"Vence em 7 dias",IF($C1551&lt;=TODAY()+30,"Vence em 30 dias","Futuro")))))))))</f>
        <v/>
      </c>
      <c r="Z1551" s="24">
        <f>IF($B1551="","",MONTH($B1551))</f>
        <v/>
      </c>
      <c r="AA1551" s="24">
        <f>IF($B1551="","",YEAR($B1551))</f>
        <v/>
      </c>
      <c r="AB1551" s="24">
        <f>IF($B1551="","",ISOWEEKNUM($B1551))</f>
        <v/>
      </c>
      <c r="AC1551" s="17">
        <f>IF($B1551="","",CHOOSE(WEEKDAY($B1551,2),"Segunda","Terça","Quarta","Quinta","Sexta","Sábado","Domingo"))</f>
        <v/>
      </c>
      <c r="AD1551" s="17">
        <f>IF($B1551="","",TEXT($B1551,"MM/AAAA"))</f>
        <v/>
      </c>
      <c r="AE1551" s="18">
        <f>IF(COUNTA($B1551:$R1551)=0,"",IF($X1551="Cancelado",0,ROUND(N($Q1551)+N($S1551)+N($T1551)-N($U1551),2)))</f>
        <v/>
      </c>
      <c r="AF1551" s="9">
        <f>IF($G1551="","",IFERROR(INDEX(LINHAS_DRE_PLANO,MATCH($G1551,SUBCATEGORIAS_PLANO,0)),"Não classificado"))</f>
        <v/>
      </c>
      <c r="AG1551" s="17">
        <f>IF($G1551="","",IFERROR(INDEX(TIPOS_FLUXO_PLANO,MATCH($G1551,SUBCATEGORIAS_PLANO,0)),"Não classificado"))</f>
        <v/>
      </c>
      <c r="AH1551" s="9">
        <f>IF($G1551="","",IFERROR(INDEX(GRUPOS_PLANO,MATCH($G1551,SUBCATEGORIAS_PLANO,0)),"Não classificado"))</f>
        <v/>
      </c>
      <c r="AI1551" s="24">
        <f>IF(OR($C1551="",$X1551="Pago",$X1551="Recebido",$X1551="Cancelado"),"",$C1551-TODAY())</f>
        <v/>
      </c>
      <c r="AJ1551" s="24">
        <f>IF(OR($C1551="",$X1551="Pago",$X1551="Recebido",$X1551="Cancelado"),0,MAX(0,TODAY()-$C1551))</f>
        <v/>
      </c>
      <c r="AK1551" s="24">
        <f>IF($D1551="","",$D1551-$B1551)</f>
        <v/>
      </c>
      <c r="AL1551" s="18">
        <f>IF(OR($D1551="",$B1551=""),"",ROUND(N($R1551)*($D1551-$B1551),2))</f>
        <v/>
      </c>
      <c r="AM1551" s="17">
        <f>IF(AND($E1551="Saída",$W1551&gt;0,$C1551&lt;&gt;""),$C1551+ROW()/1000000,"")</f>
        <v/>
      </c>
      <c r="AN1551" s="17">
        <f>IF(AND($E1551="Entrada",$W1551&gt;0,$C1551&lt;&gt;""),$C1551+ROW()/1000000,"")</f>
        <v/>
      </c>
      <c r="AO1551" s="9">
        <f>IF(COUNTA($B1551:$R1551)=0,"",IF(AND($I1551&lt;&gt;"",COUNTIF(CLIENTES_NOMES,$I1551)+COUNTIF(CLIENTES_FANTASIA,$I1551)+COUNTIF(FORNECEDORES_NOMES,$I1551)+COUNTIF(FORNECEDORES_FANTASIA,$I1551)=0),"⚠ Cliente/Fornecedor não cadastrado",IF(AND($G1551&lt;&gt;"",COUNTIF(SUBCATEGORIAS_PLANO,$G1551)=0),"⚠ Subcategoria fora do plano de contas",IF(OR($Q1551="",N($Q1551)=0),"⚠ Valor previsto não informado",IF(AND(OR($X1551="Pago",$X1551="Recebido"),$D1551=""),"⚠ Status pago/recebido sem data",IF(AND($D1551&lt;&gt;"",N($R1551)=0),"⚠ Data de pagamento sem valor realizado",IF(AND(N($P1551)&gt;1,N($O1551)&gt;N($P1551)),"⚠ Nº da parcela maior que o total",IF(AND($C1551&lt;&gt;"",$B1551&lt;&gt;"",$C1551&lt;$B1551),"⚠ Vencimento anterior à competência","OK"))))))))</f>
        <v/>
      </c>
    </row>
    <row r="1552">
      <c r="A1552" s="14" t="n"/>
      <c r="B1552" s="36" t="n"/>
      <c r="C1552" s="36" t="n"/>
      <c r="D1552" s="36" t="n"/>
      <c r="E1552" s="14" t="n"/>
      <c r="F1552" s="29" t="n"/>
      <c r="G1552" s="29" t="n"/>
      <c r="H1552" s="29" t="n"/>
      <c r="I1552" s="29" t="n"/>
      <c r="J1552" s="29" t="n"/>
      <c r="K1552" s="14" t="n"/>
      <c r="L1552" s="29" t="n"/>
      <c r="M1552" s="14" t="n"/>
      <c r="N1552" s="29" t="n"/>
      <c r="O1552" s="13" t="n"/>
      <c r="P1552" s="13" t="n"/>
      <c r="Q1552" s="35" t="n"/>
      <c r="R1552" s="35" t="n"/>
      <c r="S1552" s="35" t="n"/>
      <c r="T1552" s="35" t="n"/>
      <c r="U1552" s="35" t="n"/>
      <c r="V1552" s="18">
        <f>IF(COUNTA($B1552:$R1552)=0,"",ROUND(N($R1552)+N($S1552)+N($T1552)-N($U1552),2))</f>
        <v/>
      </c>
      <c r="W1552" s="18">
        <f>IF(COUNTA($B1552:$R1552)=0,"",IF(OR($X1552="Pago",$X1552="Recebido",$X1552="Cancelado"),0,ROUND(N($Q1552)+N($S1552)+N($T1552)-N($U1552)-N($R1552),2)))</f>
        <v/>
      </c>
      <c r="X1552" s="14" t="n"/>
      <c r="Y1552" s="17">
        <f>IF(COUNTA($B1552:$R1552)=0,"",IF($X1552="Cancelado","Cancelado",IF(OR($X1552="Pago",$X1552="Recebido"),$X1552,IF(OR($X1552="Parcial",N($R1552)&gt;0),"Parcial",IF($C1552="","Sem vencimento",IF($C1552&lt;TODAY(),"Vencido",IF($C1552=TODAY(),"Vence hoje",IF($C1552&lt;=TODAY()+7,"Vence em 7 dias",IF($C1552&lt;=TODAY()+30,"Vence em 30 dias","Futuro")))))))))</f>
        <v/>
      </c>
      <c r="Z1552" s="24">
        <f>IF($B1552="","",MONTH($B1552))</f>
        <v/>
      </c>
      <c r="AA1552" s="24">
        <f>IF($B1552="","",YEAR($B1552))</f>
        <v/>
      </c>
      <c r="AB1552" s="24">
        <f>IF($B1552="","",ISOWEEKNUM($B1552))</f>
        <v/>
      </c>
      <c r="AC1552" s="17">
        <f>IF($B1552="","",CHOOSE(WEEKDAY($B1552,2),"Segunda","Terça","Quarta","Quinta","Sexta","Sábado","Domingo"))</f>
        <v/>
      </c>
      <c r="AD1552" s="17">
        <f>IF($B1552="","",TEXT($B1552,"MM/AAAA"))</f>
        <v/>
      </c>
      <c r="AE1552" s="18">
        <f>IF(COUNTA($B1552:$R1552)=0,"",IF($X1552="Cancelado",0,ROUND(N($Q1552)+N($S1552)+N($T1552)-N($U1552),2)))</f>
        <v/>
      </c>
      <c r="AF1552" s="9">
        <f>IF($G1552="","",IFERROR(INDEX(LINHAS_DRE_PLANO,MATCH($G1552,SUBCATEGORIAS_PLANO,0)),"Não classificado"))</f>
        <v/>
      </c>
      <c r="AG1552" s="17">
        <f>IF($G1552="","",IFERROR(INDEX(TIPOS_FLUXO_PLANO,MATCH($G1552,SUBCATEGORIAS_PLANO,0)),"Não classificado"))</f>
        <v/>
      </c>
      <c r="AH1552" s="9">
        <f>IF($G1552="","",IFERROR(INDEX(GRUPOS_PLANO,MATCH($G1552,SUBCATEGORIAS_PLANO,0)),"Não classificado"))</f>
        <v/>
      </c>
      <c r="AI1552" s="24">
        <f>IF(OR($C1552="",$X1552="Pago",$X1552="Recebido",$X1552="Cancelado"),"",$C1552-TODAY())</f>
        <v/>
      </c>
      <c r="AJ1552" s="24">
        <f>IF(OR($C1552="",$X1552="Pago",$X1552="Recebido",$X1552="Cancelado"),0,MAX(0,TODAY()-$C1552))</f>
        <v/>
      </c>
      <c r="AK1552" s="24">
        <f>IF($D1552="","",$D1552-$B1552)</f>
        <v/>
      </c>
      <c r="AL1552" s="18">
        <f>IF(OR($D1552="",$B1552=""),"",ROUND(N($R1552)*($D1552-$B1552),2))</f>
        <v/>
      </c>
      <c r="AM1552" s="17">
        <f>IF(AND($E1552="Saída",$W1552&gt;0,$C1552&lt;&gt;""),$C1552+ROW()/1000000,"")</f>
        <v/>
      </c>
      <c r="AN1552" s="17">
        <f>IF(AND($E1552="Entrada",$W1552&gt;0,$C1552&lt;&gt;""),$C1552+ROW()/1000000,"")</f>
        <v/>
      </c>
      <c r="AO1552" s="9">
        <f>IF(COUNTA($B1552:$R1552)=0,"",IF(AND($I1552&lt;&gt;"",COUNTIF(CLIENTES_NOMES,$I1552)+COUNTIF(CLIENTES_FANTASIA,$I1552)+COUNTIF(FORNECEDORES_NOMES,$I1552)+COUNTIF(FORNECEDORES_FANTASIA,$I1552)=0),"⚠ Cliente/Fornecedor não cadastrado",IF(AND($G1552&lt;&gt;"",COUNTIF(SUBCATEGORIAS_PLANO,$G1552)=0),"⚠ Subcategoria fora do plano de contas",IF(OR($Q1552="",N($Q1552)=0),"⚠ Valor previsto não informado",IF(AND(OR($X1552="Pago",$X1552="Recebido"),$D1552=""),"⚠ Status pago/recebido sem data",IF(AND($D1552&lt;&gt;"",N($R1552)=0),"⚠ Data de pagamento sem valor realizado",IF(AND(N($P1552)&gt;1,N($O1552)&gt;N($P1552)),"⚠ Nº da parcela maior que o total",IF(AND($C1552&lt;&gt;"",$B1552&lt;&gt;"",$C1552&lt;$B1552),"⚠ Vencimento anterior à competência","OK"))))))))</f>
        <v/>
      </c>
    </row>
    <row r="1553">
      <c r="A1553" s="14" t="n"/>
      <c r="B1553" s="36" t="n"/>
      <c r="C1553" s="36" t="n"/>
      <c r="D1553" s="36" t="n"/>
      <c r="E1553" s="14" t="n"/>
      <c r="F1553" s="29" t="n"/>
      <c r="G1553" s="29" t="n"/>
      <c r="H1553" s="29" t="n"/>
      <c r="I1553" s="29" t="n"/>
      <c r="J1553" s="29" t="n"/>
      <c r="K1553" s="14" t="n"/>
      <c r="L1553" s="29" t="n"/>
      <c r="M1553" s="14" t="n"/>
      <c r="N1553" s="29" t="n"/>
      <c r="O1553" s="13" t="n"/>
      <c r="P1553" s="13" t="n"/>
      <c r="Q1553" s="35" t="n"/>
      <c r="R1553" s="35" t="n"/>
      <c r="S1553" s="35" t="n"/>
      <c r="T1553" s="35" t="n"/>
      <c r="U1553" s="35" t="n"/>
      <c r="V1553" s="18">
        <f>IF(COUNTA($B1553:$R1553)=0,"",ROUND(N($R1553)+N($S1553)+N($T1553)-N($U1553),2))</f>
        <v/>
      </c>
      <c r="W1553" s="18">
        <f>IF(COUNTA($B1553:$R1553)=0,"",IF(OR($X1553="Pago",$X1553="Recebido",$X1553="Cancelado"),0,ROUND(N($Q1553)+N($S1553)+N($T1553)-N($U1553)-N($R1553),2)))</f>
        <v/>
      </c>
      <c r="X1553" s="14" t="n"/>
      <c r="Y1553" s="17">
        <f>IF(COUNTA($B1553:$R1553)=0,"",IF($X1553="Cancelado","Cancelado",IF(OR($X1553="Pago",$X1553="Recebido"),$X1553,IF(OR($X1553="Parcial",N($R1553)&gt;0),"Parcial",IF($C1553="","Sem vencimento",IF($C1553&lt;TODAY(),"Vencido",IF($C1553=TODAY(),"Vence hoje",IF($C1553&lt;=TODAY()+7,"Vence em 7 dias",IF($C1553&lt;=TODAY()+30,"Vence em 30 dias","Futuro")))))))))</f>
        <v/>
      </c>
      <c r="Z1553" s="24">
        <f>IF($B1553="","",MONTH($B1553))</f>
        <v/>
      </c>
      <c r="AA1553" s="24">
        <f>IF($B1553="","",YEAR($B1553))</f>
        <v/>
      </c>
      <c r="AB1553" s="24">
        <f>IF($B1553="","",ISOWEEKNUM($B1553))</f>
        <v/>
      </c>
      <c r="AC1553" s="17">
        <f>IF($B1553="","",CHOOSE(WEEKDAY($B1553,2),"Segunda","Terça","Quarta","Quinta","Sexta","Sábado","Domingo"))</f>
        <v/>
      </c>
      <c r="AD1553" s="17">
        <f>IF($B1553="","",TEXT($B1553,"MM/AAAA"))</f>
        <v/>
      </c>
      <c r="AE1553" s="18">
        <f>IF(COUNTA($B1553:$R1553)=0,"",IF($X1553="Cancelado",0,ROUND(N($Q1553)+N($S1553)+N($T1553)-N($U1553),2)))</f>
        <v/>
      </c>
      <c r="AF1553" s="9">
        <f>IF($G1553="","",IFERROR(INDEX(LINHAS_DRE_PLANO,MATCH($G1553,SUBCATEGORIAS_PLANO,0)),"Não classificado"))</f>
        <v/>
      </c>
      <c r="AG1553" s="17">
        <f>IF($G1553="","",IFERROR(INDEX(TIPOS_FLUXO_PLANO,MATCH($G1553,SUBCATEGORIAS_PLANO,0)),"Não classificado"))</f>
        <v/>
      </c>
      <c r="AH1553" s="9">
        <f>IF($G1553="","",IFERROR(INDEX(GRUPOS_PLANO,MATCH($G1553,SUBCATEGORIAS_PLANO,0)),"Não classificado"))</f>
        <v/>
      </c>
      <c r="AI1553" s="24">
        <f>IF(OR($C1553="",$X1553="Pago",$X1553="Recebido",$X1553="Cancelado"),"",$C1553-TODAY())</f>
        <v/>
      </c>
      <c r="AJ1553" s="24">
        <f>IF(OR($C1553="",$X1553="Pago",$X1553="Recebido",$X1553="Cancelado"),0,MAX(0,TODAY()-$C1553))</f>
        <v/>
      </c>
      <c r="AK1553" s="24">
        <f>IF($D1553="","",$D1553-$B1553)</f>
        <v/>
      </c>
      <c r="AL1553" s="18">
        <f>IF(OR($D1553="",$B1553=""),"",ROUND(N($R1553)*($D1553-$B1553),2))</f>
        <v/>
      </c>
      <c r="AM1553" s="17">
        <f>IF(AND($E1553="Saída",$W1553&gt;0,$C1553&lt;&gt;""),$C1553+ROW()/1000000,"")</f>
        <v/>
      </c>
      <c r="AN1553" s="17">
        <f>IF(AND($E1553="Entrada",$W1553&gt;0,$C1553&lt;&gt;""),$C1553+ROW()/1000000,"")</f>
        <v/>
      </c>
      <c r="AO1553" s="9">
        <f>IF(COUNTA($B1553:$R1553)=0,"",IF(AND($I1553&lt;&gt;"",COUNTIF(CLIENTES_NOMES,$I1553)+COUNTIF(CLIENTES_FANTASIA,$I1553)+COUNTIF(FORNECEDORES_NOMES,$I1553)+COUNTIF(FORNECEDORES_FANTASIA,$I1553)=0),"⚠ Cliente/Fornecedor não cadastrado",IF(AND($G1553&lt;&gt;"",COUNTIF(SUBCATEGORIAS_PLANO,$G1553)=0),"⚠ Subcategoria fora do plano de contas",IF(OR($Q1553="",N($Q1553)=0),"⚠ Valor previsto não informado",IF(AND(OR($X1553="Pago",$X1553="Recebido"),$D1553=""),"⚠ Status pago/recebido sem data",IF(AND($D1553&lt;&gt;"",N($R1553)=0),"⚠ Data de pagamento sem valor realizado",IF(AND(N($P1553)&gt;1,N($O1553)&gt;N($P1553)),"⚠ Nº da parcela maior que o total",IF(AND($C1553&lt;&gt;"",$B1553&lt;&gt;"",$C1553&lt;$B1553),"⚠ Vencimento anterior à competência","OK"))))))))</f>
        <v/>
      </c>
    </row>
    <row r="1554">
      <c r="A1554" s="14" t="n"/>
      <c r="B1554" s="36" t="n"/>
      <c r="C1554" s="36" t="n"/>
      <c r="D1554" s="36" t="n"/>
      <c r="E1554" s="14" t="n"/>
      <c r="F1554" s="29" t="n"/>
      <c r="G1554" s="29" t="n"/>
      <c r="H1554" s="29" t="n"/>
      <c r="I1554" s="29" t="n"/>
      <c r="J1554" s="29" t="n"/>
      <c r="K1554" s="14" t="n"/>
      <c r="L1554" s="29" t="n"/>
      <c r="M1554" s="14" t="n"/>
      <c r="N1554" s="29" t="n"/>
      <c r="O1554" s="13" t="n"/>
      <c r="P1554" s="13" t="n"/>
      <c r="Q1554" s="35" t="n"/>
      <c r="R1554" s="35" t="n"/>
      <c r="S1554" s="35" t="n"/>
      <c r="T1554" s="35" t="n"/>
      <c r="U1554" s="35" t="n"/>
      <c r="V1554" s="18">
        <f>IF(COUNTA($B1554:$R1554)=0,"",ROUND(N($R1554)+N($S1554)+N($T1554)-N($U1554),2))</f>
        <v/>
      </c>
      <c r="W1554" s="18">
        <f>IF(COUNTA($B1554:$R1554)=0,"",IF(OR($X1554="Pago",$X1554="Recebido",$X1554="Cancelado"),0,ROUND(N($Q1554)+N($S1554)+N($T1554)-N($U1554)-N($R1554),2)))</f>
        <v/>
      </c>
      <c r="X1554" s="14" t="n"/>
      <c r="Y1554" s="17">
        <f>IF(COUNTA($B1554:$R1554)=0,"",IF($X1554="Cancelado","Cancelado",IF(OR($X1554="Pago",$X1554="Recebido"),$X1554,IF(OR($X1554="Parcial",N($R1554)&gt;0),"Parcial",IF($C1554="","Sem vencimento",IF($C1554&lt;TODAY(),"Vencido",IF($C1554=TODAY(),"Vence hoje",IF($C1554&lt;=TODAY()+7,"Vence em 7 dias",IF($C1554&lt;=TODAY()+30,"Vence em 30 dias","Futuro")))))))))</f>
        <v/>
      </c>
      <c r="Z1554" s="24">
        <f>IF($B1554="","",MONTH($B1554))</f>
        <v/>
      </c>
      <c r="AA1554" s="24">
        <f>IF($B1554="","",YEAR($B1554))</f>
        <v/>
      </c>
      <c r="AB1554" s="24">
        <f>IF($B1554="","",ISOWEEKNUM($B1554))</f>
        <v/>
      </c>
      <c r="AC1554" s="17">
        <f>IF($B1554="","",CHOOSE(WEEKDAY($B1554,2),"Segunda","Terça","Quarta","Quinta","Sexta","Sábado","Domingo"))</f>
        <v/>
      </c>
      <c r="AD1554" s="17">
        <f>IF($B1554="","",TEXT($B1554,"MM/AAAA"))</f>
        <v/>
      </c>
      <c r="AE1554" s="18">
        <f>IF(COUNTA($B1554:$R1554)=0,"",IF($X1554="Cancelado",0,ROUND(N($Q1554)+N($S1554)+N($T1554)-N($U1554),2)))</f>
        <v/>
      </c>
      <c r="AF1554" s="9">
        <f>IF($G1554="","",IFERROR(INDEX(LINHAS_DRE_PLANO,MATCH($G1554,SUBCATEGORIAS_PLANO,0)),"Não classificado"))</f>
        <v/>
      </c>
      <c r="AG1554" s="17">
        <f>IF($G1554="","",IFERROR(INDEX(TIPOS_FLUXO_PLANO,MATCH($G1554,SUBCATEGORIAS_PLANO,0)),"Não classificado"))</f>
        <v/>
      </c>
      <c r="AH1554" s="9">
        <f>IF($G1554="","",IFERROR(INDEX(GRUPOS_PLANO,MATCH($G1554,SUBCATEGORIAS_PLANO,0)),"Não classificado"))</f>
        <v/>
      </c>
      <c r="AI1554" s="24">
        <f>IF(OR($C1554="",$X1554="Pago",$X1554="Recebido",$X1554="Cancelado"),"",$C1554-TODAY())</f>
        <v/>
      </c>
      <c r="AJ1554" s="24">
        <f>IF(OR($C1554="",$X1554="Pago",$X1554="Recebido",$X1554="Cancelado"),0,MAX(0,TODAY()-$C1554))</f>
        <v/>
      </c>
      <c r="AK1554" s="24">
        <f>IF($D1554="","",$D1554-$B1554)</f>
        <v/>
      </c>
      <c r="AL1554" s="18">
        <f>IF(OR($D1554="",$B1554=""),"",ROUND(N($R1554)*($D1554-$B1554),2))</f>
        <v/>
      </c>
      <c r="AM1554" s="17">
        <f>IF(AND($E1554="Saída",$W1554&gt;0,$C1554&lt;&gt;""),$C1554+ROW()/1000000,"")</f>
        <v/>
      </c>
      <c r="AN1554" s="17">
        <f>IF(AND($E1554="Entrada",$W1554&gt;0,$C1554&lt;&gt;""),$C1554+ROW()/1000000,"")</f>
        <v/>
      </c>
      <c r="AO1554" s="9">
        <f>IF(COUNTA($B1554:$R1554)=0,"",IF(AND($I1554&lt;&gt;"",COUNTIF(CLIENTES_NOMES,$I1554)+COUNTIF(CLIENTES_FANTASIA,$I1554)+COUNTIF(FORNECEDORES_NOMES,$I1554)+COUNTIF(FORNECEDORES_FANTASIA,$I1554)=0),"⚠ Cliente/Fornecedor não cadastrado",IF(AND($G1554&lt;&gt;"",COUNTIF(SUBCATEGORIAS_PLANO,$G1554)=0),"⚠ Subcategoria fora do plano de contas",IF(OR($Q1554="",N($Q1554)=0),"⚠ Valor previsto não informado",IF(AND(OR($X1554="Pago",$X1554="Recebido"),$D1554=""),"⚠ Status pago/recebido sem data",IF(AND($D1554&lt;&gt;"",N($R1554)=0),"⚠ Data de pagamento sem valor realizado",IF(AND(N($P1554)&gt;1,N($O1554)&gt;N($P1554)),"⚠ Nº da parcela maior que o total",IF(AND($C1554&lt;&gt;"",$B1554&lt;&gt;"",$C1554&lt;$B1554),"⚠ Vencimento anterior à competência","OK"))))))))</f>
        <v/>
      </c>
    </row>
    <row r="1555">
      <c r="A1555" s="14" t="n"/>
      <c r="B1555" s="36" t="n"/>
      <c r="C1555" s="36" t="n"/>
      <c r="D1555" s="36" t="n"/>
      <c r="E1555" s="14" t="n"/>
      <c r="F1555" s="29" t="n"/>
      <c r="G1555" s="29" t="n"/>
      <c r="H1555" s="29" t="n"/>
      <c r="I1555" s="29" t="n"/>
      <c r="J1555" s="29" t="n"/>
      <c r="K1555" s="14" t="n"/>
      <c r="L1555" s="29" t="n"/>
      <c r="M1555" s="14" t="n"/>
      <c r="N1555" s="29" t="n"/>
      <c r="O1555" s="13" t="n"/>
      <c r="P1555" s="13" t="n"/>
      <c r="Q1555" s="35" t="n"/>
      <c r="R1555" s="35" t="n"/>
      <c r="S1555" s="35" t="n"/>
      <c r="T1555" s="35" t="n"/>
      <c r="U1555" s="35" t="n"/>
      <c r="V1555" s="18">
        <f>IF(COUNTA($B1555:$R1555)=0,"",ROUND(N($R1555)+N($S1555)+N($T1555)-N($U1555),2))</f>
        <v/>
      </c>
      <c r="W1555" s="18">
        <f>IF(COUNTA($B1555:$R1555)=0,"",IF(OR($X1555="Pago",$X1555="Recebido",$X1555="Cancelado"),0,ROUND(N($Q1555)+N($S1555)+N($T1555)-N($U1555)-N($R1555),2)))</f>
        <v/>
      </c>
      <c r="X1555" s="14" t="n"/>
      <c r="Y1555" s="17">
        <f>IF(COUNTA($B1555:$R1555)=0,"",IF($X1555="Cancelado","Cancelado",IF(OR($X1555="Pago",$X1555="Recebido"),$X1555,IF(OR($X1555="Parcial",N($R1555)&gt;0),"Parcial",IF($C1555="","Sem vencimento",IF($C1555&lt;TODAY(),"Vencido",IF($C1555=TODAY(),"Vence hoje",IF($C1555&lt;=TODAY()+7,"Vence em 7 dias",IF($C1555&lt;=TODAY()+30,"Vence em 30 dias","Futuro")))))))))</f>
        <v/>
      </c>
      <c r="Z1555" s="24">
        <f>IF($B1555="","",MONTH($B1555))</f>
        <v/>
      </c>
      <c r="AA1555" s="24">
        <f>IF($B1555="","",YEAR($B1555))</f>
        <v/>
      </c>
      <c r="AB1555" s="24">
        <f>IF($B1555="","",ISOWEEKNUM($B1555))</f>
        <v/>
      </c>
      <c r="AC1555" s="17">
        <f>IF($B1555="","",CHOOSE(WEEKDAY($B1555,2),"Segunda","Terça","Quarta","Quinta","Sexta","Sábado","Domingo"))</f>
        <v/>
      </c>
      <c r="AD1555" s="17">
        <f>IF($B1555="","",TEXT($B1555,"MM/AAAA"))</f>
        <v/>
      </c>
      <c r="AE1555" s="18">
        <f>IF(COUNTA($B1555:$R1555)=0,"",IF($X1555="Cancelado",0,ROUND(N($Q1555)+N($S1555)+N($T1555)-N($U1555),2)))</f>
        <v/>
      </c>
      <c r="AF1555" s="9">
        <f>IF($G1555="","",IFERROR(INDEX(LINHAS_DRE_PLANO,MATCH($G1555,SUBCATEGORIAS_PLANO,0)),"Não classificado"))</f>
        <v/>
      </c>
      <c r="AG1555" s="17">
        <f>IF($G1555="","",IFERROR(INDEX(TIPOS_FLUXO_PLANO,MATCH($G1555,SUBCATEGORIAS_PLANO,0)),"Não classificado"))</f>
        <v/>
      </c>
      <c r="AH1555" s="9">
        <f>IF($G1555="","",IFERROR(INDEX(GRUPOS_PLANO,MATCH($G1555,SUBCATEGORIAS_PLANO,0)),"Não classificado"))</f>
        <v/>
      </c>
      <c r="AI1555" s="24">
        <f>IF(OR($C1555="",$X1555="Pago",$X1555="Recebido",$X1555="Cancelado"),"",$C1555-TODAY())</f>
        <v/>
      </c>
      <c r="AJ1555" s="24">
        <f>IF(OR($C1555="",$X1555="Pago",$X1555="Recebido",$X1555="Cancelado"),0,MAX(0,TODAY()-$C1555))</f>
        <v/>
      </c>
      <c r="AK1555" s="24">
        <f>IF($D1555="","",$D1555-$B1555)</f>
        <v/>
      </c>
      <c r="AL1555" s="18">
        <f>IF(OR($D1555="",$B1555=""),"",ROUND(N($R1555)*($D1555-$B1555),2))</f>
        <v/>
      </c>
      <c r="AM1555" s="17">
        <f>IF(AND($E1555="Saída",$W1555&gt;0,$C1555&lt;&gt;""),$C1555+ROW()/1000000,"")</f>
        <v/>
      </c>
      <c r="AN1555" s="17">
        <f>IF(AND($E1555="Entrada",$W1555&gt;0,$C1555&lt;&gt;""),$C1555+ROW()/1000000,"")</f>
        <v/>
      </c>
      <c r="AO1555" s="9">
        <f>IF(COUNTA($B1555:$R1555)=0,"",IF(AND($I1555&lt;&gt;"",COUNTIF(CLIENTES_NOMES,$I1555)+COUNTIF(CLIENTES_FANTASIA,$I1555)+COUNTIF(FORNECEDORES_NOMES,$I1555)+COUNTIF(FORNECEDORES_FANTASIA,$I1555)=0),"⚠ Cliente/Fornecedor não cadastrado",IF(AND($G1555&lt;&gt;"",COUNTIF(SUBCATEGORIAS_PLANO,$G1555)=0),"⚠ Subcategoria fora do plano de contas",IF(OR($Q1555="",N($Q1555)=0),"⚠ Valor previsto não informado",IF(AND(OR($X1555="Pago",$X1555="Recebido"),$D1555=""),"⚠ Status pago/recebido sem data",IF(AND($D1555&lt;&gt;"",N($R1555)=0),"⚠ Data de pagamento sem valor realizado",IF(AND(N($P1555)&gt;1,N($O1555)&gt;N($P1555)),"⚠ Nº da parcela maior que o total",IF(AND($C1555&lt;&gt;"",$B1555&lt;&gt;"",$C1555&lt;$B1555),"⚠ Vencimento anterior à competência","OK"))))))))</f>
        <v/>
      </c>
    </row>
    <row r="1556">
      <c r="A1556" s="14" t="n"/>
      <c r="B1556" s="36" t="n"/>
      <c r="C1556" s="36" t="n"/>
      <c r="D1556" s="36" t="n"/>
      <c r="E1556" s="14" t="n"/>
      <c r="F1556" s="29" t="n"/>
      <c r="G1556" s="29" t="n"/>
      <c r="H1556" s="29" t="n"/>
      <c r="I1556" s="29" t="n"/>
      <c r="J1556" s="29" t="n"/>
      <c r="K1556" s="14" t="n"/>
      <c r="L1556" s="29" t="n"/>
      <c r="M1556" s="14" t="n"/>
      <c r="N1556" s="29" t="n"/>
      <c r="O1556" s="13" t="n"/>
      <c r="P1556" s="13" t="n"/>
      <c r="Q1556" s="35" t="n"/>
      <c r="R1556" s="35" t="n"/>
      <c r="S1556" s="35" t="n"/>
      <c r="T1556" s="35" t="n"/>
      <c r="U1556" s="35" t="n"/>
      <c r="V1556" s="18">
        <f>IF(COUNTA($B1556:$R1556)=0,"",ROUND(N($R1556)+N($S1556)+N($T1556)-N($U1556),2))</f>
        <v/>
      </c>
      <c r="W1556" s="18">
        <f>IF(COUNTA($B1556:$R1556)=0,"",IF(OR($X1556="Pago",$X1556="Recebido",$X1556="Cancelado"),0,ROUND(N($Q1556)+N($S1556)+N($T1556)-N($U1556)-N($R1556),2)))</f>
        <v/>
      </c>
      <c r="X1556" s="14" t="n"/>
      <c r="Y1556" s="17">
        <f>IF(COUNTA($B1556:$R1556)=0,"",IF($X1556="Cancelado","Cancelado",IF(OR($X1556="Pago",$X1556="Recebido"),$X1556,IF(OR($X1556="Parcial",N($R1556)&gt;0),"Parcial",IF($C1556="","Sem vencimento",IF($C1556&lt;TODAY(),"Vencido",IF($C1556=TODAY(),"Vence hoje",IF($C1556&lt;=TODAY()+7,"Vence em 7 dias",IF($C1556&lt;=TODAY()+30,"Vence em 30 dias","Futuro")))))))))</f>
        <v/>
      </c>
      <c r="Z1556" s="24">
        <f>IF($B1556="","",MONTH($B1556))</f>
        <v/>
      </c>
      <c r="AA1556" s="24">
        <f>IF($B1556="","",YEAR($B1556))</f>
        <v/>
      </c>
      <c r="AB1556" s="24">
        <f>IF($B1556="","",ISOWEEKNUM($B1556))</f>
        <v/>
      </c>
      <c r="AC1556" s="17">
        <f>IF($B1556="","",CHOOSE(WEEKDAY($B1556,2),"Segunda","Terça","Quarta","Quinta","Sexta","Sábado","Domingo"))</f>
        <v/>
      </c>
      <c r="AD1556" s="17">
        <f>IF($B1556="","",TEXT($B1556,"MM/AAAA"))</f>
        <v/>
      </c>
      <c r="AE1556" s="18">
        <f>IF(COUNTA($B1556:$R1556)=0,"",IF($X1556="Cancelado",0,ROUND(N($Q1556)+N($S1556)+N($T1556)-N($U1556),2)))</f>
        <v/>
      </c>
      <c r="AF1556" s="9">
        <f>IF($G1556="","",IFERROR(INDEX(LINHAS_DRE_PLANO,MATCH($G1556,SUBCATEGORIAS_PLANO,0)),"Não classificado"))</f>
        <v/>
      </c>
      <c r="AG1556" s="17">
        <f>IF($G1556="","",IFERROR(INDEX(TIPOS_FLUXO_PLANO,MATCH($G1556,SUBCATEGORIAS_PLANO,0)),"Não classificado"))</f>
        <v/>
      </c>
      <c r="AH1556" s="9">
        <f>IF($G1556="","",IFERROR(INDEX(GRUPOS_PLANO,MATCH($G1556,SUBCATEGORIAS_PLANO,0)),"Não classificado"))</f>
        <v/>
      </c>
      <c r="AI1556" s="24">
        <f>IF(OR($C1556="",$X1556="Pago",$X1556="Recebido",$X1556="Cancelado"),"",$C1556-TODAY())</f>
        <v/>
      </c>
      <c r="AJ1556" s="24">
        <f>IF(OR($C1556="",$X1556="Pago",$X1556="Recebido",$X1556="Cancelado"),0,MAX(0,TODAY()-$C1556))</f>
        <v/>
      </c>
      <c r="AK1556" s="24">
        <f>IF($D1556="","",$D1556-$B1556)</f>
        <v/>
      </c>
      <c r="AL1556" s="18">
        <f>IF(OR($D1556="",$B1556=""),"",ROUND(N($R1556)*($D1556-$B1556),2))</f>
        <v/>
      </c>
      <c r="AM1556" s="17">
        <f>IF(AND($E1556="Saída",$W1556&gt;0,$C1556&lt;&gt;""),$C1556+ROW()/1000000,"")</f>
        <v/>
      </c>
      <c r="AN1556" s="17">
        <f>IF(AND($E1556="Entrada",$W1556&gt;0,$C1556&lt;&gt;""),$C1556+ROW()/1000000,"")</f>
        <v/>
      </c>
      <c r="AO1556" s="9">
        <f>IF(COUNTA($B1556:$R1556)=0,"",IF(AND($I1556&lt;&gt;"",COUNTIF(CLIENTES_NOMES,$I1556)+COUNTIF(CLIENTES_FANTASIA,$I1556)+COUNTIF(FORNECEDORES_NOMES,$I1556)+COUNTIF(FORNECEDORES_FANTASIA,$I1556)=0),"⚠ Cliente/Fornecedor não cadastrado",IF(AND($G1556&lt;&gt;"",COUNTIF(SUBCATEGORIAS_PLANO,$G1556)=0),"⚠ Subcategoria fora do plano de contas",IF(OR($Q1556="",N($Q1556)=0),"⚠ Valor previsto não informado",IF(AND(OR($X1556="Pago",$X1556="Recebido"),$D1556=""),"⚠ Status pago/recebido sem data",IF(AND($D1556&lt;&gt;"",N($R1556)=0),"⚠ Data de pagamento sem valor realizado",IF(AND(N($P1556)&gt;1,N($O1556)&gt;N($P1556)),"⚠ Nº da parcela maior que o total",IF(AND($C1556&lt;&gt;"",$B1556&lt;&gt;"",$C1556&lt;$B1556),"⚠ Vencimento anterior à competência","OK"))))))))</f>
        <v/>
      </c>
    </row>
    <row r="1557">
      <c r="A1557" s="14" t="n"/>
      <c r="B1557" s="36" t="n"/>
      <c r="C1557" s="36" t="n"/>
      <c r="D1557" s="36" t="n"/>
      <c r="E1557" s="14" t="n"/>
      <c r="F1557" s="29" t="n"/>
      <c r="G1557" s="29" t="n"/>
      <c r="H1557" s="29" t="n"/>
      <c r="I1557" s="29" t="n"/>
      <c r="J1557" s="29" t="n"/>
      <c r="K1557" s="14" t="n"/>
      <c r="L1557" s="29" t="n"/>
      <c r="M1557" s="14" t="n"/>
      <c r="N1557" s="29" t="n"/>
      <c r="O1557" s="13" t="n"/>
      <c r="P1557" s="13" t="n"/>
      <c r="Q1557" s="35" t="n"/>
      <c r="R1557" s="35" t="n"/>
      <c r="S1557" s="35" t="n"/>
      <c r="T1557" s="35" t="n"/>
      <c r="U1557" s="35" t="n"/>
      <c r="V1557" s="18">
        <f>IF(COUNTA($B1557:$R1557)=0,"",ROUND(N($R1557)+N($S1557)+N($T1557)-N($U1557),2))</f>
        <v/>
      </c>
      <c r="W1557" s="18">
        <f>IF(COUNTA($B1557:$R1557)=0,"",IF(OR($X1557="Pago",$X1557="Recebido",$X1557="Cancelado"),0,ROUND(N($Q1557)+N($S1557)+N($T1557)-N($U1557)-N($R1557),2)))</f>
        <v/>
      </c>
      <c r="X1557" s="14" t="n"/>
      <c r="Y1557" s="17">
        <f>IF(COUNTA($B1557:$R1557)=0,"",IF($X1557="Cancelado","Cancelado",IF(OR($X1557="Pago",$X1557="Recebido"),$X1557,IF(OR($X1557="Parcial",N($R1557)&gt;0),"Parcial",IF($C1557="","Sem vencimento",IF($C1557&lt;TODAY(),"Vencido",IF($C1557=TODAY(),"Vence hoje",IF($C1557&lt;=TODAY()+7,"Vence em 7 dias",IF($C1557&lt;=TODAY()+30,"Vence em 30 dias","Futuro")))))))))</f>
        <v/>
      </c>
      <c r="Z1557" s="24">
        <f>IF($B1557="","",MONTH($B1557))</f>
        <v/>
      </c>
      <c r="AA1557" s="24">
        <f>IF($B1557="","",YEAR($B1557))</f>
        <v/>
      </c>
      <c r="AB1557" s="24">
        <f>IF($B1557="","",ISOWEEKNUM($B1557))</f>
        <v/>
      </c>
      <c r="AC1557" s="17">
        <f>IF($B1557="","",CHOOSE(WEEKDAY($B1557,2),"Segunda","Terça","Quarta","Quinta","Sexta","Sábado","Domingo"))</f>
        <v/>
      </c>
      <c r="AD1557" s="17">
        <f>IF($B1557="","",TEXT($B1557,"MM/AAAA"))</f>
        <v/>
      </c>
      <c r="AE1557" s="18">
        <f>IF(COUNTA($B1557:$R1557)=0,"",IF($X1557="Cancelado",0,ROUND(N($Q1557)+N($S1557)+N($T1557)-N($U1557),2)))</f>
        <v/>
      </c>
      <c r="AF1557" s="9">
        <f>IF($G1557="","",IFERROR(INDEX(LINHAS_DRE_PLANO,MATCH($G1557,SUBCATEGORIAS_PLANO,0)),"Não classificado"))</f>
        <v/>
      </c>
      <c r="AG1557" s="17">
        <f>IF($G1557="","",IFERROR(INDEX(TIPOS_FLUXO_PLANO,MATCH($G1557,SUBCATEGORIAS_PLANO,0)),"Não classificado"))</f>
        <v/>
      </c>
      <c r="AH1557" s="9">
        <f>IF($G1557="","",IFERROR(INDEX(GRUPOS_PLANO,MATCH($G1557,SUBCATEGORIAS_PLANO,0)),"Não classificado"))</f>
        <v/>
      </c>
      <c r="AI1557" s="24">
        <f>IF(OR($C1557="",$X1557="Pago",$X1557="Recebido",$X1557="Cancelado"),"",$C1557-TODAY())</f>
        <v/>
      </c>
      <c r="AJ1557" s="24">
        <f>IF(OR($C1557="",$X1557="Pago",$X1557="Recebido",$X1557="Cancelado"),0,MAX(0,TODAY()-$C1557))</f>
        <v/>
      </c>
      <c r="AK1557" s="24">
        <f>IF($D1557="","",$D1557-$B1557)</f>
        <v/>
      </c>
      <c r="AL1557" s="18">
        <f>IF(OR($D1557="",$B1557=""),"",ROUND(N($R1557)*($D1557-$B1557),2))</f>
        <v/>
      </c>
      <c r="AM1557" s="17">
        <f>IF(AND($E1557="Saída",$W1557&gt;0,$C1557&lt;&gt;""),$C1557+ROW()/1000000,"")</f>
        <v/>
      </c>
      <c r="AN1557" s="17">
        <f>IF(AND($E1557="Entrada",$W1557&gt;0,$C1557&lt;&gt;""),$C1557+ROW()/1000000,"")</f>
        <v/>
      </c>
      <c r="AO1557" s="9">
        <f>IF(COUNTA($B1557:$R1557)=0,"",IF(AND($I1557&lt;&gt;"",COUNTIF(CLIENTES_NOMES,$I1557)+COUNTIF(CLIENTES_FANTASIA,$I1557)+COUNTIF(FORNECEDORES_NOMES,$I1557)+COUNTIF(FORNECEDORES_FANTASIA,$I1557)=0),"⚠ Cliente/Fornecedor não cadastrado",IF(AND($G1557&lt;&gt;"",COUNTIF(SUBCATEGORIAS_PLANO,$G1557)=0),"⚠ Subcategoria fora do plano de contas",IF(OR($Q1557="",N($Q1557)=0),"⚠ Valor previsto não informado",IF(AND(OR($X1557="Pago",$X1557="Recebido"),$D1557=""),"⚠ Status pago/recebido sem data",IF(AND($D1557&lt;&gt;"",N($R1557)=0),"⚠ Data de pagamento sem valor realizado",IF(AND(N($P1557)&gt;1,N($O1557)&gt;N($P1557)),"⚠ Nº da parcela maior que o total",IF(AND($C1557&lt;&gt;"",$B1557&lt;&gt;"",$C1557&lt;$B1557),"⚠ Vencimento anterior à competência","OK"))))))))</f>
        <v/>
      </c>
    </row>
    <row r="1558">
      <c r="A1558" s="14" t="n"/>
      <c r="B1558" s="36" t="n"/>
      <c r="C1558" s="36" t="n"/>
      <c r="D1558" s="36" t="n"/>
      <c r="E1558" s="14" t="n"/>
      <c r="F1558" s="29" t="n"/>
      <c r="G1558" s="29" t="n"/>
      <c r="H1558" s="29" t="n"/>
      <c r="I1558" s="29" t="n"/>
      <c r="J1558" s="29" t="n"/>
      <c r="K1558" s="14" t="n"/>
      <c r="L1558" s="29" t="n"/>
      <c r="M1558" s="14" t="n"/>
      <c r="N1558" s="29" t="n"/>
      <c r="O1558" s="13" t="n"/>
      <c r="P1558" s="13" t="n"/>
      <c r="Q1558" s="35" t="n"/>
      <c r="R1558" s="35" t="n"/>
      <c r="S1558" s="35" t="n"/>
      <c r="T1558" s="35" t="n"/>
      <c r="U1558" s="35" t="n"/>
      <c r="V1558" s="18">
        <f>IF(COUNTA($B1558:$R1558)=0,"",ROUND(N($R1558)+N($S1558)+N($T1558)-N($U1558),2))</f>
        <v/>
      </c>
      <c r="W1558" s="18">
        <f>IF(COUNTA($B1558:$R1558)=0,"",IF(OR($X1558="Pago",$X1558="Recebido",$X1558="Cancelado"),0,ROUND(N($Q1558)+N($S1558)+N($T1558)-N($U1558)-N($R1558),2)))</f>
        <v/>
      </c>
      <c r="X1558" s="14" t="n"/>
      <c r="Y1558" s="17">
        <f>IF(COUNTA($B1558:$R1558)=0,"",IF($X1558="Cancelado","Cancelado",IF(OR($X1558="Pago",$X1558="Recebido"),$X1558,IF(OR($X1558="Parcial",N($R1558)&gt;0),"Parcial",IF($C1558="","Sem vencimento",IF($C1558&lt;TODAY(),"Vencido",IF($C1558=TODAY(),"Vence hoje",IF($C1558&lt;=TODAY()+7,"Vence em 7 dias",IF($C1558&lt;=TODAY()+30,"Vence em 30 dias","Futuro")))))))))</f>
        <v/>
      </c>
      <c r="Z1558" s="24">
        <f>IF($B1558="","",MONTH($B1558))</f>
        <v/>
      </c>
      <c r="AA1558" s="24">
        <f>IF($B1558="","",YEAR($B1558))</f>
        <v/>
      </c>
      <c r="AB1558" s="24">
        <f>IF($B1558="","",ISOWEEKNUM($B1558))</f>
        <v/>
      </c>
      <c r="AC1558" s="17">
        <f>IF($B1558="","",CHOOSE(WEEKDAY($B1558,2),"Segunda","Terça","Quarta","Quinta","Sexta","Sábado","Domingo"))</f>
        <v/>
      </c>
      <c r="AD1558" s="17">
        <f>IF($B1558="","",TEXT($B1558,"MM/AAAA"))</f>
        <v/>
      </c>
      <c r="AE1558" s="18">
        <f>IF(COUNTA($B1558:$R1558)=0,"",IF($X1558="Cancelado",0,ROUND(N($Q1558)+N($S1558)+N($T1558)-N($U1558),2)))</f>
        <v/>
      </c>
      <c r="AF1558" s="9">
        <f>IF($G1558="","",IFERROR(INDEX(LINHAS_DRE_PLANO,MATCH($G1558,SUBCATEGORIAS_PLANO,0)),"Não classificado"))</f>
        <v/>
      </c>
      <c r="AG1558" s="17">
        <f>IF($G1558="","",IFERROR(INDEX(TIPOS_FLUXO_PLANO,MATCH($G1558,SUBCATEGORIAS_PLANO,0)),"Não classificado"))</f>
        <v/>
      </c>
      <c r="AH1558" s="9">
        <f>IF($G1558="","",IFERROR(INDEX(GRUPOS_PLANO,MATCH($G1558,SUBCATEGORIAS_PLANO,0)),"Não classificado"))</f>
        <v/>
      </c>
      <c r="AI1558" s="24">
        <f>IF(OR($C1558="",$X1558="Pago",$X1558="Recebido",$X1558="Cancelado"),"",$C1558-TODAY())</f>
        <v/>
      </c>
      <c r="AJ1558" s="24">
        <f>IF(OR($C1558="",$X1558="Pago",$X1558="Recebido",$X1558="Cancelado"),0,MAX(0,TODAY()-$C1558))</f>
        <v/>
      </c>
      <c r="AK1558" s="24">
        <f>IF($D1558="","",$D1558-$B1558)</f>
        <v/>
      </c>
      <c r="AL1558" s="18">
        <f>IF(OR($D1558="",$B1558=""),"",ROUND(N($R1558)*($D1558-$B1558),2))</f>
        <v/>
      </c>
      <c r="AM1558" s="17">
        <f>IF(AND($E1558="Saída",$W1558&gt;0,$C1558&lt;&gt;""),$C1558+ROW()/1000000,"")</f>
        <v/>
      </c>
      <c r="AN1558" s="17">
        <f>IF(AND($E1558="Entrada",$W1558&gt;0,$C1558&lt;&gt;""),$C1558+ROW()/1000000,"")</f>
        <v/>
      </c>
      <c r="AO1558" s="9">
        <f>IF(COUNTA($B1558:$R1558)=0,"",IF(AND($I1558&lt;&gt;"",COUNTIF(CLIENTES_NOMES,$I1558)+COUNTIF(CLIENTES_FANTASIA,$I1558)+COUNTIF(FORNECEDORES_NOMES,$I1558)+COUNTIF(FORNECEDORES_FANTASIA,$I1558)=0),"⚠ Cliente/Fornecedor não cadastrado",IF(AND($G1558&lt;&gt;"",COUNTIF(SUBCATEGORIAS_PLANO,$G1558)=0),"⚠ Subcategoria fora do plano de contas",IF(OR($Q1558="",N($Q1558)=0),"⚠ Valor previsto não informado",IF(AND(OR($X1558="Pago",$X1558="Recebido"),$D1558=""),"⚠ Status pago/recebido sem data",IF(AND($D1558&lt;&gt;"",N($R1558)=0),"⚠ Data de pagamento sem valor realizado",IF(AND(N($P1558)&gt;1,N($O1558)&gt;N($P1558)),"⚠ Nº da parcela maior que o total",IF(AND($C1558&lt;&gt;"",$B1558&lt;&gt;"",$C1558&lt;$B1558),"⚠ Vencimento anterior à competência","OK"))))))))</f>
        <v/>
      </c>
    </row>
    <row r="1559">
      <c r="A1559" s="14" t="n"/>
      <c r="B1559" s="36" t="n"/>
      <c r="C1559" s="36" t="n"/>
      <c r="D1559" s="36" t="n"/>
      <c r="E1559" s="14" t="n"/>
      <c r="F1559" s="29" t="n"/>
      <c r="G1559" s="29" t="n"/>
      <c r="H1559" s="29" t="n"/>
      <c r="I1559" s="29" t="n"/>
      <c r="J1559" s="29" t="n"/>
      <c r="K1559" s="14" t="n"/>
      <c r="L1559" s="29" t="n"/>
      <c r="M1559" s="14" t="n"/>
      <c r="N1559" s="29" t="n"/>
      <c r="O1559" s="13" t="n"/>
      <c r="P1559" s="13" t="n"/>
      <c r="Q1559" s="35" t="n"/>
      <c r="R1559" s="35" t="n"/>
      <c r="S1559" s="35" t="n"/>
      <c r="T1559" s="35" t="n"/>
      <c r="U1559" s="35" t="n"/>
      <c r="V1559" s="18">
        <f>IF(COUNTA($B1559:$R1559)=0,"",ROUND(N($R1559)+N($S1559)+N($T1559)-N($U1559),2))</f>
        <v/>
      </c>
      <c r="W1559" s="18">
        <f>IF(COUNTA($B1559:$R1559)=0,"",IF(OR($X1559="Pago",$X1559="Recebido",$X1559="Cancelado"),0,ROUND(N($Q1559)+N($S1559)+N($T1559)-N($U1559)-N($R1559),2)))</f>
        <v/>
      </c>
      <c r="X1559" s="14" t="n"/>
      <c r="Y1559" s="17">
        <f>IF(COUNTA($B1559:$R1559)=0,"",IF($X1559="Cancelado","Cancelado",IF(OR($X1559="Pago",$X1559="Recebido"),$X1559,IF(OR($X1559="Parcial",N($R1559)&gt;0),"Parcial",IF($C1559="","Sem vencimento",IF($C1559&lt;TODAY(),"Vencido",IF($C1559=TODAY(),"Vence hoje",IF($C1559&lt;=TODAY()+7,"Vence em 7 dias",IF($C1559&lt;=TODAY()+30,"Vence em 30 dias","Futuro")))))))))</f>
        <v/>
      </c>
      <c r="Z1559" s="24">
        <f>IF($B1559="","",MONTH($B1559))</f>
        <v/>
      </c>
      <c r="AA1559" s="24">
        <f>IF($B1559="","",YEAR($B1559))</f>
        <v/>
      </c>
      <c r="AB1559" s="24">
        <f>IF($B1559="","",ISOWEEKNUM($B1559))</f>
        <v/>
      </c>
      <c r="AC1559" s="17">
        <f>IF($B1559="","",CHOOSE(WEEKDAY($B1559,2),"Segunda","Terça","Quarta","Quinta","Sexta","Sábado","Domingo"))</f>
        <v/>
      </c>
      <c r="AD1559" s="17">
        <f>IF($B1559="","",TEXT($B1559,"MM/AAAA"))</f>
        <v/>
      </c>
      <c r="AE1559" s="18">
        <f>IF(COUNTA($B1559:$R1559)=0,"",IF($X1559="Cancelado",0,ROUND(N($Q1559)+N($S1559)+N($T1559)-N($U1559),2)))</f>
        <v/>
      </c>
      <c r="AF1559" s="9">
        <f>IF($G1559="","",IFERROR(INDEX(LINHAS_DRE_PLANO,MATCH($G1559,SUBCATEGORIAS_PLANO,0)),"Não classificado"))</f>
        <v/>
      </c>
      <c r="AG1559" s="17">
        <f>IF($G1559="","",IFERROR(INDEX(TIPOS_FLUXO_PLANO,MATCH($G1559,SUBCATEGORIAS_PLANO,0)),"Não classificado"))</f>
        <v/>
      </c>
      <c r="AH1559" s="9">
        <f>IF($G1559="","",IFERROR(INDEX(GRUPOS_PLANO,MATCH($G1559,SUBCATEGORIAS_PLANO,0)),"Não classificado"))</f>
        <v/>
      </c>
      <c r="AI1559" s="24">
        <f>IF(OR($C1559="",$X1559="Pago",$X1559="Recebido",$X1559="Cancelado"),"",$C1559-TODAY())</f>
        <v/>
      </c>
      <c r="AJ1559" s="24">
        <f>IF(OR($C1559="",$X1559="Pago",$X1559="Recebido",$X1559="Cancelado"),0,MAX(0,TODAY()-$C1559))</f>
        <v/>
      </c>
      <c r="AK1559" s="24">
        <f>IF($D1559="","",$D1559-$B1559)</f>
        <v/>
      </c>
      <c r="AL1559" s="18">
        <f>IF(OR($D1559="",$B1559=""),"",ROUND(N($R1559)*($D1559-$B1559),2))</f>
        <v/>
      </c>
      <c r="AM1559" s="17">
        <f>IF(AND($E1559="Saída",$W1559&gt;0,$C1559&lt;&gt;""),$C1559+ROW()/1000000,"")</f>
        <v/>
      </c>
      <c r="AN1559" s="17">
        <f>IF(AND($E1559="Entrada",$W1559&gt;0,$C1559&lt;&gt;""),$C1559+ROW()/1000000,"")</f>
        <v/>
      </c>
      <c r="AO1559" s="9">
        <f>IF(COUNTA($B1559:$R1559)=0,"",IF(AND($I1559&lt;&gt;"",COUNTIF(CLIENTES_NOMES,$I1559)+COUNTIF(CLIENTES_FANTASIA,$I1559)+COUNTIF(FORNECEDORES_NOMES,$I1559)+COUNTIF(FORNECEDORES_FANTASIA,$I1559)=0),"⚠ Cliente/Fornecedor não cadastrado",IF(AND($G1559&lt;&gt;"",COUNTIF(SUBCATEGORIAS_PLANO,$G1559)=0),"⚠ Subcategoria fora do plano de contas",IF(OR($Q1559="",N($Q1559)=0),"⚠ Valor previsto não informado",IF(AND(OR($X1559="Pago",$X1559="Recebido"),$D1559=""),"⚠ Status pago/recebido sem data",IF(AND($D1559&lt;&gt;"",N($R1559)=0),"⚠ Data de pagamento sem valor realizado",IF(AND(N($P1559)&gt;1,N($O1559)&gt;N($P1559)),"⚠ Nº da parcela maior que o total",IF(AND($C1559&lt;&gt;"",$B1559&lt;&gt;"",$C1559&lt;$B1559),"⚠ Vencimento anterior à competência","OK"))))))))</f>
        <v/>
      </c>
    </row>
    <row r="1560">
      <c r="A1560" s="14" t="n"/>
      <c r="B1560" s="36" t="n"/>
      <c r="C1560" s="36" t="n"/>
      <c r="D1560" s="36" t="n"/>
      <c r="E1560" s="14" t="n"/>
      <c r="F1560" s="29" t="n"/>
      <c r="G1560" s="29" t="n"/>
      <c r="H1560" s="29" t="n"/>
      <c r="I1560" s="29" t="n"/>
      <c r="J1560" s="29" t="n"/>
      <c r="K1560" s="14" t="n"/>
      <c r="L1560" s="29" t="n"/>
      <c r="M1560" s="14" t="n"/>
      <c r="N1560" s="29" t="n"/>
      <c r="O1560" s="13" t="n"/>
      <c r="P1560" s="13" t="n"/>
      <c r="Q1560" s="35" t="n"/>
      <c r="R1560" s="35" t="n"/>
      <c r="S1560" s="35" t="n"/>
      <c r="T1560" s="35" t="n"/>
      <c r="U1560" s="35" t="n"/>
      <c r="V1560" s="18">
        <f>IF(COUNTA($B1560:$R1560)=0,"",ROUND(N($R1560)+N($S1560)+N($T1560)-N($U1560),2))</f>
        <v/>
      </c>
      <c r="W1560" s="18">
        <f>IF(COUNTA($B1560:$R1560)=0,"",IF(OR($X1560="Pago",$X1560="Recebido",$X1560="Cancelado"),0,ROUND(N($Q1560)+N($S1560)+N($T1560)-N($U1560)-N($R1560),2)))</f>
        <v/>
      </c>
      <c r="X1560" s="14" t="n"/>
      <c r="Y1560" s="17">
        <f>IF(COUNTA($B1560:$R1560)=0,"",IF($X1560="Cancelado","Cancelado",IF(OR($X1560="Pago",$X1560="Recebido"),$X1560,IF(OR($X1560="Parcial",N($R1560)&gt;0),"Parcial",IF($C1560="","Sem vencimento",IF($C1560&lt;TODAY(),"Vencido",IF($C1560=TODAY(),"Vence hoje",IF($C1560&lt;=TODAY()+7,"Vence em 7 dias",IF($C1560&lt;=TODAY()+30,"Vence em 30 dias","Futuro")))))))))</f>
        <v/>
      </c>
      <c r="Z1560" s="24">
        <f>IF($B1560="","",MONTH($B1560))</f>
        <v/>
      </c>
      <c r="AA1560" s="24">
        <f>IF($B1560="","",YEAR($B1560))</f>
        <v/>
      </c>
      <c r="AB1560" s="24">
        <f>IF($B1560="","",ISOWEEKNUM($B1560))</f>
        <v/>
      </c>
      <c r="AC1560" s="17">
        <f>IF($B1560="","",CHOOSE(WEEKDAY($B1560,2),"Segunda","Terça","Quarta","Quinta","Sexta","Sábado","Domingo"))</f>
        <v/>
      </c>
      <c r="AD1560" s="17">
        <f>IF($B1560="","",TEXT($B1560,"MM/AAAA"))</f>
        <v/>
      </c>
      <c r="AE1560" s="18">
        <f>IF(COUNTA($B1560:$R1560)=0,"",IF($X1560="Cancelado",0,ROUND(N($Q1560)+N($S1560)+N($T1560)-N($U1560),2)))</f>
        <v/>
      </c>
      <c r="AF1560" s="9">
        <f>IF($G1560="","",IFERROR(INDEX(LINHAS_DRE_PLANO,MATCH($G1560,SUBCATEGORIAS_PLANO,0)),"Não classificado"))</f>
        <v/>
      </c>
      <c r="AG1560" s="17">
        <f>IF($G1560="","",IFERROR(INDEX(TIPOS_FLUXO_PLANO,MATCH($G1560,SUBCATEGORIAS_PLANO,0)),"Não classificado"))</f>
        <v/>
      </c>
      <c r="AH1560" s="9">
        <f>IF($G1560="","",IFERROR(INDEX(GRUPOS_PLANO,MATCH($G1560,SUBCATEGORIAS_PLANO,0)),"Não classificado"))</f>
        <v/>
      </c>
      <c r="AI1560" s="24">
        <f>IF(OR($C1560="",$X1560="Pago",$X1560="Recebido",$X1560="Cancelado"),"",$C1560-TODAY())</f>
        <v/>
      </c>
      <c r="AJ1560" s="24">
        <f>IF(OR($C1560="",$X1560="Pago",$X1560="Recebido",$X1560="Cancelado"),0,MAX(0,TODAY()-$C1560))</f>
        <v/>
      </c>
      <c r="AK1560" s="24">
        <f>IF($D1560="","",$D1560-$B1560)</f>
        <v/>
      </c>
      <c r="AL1560" s="18">
        <f>IF(OR($D1560="",$B1560=""),"",ROUND(N($R1560)*($D1560-$B1560),2))</f>
        <v/>
      </c>
      <c r="AM1560" s="17">
        <f>IF(AND($E1560="Saída",$W1560&gt;0,$C1560&lt;&gt;""),$C1560+ROW()/1000000,"")</f>
        <v/>
      </c>
      <c r="AN1560" s="17">
        <f>IF(AND($E1560="Entrada",$W1560&gt;0,$C1560&lt;&gt;""),$C1560+ROW()/1000000,"")</f>
        <v/>
      </c>
      <c r="AO1560" s="9">
        <f>IF(COUNTA($B1560:$R1560)=0,"",IF(AND($I1560&lt;&gt;"",COUNTIF(CLIENTES_NOMES,$I1560)+COUNTIF(CLIENTES_FANTASIA,$I1560)+COUNTIF(FORNECEDORES_NOMES,$I1560)+COUNTIF(FORNECEDORES_FANTASIA,$I1560)=0),"⚠ Cliente/Fornecedor não cadastrado",IF(AND($G1560&lt;&gt;"",COUNTIF(SUBCATEGORIAS_PLANO,$G1560)=0),"⚠ Subcategoria fora do plano de contas",IF(OR($Q1560="",N($Q1560)=0),"⚠ Valor previsto não informado",IF(AND(OR($X1560="Pago",$X1560="Recebido"),$D1560=""),"⚠ Status pago/recebido sem data",IF(AND($D1560&lt;&gt;"",N($R1560)=0),"⚠ Data de pagamento sem valor realizado",IF(AND(N($P1560)&gt;1,N($O1560)&gt;N($P1560)),"⚠ Nº da parcela maior que o total",IF(AND($C1560&lt;&gt;"",$B1560&lt;&gt;"",$C1560&lt;$B1560),"⚠ Vencimento anterior à competência","OK"))))))))</f>
        <v/>
      </c>
    </row>
    <row r="1561">
      <c r="A1561" s="14" t="n"/>
      <c r="B1561" s="36" t="n"/>
      <c r="C1561" s="36" t="n"/>
      <c r="D1561" s="36" t="n"/>
      <c r="E1561" s="14" t="n"/>
      <c r="F1561" s="29" t="n"/>
      <c r="G1561" s="29" t="n"/>
      <c r="H1561" s="29" t="n"/>
      <c r="I1561" s="29" t="n"/>
      <c r="J1561" s="29" t="n"/>
      <c r="K1561" s="14" t="n"/>
      <c r="L1561" s="29" t="n"/>
      <c r="M1561" s="14" t="n"/>
      <c r="N1561" s="29" t="n"/>
      <c r="O1561" s="13" t="n"/>
      <c r="P1561" s="13" t="n"/>
      <c r="Q1561" s="35" t="n"/>
      <c r="R1561" s="35" t="n"/>
      <c r="S1561" s="35" t="n"/>
      <c r="T1561" s="35" t="n"/>
      <c r="U1561" s="35" t="n"/>
      <c r="V1561" s="18">
        <f>IF(COUNTA($B1561:$R1561)=0,"",ROUND(N($R1561)+N($S1561)+N($T1561)-N($U1561),2))</f>
        <v/>
      </c>
      <c r="W1561" s="18">
        <f>IF(COUNTA($B1561:$R1561)=0,"",IF(OR($X1561="Pago",$X1561="Recebido",$X1561="Cancelado"),0,ROUND(N($Q1561)+N($S1561)+N($T1561)-N($U1561)-N($R1561),2)))</f>
        <v/>
      </c>
      <c r="X1561" s="14" t="n"/>
      <c r="Y1561" s="17">
        <f>IF(COUNTA($B1561:$R1561)=0,"",IF($X1561="Cancelado","Cancelado",IF(OR($X1561="Pago",$X1561="Recebido"),$X1561,IF(OR($X1561="Parcial",N($R1561)&gt;0),"Parcial",IF($C1561="","Sem vencimento",IF($C1561&lt;TODAY(),"Vencido",IF($C1561=TODAY(),"Vence hoje",IF($C1561&lt;=TODAY()+7,"Vence em 7 dias",IF($C1561&lt;=TODAY()+30,"Vence em 30 dias","Futuro")))))))))</f>
        <v/>
      </c>
      <c r="Z1561" s="24">
        <f>IF($B1561="","",MONTH($B1561))</f>
        <v/>
      </c>
      <c r="AA1561" s="24">
        <f>IF($B1561="","",YEAR($B1561))</f>
        <v/>
      </c>
      <c r="AB1561" s="24">
        <f>IF($B1561="","",ISOWEEKNUM($B1561))</f>
        <v/>
      </c>
      <c r="AC1561" s="17">
        <f>IF($B1561="","",CHOOSE(WEEKDAY($B1561,2),"Segunda","Terça","Quarta","Quinta","Sexta","Sábado","Domingo"))</f>
        <v/>
      </c>
      <c r="AD1561" s="17">
        <f>IF($B1561="","",TEXT($B1561,"MM/AAAA"))</f>
        <v/>
      </c>
      <c r="AE1561" s="18">
        <f>IF(COUNTA($B1561:$R1561)=0,"",IF($X1561="Cancelado",0,ROUND(N($Q1561)+N($S1561)+N($T1561)-N($U1561),2)))</f>
        <v/>
      </c>
      <c r="AF1561" s="9">
        <f>IF($G1561="","",IFERROR(INDEX(LINHAS_DRE_PLANO,MATCH($G1561,SUBCATEGORIAS_PLANO,0)),"Não classificado"))</f>
        <v/>
      </c>
      <c r="AG1561" s="17">
        <f>IF($G1561="","",IFERROR(INDEX(TIPOS_FLUXO_PLANO,MATCH($G1561,SUBCATEGORIAS_PLANO,0)),"Não classificado"))</f>
        <v/>
      </c>
      <c r="AH1561" s="9">
        <f>IF($G1561="","",IFERROR(INDEX(GRUPOS_PLANO,MATCH($G1561,SUBCATEGORIAS_PLANO,0)),"Não classificado"))</f>
        <v/>
      </c>
      <c r="AI1561" s="24">
        <f>IF(OR($C1561="",$X1561="Pago",$X1561="Recebido",$X1561="Cancelado"),"",$C1561-TODAY())</f>
        <v/>
      </c>
      <c r="AJ1561" s="24">
        <f>IF(OR($C1561="",$X1561="Pago",$X1561="Recebido",$X1561="Cancelado"),0,MAX(0,TODAY()-$C1561))</f>
        <v/>
      </c>
      <c r="AK1561" s="24">
        <f>IF($D1561="","",$D1561-$B1561)</f>
        <v/>
      </c>
      <c r="AL1561" s="18">
        <f>IF(OR($D1561="",$B1561=""),"",ROUND(N($R1561)*($D1561-$B1561),2))</f>
        <v/>
      </c>
      <c r="AM1561" s="17">
        <f>IF(AND($E1561="Saída",$W1561&gt;0,$C1561&lt;&gt;""),$C1561+ROW()/1000000,"")</f>
        <v/>
      </c>
      <c r="AN1561" s="17">
        <f>IF(AND($E1561="Entrada",$W1561&gt;0,$C1561&lt;&gt;""),$C1561+ROW()/1000000,"")</f>
        <v/>
      </c>
      <c r="AO1561" s="9">
        <f>IF(COUNTA($B1561:$R1561)=0,"",IF(AND($I1561&lt;&gt;"",COUNTIF(CLIENTES_NOMES,$I1561)+COUNTIF(CLIENTES_FANTASIA,$I1561)+COUNTIF(FORNECEDORES_NOMES,$I1561)+COUNTIF(FORNECEDORES_FANTASIA,$I1561)=0),"⚠ Cliente/Fornecedor não cadastrado",IF(AND($G1561&lt;&gt;"",COUNTIF(SUBCATEGORIAS_PLANO,$G1561)=0),"⚠ Subcategoria fora do plano de contas",IF(OR($Q1561="",N($Q1561)=0),"⚠ Valor previsto não informado",IF(AND(OR($X1561="Pago",$X1561="Recebido"),$D1561=""),"⚠ Status pago/recebido sem data",IF(AND($D1561&lt;&gt;"",N($R1561)=0),"⚠ Data de pagamento sem valor realizado",IF(AND(N($P1561)&gt;1,N($O1561)&gt;N($P1561)),"⚠ Nº da parcela maior que o total",IF(AND($C1561&lt;&gt;"",$B1561&lt;&gt;"",$C1561&lt;$B1561),"⚠ Vencimento anterior à competência","OK"))))))))</f>
        <v/>
      </c>
    </row>
    <row r="1562">
      <c r="A1562" s="14" t="n"/>
      <c r="B1562" s="36" t="n"/>
      <c r="C1562" s="36" t="n"/>
      <c r="D1562" s="36" t="n"/>
      <c r="E1562" s="14" t="n"/>
      <c r="F1562" s="29" t="n"/>
      <c r="G1562" s="29" t="n"/>
      <c r="H1562" s="29" t="n"/>
      <c r="I1562" s="29" t="n"/>
      <c r="J1562" s="29" t="n"/>
      <c r="K1562" s="14" t="n"/>
      <c r="L1562" s="29" t="n"/>
      <c r="M1562" s="14" t="n"/>
      <c r="N1562" s="29" t="n"/>
      <c r="O1562" s="13" t="n"/>
      <c r="P1562" s="13" t="n"/>
      <c r="Q1562" s="35" t="n"/>
      <c r="R1562" s="35" t="n"/>
      <c r="S1562" s="35" t="n"/>
      <c r="T1562" s="35" t="n"/>
      <c r="U1562" s="35" t="n"/>
      <c r="V1562" s="18">
        <f>IF(COUNTA($B1562:$R1562)=0,"",ROUND(N($R1562)+N($S1562)+N($T1562)-N($U1562),2))</f>
        <v/>
      </c>
      <c r="W1562" s="18">
        <f>IF(COUNTA($B1562:$R1562)=0,"",IF(OR($X1562="Pago",$X1562="Recebido",$X1562="Cancelado"),0,ROUND(N($Q1562)+N($S1562)+N($T1562)-N($U1562)-N($R1562),2)))</f>
        <v/>
      </c>
      <c r="X1562" s="14" t="n"/>
      <c r="Y1562" s="17">
        <f>IF(COUNTA($B1562:$R1562)=0,"",IF($X1562="Cancelado","Cancelado",IF(OR($X1562="Pago",$X1562="Recebido"),$X1562,IF(OR($X1562="Parcial",N($R1562)&gt;0),"Parcial",IF($C1562="","Sem vencimento",IF($C1562&lt;TODAY(),"Vencido",IF($C1562=TODAY(),"Vence hoje",IF($C1562&lt;=TODAY()+7,"Vence em 7 dias",IF($C1562&lt;=TODAY()+30,"Vence em 30 dias","Futuro")))))))))</f>
        <v/>
      </c>
      <c r="Z1562" s="24">
        <f>IF($B1562="","",MONTH($B1562))</f>
        <v/>
      </c>
      <c r="AA1562" s="24">
        <f>IF($B1562="","",YEAR($B1562))</f>
        <v/>
      </c>
      <c r="AB1562" s="24">
        <f>IF($B1562="","",ISOWEEKNUM($B1562))</f>
        <v/>
      </c>
      <c r="AC1562" s="17">
        <f>IF($B1562="","",CHOOSE(WEEKDAY($B1562,2),"Segunda","Terça","Quarta","Quinta","Sexta","Sábado","Domingo"))</f>
        <v/>
      </c>
      <c r="AD1562" s="17">
        <f>IF($B1562="","",TEXT($B1562,"MM/AAAA"))</f>
        <v/>
      </c>
      <c r="AE1562" s="18">
        <f>IF(COUNTA($B1562:$R1562)=0,"",IF($X1562="Cancelado",0,ROUND(N($Q1562)+N($S1562)+N($T1562)-N($U1562),2)))</f>
        <v/>
      </c>
      <c r="AF1562" s="9">
        <f>IF($G1562="","",IFERROR(INDEX(LINHAS_DRE_PLANO,MATCH($G1562,SUBCATEGORIAS_PLANO,0)),"Não classificado"))</f>
        <v/>
      </c>
      <c r="AG1562" s="17">
        <f>IF($G1562="","",IFERROR(INDEX(TIPOS_FLUXO_PLANO,MATCH($G1562,SUBCATEGORIAS_PLANO,0)),"Não classificado"))</f>
        <v/>
      </c>
      <c r="AH1562" s="9">
        <f>IF($G1562="","",IFERROR(INDEX(GRUPOS_PLANO,MATCH($G1562,SUBCATEGORIAS_PLANO,0)),"Não classificado"))</f>
        <v/>
      </c>
      <c r="AI1562" s="24">
        <f>IF(OR($C1562="",$X1562="Pago",$X1562="Recebido",$X1562="Cancelado"),"",$C1562-TODAY())</f>
        <v/>
      </c>
      <c r="AJ1562" s="24">
        <f>IF(OR($C1562="",$X1562="Pago",$X1562="Recebido",$X1562="Cancelado"),0,MAX(0,TODAY()-$C1562))</f>
        <v/>
      </c>
      <c r="AK1562" s="24">
        <f>IF($D1562="","",$D1562-$B1562)</f>
        <v/>
      </c>
      <c r="AL1562" s="18">
        <f>IF(OR($D1562="",$B1562=""),"",ROUND(N($R1562)*($D1562-$B1562),2))</f>
        <v/>
      </c>
      <c r="AM1562" s="17">
        <f>IF(AND($E1562="Saída",$W1562&gt;0,$C1562&lt;&gt;""),$C1562+ROW()/1000000,"")</f>
        <v/>
      </c>
      <c r="AN1562" s="17">
        <f>IF(AND($E1562="Entrada",$W1562&gt;0,$C1562&lt;&gt;""),$C1562+ROW()/1000000,"")</f>
        <v/>
      </c>
      <c r="AO1562" s="9">
        <f>IF(COUNTA($B1562:$R1562)=0,"",IF(AND($I1562&lt;&gt;"",COUNTIF(CLIENTES_NOMES,$I1562)+COUNTIF(CLIENTES_FANTASIA,$I1562)+COUNTIF(FORNECEDORES_NOMES,$I1562)+COUNTIF(FORNECEDORES_FANTASIA,$I1562)=0),"⚠ Cliente/Fornecedor não cadastrado",IF(AND($G1562&lt;&gt;"",COUNTIF(SUBCATEGORIAS_PLANO,$G1562)=0),"⚠ Subcategoria fora do plano de contas",IF(OR($Q1562="",N($Q1562)=0),"⚠ Valor previsto não informado",IF(AND(OR($X1562="Pago",$X1562="Recebido"),$D1562=""),"⚠ Status pago/recebido sem data",IF(AND($D1562&lt;&gt;"",N($R1562)=0),"⚠ Data de pagamento sem valor realizado",IF(AND(N($P1562)&gt;1,N($O1562)&gt;N($P1562)),"⚠ Nº da parcela maior que o total",IF(AND($C1562&lt;&gt;"",$B1562&lt;&gt;"",$C1562&lt;$B1562),"⚠ Vencimento anterior à competência","OK"))))))))</f>
        <v/>
      </c>
    </row>
    <row r="1563">
      <c r="A1563" s="14" t="n"/>
      <c r="B1563" s="36" t="n"/>
      <c r="C1563" s="36" t="n"/>
      <c r="D1563" s="36" t="n"/>
      <c r="E1563" s="14" t="n"/>
      <c r="F1563" s="29" t="n"/>
      <c r="G1563" s="29" t="n"/>
      <c r="H1563" s="29" t="n"/>
      <c r="I1563" s="29" t="n"/>
      <c r="J1563" s="29" t="n"/>
      <c r="K1563" s="14" t="n"/>
      <c r="L1563" s="29" t="n"/>
      <c r="M1563" s="14" t="n"/>
      <c r="N1563" s="29" t="n"/>
      <c r="O1563" s="13" t="n"/>
      <c r="P1563" s="13" t="n"/>
      <c r="Q1563" s="35" t="n"/>
      <c r="R1563" s="35" t="n"/>
      <c r="S1563" s="35" t="n"/>
      <c r="T1563" s="35" t="n"/>
      <c r="U1563" s="35" t="n"/>
      <c r="V1563" s="18">
        <f>IF(COUNTA($B1563:$R1563)=0,"",ROUND(N($R1563)+N($S1563)+N($T1563)-N($U1563),2))</f>
        <v/>
      </c>
      <c r="W1563" s="18">
        <f>IF(COUNTA($B1563:$R1563)=0,"",IF(OR($X1563="Pago",$X1563="Recebido",$X1563="Cancelado"),0,ROUND(N($Q1563)+N($S1563)+N($T1563)-N($U1563)-N($R1563),2)))</f>
        <v/>
      </c>
      <c r="X1563" s="14" t="n"/>
      <c r="Y1563" s="17">
        <f>IF(COUNTA($B1563:$R1563)=0,"",IF($X1563="Cancelado","Cancelado",IF(OR($X1563="Pago",$X1563="Recebido"),$X1563,IF(OR($X1563="Parcial",N($R1563)&gt;0),"Parcial",IF($C1563="","Sem vencimento",IF($C1563&lt;TODAY(),"Vencido",IF($C1563=TODAY(),"Vence hoje",IF($C1563&lt;=TODAY()+7,"Vence em 7 dias",IF($C1563&lt;=TODAY()+30,"Vence em 30 dias","Futuro")))))))))</f>
        <v/>
      </c>
      <c r="Z1563" s="24">
        <f>IF($B1563="","",MONTH($B1563))</f>
        <v/>
      </c>
      <c r="AA1563" s="24">
        <f>IF($B1563="","",YEAR($B1563))</f>
        <v/>
      </c>
      <c r="AB1563" s="24">
        <f>IF($B1563="","",ISOWEEKNUM($B1563))</f>
        <v/>
      </c>
      <c r="AC1563" s="17">
        <f>IF($B1563="","",CHOOSE(WEEKDAY($B1563,2),"Segunda","Terça","Quarta","Quinta","Sexta","Sábado","Domingo"))</f>
        <v/>
      </c>
      <c r="AD1563" s="17">
        <f>IF($B1563="","",TEXT($B1563,"MM/AAAA"))</f>
        <v/>
      </c>
      <c r="AE1563" s="18">
        <f>IF(COUNTA($B1563:$R1563)=0,"",IF($X1563="Cancelado",0,ROUND(N($Q1563)+N($S1563)+N($T1563)-N($U1563),2)))</f>
        <v/>
      </c>
      <c r="AF1563" s="9">
        <f>IF($G1563="","",IFERROR(INDEX(LINHAS_DRE_PLANO,MATCH($G1563,SUBCATEGORIAS_PLANO,0)),"Não classificado"))</f>
        <v/>
      </c>
      <c r="AG1563" s="17">
        <f>IF($G1563="","",IFERROR(INDEX(TIPOS_FLUXO_PLANO,MATCH($G1563,SUBCATEGORIAS_PLANO,0)),"Não classificado"))</f>
        <v/>
      </c>
      <c r="AH1563" s="9">
        <f>IF($G1563="","",IFERROR(INDEX(GRUPOS_PLANO,MATCH($G1563,SUBCATEGORIAS_PLANO,0)),"Não classificado"))</f>
        <v/>
      </c>
      <c r="AI1563" s="24">
        <f>IF(OR($C1563="",$X1563="Pago",$X1563="Recebido",$X1563="Cancelado"),"",$C1563-TODAY())</f>
        <v/>
      </c>
      <c r="AJ1563" s="24">
        <f>IF(OR($C1563="",$X1563="Pago",$X1563="Recebido",$X1563="Cancelado"),0,MAX(0,TODAY()-$C1563))</f>
        <v/>
      </c>
      <c r="AK1563" s="24">
        <f>IF($D1563="","",$D1563-$B1563)</f>
        <v/>
      </c>
      <c r="AL1563" s="18">
        <f>IF(OR($D1563="",$B1563=""),"",ROUND(N($R1563)*($D1563-$B1563),2))</f>
        <v/>
      </c>
      <c r="AM1563" s="17">
        <f>IF(AND($E1563="Saída",$W1563&gt;0,$C1563&lt;&gt;""),$C1563+ROW()/1000000,"")</f>
        <v/>
      </c>
      <c r="AN1563" s="17">
        <f>IF(AND($E1563="Entrada",$W1563&gt;0,$C1563&lt;&gt;""),$C1563+ROW()/1000000,"")</f>
        <v/>
      </c>
      <c r="AO1563" s="9">
        <f>IF(COUNTA($B1563:$R1563)=0,"",IF(AND($I1563&lt;&gt;"",COUNTIF(CLIENTES_NOMES,$I1563)+COUNTIF(CLIENTES_FANTASIA,$I1563)+COUNTIF(FORNECEDORES_NOMES,$I1563)+COUNTIF(FORNECEDORES_FANTASIA,$I1563)=0),"⚠ Cliente/Fornecedor não cadastrado",IF(AND($G1563&lt;&gt;"",COUNTIF(SUBCATEGORIAS_PLANO,$G1563)=0),"⚠ Subcategoria fora do plano de contas",IF(OR($Q1563="",N($Q1563)=0),"⚠ Valor previsto não informado",IF(AND(OR($X1563="Pago",$X1563="Recebido"),$D1563=""),"⚠ Status pago/recebido sem data",IF(AND($D1563&lt;&gt;"",N($R1563)=0),"⚠ Data de pagamento sem valor realizado",IF(AND(N($P1563)&gt;1,N($O1563)&gt;N($P1563)),"⚠ Nº da parcela maior que o total",IF(AND($C1563&lt;&gt;"",$B1563&lt;&gt;"",$C1563&lt;$B1563),"⚠ Vencimento anterior à competência","OK"))))))))</f>
        <v/>
      </c>
    </row>
    <row r="1564">
      <c r="A1564" s="14" t="n"/>
      <c r="B1564" s="36" t="n"/>
      <c r="C1564" s="36" t="n"/>
      <c r="D1564" s="36" t="n"/>
      <c r="E1564" s="14" t="n"/>
      <c r="F1564" s="29" t="n"/>
      <c r="G1564" s="29" t="n"/>
      <c r="H1564" s="29" t="n"/>
      <c r="I1564" s="29" t="n"/>
      <c r="J1564" s="29" t="n"/>
      <c r="K1564" s="14" t="n"/>
      <c r="L1564" s="29" t="n"/>
      <c r="M1564" s="14" t="n"/>
      <c r="N1564" s="29" t="n"/>
      <c r="O1564" s="13" t="n"/>
      <c r="P1564" s="13" t="n"/>
      <c r="Q1564" s="35" t="n"/>
      <c r="R1564" s="35" t="n"/>
      <c r="S1564" s="35" t="n"/>
      <c r="T1564" s="35" t="n"/>
      <c r="U1564" s="35" t="n"/>
      <c r="V1564" s="18">
        <f>IF(COUNTA($B1564:$R1564)=0,"",ROUND(N($R1564)+N($S1564)+N($T1564)-N($U1564),2))</f>
        <v/>
      </c>
      <c r="W1564" s="18">
        <f>IF(COUNTA($B1564:$R1564)=0,"",IF(OR($X1564="Pago",$X1564="Recebido",$X1564="Cancelado"),0,ROUND(N($Q1564)+N($S1564)+N($T1564)-N($U1564)-N($R1564),2)))</f>
        <v/>
      </c>
      <c r="X1564" s="14" t="n"/>
      <c r="Y1564" s="17">
        <f>IF(COUNTA($B1564:$R1564)=0,"",IF($X1564="Cancelado","Cancelado",IF(OR($X1564="Pago",$X1564="Recebido"),$X1564,IF(OR($X1564="Parcial",N($R1564)&gt;0),"Parcial",IF($C1564="","Sem vencimento",IF($C1564&lt;TODAY(),"Vencido",IF($C1564=TODAY(),"Vence hoje",IF($C1564&lt;=TODAY()+7,"Vence em 7 dias",IF($C1564&lt;=TODAY()+30,"Vence em 30 dias","Futuro")))))))))</f>
        <v/>
      </c>
      <c r="Z1564" s="24">
        <f>IF($B1564="","",MONTH($B1564))</f>
        <v/>
      </c>
      <c r="AA1564" s="24">
        <f>IF($B1564="","",YEAR($B1564))</f>
        <v/>
      </c>
      <c r="AB1564" s="24">
        <f>IF($B1564="","",ISOWEEKNUM($B1564))</f>
        <v/>
      </c>
      <c r="AC1564" s="17">
        <f>IF($B1564="","",CHOOSE(WEEKDAY($B1564,2),"Segunda","Terça","Quarta","Quinta","Sexta","Sábado","Domingo"))</f>
        <v/>
      </c>
      <c r="AD1564" s="17">
        <f>IF($B1564="","",TEXT($B1564,"MM/AAAA"))</f>
        <v/>
      </c>
      <c r="AE1564" s="18">
        <f>IF(COUNTA($B1564:$R1564)=0,"",IF($X1564="Cancelado",0,ROUND(N($Q1564)+N($S1564)+N($T1564)-N($U1564),2)))</f>
        <v/>
      </c>
      <c r="AF1564" s="9">
        <f>IF($G1564="","",IFERROR(INDEX(LINHAS_DRE_PLANO,MATCH($G1564,SUBCATEGORIAS_PLANO,0)),"Não classificado"))</f>
        <v/>
      </c>
      <c r="AG1564" s="17">
        <f>IF($G1564="","",IFERROR(INDEX(TIPOS_FLUXO_PLANO,MATCH($G1564,SUBCATEGORIAS_PLANO,0)),"Não classificado"))</f>
        <v/>
      </c>
      <c r="AH1564" s="9">
        <f>IF($G1564="","",IFERROR(INDEX(GRUPOS_PLANO,MATCH($G1564,SUBCATEGORIAS_PLANO,0)),"Não classificado"))</f>
        <v/>
      </c>
      <c r="AI1564" s="24">
        <f>IF(OR($C1564="",$X1564="Pago",$X1564="Recebido",$X1564="Cancelado"),"",$C1564-TODAY())</f>
        <v/>
      </c>
      <c r="AJ1564" s="24">
        <f>IF(OR($C1564="",$X1564="Pago",$X1564="Recebido",$X1564="Cancelado"),0,MAX(0,TODAY()-$C1564))</f>
        <v/>
      </c>
      <c r="AK1564" s="24">
        <f>IF($D1564="","",$D1564-$B1564)</f>
        <v/>
      </c>
      <c r="AL1564" s="18">
        <f>IF(OR($D1564="",$B1564=""),"",ROUND(N($R1564)*($D1564-$B1564),2))</f>
        <v/>
      </c>
      <c r="AM1564" s="17">
        <f>IF(AND($E1564="Saída",$W1564&gt;0,$C1564&lt;&gt;""),$C1564+ROW()/1000000,"")</f>
        <v/>
      </c>
      <c r="AN1564" s="17">
        <f>IF(AND($E1564="Entrada",$W1564&gt;0,$C1564&lt;&gt;""),$C1564+ROW()/1000000,"")</f>
        <v/>
      </c>
      <c r="AO1564" s="9">
        <f>IF(COUNTA($B1564:$R1564)=0,"",IF(AND($I1564&lt;&gt;"",COUNTIF(CLIENTES_NOMES,$I1564)+COUNTIF(CLIENTES_FANTASIA,$I1564)+COUNTIF(FORNECEDORES_NOMES,$I1564)+COUNTIF(FORNECEDORES_FANTASIA,$I1564)=0),"⚠ Cliente/Fornecedor não cadastrado",IF(AND($G1564&lt;&gt;"",COUNTIF(SUBCATEGORIAS_PLANO,$G1564)=0),"⚠ Subcategoria fora do plano de contas",IF(OR($Q1564="",N($Q1564)=0),"⚠ Valor previsto não informado",IF(AND(OR($X1564="Pago",$X1564="Recebido"),$D1564=""),"⚠ Status pago/recebido sem data",IF(AND($D1564&lt;&gt;"",N($R1564)=0),"⚠ Data de pagamento sem valor realizado",IF(AND(N($P1564)&gt;1,N($O1564)&gt;N($P1564)),"⚠ Nº da parcela maior que o total",IF(AND($C1564&lt;&gt;"",$B1564&lt;&gt;"",$C1564&lt;$B1564),"⚠ Vencimento anterior à competência","OK"))))))))</f>
        <v/>
      </c>
    </row>
    <row r="1565">
      <c r="A1565" s="14" t="n"/>
      <c r="B1565" s="36" t="n"/>
      <c r="C1565" s="36" t="n"/>
      <c r="D1565" s="36" t="n"/>
      <c r="E1565" s="14" t="n"/>
      <c r="F1565" s="29" t="n"/>
      <c r="G1565" s="29" t="n"/>
      <c r="H1565" s="29" t="n"/>
      <c r="I1565" s="29" t="n"/>
      <c r="J1565" s="29" t="n"/>
      <c r="K1565" s="14" t="n"/>
      <c r="L1565" s="29" t="n"/>
      <c r="M1565" s="14" t="n"/>
      <c r="N1565" s="29" t="n"/>
      <c r="O1565" s="13" t="n"/>
      <c r="P1565" s="13" t="n"/>
      <c r="Q1565" s="35" t="n"/>
      <c r="R1565" s="35" t="n"/>
      <c r="S1565" s="35" t="n"/>
      <c r="T1565" s="35" t="n"/>
      <c r="U1565" s="35" t="n"/>
      <c r="V1565" s="18">
        <f>IF(COUNTA($B1565:$R1565)=0,"",ROUND(N($R1565)+N($S1565)+N($T1565)-N($U1565),2))</f>
        <v/>
      </c>
      <c r="W1565" s="18">
        <f>IF(COUNTA($B1565:$R1565)=0,"",IF(OR($X1565="Pago",$X1565="Recebido",$X1565="Cancelado"),0,ROUND(N($Q1565)+N($S1565)+N($T1565)-N($U1565)-N($R1565),2)))</f>
        <v/>
      </c>
      <c r="X1565" s="14" t="n"/>
      <c r="Y1565" s="17">
        <f>IF(COUNTA($B1565:$R1565)=0,"",IF($X1565="Cancelado","Cancelado",IF(OR($X1565="Pago",$X1565="Recebido"),$X1565,IF(OR($X1565="Parcial",N($R1565)&gt;0),"Parcial",IF($C1565="","Sem vencimento",IF($C1565&lt;TODAY(),"Vencido",IF($C1565=TODAY(),"Vence hoje",IF($C1565&lt;=TODAY()+7,"Vence em 7 dias",IF($C1565&lt;=TODAY()+30,"Vence em 30 dias","Futuro")))))))))</f>
        <v/>
      </c>
      <c r="Z1565" s="24">
        <f>IF($B1565="","",MONTH($B1565))</f>
        <v/>
      </c>
      <c r="AA1565" s="24">
        <f>IF($B1565="","",YEAR($B1565))</f>
        <v/>
      </c>
      <c r="AB1565" s="24">
        <f>IF($B1565="","",ISOWEEKNUM($B1565))</f>
        <v/>
      </c>
      <c r="AC1565" s="17">
        <f>IF($B1565="","",CHOOSE(WEEKDAY($B1565,2),"Segunda","Terça","Quarta","Quinta","Sexta","Sábado","Domingo"))</f>
        <v/>
      </c>
      <c r="AD1565" s="17">
        <f>IF($B1565="","",TEXT($B1565,"MM/AAAA"))</f>
        <v/>
      </c>
      <c r="AE1565" s="18">
        <f>IF(COUNTA($B1565:$R1565)=0,"",IF($X1565="Cancelado",0,ROUND(N($Q1565)+N($S1565)+N($T1565)-N($U1565),2)))</f>
        <v/>
      </c>
      <c r="AF1565" s="9">
        <f>IF($G1565="","",IFERROR(INDEX(LINHAS_DRE_PLANO,MATCH($G1565,SUBCATEGORIAS_PLANO,0)),"Não classificado"))</f>
        <v/>
      </c>
      <c r="AG1565" s="17">
        <f>IF($G1565="","",IFERROR(INDEX(TIPOS_FLUXO_PLANO,MATCH($G1565,SUBCATEGORIAS_PLANO,0)),"Não classificado"))</f>
        <v/>
      </c>
      <c r="AH1565" s="9">
        <f>IF($G1565="","",IFERROR(INDEX(GRUPOS_PLANO,MATCH($G1565,SUBCATEGORIAS_PLANO,0)),"Não classificado"))</f>
        <v/>
      </c>
      <c r="AI1565" s="24">
        <f>IF(OR($C1565="",$X1565="Pago",$X1565="Recebido",$X1565="Cancelado"),"",$C1565-TODAY())</f>
        <v/>
      </c>
      <c r="AJ1565" s="24">
        <f>IF(OR($C1565="",$X1565="Pago",$X1565="Recebido",$X1565="Cancelado"),0,MAX(0,TODAY()-$C1565))</f>
        <v/>
      </c>
      <c r="AK1565" s="24">
        <f>IF($D1565="","",$D1565-$B1565)</f>
        <v/>
      </c>
      <c r="AL1565" s="18">
        <f>IF(OR($D1565="",$B1565=""),"",ROUND(N($R1565)*($D1565-$B1565),2))</f>
        <v/>
      </c>
      <c r="AM1565" s="17">
        <f>IF(AND($E1565="Saída",$W1565&gt;0,$C1565&lt;&gt;""),$C1565+ROW()/1000000,"")</f>
        <v/>
      </c>
      <c r="AN1565" s="17">
        <f>IF(AND($E1565="Entrada",$W1565&gt;0,$C1565&lt;&gt;""),$C1565+ROW()/1000000,"")</f>
        <v/>
      </c>
      <c r="AO1565" s="9">
        <f>IF(COUNTA($B1565:$R1565)=0,"",IF(AND($I1565&lt;&gt;"",COUNTIF(CLIENTES_NOMES,$I1565)+COUNTIF(CLIENTES_FANTASIA,$I1565)+COUNTIF(FORNECEDORES_NOMES,$I1565)+COUNTIF(FORNECEDORES_FANTASIA,$I1565)=0),"⚠ Cliente/Fornecedor não cadastrado",IF(AND($G1565&lt;&gt;"",COUNTIF(SUBCATEGORIAS_PLANO,$G1565)=0),"⚠ Subcategoria fora do plano de contas",IF(OR($Q1565="",N($Q1565)=0),"⚠ Valor previsto não informado",IF(AND(OR($X1565="Pago",$X1565="Recebido"),$D1565=""),"⚠ Status pago/recebido sem data",IF(AND($D1565&lt;&gt;"",N($R1565)=0),"⚠ Data de pagamento sem valor realizado",IF(AND(N($P1565)&gt;1,N($O1565)&gt;N($P1565)),"⚠ Nº da parcela maior que o total",IF(AND($C1565&lt;&gt;"",$B1565&lt;&gt;"",$C1565&lt;$B1565),"⚠ Vencimento anterior à competência","OK"))))))))</f>
        <v/>
      </c>
    </row>
    <row r="1566">
      <c r="A1566" s="14" t="n"/>
      <c r="B1566" s="36" t="n"/>
      <c r="C1566" s="36" t="n"/>
      <c r="D1566" s="36" t="n"/>
      <c r="E1566" s="14" t="n"/>
      <c r="F1566" s="29" t="n"/>
      <c r="G1566" s="29" t="n"/>
      <c r="H1566" s="29" t="n"/>
      <c r="I1566" s="29" t="n"/>
      <c r="J1566" s="29" t="n"/>
      <c r="K1566" s="14" t="n"/>
      <c r="L1566" s="29" t="n"/>
      <c r="M1566" s="14" t="n"/>
      <c r="N1566" s="29" t="n"/>
      <c r="O1566" s="13" t="n"/>
      <c r="P1566" s="13" t="n"/>
      <c r="Q1566" s="35" t="n"/>
      <c r="R1566" s="35" t="n"/>
      <c r="S1566" s="35" t="n"/>
      <c r="T1566" s="35" t="n"/>
      <c r="U1566" s="35" t="n"/>
      <c r="V1566" s="18">
        <f>IF(COUNTA($B1566:$R1566)=0,"",ROUND(N($R1566)+N($S1566)+N($T1566)-N($U1566),2))</f>
        <v/>
      </c>
      <c r="W1566" s="18">
        <f>IF(COUNTA($B1566:$R1566)=0,"",IF(OR($X1566="Pago",$X1566="Recebido",$X1566="Cancelado"),0,ROUND(N($Q1566)+N($S1566)+N($T1566)-N($U1566)-N($R1566),2)))</f>
        <v/>
      </c>
      <c r="X1566" s="14" t="n"/>
      <c r="Y1566" s="17">
        <f>IF(COUNTA($B1566:$R1566)=0,"",IF($X1566="Cancelado","Cancelado",IF(OR($X1566="Pago",$X1566="Recebido"),$X1566,IF(OR($X1566="Parcial",N($R1566)&gt;0),"Parcial",IF($C1566="","Sem vencimento",IF($C1566&lt;TODAY(),"Vencido",IF($C1566=TODAY(),"Vence hoje",IF($C1566&lt;=TODAY()+7,"Vence em 7 dias",IF($C1566&lt;=TODAY()+30,"Vence em 30 dias","Futuro")))))))))</f>
        <v/>
      </c>
      <c r="Z1566" s="24">
        <f>IF($B1566="","",MONTH($B1566))</f>
        <v/>
      </c>
      <c r="AA1566" s="24">
        <f>IF($B1566="","",YEAR($B1566))</f>
        <v/>
      </c>
      <c r="AB1566" s="24">
        <f>IF($B1566="","",ISOWEEKNUM($B1566))</f>
        <v/>
      </c>
      <c r="AC1566" s="17">
        <f>IF($B1566="","",CHOOSE(WEEKDAY($B1566,2),"Segunda","Terça","Quarta","Quinta","Sexta","Sábado","Domingo"))</f>
        <v/>
      </c>
      <c r="AD1566" s="17">
        <f>IF($B1566="","",TEXT($B1566,"MM/AAAA"))</f>
        <v/>
      </c>
      <c r="AE1566" s="18">
        <f>IF(COUNTA($B1566:$R1566)=0,"",IF($X1566="Cancelado",0,ROUND(N($Q1566)+N($S1566)+N($T1566)-N($U1566),2)))</f>
        <v/>
      </c>
      <c r="AF1566" s="9">
        <f>IF($G1566="","",IFERROR(INDEX(LINHAS_DRE_PLANO,MATCH($G1566,SUBCATEGORIAS_PLANO,0)),"Não classificado"))</f>
        <v/>
      </c>
      <c r="AG1566" s="17">
        <f>IF($G1566="","",IFERROR(INDEX(TIPOS_FLUXO_PLANO,MATCH($G1566,SUBCATEGORIAS_PLANO,0)),"Não classificado"))</f>
        <v/>
      </c>
      <c r="AH1566" s="9">
        <f>IF($G1566="","",IFERROR(INDEX(GRUPOS_PLANO,MATCH($G1566,SUBCATEGORIAS_PLANO,0)),"Não classificado"))</f>
        <v/>
      </c>
      <c r="AI1566" s="24">
        <f>IF(OR($C1566="",$X1566="Pago",$X1566="Recebido",$X1566="Cancelado"),"",$C1566-TODAY())</f>
        <v/>
      </c>
      <c r="AJ1566" s="24">
        <f>IF(OR($C1566="",$X1566="Pago",$X1566="Recebido",$X1566="Cancelado"),0,MAX(0,TODAY()-$C1566))</f>
        <v/>
      </c>
      <c r="AK1566" s="24">
        <f>IF($D1566="","",$D1566-$B1566)</f>
        <v/>
      </c>
      <c r="AL1566" s="18">
        <f>IF(OR($D1566="",$B1566=""),"",ROUND(N($R1566)*($D1566-$B1566),2))</f>
        <v/>
      </c>
      <c r="AM1566" s="17">
        <f>IF(AND($E1566="Saída",$W1566&gt;0,$C1566&lt;&gt;""),$C1566+ROW()/1000000,"")</f>
        <v/>
      </c>
      <c r="AN1566" s="17">
        <f>IF(AND($E1566="Entrada",$W1566&gt;0,$C1566&lt;&gt;""),$C1566+ROW()/1000000,"")</f>
        <v/>
      </c>
      <c r="AO1566" s="9">
        <f>IF(COUNTA($B1566:$R1566)=0,"",IF(AND($I1566&lt;&gt;"",COUNTIF(CLIENTES_NOMES,$I1566)+COUNTIF(CLIENTES_FANTASIA,$I1566)+COUNTIF(FORNECEDORES_NOMES,$I1566)+COUNTIF(FORNECEDORES_FANTASIA,$I1566)=0),"⚠ Cliente/Fornecedor não cadastrado",IF(AND($G1566&lt;&gt;"",COUNTIF(SUBCATEGORIAS_PLANO,$G1566)=0),"⚠ Subcategoria fora do plano de contas",IF(OR($Q1566="",N($Q1566)=0),"⚠ Valor previsto não informado",IF(AND(OR($X1566="Pago",$X1566="Recebido"),$D1566=""),"⚠ Status pago/recebido sem data",IF(AND($D1566&lt;&gt;"",N($R1566)=0),"⚠ Data de pagamento sem valor realizado",IF(AND(N($P1566)&gt;1,N($O1566)&gt;N($P1566)),"⚠ Nº da parcela maior que o total",IF(AND($C1566&lt;&gt;"",$B1566&lt;&gt;"",$C1566&lt;$B1566),"⚠ Vencimento anterior à competência","OK"))))))))</f>
        <v/>
      </c>
    </row>
    <row r="1567">
      <c r="A1567" s="14" t="n"/>
      <c r="B1567" s="36" t="n"/>
      <c r="C1567" s="36" t="n"/>
      <c r="D1567" s="36" t="n"/>
      <c r="E1567" s="14" t="n"/>
      <c r="F1567" s="29" t="n"/>
      <c r="G1567" s="29" t="n"/>
      <c r="H1567" s="29" t="n"/>
      <c r="I1567" s="29" t="n"/>
      <c r="J1567" s="29" t="n"/>
      <c r="K1567" s="14" t="n"/>
      <c r="L1567" s="29" t="n"/>
      <c r="M1567" s="14" t="n"/>
      <c r="N1567" s="29" t="n"/>
      <c r="O1567" s="13" t="n"/>
      <c r="P1567" s="13" t="n"/>
      <c r="Q1567" s="35" t="n"/>
      <c r="R1567" s="35" t="n"/>
      <c r="S1567" s="35" t="n"/>
      <c r="T1567" s="35" t="n"/>
      <c r="U1567" s="35" t="n"/>
      <c r="V1567" s="18">
        <f>IF(COUNTA($B1567:$R1567)=0,"",ROUND(N($R1567)+N($S1567)+N($T1567)-N($U1567),2))</f>
        <v/>
      </c>
      <c r="W1567" s="18">
        <f>IF(COUNTA($B1567:$R1567)=0,"",IF(OR($X1567="Pago",$X1567="Recebido",$X1567="Cancelado"),0,ROUND(N($Q1567)+N($S1567)+N($T1567)-N($U1567)-N($R1567),2)))</f>
        <v/>
      </c>
      <c r="X1567" s="14" t="n"/>
      <c r="Y1567" s="17">
        <f>IF(COUNTA($B1567:$R1567)=0,"",IF($X1567="Cancelado","Cancelado",IF(OR($X1567="Pago",$X1567="Recebido"),$X1567,IF(OR($X1567="Parcial",N($R1567)&gt;0),"Parcial",IF($C1567="","Sem vencimento",IF($C1567&lt;TODAY(),"Vencido",IF($C1567=TODAY(),"Vence hoje",IF($C1567&lt;=TODAY()+7,"Vence em 7 dias",IF($C1567&lt;=TODAY()+30,"Vence em 30 dias","Futuro")))))))))</f>
        <v/>
      </c>
      <c r="Z1567" s="24">
        <f>IF($B1567="","",MONTH($B1567))</f>
        <v/>
      </c>
      <c r="AA1567" s="24">
        <f>IF($B1567="","",YEAR($B1567))</f>
        <v/>
      </c>
      <c r="AB1567" s="24">
        <f>IF($B1567="","",ISOWEEKNUM($B1567))</f>
        <v/>
      </c>
      <c r="AC1567" s="17">
        <f>IF($B1567="","",CHOOSE(WEEKDAY($B1567,2),"Segunda","Terça","Quarta","Quinta","Sexta","Sábado","Domingo"))</f>
        <v/>
      </c>
      <c r="AD1567" s="17">
        <f>IF($B1567="","",TEXT($B1567,"MM/AAAA"))</f>
        <v/>
      </c>
      <c r="AE1567" s="18">
        <f>IF(COUNTA($B1567:$R1567)=0,"",IF($X1567="Cancelado",0,ROUND(N($Q1567)+N($S1567)+N($T1567)-N($U1567),2)))</f>
        <v/>
      </c>
      <c r="AF1567" s="9">
        <f>IF($G1567="","",IFERROR(INDEX(LINHAS_DRE_PLANO,MATCH($G1567,SUBCATEGORIAS_PLANO,0)),"Não classificado"))</f>
        <v/>
      </c>
      <c r="AG1567" s="17">
        <f>IF($G1567="","",IFERROR(INDEX(TIPOS_FLUXO_PLANO,MATCH($G1567,SUBCATEGORIAS_PLANO,0)),"Não classificado"))</f>
        <v/>
      </c>
      <c r="AH1567" s="9">
        <f>IF($G1567="","",IFERROR(INDEX(GRUPOS_PLANO,MATCH($G1567,SUBCATEGORIAS_PLANO,0)),"Não classificado"))</f>
        <v/>
      </c>
      <c r="AI1567" s="24">
        <f>IF(OR($C1567="",$X1567="Pago",$X1567="Recebido",$X1567="Cancelado"),"",$C1567-TODAY())</f>
        <v/>
      </c>
      <c r="AJ1567" s="24">
        <f>IF(OR($C1567="",$X1567="Pago",$X1567="Recebido",$X1567="Cancelado"),0,MAX(0,TODAY()-$C1567))</f>
        <v/>
      </c>
      <c r="AK1567" s="24">
        <f>IF($D1567="","",$D1567-$B1567)</f>
        <v/>
      </c>
      <c r="AL1567" s="18">
        <f>IF(OR($D1567="",$B1567=""),"",ROUND(N($R1567)*($D1567-$B1567),2))</f>
        <v/>
      </c>
      <c r="AM1567" s="17">
        <f>IF(AND($E1567="Saída",$W1567&gt;0,$C1567&lt;&gt;""),$C1567+ROW()/1000000,"")</f>
        <v/>
      </c>
      <c r="AN1567" s="17">
        <f>IF(AND($E1567="Entrada",$W1567&gt;0,$C1567&lt;&gt;""),$C1567+ROW()/1000000,"")</f>
        <v/>
      </c>
      <c r="AO1567" s="9">
        <f>IF(COUNTA($B1567:$R1567)=0,"",IF(AND($I1567&lt;&gt;"",COUNTIF(CLIENTES_NOMES,$I1567)+COUNTIF(CLIENTES_FANTASIA,$I1567)+COUNTIF(FORNECEDORES_NOMES,$I1567)+COUNTIF(FORNECEDORES_FANTASIA,$I1567)=0),"⚠ Cliente/Fornecedor não cadastrado",IF(AND($G1567&lt;&gt;"",COUNTIF(SUBCATEGORIAS_PLANO,$G1567)=0),"⚠ Subcategoria fora do plano de contas",IF(OR($Q1567="",N($Q1567)=0),"⚠ Valor previsto não informado",IF(AND(OR($X1567="Pago",$X1567="Recebido"),$D1567=""),"⚠ Status pago/recebido sem data",IF(AND($D1567&lt;&gt;"",N($R1567)=0),"⚠ Data de pagamento sem valor realizado",IF(AND(N($P1567)&gt;1,N($O1567)&gt;N($P1567)),"⚠ Nº da parcela maior que o total",IF(AND($C1567&lt;&gt;"",$B1567&lt;&gt;"",$C1567&lt;$B1567),"⚠ Vencimento anterior à competência","OK"))))))))</f>
        <v/>
      </c>
    </row>
    <row r="1568">
      <c r="A1568" s="14" t="n"/>
      <c r="B1568" s="36" t="n"/>
      <c r="C1568" s="36" t="n"/>
      <c r="D1568" s="36" t="n"/>
      <c r="E1568" s="14" t="n"/>
      <c r="F1568" s="29" t="n"/>
      <c r="G1568" s="29" t="n"/>
      <c r="H1568" s="29" t="n"/>
      <c r="I1568" s="29" t="n"/>
      <c r="J1568" s="29" t="n"/>
      <c r="K1568" s="14" t="n"/>
      <c r="L1568" s="29" t="n"/>
      <c r="M1568" s="14" t="n"/>
      <c r="N1568" s="29" t="n"/>
      <c r="O1568" s="13" t="n"/>
      <c r="P1568" s="13" t="n"/>
      <c r="Q1568" s="35" t="n"/>
      <c r="R1568" s="35" t="n"/>
      <c r="S1568" s="35" t="n"/>
      <c r="T1568" s="35" t="n"/>
      <c r="U1568" s="35" t="n"/>
      <c r="V1568" s="18">
        <f>IF(COUNTA($B1568:$R1568)=0,"",ROUND(N($R1568)+N($S1568)+N($T1568)-N($U1568),2))</f>
        <v/>
      </c>
      <c r="W1568" s="18">
        <f>IF(COUNTA($B1568:$R1568)=0,"",IF(OR($X1568="Pago",$X1568="Recebido",$X1568="Cancelado"),0,ROUND(N($Q1568)+N($S1568)+N($T1568)-N($U1568)-N($R1568),2)))</f>
        <v/>
      </c>
      <c r="X1568" s="14" t="n"/>
      <c r="Y1568" s="17">
        <f>IF(COUNTA($B1568:$R1568)=0,"",IF($X1568="Cancelado","Cancelado",IF(OR($X1568="Pago",$X1568="Recebido"),$X1568,IF(OR($X1568="Parcial",N($R1568)&gt;0),"Parcial",IF($C1568="","Sem vencimento",IF($C1568&lt;TODAY(),"Vencido",IF($C1568=TODAY(),"Vence hoje",IF($C1568&lt;=TODAY()+7,"Vence em 7 dias",IF($C1568&lt;=TODAY()+30,"Vence em 30 dias","Futuro")))))))))</f>
        <v/>
      </c>
      <c r="Z1568" s="24">
        <f>IF($B1568="","",MONTH($B1568))</f>
        <v/>
      </c>
      <c r="AA1568" s="24">
        <f>IF($B1568="","",YEAR($B1568))</f>
        <v/>
      </c>
      <c r="AB1568" s="24">
        <f>IF($B1568="","",ISOWEEKNUM($B1568))</f>
        <v/>
      </c>
      <c r="AC1568" s="17">
        <f>IF($B1568="","",CHOOSE(WEEKDAY($B1568,2),"Segunda","Terça","Quarta","Quinta","Sexta","Sábado","Domingo"))</f>
        <v/>
      </c>
      <c r="AD1568" s="17">
        <f>IF($B1568="","",TEXT($B1568,"MM/AAAA"))</f>
        <v/>
      </c>
      <c r="AE1568" s="18">
        <f>IF(COUNTA($B1568:$R1568)=0,"",IF($X1568="Cancelado",0,ROUND(N($Q1568)+N($S1568)+N($T1568)-N($U1568),2)))</f>
        <v/>
      </c>
      <c r="AF1568" s="9">
        <f>IF($G1568="","",IFERROR(INDEX(LINHAS_DRE_PLANO,MATCH($G1568,SUBCATEGORIAS_PLANO,0)),"Não classificado"))</f>
        <v/>
      </c>
      <c r="AG1568" s="17">
        <f>IF($G1568="","",IFERROR(INDEX(TIPOS_FLUXO_PLANO,MATCH($G1568,SUBCATEGORIAS_PLANO,0)),"Não classificado"))</f>
        <v/>
      </c>
      <c r="AH1568" s="9">
        <f>IF($G1568="","",IFERROR(INDEX(GRUPOS_PLANO,MATCH($G1568,SUBCATEGORIAS_PLANO,0)),"Não classificado"))</f>
        <v/>
      </c>
      <c r="AI1568" s="24">
        <f>IF(OR($C1568="",$X1568="Pago",$X1568="Recebido",$X1568="Cancelado"),"",$C1568-TODAY())</f>
        <v/>
      </c>
      <c r="AJ1568" s="24">
        <f>IF(OR($C1568="",$X1568="Pago",$X1568="Recebido",$X1568="Cancelado"),0,MAX(0,TODAY()-$C1568))</f>
        <v/>
      </c>
      <c r="AK1568" s="24">
        <f>IF($D1568="","",$D1568-$B1568)</f>
        <v/>
      </c>
      <c r="AL1568" s="18">
        <f>IF(OR($D1568="",$B1568=""),"",ROUND(N($R1568)*($D1568-$B1568),2))</f>
        <v/>
      </c>
      <c r="AM1568" s="17">
        <f>IF(AND($E1568="Saída",$W1568&gt;0,$C1568&lt;&gt;""),$C1568+ROW()/1000000,"")</f>
        <v/>
      </c>
      <c r="AN1568" s="17">
        <f>IF(AND($E1568="Entrada",$W1568&gt;0,$C1568&lt;&gt;""),$C1568+ROW()/1000000,"")</f>
        <v/>
      </c>
      <c r="AO1568" s="9">
        <f>IF(COUNTA($B1568:$R1568)=0,"",IF(AND($I1568&lt;&gt;"",COUNTIF(CLIENTES_NOMES,$I1568)+COUNTIF(CLIENTES_FANTASIA,$I1568)+COUNTIF(FORNECEDORES_NOMES,$I1568)+COUNTIF(FORNECEDORES_FANTASIA,$I1568)=0),"⚠ Cliente/Fornecedor não cadastrado",IF(AND($G1568&lt;&gt;"",COUNTIF(SUBCATEGORIAS_PLANO,$G1568)=0),"⚠ Subcategoria fora do plano de contas",IF(OR($Q1568="",N($Q1568)=0),"⚠ Valor previsto não informado",IF(AND(OR($X1568="Pago",$X1568="Recebido"),$D1568=""),"⚠ Status pago/recebido sem data",IF(AND($D1568&lt;&gt;"",N($R1568)=0),"⚠ Data de pagamento sem valor realizado",IF(AND(N($P1568)&gt;1,N($O1568)&gt;N($P1568)),"⚠ Nº da parcela maior que o total",IF(AND($C1568&lt;&gt;"",$B1568&lt;&gt;"",$C1568&lt;$B1568),"⚠ Vencimento anterior à competência","OK"))))))))</f>
        <v/>
      </c>
    </row>
    <row r="1569">
      <c r="A1569" s="14" t="n"/>
      <c r="B1569" s="36" t="n"/>
      <c r="C1569" s="36" t="n"/>
      <c r="D1569" s="36" t="n"/>
      <c r="E1569" s="14" t="n"/>
      <c r="F1569" s="29" t="n"/>
      <c r="G1569" s="29" t="n"/>
      <c r="H1569" s="29" t="n"/>
      <c r="I1569" s="29" t="n"/>
      <c r="J1569" s="29" t="n"/>
      <c r="K1569" s="14" t="n"/>
      <c r="L1569" s="29" t="n"/>
      <c r="M1569" s="14" t="n"/>
      <c r="N1569" s="29" t="n"/>
      <c r="O1569" s="13" t="n"/>
      <c r="P1569" s="13" t="n"/>
      <c r="Q1569" s="35" t="n"/>
      <c r="R1569" s="35" t="n"/>
      <c r="S1569" s="35" t="n"/>
      <c r="T1569" s="35" t="n"/>
      <c r="U1569" s="35" t="n"/>
      <c r="V1569" s="18">
        <f>IF(COUNTA($B1569:$R1569)=0,"",ROUND(N($R1569)+N($S1569)+N($T1569)-N($U1569),2))</f>
        <v/>
      </c>
      <c r="W1569" s="18">
        <f>IF(COUNTA($B1569:$R1569)=0,"",IF(OR($X1569="Pago",$X1569="Recebido",$X1569="Cancelado"),0,ROUND(N($Q1569)+N($S1569)+N($T1569)-N($U1569)-N($R1569),2)))</f>
        <v/>
      </c>
      <c r="X1569" s="14" t="n"/>
      <c r="Y1569" s="17">
        <f>IF(COUNTA($B1569:$R1569)=0,"",IF($X1569="Cancelado","Cancelado",IF(OR($X1569="Pago",$X1569="Recebido"),$X1569,IF(OR($X1569="Parcial",N($R1569)&gt;0),"Parcial",IF($C1569="","Sem vencimento",IF($C1569&lt;TODAY(),"Vencido",IF($C1569=TODAY(),"Vence hoje",IF($C1569&lt;=TODAY()+7,"Vence em 7 dias",IF($C1569&lt;=TODAY()+30,"Vence em 30 dias","Futuro")))))))))</f>
        <v/>
      </c>
      <c r="Z1569" s="24">
        <f>IF($B1569="","",MONTH($B1569))</f>
        <v/>
      </c>
      <c r="AA1569" s="24">
        <f>IF($B1569="","",YEAR($B1569))</f>
        <v/>
      </c>
      <c r="AB1569" s="24">
        <f>IF($B1569="","",ISOWEEKNUM($B1569))</f>
        <v/>
      </c>
      <c r="AC1569" s="17">
        <f>IF($B1569="","",CHOOSE(WEEKDAY($B1569,2),"Segunda","Terça","Quarta","Quinta","Sexta","Sábado","Domingo"))</f>
        <v/>
      </c>
      <c r="AD1569" s="17">
        <f>IF($B1569="","",TEXT($B1569,"MM/AAAA"))</f>
        <v/>
      </c>
      <c r="AE1569" s="18">
        <f>IF(COUNTA($B1569:$R1569)=0,"",IF($X1569="Cancelado",0,ROUND(N($Q1569)+N($S1569)+N($T1569)-N($U1569),2)))</f>
        <v/>
      </c>
      <c r="AF1569" s="9">
        <f>IF($G1569="","",IFERROR(INDEX(LINHAS_DRE_PLANO,MATCH($G1569,SUBCATEGORIAS_PLANO,0)),"Não classificado"))</f>
        <v/>
      </c>
      <c r="AG1569" s="17">
        <f>IF($G1569="","",IFERROR(INDEX(TIPOS_FLUXO_PLANO,MATCH($G1569,SUBCATEGORIAS_PLANO,0)),"Não classificado"))</f>
        <v/>
      </c>
      <c r="AH1569" s="9">
        <f>IF($G1569="","",IFERROR(INDEX(GRUPOS_PLANO,MATCH($G1569,SUBCATEGORIAS_PLANO,0)),"Não classificado"))</f>
        <v/>
      </c>
      <c r="AI1569" s="24">
        <f>IF(OR($C1569="",$X1569="Pago",$X1569="Recebido",$X1569="Cancelado"),"",$C1569-TODAY())</f>
        <v/>
      </c>
      <c r="AJ1569" s="24">
        <f>IF(OR($C1569="",$X1569="Pago",$X1569="Recebido",$X1569="Cancelado"),0,MAX(0,TODAY()-$C1569))</f>
        <v/>
      </c>
      <c r="AK1569" s="24">
        <f>IF($D1569="","",$D1569-$B1569)</f>
        <v/>
      </c>
      <c r="AL1569" s="18">
        <f>IF(OR($D1569="",$B1569=""),"",ROUND(N($R1569)*($D1569-$B1569),2))</f>
        <v/>
      </c>
      <c r="AM1569" s="17">
        <f>IF(AND($E1569="Saída",$W1569&gt;0,$C1569&lt;&gt;""),$C1569+ROW()/1000000,"")</f>
        <v/>
      </c>
      <c r="AN1569" s="17">
        <f>IF(AND($E1569="Entrada",$W1569&gt;0,$C1569&lt;&gt;""),$C1569+ROW()/1000000,"")</f>
        <v/>
      </c>
      <c r="AO1569" s="9">
        <f>IF(COUNTA($B1569:$R1569)=0,"",IF(AND($I1569&lt;&gt;"",COUNTIF(CLIENTES_NOMES,$I1569)+COUNTIF(CLIENTES_FANTASIA,$I1569)+COUNTIF(FORNECEDORES_NOMES,$I1569)+COUNTIF(FORNECEDORES_FANTASIA,$I1569)=0),"⚠ Cliente/Fornecedor não cadastrado",IF(AND($G1569&lt;&gt;"",COUNTIF(SUBCATEGORIAS_PLANO,$G1569)=0),"⚠ Subcategoria fora do plano de contas",IF(OR($Q1569="",N($Q1569)=0),"⚠ Valor previsto não informado",IF(AND(OR($X1569="Pago",$X1569="Recebido"),$D1569=""),"⚠ Status pago/recebido sem data",IF(AND($D1569&lt;&gt;"",N($R1569)=0),"⚠ Data de pagamento sem valor realizado",IF(AND(N($P1569)&gt;1,N($O1569)&gt;N($P1569)),"⚠ Nº da parcela maior que o total",IF(AND($C1569&lt;&gt;"",$B1569&lt;&gt;"",$C1569&lt;$B1569),"⚠ Vencimento anterior à competência","OK"))))))))</f>
        <v/>
      </c>
    </row>
    <row r="1570">
      <c r="A1570" s="14" t="n"/>
      <c r="B1570" s="36" t="n"/>
      <c r="C1570" s="36" t="n"/>
      <c r="D1570" s="36" t="n"/>
      <c r="E1570" s="14" t="n"/>
      <c r="F1570" s="29" t="n"/>
      <c r="G1570" s="29" t="n"/>
      <c r="H1570" s="29" t="n"/>
      <c r="I1570" s="29" t="n"/>
      <c r="J1570" s="29" t="n"/>
      <c r="K1570" s="14" t="n"/>
      <c r="L1570" s="29" t="n"/>
      <c r="M1570" s="14" t="n"/>
      <c r="N1570" s="29" t="n"/>
      <c r="O1570" s="13" t="n"/>
      <c r="P1570" s="13" t="n"/>
      <c r="Q1570" s="35" t="n"/>
      <c r="R1570" s="35" t="n"/>
      <c r="S1570" s="35" t="n"/>
      <c r="T1570" s="35" t="n"/>
      <c r="U1570" s="35" t="n"/>
      <c r="V1570" s="18">
        <f>IF(COUNTA($B1570:$R1570)=0,"",ROUND(N($R1570)+N($S1570)+N($T1570)-N($U1570),2))</f>
        <v/>
      </c>
      <c r="W1570" s="18">
        <f>IF(COUNTA($B1570:$R1570)=0,"",IF(OR($X1570="Pago",$X1570="Recebido",$X1570="Cancelado"),0,ROUND(N($Q1570)+N($S1570)+N($T1570)-N($U1570)-N($R1570),2)))</f>
        <v/>
      </c>
      <c r="X1570" s="14" t="n"/>
      <c r="Y1570" s="17">
        <f>IF(COUNTA($B1570:$R1570)=0,"",IF($X1570="Cancelado","Cancelado",IF(OR($X1570="Pago",$X1570="Recebido"),$X1570,IF(OR($X1570="Parcial",N($R1570)&gt;0),"Parcial",IF($C1570="","Sem vencimento",IF($C1570&lt;TODAY(),"Vencido",IF($C1570=TODAY(),"Vence hoje",IF($C1570&lt;=TODAY()+7,"Vence em 7 dias",IF($C1570&lt;=TODAY()+30,"Vence em 30 dias","Futuro")))))))))</f>
        <v/>
      </c>
      <c r="Z1570" s="24">
        <f>IF($B1570="","",MONTH($B1570))</f>
        <v/>
      </c>
      <c r="AA1570" s="24">
        <f>IF($B1570="","",YEAR($B1570))</f>
        <v/>
      </c>
      <c r="AB1570" s="24">
        <f>IF($B1570="","",ISOWEEKNUM($B1570))</f>
        <v/>
      </c>
      <c r="AC1570" s="17">
        <f>IF($B1570="","",CHOOSE(WEEKDAY($B1570,2),"Segunda","Terça","Quarta","Quinta","Sexta","Sábado","Domingo"))</f>
        <v/>
      </c>
      <c r="AD1570" s="17">
        <f>IF($B1570="","",TEXT($B1570,"MM/AAAA"))</f>
        <v/>
      </c>
      <c r="AE1570" s="18">
        <f>IF(COUNTA($B1570:$R1570)=0,"",IF($X1570="Cancelado",0,ROUND(N($Q1570)+N($S1570)+N($T1570)-N($U1570),2)))</f>
        <v/>
      </c>
      <c r="AF1570" s="9">
        <f>IF($G1570="","",IFERROR(INDEX(LINHAS_DRE_PLANO,MATCH($G1570,SUBCATEGORIAS_PLANO,0)),"Não classificado"))</f>
        <v/>
      </c>
      <c r="AG1570" s="17">
        <f>IF($G1570="","",IFERROR(INDEX(TIPOS_FLUXO_PLANO,MATCH($G1570,SUBCATEGORIAS_PLANO,0)),"Não classificado"))</f>
        <v/>
      </c>
      <c r="AH1570" s="9">
        <f>IF($G1570="","",IFERROR(INDEX(GRUPOS_PLANO,MATCH($G1570,SUBCATEGORIAS_PLANO,0)),"Não classificado"))</f>
        <v/>
      </c>
      <c r="AI1570" s="24">
        <f>IF(OR($C1570="",$X1570="Pago",$X1570="Recebido",$X1570="Cancelado"),"",$C1570-TODAY())</f>
        <v/>
      </c>
      <c r="AJ1570" s="24">
        <f>IF(OR($C1570="",$X1570="Pago",$X1570="Recebido",$X1570="Cancelado"),0,MAX(0,TODAY()-$C1570))</f>
        <v/>
      </c>
      <c r="AK1570" s="24">
        <f>IF($D1570="","",$D1570-$B1570)</f>
        <v/>
      </c>
      <c r="AL1570" s="18">
        <f>IF(OR($D1570="",$B1570=""),"",ROUND(N($R1570)*($D1570-$B1570),2))</f>
        <v/>
      </c>
      <c r="AM1570" s="17">
        <f>IF(AND($E1570="Saída",$W1570&gt;0,$C1570&lt;&gt;""),$C1570+ROW()/1000000,"")</f>
        <v/>
      </c>
      <c r="AN1570" s="17">
        <f>IF(AND($E1570="Entrada",$W1570&gt;0,$C1570&lt;&gt;""),$C1570+ROW()/1000000,"")</f>
        <v/>
      </c>
      <c r="AO1570" s="9">
        <f>IF(COUNTA($B1570:$R1570)=0,"",IF(AND($I1570&lt;&gt;"",COUNTIF(CLIENTES_NOMES,$I1570)+COUNTIF(CLIENTES_FANTASIA,$I1570)+COUNTIF(FORNECEDORES_NOMES,$I1570)+COUNTIF(FORNECEDORES_FANTASIA,$I1570)=0),"⚠ Cliente/Fornecedor não cadastrado",IF(AND($G1570&lt;&gt;"",COUNTIF(SUBCATEGORIAS_PLANO,$G1570)=0),"⚠ Subcategoria fora do plano de contas",IF(OR($Q1570="",N($Q1570)=0),"⚠ Valor previsto não informado",IF(AND(OR($X1570="Pago",$X1570="Recebido"),$D1570=""),"⚠ Status pago/recebido sem data",IF(AND($D1570&lt;&gt;"",N($R1570)=0),"⚠ Data de pagamento sem valor realizado",IF(AND(N($P1570)&gt;1,N($O1570)&gt;N($P1570)),"⚠ Nº da parcela maior que o total",IF(AND($C1570&lt;&gt;"",$B1570&lt;&gt;"",$C1570&lt;$B1570),"⚠ Vencimento anterior à competência","OK"))))))))</f>
        <v/>
      </c>
    </row>
    <row r="1571">
      <c r="A1571" s="14" t="n"/>
      <c r="B1571" s="36" t="n"/>
      <c r="C1571" s="36" t="n"/>
      <c r="D1571" s="36" t="n"/>
      <c r="E1571" s="14" t="n"/>
      <c r="F1571" s="29" t="n"/>
      <c r="G1571" s="29" t="n"/>
      <c r="H1571" s="29" t="n"/>
      <c r="I1571" s="29" t="n"/>
      <c r="J1571" s="29" t="n"/>
      <c r="K1571" s="14" t="n"/>
      <c r="L1571" s="29" t="n"/>
      <c r="M1571" s="14" t="n"/>
      <c r="N1571" s="29" t="n"/>
      <c r="O1571" s="13" t="n"/>
      <c r="P1571" s="13" t="n"/>
      <c r="Q1571" s="35" t="n"/>
      <c r="R1571" s="35" t="n"/>
      <c r="S1571" s="35" t="n"/>
      <c r="T1571" s="35" t="n"/>
      <c r="U1571" s="35" t="n"/>
      <c r="V1571" s="18">
        <f>IF(COUNTA($B1571:$R1571)=0,"",ROUND(N($R1571)+N($S1571)+N($T1571)-N($U1571),2))</f>
        <v/>
      </c>
      <c r="W1571" s="18">
        <f>IF(COUNTA($B1571:$R1571)=0,"",IF(OR($X1571="Pago",$X1571="Recebido",$X1571="Cancelado"),0,ROUND(N($Q1571)+N($S1571)+N($T1571)-N($U1571)-N($R1571),2)))</f>
        <v/>
      </c>
      <c r="X1571" s="14" t="n"/>
      <c r="Y1571" s="17">
        <f>IF(COUNTA($B1571:$R1571)=0,"",IF($X1571="Cancelado","Cancelado",IF(OR($X1571="Pago",$X1571="Recebido"),$X1571,IF(OR($X1571="Parcial",N($R1571)&gt;0),"Parcial",IF($C1571="","Sem vencimento",IF($C1571&lt;TODAY(),"Vencido",IF($C1571=TODAY(),"Vence hoje",IF($C1571&lt;=TODAY()+7,"Vence em 7 dias",IF($C1571&lt;=TODAY()+30,"Vence em 30 dias","Futuro")))))))))</f>
        <v/>
      </c>
      <c r="Z1571" s="24">
        <f>IF($B1571="","",MONTH($B1571))</f>
        <v/>
      </c>
      <c r="AA1571" s="24">
        <f>IF($B1571="","",YEAR($B1571))</f>
        <v/>
      </c>
      <c r="AB1571" s="24">
        <f>IF($B1571="","",ISOWEEKNUM($B1571))</f>
        <v/>
      </c>
      <c r="AC1571" s="17">
        <f>IF($B1571="","",CHOOSE(WEEKDAY($B1571,2),"Segunda","Terça","Quarta","Quinta","Sexta","Sábado","Domingo"))</f>
        <v/>
      </c>
      <c r="AD1571" s="17">
        <f>IF($B1571="","",TEXT($B1571,"MM/AAAA"))</f>
        <v/>
      </c>
      <c r="AE1571" s="18">
        <f>IF(COUNTA($B1571:$R1571)=0,"",IF($X1571="Cancelado",0,ROUND(N($Q1571)+N($S1571)+N($T1571)-N($U1571),2)))</f>
        <v/>
      </c>
      <c r="AF1571" s="9">
        <f>IF($G1571="","",IFERROR(INDEX(LINHAS_DRE_PLANO,MATCH($G1571,SUBCATEGORIAS_PLANO,0)),"Não classificado"))</f>
        <v/>
      </c>
      <c r="AG1571" s="17">
        <f>IF($G1571="","",IFERROR(INDEX(TIPOS_FLUXO_PLANO,MATCH($G1571,SUBCATEGORIAS_PLANO,0)),"Não classificado"))</f>
        <v/>
      </c>
      <c r="AH1571" s="9">
        <f>IF($G1571="","",IFERROR(INDEX(GRUPOS_PLANO,MATCH($G1571,SUBCATEGORIAS_PLANO,0)),"Não classificado"))</f>
        <v/>
      </c>
      <c r="AI1571" s="24">
        <f>IF(OR($C1571="",$X1571="Pago",$X1571="Recebido",$X1571="Cancelado"),"",$C1571-TODAY())</f>
        <v/>
      </c>
      <c r="AJ1571" s="24">
        <f>IF(OR($C1571="",$X1571="Pago",$X1571="Recebido",$X1571="Cancelado"),0,MAX(0,TODAY()-$C1571))</f>
        <v/>
      </c>
      <c r="AK1571" s="24">
        <f>IF($D1571="","",$D1571-$B1571)</f>
        <v/>
      </c>
      <c r="AL1571" s="18">
        <f>IF(OR($D1571="",$B1571=""),"",ROUND(N($R1571)*($D1571-$B1571),2))</f>
        <v/>
      </c>
      <c r="AM1571" s="17">
        <f>IF(AND($E1571="Saída",$W1571&gt;0,$C1571&lt;&gt;""),$C1571+ROW()/1000000,"")</f>
        <v/>
      </c>
      <c r="AN1571" s="17">
        <f>IF(AND($E1571="Entrada",$W1571&gt;0,$C1571&lt;&gt;""),$C1571+ROW()/1000000,"")</f>
        <v/>
      </c>
      <c r="AO1571" s="9">
        <f>IF(COUNTA($B1571:$R1571)=0,"",IF(AND($I1571&lt;&gt;"",COUNTIF(CLIENTES_NOMES,$I1571)+COUNTIF(CLIENTES_FANTASIA,$I1571)+COUNTIF(FORNECEDORES_NOMES,$I1571)+COUNTIF(FORNECEDORES_FANTASIA,$I1571)=0),"⚠ Cliente/Fornecedor não cadastrado",IF(AND($G1571&lt;&gt;"",COUNTIF(SUBCATEGORIAS_PLANO,$G1571)=0),"⚠ Subcategoria fora do plano de contas",IF(OR($Q1571="",N($Q1571)=0),"⚠ Valor previsto não informado",IF(AND(OR($X1571="Pago",$X1571="Recebido"),$D1571=""),"⚠ Status pago/recebido sem data",IF(AND($D1571&lt;&gt;"",N($R1571)=0),"⚠ Data de pagamento sem valor realizado",IF(AND(N($P1571)&gt;1,N($O1571)&gt;N($P1571)),"⚠ Nº da parcela maior que o total",IF(AND($C1571&lt;&gt;"",$B1571&lt;&gt;"",$C1571&lt;$B1571),"⚠ Vencimento anterior à competência","OK"))))))))</f>
        <v/>
      </c>
    </row>
    <row r="1572">
      <c r="A1572" s="14" t="n"/>
      <c r="B1572" s="36" t="n"/>
      <c r="C1572" s="36" t="n"/>
      <c r="D1572" s="36" t="n"/>
      <c r="E1572" s="14" t="n"/>
      <c r="F1572" s="29" t="n"/>
      <c r="G1572" s="29" t="n"/>
      <c r="H1572" s="29" t="n"/>
      <c r="I1572" s="29" t="n"/>
      <c r="J1572" s="29" t="n"/>
      <c r="K1572" s="14" t="n"/>
      <c r="L1572" s="29" t="n"/>
      <c r="M1572" s="14" t="n"/>
      <c r="N1572" s="29" t="n"/>
      <c r="O1572" s="13" t="n"/>
      <c r="P1572" s="13" t="n"/>
      <c r="Q1572" s="35" t="n"/>
      <c r="R1572" s="35" t="n"/>
      <c r="S1572" s="35" t="n"/>
      <c r="T1572" s="35" t="n"/>
      <c r="U1572" s="35" t="n"/>
      <c r="V1572" s="18">
        <f>IF(COUNTA($B1572:$R1572)=0,"",ROUND(N($R1572)+N($S1572)+N($T1572)-N($U1572),2))</f>
        <v/>
      </c>
      <c r="W1572" s="18">
        <f>IF(COUNTA($B1572:$R1572)=0,"",IF(OR($X1572="Pago",$X1572="Recebido",$X1572="Cancelado"),0,ROUND(N($Q1572)+N($S1572)+N($T1572)-N($U1572)-N($R1572),2)))</f>
        <v/>
      </c>
      <c r="X1572" s="14" t="n"/>
      <c r="Y1572" s="17">
        <f>IF(COUNTA($B1572:$R1572)=0,"",IF($X1572="Cancelado","Cancelado",IF(OR($X1572="Pago",$X1572="Recebido"),$X1572,IF(OR($X1572="Parcial",N($R1572)&gt;0),"Parcial",IF($C1572="","Sem vencimento",IF($C1572&lt;TODAY(),"Vencido",IF($C1572=TODAY(),"Vence hoje",IF($C1572&lt;=TODAY()+7,"Vence em 7 dias",IF($C1572&lt;=TODAY()+30,"Vence em 30 dias","Futuro")))))))))</f>
        <v/>
      </c>
      <c r="Z1572" s="24">
        <f>IF($B1572="","",MONTH($B1572))</f>
        <v/>
      </c>
      <c r="AA1572" s="24">
        <f>IF($B1572="","",YEAR($B1572))</f>
        <v/>
      </c>
      <c r="AB1572" s="24">
        <f>IF($B1572="","",ISOWEEKNUM($B1572))</f>
        <v/>
      </c>
      <c r="AC1572" s="17">
        <f>IF($B1572="","",CHOOSE(WEEKDAY($B1572,2),"Segunda","Terça","Quarta","Quinta","Sexta","Sábado","Domingo"))</f>
        <v/>
      </c>
      <c r="AD1572" s="17">
        <f>IF($B1572="","",TEXT($B1572,"MM/AAAA"))</f>
        <v/>
      </c>
      <c r="AE1572" s="18">
        <f>IF(COUNTA($B1572:$R1572)=0,"",IF($X1572="Cancelado",0,ROUND(N($Q1572)+N($S1572)+N($T1572)-N($U1572),2)))</f>
        <v/>
      </c>
      <c r="AF1572" s="9">
        <f>IF($G1572="","",IFERROR(INDEX(LINHAS_DRE_PLANO,MATCH($G1572,SUBCATEGORIAS_PLANO,0)),"Não classificado"))</f>
        <v/>
      </c>
      <c r="AG1572" s="17">
        <f>IF($G1572="","",IFERROR(INDEX(TIPOS_FLUXO_PLANO,MATCH($G1572,SUBCATEGORIAS_PLANO,0)),"Não classificado"))</f>
        <v/>
      </c>
      <c r="AH1572" s="9">
        <f>IF($G1572="","",IFERROR(INDEX(GRUPOS_PLANO,MATCH($G1572,SUBCATEGORIAS_PLANO,0)),"Não classificado"))</f>
        <v/>
      </c>
      <c r="AI1572" s="24">
        <f>IF(OR($C1572="",$X1572="Pago",$X1572="Recebido",$X1572="Cancelado"),"",$C1572-TODAY())</f>
        <v/>
      </c>
      <c r="AJ1572" s="24">
        <f>IF(OR($C1572="",$X1572="Pago",$X1572="Recebido",$X1572="Cancelado"),0,MAX(0,TODAY()-$C1572))</f>
        <v/>
      </c>
      <c r="AK1572" s="24">
        <f>IF($D1572="","",$D1572-$B1572)</f>
        <v/>
      </c>
      <c r="AL1572" s="18">
        <f>IF(OR($D1572="",$B1572=""),"",ROUND(N($R1572)*($D1572-$B1572),2))</f>
        <v/>
      </c>
      <c r="AM1572" s="17">
        <f>IF(AND($E1572="Saída",$W1572&gt;0,$C1572&lt;&gt;""),$C1572+ROW()/1000000,"")</f>
        <v/>
      </c>
      <c r="AN1572" s="17">
        <f>IF(AND($E1572="Entrada",$W1572&gt;0,$C1572&lt;&gt;""),$C1572+ROW()/1000000,"")</f>
        <v/>
      </c>
      <c r="AO1572" s="9">
        <f>IF(COUNTA($B1572:$R1572)=0,"",IF(AND($I1572&lt;&gt;"",COUNTIF(CLIENTES_NOMES,$I1572)+COUNTIF(CLIENTES_FANTASIA,$I1572)+COUNTIF(FORNECEDORES_NOMES,$I1572)+COUNTIF(FORNECEDORES_FANTASIA,$I1572)=0),"⚠ Cliente/Fornecedor não cadastrado",IF(AND($G1572&lt;&gt;"",COUNTIF(SUBCATEGORIAS_PLANO,$G1572)=0),"⚠ Subcategoria fora do plano de contas",IF(OR($Q1572="",N($Q1572)=0),"⚠ Valor previsto não informado",IF(AND(OR($X1572="Pago",$X1572="Recebido"),$D1572=""),"⚠ Status pago/recebido sem data",IF(AND($D1572&lt;&gt;"",N($R1572)=0),"⚠ Data de pagamento sem valor realizado",IF(AND(N($P1572)&gt;1,N($O1572)&gt;N($P1572)),"⚠ Nº da parcela maior que o total",IF(AND($C1572&lt;&gt;"",$B1572&lt;&gt;"",$C1572&lt;$B1572),"⚠ Vencimento anterior à competência","OK"))))))))</f>
        <v/>
      </c>
    </row>
    <row r="1573">
      <c r="A1573" s="14" t="n"/>
      <c r="B1573" s="36" t="n"/>
      <c r="C1573" s="36" t="n"/>
      <c r="D1573" s="36" t="n"/>
      <c r="E1573" s="14" t="n"/>
      <c r="F1573" s="29" t="n"/>
      <c r="G1573" s="29" t="n"/>
      <c r="H1573" s="29" t="n"/>
      <c r="I1573" s="29" t="n"/>
      <c r="J1573" s="29" t="n"/>
      <c r="K1573" s="14" t="n"/>
      <c r="L1573" s="29" t="n"/>
      <c r="M1573" s="14" t="n"/>
      <c r="N1573" s="29" t="n"/>
      <c r="O1573" s="13" t="n"/>
      <c r="P1573" s="13" t="n"/>
      <c r="Q1573" s="35" t="n"/>
      <c r="R1573" s="35" t="n"/>
      <c r="S1573" s="35" t="n"/>
      <c r="T1573" s="35" t="n"/>
      <c r="U1573" s="35" t="n"/>
      <c r="V1573" s="18">
        <f>IF(COUNTA($B1573:$R1573)=0,"",ROUND(N($R1573)+N($S1573)+N($T1573)-N($U1573),2))</f>
        <v/>
      </c>
      <c r="W1573" s="18">
        <f>IF(COUNTA($B1573:$R1573)=0,"",IF(OR($X1573="Pago",$X1573="Recebido",$X1573="Cancelado"),0,ROUND(N($Q1573)+N($S1573)+N($T1573)-N($U1573)-N($R1573),2)))</f>
        <v/>
      </c>
      <c r="X1573" s="14" t="n"/>
      <c r="Y1573" s="17">
        <f>IF(COUNTA($B1573:$R1573)=0,"",IF($X1573="Cancelado","Cancelado",IF(OR($X1573="Pago",$X1573="Recebido"),$X1573,IF(OR($X1573="Parcial",N($R1573)&gt;0),"Parcial",IF($C1573="","Sem vencimento",IF($C1573&lt;TODAY(),"Vencido",IF($C1573=TODAY(),"Vence hoje",IF($C1573&lt;=TODAY()+7,"Vence em 7 dias",IF($C1573&lt;=TODAY()+30,"Vence em 30 dias","Futuro")))))))))</f>
        <v/>
      </c>
      <c r="Z1573" s="24">
        <f>IF($B1573="","",MONTH($B1573))</f>
        <v/>
      </c>
      <c r="AA1573" s="24">
        <f>IF($B1573="","",YEAR($B1573))</f>
        <v/>
      </c>
      <c r="AB1573" s="24">
        <f>IF($B1573="","",ISOWEEKNUM($B1573))</f>
        <v/>
      </c>
      <c r="AC1573" s="17">
        <f>IF($B1573="","",CHOOSE(WEEKDAY($B1573,2),"Segunda","Terça","Quarta","Quinta","Sexta","Sábado","Domingo"))</f>
        <v/>
      </c>
      <c r="AD1573" s="17">
        <f>IF($B1573="","",TEXT($B1573,"MM/AAAA"))</f>
        <v/>
      </c>
      <c r="AE1573" s="18">
        <f>IF(COUNTA($B1573:$R1573)=0,"",IF($X1573="Cancelado",0,ROUND(N($Q1573)+N($S1573)+N($T1573)-N($U1573),2)))</f>
        <v/>
      </c>
      <c r="AF1573" s="9">
        <f>IF($G1573="","",IFERROR(INDEX(LINHAS_DRE_PLANO,MATCH($G1573,SUBCATEGORIAS_PLANO,0)),"Não classificado"))</f>
        <v/>
      </c>
      <c r="AG1573" s="17">
        <f>IF($G1573="","",IFERROR(INDEX(TIPOS_FLUXO_PLANO,MATCH($G1573,SUBCATEGORIAS_PLANO,0)),"Não classificado"))</f>
        <v/>
      </c>
      <c r="AH1573" s="9">
        <f>IF($G1573="","",IFERROR(INDEX(GRUPOS_PLANO,MATCH($G1573,SUBCATEGORIAS_PLANO,0)),"Não classificado"))</f>
        <v/>
      </c>
      <c r="AI1573" s="24">
        <f>IF(OR($C1573="",$X1573="Pago",$X1573="Recebido",$X1573="Cancelado"),"",$C1573-TODAY())</f>
        <v/>
      </c>
      <c r="AJ1573" s="24">
        <f>IF(OR($C1573="",$X1573="Pago",$X1573="Recebido",$X1573="Cancelado"),0,MAX(0,TODAY()-$C1573))</f>
        <v/>
      </c>
      <c r="AK1573" s="24">
        <f>IF($D1573="","",$D1573-$B1573)</f>
        <v/>
      </c>
      <c r="AL1573" s="18">
        <f>IF(OR($D1573="",$B1573=""),"",ROUND(N($R1573)*($D1573-$B1573),2))</f>
        <v/>
      </c>
      <c r="AM1573" s="17">
        <f>IF(AND($E1573="Saída",$W1573&gt;0,$C1573&lt;&gt;""),$C1573+ROW()/1000000,"")</f>
        <v/>
      </c>
      <c r="AN1573" s="17">
        <f>IF(AND($E1573="Entrada",$W1573&gt;0,$C1573&lt;&gt;""),$C1573+ROW()/1000000,"")</f>
        <v/>
      </c>
      <c r="AO1573" s="9">
        <f>IF(COUNTA($B1573:$R1573)=0,"",IF(AND($I1573&lt;&gt;"",COUNTIF(CLIENTES_NOMES,$I1573)+COUNTIF(CLIENTES_FANTASIA,$I1573)+COUNTIF(FORNECEDORES_NOMES,$I1573)+COUNTIF(FORNECEDORES_FANTASIA,$I1573)=0),"⚠ Cliente/Fornecedor não cadastrado",IF(AND($G1573&lt;&gt;"",COUNTIF(SUBCATEGORIAS_PLANO,$G1573)=0),"⚠ Subcategoria fora do plano de contas",IF(OR($Q1573="",N($Q1573)=0),"⚠ Valor previsto não informado",IF(AND(OR($X1573="Pago",$X1573="Recebido"),$D1573=""),"⚠ Status pago/recebido sem data",IF(AND($D1573&lt;&gt;"",N($R1573)=0),"⚠ Data de pagamento sem valor realizado",IF(AND(N($P1573)&gt;1,N($O1573)&gt;N($P1573)),"⚠ Nº da parcela maior que o total",IF(AND($C1573&lt;&gt;"",$B1573&lt;&gt;"",$C1573&lt;$B1573),"⚠ Vencimento anterior à competência","OK"))))))))</f>
        <v/>
      </c>
    </row>
    <row r="1574">
      <c r="A1574" s="14" t="n"/>
      <c r="B1574" s="36" t="n"/>
      <c r="C1574" s="36" t="n"/>
      <c r="D1574" s="36" t="n"/>
      <c r="E1574" s="14" t="n"/>
      <c r="F1574" s="29" t="n"/>
      <c r="G1574" s="29" t="n"/>
      <c r="H1574" s="29" t="n"/>
      <c r="I1574" s="29" t="n"/>
      <c r="J1574" s="29" t="n"/>
      <c r="K1574" s="14" t="n"/>
      <c r="L1574" s="29" t="n"/>
      <c r="M1574" s="14" t="n"/>
      <c r="N1574" s="29" t="n"/>
      <c r="O1574" s="13" t="n"/>
      <c r="P1574" s="13" t="n"/>
      <c r="Q1574" s="35" t="n"/>
      <c r="R1574" s="35" t="n"/>
      <c r="S1574" s="35" t="n"/>
      <c r="T1574" s="35" t="n"/>
      <c r="U1574" s="35" t="n"/>
      <c r="V1574" s="18">
        <f>IF(COUNTA($B1574:$R1574)=0,"",ROUND(N($R1574)+N($S1574)+N($T1574)-N($U1574),2))</f>
        <v/>
      </c>
      <c r="W1574" s="18">
        <f>IF(COUNTA($B1574:$R1574)=0,"",IF(OR($X1574="Pago",$X1574="Recebido",$X1574="Cancelado"),0,ROUND(N($Q1574)+N($S1574)+N($T1574)-N($U1574)-N($R1574),2)))</f>
        <v/>
      </c>
      <c r="X1574" s="14" t="n"/>
      <c r="Y1574" s="17">
        <f>IF(COUNTA($B1574:$R1574)=0,"",IF($X1574="Cancelado","Cancelado",IF(OR($X1574="Pago",$X1574="Recebido"),$X1574,IF(OR($X1574="Parcial",N($R1574)&gt;0),"Parcial",IF($C1574="","Sem vencimento",IF($C1574&lt;TODAY(),"Vencido",IF($C1574=TODAY(),"Vence hoje",IF($C1574&lt;=TODAY()+7,"Vence em 7 dias",IF($C1574&lt;=TODAY()+30,"Vence em 30 dias","Futuro")))))))))</f>
        <v/>
      </c>
      <c r="Z1574" s="24">
        <f>IF($B1574="","",MONTH($B1574))</f>
        <v/>
      </c>
      <c r="AA1574" s="24">
        <f>IF($B1574="","",YEAR($B1574))</f>
        <v/>
      </c>
      <c r="AB1574" s="24">
        <f>IF($B1574="","",ISOWEEKNUM($B1574))</f>
        <v/>
      </c>
      <c r="AC1574" s="17">
        <f>IF($B1574="","",CHOOSE(WEEKDAY($B1574,2),"Segunda","Terça","Quarta","Quinta","Sexta","Sábado","Domingo"))</f>
        <v/>
      </c>
      <c r="AD1574" s="17">
        <f>IF($B1574="","",TEXT($B1574,"MM/AAAA"))</f>
        <v/>
      </c>
      <c r="AE1574" s="18">
        <f>IF(COUNTA($B1574:$R1574)=0,"",IF($X1574="Cancelado",0,ROUND(N($Q1574)+N($S1574)+N($T1574)-N($U1574),2)))</f>
        <v/>
      </c>
      <c r="AF1574" s="9">
        <f>IF($G1574="","",IFERROR(INDEX(LINHAS_DRE_PLANO,MATCH($G1574,SUBCATEGORIAS_PLANO,0)),"Não classificado"))</f>
        <v/>
      </c>
      <c r="AG1574" s="17">
        <f>IF($G1574="","",IFERROR(INDEX(TIPOS_FLUXO_PLANO,MATCH($G1574,SUBCATEGORIAS_PLANO,0)),"Não classificado"))</f>
        <v/>
      </c>
      <c r="AH1574" s="9">
        <f>IF($G1574="","",IFERROR(INDEX(GRUPOS_PLANO,MATCH($G1574,SUBCATEGORIAS_PLANO,0)),"Não classificado"))</f>
        <v/>
      </c>
      <c r="AI1574" s="24">
        <f>IF(OR($C1574="",$X1574="Pago",$X1574="Recebido",$X1574="Cancelado"),"",$C1574-TODAY())</f>
        <v/>
      </c>
      <c r="AJ1574" s="24">
        <f>IF(OR($C1574="",$X1574="Pago",$X1574="Recebido",$X1574="Cancelado"),0,MAX(0,TODAY()-$C1574))</f>
        <v/>
      </c>
      <c r="AK1574" s="24">
        <f>IF($D1574="","",$D1574-$B1574)</f>
        <v/>
      </c>
      <c r="AL1574" s="18">
        <f>IF(OR($D1574="",$B1574=""),"",ROUND(N($R1574)*($D1574-$B1574),2))</f>
        <v/>
      </c>
      <c r="AM1574" s="17">
        <f>IF(AND($E1574="Saída",$W1574&gt;0,$C1574&lt;&gt;""),$C1574+ROW()/1000000,"")</f>
        <v/>
      </c>
      <c r="AN1574" s="17">
        <f>IF(AND($E1574="Entrada",$W1574&gt;0,$C1574&lt;&gt;""),$C1574+ROW()/1000000,"")</f>
        <v/>
      </c>
      <c r="AO1574" s="9">
        <f>IF(COUNTA($B1574:$R1574)=0,"",IF(AND($I1574&lt;&gt;"",COUNTIF(CLIENTES_NOMES,$I1574)+COUNTIF(CLIENTES_FANTASIA,$I1574)+COUNTIF(FORNECEDORES_NOMES,$I1574)+COUNTIF(FORNECEDORES_FANTASIA,$I1574)=0),"⚠ Cliente/Fornecedor não cadastrado",IF(AND($G1574&lt;&gt;"",COUNTIF(SUBCATEGORIAS_PLANO,$G1574)=0),"⚠ Subcategoria fora do plano de contas",IF(OR($Q1574="",N($Q1574)=0),"⚠ Valor previsto não informado",IF(AND(OR($X1574="Pago",$X1574="Recebido"),$D1574=""),"⚠ Status pago/recebido sem data",IF(AND($D1574&lt;&gt;"",N($R1574)=0),"⚠ Data de pagamento sem valor realizado",IF(AND(N($P1574)&gt;1,N($O1574)&gt;N($P1574)),"⚠ Nº da parcela maior que o total",IF(AND($C1574&lt;&gt;"",$B1574&lt;&gt;"",$C1574&lt;$B1574),"⚠ Vencimento anterior à competência","OK"))))))))</f>
        <v/>
      </c>
    </row>
    <row r="1575">
      <c r="A1575" s="14" t="n"/>
      <c r="B1575" s="36" t="n"/>
      <c r="C1575" s="36" t="n"/>
      <c r="D1575" s="36" t="n"/>
      <c r="E1575" s="14" t="n"/>
      <c r="F1575" s="29" t="n"/>
      <c r="G1575" s="29" t="n"/>
      <c r="H1575" s="29" t="n"/>
      <c r="I1575" s="29" t="n"/>
      <c r="J1575" s="29" t="n"/>
      <c r="K1575" s="14" t="n"/>
      <c r="L1575" s="29" t="n"/>
      <c r="M1575" s="14" t="n"/>
      <c r="N1575" s="29" t="n"/>
      <c r="O1575" s="13" t="n"/>
      <c r="P1575" s="13" t="n"/>
      <c r="Q1575" s="35" t="n"/>
      <c r="R1575" s="35" t="n"/>
      <c r="S1575" s="35" t="n"/>
      <c r="T1575" s="35" t="n"/>
      <c r="U1575" s="35" t="n"/>
      <c r="V1575" s="18">
        <f>IF(COUNTA($B1575:$R1575)=0,"",ROUND(N($R1575)+N($S1575)+N($T1575)-N($U1575),2))</f>
        <v/>
      </c>
      <c r="W1575" s="18">
        <f>IF(COUNTA($B1575:$R1575)=0,"",IF(OR($X1575="Pago",$X1575="Recebido",$X1575="Cancelado"),0,ROUND(N($Q1575)+N($S1575)+N($T1575)-N($U1575)-N($R1575),2)))</f>
        <v/>
      </c>
      <c r="X1575" s="14" t="n"/>
      <c r="Y1575" s="17">
        <f>IF(COUNTA($B1575:$R1575)=0,"",IF($X1575="Cancelado","Cancelado",IF(OR($X1575="Pago",$X1575="Recebido"),$X1575,IF(OR($X1575="Parcial",N($R1575)&gt;0),"Parcial",IF($C1575="","Sem vencimento",IF($C1575&lt;TODAY(),"Vencido",IF($C1575=TODAY(),"Vence hoje",IF($C1575&lt;=TODAY()+7,"Vence em 7 dias",IF($C1575&lt;=TODAY()+30,"Vence em 30 dias","Futuro")))))))))</f>
        <v/>
      </c>
      <c r="Z1575" s="24">
        <f>IF($B1575="","",MONTH($B1575))</f>
        <v/>
      </c>
      <c r="AA1575" s="24">
        <f>IF($B1575="","",YEAR($B1575))</f>
        <v/>
      </c>
      <c r="AB1575" s="24">
        <f>IF($B1575="","",ISOWEEKNUM($B1575))</f>
        <v/>
      </c>
      <c r="AC1575" s="17">
        <f>IF($B1575="","",CHOOSE(WEEKDAY($B1575,2),"Segunda","Terça","Quarta","Quinta","Sexta","Sábado","Domingo"))</f>
        <v/>
      </c>
      <c r="AD1575" s="17">
        <f>IF($B1575="","",TEXT($B1575,"MM/AAAA"))</f>
        <v/>
      </c>
      <c r="AE1575" s="18">
        <f>IF(COUNTA($B1575:$R1575)=0,"",IF($X1575="Cancelado",0,ROUND(N($Q1575)+N($S1575)+N($T1575)-N($U1575),2)))</f>
        <v/>
      </c>
      <c r="AF1575" s="9">
        <f>IF($G1575="","",IFERROR(INDEX(LINHAS_DRE_PLANO,MATCH($G1575,SUBCATEGORIAS_PLANO,0)),"Não classificado"))</f>
        <v/>
      </c>
      <c r="AG1575" s="17">
        <f>IF($G1575="","",IFERROR(INDEX(TIPOS_FLUXO_PLANO,MATCH($G1575,SUBCATEGORIAS_PLANO,0)),"Não classificado"))</f>
        <v/>
      </c>
      <c r="AH1575" s="9">
        <f>IF($G1575="","",IFERROR(INDEX(GRUPOS_PLANO,MATCH($G1575,SUBCATEGORIAS_PLANO,0)),"Não classificado"))</f>
        <v/>
      </c>
      <c r="AI1575" s="24">
        <f>IF(OR($C1575="",$X1575="Pago",$X1575="Recebido",$X1575="Cancelado"),"",$C1575-TODAY())</f>
        <v/>
      </c>
      <c r="AJ1575" s="24">
        <f>IF(OR($C1575="",$X1575="Pago",$X1575="Recebido",$X1575="Cancelado"),0,MAX(0,TODAY()-$C1575))</f>
        <v/>
      </c>
      <c r="AK1575" s="24">
        <f>IF($D1575="","",$D1575-$B1575)</f>
        <v/>
      </c>
      <c r="AL1575" s="18">
        <f>IF(OR($D1575="",$B1575=""),"",ROUND(N($R1575)*($D1575-$B1575),2))</f>
        <v/>
      </c>
      <c r="AM1575" s="17">
        <f>IF(AND($E1575="Saída",$W1575&gt;0,$C1575&lt;&gt;""),$C1575+ROW()/1000000,"")</f>
        <v/>
      </c>
      <c r="AN1575" s="17">
        <f>IF(AND($E1575="Entrada",$W1575&gt;0,$C1575&lt;&gt;""),$C1575+ROW()/1000000,"")</f>
        <v/>
      </c>
      <c r="AO1575" s="9">
        <f>IF(COUNTA($B1575:$R1575)=0,"",IF(AND($I1575&lt;&gt;"",COUNTIF(CLIENTES_NOMES,$I1575)+COUNTIF(CLIENTES_FANTASIA,$I1575)+COUNTIF(FORNECEDORES_NOMES,$I1575)+COUNTIF(FORNECEDORES_FANTASIA,$I1575)=0),"⚠ Cliente/Fornecedor não cadastrado",IF(AND($G1575&lt;&gt;"",COUNTIF(SUBCATEGORIAS_PLANO,$G1575)=0),"⚠ Subcategoria fora do plano de contas",IF(OR($Q1575="",N($Q1575)=0),"⚠ Valor previsto não informado",IF(AND(OR($X1575="Pago",$X1575="Recebido"),$D1575=""),"⚠ Status pago/recebido sem data",IF(AND($D1575&lt;&gt;"",N($R1575)=0),"⚠ Data de pagamento sem valor realizado",IF(AND(N($P1575)&gt;1,N($O1575)&gt;N($P1575)),"⚠ Nº da parcela maior que o total",IF(AND($C1575&lt;&gt;"",$B1575&lt;&gt;"",$C1575&lt;$B1575),"⚠ Vencimento anterior à competência","OK"))))))))</f>
        <v/>
      </c>
    </row>
    <row r="1576">
      <c r="A1576" s="14" t="n"/>
      <c r="B1576" s="36" t="n"/>
      <c r="C1576" s="36" t="n"/>
      <c r="D1576" s="36" t="n"/>
      <c r="E1576" s="14" t="n"/>
      <c r="F1576" s="29" t="n"/>
      <c r="G1576" s="29" t="n"/>
      <c r="H1576" s="29" t="n"/>
      <c r="I1576" s="29" t="n"/>
      <c r="J1576" s="29" t="n"/>
      <c r="K1576" s="14" t="n"/>
      <c r="L1576" s="29" t="n"/>
      <c r="M1576" s="14" t="n"/>
      <c r="N1576" s="29" t="n"/>
      <c r="O1576" s="13" t="n"/>
      <c r="P1576" s="13" t="n"/>
      <c r="Q1576" s="35" t="n"/>
      <c r="R1576" s="35" t="n"/>
      <c r="S1576" s="35" t="n"/>
      <c r="T1576" s="35" t="n"/>
      <c r="U1576" s="35" t="n"/>
      <c r="V1576" s="18">
        <f>IF(COUNTA($B1576:$R1576)=0,"",ROUND(N($R1576)+N($S1576)+N($T1576)-N($U1576),2))</f>
        <v/>
      </c>
      <c r="W1576" s="18">
        <f>IF(COUNTA($B1576:$R1576)=0,"",IF(OR($X1576="Pago",$X1576="Recebido",$X1576="Cancelado"),0,ROUND(N($Q1576)+N($S1576)+N($T1576)-N($U1576)-N($R1576),2)))</f>
        <v/>
      </c>
      <c r="X1576" s="14" t="n"/>
      <c r="Y1576" s="17">
        <f>IF(COUNTA($B1576:$R1576)=0,"",IF($X1576="Cancelado","Cancelado",IF(OR($X1576="Pago",$X1576="Recebido"),$X1576,IF(OR($X1576="Parcial",N($R1576)&gt;0),"Parcial",IF($C1576="","Sem vencimento",IF($C1576&lt;TODAY(),"Vencido",IF($C1576=TODAY(),"Vence hoje",IF($C1576&lt;=TODAY()+7,"Vence em 7 dias",IF($C1576&lt;=TODAY()+30,"Vence em 30 dias","Futuro")))))))))</f>
        <v/>
      </c>
      <c r="Z1576" s="24">
        <f>IF($B1576="","",MONTH($B1576))</f>
        <v/>
      </c>
      <c r="AA1576" s="24">
        <f>IF($B1576="","",YEAR($B1576))</f>
        <v/>
      </c>
      <c r="AB1576" s="24">
        <f>IF($B1576="","",ISOWEEKNUM($B1576))</f>
        <v/>
      </c>
      <c r="AC1576" s="17">
        <f>IF($B1576="","",CHOOSE(WEEKDAY($B1576,2),"Segunda","Terça","Quarta","Quinta","Sexta","Sábado","Domingo"))</f>
        <v/>
      </c>
      <c r="AD1576" s="17">
        <f>IF($B1576="","",TEXT($B1576,"MM/AAAA"))</f>
        <v/>
      </c>
      <c r="AE1576" s="18">
        <f>IF(COUNTA($B1576:$R1576)=0,"",IF($X1576="Cancelado",0,ROUND(N($Q1576)+N($S1576)+N($T1576)-N($U1576),2)))</f>
        <v/>
      </c>
      <c r="AF1576" s="9">
        <f>IF($G1576="","",IFERROR(INDEX(LINHAS_DRE_PLANO,MATCH($G1576,SUBCATEGORIAS_PLANO,0)),"Não classificado"))</f>
        <v/>
      </c>
      <c r="AG1576" s="17">
        <f>IF($G1576="","",IFERROR(INDEX(TIPOS_FLUXO_PLANO,MATCH($G1576,SUBCATEGORIAS_PLANO,0)),"Não classificado"))</f>
        <v/>
      </c>
      <c r="AH1576" s="9">
        <f>IF($G1576="","",IFERROR(INDEX(GRUPOS_PLANO,MATCH($G1576,SUBCATEGORIAS_PLANO,0)),"Não classificado"))</f>
        <v/>
      </c>
      <c r="AI1576" s="24">
        <f>IF(OR($C1576="",$X1576="Pago",$X1576="Recebido",$X1576="Cancelado"),"",$C1576-TODAY())</f>
        <v/>
      </c>
      <c r="AJ1576" s="24">
        <f>IF(OR($C1576="",$X1576="Pago",$X1576="Recebido",$X1576="Cancelado"),0,MAX(0,TODAY()-$C1576))</f>
        <v/>
      </c>
      <c r="AK1576" s="24">
        <f>IF($D1576="","",$D1576-$B1576)</f>
        <v/>
      </c>
      <c r="AL1576" s="18">
        <f>IF(OR($D1576="",$B1576=""),"",ROUND(N($R1576)*($D1576-$B1576),2))</f>
        <v/>
      </c>
      <c r="AM1576" s="17">
        <f>IF(AND($E1576="Saída",$W1576&gt;0,$C1576&lt;&gt;""),$C1576+ROW()/1000000,"")</f>
        <v/>
      </c>
      <c r="AN1576" s="17">
        <f>IF(AND($E1576="Entrada",$W1576&gt;0,$C1576&lt;&gt;""),$C1576+ROW()/1000000,"")</f>
        <v/>
      </c>
      <c r="AO1576" s="9">
        <f>IF(COUNTA($B1576:$R1576)=0,"",IF(AND($I1576&lt;&gt;"",COUNTIF(CLIENTES_NOMES,$I1576)+COUNTIF(CLIENTES_FANTASIA,$I1576)+COUNTIF(FORNECEDORES_NOMES,$I1576)+COUNTIF(FORNECEDORES_FANTASIA,$I1576)=0),"⚠ Cliente/Fornecedor não cadastrado",IF(AND($G1576&lt;&gt;"",COUNTIF(SUBCATEGORIAS_PLANO,$G1576)=0),"⚠ Subcategoria fora do plano de contas",IF(OR($Q1576="",N($Q1576)=0),"⚠ Valor previsto não informado",IF(AND(OR($X1576="Pago",$X1576="Recebido"),$D1576=""),"⚠ Status pago/recebido sem data",IF(AND($D1576&lt;&gt;"",N($R1576)=0),"⚠ Data de pagamento sem valor realizado",IF(AND(N($P1576)&gt;1,N($O1576)&gt;N($P1576)),"⚠ Nº da parcela maior que o total",IF(AND($C1576&lt;&gt;"",$B1576&lt;&gt;"",$C1576&lt;$B1576),"⚠ Vencimento anterior à competência","OK"))))))))</f>
        <v/>
      </c>
    </row>
    <row r="1577">
      <c r="A1577" s="14" t="n"/>
      <c r="B1577" s="36" t="n"/>
      <c r="C1577" s="36" t="n"/>
      <c r="D1577" s="36" t="n"/>
      <c r="E1577" s="14" t="n"/>
      <c r="F1577" s="29" t="n"/>
      <c r="G1577" s="29" t="n"/>
      <c r="H1577" s="29" t="n"/>
      <c r="I1577" s="29" t="n"/>
      <c r="J1577" s="29" t="n"/>
      <c r="K1577" s="14" t="n"/>
      <c r="L1577" s="29" t="n"/>
      <c r="M1577" s="14" t="n"/>
      <c r="N1577" s="29" t="n"/>
      <c r="O1577" s="13" t="n"/>
      <c r="P1577" s="13" t="n"/>
      <c r="Q1577" s="35" t="n"/>
      <c r="R1577" s="35" t="n"/>
      <c r="S1577" s="35" t="n"/>
      <c r="T1577" s="35" t="n"/>
      <c r="U1577" s="35" t="n"/>
      <c r="V1577" s="18">
        <f>IF(COUNTA($B1577:$R1577)=0,"",ROUND(N($R1577)+N($S1577)+N($T1577)-N($U1577),2))</f>
        <v/>
      </c>
      <c r="W1577" s="18">
        <f>IF(COUNTA($B1577:$R1577)=0,"",IF(OR($X1577="Pago",$X1577="Recebido",$X1577="Cancelado"),0,ROUND(N($Q1577)+N($S1577)+N($T1577)-N($U1577)-N($R1577),2)))</f>
        <v/>
      </c>
      <c r="X1577" s="14" t="n"/>
      <c r="Y1577" s="17">
        <f>IF(COUNTA($B1577:$R1577)=0,"",IF($X1577="Cancelado","Cancelado",IF(OR($X1577="Pago",$X1577="Recebido"),$X1577,IF(OR($X1577="Parcial",N($R1577)&gt;0),"Parcial",IF($C1577="","Sem vencimento",IF($C1577&lt;TODAY(),"Vencido",IF($C1577=TODAY(),"Vence hoje",IF($C1577&lt;=TODAY()+7,"Vence em 7 dias",IF($C1577&lt;=TODAY()+30,"Vence em 30 dias","Futuro")))))))))</f>
        <v/>
      </c>
      <c r="Z1577" s="24">
        <f>IF($B1577="","",MONTH($B1577))</f>
        <v/>
      </c>
      <c r="AA1577" s="24">
        <f>IF($B1577="","",YEAR($B1577))</f>
        <v/>
      </c>
      <c r="AB1577" s="24">
        <f>IF($B1577="","",ISOWEEKNUM($B1577))</f>
        <v/>
      </c>
      <c r="AC1577" s="17">
        <f>IF($B1577="","",CHOOSE(WEEKDAY($B1577,2),"Segunda","Terça","Quarta","Quinta","Sexta","Sábado","Domingo"))</f>
        <v/>
      </c>
      <c r="AD1577" s="17">
        <f>IF($B1577="","",TEXT($B1577,"MM/AAAA"))</f>
        <v/>
      </c>
      <c r="AE1577" s="18">
        <f>IF(COUNTA($B1577:$R1577)=0,"",IF($X1577="Cancelado",0,ROUND(N($Q1577)+N($S1577)+N($T1577)-N($U1577),2)))</f>
        <v/>
      </c>
      <c r="AF1577" s="9">
        <f>IF($G1577="","",IFERROR(INDEX(LINHAS_DRE_PLANO,MATCH($G1577,SUBCATEGORIAS_PLANO,0)),"Não classificado"))</f>
        <v/>
      </c>
      <c r="AG1577" s="17">
        <f>IF($G1577="","",IFERROR(INDEX(TIPOS_FLUXO_PLANO,MATCH($G1577,SUBCATEGORIAS_PLANO,0)),"Não classificado"))</f>
        <v/>
      </c>
      <c r="AH1577" s="9">
        <f>IF($G1577="","",IFERROR(INDEX(GRUPOS_PLANO,MATCH($G1577,SUBCATEGORIAS_PLANO,0)),"Não classificado"))</f>
        <v/>
      </c>
      <c r="AI1577" s="24">
        <f>IF(OR($C1577="",$X1577="Pago",$X1577="Recebido",$X1577="Cancelado"),"",$C1577-TODAY())</f>
        <v/>
      </c>
      <c r="AJ1577" s="24">
        <f>IF(OR($C1577="",$X1577="Pago",$X1577="Recebido",$X1577="Cancelado"),0,MAX(0,TODAY()-$C1577))</f>
        <v/>
      </c>
      <c r="AK1577" s="24">
        <f>IF($D1577="","",$D1577-$B1577)</f>
        <v/>
      </c>
      <c r="AL1577" s="18">
        <f>IF(OR($D1577="",$B1577=""),"",ROUND(N($R1577)*($D1577-$B1577),2))</f>
        <v/>
      </c>
      <c r="AM1577" s="17">
        <f>IF(AND($E1577="Saída",$W1577&gt;0,$C1577&lt;&gt;""),$C1577+ROW()/1000000,"")</f>
        <v/>
      </c>
      <c r="AN1577" s="17">
        <f>IF(AND($E1577="Entrada",$W1577&gt;0,$C1577&lt;&gt;""),$C1577+ROW()/1000000,"")</f>
        <v/>
      </c>
      <c r="AO1577" s="9">
        <f>IF(COUNTA($B1577:$R1577)=0,"",IF(AND($I1577&lt;&gt;"",COUNTIF(CLIENTES_NOMES,$I1577)+COUNTIF(CLIENTES_FANTASIA,$I1577)+COUNTIF(FORNECEDORES_NOMES,$I1577)+COUNTIF(FORNECEDORES_FANTASIA,$I1577)=0),"⚠ Cliente/Fornecedor não cadastrado",IF(AND($G1577&lt;&gt;"",COUNTIF(SUBCATEGORIAS_PLANO,$G1577)=0),"⚠ Subcategoria fora do plano de contas",IF(OR($Q1577="",N($Q1577)=0),"⚠ Valor previsto não informado",IF(AND(OR($X1577="Pago",$X1577="Recebido"),$D1577=""),"⚠ Status pago/recebido sem data",IF(AND($D1577&lt;&gt;"",N($R1577)=0),"⚠ Data de pagamento sem valor realizado",IF(AND(N($P1577)&gt;1,N($O1577)&gt;N($P1577)),"⚠ Nº da parcela maior que o total",IF(AND($C1577&lt;&gt;"",$B1577&lt;&gt;"",$C1577&lt;$B1577),"⚠ Vencimento anterior à competência","OK"))))))))</f>
        <v/>
      </c>
    </row>
    <row r="1578">
      <c r="A1578" s="14" t="n"/>
      <c r="B1578" s="36" t="n"/>
      <c r="C1578" s="36" t="n"/>
      <c r="D1578" s="36" t="n"/>
      <c r="E1578" s="14" t="n"/>
      <c r="F1578" s="29" t="n"/>
      <c r="G1578" s="29" t="n"/>
      <c r="H1578" s="29" t="n"/>
      <c r="I1578" s="29" t="n"/>
      <c r="J1578" s="29" t="n"/>
      <c r="K1578" s="14" t="n"/>
      <c r="L1578" s="29" t="n"/>
      <c r="M1578" s="14" t="n"/>
      <c r="N1578" s="29" t="n"/>
      <c r="O1578" s="13" t="n"/>
      <c r="P1578" s="13" t="n"/>
      <c r="Q1578" s="35" t="n"/>
      <c r="R1578" s="35" t="n"/>
      <c r="S1578" s="35" t="n"/>
      <c r="T1578" s="35" t="n"/>
      <c r="U1578" s="35" t="n"/>
      <c r="V1578" s="18">
        <f>IF(COUNTA($B1578:$R1578)=0,"",ROUND(N($R1578)+N($S1578)+N($T1578)-N($U1578),2))</f>
        <v/>
      </c>
      <c r="W1578" s="18">
        <f>IF(COUNTA($B1578:$R1578)=0,"",IF(OR($X1578="Pago",$X1578="Recebido",$X1578="Cancelado"),0,ROUND(N($Q1578)+N($S1578)+N($T1578)-N($U1578)-N($R1578),2)))</f>
        <v/>
      </c>
      <c r="X1578" s="14" t="n"/>
      <c r="Y1578" s="17">
        <f>IF(COUNTA($B1578:$R1578)=0,"",IF($X1578="Cancelado","Cancelado",IF(OR($X1578="Pago",$X1578="Recebido"),$X1578,IF(OR($X1578="Parcial",N($R1578)&gt;0),"Parcial",IF($C1578="","Sem vencimento",IF($C1578&lt;TODAY(),"Vencido",IF($C1578=TODAY(),"Vence hoje",IF($C1578&lt;=TODAY()+7,"Vence em 7 dias",IF($C1578&lt;=TODAY()+30,"Vence em 30 dias","Futuro")))))))))</f>
        <v/>
      </c>
      <c r="Z1578" s="24">
        <f>IF($B1578="","",MONTH($B1578))</f>
        <v/>
      </c>
      <c r="AA1578" s="24">
        <f>IF($B1578="","",YEAR($B1578))</f>
        <v/>
      </c>
      <c r="AB1578" s="24">
        <f>IF($B1578="","",ISOWEEKNUM($B1578))</f>
        <v/>
      </c>
      <c r="AC1578" s="17">
        <f>IF($B1578="","",CHOOSE(WEEKDAY($B1578,2),"Segunda","Terça","Quarta","Quinta","Sexta","Sábado","Domingo"))</f>
        <v/>
      </c>
      <c r="AD1578" s="17">
        <f>IF($B1578="","",TEXT($B1578,"MM/AAAA"))</f>
        <v/>
      </c>
      <c r="AE1578" s="18">
        <f>IF(COUNTA($B1578:$R1578)=0,"",IF($X1578="Cancelado",0,ROUND(N($Q1578)+N($S1578)+N($T1578)-N($U1578),2)))</f>
        <v/>
      </c>
      <c r="AF1578" s="9">
        <f>IF($G1578="","",IFERROR(INDEX(LINHAS_DRE_PLANO,MATCH($G1578,SUBCATEGORIAS_PLANO,0)),"Não classificado"))</f>
        <v/>
      </c>
      <c r="AG1578" s="17">
        <f>IF($G1578="","",IFERROR(INDEX(TIPOS_FLUXO_PLANO,MATCH($G1578,SUBCATEGORIAS_PLANO,0)),"Não classificado"))</f>
        <v/>
      </c>
      <c r="AH1578" s="9">
        <f>IF($G1578="","",IFERROR(INDEX(GRUPOS_PLANO,MATCH($G1578,SUBCATEGORIAS_PLANO,0)),"Não classificado"))</f>
        <v/>
      </c>
      <c r="AI1578" s="24">
        <f>IF(OR($C1578="",$X1578="Pago",$X1578="Recebido",$X1578="Cancelado"),"",$C1578-TODAY())</f>
        <v/>
      </c>
      <c r="AJ1578" s="24">
        <f>IF(OR($C1578="",$X1578="Pago",$X1578="Recebido",$X1578="Cancelado"),0,MAX(0,TODAY()-$C1578))</f>
        <v/>
      </c>
      <c r="AK1578" s="24">
        <f>IF($D1578="","",$D1578-$B1578)</f>
        <v/>
      </c>
      <c r="AL1578" s="18">
        <f>IF(OR($D1578="",$B1578=""),"",ROUND(N($R1578)*($D1578-$B1578),2))</f>
        <v/>
      </c>
      <c r="AM1578" s="17">
        <f>IF(AND($E1578="Saída",$W1578&gt;0,$C1578&lt;&gt;""),$C1578+ROW()/1000000,"")</f>
        <v/>
      </c>
      <c r="AN1578" s="17">
        <f>IF(AND($E1578="Entrada",$W1578&gt;0,$C1578&lt;&gt;""),$C1578+ROW()/1000000,"")</f>
        <v/>
      </c>
      <c r="AO1578" s="9">
        <f>IF(COUNTA($B1578:$R1578)=0,"",IF(AND($I1578&lt;&gt;"",COUNTIF(CLIENTES_NOMES,$I1578)+COUNTIF(CLIENTES_FANTASIA,$I1578)+COUNTIF(FORNECEDORES_NOMES,$I1578)+COUNTIF(FORNECEDORES_FANTASIA,$I1578)=0),"⚠ Cliente/Fornecedor não cadastrado",IF(AND($G1578&lt;&gt;"",COUNTIF(SUBCATEGORIAS_PLANO,$G1578)=0),"⚠ Subcategoria fora do plano de contas",IF(OR($Q1578="",N($Q1578)=0),"⚠ Valor previsto não informado",IF(AND(OR($X1578="Pago",$X1578="Recebido"),$D1578=""),"⚠ Status pago/recebido sem data",IF(AND($D1578&lt;&gt;"",N($R1578)=0),"⚠ Data de pagamento sem valor realizado",IF(AND(N($P1578)&gt;1,N($O1578)&gt;N($P1578)),"⚠ Nº da parcela maior que o total",IF(AND($C1578&lt;&gt;"",$B1578&lt;&gt;"",$C1578&lt;$B1578),"⚠ Vencimento anterior à competência","OK"))))))))</f>
        <v/>
      </c>
    </row>
    <row r="1579">
      <c r="A1579" s="14" t="n"/>
      <c r="B1579" s="36" t="n"/>
      <c r="C1579" s="36" t="n"/>
      <c r="D1579" s="36" t="n"/>
      <c r="E1579" s="14" t="n"/>
      <c r="F1579" s="29" t="n"/>
      <c r="G1579" s="29" t="n"/>
      <c r="H1579" s="29" t="n"/>
      <c r="I1579" s="29" t="n"/>
      <c r="J1579" s="29" t="n"/>
      <c r="K1579" s="14" t="n"/>
      <c r="L1579" s="29" t="n"/>
      <c r="M1579" s="14" t="n"/>
      <c r="N1579" s="29" t="n"/>
      <c r="O1579" s="13" t="n"/>
      <c r="P1579" s="13" t="n"/>
      <c r="Q1579" s="35" t="n"/>
      <c r="R1579" s="35" t="n"/>
      <c r="S1579" s="35" t="n"/>
      <c r="T1579" s="35" t="n"/>
      <c r="U1579" s="35" t="n"/>
      <c r="V1579" s="18">
        <f>IF(COUNTA($B1579:$R1579)=0,"",ROUND(N($R1579)+N($S1579)+N($T1579)-N($U1579),2))</f>
        <v/>
      </c>
      <c r="W1579" s="18">
        <f>IF(COUNTA($B1579:$R1579)=0,"",IF(OR($X1579="Pago",$X1579="Recebido",$X1579="Cancelado"),0,ROUND(N($Q1579)+N($S1579)+N($T1579)-N($U1579)-N($R1579),2)))</f>
        <v/>
      </c>
      <c r="X1579" s="14" t="n"/>
      <c r="Y1579" s="17">
        <f>IF(COUNTA($B1579:$R1579)=0,"",IF($X1579="Cancelado","Cancelado",IF(OR($X1579="Pago",$X1579="Recebido"),$X1579,IF(OR($X1579="Parcial",N($R1579)&gt;0),"Parcial",IF($C1579="","Sem vencimento",IF($C1579&lt;TODAY(),"Vencido",IF($C1579=TODAY(),"Vence hoje",IF($C1579&lt;=TODAY()+7,"Vence em 7 dias",IF($C1579&lt;=TODAY()+30,"Vence em 30 dias","Futuro")))))))))</f>
        <v/>
      </c>
      <c r="Z1579" s="24">
        <f>IF($B1579="","",MONTH($B1579))</f>
        <v/>
      </c>
      <c r="AA1579" s="24">
        <f>IF($B1579="","",YEAR($B1579))</f>
        <v/>
      </c>
      <c r="AB1579" s="24">
        <f>IF($B1579="","",ISOWEEKNUM($B1579))</f>
        <v/>
      </c>
      <c r="AC1579" s="17">
        <f>IF($B1579="","",CHOOSE(WEEKDAY($B1579,2),"Segunda","Terça","Quarta","Quinta","Sexta","Sábado","Domingo"))</f>
        <v/>
      </c>
      <c r="AD1579" s="17">
        <f>IF($B1579="","",TEXT($B1579,"MM/AAAA"))</f>
        <v/>
      </c>
      <c r="AE1579" s="18">
        <f>IF(COUNTA($B1579:$R1579)=0,"",IF($X1579="Cancelado",0,ROUND(N($Q1579)+N($S1579)+N($T1579)-N($U1579),2)))</f>
        <v/>
      </c>
      <c r="AF1579" s="9">
        <f>IF($G1579="","",IFERROR(INDEX(LINHAS_DRE_PLANO,MATCH($G1579,SUBCATEGORIAS_PLANO,0)),"Não classificado"))</f>
        <v/>
      </c>
      <c r="AG1579" s="17">
        <f>IF($G1579="","",IFERROR(INDEX(TIPOS_FLUXO_PLANO,MATCH($G1579,SUBCATEGORIAS_PLANO,0)),"Não classificado"))</f>
        <v/>
      </c>
      <c r="AH1579" s="9">
        <f>IF($G1579="","",IFERROR(INDEX(GRUPOS_PLANO,MATCH($G1579,SUBCATEGORIAS_PLANO,0)),"Não classificado"))</f>
        <v/>
      </c>
      <c r="AI1579" s="24">
        <f>IF(OR($C1579="",$X1579="Pago",$X1579="Recebido",$X1579="Cancelado"),"",$C1579-TODAY())</f>
        <v/>
      </c>
      <c r="AJ1579" s="24">
        <f>IF(OR($C1579="",$X1579="Pago",$X1579="Recebido",$X1579="Cancelado"),0,MAX(0,TODAY()-$C1579))</f>
        <v/>
      </c>
      <c r="AK1579" s="24">
        <f>IF($D1579="","",$D1579-$B1579)</f>
        <v/>
      </c>
      <c r="AL1579" s="18">
        <f>IF(OR($D1579="",$B1579=""),"",ROUND(N($R1579)*($D1579-$B1579),2))</f>
        <v/>
      </c>
      <c r="AM1579" s="17">
        <f>IF(AND($E1579="Saída",$W1579&gt;0,$C1579&lt;&gt;""),$C1579+ROW()/1000000,"")</f>
        <v/>
      </c>
      <c r="AN1579" s="17">
        <f>IF(AND($E1579="Entrada",$W1579&gt;0,$C1579&lt;&gt;""),$C1579+ROW()/1000000,"")</f>
        <v/>
      </c>
      <c r="AO1579" s="9">
        <f>IF(COUNTA($B1579:$R1579)=0,"",IF(AND($I1579&lt;&gt;"",COUNTIF(CLIENTES_NOMES,$I1579)+COUNTIF(CLIENTES_FANTASIA,$I1579)+COUNTIF(FORNECEDORES_NOMES,$I1579)+COUNTIF(FORNECEDORES_FANTASIA,$I1579)=0),"⚠ Cliente/Fornecedor não cadastrado",IF(AND($G1579&lt;&gt;"",COUNTIF(SUBCATEGORIAS_PLANO,$G1579)=0),"⚠ Subcategoria fora do plano de contas",IF(OR($Q1579="",N($Q1579)=0),"⚠ Valor previsto não informado",IF(AND(OR($X1579="Pago",$X1579="Recebido"),$D1579=""),"⚠ Status pago/recebido sem data",IF(AND($D1579&lt;&gt;"",N($R1579)=0),"⚠ Data de pagamento sem valor realizado",IF(AND(N($P1579)&gt;1,N($O1579)&gt;N($P1579)),"⚠ Nº da parcela maior que o total",IF(AND($C1579&lt;&gt;"",$B1579&lt;&gt;"",$C1579&lt;$B1579),"⚠ Vencimento anterior à competência","OK"))))))))</f>
        <v/>
      </c>
    </row>
    <row r="1580">
      <c r="A1580" s="14" t="n"/>
      <c r="B1580" s="36" t="n"/>
      <c r="C1580" s="36" t="n"/>
      <c r="D1580" s="36" t="n"/>
      <c r="E1580" s="14" t="n"/>
      <c r="F1580" s="29" t="n"/>
      <c r="G1580" s="29" t="n"/>
      <c r="H1580" s="29" t="n"/>
      <c r="I1580" s="29" t="n"/>
      <c r="J1580" s="29" t="n"/>
      <c r="K1580" s="14" t="n"/>
      <c r="L1580" s="29" t="n"/>
      <c r="M1580" s="14" t="n"/>
      <c r="N1580" s="29" t="n"/>
      <c r="O1580" s="13" t="n"/>
      <c r="P1580" s="13" t="n"/>
      <c r="Q1580" s="35" t="n"/>
      <c r="R1580" s="35" t="n"/>
      <c r="S1580" s="35" t="n"/>
      <c r="T1580" s="35" t="n"/>
      <c r="U1580" s="35" t="n"/>
      <c r="V1580" s="18">
        <f>IF(COUNTA($B1580:$R1580)=0,"",ROUND(N($R1580)+N($S1580)+N($T1580)-N($U1580),2))</f>
        <v/>
      </c>
      <c r="W1580" s="18">
        <f>IF(COUNTA($B1580:$R1580)=0,"",IF(OR($X1580="Pago",$X1580="Recebido",$X1580="Cancelado"),0,ROUND(N($Q1580)+N($S1580)+N($T1580)-N($U1580)-N($R1580),2)))</f>
        <v/>
      </c>
      <c r="X1580" s="14" t="n"/>
      <c r="Y1580" s="17">
        <f>IF(COUNTA($B1580:$R1580)=0,"",IF($X1580="Cancelado","Cancelado",IF(OR($X1580="Pago",$X1580="Recebido"),$X1580,IF(OR($X1580="Parcial",N($R1580)&gt;0),"Parcial",IF($C1580="","Sem vencimento",IF($C1580&lt;TODAY(),"Vencido",IF($C1580=TODAY(),"Vence hoje",IF($C1580&lt;=TODAY()+7,"Vence em 7 dias",IF($C1580&lt;=TODAY()+30,"Vence em 30 dias","Futuro")))))))))</f>
        <v/>
      </c>
      <c r="Z1580" s="24">
        <f>IF($B1580="","",MONTH($B1580))</f>
        <v/>
      </c>
      <c r="AA1580" s="24">
        <f>IF($B1580="","",YEAR($B1580))</f>
        <v/>
      </c>
      <c r="AB1580" s="24">
        <f>IF($B1580="","",ISOWEEKNUM($B1580))</f>
        <v/>
      </c>
      <c r="AC1580" s="17">
        <f>IF($B1580="","",CHOOSE(WEEKDAY($B1580,2),"Segunda","Terça","Quarta","Quinta","Sexta","Sábado","Domingo"))</f>
        <v/>
      </c>
      <c r="AD1580" s="17">
        <f>IF($B1580="","",TEXT($B1580,"MM/AAAA"))</f>
        <v/>
      </c>
      <c r="AE1580" s="18">
        <f>IF(COUNTA($B1580:$R1580)=0,"",IF($X1580="Cancelado",0,ROUND(N($Q1580)+N($S1580)+N($T1580)-N($U1580),2)))</f>
        <v/>
      </c>
      <c r="AF1580" s="9">
        <f>IF($G1580="","",IFERROR(INDEX(LINHAS_DRE_PLANO,MATCH($G1580,SUBCATEGORIAS_PLANO,0)),"Não classificado"))</f>
        <v/>
      </c>
      <c r="AG1580" s="17">
        <f>IF($G1580="","",IFERROR(INDEX(TIPOS_FLUXO_PLANO,MATCH($G1580,SUBCATEGORIAS_PLANO,0)),"Não classificado"))</f>
        <v/>
      </c>
      <c r="AH1580" s="9">
        <f>IF($G1580="","",IFERROR(INDEX(GRUPOS_PLANO,MATCH($G1580,SUBCATEGORIAS_PLANO,0)),"Não classificado"))</f>
        <v/>
      </c>
      <c r="AI1580" s="24">
        <f>IF(OR($C1580="",$X1580="Pago",$X1580="Recebido",$X1580="Cancelado"),"",$C1580-TODAY())</f>
        <v/>
      </c>
      <c r="AJ1580" s="24">
        <f>IF(OR($C1580="",$X1580="Pago",$X1580="Recebido",$X1580="Cancelado"),0,MAX(0,TODAY()-$C1580))</f>
        <v/>
      </c>
      <c r="AK1580" s="24">
        <f>IF($D1580="","",$D1580-$B1580)</f>
        <v/>
      </c>
      <c r="AL1580" s="18">
        <f>IF(OR($D1580="",$B1580=""),"",ROUND(N($R1580)*($D1580-$B1580),2))</f>
        <v/>
      </c>
      <c r="AM1580" s="17">
        <f>IF(AND($E1580="Saída",$W1580&gt;0,$C1580&lt;&gt;""),$C1580+ROW()/1000000,"")</f>
        <v/>
      </c>
      <c r="AN1580" s="17">
        <f>IF(AND($E1580="Entrada",$W1580&gt;0,$C1580&lt;&gt;""),$C1580+ROW()/1000000,"")</f>
        <v/>
      </c>
      <c r="AO1580" s="9">
        <f>IF(COUNTA($B1580:$R1580)=0,"",IF(AND($I1580&lt;&gt;"",COUNTIF(CLIENTES_NOMES,$I1580)+COUNTIF(CLIENTES_FANTASIA,$I1580)+COUNTIF(FORNECEDORES_NOMES,$I1580)+COUNTIF(FORNECEDORES_FANTASIA,$I1580)=0),"⚠ Cliente/Fornecedor não cadastrado",IF(AND($G1580&lt;&gt;"",COUNTIF(SUBCATEGORIAS_PLANO,$G1580)=0),"⚠ Subcategoria fora do plano de contas",IF(OR($Q1580="",N($Q1580)=0),"⚠ Valor previsto não informado",IF(AND(OR($X1580="Pago",$X1580="Recebido"),$D1580=""),"⚠ Status pago/recebido sem data",IF(AND($D1580&lt;&gt;"",N($R1580)=0),"⚠ Data de pagamento sem valor realizado",IF(AND(N($P1580)&gt;1,N($O1580)&gt;N($P1580)),"⚠ Nº da parcela maior que o total",IF(AND($C1580&lt;&gt;"",$B1580&lt;&gt;"",$C1580&lt;$B1580),"⚠ Vencimento anterior à competência","OK"))))))))</f>
        <v/>
      </c>
    </row>
    <row r="1581">
      <c r="A1581" s="14" t="n"/>
      <c r="B1581" s="36" t="n"/>
      <c r="C1581" s="36" t="n"/>
      <c r="D1581" s="36" t="n"/>
      <c r="E1581" s="14" t="n"/>
      <c r="F1581" s="29" t="n"/>
      <c r="G1581" s="29" t="n"/>
      <c r="H1581" s="29" t="n"/>
      <c r="I1581" s="29" t="n"/>
      <c r="J1581" s="29" t="n"/>
      <c r="K1581" s="14" t="n"/>
      <c r="L1581" s="29" t="n"/>
      <c r="M1581" s="14" t="n"/>
      <c r="N1581" s="29" t="n"/>
      <c r="O1581" s="13" t="n"/>
      <c r="P1581" s="13" t="n"/>
      <c r="Q1581" s="35" t="n"/>
      <c r="R1581" s="35" t="n"/>
      <c r="S1581" s="35" t="n"/>
      <c r="T1581" s="35" t="n"/>
      <c r="U1581" s="35" t="n"/>
      <c r="V1581" s="18">
        <f>IF(COUNTA($B1581:$R1581)=0,"",ROUND(N($R1581)+N($S1581)+N($T1581)-N($U1581),2))</f>
        <v/>
      </c>
      <c r="W1581" s="18">
        <f>IF(COUNTA($B1581:$R1581)=0,"",IF(OR($X1581="Pago",$X1581="Recebido",$X1581="Cancelado"),0,ROUND(N($Q1581)+N($S1581)+N($T1581)-N($U1581)-N($R1581),2)))</f>
        <v/>
      </c>
      <c r="X1581" s="14" t="n"/>
      <c r="Y1581" s="17">
        <f>IF(COUNTA($B1581:$R1581)=0,"",IF($X1581="Cancelado","Cancelado",IF(OR($X1581="Pago",$X1581="Recebido"),$X1581,IF(OR($X1581="Parcial",N($R1581)&gt;0),"Parcial",IF($C1581="","Sem vencimento",IF($C1581&lt;TODAY(),"Vencido",IF($C1581=TODAY(),"Vence hoje",IF($C1581&lt;=TODAY()+7,"Vence em 7 dias",IF($C1581&lt;=TODAY()+30,"Vence em 30 dias","Futuro")))))))))</f>
        <v/>
      </c>
      <c r="Z1581" s="24">
        <f>IF($B1581="","",MONTH($B1581))</f>
        <v/>
      </c>
      <c r="AA1581" s="24">
        <f>IF($B1581="","",YEAR($B1581))</f>
        <v/>
      </c>
      <c r="AB1581" s="24">
        <f>IF($B1581="","",ISOWEEKNUM($B1581))</f>
        <v/>
      </c>
      <c r="AC1581" s="17">
        <f>IF($B1581="","",CHOOSE(WEEKDAY($B1581,2),"Segunda","Terça","Quarta","Quinta","Sexta","Sábado","Domingo"))</f>
        <v/>
      </c>
      <c r="AD1581" s="17">
        <f>IF($B1581="","",TEXT($B1581,"MM/AAAA"))</f>
        <v/>
      </c>
      <c r="AE1581" s="18">
        <f>IF(COUNTA($B1581:$R1581)=0,"",IF($X1581="Cancelado",0,ROUND(N($Q1581)+N($S1581)+N($T1581)-N($U1581),2)))</f>
        <v/>
      </c>
      <c r="AF1581" s="9">
        <f>IF($G1581="","",IFERROR(INDEX(LINHAS_DRE_PLANO,MATCH($G1581,SUBCATEGORIAS_PLANO,0)),"Não classificado"))</f>
        <v/>
      </c>
      <c r="AG1581" s="17">
        <f>IF($G1581="","",IFERROR(INDEX(TIPOS_FLUXO_PLANO,MATCH($G1581,SUBCATEGORIAS_PLANO,0)),"Não classificado"))</f>
        <v/>
      </c>
      <c r="AH1581" s="9">
        <f>IF($G1581="","",IFERROR(INDEX(GRUPOS_PLANO,MATCH($G1581,SUBCATEGORIAS_PLANO,0)),"Não classificado"))</f>
        <v/>
      </c>
      <c r="AI1581" s="24">
        <f>IF(OR($C1581="",$X1581="Pago",$X1581="Recebido",$X1581="Cancelado"),"",$C1581-TODAY())</f>
        <v/>
      </c>
      <c r="AJ1581" s="24">
        <f>IF(OR($C1581="",$X1581="Pago",$X1581="Recebido",$X1581="Cancelado"),0,MAX(0,TODAY()-$C1581))</f>
        <v/>
      </c>
      <c r="AK1581" s="24">
        <f>IF($D1581="","",$D1581-$B1581)</f>
        <v/>
      </c>
      <c r="AL1581" s="18">
        <f>IF(OR($D1581="",$B1581=""),"",ROUND(N($R1581)*($D1581-$B1581),2))</f>
        <v/>
      </c>
      <c r="AM1581" s="17">
        <f>IF(AND($E1581="Saída",$W1581&gt;0,$C1581&lt;&gt;""),$C1581+ROW()/1000000,"")</f>
        <v/>
      </c>
      <c r="AN1581" s="17">
        <f>IF(AND($E1581="Entrada",$W1581&gt;0,$C1581&lt;&gt;""),$C1581+ROW()/1000000,"")</f>
        <v/>
      </c>
      <c r="AO1581" s="9">
        <f>IF(COUNTA($B1581:$R1581)=0,"",IF(AND($I1581&lt;&gt;"",COUNTIF(CLIENTES_NOMES,$I1581)+COUNTIF(CLIENTES_FANTASIA,$I1581)+COUNTIF(FORNECEDORES_NOMES,$I1581)+COUNTIF(FORNECEDORES_FANTASIA,$I1581)=0),"⚠ Cliente/Fornecedor não cadastrado",IF(AND($G1581&lt;&gt;"",COUNTIF(SUBCATEGORIAS_PLANO,$G1581)=0),"⚠ Subcategoria fora do plano de contas",IF(OR($Q1581="",N($Q1581)=0),"⚠ Valor previsto não informado",IF(AND(OR($X1581="Pago",$X1581="Recebido"),$D1581=""),"⚠ Status pago/recebido sem data",IF(AND($D1581&lt;&gt;"",N($R1581)=0),"⚠ Data de pagamento sem valor realizado",IF(AND(N($P1581)&gt;1,N($O1581)&gt;N($P1581)),"⚠ Nº da parcela maior que o total",IF(AND($C1581&lt;&gt;"",$B1581&lt;&gt;"",$C1581&lt;$B1581),"⚠ Vencimento anterior à competência","OK"))))))))</f>
        <v/>
      </c>
    </row>
    <row r="1582">
      <c r="A1582" s="14" t="n"/>
      <c r="B1582" s="36" t="n"/>
      <c r="C1582" s="36" t="n"/>
      <c r="D1582" s="36" t="n"/>
      <c r="E1582" s="14" t="n"/>
      <c r="F1582" s="29" t="n"/>
      <c r="G1582" s="29" t="n"/>
      <c r="H1582" s="29" t="n"/>
      <c r="I1582" s="29" t="n"/>
      <c r="J1582" s="29" t="n"/>
      <c r="K1582" s="14" t="n"/>
      <c r="L1582" s="29" t="n"/>
      <c r="M1582" s="14" t="n"/>
      <c r="N1582" s="29" t="n"/>
      <c r="O1582" s="13" t="n"/>
      <c r="P1582" s="13" t="n"/>
      <c r="Q1582" s="35" t="n"/>
      <c r="R1582" s="35" t="n"/>
      <c r="S1582" s="35" t="n"/>
      <c r="T1582" s="35" t="n"/>
      <c r="U1582" s="35" t="n"/>
      <c r="V1582" s="18">
        <f>IF(COUNTA($B1582:$R1582)=0,"",ROUND(N($R1582)+N($S1582)+N($T1582)-N($U1582),2))</f>
        <v/>
      </c>
      <c r="W1582" s="18">
        <f>IF(COUNTA($B1582:$R1582)=0,"",IF(OR($X1582="Pago",$X1582="Recebido",$X1582="Cancelado"),0,ROUND(N($Q1582)+N($S1582)+N($T1582)-N($U1582)-N($R1582),2)))</f>
        <v/>
      </c>
      <c r="X1582" s="14" t="n"/>
      <c r="Y1582" s="17">
        <f>IF(COUNTA($B1582:$R1582)=0,"",IF($X1582="Cancelado","Cancelado",IF(OR($X1582="Pago",$X1582="Recebido"),$X1582,IF(OR($X1582="Parcial",N($R1582)&gt;0),"Parcial",IF($C1582="","Sem vencimento",IF($C1582&lt;TODAY(),"Vencido",IF($C1582=TODAY(),"Vence hoje",IF($C1582&lt;=TODAY()+7,"Vence em 7 dias",IF($C1582&lt;=TODAY()+30,"Vence em 30 dias","Futuro")))))))))</f>
        <v/>
      </c>
      <c r="Z1582" s="24">
        <f>IF($B1582="","",MONTH($B1582))</f>
        <v/>
      </c>
      <c r="AA1582" s="24">
        <f>IF($B1582="","",YEAR($B1582))</f>
        <v/>
      </c>
      <c r="AB1582" s="24">
        <f>IF($B1582="","",ISOWEEKNUM($B1582))</f>
        <v/>
      </c>
      <c r="AC1582" s="17">
        <f>IF($B1582="","",CHOOSE(WEEKDAY($B1582,2),"Segunda","Terça","Quarta","Quinta","Sexta","Sábado","Domingo"))</f>
        <v/>
      </c>
      <c r="AD1582" s="17">
        <f>IF($B1582="","",TEXT($B1582,"MM/AAAA"))</f>
        <v/>
      </c>
      <c r="AE1582" s="18">
        <f>IF(COUNTA($B1582:$R1582)=0,"",IF($X1582="Cancelado",0,ROUND(N($Q1582)+N($S1582)+N($T1582)-N($U1582),2)))</f>
        <v/>
      </c>
      <c r="AF1582" s="9">
        <f>IF($G1582="","",IFERROR(INDEX(LINHAS_DRE_PLANO,MATCH($G1582,SUBCATEGORIAS_PLANO,0)),"Não classificado"))</f>
        <v/>
      </c>
      <c r="AG1582" s="17">
        <f>IF($G1582="","",IFERROR(INDEX(TIPOS_FLUXO_PLANO,MATCH($G1582,SUBCATEGORIAS_PLANO,0)),"Não classificado"))</f>
        <v/>
      </c>
      <c r="AH1582" s="9">
        <f>IF($G1582="","",IFERROR(INDEX(GRUPOS_PLANO,MATCH($G1582,SUBCATEGORIAS_PLANO,0)),"Não classificado"))</f>
        <v/>
      </c>
      <c r="AI1582" s="24">
        <f>IF(OR($C1582="",$X1582="Pago",$X1582="Recebido",$X1582="Cancelado"),"",$C1582-TODAY())</f>
        <v/>
      </c>
      <c r="AJ1582" s="24">
        <f>IF(OR($C1582="",$X1582="Pago",$X1582="Recebido",$X1582="Cancelado"),0,MAX(0,TODAY()-$C1582))</f>
        <v/>
      </c>
      <c r="AK1582" s="24">
        <f>IF($D1582="","",$D1582-$B1582)</f>
        <v/>
      </c>
      <c r="AL1582" s="18">
        <f>IF(OR($D1582="",$B1582=""),"",ROUND(N($R1582)*($D1582-$B1582),2))</f>
        <v/>
      </c>
      <c r="AM1582" s="17">
        <f>IF(AND($E1582="Saída",$W1582&gt;0,$C1582&lt;&gt;""),$C1582+ROW()/1000000,"")</f>
        <v/>
      </c>
      <c r="AN1582" s="17">
        <f>IF(AND($E1582="Entrada",$W1582&gt;0,$C1582&lt;&gt;""),$C1582+ROW()/1000000,"")</f>
        <v/>
      </c>
      <c r="AO1582" s="9">
        <f>IF(COUNTA($B1582:$R1582)=0,"",IF(AND($I1582&lt;&gt;"",COUNTIF(CLIENTES_NOMES,$I1582)+COUNTIF(CLIENTES_FANTASIA,$I1582)+COUNTIF(FORNECEDORES_NOMES,$I1582)+COUNTIF(FORNECEDORES_FANTASIA,$I1582)=0),"⚠ Cliente/Fornecedor não cadastrado",IF(AND($G1582&lt;&gt;"",COUNTIF(SUBCATEGORIAS_PLANO,$G1582)=0),"⚠ Subcategoria fora do plano de contas",IF(OR($Q1582="",N($Q1582)=0),"⚠ Valor previsto não informado",IF(AND(OR($X1582="Pago",$X1582="Recebido"),$D1582=""),"⚠ Status pago/recebido sem data",IF(AND($D1582&lt;&gt;"",N($R1582)=0),"⚠ Data de pagamento sem valor realizado",IF(AND(N($P1582)&gt;1,N($O1582)&gt;N($P1582)),"⚠ Nº da parcela maior que o total",IF(AND($C1582&lt;&gt;"",$B1582&lt;&gt;"",$C1582&lt;$B1582),"⚠ Vencimento anterior à competência","OK"))))))))</f>
        <v/>
      </c>
    </row>
    <row r="1583">
      <c r="A1583" s="14" t="n"/>
      <c r="B1583" s="36" t="n"/>
      <c r="C1583" s="36" t="n"/>
      <c r="D1583" s="36" t="n"/>
      <c r="E1583" s="14" t="n"/>
      <c r="F1583" s="29" t="n"/>
      <c r="G1583" s="29" t="n"/>
      <c r="H1583" s="29" t="n"/>
      <c r="I1583" s="29" t="n"/>
      <c r="J1583" s="29" t="n"/>
      <c r="K1583" s="14" t="n"/>
      <c r="L1583" s="29" t="n"/>
      <c r="M1583" s="14" t="n"/>
      <c r="N1583" s="29" t="n"/>
      <c r="O1583" s="13" t="n"/>
      <c r="P1583" s="13" t="n"/>
      <c r="Q1583" s="35" t="n"/>
      <c r="R1583" s="35" t="n"/>
      <c r="S1583" s="35" t="n"/>
      <c r="T1583" s="35" t="n"/>
      <c r="U1583" s="35" t="n"/>
      <c r="V1583" s="18">
        <f>IF(COUNTA($B1583:$R1583)=0,"",ROUND(N($R1583)+N($S1583)+N($T1583)-N($U1583),2))</f>
        <v/>
      </c>
      <c r="W1583" s="18">
        <f>IF(COUNTA($B1583:$R1583)=0,"",IF(OR($X1583="Pago",$X1583="Recebido",$X1583="Cancelado"),0,ROUND(N($Q1583)+N($S1583)+N($T1583)-N($U1583)-N($R1583),2)))</f>
        <v/>
      </c>
      <c r="X1583" s="14" t="n"/>
      <c r="Y1583" s="17">
        <f>IF(COUNTA($B1583:$R1583)=0,"",IF($X1583="Cancelado","Cancelado",IF(OR($X1583="Pago",$X1583="Recebido"),$X1583,IF(OR($X1583="Parcial",N($R1583)&gt;0),"Parcial",IF($C1583="","Sem vencimento",IF($C1583&lt;TODAY(),"Vencido",IF($C1583=TODAY(),"Vence hoje",IF($C1583&lt;=TODAY()+7,"Vence em 7 dias",IF($C1583&lt;=TODAY()+30,"Vence em 30 dias","Futuro")))))))))</f>
        <v/>
      </c>
      <c r="Z1583" s="24">
        <f>IF($B1583="","",MONTH($B1583))</f>
        <v/>
      </c>
      <c r="AA1583" s="24">
        <f>IF($B1583="","",YEAR($B1583))</f>
        <v/>
      </c>
      <c r="AB1583" s="24">
        <f>IF($B1583="","",ISOWEEKNUM($B1583))</f>
        <v/>
      </c>
      <c r="AC1583" s="17">
        <f>IF($B1583="","",CHOOSE(WEEKDAY($B1583,2),"Segunda","Terça","Quarta","Quinta","Sexta","Sábado","Domingo"))</f>
        <v/>
      </c>
      <c r="AD1583" s="17">
        <f>IF($B1583="","",TEXT($B1583,"MM/AAAA"))</f>
        <v/>
      </c>
      <c r="AE1583" s="18">
        <f>IF(COUNTA($B1583:$R1583)=0,"",IF($X1583="Cancelado",0,ROUND(N($Q1583)+N($S1583)+N($T1583)-N($U1583),2)))</f>
        <v/>
      </c>
      <c r="AF1583" s="9">
        <f>IF($G1583="","",IFERROR(INDEX(LINHAS_DRE_PLANO,MATCH($G1583,SUBCATEGORIAS_PLANO,0)),"Não classificado"))</f>
        <v/>
      </c>
      <c r="AG1583" s="17">
        <f>IF($G1583="","",IFERROR(INDEX(TIPOS_FLUXO_PLANO,MATCH($G1583,SUBCATEGORIAS_PLANO,0)),"Não classificado"))</f>
        <v/>
      </c>
      <c r="AH1583" s="9">
        <f>IF($G1583="","",IFERROR(INDEX(GRUPOS_PLANO,MATCH($G1583,SUBCATEGORIAS_PLANO,0)),"Não classificado"))</f>
        <v/>
      </c>
      <c r="AI1583" s="24">
        <f>IF(OR($C1583="",$X1583="Pago",$X1583="Recebido",$X1583="Cancelado"),"",$C1583-TODAY())</f>
        <v/>
      </c>
      <c r="AJ1583" s="24">
        <f>IF(OR($C1583="",$X1583="Pago",$X1583="Recebido",$X1583="Cancelado"),0,MAX(0,TODAY()-$C1583))</f>
        <v/>
      </c>
      <c r="AK1583" s="24">
        <f>IF($D1583="","",$D1583-$B1583)</f>
        <v/>
      </c>
      <c r="AL1583" s="18">
        <f>IF(OR($D1583="",$B1583=""),"",ROUND(N($R1583)*($D1583-$B1583),2))</f>
        <v/>
      </c>
      <c r="AM1583" s="17">
        <f>IF(AND($E1583="Saída",$W1583&gt;0,$C1583&lt;&gt;""),$C1583+ROW()/1000000,"")</f>
        <v/>
      </c>
      <c r="AN1583" s="17">
        <f>IF(AND($E1583="Entrada",$W1583&gt;0,$C1583&lt;&gt;""),$C1583+ROW()/1000000,"")</f>
        <v/>
      </c>
      <c r="AO1583" s="9">
        <f>IF(COUNTA($B1583:$R1583)=0,"",IF(AND($I1583&lt;&gt;"",COUNTIF(CLIENTES_NOMES,$I1583)+COUNTIF(CLIENTES_FANTASIA,$I1583)+COUNTIF(FORNECEDORES_NOMES,$I1583)+COUNTIF(FORNECEDORES_FANTASIA,$I1583)=0),"⚠ Cliente/Fornecedor não cadastrado",IF(AND($G1583&lt;&gt;"",COUNTIF(SUBCATEGORIAS_PLANO,$G1583)=0),"⚠ Subcategoria fora do plano de contas",IF(OR($Q1583="",N($Q1583)=0),"⚠ Valor previsto não informado",IF(AND(OR($X1583="Pago",$X1583="Recebido"),$D1583=""),"⚠ Status pago/recebido sem data",IF(AND($D1583&lt;&gt;"",N($R1583)=0),"⚠ Data de pagamento sem valor realizado",IF(AND(N($P1583)&gt;1,N($O1583)&gt;N($P1583)),"⚠ Nº da parcela maior que o total",IF(AND($C1583&lt;&gt;"",$B1583&lt;&gt;"",$C1583&lt;$B1583),"⚠ Vencimento anterior à competência","OK"))))))))</f>
        <v/>
      </c>
    </row>
    <row r="1584">
      <c r="A1584" s="14" t="n"/>
      <c r="B1584" s="36" t="n"/>
      <c r="C1584" s="36" t="n"/>
      <c r="D1584" s="36" t="n"/>
      <c r="E1584" s="14" t="n"/>
      <c r="F1584" s="29" t="n"/>
      <c r="G1584" s="29" t="n"/>
      <c r="H1584" s="29" t="n"/>
      <c r="I1584" s="29" t="n"/>
      <c r="J1584" s="29" t="n"/>
      <c r="K1584" s="14" t="n"/>
      <c r="L1584" s="29" t="n"/>
      <c r="M1584" s="14" t="n"/>
      <c r="N1584" s="29" t="n"/>
      <c r="O1584" s="13" t="n"/>
      <c r="P1584" s="13" t="n"/>
      <c r="Q1584" s="35" t="n"/>
      <c r="R1584" s="35" t="n"/>
      <c r="S1584" s="35" t="n"/>
      <c r="T1584" s="35" t="n"/>
      <c r="U1584" s="35" t="n"/>
      <c r="V1584" s="18">
        <f>IF(COUNTA($B1584:$R1584)=0,"",ROUND(N($R1584)+N($S1584)+N($T1584)-N($U1584),2))</f>
        <v/>
      </c>
      <c r="W1584" s="18">
        <f>IF(COUNTA($B1584:$R1584)=0,"",IF(OR($X1584="Pago",$X1584="Recebido",$X1584="Cancelado"),0,ROUND(N($Q1584)+N($S1584)+N($T1584)-N($U1584)-N($R1584),2)))</f>
        <v/>
      </c>
      <c r="X1584" s="14" t="n"/>
      <c r="Y1584" s="17">
        <f>IF(COUNTA($B1584:$R1584)=0,"",IF($X1584="Cancelado","Cancelado",IF(OR($X1584="Pago",$X1584="Recebido"),$X1584,IF(OR($X1584="Parcial",N($R1584)&gt;0),"Parcial",IF($C1584="","Sem vencimento",IF($C1584&lt;TODAY(),"Vencido",IF($C1584=TODAY(),"Vence hoje",IF($C1584&lt;=TODAY()+7,"Vence em 7 dias",IF($C1584&lt;=TODAY()+30,"Vence em 30 dias","Futuro")))))))))</f>
        <v/>
      </c>
      <c r="Z1584" s="24">
        <f>IF($B1584="","",MONTH($B1584))</f>
        <v/>
      </c>
      <c r="AA1584" s="24">
        <f>IF($B1584="","",YEAR($B1584))</f>
        <v/>
      </c>
      <c r="AB1584" s="24">
        <f>IF($B1584="","",ISOWEEKNUM($B1584))</f>
        <v/>
      </c>
      <c r="AC1584" s="17">
        <f>IF($B1584="","",CHOOSE(WEEKDAY($B1584,2),"Segunda","Terça","Quarta","Quinta","Sexta","Sábado","Domingo"))</f>
        <v/>
      </c>
      <c r="AD1584" s="17">
        <f>IF($B1584="","",TEXT($B1584,"MM/AAAA"))</f>
        <v/>
      </c>
      <c r="AE1584" s="18">
        <f>IF(COUNTA($B1584:$R1584)=0,"",IF($X1584="Cancelado",0,ROUND(N($Q1584)+N($S1584)+N($T1584)-N($U1584),2)))</f>
        <v/>
      </c>
      <c r="AF1584" s="9">
        <f>IF($G1584="","",IFERROR(INDEX(LINHAS_DRE_PLANO,MATCH($G1584,SUBCATEGORIAS_PLANO,0)),"Não classificado"))</f>
        <v/>
      </c>
      <c r="AG1584" s="17">
        <f>IF($G1584="","",IFERROR(INDEX(TIPOS_FLUXO_PLANO,MATCH($G1584,SUBCATEGORIAS_PLANO,0)),"Não classificado"))</f>
        <v/>
      </c>
      <c r="AH1584" s="9">
        <f>IF($G1584="","",IFERROR(INDEX(GRUPOS_PLANO,MATCH($G1584,SUBCATEGORIAS_PLANO,0)),"Não classificado"))</f>
        <v/>
      </c>
      <c r="AI1584" s="24">
        <f>IF(OR($C1584="",$X1584="Pago",$X1584="Recebido",$X1584="Cancelado"),"",$C1584-TODAY())</f>
        <v/>
      </c>
      <c r="AJ1584" s="24">
        <f>IF(OR($C1584="",$X1584="Pago",$X1584="Recebido",$X1584="Cancelado"),0,MAX(0,TODAY()-$C1584))</f>
        <v/>
      </c>
      <c r="AK1584" s="24">
        <f>IF($D1584="","",$D1584-$B1584)</f>
        <v/>
      </c>
      <c r="AL1584" s="18">
        <f>IF(OR($D1584="",$B1584=""),"",ROUND(N($R1584)*($D1584-$B1584),2))</f>
        <v/>
      </c>
      <c r="AM1584" s="17">
        <f>IF(AND($E1584="Saída",$W1584&gt;0,$C1584&lt;&gt;""),$C1584+ROW()/1000000,"")</f>
        <v/>
      </c>
      <c r="AN1584" s="17">
        <f>IF(AND($E1584="Entrada",$W1584&gt;0,$C1584&lt;&gt;""),$C1584+ROW()/1000000,"")</f>
        <v/>
      </c>
      <c r="AO1584" s="9">
        <f>IF(COUNTA($B1584:$R1584)=0,"",IF(AND($I1584&lt;&gt;"",COUNTIF(CLIENTES_NOMES,$I1584)+COUNTIF(CLIENTES_FANTASIA,$I1584)+COUNTIF(FORNECEDORES_NOMES,$I1584)+COUNTIF(FORNECEDORES_FANTASIA,$I1584)=0),"⚠ Cliente/Fornecedor não cadastrado",IF(AND($G1584&lt;&gt;"",COUNTIF(SUBCATEGORIAS_PLANO,$G1584)=0),"⚠ Subcategoria fora do plano de contas",IF(OR($Q1584="",N($Q1584)=0),"⚠ Valor previsto não informado",IF(AND(OR($X1584="Pago",$X1584="Recebido"),$D1584=""),"⚠ Status pago/recebido sem data",IF(AND($D1584&lt;&gt;"",N($R1584)=0),"⚠ Data de pagamento sem valor realizado",IF(AND(N($P1584)&gt;1,N($O1584)&gt;N($P1584)),"⚠ Nº da parcela maior que o total",IF(AND($C1584&lt;&gt;"",$B1584&lt;&gt;"",$C1584&lt;$B1584),"⚠ Vencimento anterior à competência","OK"))))))))</f>
        <v/>
      </c>
    </row>
    <row r="1585">
      <c r="A1585" s="14" t="n"/>
      <c r="B1585" s="36" t="n"/>
      <c r="C1585" s="36" t="n"/>
      <c r="D1585" s="36" t="n"/>
      <c r="E1585" s="14" t="n"/>
      <c r="F1585" s="29" t="n"/>
      <c r="G1585" s="29" t="n"/>
      <c r="H1585" s="29" t="n"/>
      <c r="I1585" s="29" t="n"/>
      <c r="J1585" s="29" t="n"/>
      <c r="K1585" s="14" t="n"/>
      <c r="L1585" s="29" t="n"/>
      <c r="M1585" s="14" t="n"/>
      <c r="N1585" s="29" t="n"/>
      <c r="O1585" s="13" t="n"/>
      <c r="P1585" s="13" t="n"/>
      <c r="Q1585" s="35" t="n"/>
      <c r="R1585" s="35" t="n"/>
      <c r="S1585" s="35" t="n"/>
      <c r="T1585" s="35" t="n"/>
      <c r="U1585" s="35" t="n"/>
      <c r="V1585" s="18">
        <f>IF(COUNTA($B1585:$R1585)=0,"",ROUND(N($R1585)+N($S1585)+N($T1585)-N($U1585),2))</f>
        <v/>
      </c>
      <c r="W1585" s="18">
        <f>IF(COUNTA($B1585:$R1585)=0,"",IF(OR($X1585="Pago",$X1585="Recebido",$X1585="Cancelado"),0,ROUND(N($Q1585)+N($S1585)+N($T1585)-N($U1585)-N($R1585),2)))</f>
        <v/>
      </c>
      <c r="X1585" s="14" t="n"/>
      <c r="Y1585" s="17">
        <f>IF(COUNTA($B1585:$R1585)=0,"",IF($X1585="Cancelado","Cancelado",IF(OR($X1585="Pago",$X1585="Recebido"),$X1585,IF(OR($X1585="Parcial",N($R1585)&gt;0),"Parcial",IF($C1585="","Sem vencimento",IF($C1585&lt;TODAY(),"Vencido",IF($C1585=TODAY(),"Vence hoje",IF($C1585&lt;=TODAY()+7,"Vence em 7 dias",IF($C1585&lt;=TODAY()+30,"Vence em 30 dias","Futuro")))))))))</f>
        <v/>
      </c>
      <c r="Z1585" s="24">
        <f>IF($B1585="","",MONTH($B1585))</f>
        <v/>
      </c>
      <c r="AA1585" s="24">
        <f>IF($B1585="","",YEAR($B1585))</f>
        <v/>
      </c>
      <c r="AB1585" s="24">
        <f>IF($B1585="","",ISOWEEKNUM($B1585))</f>
        <v/>
      </c>
      <c r="AC1585" s="17">
        <f>IF($B1585="","",CHOOSE(WEEKDAY($B1585,2),"Segunda","Terça","Quarta","Quinta","Sexta","Sábado","Domingo"))</f>
        <v/>
      </c>
      <c r="AD1585" s="17">
        <f>IF($B1585="","",TEXT($B1585,"MM/AAAA"))</f>
        <v/>
      </c>
      <c r="AE1585" s="18">
        <f>IF(COUNTA($B1585:$R1585)=0,"",IF($X1585="Cancelado",0,ROUND(N($Q1585)+N($S1585)+N($T1585)-N($U1585),2)))</f>
        <v/>
      </c>
      <c r="AF1585" s="9">
        <f>IF($G1585="","",IFERROR(INDEX(LINHAS_DRE_PLANO,MATCH($G1585,SUBCATEGORIAS_PLANO,0)),"Não classificado"))</f>
        <v/>
      </c>
      <c r="AG1585" s="17">
        <f>IF($G1585="","",IFERROR(INDEX(TIPOS_FLUXO_PLANO,MATCH($G1585,SUBCATEGORIAS_PLANO,0)),"Não classificado"))</f>
        <v/>
      </c>
      <c r="AH1585" s="9">
        <f>IF($G1585="","",IFERROR(INDEX(GRUPOS_PLANO,MATCH($G1585,SUBCATEGORIAS_PLANO,0)),"Não classificado"))</f>
        <v/>
      </c>
      <c r="AI1585" s="24">
        <f>IF(OR($C1585="",$X1585="Pago",$X1585="Recebido",$X1585="Cancelado"),"",$C1585-TODAY())</f>
        <v/>
      </c>
      <c r="AJ1585" s="24">
        <f>IF(OR($C1585="",$X1585="Pago",$X1585="Recebido",$X1585="Cancelado"),0,MAX(0,TODAY()-$C1585))</f>
        <v/>
      </c>
      <c r="AK1585" s="24">
        <f>IF($D1585="","",$D1585-$B1585)</f>
        <v/>
      </c>
      <c r="AL1585" s="18">
        <f>IF(OR($D1585="",$B1585=""),"",ROUND(N($R1585)*($D1585-$B1585),2))</f>
        <v/>
      </c>
      <c r="AM1585" s="17">
        <f>IF(AND($E1585="Saída",$W1585&gt;0,$C1585&lt;&gt;""),$C1585+ROW()/1000000,"")</f>
        <v/>
      </c>
      <c r="AN1585" s="17">
        <f>IF(AND($E1585="Entrada",$W1585&gt;0,$C1585&lt;&gt;""),$C1585+ROW()/1000000,"")</f>
        <v/>
      </c>
      <c r="AO1585" s="9">
        <f>IF(COUNTA($B1585:$R1585)=0,"",IF(AND($I1585&lt;&gt;"",COUNTIF(CLIENTES_NOMES,$I1585)+COUNTIF(CLIENTES_FANTASIA,$I1585)+COUNTIF(FORNECEDORES_NOMES,$I1585)+COUNTIF(FORNECEDORES_FANTASIA,$I1585)=0),"⚠ Cliente/Fornecedor não cadastrado",IF(AND($G1585&lt;&gt;"",COUNTIF(SUBCATEGORIAS_PLANO,$G1585)=0),"⚠ Subcategoria fora do plano de contas",IF(OR($Q1585="",N($Q1585)=0),"⚠ Valor previsto não informado",IF(AND(OR($X1585="Pago",$X1585="Recebido"),$D1585=""),"⚠ Status pago/recebido sem data",IF(AND($D1585&lt;&gt;"",N($R1585)=0),"⚠ Data de pagamento sem valor realizado",IF(AND(N($P1585)&gt;1,N($O1585)&gt;N($P1585)),"⚠ Nº da parcela maior que o total",IF(AND($C1585&lt;&gt;"",$B1585&lt;&gt;"",$C1585&lt;$B1585),"⚠ Vencimento anterior à competência","OK"))))))))</f>
        <v/>
      </c>
    </row>
    <row r="1586">
      <c r="A1586" s="14" t="n"/>
      <c r="B1586" s="36" t="n"/>
      <c r="C1586" s="36" t="n"/>
      <c r="D1586" s="36" t="n"/>
      <c r="E1586" s="14" t="n"/>
      <c r="F1586" s="29" t="n"/>
      <c r="G1586" s="29" t="n"/>
      <c r="H1586" s="29" t="n"/>
      <c r="I1586" s="29" t="n"/>
      <c r="J1586" s="29" t="n"/>
      <c r="K1586" s="14" t="n"/>
      <c r="L1586" s="29" t="n"/>
      <c r="M1586" s="14" t="n"/>
      <c r="N1586" s="29" t="n"/>
      <c r="O1586" s="13" t="n"/>
      <c r="P1586" s="13" t="n"/>
      <c r="Q1586" s="35" t="n"/>
      <c r="R1586" s="35" t="n"/>
      <c r="S1586" s="35" t="n"/>
      <c r="T1586" s="35" t="n"/>
      <c r="U1586" s="35" t="n"/>
      <c r="V1586" s="18">
        <f>IF(COUNTA($B1586:$R1586)=0,"",ROUND(N($R1586)+N($S1586)+N($T1586)-N($U1586),2))</f>
        <v/>
      </c>
      <c r="W1586" s="18">
        <f>IF(COUNTA($B1586:$R1586)=0,"",IF(OR($X1586="Pago",$X1586="Recebido",$X1586="Cancelado"),0,ROUND(N($Q1586)+N($S1586)+N($T1586)-N($U1586)-N($R1586),2)))</f>
        <v/>
      </c>
      <c r="X1586" s="14" t="n"/>
      <c r="Y1586" s="17">
        <f>IF(COUNTA($B1586:$R1586)=0,"",IF($X1586="Cancelado","Cancelado",IF(OR($X1586="Pago",$X1586="Recebido"),$X1586,IF(OR($X1586="Parcial",N($R1586)&gt;0),"Parcial",IF($C1586="","Sem vencimento",IF($C1586&lt;TODAY(),"Vencido",IF($C1586=TODAY(),"Vence hoje",IF($C1586&lt;=TODAY()+7,"Vence em 7 dias",IF($C1586&lt;=TODAY()+30,"Vence em 30 dias","Futuro")))))))))</f>
        <v/>
      </c>
      <c r="Z1586" s="24">
        <f>IF($B1586="","",MONTH($B1586))</f>
        <v/>
      </c>
      <c r="AA1586" s="24">
        <f>IF($B1586="","",YEAR($B1586))</f>
        <v/>
      </c>
      <c r="AB1586" s="24">
        <f>IF($B1586="","",ISOWEEKNUM($B1586))</f>
        <v/>
      </c>
      <c r="AC1586" s="17">
        <f>IF($B1586="","",CHOOSE(WEEKDAY($B1586,2),"Segunda","Terça","Quarta","Quinta","Sexta","Sábado","Domingo"))</f>
        <v/>
      </c>
      <c r="AD1586" s="17">
        <f>IF($B1586="","",TEXT($B1586,"MM/AAAA"))</f>
        <v/>
      </c>
      <c r="AE1586" s="18">
        <f>IF(COUNTA($B1586:$R1586)=0,"",IF($X1586="Cancelado",0,ROUND(N($Q1586)+N($S1586)+N($T1586)-N($U1586),2)))</f>
        <v/>
      </c>
      <c r="AF1586" s="9">
        <f>IF($G1586="","",IFERROR(INDEX(LINHAS_DRE_PLANO,MATCH($G1586,SUBCATEGORIAS_PLANO,0)),"Não classificado"))</f>
        <v/>
      </c>
      <c r="AG1586" s="17">
        <f>IF($G1586="","",IFERROR(INDEX(TIPOS_FLUXO_PLANO,MATCH($G1586,SUBCATEGORIAS_PLANO,0)),"Não classificado"))</f>
        <v/>
      </c>
      <c r="AH1586" s="9">
        <f>IF($G1586="","",IFERROR(INDEX(GRUPOS_PLANO,MATCH($G1586,SUBCATEGORIAS_PLANO,0)),"Não classificado"))</f>
        <v/>
      </c>
      <c r="AI1586" s="24">
        <f>IF(OR($C1586="",$X1586="Pago",$X1586="Recebido",$X1586="Cancelado"),"",$C1586-TODAY())</f>
        <v/>
      </c>
      <c r="AJ1586" s="24">
        <f>IF(OR($C1586="",$X1586="Pago",$X1586="Recebido",$X1586="Cancelado"),0,MAX(0,TODAY()-$C1586))</f>
        <v/>
      </c>
      <c r="AK1586" s="24">
        <f>IF($D1586="","",$D1586-$B1586)</f>
        <v/>
      </c>
      <c r="AL1586" s="18">
        <f>IF(OR($D1586="",$B1586=""),"",ROUND(N($R1586)*($D1586-$B1586),2))</f>
        <v/>
      </c>
      <c r="AM1586" s="17">
        <f>IF(AND($E1586="Saída",$W1586&gt;0,$C1586&lt;&gt;""),$C1586+ROW()/1000000,"")</f>
        <v/>
      </c>
      <c r="AN1586" s="17">
        <f>IF(AND($E1586="Entrada",$W1586&gt;0,$C1586&lt;&gt;""),$C1586+ROW()/1000000,"")</f>
        <v/>
      </c>
      <c r="AO1586" s="9">
        <f>IF(COUNTA($B1586:$R1586)=0,"",IF(AND($I1586&lt;&gt;"",COUNTIF(CLIENTES_NOMES,$I1586)+COUNTIF(CLIENTES_FANTASIA,$I1586)+COUNTIF(FORNECEDORES_NOMES,$I1586)+COUNTIF(FORNECEDORES_FANTASIA,$I1586)=0),"⚠ Cliente/Fornecedor não cadastrado",IF(AND($G1586&lt;&gt;"",COUNTIF(SUBCATEGORIAS_PLANO,$G1586)=0),"⚠ Subcategoria fora do plano de contas",IF(OR($Q1586="",N($Q1586)=0),"⚠ Valor previsto não informado",IF(AND(OR($X1586="Pago",$X1586="Recebido"),$D1586=""),"⚠ Status pago/recebido sem data",IF(AND($D1586&lt;&gt;"",N($R1586)=0),"⚠ Data de pagamento sem valor realizado",IF(AND(N($P1586)&gt;1,N($O1586)&gt;N($P1586)),"⚠ Nº da parcela maior que o total",IF(AND($C1586&lt;&gt;"",$B1586&lt;&gt;"",$C1586&lt;$B1586),"⚠ Vencimento anterior à competência","OK"))))))))</f>
        <v/>
      </c>
    </row>
    <row r="1587">
      <c r="A1587" s="14" t="n"/>
      <c r="B1587" s="36" t="n"/>
      <c r="C1587" s="36" t="n"/>
      <c r="D1587" s="36" t="n"/>
      <c r="E1587" s="14" t="n"/>
      <c r="F1587" s="29" t="n"/>
      <c r="G1587" s="29" t="n"/>
      <c r="H1587" s="29" t="n"/>
      <c r="I1587" s="29" t="n"/>
      <c r="J1587" s="29" t="n"/>
      <c r="K1587" s="14" t="n"/>
      <c r="L1587" s="29" t="n"/>
      <c r="M1587" s="14" t="n"/>
      <c r="N1587" s="29" t="n"/>
      <c r="O1587" s="13" t="n"/>
      <c r="P1587" s="13" t="n"/>
      <c r="Q1587" s="35" t="n"/>
      <c r="R1587" s="35" t="n"/>
      <c r="S1587" s="35" t="n"/>
      <c r="T1587" s="35" t="n"/>
      <c r="U1587" s="35" t="n"/>
      <c r="V1587" s="18">
        <f>IF(COUNTA($B1587:$R1587)=0,"",ROUND(N($R1587)+N($S1587)+N($T1587)-N($U1587),2))</f>
        <v/>
      </c>
      <c r="W1587" s="18">
        <f>IF(COUNTA($B1587:$R1587)=0,"",IF(OR($X1587="Pago",$X1587="Recebido",$X1587="Cancelado"),0,ROUND(N($Q1587)+N($S1587)+N($T1587)-N($U1587)-N($R1587),2)))</f>
        <v/>
      </c>
      <c r="X1587" s="14" t="n"/>
      <c r="Y1587" s="17">
        <f>IF(COUNTA($B1587:$R1587)=0,"",IF($X1587="Cancelado","Cancelado",IF(OR($X1587="Pago",$X1587="Recebido"),$X1587,IF(OR($X1587="Parcial",N($R1587)&gt;0),"Parcial",IF($C1587="","Sem vencimento",IF($C1587&lt;TODAY(),"Vencido",IF($C1587=TODAY(),"Vence hoje",IF($C1587&lt;=TODAY()+7,"Vence em 7 dias",IF($C1587&lt;=TODAY()+30,"Vence em 30 dias","Futuro")))))))))</f>
        <v/>
      </c>
      <c r="Z1587" s="24">
        <f>IF($B1587="","",MONTH($B1587))</f>
        <v/>
      </c>
      <c r="AA1587" s="24">
        <f>IF($B1587="","",YEAR($B1587))</f>
        <v/>
      </c>
      <c r="AB1587" s="24">
        <f>IF($B1587="","",ISOWEEKNUM($B1587))</f>
        <v/>
      </c>
      <c r="AC1587" s="17">
        <f>IF($B1587="","",CHOOSE(WEEKDAY($B1587,2),"Segunda","Terça","Quarta","Quinta","Sexta","Sábado","Domingo"))</f>
        <v/>
      </c>
      <c r="AD1587" s="17">
        <f>IF($B1587="","",TEXT($B1587,"MM/AAAA"))</f>
        <v/>
      </c>
      <c r="AE1587" s="18">
        <f>IF(COUNTA($B1587:$R1587)=0,"",IF($X1587="Cancelado",0,ROUND(N($Q1587)+N($S1587)+N($T1587)-N($U1587),2)))</f>
        <v/>
      </c>
      <c r="AF1587" s="9">
        <f>IF($G1587="","",IFERROR(INDEX(LINHAS_DRE_PLANO,MATCH($G1587,SUBCATEGORIAS_PLANO,0)),"Não classificado"))</f>
        <v/>
      </c>
      <c r="AG1587" s="17">
        <f>IF($G1587="","",IFERROR(INDEX(TIPOS_FLUXO_PLANO,MATCH($G1587,SUBCATEGORIAS_PLANO,0)),"Não classificado"))</f>
        <v/>
      </c>
      <c r="AH1587" s="9">
        <f>IF($G1587="","",IFERROR(INDEX(GRUPOS_PLANO,MATCH($G1587,SUBCATEGORIAS_PLANO,0)),"Não classificado"))</f>
        <v/>
      </c>
      <c r="AI1587" s="24">
        <f>IF(OR($C1587="",$X1587="Pago",$X1587="Recebido",$X1587="Cancelado"),"",$C1587-TODAY())</f>
        <v/>
      </c>
      <c r="AJ1587" s="24">
        <f>IF(OR($C1587="",$X1587="Pago",$X1587="Recebido",$X1587="Cancelado"),0,MAX(0,TODAY()-$C1587))</f>
        <v/>
      </c>
      <c r="AK1587" s="24">
        <f>IF($D1587="","",$D1587-$B1587)</f>
        <v/>
      </c>
      <c r="AL1587" s="18">
        <f>IF(OR($D1587="",$B1587=""),"",ROUND(N($R1587)*($D1587-$B1587),2))</f>
        <v/>
      </c>
      <c r="AM1587" s="17">
        <f>IF(AND($E1587="Saída",$W1587&gt;0,$C1587&lt;&gt;""),$C1587+ROW()/1000000,"")</f>
        <v/>
      </c>
      <c r="AN1587" s="17">
        <f>IF(AND($E1587="Entrada",$W1587&gt;0,$C1587&lt;&gt;""),$C1587+ROW()/1000000,"")</f>
        <v/>
      </c>
      <c r="AO1587" s="9">
        <f>IF(COUNTA($B1587:$R1587)=0,"",IF(AND($I1587&lt;&gt;"",COUNTIF(CLIENTES_NOMES,$I1587)+COUNTIF(CLIENTES_FANTASIA,$I1587)+COUNTIF(FORNECEDORES_NOMES,$I1587)+COUNTIF(FORNECEDORES_FANTASIA,$I1587)=0),"⚠ Cliente/Fornecedor não cadastrado",IF(AND($G1587&lt;&gt;"",COUNTIF(SUBCATEGORIAS_PLANO,$G1587)=0),"⚠ Subcategoria fora do plano de contas",IF(OR($Q1587="",N($Q1587)=0),"⚠ Valor previsto não informado",IF(AND(OR($X1587="Pago",$X1587="Recebido"),$D1587=""),"⚠ Status pago/recebido sem data",IF(AND($D1587&lt;&gt;"",N($R1587)=0),"⚠ Data de pagamento sem valor realizado",IF(AND(N($P1587)&gt;1,N($O1587)&gt;N($P1587)),"⚠ Nº da parcela maior que o total",IF(AND($C1587&lt;&gt;"",$B1587&lt;&gt;"",$C1587&lt;$B1587),"⚠ Vencimento anterior à competência","OK"))))))))</f>
        <v/>
      </c>
    </row>
    <row r="1588">
      <c r="A1588" s="14" t="n"/>
      <c r="B1588" s="36" t="n"/>
      <c r="C1588" s="36" t="n"/>
      <c r="D1588" s="36" t="n"/>
      <c r="E1588" s="14" t="n"/>
      <c r="F1588" s="29" t="n"/>
      <c r="G1588" s="29" t="n"/>
      <c r="H1588" s="29" t="n"/>
      <c r="I1588" s="29" t="n"/>
      <c r="J1588" s="29" t="n"/>
      <c r="K1588" s="14" t="n"/>
      <c r="L1588" s="29" t="n"/>
      <c r="M1588" s="14" t="n"/>
      <c r="N1588" s="29" t="n"/>
      <c r="O1588" s="13" t="n"/>
      <c r="P1588" s="13" t="n"/>
      <c r="Q1588" s="35" t="n"/>
      <c r="R1588" s="35" t="n"/>
      <c r="S1588" s="35" t="n"/>
      <c r="T1588" s="35" t="n"/>
      <c r="U1588" s="35" t="n"/>
      <c r="V1588" s="18">
        <f>IF(COUNTA($B1588:$R1588)=0,"",ROUND(N($R1588)+N($S1588)+N($T1588)-N($U1588),2))</f>
        <v/>
      </c>
      <c r="W1588" s="18">
        <f>IF(COUNTA($B1588:$R1588)=0,"",IF(OR($X1588="Pago",$X1588="Recebido",$X1588="Cancelado"),0,ROUND(N($Q1588)+N($S1588)+N($T1588)-N($U1588)-N($R1588),2)))</f>
        <v/>
      </c>
      <c r="X1588" s="14" t="n"/>
      <c r="Y1588" s="17">
        <f>IF(COUNTA($B1588:$R1588)=0,"",IF($X1588="Cancelado","Cancelado",IF(OR($X1588="Pago",$X1588="Recebido"),$X1588,IF(OR($X1588="Parcial",N($R1588)&gt;0),"Parcial",IF($C1588="","Sem vencimento",IF($C1588&lt;TODAY(),"Vencido",IF($C1588=TODAY(),"Vence hoje",IF($C1588&lt;=TODAY()+7,"Vence em 7 dias",IF($C1588&lt;=TODAY()+30,"Vence em 30 dias","Futuro")))))))))</f>
        <v/>
      </c>
      <c r="Z1588" s="24">
        <f>IF($B1588="","",MONTH($B1588))</f>
        <v/>
      </c>
      <c r="AA1588" s="24">
        <f>IF($B1588="","",YEAR($B1588))</f>
        <v/>
      </c>
      <c r="AB1588" s="24">
        <f>IF($B1588="","",ISOWEEKNUM($B1588))</f>
        <v/>
      </c>
      <c r="AC1588" s="17">
        <f>IF($B1588="","",CHOOSE(WEEKDAY($B1588,2),"Segunda","Terça","Quarta","Quinta","Sexta","Sábado","Domingo"))</f>
        <v/>
      </c>
      <c r="AD1588" s="17">
        <f>IF($B1588="","",TEXT($B1588,"MM/AAAA"))</f>
        <v/>
      </c>
      <c r="AE1588" s="18">
        <f>IF(COUNTA($B1588:$R1588)=0,"",IF($X1588="Cancelado",0,ROUND(N($Q1588)+N($S1588)+N($T1588)-N($U1588),2)))</f>
        <v/>
      </c>
      <c r="AF1588" s="9">
        <f>IF($G1588="","",IFERROR(INDEX(LINHAS_DRE_PLANO,MATCH($G1588,SUBCATEGORIAS_PLANO,0)),"Não classificado"))</f>
        <v/>
      </c>
      <c r="AG1588" s="17">
        <f>IF($G1588="","",IFERROR(INDEX(TIPOS_FLUXO_PLANO,MATCH($G1588,SUBCATEGORIAS_PLANO,0)),"Não classificado"))</f>
        <v/>
      </c>
      <c r="AH1588" s="9">
        <f>IF($G1588="","",IFERROR(INDEX(GRUPOS_PLANO,MATCH($G1588,SUBCATEGORIAS_PLANO,0)),"Não classificado"))</f>
        <v/>
      </c>
      <c r="AI1588" s="24">
        <f>IF(OR($C1588="",$X1588="Pago",$X1588="Recebido",$X1588="Cancelado"),"",$C1588-TODAY())</f>
        <v/>
      </c>
      <c r="AJ1588" s="24">
        <f>IF(OR($C1588="",$X1588="Pago",$X1588="Recebido",$X1588="Cancelado"),0,MAX(0,TODAY()-$C1588))</f>
        <v/>
      </c>
      <c r="AK1588" s="24">
        <f>IF($D1588="","",$D1588-$B1588)</f>
        <v/>
      </c>
      <c r="AL1588" s="18">
        <f>IF(OR($D1588="",$B1588=""),"",ROUND(N($R1588)*($D1588-$B1588),2))</f>
        <v/>
      </c>
      <c r="AM1588" s="17">
        <f>IF(AND($E1588="Saída",$W1588&gt;0,$C1588&lt;&gt;""),$C1588+ROW()/1000000,"")</f>
        <v/>
      </c>
      <c r="AN1588" s="17">
        <f>IF(AND($E1588="Entrada",$W1588&gt;0,$C1588&lt;&gt;""),$C1588+ROW()/1000000,"")</f>
        <v/>
      </c>
      <c r="AO1588" s="9">
        <f>IF(COUNTA($B1588:$R1588)=0,"",IF(AND($I1588&lt;&gt;"",COUNTIF(CLIENTES_NOMES,$I1588)+COUNTIF(CLIENTES_FANTASIA,$I1588)+COUNTIF(FORNECEDORES_NOMES,$I1588)+COUNTIF(FORNECEDORES_FANTASIA,$I1588)=0),"⚠ Cliente/Fornecedor não cadastrado",IF(AND($G1588&lt;&gt;"",COUNTIF(SUBCATEGORIAS_PLANO,$G1588)=0),"⚠ Subcategoria fora do plano de contas",IF(OR($Q1588="",N($Q1588)=0),"⚠ Valor previsto não informado",IF(AND(OR($X1588="Pago",$X1588="Recebido"),$D1588=""),"⚠ Status pago/recebido sem data",IF(AND($D1588&lt;&gt;"",N($R1588)=0),"⚠ Data de pagamento sem valor realizado",IF(AND(N($P1588)&gt;1,N($O1588)&gt;N($P1588)),"⚠ Nº da parcela maior que o total",IF(AND($C1588&lt;&gt;"",$B1588&lt;&gt;"",$C1588&lt;$B1588),"⚠ Vencimento anterior à competência","OK"))))))))</f>
        <v/>
      </c>
    </row>
    <row r="1589">
      <c r="A1589" s="14" t="n"/>
      <c r="B1589" s="36" t="n"/>
      <c r="C1589" s="36" t="n"/>
      <c r="D1589" s="36" t="n"/>
      <c r="E1589" s="14" t="n"/>
      <c r="F1589" s="29" t="n"/>
      <c r="G1589" s="29" t="n"/>
      <c r="H1589" s="29" t="n"/>
      <c r="I1589" s="29" t="n"/>
      <c r="J1589" s="29" t="n"/>
      <c r="K1589" s="14" t="n"/>
      <c r="L1589" s="29" t="n"/>
      <c r="M1589" s="14" t="n"/>
      <c r="N1589" s="29" t="n"/>
      <c r="O1589" s="13" t="n"/>
      <c r="P1589" s="13" t="n"/>
      <c r="Q1589" s="35" t="n"/>
      <c r="R1589" s="35" t="n"/>
      <c r="S1589" s="35" t="n"/>
      <c r="T1589" s="35" t="n"/>
      <c r="U1589" s="35" t="n"/>
      <c r="V1589" s="18">
        <f>IF(COUNTA($B1589:$R1589)=0,"",ROUND(N($R1589)+N($S1589)+N($T1589)-N($U1589),2))</f>
        <v/>
      </c>
      <c r="W1589" s="18">
        <f>IF(COUNTA($B1589:$R1589)=0,"",IF(OR($X1589="Pago",$X1589="Recebido",$X1589="Cancelado"),0,ROUND(N($Q1589)+N($S1589)+N($T1589)-N($U1589)-N($R1589),2)))</f>
        <v/>
      </c>
      <c r="X1589" s="14" t="n"/>
      <c r="Y1589" s="17">
        <f>IF(COUNTA($B1589:$R1589)=0,"",IF($X1589="Cancelado","Cancelado",IF(OR($X1589="Pago",$X1589="Recebido"),$X1589,IF(OR($X1589="Parcial",N($R1589)&gt;0),"Parcial",IF($C1589="","Sem vencimento",IF($C1589&lt;TODAY(),"Vencido",IF($C1589=TODAY(),"Vence hoje",IF($C1589&lt;=TODAY()+7,"Vence em 7 dias",IF($C1589&lt;=TODAY()+30,"Vence em 30 dias","Futuro")))))))))</f>
        <v/>
      </c>
      <c r="Z1589" s="24">
        <f>IF($B1589="","",MONTH($B1589))</f>
        <v/>
      </c>
      <c r="AA1589" s="24">
        <f>IF($B1589="","",YEAR($B1589))</f>
        <v/>
      </c>
      <c r="AB1589" s="24">
        <f>IF($B1589="","",ISOWEEKNUM($B1589))</f>
        <v/>
      </c>
      <c r="AC1589" s="17">
        <f>IF($B1589="","",CHOOSE(WEEKDAY($B1589,2),"Segunda","Terça","Quarta","Quinta","Sexta","Sábado","Domingo"))</f>
        <v/>
      </c>
      <c r="AD1589" s="17">
        <f>IF($B1589="","",TEXT($B1589,"MM/AAAA"))</f>
        <v/>
      </c>
      <c r="AE1589" s="18">
        <f>IF(COUNTA($B1589:$R1589)=0,"",IF($X1589="Cancelado",0,ROUND(N($Q1589)+N($S1589)+N($T1589)-N($U1589),2)))</f>
        <v/>
      </c>
      <c r="AF1589" s="9">
        <f>IF($G1589="","",IFERROR(INDEX(LINHAS_DRE_PLANO,MATCH($G1589,SUBCATEGORIAS_PLANO,0)),"Não classificado"))</f>
        <v/>
      </c>
      <c r="AG1589" s="17">
        <f>IF($G1589="","",IFERROR(INDEX(TIPOS_FLUXO_PLANO,MATCH($G1589,SUBCATEGORIAS_PLANO,0)),"Não classificado"))</f>
        <v/>
      </c>
      <c r="AH1589" s="9">
        <f>IF($G1589="","",IFERROR(INDEX(GRUPOS_PLANO,MATCH($G1589,SUBCATEGORIAS_PLANO,0)),"Não classificado"))</f>
        <v/>
      </c>
      <c r="AI1589" s="24">
        <f>IF(OR($C1589="",$X1589="Pago",$X1589="Recebido",$X1589="Cancelado"),"",$C1589-TODAY())</f>
        <v/>
      </c>
      <c r="AJ1589" s="24">
        <f>IF(OR($C1589="",$X1589="Pago",$X1589="Recebido",$X1589="Cancelado"),0,MAX(0,TODAY()-$C1589))</f>
        <v/>
      </c>
      <c r="AK1589" s="24">
        <f>IF($D1589="","",$D1589-$B1589)</f>
        <v/>
      </c>
      <c r="AL1589" s="18">
        <f>IF(OR($D1589="",$B1589=""),"",ROUND(N($R1589)*($D1589-$B1589),2))</f>
        <v/>
      </c>
      <c r="AM1589" s="17">
        <f>IF(AND($E1589="Saída",$W1589&gt;0,$C1589&lt;&gt;""),$C1589+ROW()/1000000,"")</f>
        <v/>
      </c>
      <c r="AN1589" s="17">
        <f>IF(AND($E1589="Entrada",$W1589&gt;0,$C1589&lt;&gt;""),$C1589+ROW()/1000000,"")</f>
        <v/>
      </c>
      <c r="AO1589" s="9">
        <f>IF(COUNTA($B1589:$R1589)=0,"",IF(AND($I1589&lt;&gt;"",COUNTIF(CLIENTES_NOMES,$I1589)+COUNTIF(CLIENTES_FANTASIA,$I1589)+COUNTIF(FORNECEDORES_NOMES,$I1589)+COUNTIF(FORNECEDORES_FANTASIA,$I1589)=0),"⚠ Cliente/Fornecedor não cadastrado",IF(AND($G1589&lt;&gt;"",COUNTIF(SUBCATEGORIAS_PLANO,$G1589)=0),"⚠ Subcategoria fora do plano de contas",IF(OR($Q1589="",N($Q1589)=0),"⚠ Valor previsto não informado",IF(AND(OR($X1589="Pago",$X1589="Recebido"),$D1589=""),"⚠ Status pago/recebido sem data",IF(AND($D1589&lt;&gt;"",N($R1589)=0),"⚠ Data de pagamento sem valor realizado",IF(AND(N($P1589)&gt;1,N($O1589)&gt;N($P1589)),"⚠ Nº da parcela maior que o total",IF(AND($C1589&lt;&gt;"",$B1589&lt;&gt;"",$C1589&lt;$B1589),"⚠ Vencimento anterior à competência","OK"))))))))</f>
        <v/>
      </c>
    </row>
    <row r="1590">
      <c r="A1590" s="14" t="n"/>
      <c r="B1590" s="36" t="n"/>
      <c r="C1590" s="36" t="n"/>
      <c r="D1590" s="36" t="n"/>
      <c r="E1590" s="14" t="n"/>
      <c r="F1590" s="29" t="n"/>
      <c r="G1590" s="29" t="n"/>
      <c r="H1590" s="29" t="n"/>
      <c r="I1590" s="29" t="n"/>
      <c r="J1590" s="29" t="n"/>
      <c r="K1590" s="14" t="n"/>
      <c r="L1590" s="29" t="n"/>
      <c r="M1590" s="14" t="n"/>
      <c r="N1590" s="29" t="n"/>
      <c r="O1590" s="13" t="n"/>
      <c r="P1590" s="13" t="n"/>
      <c r="Q1590" s="35" t="n"/>
      <c r="R1590" s="35" t="n"/>
      <c r="S1590" s="35" t="n"/>
      <c r="T1590" s="35" t="n"/>
      <c r="U1590" s="35" t="n"/>
      <c r="V1590" s="18">
        <f>IF(COUNTA($B1590:$R1590)=0,"",ROUND(N($R1590)+N($S1590)+N($T1590)-N($U1590),2))</f>
        <v/>
      </c>
      <c r="W1590" s="18">
        <f>IF(COUNTA($B1590:$R1590)=0,"",IF(OR($X1590="Pago",$X1590="Recebido",$X1590="Cancelado"),0,ROUND(N($Q1590)+N($S1590)+N($T1590)-N($U1590)-N($R1590),2)))</f>
        <v/>
      </c>
      <c r="X1590" s="14" t="n"/>
      <c r="Y1590" s="17">
        <f>IF(COUNTA($B1590:$R1590)=0,"",IF($X1590="Cancelado","Cancelado",IF(OR($X1590="Pago",$X1590="Recebido"),$X1590,IF(OR($X1590="Parcial",N($R1590)&gt;0),"Parcial",IF($C1590="","Sem vencimento",IF($C1590&lt;TODAY(),"Vencido",IF($C1590=TODAY(),"Vence hoje",IF($C1590&lt;=TODAY()+7,"Vence em 7 dias",IF($C1590&lt;=TODAY()+30,"Vence em 30 dias","Futuro")))))))))</f>
        <v/>
      </c>
      <c r="Z1590" s="24">
        <f>IF($B1590="","",MONTH($B1590))</f>
        <v/>
      </c>
      <c r="AA1590" s="24">
        <f>IF($B1590="","",YEAR($B1590))</f>
        <v/>
      </c>
      <c r="AB1590" s="24">
        <f>IF($B1590="","",ISOWEEKNUM($B1590))</f>
        <v/>
      </c>
      <c r="AC1590" s="17">
        <f>IF($B1590="","",CHOOSE(WEEKDAY($B1590,2),"Segunda","Terça","Quarta","Quinta","Sexta","Sábado","Domingo"))</f>
        <v/>
      </c>
      <c r="AD1590" s="17">
        <f>IF($B1590="","",TEXT($B1590,"MM/AAAA"))</f>
        <v/>
      </c>
      <c r="AE1590" s="18">
        <f>IF(COUNTA($B1590:$R1590)=0,"",IF($X1590="Cancelado",0,ROUND(N($Q1590)+N($S1590)+N($T1590)-N($U1590),2)))</f>
        <v/>
      </c>
      <c r="AF1590" s="9">
        <f>IF($G1590="","",IFERROR(INDEX(LINHAS_DRE_PLANO,MATCH($G1590,SUBCATEGORIAS_PLANO,0)),"Não classificado"))</f>
        <v/>
      </c>
      <c r="AG1590" s="17">
        <f>IF($G1590="","",IFERROR(INDEX(TIPOS_FLUXO_PLANO,MATCH($G1590,SUBCATEGORIAS_PLANO,0)),"Não classificado"))</f>
        <v/>
      </c>
      <c r="AH1590" s="9">
        <f>IF($G1590="","",IFERROR(INDEX(GRUPOS_PLANO,MATCH($G1590,SUBCATEGORIAS_PLANO,0)),"Não classificado"))</f>
        <v/>
      </c>
      <c r="AI1590" s="24">
        <f>IF(OR($C1590="",$X1590="Pago",$X1590="Recebido",$X1590="Cancelado"),"",$C1590-TODAY())</f>
        <v/>
      </c>
      <c r="AJ1590" s="24">
        <f>IF(OR($C1590="",$X1590="Pago",$X1590="Recebido",$X1590="Cancelado"),0,MAX(0,TODAY()-$C1590))</f>
        <v/>
      </c>
      <c r="AK1590" s="24">
        <f>IF($D1590="","",$D1590-$B1590)</f>
        <v/>
      </c>
      <c r="AL1590" s="18">
        <f>IF(OR($D1590="",$B1590=""),"",ROUND(N($R1590)*($D1590-$B1590),2))</f>
        <v/>
      </c>
      <c r="AM1590" s="17">
        <f>IF(AND($E1590="Saída",$W1590&gt;0,$C1590&lt;&gt;""),$C1590+ROW()/1000000,"")</f>
        <v/>
      </c>
      <c r="AN1590" s="17">
        <f>IF(AND($E1590="Entrada",$W1590&gt;0,$C1590&lt;&gt;""),$C1590+ROW()/1000000,"")</f>
        <v/>
      </c>
      <c r="AO1590" s="9">
        <f>IF(COUNTA($B1590:$R1590)=0,"",IF(AND($I1590&lt;&gt;"",COUNTIF(CLIENTES_NOMES,$I1590)+COUNTIF(CLIENTES_FANTASIA,$I1590)+COUNTIF(FORNECEDORES_NOMES,$I1590)+COUNTIF(FORNECEDORES_FANTASIA,$I1590)=0),"⚠ Cliente/Fornecedor não cadastrado",IF(AND($G1590&lt;&gt;"",COUNTIF(SUBCATEGORIAS_PLANO,$G1590)=0),"⚠ Subcategoria fora do plano de contas",IF(OR($Q1590="",N($Q1590)=0),"⚠ Valor previsto não informado",IF(AND(OR($X1590="Pago",$X1590="Recebido"),$D1590=""),"⚠ Status pago/recebido sem data",IF(AND($D1590&lt;&gt;"",N($R1590)=0),"⚠ Data de pagamento sem valor realizado",IF(AND(N($P1590)&gt;1,N($O1590)&gt;N($P1590)),"⚠ Nº da parcela maior que o total",IF(AND($C1590&lt;&gt;"",$B1590&lt;&gt;"",$C1590&lt;$B1590),"⚠ Vencimento anterior à competência","OK"))))))))</f>
        <v/>
      </c>
    </row>
    <row r="1591">
      <c r="A1591" s="14" t="n"/>
      <c r="B1591" s="36" t="n"/>
      <c r="C1591" s="36" t="n"/>
      <c r="D1591" s="36" t="n"/>
      <c r="E1591" s="14" t="n"/>
      <c r="F1591" s="29" t="n"/>
      <c r="G1591" s="29" t="n"/>
      <c r="H1591" s="29" t="n"/>
      <c r="I1591" s="29" t="n"/>
      <c r="J1591" s="29" t="n"/>
      <c r="K1591" s="14" t="n"/>
      <c r="L1591" s="29" t="n"/>
      <c r="M1591" s="14" t="n"/>
      <c r="N1591" s="29" t="n"/>
      <c r="O1591" s="13" t="n"/>
      <c r="P1591" s="13" t="n"/>
      <c r="Q1591" s="35" t="n"/>
      <c r="R1591" s="35" t="n"/>
      <c r="S1591" s="35" t="n"/>
      <c r="T1591" s="35" t="n"/>
      <c r="U1591" s="35" t="n"/>
      <c r="V1591" s="18">
        <f>IF(COUNTA($B1591:$R1591)=0,"",ROUND(N($R1591)+N($S1591)+N($T1591)-N($U1591),2))</f>
        <v/>
      </c>
      <c r="W1591" s="18">
        <f>IF(COUNTA($B1591:$R1591)=0,"",IF(OR($X1591="Pago",$X1591="Recebido",$X1591="Cancelado"),0,ROUND(N($Q1591)+N($S1591)+N($T1591)-N($U1591)-N($R1591),2)))</f>
        <v/>
      </c>
      <c r="X1591" s="14" t="n"/>
      <c r="Y1591" s="17">
        <f>IF(COUNTA($B1591:$R1591)=0,"",IF($X1591="Cancelado","Cancelado",IF(OR($X1591="Pago",$X1591="Recebido"),$X1591,IF(OR($X1591="Parcial",N($R1591)&gt;0),"Parcial",IF($C1591="","Sem vencimento",IF($C1591&lt;TODAY(),"Vencido",IF($C1591=TODAY(),"Vence hoje",IF($C1591&lt;=TODAY()+7,"Vence em 7 dias",IF($C1591&lt;=TODAY()+30,"Vence em 30 dias","Futuro")))))))))</f>
        <v/>
      </c>
      <c r="Z1591" s="24">
        <f>IF($B1591="","",MONTH($B1591))</f>
        <v/>
      </c>
      <c r="AA1591" s="24">
        <f>IF($B1591="","",YEAR($B1591))</f>
        <v/>
      </c>
      <c r="AB1591" s="24">
        <f>IF($B1591="","",ISOWEEKNUM($B1591))</f>
        <v/>
      </c>
      <c r="AC1591" s="17">
        <f>IF($B1591="","",CHOOSE(WEEKDAY($B1591,2),"Segunda","Terça","Quarta","Quinta","Sexta","Sábado","Domingo"))</f>
        <v/>
      </c>
      <c r="AD1591" s="17">
        <f>IF($B1591="","",TEXT($B1591,"MM/AAAA"))</f>
        <v/>
      </c>
      <c r="AE1591" s="18">
        <f>IF(COUNTA($B1591:$R1591)=0,"",IF($X1591="Cancelado",0,ROUND(N($Q1591)+N($S1591)+N($T1591)-N($U1591),2)))</f>
        <v/>
      </c>
      <c r="AF1591" s="9">
        <f>IF($G1591="","",IFERROR(INDEX(LINHAS_DRE_PLANO,MATCH($G1591,SUBCATEGORIAS_PLANO,0)),"Não classificado"))</f>
        <v/>
      </c>
      <c r="AG1591" s="17">
        <f>IF($G1591="","",IFERROR(INDEX(TIPOS_FLUXO_PLANO,MATCH($G1591,SUBCATEGORIAS_PLANO,0)),"Não classificado"))</f>
        <v/>
      </c>
      <c r="AH1591" s="9">
        <f>IF($G1591="","",IFERROR(INDEX(GRUPOS_PLANO,MATCH($G1591,SUBCATEGORIAS_PLANO,0)),"Não classificado"))</f>
        <v/>
      </c>
      <c r="AI1591" s="24">
        <f>IF(OR($C1591="",$X1591="Pago",$X1591="Recebido",$X1591="Cancelado"),"",$C1591-TODAY())</f>
        <v/>
      </c>
      <c r="AJ1591" s="24">
        <f>IF(OR($C1591="",$X1591="Pago",$X1591="Recebido",$X1591="Cancelado"),0,MAX(0,TODAY()-$C1591))</f>
        <v/>
      </c>
      <c r="AK1591" s="24">
        <f>IF($D1591="","",$D1591-$B1591)</f>
        <v/>
      </c>
      <c r="AL1591" s="18">
        <f>IF(OR($D1591="",$B1591=""),"",ROUND(N($R1591)*($D1591-$B1591),2))</f>
        <v/>
      </c>
      <c r="AM1591" s="17">
        <f>IF(AND($E1591="Saída",$W1591&gt;0,$C1591&lt;&gt;""),$C1591+ROW()/1000000,"")</f>
        <v/>
      </c>
      <c r="AN1591" s="17">
        <f>IF(AND($E1591="Entrada",$W1591&gt;0,$C1591&lt;&gt;""),$C1591+ROW()/1000000,"")</f>
        <v/>
      </c>
      <c r="AO1591" s="9">
        <f>IF(COUNTA($B1591:$R1591)=0,"",IF(AND($I1591&lt;&gt;"",COUNTIF(CLIENTES_NOMES,$I1591)+COUNTIF(CLIENTES_FANTASIA,$I1591)+COUNTIF(FORNECEDORES_NOMES,$I1591)+COUNTIF(FORNECEDORES_FANTASIA,$I1591)=0),"⚠ Cliente/Fornecedor não cadastrado",IF(AND($G1591&lt;&gt;"",COUNTIF(SUBCATEGORIAS_PLANO,$G1591)=0),"⚠ Subcategoria fora do plano de contas",IF(OR($Q1591="",N($Q1591)=0),"⚠ Valor previsto não informado",IF(AND(OR($X1591="Pago",$X1591="Recebido"),$D1591=""),"⚠ Status pago/recebido sem data",IF(AND($D1591&lt;&gt;"",N($R1591)=0),"⚠ Data de pagamento sem valor realizado",IF(AND(N($P1591)&gt;1,N($O1591)&gt;N($P1591)),"⚠ Nº da parcela maior que o total",IF(AND($C1591&lt;&gt;"",$B1591&lt;&gt;"",$C1591&lt;$B1591),"⚠ Vencimento anterior à competência","OK"))))))))</f>
        <v/>
      </c>
    </row>
    <row r="1592">
      <c r="A1592" s="14" t="n"/>
      <c r="B1592" s="36" t="n"/>
      <c r="C1592" s="36" t="n"/>
      <c r="D1592" s="36" t="n"/>
      <c r="E1592" s="14" t="n"/>
      <c r="F1592" s="29" t="n"/>
      <c r="G1592" s="29" t="n"/>
      <c r="H1592" s="29" t="n"/>
      <c r="I1592" s="29" t="n"/>
      <c r="J1592" s="29" t="n"/>
      <c r="K1592" s="14" t="n"/>
      <c r="L1592" s="29" t="n"/>
      <c r="M1592" s="14" t="n"/>
      <c r="N1592" s="29" t="n"/>
      <c r="O1592" s="13" t="n"/>
      <c r="P1592" s="13" t="n"/>
      <c r="Q1592" s="35" t="n"/>
      <c r="R1592" s="35" t="n"/>
      <c r="S1592" s="35" t="n"/>
      <c r="T1592" s="35" t="n"/>
      <c r="U1592" s="35" t="n"/>
      <c r="V1592" s="18">
        <f>IF(COUNTA($B1592:$R1592)=0,"",ROUND(N($R1592)+N($S1592)+N($T1592)-N($U1592),2))</f>
        <v/>
      </c>
      <c r="W1592" s="18">
        <f>IF(COUNTA($B1592:$R1592)=0,"",IF(OR($X1592="Pago",$X1592="Recebido",$X1592="Cancelado"),0,ROUND(N($Q1592)+N($S1592)+N($T1592)-N($U1592)-N($R1592),2)))</f>
        <v/>
      </c>
      <c r="X1592" s="14" t="n"/>
      <c r="Y1592" s="17">
        <f>IF(COUNTA($B1592:$R1592)=0,"",IF($X1592="Cancelado","Cancelado",IF(OR($X1592="Pago",$X1592="Recebido"),$X1592,IF(OR($X1592="Parcial",N($R1592)&gt;0),"Parcial",IF($C1592="","Sem vencimento",IF($C1592&lt;TODAY(),"Vencido",IF($C1592=TODAY(),"Vence hoje",IF($C1592&lt;=TODAY()+7,"Vence em 7 dias",IF($C1592&lt;=TODAY()+30,"Vence em 30 dias","Futuro")))))))))</f>
        <v/>
      </c>
      <c r="Z1592" s="24">
        <f>IF($B1592="","",MONTH($B1592))</f>
        <v/>
      </c>
      <c r="AA1592" s="24">
        <f>IF($B1592="","",YEAR($B1592))</f>
        <v/>
      </c>
      <c r="AB1592" s="24">
        <f>IF($B1592="","",ISOWEEKNUM($B1592))</f>
        <v/>
      </c>
      <c r="AC1592" s="17">
        <f>IF($B1592="","",CHOOSE(WEEKDAY($B1592,2),"Segunda","Terça","Quarta","Quinta","Sexta","Sábado","Domingo"))</f>
        <v/>
      </c>
      <c r="AD1592" s="17">
        <f>IF($B1592="","",TEXT($B1592,"MM/AAAA"))</f>
        <v/>
      </c>
      <c r="AE1592" s="18">
        <f>IF(COUNTA($B1592:$R1592)=0,"",IF($X1592="Cancelado",0,ROUND(N($Q1592)+N($S1592)+N($T1592)-N($U1592),2)))</f>
        <v/>
      </c>
      <c r="AF1592" s="9">
        <f>IF($G1592="","",IFERROR(INDEX(LINHAS_DRE_PLANO,MATCH($G1592,SUBCATEGORIAS_PLANO,0)),"Não classificado"))</f>
        <v/>
      </c>
      <c r="AG1592" s="17">
        <f>IF($G1592="","",IFERROR(INDEX(TIPOS_FLUXO_PLANO,MATCH($G1592,SUBCATEGORIAS_PLANO,0)),"Não classificado"))</f>
        <v/>
      </c>
      <c r="AH1592" s="9">
        <f>IF($G1592="","",IFERROR(INDEX(GRUPOS_PLANO,MATCH($G1592,SUBCATEGORIAS_PLANO,0)),"Não classificado"))</f>
        <v/>
      </c>
      <c r="AI1592" s="24">
        <f>IF(OR($C1592="",$X1592="Pago",$X1592="Recebido",$X1592="Cancelado"),"",$C1592-TODAY())</f>
        <v/>
      </c>
      <c r="AJ1592" s="24">
        <f>IF(OR($C1592="",$X1592="Pago",$X1592="Recebido",$X1592="Cancelado"),0,MAX(0,TODAY()-$C1592))</f>
        <v/>
      </c>
      <c r="AK1592" s="24">
        <f>IF($D1592="","",$D1592-$B1592)</f>
        <v/>
      </c>
      <c r="AL1592" s="18">
        <f>IF(OR($D1592="",$B1592=""),"",ROUND(N($R1592)*($D1592-$B1592),2))</f>
        <v/>
      </c>
      <c r="AM1592" s="17">
        <f>IF(AND($E1592="Saída",$W1592&gt;0,$C1592&lt;&gt;""),$C1592+ROW()/1000000,"")</f>
        <v/>
      </c>
      <c r="AN1592" s="17">
        <f>IF(AND($E1592="Entrada",$W1592&gt;0,$C1592&lt;&gt;""),$C1592+ROW()/1000000,"")</f>
        <v/>
      </c>
      <c r="AO1592" s="9">
        <f>IF(COUNTA($B1592:$R1592)=0,"",IF(AND($I1592&lt;&gt;"",COUNTIF(CLIENTES_NOMES,$I1592)+COUNTIF(CLIENTES_FANTASIA,$I1592)+COUNTIF(FORNECEDORES_NOMES,$I1592)+COUNTIF(FORNECEDORES_FANTASIA,$I1592)=0),"⚠ Cliente/Fornecedor não cadastrado",IF(AND($G1592&lt;&gt;"",COUNTIF(SUBCATEGORIAS_PLANO,$G1592)=0),"⚠ Subcategoria fora do plano de contas",IF(OR($Q1592="",N($Q1592)=0),"⚠ Valor previsto não informado",IF(AND(OR($X1592="Pago",$X1592="Recebido"),$D1592=""),"⚠ Status pago/recebido sem data",IF(AND($D1592&lt;&gt;"",N($R1592)=0),"⚠ Data de pagamento sem valor realizado",IF(AND(N($P1592)&gt;1,N($O1592)&gt;N($P1592)),"⚠ Nº da parcela maior que o total",IF(AND($C1592&lt;&gt;"",$B1592&lt;&gt;"",$C1592&lt;$B1592),"⚠ Vencimento anterior à competência","OK"))))))))</f>
        <v/>
      </c>
    </row>
    <row r="1593">
      <c r="A1593" s="14" t="n"/>
      <c r="B1593" s="36" t="n"/>
      <c r="C1593" s="36" t="n"/>
      <c r="D1593" s="36" t="n"/>
      <c r="E1593" s="14" t="n"/>
      <c r="F1593" s="29" t="n"/>
      <c r="G1593" s="29" t="n"/>
      <c r="H1593" s="29" t="n"/>
      <c r="I1593" s="29" t="n"/>
      <c r="J1593" s="29" t="n"/>
      <c r="K1593" s="14" t="n"/>
      <c r="L1593" s="29" t="n"/>
      <c r="M1593" s="14" t="n"/>
      <c r="N1593" s="29" t="n"/>
      <c r="O1593" s="13" t="n"/>
      <c r="P1593" s="13" t="n"/>
      <c r="Q1593" s="35" t="n"/>
      <c r="R1593" s="35" t="n"/>
      <c r="S1593" s="35" t="n"/>
      <c r="T1593" s="35" t="n"/>
      <c r="U1593" s="35" t="n"/>
      <c r="V1593" s="18">
        <f>IF(COUNTA($B1593:$R1593)=0,"",ROUND(N($R1593)+N($S1593)+N($T1593)-N($U1593),2))</f>
        <v/>
      </c>
      <c r="W1593" s="18">
        <f>IF(COUNTA($B1593:$R1593)=0,"",IF(OR($X1593="Pago",$X1593="Recebido",$X1593="Cancelado"),0,ROUND(N($Q1593)+N($S1593)+N($T1593)-N($U1593)-N($R1593),2)))</f>
        <v/>
      </c>
      <c r="X1593" s="14" t="n"/>
      <c r="Y1593" s="17">
        <f>IF(COUNTA($B1593:$R1593)=0,"",IF($X1593="Cancelado","Cancelado",IF(OR($X1593="Pago",$X1593="Recebido"),$X1593,IF(OR($X1593="Parcial",N($R1593)&gt;0),"Parcial",IF($C1593="","Sem vencimento",IF($C1593&lt;TODAY(),"Vencido",IF($C1593=TODAY(),"Vence hoje",IF($C1593&lt;=TODAY()+7,"Vence em 7 dias",IF($C1593&lt;=TODAY()+30,"Vence em 30 dias","Futuro")))))))))</f>
        <v/>
      </c>
      <c r="Z1593" s="24">
        <f>IF($B1593="","",MONTH($B1593))</f>
        <v/>
      </c>
      <c r="AA1593" s="24">
        <f>IF($B1593="","",YEAR($B1593))</f>
        <v/>
      </c>
      <c r="AB1593" s="24">
        <f>IF($B1593="","",ISOWEEKNUM($B1593))</f>
        <v/>
      </c>
      <c r="AC1593" s="17">
        <f>IF($B1593="","",CHOOSE(WEEKDAY($B1593,2),"Segunda","Terça","Quarta","Quinta","Sexta","Sábado","Domingo"))</f>
        <v/>
      </c>
      <c r="AD1593" s="17">
        <f>IF($B1593="","",TEXT($B1593,"MM/AAAA"))</f>
        <v/>
      </c>
      <c r="AE1593" s="18">
        <f>IF(COUNTA($B1593:$R1593)=0,"",IF($X1593="Cancelado",0,ROUND(N($Q1593)+N($S1593)+N($T1593)-N($U1593),2)))</f>
        <v/>
      </c>
      <c r="AF1593" s="9">
        <f>IF($G1593="","",IFERROR(INDEX(LINHAS_DRE_PLANO,MATCH($G1593,SUBCATEGORIAS_PLANO,0)),"Não classificado"))</f>
        <v/>
      </c>
      <c r="AG1593" s="17">
        <f>IF($G1593="","",IFERROR(INDEX(TIPOS_FLUXO_PLANO,MATCH($G1593,SUBCATEGORIAS_PLANO,0)),"Não classificado"))</f>
        <v/>
      </c>
      <c r="AH1593" s="9">
        <f>IF($G1593="","",IFERROR(INDEX(GRUPOS_PLANO,MATCH($G1593,SUBCATEGORIAS_PLANO,0)),"Não classificado"))</f>
        <v/>
      </c>
      <c r="AI1593" s="24">
        <f>IF(OR($C1593="",$X1593="Pago",$X1593="Recebido",$X1593="Cancelado"),"",$C1593-TODAY())</f>
        <v/>
      </c>
      <c r="AJ1593" s="24">
        <f>IF(OR($C1593="",$X1593="Pago",$X1593="Recebido",$X1593="Cancelado"),0,MAX(0,TODAY()-$C1593))</f>
        <v/>
      </c>
      <c r="AK1593" s="24">
        <f>IF($D1593="","",$D1593-$B1593)</f>
        <v/>
      </c>
      <c r="AL1593" s="18">
        <f>IF(OR($D1593="",$B1593=""),"",ROUND(N($R1593)*($D1593-$B1593),2))</f>
        <v/>
      </c>
      <c r="AM1593" s="17">
        <f>IF(AND($E1593="Saída",$W1593&gt;0,$C1593&lt;&gt;""),$C1593+ROW()/1000000,"")</f>
        <v/>
      </c>
      <c r="AN1593" s="17">
        <f>IF(AND($E1593="Entrada",$W1593&gt;0,$C1593&lt;&gt;""),$C1593+ROW()/1000000,"")</f>
        <v/>
      </c>
      <c r="AO1593" s="9">
        <f>IF(COUNTA($B1593:$R1593)=0,"",IF(AND($I1593&lt;&gt;"",COUNTIF(CLIENTES_NOMES,$I1593)+COUNTIF(CLIENTES_FANTASIA,$I1593)+COUNTIF(FORNECEDORES_NOMES,$I1593)+COUNTIF(FORNECEDORES_FANTASIA,$I1593)=0),"⚠ Cliente/Fornecedor não cadastrado",IF(AND($G1593&lt;&gt;"",COUNTIF(SUBCATEGORIAS_PLANO,$G1593)=0),"⚠ Subcategoria fora do plano de contas",IF(OR($Q1593="",N($Q1593)=0),"⚠ Valor previsto não informado",IF(AND(OR($X1593="Pago",$X1593="Recebido"),$D1593=""),"⚠ Status pago/recebido sem data",IF(AND($D1593&lt;&gt;"",N($R1593)=0),"⚠ Data de pagamento sem valor realizado",IF(AND(N($P1593)&gt;1,N($O1593)&gt;N($P1593)),"⚠ Nº da parcela maior que o total",IF(AND($C1593&lt;&gt;"",$B1593&lt;&gt;"",$C1593&lt;$B1593),"⚠ Vencimento anterior à competência","OK"))))))))</f>
        <v/>
      </c>
    </row>
    <row r="1594">
      <c r="A1594" s="14" t="n"/>
      <c r="B1594" s="36" t="n"/>
      <c r="C1594" s="36" t="n"/>
      <c r="D1594" s="36" t="n"/>
      <c r="E1594" s="14" t="n"/>
      <c r="F1594" s="29" t="n"/>
      <c r="G1594" s="29" t="n"/>
      <c r="H1594" s="29" t="n"/>
      <c r="I1594" s="29" t="n"/>
      <c r="J1594" s="29" t="n"/>
      <c r="K1594" s="14" t="n"/>
      <c r="L1594" s="29" t="n"/>
      <c r="M1594" s="14" t="n"/>
      <c r="N1594" s="29" t="n"/>
      <c r="O1594" s="13" t="n"/>
      <c r="P1594" s="13" t="n"/>
      <c r="Q1594" s="35" t="n"/>
      <c r="R1594" s="35" t="n"/>
      <c r="S1594" s="35" t="n"/>
      <c r="T1594" s="35" t="n"/>
      <c r="U1594" s="35" t="n"/>
      <c r="V1594" s="18">
        <f>IF(COUNTA($B1594:$R1594)=0,"",ROUND(N($R1594)+N($S1594)+N($T1594)-N($U1594),2))</f>
        <v/>
      </c>
      <c r="W1594" s="18">
        <f>IF(COUNTA($B1594:$R1594)=0,"",IF(OR($X1594="Pago",$X1594="Recebido",$X1594="Cancelado"),0,ROUND(N($Q1594)+N($S1594)+N($T1594)-N($U1594)-N($R1594),2)))</f>
        <v/>
      </c>
      <c r="X1594" s="14" t="n"/>
      <c r="Y1594" s="17">
        <f>IF(COUNTA($B1594:$R1594)=0,"",IF($X1594="Cancelado","Cancelado",IF(OR($X1594="Pago",$X1594="Recebido"),$X1594,IF(OR($X1594="Parcial",N($R1594)&gt;0),"Parcial",IF($C1594="","Sem vencimento",IF($C1594&lt;TODAY(),"Vencido",IF($C1594=TODAY(),"Vence hoje",IF($C1594&lt;=TODAY()+7,"Vence em 7 dias",IF($C1594&lt;=TODAY()+30,"Vence em 30 dias","Futuro")))))))))</f>
        <v/>
      </c>
      <c r="Z1594" s="24">
        <f>IF($B1594="","",MONTH($B1594))</f>
        <v/>
      </c>
      <c r="AA1594" s="24">
        <f>IF($B1594="","",YEAR($B1594))</f>
        <v/>
      </c>
      <c r="AB1594" s="24">
        <f>IF($B1594="","",ISOWEEKNUM($B1594))</f>
        <v/>
      </c>
      <c r="AC1594" s="17">
        <f>IF($B1594="","",CHOOSE(WEEKDAY($B1594,2),"Segunda","Terça","Quarta","Quinta","Sexta","Sábado","Domingo"))</f>
        <v/>
      </c>
      <c r="AD1594" s="17">
        <f>IF($B1594="","",TEXT($B1594,"MM/AAAA"))</f>
        <v/>
      </c>
      <c r="AE1594" s="18">
        <f>IF(COUNTA($B1594:$R1594)=0,"",IF($X1594="Cancelado",0,ROUND(N($Q1594)+N($S1594)+N($T1594)-N($U1594),2)))</f>
        <v/>
      </c>
      <c r="AF1594" s="9">
        <f>IF($G1594="","",IFERROR(INDEX(LINHAS_DRE_PLANO,MATCH($G1594,SUBCATEGORIAS_PLANO,0)),"Não classificado"))</f>
        <v/>
      </c>
      <c r="AG1594" s="17">
        <f>IF($G1594="","",IFERROR(INDEX(TIPOS_FLUXO_PLANO,MATCH($G1594,SUBCATEGORIAS_PLANO,0)),"Não classificado"))</f>
        <v/>
      </c>
      <c r="AH1594" s="9">
        <f>IF($G1594="","",IFERROR(INDEX(GRUPOS_PLANO,MATCH($G1594,SUBCATEGORIAS_PLANO,0)),"Não classificado"))</f>
        <v/>
      </c>
      <c r="AI1594" s="24">
        <f>IF(OR($C1594="",$X1594="Pago",$X1594="Recebido",$X1594="Cancelado"),"",$C1594-TODAY())</f>
        <v/>
      </c>
      <c r="AJ1594" s="24">
        <f>IF(OR($C1594="",$X1594="Pago",$X1594="Recebido",$X1594="Cancelado"),0,MAX(0,TODAY()-$C1594))</f>
        <v/>
      </c>
      <c r="AK1594" s="24">
        <f>IF($D1594="","",$D1594-$B1594)</f>
        <v/>
      </c>
      <c r="AL1594" s="18">
        <f>IF(OR($D1594="",$B1594=""),"",ROUND(N($R1594)*($D1594-$B1594),2))</f>
        <v/>
      </c>
      <c r="AM1594" s="17">
        <f>IF(AND($E1594="Saída",$W1594&gt;0,$C1594&lt;&gt;""),$C1594+ROW()/1000000,"")</f>
        <v/>
      </c>
      <c r="AN1594" s="17">
        <f>IF(AND($E1594="Entrada",$W1594&gt;0,$C1594&lt;&gt;""),$C1594+ROW()/1000000,"")</f>
        <v/>
      </c>
      <c r="AO1594" s="9">
        <f>IF(COUNTA($B1594:$R1594)=0,"",IF(AND($I1594&lt;&gt;"",COUNTIF(CLIENTES_NOMES,$I1594)+COUNTIF(CLIENTES_FANTASIA,$I1594)+COUNTIF(FORNECEDORES_NOMES,$I1594)+COUNTIF(FORNECEDORES_FANTASIA,$I1594)=0),"⚠ Cliente/Fornecedor não cadastrado",IF(AND($G1594&lt;&gt;"",COUNTIF(SUBCATEGORIAS_PLANO,$G1594)=0),"⚠ Subcategoria fora do plano de contas",IF(OR($Q1594="",N($Q1594)=0),"⚠ Valor previsto não informado",IF(AND(OR($X1594="Pago",$X1594="Recebido"),$D1594=""),"⚠ Status pago/recebido sem data",IF(AND($D1594&lt;&gt;"",N($R1594)=0),"⚠ Data de pagamento sem valor realizado",IF(AND(N($P1594)&gt;1,N($O1594)&gt;N($P1594)),"⚠ Nº da parcela maior que o total",IF(AND($C1594&lt;&gt;"",$B1594&lt;&gt;"",$C1594&lt;$B1594),"⚠ Vencimento anterior à competência","OK"))))))))</f>
        <v/>
      </c>
    </row>
    <row r="1595">
      <c r="A1595" s="14" t="n"/>
      <c r="B1595" s="36" t="n"/>
      <c r="C1595" s="36" t="n"/>
      <c r="D1595" s="36" t="n"/>
      <c r="E1595" s="14" t="n"/>
      <c r="F1595" s="29" t="n"/>
      <c r="G1595" s="29" t="n"/>
      <c r="H1595" s="29" t="n"/>
      <c r="I1595" s="29" t="n"/>
      <c r="J1595" s="29" t="n"/>
      <c r="K1595" s="14" t="n"/>
      <c r="L1595" s="29" t="n"/>
      <c r="M1595" s="14" t="n"/>
      <c r="N1595" s="29" t="n"/>
      <c r="O1595" s="13" t="n"/>
      <c r="P1595" s="13" t="n"/>
      <c r="Q1595" s="35" t="n"/>
      <c r="R1595" s="35" t="n"/>
      <c r="S1595" s="35" t="n"/>
      <c r="T1595" s="35" t="n"/>
      <c r="U1595" s="35" t="n"/>
      <c r="V1595" s="18">
        <f>IF(COUNTA($B1595:$R1595)=0,"",ROUND(N($R1595)+N($S1595)+N($T1595)-N($U1595),2))</f>
        <v/>
      </c>
      <c r="W1595" s="18">
        <f>IF(COUNTA($B1595:$R1595)=0,"",IF(OR($X1595="Pago",$X1595="Recebido",$X1595="Cancelado"),0,ROUND(N($Q1595)+N($S1595)+N($T1595)-N($U1595)-N($R1595),2)))</f>
        <v/>
      </c>
      <c r="X1595" s="14" t="n"/>
      <c r="Y1595" s="17">
        <f>IF(COUNTA($B1595:$R1595)=0,"",IF($X1595="Cancelado","Cancelado",IF(OR($X1595="Pago",$X1595="Recebido"),$X1595,IF(OR($X1595="Parcial",N($R1595)&gt;0),"Parcial",IF($C1595="","Sem vencimento",IF($C1595&lt;TODAY(),"Vencido",IF($C1595=TODAY(),"Vence hoje",IF($C1595&lt;=TODAY()+7,"Vence em 7 dias",IF($C1595&lt;=TODAY()+30,"Vence em 30 dias","Futuro")))))))))</f>
        <v/>
      </c>
      <c r="Z1595" s="24">
        <f>IF($B1595="","",MONTH($B1595))</f>
        <v/>
      </c>
      <c r="AA1595" s="24">
        <f>IF($B1595="","",YEAR($B1595))</f>
        <v/>
      </c>
      <c r="AB1595" s="24">
        <f>IF($B1595="","",ISOWEEKNUM($B1595))</f>
        <v/>
      </c>
      <c r="AC1595" s="17">
        <f>IF($B1595="","",CHOOSE(WEEKDAY($B1595,2),"Segunda","Terça","Quarta","Quinta","Sexta","Sábado","Domingo"))</f>
        <v/>
      </c>
      <c r="AD1595" s="17">
        <f>IF($B1595="","",TEXT($B1595,"MM/AAAA"))</f>
        <v/>
      </c>
      <c r="AE1595" s="18">
        <f>IF(COUNTA($B1595:$R1595)=0,"",IF($X1595="Cancelado",0,ROUND(N($Q1595)+N($S1595)+N($T1595)-N($U1595),2)))</f>
        <v/>
      </c>
      <c r="AF1595" s="9">
        <f>IF($G1595="","",IFERROR(INDEX(LINHAS_DRE_PLANO,MATCH($G1595,SUBCATEGORIAS_PLANO,0)),"Não classificado"))</f>
        <v/>
      </c>
      <c r="AG1595" s="17">
        <f>IF($G1595="","",IFERROR(INDEX(TIPOS_FLUXO_PLANO,MATCH($G1595,SUBCATEGORIAS_PLANO,0)),"Não classificado"))</f>
        <v/>
      </c>
      <c r="AH1595" s="9">
        <f>IF($G1595="","",IFERROR(INDEX(GRUPOS_PLANO,MATCH($G1595,SUBCATEGORIAS_PLANO,0)),"Não classificado"))</f>
        <v/>
      </c>
      <c r="AI1595" s="24">
        <f>IF(OR($C1595="",$X1595="Pago",$X1595="Recebido",$X1595="Cancelado"),"",$C1595-TODAY())</f>
        <v/>
      </c>
      <c r="AJ1595" s="24">
        <f>IF(OR($C1595="",$X1595="Pago",$X1595="Recebido",$X1595="Cancelado"),0,MAX(0,TODAY()-$C1595))</f>
        <v/>
      </c>
      <c r="AK1595" s="24">
        <f>IF($D1595="","",$D1595-$B1595)</f>
        <v/>
      </c>
      <c r="AL1595" s="18">
        <f>IF(OR($D1595="",$B1595=""),"",ROUND(N($R1595)*($D1595-$B1595),2))</f>
        <v/>
      </c>
      <c r="AM1595" s="17">
        <f>IF(AND($E1595="Saída",$W1595&gt;0,$C1595&lt;&gt;""),$C1595+ROW()/1000000,"")</f>
        <v/>
      </c>
      <c r="AN1595" s="17">
        <f>IF(AND($E1595="Entrada",$W1595&gt;0,$C1595&lt;&gt;""),$C1595+ROW()/1000000,"")</f>
        <v/>
      </c>
      <c r="AO1595" s="9">
        <f>IF(COUNTA($B1595:$R1595)=0,"",IF(AND($I1595&lt;&gt;"",COUNTIF(CLIENTES_NOMES,$I1595)+COUNTIF(CLIENTES_FANTASIA,$I1595)+COUNTIF(FORNECEDORES_NOMES,$I1595)+COUNTIF(FORNECEDORES_FANTASIA,$I1595)=0),"⚠ Cliente/Fornecedor não cadastrado",IF(AND($G1595&lt;&gt;"",COUNTIF(SUBCATEGORIAS_PLANO,$G1595)=0),"⚠ Subcategoria fora do plano de contas",IF(OR($Q1595="",N($Q1595)=0),"⚠ Valor previsto não informado",IF(AND(OR($X1595="Pago",$X1595="Recebido"),$D1595=""),"⚠ Status pago/recebido sem data",IF(AND($D1595&lt;&gt;"",N($R1595)=0),"⚠ Data de pagamento sem valor realizado",IF(AND(N($P1595)&gt;1,N($O1595)&gt;N($P1595)),"⚠ Nº da parcela maior que o total",IF(AND($C1595&lt;&gt;"",$B1595&lt;&gt;"",$C1595&lt;$B1595),"⚠ Vencimento anterior à competência","OK"))))))))</f>
        <v/>
      </c>
    </row>
    <row r="1596">
      <c r="A1596" s="14" t="n"/>
      <c r="B1596" s="36" t="n"/>
      <c r="C1596" s="36" t="n"/>
      <c r="D1596" s="36" t="n"/>
      <c r="E1596" s="14" t="n"/>
      <c r="F1596" s="29" t="n"/>
      <c r="G1596" s="29" t="n"/>
      <c r="H1596" s="29" t="n"/>
      <c r="I1596" s="29" t="n"/>
      <c r="J1596" s="29" t="n"/>
      <c r="K1596" s="14" t="n"/>
      <c r="L1596" s="29" t="n"/>
      <c r="M1596" s="14" t="n"/>
      <c r="N1596" s="29" t="n"/>
      <c r="O1596" s="13" t="n"/>
      <c r="P1596" s="13" t="n"/>
      <c r="Q1596" s="35" t="n"/>
      <c r="R1596" s="35" t="n"/>
      <c r="S1596" s="35" t="n"/>
      <c r="T1596" s="35" t="n"/>
      <c r="U1596" s="35" t="n"/>
      <c r="V1596" s="18">
        <f>IF(COUNTA($B1596:$R1596)=0,"",ROUND(N($R1596)+N($S1596)+N($T1596)-N($U1596),2))</f>
        <v/>
      </c>
      <c r="W1596" s="18">
        <f>IF(COUNTA($B1596:$R1596)=0,"",IF(OR($X1596="Pago",$X1596="Recebido",$X1596="Cancelado"),0,ROUND(N($Q1596)+N($S1596)+N($T1596)-N($U1596)-N($R1596),2)))</f>
        <v/>
      </c>
      <c r="X1596" s="14" t="n"/>
      <c r="Y1596" s="17">
        <f>IF(COUNTA($B1596:$R1596)=0,"",IF($X1596="Cancelado","Cancelado",IF(OR($X1596="Pago",$X1596="Recebido"),$X1596,IF(OR($X1596="Parcial",N($R1596)&gt;0),"Parcial",IF($C1596="","Sem vencimento",IF($C1596&lt;TODAY(),"Vencido",IF($C1596=TODAY(),"Vence hoje",IF($C1596&lt;=TODAY()+7,"Vence em 7 dias",IF($C1596&lt;=TODAY()+30,"Vence em 30 dias","Futuro")))))))))</f>
        <v/>
      </c>
      <c r="Z1596" s="24">
        <f>IF($B1596="","",MONTH($B1596))</f>
        <v/>
      </c>
      <c r="AA1596" s="24">
        <f>IF($B1596="","",YEAR($B1596))</f>
        <v/>
      </c>
      <c r="AB1596" s="24">
        <f>IF($B1596="","",ISOWEEKNUM($B1596))</f>
        <v/>
      </c>
      <c r="AC1596" s="17">
        <f>IF($B1596="","",CHOOSE(WEEKDAY($B1596,2),"Segunda","Terça","Quarta","Quinta","Sexta","Sábado","Domingo"))</f>
        <v/>
      </c>
      <c r="AD1596" s="17">
        <f>IF($B1596="","",TEXT($B1596,"MM/AAAA"))</f>
        <v/>
      </c>
      <c r="AE1596" s="18">
        <f>IF(COUNTA($B1596:$R1596)=0,"",IF($X1596="Cancelado",0,ROUND(N($Q1596)+N($S1596)+N($T1596)-N($U1596),2)))</f>
        <v/>
      </c>
      <c r="AF1596" s="9">
        <f>IF($G1596="","",IFERROR(INDEX(LINHAS_DRE_PLANO,MATCH($G1596,SUBCATEGORIAS_PLANO,0)),"Não classificado"))</f>
        <v/>
      </c>
      <c r="AG1596" s="17">
        <f>IF($G1596="","",IFERROR(INDEX(TIPOS_FLUXO_PLANO,MATCH($G1596,SUBCATEGORIAS_PLANO,0)),"Não classificado"))</f>
        <v/>
      </c>
      <c r="AH1596" s="9">
        <f>IF($G1596="","",IFERROR(INDEX(GRUPOS_PLANO,MATCH($G1596,SUBCATEGORIAS_PLANO,0)),"Não classificado"))</f>
        <v/>
      </c>
      <c r="AI1596" s="24">
        <f>IF(OR($C1596="",$X1596="Pago",$X1596="Recebido",$X1596="Cancelado"),"",$C1596-TODAY())</f>
        <v/>
      </c>
      <c r="AJ1596" s="24">
        <f>IF(OR($C1596="",$X1596="Pago",$X1596="Recebido",$X1596="Cancelado"),0,MAX(0,TODAY()-$C1596))</f>
        <v/>
      </c>
      <c r="AK1596" s="24">
        <f>IF($D1596="","",$D1596-$B1596)</f>
        <v/>
      </c>
      <c r="AL1596" s="18">
        <f>IF(OR($D1596="",$B1596=""),"",ROUND(N($R1596)*($D1596-$B1596),2))</f>
        <v/>
      </c>
      <c r="AM1596" s="17">
        <f>IF(AND($E1596="Saída",$W1596&gt;0,$C1596&lt;&gt;""),$C1596+ROW()/1000000,"")</f>
        <v/>
      </c>
      <c r="AN1596" s="17">
        <f>IF(AND($E1596="Entrada",$W1596&gt;0,$C1596&lt;&gt;""),$C1596+ROW()/1000000,"")</f>
        <v/>
      </c>
      <c r="AO1596" s="9">
        <f>IF(COUNTA($B1596:$R1596)=0,"",IF(AND($I1596&lt;&gt;"",COUNTIF(CLIENTES_NOMES,$I1596)+COUNTIF(CLIENTES_FANTASIA,$I1596)+COUNTIF(FORNECEDORES_NOMES,$I1596)+COUNTIF(FORNECEDORES_FANTASIA,$I1596)=0),"⚠ Cliente/Fornecedor não cadastrado",IF(AND($G1596&lt;&gt;"",COUNTIF(SUBCATEGORIAS_PLANO,$G1596)=0),"⚠ Subcategoria fora do plano de contas",IF(OR($Q1596="",N($Q1596)=0),"⚠ Valor previsto não informado",IF(AND(OR($X1596="Pago",$X1596="Recebido"),$D1596=""),"⚠ Status pago/recebido sem data",IF(AND($D1596&lt;&gt;"",N($R1596)=0),"⚠ Data de pagamento sem valor realizado",IF(AND(N($P1596)&gt;1,N($O1596)&gt;N($P1596)),"⚠ Nº da parcela maior que o total",IF(AND($C1596&lt;&gt;"",$B1596&lt;&gt;"",$C1596&lt;$B1596),"⚠ Vencimento anterior à competência","OK"))))))))</f>
        <v/>
      </c>
    </row>
    <row r="1597">
      <c r="A1597" s="14" t="n"/>
      <c r="B1597" s="36" t="n"/>
      <c r="C1597" s="36" t="n"/>
      <c r="D1597" s="36" t="n"/>
      <c r="E1597" s="14" t="n"/>
      <c r="F1597" s="29" t="n"/>
      <c r="G1597" s="29" t="n"/>
      <c r="H1597" s="29" t="n"/>
      <c r="I1597" s="29" t="n"/>
      <c r="J1597" s="29" t="n"/>
      <c r="K1597" s="14" t="n"/>
      <c r="L1597" s="29" t="n"/>
      <c r="M1597" s="14" t="n"/>
      <c r="N1597" s="29" t="n"/>
      <c r="O1597" s="13" t="n"/>
      <c r="P1597" s="13" t="n"/>
      <c r="Q1597" s="35" t="n"/>
      <c r="R1597" s="35" t="n"/>
      <c r="S1597" s="35" t="n"/>
      <c r="T1597" s="35" t="n"/>
      <c r="U1597" s="35" t="n"/>
      <c r="V1597" s="18">
        <f>IF(COUNTA($B1597:$R1597)=0,"",ROUND(N($R1597)+N($S1597)+N($T1597)-N($U1597),2))</f>
        <v/>
      </c>
      <c r="W1597" s="18">
        <f>IF(COUNTA($B1597:$R1597)=0,"",IF(OR($X1597="Pago",$X1597="Recebido",$X1597="Cancelado"),0,ROUND(N($Q1597)+N($S1597)+N($T1597)-N($U1597)-N($R1597),2)))</f>
        <v/>
      </c>
      <c r="X1597" s="14" t="n"/>
      <c r="Y1597" s="17">
        <f>IF(COUNTA($B1597:$R1597)=0,"",IF($X1597="Cancelado","Cancelado",IF(OR($X1597="Pago",$X1597="Recebido"),$X1597,IF(OR($X1597="Parcial",N($R1597)&gt;0),"Parcial",IF($C1597="","Sem vencimento",IF($C1597&lt;TODAY(),"Vencido",IF($C1597=TODAY(),"Vence hoje",IF($C1597&lt;=TODAY()+7,"Vence em 7 dias",IF($C1597&lt;=TODAY()+30,"Vence em 30 dias","Futuro")))))))))</f>
        <v/>
      </c>
      <c r="Z1597" s="24">
        <f>IF($B1597="","",MONTH($B1597))</f>
        <v/>
      </c>
      <c r="AA1597" s="24">
        <f>IF($B1597="","",YEAR($B1597))</f>
        <v/>
      </c>
      <c r="AB1597" s="24">
        <f>IF($B1597="","",ISOWEEKNUM($B1597))</f>
        <v/>
      </c>
      <c r="AC1597" s="17">
        <f>IF($B1597="","",CHOOSE(WEEKDAY($B1597,2),"Segunda","Terça","Quarta","Quinta","Sexta","Sábado","Domingo"))</f>
        <v/>
      </c>
      <c r="AD1597" s="17">
        <f>IF($B1597="","",TEXT($B1597,"MM/AAAA"))</f>
        <v/>
      </c>
      <c r="AE1597" s="18">
        <f>IF(COUNTA($B1597:$R1597)=0,"",IF($X1597="Cancelado",0,ROUND(N($Q1597)+N($S1597)+N($T1597)-N($U1597),2)))</f>
        <v/>
      </c>
      <c r="AF1597" s="9">
        <f>IF($G1597="","",IFERROR(INDEX(LINHAS_DRE_PLANO,MATCH($G1597,SUBCATEGORIAS_PLANO,0)),"Não classificado"))</f>
        <v/>
      </c>
      <c r="AG1597" s="17">
        <f>IF($G1597="","",IFERROR(INDEX(TIPOS_FLUXO_PLANO,MATCH($G1597,SUBCATEGORIAS_PLANO,0)),"Não classificado"))</f>
        <v/>
      </c>
      <c r="AH1597" s="9">
        <f>IF($G1597="","",IFERROR(INDEX(GRUPOS_PLANO,MATCH($G1597,SUBCATEGORIAS_PLANO,0)),"Não classificado"))</f>
        <v/>
      </c>
      <c r="AI1597" s="24">
        <f>IF(OR($C1597="",$X1597="Pago",$X1597="Recebido",$X1597="Cancelado"),"",$C1597-TODAY())</f>
        <v/>
      </c>
      <c r="AJ1597" s="24">
        <f>IF(OR($C1597="",$X1597="Pago",$X1597="Recebido",$X1597="Cancelado"),0,MAX(0,TODAY()-$C1597))</f>
        <v/>
      </c>
      <c r="AK1597" s="24">
        <f>IF($D1597="","",$D1597-$B1597)</f>
        <v/>
      </c>
      <c r="AL1597" s="18">
        <f>IF(OR($D1597="",$B1597=""),"",ROUND(N($R1597)*($D1597-$B1597),2))</f>
        <v/>
      </c>
      <c r="AM1597" s="17">
        <f>IF(AND($E1597="Saída",$W1597&gt;0,$C1597&lt;&gt;""),$C1597+ROW()/1000000,"")</f>
        <v/>
      </c>
      <c r="AN1597" s="17">
        <f>IF(AND($E1597="Entrada",$W1597&gt;0,$C1597&lt;&gt;""),$C1597+ROW()/1000000,"")</f>
        <v/>
      </c>
      <c r="AO1597" s="9">
        <f>IF(COUNTA($B1597:$R1597)=0,"",IF(AND($I1597&lt;&gt;"",COUNTIF(CLIENTES_NOMES,$I1597)+COUNTIF(CLIENTES_FANTASIA,$I1597)+COUNTIF(FORNECEDORES_NOMES,$I1597)+COUNTIF(FORNECEDORES_FANTASIA,$I1597)=0),"⚠ Cliente/Fornecedor não cadastrado",IF(AND($G1597&lt;&gt;"",COUNTIF(SUBCATEGORIAS_PLANO,$G1597)=0),"⚠ Subcategoria fora do plano de contas",IF(OR($Q1597="",N($Q1597)=0),"⚠ Valor previsto não informado",IF(AND(OR($X1597="Pago",$X1597="Recebido"),$D1597=""),"⚠ Status pago/recebido sem data",IF(AND($D1597&lt;&gt;"",N($R1597)=0),"⚠ Data de pagamento sem valor realizado",IF(AND(N($P1597)&gt;1,N($O1597)&gt;N($P1597)),"⚠ Nº da parcela maior que o total",IF(AND($C1597&lt;&gt;"",$B1597&lt;&gt;"",$C1597&lt;$B1597),"⚠ Vencimento anterior à competência","OK"))))))))</f>
        <v/>
      </c>
    </row>
    <row r="1598">
      <c r="A1598" s="14" t="n"/>
      <c r="B1598" s="36" t="n"/>
      <c r="C1598" s="36" t="n"/>
      <c r="D1598" s="36" t="n"/>
      <c r="E1598" s="14" t="n"/>
      <c r="F1598" s="29" t="n"/>
      <c r="G1598" s="29" t="n"/>
      <c r="H1598" s="29" t="n"/>
      <c r="I1598" s="29" t="n"/>
      <c r="J1598" s="29" t="n"/>
      <c r="K1598" s="14" t="n"/>
      <c r="L1598" s="29" t="n"/>
      <c r="M1598" s="14" t="n"/>
      <c r="N1598" s="29" t="n"/>
      <c r="O1598" s="13" t="n"/>
      <c r="P1598" s="13" t="n"/>
      <c r="Q1598" s="35" t="n"/>
      <c r="R1598" s="35" t="n"/>
      <c r="S1598" s="35" t="n"/>
      <c r="T1598" s="35" t="n"/>
      <c r="U1598" s="35" t="n"/>
      <c r="V1598" s="18">
        <f>IF(COUNTA($B1598:$R1598)=0,"",ROUND(N($R1598)+N($S1598)+N($T1598)-N($U1598),2))</f>
        <v/>
      </c>
      <c r="W1598" s="18">
        <f>IF(COUNTA($B1598:$R1598)=0,"",IF(OR($X1598="Pago",$X1598="Recebido",$X1598="Cancelado"),0,ROUND(N($Q1598)+N($S1598)+N($T1598)-N($U1598)-N($R1598),2)))</f>
        <v/>
      </c>
      <c r="X1598" s="14" t="n"/>
      <c r="Y1598" s="17">
        <f>IF(COUNTA($B1598:$R1598)=0,"",IF($X1598="Cancelado","Cancelado",IF(OR($X1598="Pago",$X1598="Recebido"),$X1598,IF(OR($X1598="Parcial",N($R1598)&gt;0),"Parcial",IF($C1598="","Sem vencimento",IF($C1598&lt;TODAY(),"Vencido",IF($C1598=TODAY(),"Vence hoje",IF($C1598&lt;=TODAY()+7,"Vence em 7 dias",IF($C1598&lt;=TODAY()+30,"Vence em 30 dias","Futuro")))))))))</f>
        <v/>
      </c>
      <c r="Z1598" s="24">
        <f>IF($B1598="","",MONTH($B1598))</f>
        <v/>
      </c>
      <c r="AA1598" s="24">
        <f>IF($B1598="","",YEAR($B1598))</f>
        <v/>
      </c>
      <c r="AB1598" s="24">
        <f>IF($B1598="","",ISOWEEKNUM($B1598))</f>
        <v/>
      </c>
      <c r="AC1598" s="17">
        <f>IF($B1598="","",CHOOSE(WEEKDAY($B1598,2),"Segunda","Terça","Quarta","Quinta","Sexta","Sábado","Domingo"))</f>
        <v/>
      </c>
      <c r="AD1598" s="17">
        <f>IF($B1598="","",TEXT($B1598,"MM/AAAA"))</f>
        <v/>
      </c>
      <c r="AE1598" s="18">
        <f>IF(COUNTA($B1598:$R1598)=0,"",IF($X1598="Cancelado",0,ROUND(N($Q1598)+N($S1598)+N($T1598)-N($U1598),2)))</f>
        <v/>
      </c>
      <c r="AF1598" s="9">
        <f>IF($G1598="","",IFERROR(INDEX(LINHAS_DRE_PLANO,MATCH($G1598,SUBCATEGORIAS_PLANO,0)),"Não classificado"))</f>
        <v/>
      </c>
      <c r="AG1598" s="17">
        <f>IF($G1598="","",IFERROR(INDEX(TIPOS_FLUXO_PLANO,MATCH($G1598,SUBCATEGORIAS_PLANO,0)),"Não classificado"))</f>
        <v/>
      </c>
      <c r="AH1598" s="9">
        <f>IF($G1598="","",IFERROR(INDEX(GRUPOS_PLANO,MATCH($G1598,SUBCATEGORIAS_PLANO,0)),"Não classificado"))</f>
        <v/>
      </c>
      <c r="AI1598" s="24">
        <f>IF(OR($C1598="",$X1598="Pago",$X1598="Recebido",$X1598="Cancelado"),"",$C1598-TODAY())</f>
        <v/>
      </c>
      <c r="AJ1598" s="24">
        <f>IF(OR($C1598="",$X1598="Pago",$X1598="Recebido",$X1598="Cancelado"),0,MAX(0,TODAY()-$C1598))</f>
        <v/>
      </c>
      <c r="AK1598" s="24">
        <f>IF($D1598="","",$D1598-$B1598)</f>
        <v/>
      </c>
      <c r="AL1598" s="18">
        <f>IF(OR($D1598="",$B1598=""),"",ROUND(N($R1598)*($D1598-$B1598),2))</f>
        <v/>
      </c>
      <c r="AM1598" s="17">
        <f>IF(AND($E1598="Saída",$W1598&gt;0,$C1598&lt;&gt;""),$C1598+ROW()/1000000,"")</f>
        <v/>
      </c>
      <c r="AN1598" s="17">
        <f>IF(AND($E1598="Entrada",$W1598&gt;0,$C1598&lt;&gt;""),$C1598+ROW()/1000000,"")</f>
        <v/>
      </c>
      <c r="AO1598" s="9">
        <f>IF(COUNTA($B1598:$R1598)=0,"",IF(AND($I1598&lt;&gt;"",COUNTIF(CLIENTES_NOMES,$I1598)+COUNTIF(CLIENTES_FANTASIA,$I1598)+COUNTIF(FORNECEDORES_NOMES,$I1598)+COUNTIF(FORNECEDORES_FANTASIA,$I1598)=0),"⚠ Cliente/Fornecedor não cadastrado",IF(AND($G1598&lt;&gt;"",COUNTIF(SUBCATEGORIAS_PLANO,$G1598)=0),"⚠ Subcategoria fora do plano de contas",IF(OR($Q1598="",N($Q1598)=0),"⚠ Valor previsto não informado",IF(AND(OR($X1598="Pago",$X1598="Recebido"),$D1598=""),"⚠ Status pago/recebido sem data",IF(AND($D1598&lt;&gt;"",N($R1598)=0),"⚠ Data de pagamento sem valor realizado",IF(AND(N($P1598)&gt;1,N($O1598)&gt;N($P1598)),"⚠ Nº da parcela maior que o total",IF(AND($C1598&lt;&gt;"",$B1598&lt;&gt;"",$C1598&lt;$B1598),"⚠ Vencimento anterior à competência","OK"))))))))</f>
        <v/>
      </c>
    </row>
    <row r="1599">
      <c r="A1599" s="14" t="n"/>
      <c r="B1599" s="36" t="n"/>
      <c r="C1599" s="36" t="n"/>
      <c r="D1599" s="36" t="n"/>
      <c r="E1599" s="14" t="n"/>
      <c r="F1599" s="29" t="n"/>
      <c r="G1599" s="29" t="n"/>
      <c r="H1599" s="29" t="n"/>
      <c r="I1599" s="29" t="n"/>
      <c r="J1599" s="29" t="n"/>
      <c r="K1599" s="14" t="n"/>
      <c r="L1599" s="29" t="n"/>
      <c r="M1599" s="14" t="n"/>
      <c r="N1599" s="29" t="n"/>
      <c r="O1599" s="13" t="n"/>
      <c r="P1599" s="13" t="n"/>
      <c r="Q1599" s="35" t="n"/>
      <c r="R1599" s="35" t="n"/>
      <c r="S1599" s="35" t="n"/>
      <c r="T1599" s="35" t="n"/>
      <c r="U1599" s="35" t="n"/>
      <c r="V1599" s="18">
        <f>IF(COUNTA($B1599:$R1599)=0,"",ROUND(N($R1599)+N($S1599)+N($T1599)-N($U1599),2))</f>
        <v/>
      </c>
      <c r="W1599" s="18">
        <f>IF(COUNTA($B1599:$R1599)=0,"",IF(OR($X1599="Pago",$X1599="Recebido",$X1599="Cancelado"),0,ROUND(N($Q1599)+N($S1599)+N($T1599)-N($U1599)-N($R1599),2)))</f>
        <v/>
      </c>
      <c r="X1599" s="14" t="n"/>
      <c r="Y1599" s="17">
        <f>IF(COUNTA($B1599:$R1599)=0,"",IF($X1599="Cancelado","Cancelado",IF(OR($X1599="Pago",$X1599="Recebido"),$X1599,IF(OR($X1599="Parcial",N($R1599)&gt;0),"Parcial",IF($C1599="","Sem vencimento",IF($C1599&lt;TODAY(),"Vencido",IF($C1599=TODAY(),"Vence hoje",IF($C1599&lt;=TODAY()+7,"Vence em 7 dias",IF($C1599&lt;=TODAY()+30,"Vence em 30 dias","Futuro")))))))))</f>
        <v/>
      </c>
      <c r="Z1599" s="24">
        <f>IF($B1599="","",MONTH($B1599))</f>
        <v/>
      </c>
      <c r="AA1599" s="24">
        <f>IF($B1599="","",YEAR($B1599))</f>
        <v/>
      </c>
      <c r="AB1599" s="24">
        <f>IF($B1599="","",ISOWEEKNUM($B1599))</f>
        <v/>
      </c>
      <c r="AC1599" s="17">
        <f>IF($B1599="","",CHOOSE(WEEKDAY($B1599,2),"Segunda","Terça","Quarta","Quinta","Sexta","Sábado","Domingo"))</f>
        <v/>
      </c>
      <c r="AD1599" s="17">
        <f>IF($B1599="","",TEXT($B1599,"MM/AAAA"))</f>
        <v/>
      </c>
      <c r="AE1599" s="18">
        <f>IF(COUNTA($B1599:$R1599)=0,"",IF($X1599="Cancelado",0,ROUND(N($Q1599)+N($S1599)+N($T1599)-N($U1599),2)))</f>
        <v/>
      </c>
      <c r="AF1599" s="9">
        <f>IF($G1599="","",IFERROR(INDEX(LINHAS_DRE_PLANO,MATCH($G1599,SUBCATEGORIAS_PLANO,0)),"Não classificado"))</f>
        <v/>
      </c>
      <c r="AG1599" s="17">
        <f>IF($G1599="","",IFERROR(INDEX(TIPOS_FLUXO_PLANO,MATCH($G1599,SUBCATEGORIAS_PLANO,0)),"Não classificado"))</f>
        <v/>
      </c>
      <c r="AH1599" s="9">
        <f>IF($G1599="","",IFERROR(INDEX(GRUPOS_PLANO,MATCH($G1599,SUBCATEGORIAS_PLANO,0)),"Não classificado"))</f>
        <v/>
      </c>
      <c r="AI1599" s="24">
        <f>IF(OR($C1599="",$X1599="Pago",$X1599="Recebido",$X1599="Cancelado"),"",$C1599-TODAY())</f>
        <v/>
      </c>
      <c r="AJ1599" s="24">
        <f>IF(OR($C1599="",$X1599="Pago",$X1599="Recebido",$X1599="Cancelado"),0,MAX(0,TODAY()-$C1599))</f>
        <v/>
      </c>
      <c r="AK1599" s="24">
        <f>IF($D1599="","",$D1599-$B1599)</f>
        <v/>
      </c>
      <c r="AL1599" s="18">
        <f>IF(OR($D1599="",$B1599=""),"",ROUND(N($R1599)*($D1599-$B1599),2))</f>
        <v/>
      </c>
      <c r="AM1599" s="17">
        <f>IF(AND($E1599="Saída",$W1599&gt;0,$C1599&lt;&gt;""),$C1599+ROW()/1000000,"")</f>
        <v/>
      </c>
      <c r="AN1599" s="17">
        <f>IF(AND($E1599="Entrada",$W1599&gt;0,$C1599&lt;&gt;""),$C1599+ROW()/1000000,"")</f>
        <v/>
      </c>
      <c r="AO1599" s="9">
        <f>IF(COUNTA($B1599:$R1599)=0,"",IF(AND($I1599&lt;&gt;"",COUNTIF(CLIENTES_NOMES,$I1599)+COUNTIF(CLIENTES_FANTASIA,$I1599)+COUNTIF(FORNECEDORES_NOMES,$I1599)+COUNTIF(FORNECEDORES_FANTASIA,$I1599)=0),"⚠ Cliente/Fornecedor não cadastrado",IF(AND($G1599&lt;&gt;"",COUNTIF(SUBCATEGORIAS_PLANO,$G1599)=0),"⚠ Subcategoria fora do plano de contas",IF(OR($Q1599="",N($Q1599)=0),"⚠ Valor previsto não informado",IF(AND(OR($X1599="Pago",$X1599="Recebido"),$D1599=""),"⚠ Status pago/recebido sem data",IF(AND($D1599&lt;&gt;"",N($R1599)=0),"⚠ Data de pagamento sem valor realizado",IF(AND(N($P1599)&gt;1,N($O1599)&gt;N($P1599)),"⚠ Nº da parcela maior que o total",IF(AND($C1599&lt;&gt;"",$B1599&lt;&gt;"",$C1599&lt;$B1599),"⚠ Vencimento anterior à competência","OK"))))))))</f>
        <v/>
      </c>
    </row>
    <row r="1600">
      <c r="A1600" s="14" t="n"/>
      <c r="B1600" s="36" t="n"/>
      <c r="C1600" s="36" t="n"/>
      <c r="D1600" s="36" t="n"/>
      <c r="E1600" s="14" t="n"/>
      <c r="F1600" s="29" t="n"/>
      <c r="G1600" s="29" t="n"/>
      <c r="H1600" s="29" t="n"/>
      <c r="I1600" s="29" t="n"/>
      <c r="J1600" s="29" t="n"/>
      <c r="K1600" s="14" t="n"/>
      <c r="L1600" s="29" t="n"/>
      <c r="M1600" s="14" t="n"/>
      <c r="N1600" s="29" t="n"/>
      <c r="O1600" s="13" t="n"/>
      <c r="P1600" s="13" t="n"/>
      <c r="Q1600" s="35" t="n"/>
      <c r="R1600" s="35" t="n"/>
      <c r="S1600" s="35" t="n"/>
      <c r="T1600" s="35" t="n"/>
      <c r="U1600" s="35" t="n"/>
      <c r="V1600" s="18">
        <f>IF(COUNTA($B1600:$R1600)=0,"",ROUND(N($R1600)+N($S1600)+N($T1600)-N($U1600),2))</f>
        <v/>
      </c>
      <c r="W1600" s="18">
        <f>IF(COUNTA($B1600:$R1600)=0,"",IF(OR($X1600="Pago",$X1600="Recebido",$X1600="Cancelado"),0,ROUND(N($Q1600)+N($S1600)+N($T1600)-N($U1600)-N($R1600),2)))</f>
        <v/>
      </c>
      <c r="X1600" s="14" t="n"/>
      <c r="Y1600" s="17">
        <f>IF(COUNTA($B1600:$R1600)=0,"",IF($X1600="Cancelado","Cancelado",IF(OR($X1600="Pago",$X1600="Recebido"),$X1600,IF(OR($X1600="Parcial",N($R1600)&gt;0),"Parcial",IF($C1600="","Sem vencimento",IF($C1600&lt;TODAY(),"Vencido",IF($C1600=TODAY(),"Vence hoje",IF($C1600&lt;=TODAY()+7,"Vence em 7 dias",IF($C1600&lt;=TODAY()+30,"Vence em 30 dias","Futuro")))))))))</f>
        <v/>
      </c>
      <c r="Z1600" s="24">
        <f>IF($B1600="","",MONTH($B1600))</f>
        <v/>
      </c>
      <c r="AA1600" s="24">
        <f>IF($B1600="","",YEAR($B1600))</f>
        <v/>
      </c>
      <c r="AB1600" s="24">
        <f>IF($B1600="","",ISOWEEKNUM($B1600))</f>
        <v/>
      </c>
      <c r="AC1600" s="17">
        <f>IF($B1600="","",CHOOSE(WEEKDAY($B1600,2),"Segunda","Terça","Quarta","Quinta","Sexta","Sábado","Domingo"))</f>
        <v/>
      </c>
      <c r="AD1600" s="17">
        <f>IF($B1600="","",TEXT($B1600,"MM/AAAA"))</f>
        <v/>
      </c>
      <c r="AE1600" s="18">
        <f>IF(COUNTA($B1600:$R1600)=0,"",IF($X1600="Cancelado",0,ROUND(N($Q1600)+N($S1600)+N($T1600)-N($U1600),2)))</f>
        <v/>
      </c>
      <c r="AF1600" s="9">
        <f>IF($G1600="","",IFERROR(INDEX(LINHAS_DRE_PLANO,MATCH($G1600,SUBCATEGORIAS_PLANO,0)),"Não classificado"))</f>
        <v/>
      </c>
      <c r="AG1600" s="17">
        <f>IF($G1600="","",IFERROR(INDEX(TIPOS_FLUXO_PLANO,MATCH($G1600,SUBCATEGORIAS_PLANO,0)),"Não classificado"))</f>
        <v/>
      </c>
      <c r="AH1600" s="9">
        <f>IF($G1600="","",IFERROR(INDEX(GRUPOS_PLANO,MATCH($G1600,SUBCATEGORIAS_PLANO,0)),"Não classificado"))</f>
        <v/>
      </c>
      <c r="AI1600" s="24">
        <f>IF(OR($C1600="",$X1600="Pago",$X1600="Recebido",$X1600="Cancelado"),"",$C1600-TODAY())</f>
        <v/>
      </c>
      <c r="AJ1600" s="24">
        <f>IF(OR($C1600="",$X1600="Pago",$X1600="Recebido",$X1600="Cancelado"),0,MAX(0,TODAY()-$C1600))</f>
        <v/>
      </c>
      <c r="AK1600" s="24">
        <f>IF($D1600="","",$D1600-$B1600)</f>
        <v/>
      </c>
      <c r="AL1600" s="18">
        <f>IF(OR($D1600="",$B1600=""),"",ROUND(N($R1600)*($D1600-$B1600),2))</f>
        <v/>
      </c>
      <c r="AM1600" s="17">
        <f>IF(AND($E1600="Saída",$W1600&gt;0,$C1600&lt;&gt;""),$C1600+ROW()/1000000,"")</f>
        <v/>
      </c>
      <c r="AN1600" s="17">
        <f>IF(AND($E1600="Entrada",$W1600&gt;0,$C1600&lt;&gt;""),$C1600+ROW()/1000000,"")</f>
        <v/>
      </c>
      <c r="AO1600" s="9">
        <f>IF(COUNTA($B1600:$R1600)=0,"",IF(AND($I1600&lt;&gt;"",COUNTIF(CLIENTES_NOMES,$I1600)+COUNTIF(CLIENTES_FANTASIA,$I1600)+COUNTIF(FORNECEDORES_NOMES,$I1600)+COUNTIF(FORNECEDORES_FANTASIA,$I1600)=0),"⚠ Cliente/Fornecedor não cadastrado",IF(AND($G1600&lt;&gt;"",COUNTIF(SUBCATEGORIAS_PLANO,$G1600)=0),"⚠ Subcategoria fora do plano de contas",IF(OR($Q1600="",N($Q1600)=0),"⚠ Valor previsto não informado",IF(AND(OR($X1600="Pago",$X1600="Recebido"),$D1600=""),"⚠ Status pago/recebido sem data",IF(AND($D1600&lt;&gt;"",N($R1600)=0),"⚠ Data de pagamento sem valor realizado",IF(AND(N($P1600)&gt;1,N($O1600)&gt;N($P1600)),"⚠ Nº da parcela maior que o total",IF(AND($C1600&lt;&gt;"",$B1600&lt;&gt;"",$C1600&lt;$B1600),"⚠ Vencimento anterior à competência","OK"))))))))</f>
        <v/>
      </c>
    </row>
    <row r="1601">
      <c r="A1601" s="14" t="n"/>
      <c r="B1601" s="36" t="n"/>
      <c r="C1601" s="36" t="n"/>
      <c r="D1601" s="36" t="n"/>
      <c r="E1601" s="14" t="n"/>
      <c r="F1601" s="29" t="n"/>
      <c r="G1601" s="29" t="n"/>
      <c r="H1601" s="29" t="n"/>
      <c r="I1601" s="29" t="n"/>
      <c r="J1601" s="29" t="n"/>
      <c r="K1601" s="14" t="n"/>
      <c r="L1601" s="29" t="n"/>
      <c r="M1601" s="14" t="n"/>
      <c r="N1601" s="29" t="n"/>
      <c r="O1601" s="13" t="n"/>
      <c r="P1601" s="13" t="n"/>
      <c r="Q1601" s="35" t="n"/>
      <c r="R1601" s="35" t="n"/>
      <c r="S1601" s="35" t="n"/>
      <c r="T1601" s="35" t="n"/>
      <c r="U1601" s="35" t="n"/>
      <c r="V1601" s="18">
        <f>IF(COUNTA($B1601:$R1601)=0,"",ROUND(N($R1601)+N($S1601)+N($T1601)-N($U1601),2))</f>
        <v/>
      </c>
      <c r="W1601" s="18">
        <f>IF(COUNTA($B1601:$R1601)=0,"",IF(OR($X1601="Pago",$X1601="Recebido",$X1601="Cancelado"),0,ROUND(N($Q1601)+N($S1601)+N($T1601)-N($U1601)-N($R1601),2)))</f>
        <v/>
      </c>
      <c r="X1601" s="14" t="n"/>
      <c r="Y1601" s="17">
        <f>IF(COUNTA($B1601:$R1601)=0,"",IF($X1601="Cancelado","Cancelado",IF(OR($X1601="Pago",$X1601="Recebido"),$X1601,IF(OR($X1601="Parcial",N($R1601)&gt;0),"Parcial",IF($C1601="","Sem vencimento",IF($C1601&lt;TODAY(),"Vencido",IF($C1601=TODAY(),"Vence hoje",IF($C1601&lt;=TODAY()+7,"Vence em 7 dias",IF($C1601&lt;=TODAY()+30,"Vence em 30 dias","Futuro")))))))))</f>
        <v/>
      </c>
      <c r="Z1601" s="24">
        <f>IF($B1601="","",MONTH($B1601))</f>
        <v/>
      </c>
      <c r="AA1601" s="24">
        <f>IF($B1601="","",YEAR($B1601))</f>
        <v/>
      </c>
      <c r="AB1601" s="24">
        <f>IF($B1601="","",ISOWEEKNUM($B1601))</f>
        <v/>
      </c>
      <c r="AC1601" s="17">
        <f>IF($B1601="","",CHOOSE(WEEKDAY($B1601,2),"Segunda","Terça","Quarta","Quinta","Sexta","Sábado","Domingo"))</f>
        <v/>
      </c>
      <c r="AD1601" s="17">
        <f>IF($B1601="","",TEXT($B1601,"MM/AAAA"))</f>
        <v/>
      </c>
      <c r="AE1601" s="18">
        <f>IF(COUNTA($B1601:$R1601)=0,"",IF($X1601="Cancelado",0,ROUND(N($Q1601)+N($S1601)+N($T1601)-N($U1601),2)))</f>
        <v/>
      </c>
      <c r="AF1601" s="9">
        <f>IF($G1601="","",IFERROR(INDEX(LINHAS_DRE_PLANO,MATCH($G1601,SUBCATEGORIAS_PLANO,0)),"Não classificado"))</f>
        <v/>
      </c>
      <c r="AG1601" s="17">
        <f>IF($G1601="","",IFERROR(INDEX(TIPOS_FLUXO_PLANO,MATCH($G1601,SUBCATEGORIAS_PLANO,0)),"Não classificado"))</f>
        <v/>
      </c>
      <c r="AH1601" s="9">
        <f>IF($G1601="","",IFERROR(INDEX(GRUPOS_PLANO,MATCH($G1601,SUBCATEGORIAS_PLANO,0)),"Não classificado"))</f>
        <v/>
      </c>
      <c r="AI1601" s="24">
        <f>IF(OR($C1601="",$X1601="Pago",$X1601="Recebido",$X1601="Cancelado"),"",$C1601-TODAY())</f>
        <v/>
      </c>
      <c r="AJ1601" s="24">
        <f>IF(OR($C1601="",$X1601="Pago",$X1601="Recebido",$X1601="Cancelado"),0,MAX(0,TODAY()-$C1601))</f>
        <v/>
      </c>
      <c r="AK1601" s="24">
        <f>IF($D1601="","",$D1601-$B1601)</f>
        <v/>
      </c>
      <c r="AL1601" s="18">
        <f>IF(OR($D1601="",$B1601=""),"",ROUND(N($R1601)*($D1601-$B1601),2))</f>
        <v/>
      </c>
      <c r="AM1601" s="17">
        <f>IF(AND($E1601="Saída",$W1601&gt;0,$C1601&lt;&gt;""),$C1601+ROW()/1000000,"")</f>
        <v/>
      </c>
      <c r="AN1601" s="17">
        <f>IF(AND($E1601="Entrada",$W1601&gt;0,$C1601&lt;&gt;""),$C1601+ROW()/1000000,"")</f>
        <v/>
      </c>
      <c r="AO1601" s="9">
        <f>IF(COUNTA($B1601:$R1601)=0,"",IF(AND($I1601&lt;&gt;"",COUNTIF(CLIENTES_NOMES,$I1601)+COUNTIF(CLIENTES_FANTASIA,$I1601)+COUNTIF(FORNECEDORES_NOMES,$I1601)+COUNTIF(FORNECEDORES_FANTASIA,$I1601)=0),"⚠ Cliente/Fornecedor não cadastrado",IF(AND($G1601&lt;&gt;"",COUNTIF(SUBCATEGORIAS_PLANO,$G1601)=0),"⚠ Subcategoria fora do plano de contas",IF(OR($Q1601="",N($Q1601)=0),"⚠ Valor previsto não informado",IF(AND(OR($X1601="Pago",$X1601="Recebido"),$D1601=""),"⚠ Status pago/recebido sem data",IF(AND($D1601&lt;&gt;"",N($R1601)=0),"⚠ Data de pagamento sem valor realizado",IF(AND(N($P1601)&gt;1,N($O1601)&gt;N($P1601)),"⚠ Nº da parcela maior que o total",IF(AND($C1601&lt;&gt;"",$B1601&lt;&gt;"",$C1601&lt;$B1601),"⚠ Vencimento anterior à competência","OK"))))))))</f>
        <v/>
      </c>
    </row>
    <row r="1602">
      <c r="A1602" s="14" t="n"/>
      <c r="B1602" s="36" t="n"/>
      <c r="C1602" s="36" t="n"/>
      <c r="D1602" s="36" t="n"/>
      <c r="E1602" s="14" t="n"/>
      <c r="F1602" s="29" t="n"/>
      <c r="G1602" s="29" t="n"/>
      <c r="H1602" s="29" t="n"/>
      <c r="I1602" s="29" t="n"/>
      <c r="J1602" s="29" t="n"/>
      <c r="K1602" s="14" t="n"/>
      <c r="L1602" s="29" t="n"/>
      <c r="M1602" s="14" t="n"/>
      <c r="N1602" s="29" t="n"/>
      <c r="O1602" s="13" t="n"/>
      <c r="P1602" s="13" t="n"/>
      <c r="Q1602" s="35" t="n"/>
      <c r="R1602" s="35" t="n"/>
      <c r="S1602" s="35" t="n"/>
      <c r="T1602" s="35" t="n"/>
      <c r="U1602" s="35" t="n"/>
      <c r="V1602" s="18">
        <f>IF(COUNTA($B1602:$R1602)=0,"",ROUND(N($R1602)+N($S1602)+N($T1602)-N($U1602),2))</f>
        <v/>
      </c>
      <c r="W1602" s="18">
        <f>IF(COUNTA($B1602:$R1602)=0,"",IF(OR($X1602="Pago",$X1602="Recebido",$X1602="Cancelado"),0,ROUND(N($Q1602)+N($S1602)+N($T1602)-N($U1602)-N($R1602),2)))</f>
        <v/>
      </c>
      <c r="X1602" s="14" t="n"/>
      <c r="Y1602" s="17">
        <f>IF(COUNTA($B1602:$R1602)=0,"",IF($X1602="Cancelado","Cancelado",IF(OR($X1602="Pago",$X1602="Recebido"),$X1602,IF(OR($X1602="Parcial",N($R1602)&gt;0),"Parcial",IF($C1602="","Sem vencimento",IF($C1602&lt;TODAY(),"Vencido",IF($C1602=TODAY(),"Vence hoje",IF($C1602&lt;=TODAY()+7,"Vence em 7 dias",IF($C1602&lt;=TODAY()+30,"Vence em 30 dias","Futuro")))))))))</f>
        <v/>
      </c>
      <c r="Z1602" s="24">
        <f>IF($B1602="","",MONTH($B1602))</f>
        <v/>
      </c>
      <c r="AA1602" s="24">
        <f>IF($B1602="","",YEAR($B1602))</f>
        <v/>
      </c>
      <c r="AB1602" s="24">
        <f>IF($B1602="","",ISOWEEKNUM($B1602))</f>
        <v/>
      </c>
      <c r="AC1602" s="17">
        <f>IF($B1602="","",CHOOSE(WEEKDAY($B1602,2),"Segunda","Terça","Quarta","Quinta","Sexta","Sábado","Domingo"))</f>
        <v/>
      </c>
      <c r="AD1602" s="17">
        <f>IF($B1602="","",TEXT($B1602,"MM/AAAA"))</f>
        <v/>
      </c>
      <c r="AE1602" s="18">
        <f>IF(COUNTA($B1602:$R1602)=0,"",IF($X1602="Cancelado",0,ROUND(N($Q1602)+N($S1602)+N($T1602)-N($U1602),2)))</f>
        <v/>
      </c>
      <c r="AF1602" s="9">
        <f>IF($G1602="","",IFERROR(INDEX(LINHAS_DRE_PLANO,MATCH($G1602,SUBCATEGORIAS_PLANO,0)),"Não classificado"))</f>
        <v/>
      </c>
      <c r="AG1602" s="17">
        <f>IF($G1602="","",IFERROR(INDEX(TIPOS_FLUXO_PLANO,MATCH($G1602,SUBCATEGORIAS_PLANO,0)),"Não classificado"))</f>
        <v/>
      </c>
      <c r="AH1602" s="9">
        <f>IF($G1602="","",IFERROR(INDEX(GRUPOS_PLANO,MATCH($G1602,SUBCATEGORIAS_PLANO,0)),"Não classificado"))</f>
        <v/>
      </c>
      <c r="AI1602" s="24">
        <f>IF(OR($C1602="",$X1602="Pago",$X1602="Recebido",$X1602="Cancelado"),"",$C1602-TODAY())</f>
        <v/>
      </c>
      <c r="AJ1602" s="24">
        <f>IF(OR($C1602="",$X1602="Pago",$X1602="Recebido",$X1602="Cancelado"),0,MAX(0,TODAY()-$C1602))</f>
        <v/>
      </c>
      <c r="AK1602" s="24">
        <f>IF($D1602="","",$D1602-$B1602)</f>
        <v/>
      </c>
      <c r="AL1602" s="18">
        <f>IF(OR($D1602="",$B1602=""),"",ROUND(N($R1602)*($D1602-$B1602),2))</f>
        <v/>
      </c>
      <c r="AM1602" s="17">
        <f>IF(AND($E1602="Saída",$W1602&gt;0,$C1602&lt;&gt;""),$C1602+ROW()/1000000,"")</f>
        <v/>
      </c>
      <c r="AN1602" s="17">
        <f>IF(AND($E1602="Entrada",$W1602&gt;0,$C1602&lt;&gt;""),$C1602+ROW()/1000000,"")</f>
        <v/>
      </c>
      <c r="AO1602" s="9">
        <f>IF(COUNTA($B1602:$R1602)=0,"",IF(AND($I1602&lt;&gt;"",COUNTIF(CLIENTES_NOMES,$I1602)+COUNTIF(CLIENTES_FANTASIA,$I1602)+COUNTIF(FORNECEDORES_NOMES,$I1602)+COUNTIF(FORNECEDORES_FANTASIA,$I1602)=0),"⚠ Cliente/Fornecedor não cadastrado",IF(AND($G1602&lt;&gt;"",COUNTIF(SUBCATEGORIAS_PLANO,$G1602)=0),"⚠ Subcategoria fora do plano de contas",IF(OR($Q1602="",N($Q1602)=0),"⚠ Valor previsto não informado",IF(AND(OR($X1602="Pago",$X1602="Recebido"),$D1602=""),"⚠ Status pago/recebido sem data",IF(AND($D1602&lt;&gt;"",N($R1602)=0),"⚠ Data de pagamento sem valor realizado",IF(AND(N($P1602)&gt;1,N($O1602)&gt;N($P1602)),"⚠ Nº da parcela maior que o total",IF(AND($C1602&lt;&gt;"",$B1602&lt;&gt;"",$C1602&lt;$B1602),"⚠ Vencimento anterior à competência","OK"))))))))</f>
        <v/>
      </c>
    </row>
    <row r="1603">
      <c r="A1603" s="14" t="n"/>
      <c r="B1603" s="36" t="n"/>
      <c r="C1603" s="36" t="n"/>
      <c r="D1603" s="36" t="n"/>
      <c r="E1603" s="14" t="n"/>
      <c r="F1603" s="29" t="n"/>
      <c r="G1603" s="29" t="n"/>
      <c r="H1603" s="29" t="n"/>
      <c r="I1603" s="29" t="n"/>
      <c r="J1603" s="29" t="n"/>
      <c r="K1603" s="14" t="n"/>
      <c r="L1603" s="29" t="n"/>
      <c r="M1603" s="14" t="n"/>
      <c r="N1603" s="29" t="n"/>
      <c r="O1603" s="13" t="n"/>
      <c r="P1603" s="13" t="n"/>
      <c r="Q1603" s="35" t="n"/>
      <c r="R1603" s="35" t="n"/>
      <c r="S1603" s="35" t="n"/>
      <c r="T1603" s="35" t="n"/>
      <c r="U1603" s="35" t="n"/>
      <c r="V1603" s="18">
        <f>IF(COUNTA($B1603:$R1603)=0,"",ROUND(N($R1603)+N($S1603)+N($T1603)-N($U1603),2))</f>
        <v/>
      </c>
      <c r="W1603" s="18">
        <f>IF(COUNTA($B1603:$R1603)=0,"",IF(OR($X1603="Pago",$X1603="Recebido",$X1603="Cancelado"),0,ROUND(N($Q1603)+N($S1603)+N($T1603)-N($U1603)-N($R1603),2)))</f>
        <v/>
      </c>
      <c r="X1603" s="14" t="n"/>
      <c r="Y1603" s="17">
        <f>IF(COUNTA($B1603:$R1603)=0,"",IF($X1603="Cancelado","Cancelado",IF(OR($X1603="Pago",$X1603="Recebido"),$X1603,IF(OR($X1603="Parcial",N($R1603)&gt;0),"Parcial",IF($C1603="","Sem vencimento",IF($C1603&lt;TODAY(),"Vencido",IF($C1603=TODAY(),"Vence hoje",IF($C1603&lt;=TODAY()+7,"Vence em 7 dias",IF($C1603&lt;=TODAY()+30,"Vence em 30 dias","Futuro")))))))))</f>
        <v/>
      </c>
      <c r="Z1603" s="24">
        <f>IF($B1603="","",MONTH($B1603))</f>
        <v/>
      </c>
      <c r="AA1603" s="24">
        <f>IF($B1603="","",YEAR($B1603))</f>
        <v/>
      </c>
      <c r="AB1603" s="24">
        <f>IF($B1603="","",ISOWEEKNUM($B1603))</f>
        <v/>
      </c>
      <c r="AC1603" s="17">
        <f>IF($B1603="","",CHOOSE(WEEKDAY($B1603,2),"Segunda","Terça","Quarta","Quinta","Sexta","Sábado","Domingo"))</f>
        <v/>
      </c>
      <c r="AD1603" s="17">
        <f>IF($B1603="","",TEXT($B1603,"MM/AAAA"))</f>
        <v/>
      </c>
      <c r="AE1603" s="18">
        <f>IF(COUNTA($B1603:$R1603)=0,"",IF($X1603="Cancelado",0,ROUND(N($Q1603)+N($S1603)+N($T1603)-N($U1603),2)))</f>
        <v/>
      </c>
      <c r="AF1603" s="9">
        <f>IF($G1603="","",IFERROR(INDEX(LINHAS_DRE_PLANO,MATCH($G1603,SUBCATEGORIAS_PLANO,0)),"Não classificado"))</f>
        <v/>
      </c>
      <c r="AG1603" s="17">
        <f>IF($G1603="","",IFERROR(INDEX(TIPOS_FLUXO_PLANO,MATCH($G1603,SUBCATEGORIAS_PLANO,0)),"Não classificado"))</f>
        <v/>
      </c>
      <c r="AH1603" s="9">
        <f>IF($G1603="","",IFERROR(INDEX(GRUPOS_PLANO,MATCH($G1603,SUBCATEGORIAS_PLANO,0)),"Não classificado"))</f>
        <v/>
      </c>
      <c r="AI1603" s="24">
        <f>IF(OR($C1603="",$X1603="Pago",$X1603="Recebido",$X1603="Cancelado"),"",$C1603-TODAY())</f>
        <v/>
      </c>
      <c r="AJ1603" s="24">
        <f>IF(OR($C1603="",$X1603="Pago",$X1603="Recebido",$X1603="Cancelado"),0,MAX(0,TODAY()-$C1603))</f>
        <v/>
      </c>
      <c r="AK1603" s="24">
        <f>IF($D1603="","",$D1603-$B1603)</f>
        <v/>
      </c>
      <c r="AL1603" s="18">
        <f>IF(OR($D1603="",$B1603=""),"",ROUND(N($R1603)*($D1603-$B1603),2))</f>
        <v/>
      </c>
      <c r="AM1603" s="17">
        <f>IF(AND($E1603="Saída",$W1603&gt;0,$C1603&lt;&gt;""),$C1603+ROW()/1000000,"")</f>
        <v/>
      </c>
      <c r="AN1603" s="17">
        <f>IF(AND($E1603="Entrada",$W1603&gt;0,$C1603&lt;&gt;""),$C1603+ROW()/1000000,"")</f>
        <v/>
      </c>
      <c r="AO1603" s="9">
        <f>IF(COUNTA($B1603:$R1603)=0,"",IF(AND($I1603&lt;&gt;"",COUNTIF(CLIENTES_NOMES,$I1603)+COUNTIF(CLIENTES_FANTASIA,$I1603)+COUNTIF(FORNECEDORES_NOMES,$I1603)+COUNTIF(FORNECEDORES_FANTASIA,$I1603)=0),"⚠ Cliente/Fornecedor não cadastrado",IF(AND($G1603&lt;&gt;"",COUNTIF(SUBCATEGORIAS_PLANO,$G1603)=0),"⚠ Subcategoria fora do plano de contas",IF(OR($Q1603="",N($Q1603)=0),"⚠ Valor previsto não informado",IF(AND(OR($X1603="Pago",$X1603="Recebido"),$D1603=""),"⚠ Status pago/recebido sem data",IF(AND($D1603&lt;&gt;"",N($R1603)=0),"⚠ Data de pagamento sem valor realizado",IF(AND(N($P1603)&gt;1,N($O1603)&gt;N($P1603)),"⚠ Nº da parcela maior que o total",IF(AND($C1603&lt;&gt;"",$B1603&lt;&gt;"",$C1603&lt;$B1603),"⚠ Vencimento anterior à competência","OK"))))))))</f>
        <v/>
      </c>
    </row>
    <row r="1604">
      <c r="A1604" s="14" t="n"/>
      <c r="B1604" s="36" t="n"/>
      <c r="C1604" s="36" t="n"/>
      <c r="D1604" s="36" t="n"/>
      <c r="E1604" s="14" t="n"/>
      <c r="F1604" s="29" t="n"/>
      <c r="G1604" s="29" t="n"/>
      <c r="H1604" s="29" t="n"/>
      <c r="I1604" s="29" t="n"/>
      <c r="J1604" s="29" t="n"/>
      <c r="K1604" s="14" t="n"/>
      <c r="L1604" s="29" t="n"/>
      <c r="M1604" s="14" t="n"/>
      <c r="N1604" s="29" t="n"/>
      <c r="O1604" s="13" t="n"/>
      <c r="P1604" s="13" t="n"/>
      <c r="Q1604" s="35" t="n"/>
      <c r="R1604" s="35" t="n"/>
      <c r="S1604" s="35" t="n"/>
      <c r="T1604" s="35" t="n"/>
      <c r="U1604" s="35" t="n"/>
      <c r="V1604" s="18">
        <f>IF(COUNTA($B1604:$R1604)=0,"",ROUND(N($R1604)+N($S1604)+N($T1604)-N($U1604),2))</f>
        <v/>
      </c>
      <c r="W1604" s="18">
        <f>IF(COUNTA($B1604:$R1604)=0,"",IF(OR($X1604="Pago",$X1604="Recebido",$X1604="Cancelado"),0,ROUND(N($Q1604)+N($S1604)+N($T1604)-N($U1604)-N($R1604),2)))</f>
        <v/>
      </c>
      <c r="X1604" s="14" t="n"/>
      <c r="Y1604" s="17">
        <f>IF(COUNTA($B1604:$R1604)=0,"",IF($X1604="Cancelado","Cancelado",IF(OR($X1604="Pago",$X1604="Recebido"),$X1604,IF(OR($X1604="Parcial",N($R1604)&gt;0),"Parcial",IF($C1604="","Sem vencimento",IF($C1604&lt;TODAY(),"Vencido",IF($C1604=TODAY(),"Vence hoje",IF($C1604&lt;=TODAY()+7,"Vence em 7 dias",IF($C1604&lt;=TODAY()+30,"Vence em 30 dias","Futuro")))))))))</f>
        <v/>
      </c>
      <c r="Z1604" s="24">
        <f>IF($B1604="","",MONTH($B1604))</f>
        <v/>
      </c>
      <c r="AA1604" s="24">
        <f>IF($B1604="","",YEAR($B1604))</f>
        <v/>
      </c>
      <c r="AB1604" s="24">
        <f>IF($B1604="","",ISOWEEKNUM($B1604))</f>
        <v/>
      </c>
      <c r="AC1604" s="17">
        <f>IF($B1604="","",CHOOSE(WEEKDAY($B1604,2),"Segunda","Terça","Quarta","Quinta","Sexta","Sábado","Domingo"))</f>
        <v/>
      </c>
      <c r="AD1604" s="17">
        <f>IF($B1604="","",TEXT($B1604,"MM/AAAA"))</f>
        <v/>
      </c>
      <c r="AE1604" s="18">
        <f>IF(COUNTA($B1604:$R1604)=0,"",IF($X1604="Cancelado",0,ROUND(N($Q1604)+N($S1604)+N($T1604)-N($U1604),2)))</f>
        <v/>
      </c>
      <c r="AF1604" s="9">
        <f>IF($G1604="","",IFERROR(INDEX(LINHAS_DRE_PLANO,MATCH($G1604,SUBCATEGORIAS_PLANO,0)),"Não classificado"))</f>
        <v/>
      </c>
      <c r="AG1604" s="17">
        <f>IF($G1604="","",IFERROR(INDEX(TIPOS_FLUXO_PLANO,MATCH($G1604,SUBCATEGORIAS_PLANO,0)),"Não classificado"))</f>
        <v/>
      </c>
      <c r="AH1604" s="9">
        <f>IF($G1604="","",IFERROR(INDEX(GRUPOS_PLANO,MATCH($G1604,SUBCATEGORIAS_PLANO,0)),"Não classificado"))</f>
        <v/>
      </c>
      <c r="AI1604" s="24">
        <f>IF(OR($C1604="",$X1604="Pago",$X1604="Recebido",$X1604="Cancelado"),"",$C1604-TODAY())</f>
        <v/>
      </c>
      <c r="AJ1604" s="24">
        <f>IF(OR($C1604="",$X1604="Pago",$X1604="Recebido",$X1604="Cancelado"),0,MAX(0,TODAY()-$C1604))</f>
        <v/>
      </c>
      <c r="AK1604" s="24">
        <f>IF($D1604="","",$D1604-$B1604)</f>
        <v/>
      </c>
      <c r="AL1604" s="18">
        <f>IF(OR($D1604="",$B1604=""),"",ROUND(N($R1604)*($D1604-$B1604),2))</f>
        <v/>
      </c>
      <c r="AM1604" s="17">
        <f>IF(AND($E1604="Saída",$W1604&gt;0,$C1604&lt;&gt;""),$C1604+ROW()/1000000,"")</f>
        <v/>
      </c>
      <c r="AN1604" s="17">
        <f>IF(AND($E1604="Entrada",$W1604&gt;0,$C1604&lt;&gt;""),$C1604+ROW()/1000000,"")</f>
        <v/>
      </c>
      <c r="AO1604" s="9">
        <f>IF(COUNTA($B1604:$R1604)=0,"",IF(AND($I1604&lt;&gt;"",COUNTIF(CLIENTES_NOMES,$I1604)+COUNTIF(CLIENTES_FANTASIA,$I1604)+COUNTIF(FORNECEDORES_NOMES,$I1604)+COUNTIF(FORNECEDORES_FANTASIA,$I1604)=0),"⚠ Cliente/Fornecedor não cadastrado",IF(AND($G1604&lt;&gt;"",COUNTIF(SUBCATEGORIAS_PLANO,$G1604)=0),"⚠ Subcategoria fora do plano de contas",IF(OR($Q1604="",N($Q1604)=0),"⚠ Valor previsto não informado",IF(AND(OR($X1604="Pago",$X1604="Recebido"),$D1604=""),"⚠ Status pago/recebido sem data",IF(AND($D1604&lt;&gt;"",N($R1604)=0),"⚠ Data de pagamento sem valor realizado",IF(AND(N($P1604)&gt;1,N($O1604)&gt;N($P1604)),"⚠ Nº da parcela maior que o total",IF(AND($C1604&lt;&gt;"",$B1604&lt;&gt;"",$C1604&lt;$B1604),"⚠ Vencimento anterior à competência","OK"))))))))</f>
        <v/>
      </c>
    </row>
    <row r="1605">
      <c r="A1605" s="14" t="n"/>
      <c r="B1605" s="36" t="n"/>
      <c r="C1605" s="36" t="n"/>
      <c r="D1605" s="36" t="n"/>
      <c r="E1605" s="14" t="n"/>
      <c r="F1605" s="29" t="n"/>
      <c r="G1605" s="29" t="n"/>
      <c r="H1605" s="29" t="n"/>
      <c r="I1605" s="29" t="n"/>
      <c r="J1605" s="29" t="n"/>
      <c r="K1605" s="14" t="n"/>
      <c r="L1605" s="29" t="n"/>
      <c r="M1605" s="14" t="n"/>
      <c r="N1605" s="29" t="n"/>
      <c r="O1605" s="13" t="n"/>
      <c r="P1605" s="13" t="n"/>
      <c r="Q1605" s="35" t="n"/>
      <c r="R1605" s="35" t="n"/>
      <c r="S1605" s="35" t="n"/>
      <c r="T1605" s="35" t="n"/>
      <c r="U1605" s="35" t="n"/>
      <c r="V1605" s="18">
        <f>IF(COUNTA($B1605:$R1605)=0,"",ROUND(N($R1605)+N($S1605)+N($T1605)-N($U1605),2))</f>
        <v/>
      </c>
      <c r="W1605" s="18">
        <f>IF(COUNTA($B1605:$R1605)=0,"",IF(OR($X1605="Pago",$X1605="Recebido",$X1605="Cancelado"),0,ROUND(N($Q1605)+N($S1605)+N($T1605)-N($U1605)-N($R1605),2)))</f>
        <v/>
      </c>
      <c r="X1605" s="14" t="n"/>
      <c r="Y1605" s="17">
        <f>IF(COUNTA($B1605:$R1605)=0,"",IF($X1605="Cancelado","Cancelado",IF(OR($X1605="Pago",$X1605="Recebido"),$X1605,IF(OR($X1605="Parcial",N($R1605)&gt;0),"Parcial",IF($C1605="","Sem vencimento",IF($C1605&lt;TODAY(),"Vencido",IF($C1605=TODAY(),"Vence hoje",IF($C1605&lt;=TODAY()+7,"Vence em 7 dias",IF($C1605&lt;=TODAY()+30,"Vence em 30 dias","Futuro")))))))))</f>
        <v/>
      </c>
      <c r="Z1605" s="24">
        <f>IF($B1605="","",MONTH($B1605))</f>
        <v/>
      </c>
      <c r="AA1605" s="24">
        <f>IF($B1605="","",YEAR($B1605))</f>
        <v/>
      </c>
      <c r="AB1605" s="24">
        <f>IF($B1605="","",ISOWEEKNUM($B1605))</f>
        <v/>
      </c>
      <c r="AC1605" s="17">
        <f>IF($B1605="","",CHOOSE(WEEKDAY($B1605,2),"Segunda","Terça","Quarta","Quinta","Sexta","Sábado","Domingo"))</f>
        <v/>
      </c>
      <c r="AD1605" s="17">
        <f>IF($B1605="","",TEXT($B1605,"MM/AAAA"))</f>
        <v/>
      </c>
      <c r="AE1605" s="18">
        <f>IF(COUNTA($B1605:$R1605)=0,"",IF($X1605="Cancelado",0,ROUND(N($Q1605)+N($S1605)+N($T1605)-N($U1605),2)))</f>
        <v/>
      </c>
      <c r="AF1605" s="9">
        <f>IF($G1605="","",IFERROR(INDEX(LINHAS_DRE_PLANO,MATCH($G1605,SUBCATEGORIAS_PLANO,0)),"Não classificado"))</f>
        <v/>
      </c>
      <c r="AG1605" s="17">
        <f>IF($G1605="","",IFERROR(INDEX(TIPOS_FLUXO_PLANO,MATCH($G1605,SUBCATEGORIAS_PLANO,0)),"Não classificado"))</f>
        <v/>
      </c>
      <c r="AH1605" s="9">
        <f>IF($G1605="","",IFERROR(INDEX(GRUPOS_PLANO,MATCH($G1605,SUBCATEGORIAS_PLANO,0)),"Não classificado"))</f>
        <v/>
      </c>
      <c r="AI1605" s="24">
        <f>IF(OR($C1605="",$X1605="Pago",$X1605="Recebido",$X1605="Cancelado"),"",$C1605-TODAY())</f>
        <v/>
      </c>
      <c r="AJ1605" s="24">
        <f>IF(OR($C1605="",$X1605="Pago",$X1605="Recebido",$X1605="Cancelado"),0,MAX(0,TODAY()-$C1605))</f>
        <v/>
      </c>
      <c r="AK1605" s="24">
        <f>IF($D1605="","",$D1605-$B1605)</f>
        <v/>
      </c>
      <c r="AL1605" s="18">
        <f>IF(OR($D1605="",$B1605=""),"",ROUND(N($R1605)*($D1605-$B1605),2))</f>
        <v/>
      </c>
      <c r="AM1605" s="17">
        <f>IF(AND($E1605="Saída",$W1605&gt;0,$C1605&lt;&gt;""),$C1605+ROW()/1000000,"")</f>
        <v/>
      </c>
      <c r="AN1605" s="17">
        <f>IF(AND($E1605="Entrada",$W1605&gt;0,$C1605&lt;&gt;""),$C1605+ROW()/1000000,"")</f>
        <v/>
      </c>
      <c r="AO1605" s="9">
        <f>IF(COUNTA($B1605:$R1605)=0,"",IF(AND($I1605&lt;&gt;"",COUNTIF(CLIENTES_NOMES,$I1605)+COUNTIF(CLIENTES_FANTASIA,$I1605)+COUNTIF(FORNECEDORES_NOMES,$I1605)+COUNTIF(FORNECEDORES_FANTASIA,$I1605)=0),"⚠ Cliente/Fornecedor não cadastrado",IF(AND($G1605&lt;&gt;"",COUNTIF(SUBCATEGORIAS_PLANO,$G1605)=0),"⚠ Subcategoria fora do plano de contas",IF(OR($Q1605="",N($Q1605)=0),"⚠ Valor previsto não informado",IF(AND(OR($X1605="Pago",$X1605="Recebido"),$D1605=""),"⚠ Status pago/recebido sem data",IF(AND($D1605&lt;&gt;"",N($R1605)=0),"⚠ Data de pagamento sem valor realizado",IF(AND(N($P1605)&gt;1,N($O1605)&gt;N($P1605)),"⚠ Nº da parcela maior que o total",IF(AND($C1605&lt;&gt;"",$B1605&lt;&gt;"",$C1605&lt;$B1605),"⚠ Vencimento anterior à competência","OK"))))))))</f>
        <v/>
      </c>
    </row>
    <row r="1606">
      <c r="A1606" s="14" t="n"/>
      <c r="B1606" s="36" t="n"/>
      <c r="C1606" s="36" t="n"/>
      <c r="D1606" s="36" t="n"/>
      <c r="E1606" s="14" t="n"/>
      <c r="F1606" s="29" t="n"/>
      <c r="G1606" s="29" t="n"/>
      <c r="H1606" s="29" t="n"/>
      <c r="I1606" s="29" t="n"/>
      <c r="J1606" s="29" t="n"/>
      <c r="K1606" s="14" t="n"/>
      <c r="L1606" s="29" t="n"/>
      <c r="M1606" s="14" t="n"/>
      <c r="N1606" s="29" t="n"/>
      <c r="O1606" s="13" t="n"/>
      <c r="P1606" s="13" t="n"/>
      <c r="Q1606" s="35" t="n"/>
      <c r="R1606" s="35" t="n"/>
      <c r="S1606" s="35" t="n"/>
      <c r="T1606" s="35" t="n"/>
      <c r="U1606" s="35" t="n"/>
      <c r="V1606" s="18">
        <f>IF(COUNTA($B1606:$R1606)=0,"",ROUND(N($R1606)+N($S1606)+N($T1606)-N($U1606),2))</f>
        <v/>
      </c>
      <c r="W1606" s="18">
        <f>IF(COUNTA($B1606:$R1606)=0,"",IF(OR($X1606="Pago",$X1606="Recebido",$X1606="Cancelado"),0,ROUND(N($Q1606)+N($S1606)+N($T1606)-N($U1606)-N($R1606),2)))</f>
        <v/>
      </c>
      <c r="X1606" s="14" t="n"/>
      <c r="Y1606" s="17">
        <f>IF(COUNTA($B1606:$R1606)=0,"",IF($X1606="Cancelado","Cancelado",IF(OR($X1606="Pago",$X1606="Recebido"),$X1606,IF(OR($X1606="Parcial",N($R1606)&gt;0),"Parcial",IF($C1606="","Sem vencimento",IF($C1606&lt;TODAY(),"Vencido",IF($C1606=TODAY(),"Vence hoje",IF($C1606&lt;=TODAY()+7,"Vence em 7 dias",IF($C1606&lt;=TODAY()+30,"Vence em 30 dias","Futuro")))))))))</f>
        <v/>
      </c>
      <c r="Z1606" s="24">
        <f>IF($B1606="","",MONTH($B1606))</f>
        <v/>
      </c>
      <c r="AA1606" s="24">
        <f>IF($B1606="","",YEAR($B1606))</f>
        <v/>
      </c>
      <c r="AB1606" s="24">
        <f>IF($B1606="","",ISOWEEKNUM($B1606))</f>
        <v/>
      </c>
      <c r="AC1606" s="17">
        <f>IF($B1606="","",CHOOSE(WEEKDAY($B1606,2),"Segunda","Terça","Quarta","Quinta","Sexta","Sábado","Domingo"))</f>
        <v/>
      </c>
      <c r="AD1606" s="17">
        <f>IF($B1606="","",TEXT($B1606,"MM/AAAA"))</f>
        <v/>
      </c>
      <c r="AE1606" s="18">
        <f>IF(COUNTA($B1606:$R1606)=0,"",IF($X1606="Cancelado",0,ROUND(N($Q1606)+N($S1606)+N($T1606)-N($U1606),2)))</f>
        <v/>
      </c>
      <c r="AF1606" s="9">
        <f>IF($G1606="","",IFERROR(INDEX(LINHAS_DRE_PLANO,MATCH($G1606,SUBCATEGORIAS_PLANO,0)),"Não classificado"))</f>
        <v/>
      </c>
      <c r="AG1606" s="17">
        <f>IF($G1606="","",IFERROR(INDEX(TIPOS_FLUXO_PLANO,MATCH($G1606,SUBCATEGORIAS_PLANO,0)),"Não classificado"))</f>
        <v/>
      </c>
      <c r="AH1606" s="9">
        <f>IF($G1606="","",IFERROR(INDEX(GRUPOS_PLANO,MATCH($G1606,SUBCATEGORIAS_PLANO,0)),"Não classificado"))</f>
        <v/>
      </c>
      <c r="AI1606" s="24">
        <f>IF(OR($C1606="",$X1606="Pago",$X1606="Recebido",$X1606="Cancelado"),"",$C1606-TODAY())</f>
        <v/>
      </c>
      <c r="AJ1606" s="24">
        <f>IF(OR($C1606="",$X1606="Pago",$X1606="Recebido",$X1606="Cancelado"),0,MAX(0,TODAY()-$C1606))</f>
        <v/>
      </c>
      <c r="AK1606" s="24">
        <f>IF($D1606="","",$D1606-$B1606)</f>
        <v/>
      </c>
      <c r="AL1606" s="18">
        <f>IF(OR($D1606="",$B1606=""),"",ROUND(N($R1606)*($D1606-$B1606),2))</f>
        <v/>
      </c>
      <c r="AM1606" s="17">
        <f>IF(AND($E1606="Saída",$W1606&gt;0,$C1606&lt;&gt;""),$C1606+ROW()/1000000,"")</f>
        <v/>
      </c>
      <c r="AN1606" s="17">
        <f>IF(AND($E1606="Entrada",$W1606&gt;0,$C1606&lt;&gt;""),$C1606+ROW()/1000000,"")</f>
        <v/>
      </c>
      <c r="AO1606" s="9">
        <f>IF(COUNTA($B1606:$R1606)=0,"",IF(AND($I1606&lt;&gt;"",COUNTIF(CLIENTES_NOMES,$I1606)+COUNTIF(CLIENTES_FANTASIA,$I1606)+COUNTIF(FORNECEDORES_NOMES,$I1606)+COUNTIF(FORNECEDORES_FANTASIA,$I1606)=0),"⚠ Cliente/Fornecedor não cadastrado",IF(AND($G1606&lt;&gt;"",COUNTIF(SUBCATEGORIAS_PLANO,$G1606)=0),"⚠ Subcategoria fora do plano de contas",IF(OR($Q1606="",N($Q1606)=0),"⚠ Valor previsto não informado",IF(AND(OR($X1606="Pago",$X1606="Recebido"),$D1606=""),"⚠ Status pago/recebido sem data",IF(AND($D1606&lt;&gt;"",N($R1606)=0),"⚠ Data de pagamento sem valor realizado",IF(AND(N($P1606)&gt;1,N($O1606)&gt;N($P1606)),"⚠ Nº da parcela maior que o total",IF(AND($C1606&lt;&gt;"",$B1606&lt;&gt;"",$C1606&lt;$B1606),"⚠ Vencimento anterior à competência","OK"))))))))</f>
        <v/>
      </c>
    </row>
    <row r="1607">
      <c r="A1607" s="14" t="n"/>
      <c r="B1607" s="36" t="n"/>
      <c r="C1607" s="36" t="n"/>
      <c r="D1607" s="36" t="n"/>
      <c r="E1607" s="14" t="n"/>
      <c r="F1607" s="29" t="n"/>
      <c r="G1607" s="29" t="n"/>
      <c r="H1607" s="29" t="n"/>
      <c r="I1607" s="29" t="n"/>
      <c r="J1607" s="29" t="n"/>
      <c r="K1607" s="14" t="n"/>
      <c r="L1607" s="29" t="n"/>
      <c r="M1607" s="14" t="n"/>
      <c r="N1607" s="29" t="n"/>
      <c r="O1607" s="13" t="n"/>
      <c r="P1607" s="13" t="n"/>
      <c r="Q1607" s="35" t="n"/>
      <c r="R1607" s="35" t="n"/>
      <c r="S1607" s="35" t="n"/>
      <c r="T1607" s="35" t="n"/>
      <c r="U1607" s="35" t="n"/>
      <c r="V1607" s="18">
        <f>IF(COUNTA($B1607:$R1607)=0,"",ROUND(N($R1607)+N($S1607)+N($T1607)-N($U1607),2))</f>
        <v/>
      </c>
      <c r="W1607" s="18">
        <f>IF(COUNTA($B1607:$R1607)=0,"",IF(OR($X1607="Pago",$X1607="Recebido",$X1607="Cancelado"),0,ROUND(N($Q1607)+N($S1607)+N($T1607)-N($U1607)-N($R1607),2)))</f>
        <v/>
      </c>
      <c r="X1607" s="14" t="n"/>
      <c r="Y1607" s="17">
        <f>IF(COUNTA($B1607:$R1607)=0,"",IF($X1607="Cancelado","Cancelado",IF(OR($X1607="Pago",$X1607="Recebido"),$X1607,IF(OR($X1607="Parcial",N($R1607)&gt;0),"Parcial",IF($C1607="","Sem vencimento",IF($C1607&lt;TODAY(),"Vencido",IF($C1607=TODAY(),"Vence hoje",IF($C1607&lt;=TODAY()+7,"Vence em 7 dias",IF($C1607&lt;=TODAY()+30,"Vence em 30 dias","Futuro")))))))))</f>
        <v/>
      </c>
      <c r="Z1607" s="24">
        <f>IF($B1607="","",MONTH($B1607))</f>
        <v/>
      </c>
      <c r="AA1607" s="24">
        <f>IF($B1607="","",YEAR($B1607))</f>
        <v/>
      </c>
      <c r="AB1607" s="24">
        <f>IF($B1607="","",ISOWEEKNUM($B1607))</f>
        <v/>
      </c>
      <c r="AC1607" s="17">
        <f>IF($B1607="","",CHOOSE(WEEKDAY($B1607,2),"Segunda","Terça","Quarta","Quinta","Sexta","Sábado","Domingo"))</f>
        <v/>
      </c>
      <c r="AD1607" s="17">
        <f>IF($B1607="","",TEXT($B1607,"MM/AAAA"))</f>
        <v/>
      </c>
      <c r="AE1607" s="18">
        <f>IF(COUNTA($B1607:$R1607)=0,"",IF($X1607="Cancelado",0,ROUND(N($Q1607)+N($S1607)+N($T1607)-N($U1607),2)))</f>
        <v/>
      </c>
      <c r="AF1607" s="9">
        <f>IF($G1607="","",IFERROR(INDEX(LINHAS_DRE_PLANO,MATCH($G1607,SUBCATEGORIAS_PLANO,0)),"Não classificado"))</f>
        <v/>
      </c>
      <c r="AG1607" s="17">
        <f>IF($G1607="","",IFERROR(INDEX(TIPOS_FLUXO_PLANO,MATCH($G1607,SUBCATEGORIAS_PLANO,0)),"Não classificado"))</f>
        <v/>
      </c>
      <c r="AH1607" s="9">
        <f>IF($G1607="","",IFERROR(INDEX(GRUPOS_PLANO,MATCH($G1607,SUBCATEGORIAS_PLANO,0)),"Não classificado"))</f>
        <v/>
      </c>
      <c r="AI1607" s="24">
        <f>IF(OR($C1607="",$X1607="Pago",$X1607="Recebido",$X1607="Cancelado"),"",$C1607-TODAY())</f>
        <v/>
      </c>
      <c r="AJ1607" s="24">
        <f>IF(OR($C1607="",$X1607="Pago",$X1607="Recebido",$X1607="Cancelado"),0,MAX(0,TODAY()-$C1607))</f>
        <v/>
      </c>
      <c r="AK1607" s="24">
        <f>IF($D1607="","",$D1607-$B1607)</f>
        <v/>
      </c>
      <c r="AL1607" s="18">
        <f>IF(OR($D1607="",$B1607=""),"",ROUND(N($R1607)*($D1607-$B1607),2))</f>
        <v/>
      </c>
      <c r="AM1607" s="17">
        <f>IF(AND($E1607="Saída",$W1607&gt;0,$C1607&lt;&gt;""),$C1607+ROW()/1000000,"")</f>
        <v/>
      </c>
      <c r="AN1607" s="17">
        <f>IF(AND($E1607="Entrada",$W1607&gt;0,$C1607&lt;&gt;""),$C1607+ROW()/1000000,"")</f>
        <v/>
      </c>
      <c r="AO1607" s="9">
        <f>IF(COUNTA($B1607:$R1607)=0,"",IF(AND($I1607&lt;&gt;"",COUNTIF(CLIENTES_NOMES,$I1607)+COUNTIF(CLIENTES_FANTASIA,$I1607)+COUNTIF(FORNECEDORES_NOMES,$I1607)+COUNTIF(FORNECEDORES_FANTASIA,$I1607)=0),"⚠ Cliente/Fornecedor não cadastrado",IF(AND($G1607&lt;&gt;"",COUNTIF(SUBCATEGORIAS_PLANO,$G1607)=0),"⚠ Subcategoria fora do plano de contas",IF(OR($Q1607="",N($Q1607)=0),"⚠ Valor previsto não informado",IF(AND(OR($X1607="Pago",$X1607="Recebido"),$D1607=""),"⚠ Status pago/recebido sem data",IF(AND($D1607&lt;&gt;"",N($R1607)=0),"⚠ Data de pagamento sem valor realizado",IF(AND(N($P1607)&gt;1,N($O1607)&gt;N($P1607)),"⚠ Nº da parcela maior que o total",IF(AND($C1607&lt;&gt;"",$B1607&lt;&gt;"",$C1607&lt;$B1607),"⚠ Vencimento anterior à competência","OK"))))))))</f>
        <v/>
      </c>
    </row>
    <row r="1608">
      <c r="A1608" s="14" t="n"/>
      <c r="B1608" s="36" t="n"/>
      <c r="C1608" s="36" t="n"/>
      <c r="D1608" s="36" t="n"/>
      <c r="E1608" s="14" t="n"/>
      <c r="F1608" s="29" t="n"/>
      <c r="G1608" s="29" t="n"/>
      <c r="H1608" s="29" t="n"/>
      <c r="I1608" s="29" t="n"/>
      <c r="J1608" s="29" t="n"/>
      <c r="K1608" s="14" t="n"/>
      <c r="L1608" s="29" t="n"/>
      <c r="M1608" s="14" t="n"/>
      <c r="N1608" s="29" t="n"/>
      <c r="O1608" s="13" t="n"/>
      <c r="P1608" s="13" t="n"/>
      <c r="Q1608" s="35" t="n"/>
      <c r="R1608" s="35" t="n"/>
      <c r="S1608" s="35" t="n"/>
      <c r="T1608" s="35" t="n"/>
      <c r="U1608" s="35" t="n"/>
      <c r="V1608" s="18">
        <f>IF(COUNTA($B1608:$R1608)=0,"",ROUND(N($R1608)+N($S1608)+N($T1608)-N($U1608),2))</f>
        <v/>
      </c>
      <c r="W1608" s="18">
        <f>IF(COUNTA($B1608:$R1608)=0,"",IF(OR($X1608="Pago",$X1608="Recebido",$X1608="Cancelado"),0,ROUND(N($Q1608)+N($S1608)+N($T1608)-N($U1608)-N($R1608),2)))</f>
        <v/>
      </c>
      <c r="X1608" s="14" t="n"/>
      <c r="Y1608" s="17">
        <f>IF(COUNTA($B1608:$R1608)=0,"",IF($X1608="Cancelado","Cancelado",IF(OR($X1608="Pago",$X1608="Recebido"),$X1608,IF(OR($X1608="Parcial",N($R1608)&gt;0),"Parcial",IF($C1608="","Sem vencimento",IF($C1608&lt;TODAY(),"Vencido",IF($C1608=TODAY(),"Vence hoje",IF($C1608&lt;=TODAY()+7,"Vence em 7 dias",IF($C1608&lt;=TODAY()+30,"Vence em 30 dias","Futuro")))))))))</f>
        <v/>
      </c>
      <c r="Z1608" s="24">
        <f>IF($B1608="","",MONTH($B1608))</f>
        <v/>
      </c>
      <c r="AA1608" s="24">
        <f>IF($B1608="","",YEAR($B1608))</f>
        <v/>
      </c>
      <c r="AB1608" s="24">
        <f>IF($B1608="","",ISOWEEKNUM($B1608))</f>
        <v/>
      </c>
      <c r="AC1608" s="17">
        <f>IF($B1608="","",CHOOSE(WEEKDAY($B1608,2),"Segunda","Terça","Quarta","Quinta","Sexta","Sábado","Domingo"))</f>
        <v/>
      </c>
      <c r="AD1608" s="17">
        <f>IF($B1608="","",TEXT($B1608,"MM/AAAA"))</f>
        <v/>
      </c>
      <c r="AE1608" s="18">
        <f>IF(COUNTA($B1608:$R1608)=0,"",IF($X1608="Cancelado",0,ROUND(N($Q1608)+N($S1608)+N($T1608)-N($U1608),2)))</f>
        <v/>
      </c>
      <c r="AF1608" s="9">
        <f>IF($G1608="","",IFERROR(INDEX(LINHAS_DRE_PLANO,MATCH($G1608,SUBCATEGORIAS_PLANO,0)),"Não classificado"))</f>
        <v/>
      </c>
      <c r="AG1608" s="17">
        <f>IF($G1608="","",IFERROR(INDEX(TIPOS_FLUXO_PLANO,MATCH($G1608,SUBCATEGORIAS_PLANO,0)),"Não classificado"))</f>
        <v/>
      </c>
      <c r="AH1608" s="9">
        <f>IF($G1608="","",IFERROR(INDEX(GRUPOS_PLANO,MATCH($G1608,SUBCATEGORIAS_PLANO,0)),"Não classificado"))</f>
        <v/>
      </c>
      <c r="AI1608" s="24">
        <f>IF(OR($C1608="",$X1608="Pago",$X1608="Recebido",$X1608="Cancelado"),"",$C1608-TODAY())</f>
        <v/>
      </c>
      <c r="AJ1608" s="24">
        <f>IF(OR($C1608="",$X1608="Pago",$X1608="Recebido",$X1608="Cancelado"),0,MAX(0,TODAY()-$C1608))</f>
        <v/>
      </c>
      <c r="AK1608" s="24">
        <f>IF($D1608="","",$D1608-$B1608)</f>
        <v/>
      </c>
      <c r="AL1608" s="18">
        <f>IF(OR($D1608="",$B1608=""),"",ROUND(N($R1608)*($D1608-$B1608),2))</f>
        <v/>
      </c>
      <c r="AM1608" s="17">
        <f>IF(AND($E1608="Saída",$W1608&gt;0,$C1608&lt;&gt;""),$C1608+ROW()/1000000,"")</f>
        <v/>
      </c>
      <c r="AN1608" s="17">
        <f>IF(AND($E1608="Entrada",$W1608&gt;0,$C1608&lt;&gt;""),$C1608+ROW()/1000000,"")</f>
        <v/>
      </c>
      <c r="AO1608" s="9">
        <f>IF(COUNTA($B1608:$R1608)=0,"",IF(AND($I1608&lt;&gt;"",COUNTIF(CLIENTES_NOMES,$I1608)+COUNTIF(CLIENTES_FANTASIA,$I1608)+COUNTIF(FORNECEDORES_NOMES,$I1608)+COUNTIF(FORNECEDORES_FANTASIA,$I1608)=0),"⚠ Cliente/Fornecedor não cadastrado",IF(AND($G1608&lt;&gt;"",COUNTIF(SUBCATEGORIAS_PLANO,$G1608)=0),"⚠ Subcategoria fora do plano de contas",IF(OR($Q1608="",N($Q1608)=0),"⚠ Valor previsto não informado",IF(AND(OR($X1608="Pago",$X1608="Recebido"),$D1608=""),"⚠ Status pago/recebido sem data",IF(AND($D1608&lt;&gt;"",N($R1608)=0),"⚠ Data de pagamento sem valor realizado",IF(AND(N($P1608)&gt;1,N($O1608)&gt;N($P1608)),"⚠ Nº da parcela maior que o total",IF(AND($C1608&lt;&gt;"",$B1608&lt;&gt;"",$C1608&lt;$B1608),"⚠ Vencimento anterior à competência","OK"))))))))</f>
        <v/>
      </c>
    </row>
    <row r="1609">
      <c r="A1609" s="14" t="n"/>
      <c r="B1609" s="36" t="n"/>
      <c r="C1609" s="36" t="n"/>
      <c r="D1609" s="36" t="n"/>
      <c r="E1609" s="14" t="n"/>
      <c r="F1609" s="29" t="n"/>
      <c r="G1609" s="29" t="n"/>
      <c r="H1609" s="29" t="n"/>
      <c r="I1609" s="29" t="n"/>
      <c r="J1609" s="29" t="n"/>
      <c r="K1609" s="14" t="n"/>
      <c r="L1609" s="29" t="n"/>
      <c r="M1609" s="14" t="n"/>
      <c r="N1609" s="29" t="n"/>
      <c r="O1609" s="13" t="n"/>
      <c r="P1609" s="13" t="n"/>
      <c r="Q1609" s="35" t="n"/>
      <c r="R1609" s="35" t="n"/>
      <c r="S1609" s="35" t="n"/>
      <c r="T1609" s="35" t="n"/>
      <c r="U1609" s="35" t="n"/>
      <c r="V1609" s="18">
        <f>IF(COUNTA($B1609:$R1609)=0,"",ROUND(N($R1609)+N($S1609)+N($T1609)-N($U1609),2))</f>
        <v/>
      </c>
      <c r="W1609" s="18">
        <f>IF(COUNTA($B1609:$R1609)=0,"",IF(OR($X1609="Pago",$X1609="Recebido",$X1609="Cancelado"),0,ROUND(N($Q1609)+N($S1609)+N($T1609)-N($U1609)-N($R1609),2)))</f>
        <v/>
      </c>
      <c r="X1609" s="14" t="n"/>
      <c r="Y1609" s="17">
        <f>IF(COUNTA($B1609:$R1609)=0,"",IF($X1609="Cancelado","Cancelado",IF(OR($X1609="Pago",$X1609="Recebido"),$X1609,IF(OR($X1609="Parcial",N($R1609)&gt;0),"Parcial",IF($C1609="","Sem vencimento",IF($C1609&lt;TODAY(),"Vencido",IF($C1609=TODAY(),"Vence hoje",IF($C1609&lt;=TODAY()+7,"Vence em 7 dias",IF($C1609&lt;=TODAY()+30,"Vence em 30 dias","Futuro")))))))))</f>
        <v/>
      </c>
      <c r="Z1609" s="24">
        <f>IF($B1609="","",MONTH($B1609))</f>
        <v/>
      </c>
      <c r="AA1609" s="24">
        <f>IF($B1609="","",YEAR($B1609))</f>
        <v/>
      </c>
      <c r="AB1609" s="24">
        <f>IF($B1609="","",ISOWEEKNUM($B1609))</f>
        <v/>
      </c>
      <c r="AC1609" s="17">
        <f>IF($B1609="","",CHOOSE(WEEKDAY($B1609,2),"Segunda","Terça","Quarta","Quinta","Sexta","Sábado","Domingo"))</f>
        <v/>
      </c>
      <c r="AD1609" s="17">
        <f>IF($B1609="","",TEXT($B1609,"MM/AAAA"))</f>
        <v/>
      </c>
      <c r="AE1609" s="18">
        <f>IF(COUNTA($B1609:$R1609)=0,"",IF($X1609="Cancelado",0,ROUND(N($Q1609)+N($S1609)+N($T1609)-N($U1609),2)))</f>
        <v/>
      </c>
      <c r="AF1609" s="9">
        <f>IF($G1609="","",IFERROR(INDEX(LINHAS_DRE_PLANO,MATCH($G1609,SUBCATEGORIAS_PLANO,0)),"Não classificado"))</f>
        <v/>
      </c>
      <c r="AG1609" s="17">
        <f>IF($G1609="","",IFERROR(INDEX(TIPOS_FLUXO_PLANO,MATCH($G1609,SUBCATEGORIAS_PLANO,0)),"Não classificado"))</f>
        <v/>
      </c>
      <c r="AH1609" s="9">
        <f>IF($G1609="","",IFERROR(INDEX(GRUPOS_PLANO,MATCH($G1609,SUBCATEGORIAS_PLANO,0)),"Não classificado"))</f>
        <v/>
      </c>
      <c r="AI1609" s="24">
        <f>IF(OR($C1609="",$X1609="Pago",$X1609="Recebido",$X1609="Cancelado"),"",$C1609-TODAY())</f>
        <v/>
      </c>
      <c r="AJ1609" s="24">
        <f>IF(OR($C1609="",$X1609="Pago",$X1609="Recebido",$X1609="Cancelado"),0,MAX(0,TODAY()-$C1609))</f>
        <v/>
      </c>
      <c r="AK1609" s="24">
        <f>IF($D1609="","",$D1609-$B1609)</f>
        <v/>
      </c>
      <c r="AL1609" s="18">
        <f>IF(OR($D1609="",$B1609=""),"",ROUND(N($R1609)*($D1609-$B1609),2))</f>
        <v/>
      </c>
      <c r="AM1609" s="17">
        <f>IF(AND($E1609="Saída",$W1609&gt;0,$C1609&lt;&gt;""),$C1609+ROW()/1000000,"")</f>
        <v/>
      </c>
      <c r="AN1609" s="17">
        <f>IF(AND($E1609="Entrada",$W1609&gt;0,$C1609&lt;&gt;""),$C1609+ROW()/1000000,"")</f>
        <v/>
      </c>
      <c r="AO1609" s="9">
        <f>IF(COUNTA($B1609:$R1609)=0,"",IF(AND($I1609&lt;&gt;"",COUNTIF(CLIENTES_NOMES,$I1609)+COUNTIF(CLIENTES_FANTASIA,$I1609)+COUNTIF(FORNECEDORES_NOMES,$I1609)+COUNTIF(FORNECEDORES_FANTASIA,$I1609)=0),"⚠ Cliente/Fornecedor não cadastrado",IF(AND($G1609&lt;&gt;"",COUNTIF(SUBCATEGORIAS_PLANO,$G1609)=0),"⚠ Subcategoria fora do plano de contas",IF(OR($Q1609="",N($Q1609)=0),"⚠ Valor previsto não informado",IF(AND(OR($X1609="Pago",$X1609="Recebido"),$D1609=""),"⚠ Status pago/recebido sem data",IF(AND($D1609&lt;&gt;"",N($R1609)=0),"⚠ Data de pagamento sem valor realizado",IF(AND(N($P1609)&gt;1,N($O1609)&gt;N($P1609)),"⚠ Nº da parcela maior que o total",IF(AND($C1609&lt;&gt;"",$B1609&lt;&gt;"",$C1609&lt;$B1609),"⚠ Vencimento anterior à competência","OK"))))))))</f>
        <v/>
      </c>
    </row>
    <row r="1610">
      <c r="A1610" s="14" t="n"/>
      <c r="B1610" s="36" t="n"/>
      <c r="C1610" s="36" t="n"/>
      <c r="D1610" s="36" t="n"/>
      <c r="E1610" s="14" t="n"/>
      <c r="F1610" s="29" t="n"/>
      <c r="G1610" s="29" t="n"/>
      <c r="H1610" s="29" t="n"/>
      <c r="I1610" s="29" t="n"/>
      <c r="J1610" s="29" t="n"/>
      <c r="K1610" s="14" t="n"/>
      <c r="L1610" s="29" t="n"/>
      <c r="M1610" s="14" t="n"/>
      <c r="N1610" s="29" t="n"/>
      <c r="O1610" s="13" t="n"/>
      <c r="P1610" s="13" t="n"/>
      <c r="Q1610" s="35" t="n"/>
      <c r="R1610" s="35" t="n"/>
      <c r="S1610" s="35" t="n"/>
      <c r="T1610" s="35" t="n"/>
      <c r="U1610" s="35" t="n"/>
      <c r="V1610" s="18">
        <f>IF(COUNTA($B1610:$R1610)=0,"",ROUND(N($R1610)+N($S1610)+N($T1610)-N($U1610),2))</f>
        <v/>
      </c>
      <c r="W1610" s="18">
        <f>IF(COUNTA($B1610:$R1610)=0,"",IF(OR($X1610="Pago",$X1610="Recebido",$X1610="Cancelado"),0,ROUND(N($Q1610)+N($S1610)+N($T1610)-N($U1610)-N($R1610),2)))</f>
        <v/>
      </c>
      <c r="X1610" s="14" t="n"/>
      <c r="Y1610" s="17">
        <f>IF(COUNTA($B1610:$R1610)=0,"",IF($X1610="Cancelado","Cancelado",IF(OR($X1610="Pago",$X1610="Recebido"),$X1610,IF(OR($X1610="Parcial",N($R1610)&gt;0),"Parcial",IF($C1610="","Sem vencimento",IF($C1610&lt;TODAY(),"Vencido",IF($C1610=TODAY(),"Vence hoje",IF($C1610&lt;=TODAY()+7,"Vence em 7 dias",IF($C1610&lt;=TODAY()+30,"Vence em 30 dias","Futuro")))))))))</f>
        <v/>
      </c>
      <c r="Z1610" s="24">
        <f>IF($B1610="","",MONTH($B1610))</f>
        <v/>
      </c>
      <c r="AA1610" s="24">
        <f>IF($B1610="","",YEAR($B1610))</f>
        <v/>
      </c>
      <c r="AB1610" s="24">
        <f>IF($B1610="","",ISOWEEKNUM($B1610))</f>
        <v/>
      </c>
      <c r="AC1610" s="17">
        <f>IF($B1610="","",CHOOSE(WEEKDAY($B1610,2),"Segunda","Terça","Quarta","Quinta","Sexta","Sábado","Domingo"))</f>
        <v/>
      </c>
      <c r="AD1610" s="17">
        <f>IF($B1610="","",TEXT($B1610,"MM/AAAA"))</f>
        <v/>
      </c>
      <c r="AE1610" s="18">
        <f>IF(COUNTA($B1610:$R1610)=0,"",IF($X1610="Cancelado",0,ROUND(N($Q1610)+N($S1610)+N($T1610)-N($U1610),2)))</f>
        <v/>
      </c>
      <c r="AF1610" s="9">
        <f>IF($G1610="","",IFERROR(INDEX(LINHAS_DRE_PLANO,MATCH($G1610,SUBCATEGORIAS_PLANO,0)),"Não classificado"))</f>
        <v/>
      </c>
      <c r="AG1610" s="17">
        <f>IF($G1610="","",IFERROR(INDEX(TIPOS_FLUXO_PLANO,MATCH($G1610,SUBCATEGORIAS_PLANO,0)),"Não classificado"))</f>
        <v/>
      </c>
      <c r="AH1610" s="9">
        <f>IF($G1610="","",IFERROR(INDEX(GRUPOS_PLANO,MATCH($G1610,SUBCATEGORIAS_PLANO,0)),"Não classificado"))</f>
        <v/>
      </c>
      <c r="AI1610" s="24">
        <f>IF(OR($C1610="",$X1610="Pago",$X1610="Recebido",$X1610="Cancelado"),"",$C1610-TODAY())</f>
        <v/>
      </c>
      <c r="AJ1610" s="24">
        <f>IF(OR($C1610="",$X1610="Pago",$X1610="Recebido",$X1610="Cancelado"),0,MAX(0,TODAY()-$C1610))</f>
        <v/>
      </c>
      <c r="AK1610" s="24">
        <f>IF($D1610="","",$D1610-$B1610)</f>
        <v/>
      </c>
      <c r="AL1610" s="18">
        <f>IF(OR($D1610="",$B1610=""),"",ROUND(N($R1610)*($D1610-$B1610),2))</f>
        <v/>
      </c>
      <c r="AM1610" s="17">
        <f>IF(AND($E1610="Saída",$W1610&gt;0,$C1610&lt;&gt;""),$C1610+ROW()/1000000,"")</f>
        <v/>
      </c>
      <c r="AN1610" s="17">
        <f>IF(AND($E1610="Entrada",$W1610&gt;0,$C1610&lt;&gt;""),$C1610+ROW()/1000000,"")</f>
        <v/>
      </c>
      <c r="AO1610" s="9">
        <f>IF(COUNTA($B1610:$R1610)=0,"",IF(AND($I1610&lt;&gt;"",COUNTIF(CLIENTES_NOMES,$I1610)+COUNTIF(CLIENTES_FANTASIA,$I1610)+COUNTIF(FORNECEDORES_NOMES,$I1610)+COUNTIF(FORNECEDORES_FANTASIA,$I1610)=0),"⚠ Cliente/Fornecedor não cadastrado",IF(AND($G1610&lt;&gt;"",COUNTIF(SUBCATEGORIAS_PLANO,$G1610)=0),"⚠ Subcategoria fora do plano de contas",IF(OR($Q1610="",N($Q1610)=0),"⚠ Valor previsto não informado",IF(AND(OR($X1610="Pago",$X1610="Recebido"),$D1610=""),"⚠ Status pago/recebido sem data",IF(AND($D1610&lt;&gt;"",N($R1610)=0),"⚠ Data de pagamento sem valor realizado",IF(AND(N($P1610)&gt;1,N($O1610)&gt;N($P1610)),"⚠ Nº da parcela maior que o total",IF(AND($C1610&lt;&gt;"",$B1610&lt;&gt;"",$C1610&lt;$B1610),"⚠ Vencimento anterior à competência","OK"))))))))</f>
        <v/>
      </c>
    </row>
    <row r="1611">
      <c r="A1611" s="14" t="n"/>
      <c r="B1611" s="36" t="n"/>
      <c r="C1611" s="36" t="n"/>
      <c r="D1611" s="36" t="n"/>
      <c r="E1611" s="14" t="n"/>
      <c r="F1611" s="29" t="n"/>
      <c r="G1611" s="29" t="n"/>
      <c r="H1611" s="29" t="n"/>
      <c r="I1611" s="29" t="n"/>
      <c r="J1611" s="29" t="n"/>
      <c r="K1611" s="14" t="n"/>
      <c r="L1611" s="29" t="n"/>
      <c r="M1611" s="14" t="n"/>
      <c r="N1611" s="29" t="n"/>
      <c r="O1611" s="13" t="n"/>
      <c r="P1611" s="13" t="n"/>
      <c r="Q1611" s="35" t="n"/>
      <c r="R1611" s="35" t="n"/>
      <c r="S1611" s="35" t="n"/>
      <c r="T1611" s="35" t="n"/>
      <c r="U1611" s="35" t="n"/>
      <c r="V1611" s="18">
        <f>IF(COUNTA($B1611:$R1611)=0,"",ROUND(N($R1611)+N($S1611)+N($T1611)-N($U1611),2))</f>
        <v/>
      </c>
      <c r="W1611" s="18">
        <f>IF(COUNTA($B1611:$R1611)=0,"",IF(OR($X1611="Pago",$X1611="Recebido",$X1611="Cancelado"),0,ROUND(N($Q1611)+N($S1611)+N($T1611)-N($U1611)-N($R1611),2)))</f>
        <v/>
      </c>
      <c r="X1611" s="14" t="n"/>
      <c r="Y1611" s="17">
        <f>IF(COUNTA($B1611:$R1611)=0,"",IF($X1611="Cancelado","Cancelado",IF(OR($X1611="Pago",$X1611="Recebido"),$X1611,IF(OR($X1611="Parcial",N($R1611)&gt;0),"Parcial",IF($C1611="","Sem vencimento",IF($C1611&lt;TODAY(),"Vencido",IF($C1611=TODAY(),"Vence hoje",IF($C1611&lt;=TODAY()+7,"Vence em 7 dias",IF($C1611&lt;=TODAY()+30,"Vence em 30 dias","Futuro")))))))))</f>
        <v/>
      </c>
      <c r="Z1611" s="24">
        <f>IF($B1611="","",MONTH($B1611))</f>
        <v/>
      </c>
      <c r="AA1611" s="24">
        <f>IF($B1611="","",YEAR($B1611))</f>
        <v/>
      </c>
      <c r="AB1611" s="24">
        <f>IF($B1611="","",ISOWEEKNUM($B1611))</f>
        <v/>
      </c>
      <c r="AC1611" s="17">
        <f>IF($B1611="","",CHOOSE(WEEKDAY($B1611,2),"Segunda","Terça","Quarta","Quinta","Sexta","Sábado","Domingo"))</f>
        <v/>
      </c>
      <c r="AD1611" s="17">
        <f>IF($B1611="","",TEXT($B1611,"MM/AAAA"))</f>
        <v/>
      </c>
      <c r="AE1611" s="18">
        <f>IF(COUNTA($B1611:$R1611)=0,"",IF($X1611="Cancelado",0,ROUND(N($Q1611)+N($S1611)+N($T1611)-N($U1611),2)))</f>
        <v/>
      </c>
      <c r="AF1611" s="9">
        <f>IF($G1611="","",IFERROR(INDEX(LINHAS_DRE_PLANO,MATCH($G1611,SUBCATEGORIAS_PLANO,0)),"Não classificado"))</f>
        <v/>
      </c>
      <c r="AG1611" s="17">
        <f>IF($G1611="","",IFERROR(INDEX(TIPOS_FLUXO_PLANO,MATCH($G1611,SUBCATEGORIAS_PLANO,0)),"Não classificado"))</f>
        <v/>
      </c>
      <c r="AH1611" s="9">
        <f>IF($G1611="","",IFERROR(INDEX(GRUPOS_PLANO,MATCH($G1611,SUBCATEGORIAS_PLANO,0)),"Não classificado"))</f>
        <v/>
      </c>
      <c r="AI1611" s="24">
        <f>IF(OR($C1611="",$X1611="Pago",$X1611="Recebido",$X1611="Cancelado"),"",$C1611-TODAY())</f>
        <v/>
      </c>
      <c r="AJ1611" s="24">
        <f>IF(OR($C1611="",$X1611="Pago",$X1611="Recebido",$X1611="Cancelado"),0,MAX(0,TODAY()-$C1611))</f>
        <v/>
      </c>
      <c r="AK1611" s="24">
        <f>IF($D1611="","",$D1611-$B1611)</f>
        <v/>
      </c>
      <c r="AL1611" s="18">
        <f>IF(OR($D1611="",$B1611=""),"",ROUND(N($R1611)*($D1611-$B1611),2))</f>
        <v/>
      </c>
      <c r="AM1611" s="17">
        <f>IF(AND($E1611="Saída",$W1611&gt;0,$C1611&lt;&gt;""),$C1611+ROW()/1000000,"")</f>
        <v/>
      </c>
      <c r="AN1611" s="17">
        <f>IF(AND($E1611="Entrada",$W1611&gt;0,$C1611&lt;&gt;""),$C1611+ROW()/1000000,"")</f>
        <v/>
      </c>
      <c r="AO1611" s="9">
        <f>IF(COUNTA($B1611:$R1611)=0,"",IF(AND($I1611&lt;&gt;"",COUNTIF(CLIENTES_NOMES,$I1611)+COUNTIF(CLIENTES_FANTASIA,$I1611)+COUNTIF(FORNECEDORES_NOMES,$I1611)+COUNTIF(FORNECEDORES_FANTASIA,$I1611)=0),"⚠ Cliente/Fornecedor não cadastrado",IF(AND($G1611&lt;&gt;"",COUNTIF(SUBCATEGORIAS_PLANO,$G1611)=0),"⚠ Subcategoria fora do plano de contas",IF(OR($Q1611="",N($Q1611)=0),"⚠ Valor previsto não informado",IF(AND(OR($X1611="Pago",$X1611="Recebido"),$D1611=""),"⚠ Status pago/recebido sem data",IF(AND($D1611&lt;&gt;"",N($R1611)=0),"⚠ Data de pagamento sem valor realizado",IF(AND(N($P1611)&gt;1,N($O1611)&gt;N($P1611)),"⚠ Nº da parcela maior que o total",IF(AND($C1611&lt;&gt;"",$B1611&lt;&gt;"",$C1611&lt;$B1611),"⚠ Vencimento anterior à competência","OK"))))))))</f>
        <v/>
      </c>
    </row>
    <row r="1612">
      <c r="A1612" s="14" t="n"/>
      <c r="B1612" s="36" t="n"/>
      <c r="C1612" s="36" t="n"/>
      <c r="D1612" s="36" t="n"/>
      <c r="E1612" s="14" t="n"/>
      <c r="F1612" s="29" t="n"/>
      <c r="G1612" s="29" t="n"/>
      <c r="H1612" s="29" t="n"/>
      <c r="I1612" s="29" t="n"/>
      <c r="J1612" s="29" t="n"/>
      <c r="K1612" s="14" t="n"/>
      <c r="L1612" s="29" t="n"/>
      <c r="M1612" s="14" t="n"/>
      <c r="N1612" s="29" t="n"/>
      <c r="O1612" s="13" t="n"/>
      <c r="P1612" s="13" t="n"/>
      <c r="Q1612" s="35" t="n"/>
      <c r="R1612" s="35" t="n"/>
      <c r="S1612" s="35" t="n"/>
      <c r="T1612" s="35" t="n"/>
      <c r="U1612" s="35" t="n"/>
      <c r="V1612" s="18">
        <f>IF(COUNTA($B1612:$R1612)=0,"",ROUND(N($R1612)+N($S1612)+N($T1612)-N($U1612),2))</f>
        <v/>
      </c>
      <c r="W1612" s="18">
        <f>IF(COUNTA($B1612:$R1612)=0,"",IF(OR($X1612="Pago",$X1612="Recebido",$X1612="Cancelado"),0,ROUND(N($Q1612)+N($S1612)+N($T1612)-N($U1612)-N($R1612),2)))</f>
        <v/>
      </c>
      <c r="X1612" s="14" t="n"/>
      <c r="Y1612" s="17">
        <f>IF(COUNTA($B1612:$R1612)=0,"",IF($X1612="Cancelado","Cancelado",IF(OR($X1612="Pago",$X1612="Recebido"),$X1612,IF(OR($X1612="Parcial",N($R1612)&gt;0),"Parcial",IF($C1612="","Sem vencimento",IF($C1612&lt;TODAY(),"Vencido",IF($C1612=TODAY(),"Vence hoje",IF($C1612&lt;=TODAY()+7,"Vence em 7 dias",IF($C1612&lt;=TODAY()+30,"Vence em 30 dias","Futuro")))))))))</f>
        <v/>
      </c>
      <c r="Z1612" s="24">
        <f>IF($B1612="","",MONTH($B1612))</f>
        <v/>
      </c>
      <c r="AA1612" s="24">
        <f>IF($B1612="","",YEAR($B1612))</f>
        <v/>
      </c>
      <c r="AB1612" s="24">
        <f>IF($B1612="","",ISOWEEKNUM($B1612))</f>
        <v/>
      </c>
      <c r="AC1612" s="17">
        <f>IF($B1612="","",CHOOSE(WEEKDAY($B1612,2),"Segunda","Terça","Quarta","Quinta","Sexta","Sábado","Domingo"))</f>
        <v/>
      </c>
      <c r="AD1612" s="17">
        <f>IF($B1612="","",TEXT($B1612,"MM/AAAA"))</f>
        <v/>
      </c>
      <c r="AE1612" s="18">
        <f>IF(COUNTA($B1612:$R1612)=0,"",IF($X1612="Cancelado",0,ROUND(N($Q1612)+N($S1612)+N($T1612)-N($U1612),2)))</f>
        <v/>
      </c>
      <c r="AF1612" s="9">
        <f>IF($G1612="","",IFERROR(INDEX(LINHAS_DRE_PLANO,MATCH($G1612,SUBCATEGORIAS_PLANO,0)),"Não classificado"))</f>
        <v/>
      </c>
      <c r="AG1612" s="17">
        <f>IF($G1612="","",IFERROR(INDEX(TIPOS_FLUXO_PLANO,MATCH($G1612,SUBCATEGORIAS_PLANO,0)),"Não classificado"))</f>
        <v/>
      </c>
      <c r="AH1612" s="9">
        <f>IF($G1612="","",IFERROR(INDEX(GRUPOS_PLANO,MATCH($G1612,SUBCATEGORIAS_PLANO,0)),"Não classificado"))</f>
        <v/>
      </c>
      <c r="AI1612" s="24">
        <f>IF(OR($C1612="",$X1612="Pago",$X1612="Recebido",$X1612="Cancelado"),"",$C1612-TODAY())</f>
        <v/>
      </c>
      <c r="AJ1612" s="24">
        <f>IF(OR($C1612="",$X1612="Pago",$X1612="Recebido",$X1612="Cancelado"),0,MAX(0,TODAY()-$C1612))</f>
        <v/>
      </c>
      <c r="AK1612" s="24">
        <f>IF($D1612="","",$D1612-$B1612)</f>
        <v/>
      </c>
      <c r="AL1612" s="18">
        <f>IF(OR($D1612="",$B1612=""),"",ROUND(N($R1612)*($D1612-$B1612),2))</f>
        <v/>
      </c>
      <c r="AM1612" s="17">
        <f>IF(AND($E1612="Saída",$W1612&gt;0,$C1612&lt;&gt;""),$C1612+ROW()/1000000,"")</f>
        <v/>
      </c>
      <c r="AN1612" s="17">
        <f>IF(AND($E1612="Entrada",$W1612&gt;0,$C1612&lt;&gt;""),$C1612+ROW()/1000000,"")</f>
        <v/>
      </c>
      <c r="AO1612" s="9">
        <f>IF(COUNTA($B1612:$R1612)=0,"",IF(AND($I1612&lt;&gt;"",COUNTIF(CLIENTES_NOMES,$I1612)+COUNTIF(CLIENTES_FANTASIA,$I1612)+COUNTIF(FORNECEDORES_NOMES,$I1612)+COUNTIF(FORNECEDORES_FANTASIA,$I1612)=0),"⚠ Cliente/Fornecedor não cadastrado",IF(AND($G1612&lt;&gt;"",COUNTIF(SUBCATEGORIAS_PLANO,$G1612)=0),"⚠ Subcategoria fora do plano de contas",IF(OR($Q1612="",N($Q1612)=0),"⚠ Valor previsto não informado",IF(AND(OR($X1612="Pago",$X1612="Recebido"),$D1612=""),"⚠ Status pago/recebido sem data",IF(AND($D1612&lt;&gt;"",N($R1612)=0),"⚠ Data de pagamento sem valor realizado",IF(AND(N($P1612)&gt;1,N($O1612)&gt;N($P1612)),"⚠ Nº da parcela maior que o total",IF(AND($C1612&lt;&gt;"",$B1612&lt;&gt;"",$C1612&lt;$B1612),"⚠ Vencimento anterior à competência","OK"))))))))</f>
        <v/>
      </c>
    </row>
    <row r="1613">
      <c r="A1613" s="14" t="n"/>
      <c r="B1613" s="36" t="n"/>
      <c r="C1613" s="36" t="n"/>
      <c r="D1613" s="36" t="n"/>
      <c r="E1613" s="14" t="n"/>
      <c r="F1613" s="29" t="n"/>
      <c r="G1613" s="29" t="n"/>
      <c r="H1613" s="29" t="n"/>
      <c r="I1613" s="29" t="n"/>
      <c r="J1613" s="29" t="n"/>
      <c r="K1613" s="14" t="n"/>
      <c r="L1613" s="29" t="n"/>
      <c r="M1613" s="14" t="n"/>
      <c r="N1613" s="29" t="n"/>
      <c r="O1613" s="13" t="n"/>
      <c r="P1613" s="13" t="n"/>
      <c r="Q1613" s="35" t="n"/>
      <c r="R1613" s="35" t="n"/>
      <c r="S1613" s="35" t="n"/>
      <c r="T1613" s="35" t="n"/>
      <c r="U1613" s="35" t="n"/>
      <c r="V1613" s="18">
        <f>IF(COUNTA($B1613:$R1613)=0,"",ROUND(N($R1613)+N($S1613)+N($T1613)-N($U1613),2))</f>
        <v/>
      </c>
      <c r="W1613" s="18">
        <f>IF(COUNTA($B1613:$R1613)=0,"",IF(OR($X1613="Pago",$X1613="Recebido",$X1613="Cancelado"),0,ROUND(N($Q1613)+N($S1613)+N($T1613)-N($U1613)-N($R1613),2)))</f>
        <v/>
      </c>
      <c r="X1613" s="14" t="n"/>
      <c r="Y1613" s="17">
        <f>IF(COUNTA($B1613:$R1613)=0,"",IF($X1613="Cancelado","Cancelado",IF(OR($X1613="Pago",$X1613="Recebido"),$X1613,IF(OR($X1613="Parcial",N($R1613)&gt;0),"Parcial",IF($C1613="","Sem vencimento",IF($C1613&lt;TODAY(),"Vencido",IF($C1613=TODAY(),"Vence hoje",IF($C1613&lt;=TODAY()+7,"Vence em 7 dias",IF($C1613&lt;=TODAY()+30,"Vence em 30 dias","Futuro")))))))))</f>
        <v/>
      </c>
      <c r="Z1613" s="24">
        <f>IF($B1613="","",MONTH($B1613))</f>
        <v/>
      </c>
      <c r="AA1613" s="24">
        <f>IF($B1613="","",YEAR($B1613))</f>
        <v/>
      </c>
      <c r="AB1613" s="24">
        <f>IF($B1613="","",ISOWEEKNUM($B1613))</f>
        <v/>
      </c>
      <c r="AC1613" s="17">
        <f>IF($B1613="","",CHOOSE(WEEKDAY($B1613,2),"Segunda","Terça","Quarta","Quinta","Sexta","Sábado","Domingo"))</f>
        <v/>
      </c>
      <c r="AD1613" s="17">
        <f>IF($B1613="","",TEXT($B1613,"MM/AAAA"))</f>
        <v/>
      </c>
      <c r="AE1613" s="18">
        <f>IF(COUNTA($B1613:$R1613)=0,"",IF($X1613="Cancelado",0,ROUND(N($Q1613)+N($S1613)+N($T1613)-N($U1613),2)))</f>
        <v/>
      </c>
      <c r="AF1613" s="9">
        <f>IF($G1613="","",IFERROR(INDEX(LINHAS_DRE_PLANO,MATCH($G1613,SUBCATEGORIAS_PLANO,0)),"Não classificado"))</f>
        <v/>
      </c>
      <c r="AG1613" s="17">
        <f>IF($G1613="","",IFERROR(INDEX(TIPOS_FLUXO_PLANO,MATCH($G1613,SUBCATEGORIAS_PLANO,0)),"Não classificado"))</f>
        <v/>
      </c>
      <c r="AH1613" s="9">
        <f>IF($G1613="","",IFERROR(INDEX(GRUPOS_PLANO,MATCH($G1613,SUBCATEGORIAS_PLANO,0)),"Não classificado"))</f>
        <v/>
      </c>
      <c r="AI1613" s="24">
        <f>IF(OR($C1613="",$X1613="Pago",$X1613="Recebido",$X1613="Cancelado"),"",$C1613-TODAY())</f>
        <v/>
      </c>
      <c r="AJ1613" s="24">
        <f>IF(OR($C1613="",$X1613="Pago",$X1613="Recebido",$X1613="Cancelado"),0,MAX(0,TODAY()-$C1613))</f>
        <v/>
      </c>
      <c r="AK1613" s="24">
        <f>IF($D1613="","",$D1613-$B1613)</f>
        <v/>
      </c>
      <c r="AL1613" s="18">
        <f>IF(OR($D1613="",$B1613=""),"",ROUND(N($R1613)*($D1613-$B1613),2))</f>
        <v/>
      </c>
      <c r="AM1613" s="17">
        <f>IF(AND($E1613="Saída",$W1613&gt;0,$C1613&lt;&gt;""),$C1613+ROW()/1000000,"")</f>
        <v/>
      </c>
      <c r="AN1613" s="17">
        <f>IF(AND($E1613="Entrada",$W1613&gt;0,$C1613&lt;&gt;""),$C1613+ROW()/1000000,"")</f>
        <v/>
      </c>
      <c r="AO1613" s="9">
        <f>IF(COUNTA($B1613:$R1613)=0,"",IF(AND($I1613&lt;&gt;"",COUNTIF(CLIENTES_NOMES,$I1613)+COUNTIF(CLIENTES_FANTASIA,$I1613)+COUNTIF(FORNECEDORES_NOMES,$I1613)+COUNTIF(FORNECEDORES_FANTASIA,$I1613)=0),"⚠ Cliente/Fornecedor não cadastrado",IF(AND($G1613&lt;&gt;"",COUNTIF(SUBCATEGORIAS_PLANO,$G1613)=0),"⚠ Subcategoria fora do plano de contas",IF(OR($Q1613="",N($Q1613)=0),"⚠ Valor previsto não informado",IF(AND(OR($X1613="Pago",$X1613="Recebido"),$D1613=""),"⚠ Status pago/recebido sem data",IF(AND($D1613&lt;&gt;"",N($R1613)=0),"⚠ Data de pagamento sem valor realizado",IF(AND(N($P1613)&gt;1,N($O1613)&gt;N($P1613)),"⚠ Nº da parcela maior que o total",IF(AND($C1613&lt;&gt;"",$B1613&lt;&gt;"",$C1613&lt;$B1613),"⚠ Vencimento anterior à competência","OK"))))))))</f>
        <v/>
      </c>
    </row>
    <row r="1614">
      <c r="A1614" s="14" t="n"/>
      <c r="B1614" s="36" t="n"/>
      <c r="C1614" s="36" t="n"/>
      <c r="D1614" s="36" t="n"/>
      <c r="E1614" s="14" t="n"/>
      <c r="F1614" s="29" t="n"/>
      <c r="G1614" s="29" t="n"/>
      <c r="H1614" s="29" t="n"/>
      <c r="I1614" s="29" t="n"/>
      <c r="J1614" s="29" t="n"/>
      <c r="K1614" s="14" t="n"/>
      <c r="L1614" s="29" t="n"/>
      <c r="M1614" s="14" t="n"/>
      <c r="N1614" s="29" t="n"/>
      <c r="O1614" s="13" t="n"/>
      <c r="P1614" s="13" t="n"/>
      <c r="Q1614" s="35" t="n"/>
      <c r="R1614" s="35" t="n"/>
      <c r="S1614" s="35" t="n"/>
      <c r="T1614" s="35" t="n"/>
      <c r="U1614" s="35" t="n"/>
      <c r="V1614" s="18">
        <f>IF(COUNTA($B1614:$R1614)=0,"",ROUND(N($R1614)+N($S1614)+N($T1614)-N($U1614),2))</f>
        <v/>
      </c>
      <c r="W1614" s="18">
        <f>IF(COUNTA($B1614:$R1614)=0,"",IF(OR($X1614="Pago",$X1614="Recebido",$X1614="Cancelado"),0,ROUND(N($Q1614)+N($S1614)+N($T1614)-N($U1614)-N($R1614),2)))</f>
        <v/>
      </c>
      <c r="X1614" s="14" t="n"/>
      <c r="Y1614" s="17">
        <f>IF(COUNTA($B1614:$R1614)=0,"",IF($X1614="Cancelado","Cancelado",IF(OR($X1614="Pago",$X1614="Recebido"),$X1614,IF(OR($X1614="Parcial",N($R1614)&gt;0),"Parcial",IF($C1614="","Sem vencimento",IF($C1614&lt;TODAY(),"Vencido",IF($C1614=TODAY(),"Vence hoje",IF($C1614&lt;=TODAY()+7,"Vence em 7 dias",IF($C1614&lt;=TODAY()+30,"Vence em 30 dias","Futuro")))))))))</f>
        <v/>
      </c>
      <c r="Z1614" s="24">
        <f>IF($B1614="","",MONTH($B1614))</f>
        <v/>
      </c>
      <c r="AA1614" s="24">
        <f>IF($B1614="","",YEAR($B1614))</f>
        <v/>
      </c>
      <c r="AB1614" s="24">
        <f>IF($B1614="","",ISOWEEKNUM($B1614))</f>
        <v/>
      </c>
      <c r="AC1614" s="17">
        <f>IF($B1614="","",CHOOSE(WEEKDAY($B1614,2),"Segunda","Terça","Quarta","Quinta","Sexta","Sábado","Domingo"))</f>
        <v/>
      </c>
      <c r="AD1614" s="17">
        <f>IF($B1614="","",TEXT($B1614,"MM/AAAA"))</f>
        <v/>
      </c>
      <c r="AE1614" s="18">
        <f>IF(COUNTA($B1614:$R1614)=0,"",IF($X1614="Cancelado",0,ROUND(N($Q1614)+N($S1614)+N($T1614)-N($U1614),2)))</f>
        <v/>
      </c>
      <c r="AF1614" s="9">
        <f>IF($G1614="","",IFERROR(INDEX(LINHAS_DRE_PLANO,MATCH($G1614,SUBCATEGORIAS_PLANO,0)),"Não classificado"))</f>
        <v/>
      </c>
      <c r="AG1614" s="17">
        <f>IF($G1614="","",IFERROR(INDEX(TIPOS_FLUXO_PLANO,MATCH($G1614,SUBCATEGORIAS_PLANO,0)),"Não classificado"))</f>
        <v/>
      </c>
      <c r="AH1614" s="9">
        <f>IF($G1614="","",IFERROR(INDEX(GRUPOS_PLANO,MATCH($G1614,SUBCATEGORIAS_PLANO,0)),"Não classificado"))</f>
        <v/>
      </c>
      <c r="AI1614" s="24">
        <f>IF(OR($C1614="",$X1614="Pago",$X1614="Recebido",$X1614="Cancelado"),"",$C1614-TODAY())</f>
        <v/>
      </c>
      <c r="AJ1614" s="24">
        <f>IF(OR($C1614="",$X1614="Pago",$X1614="Recebido",$X1614="Cancelado"),0,MAX(0,TODAY()-$C1614))</f>
        <v/>
      </c>
      <c r="AK1614" s="24">
        <f>IF($D1614="","",$D1614-$B1614)</f>
        <v/>
      </c>
      <c r="AL1614" s="18">
        <f>IF(OR($D1614="",$B1614=""),"",ROUND(N($R1614)*($D1614-$B1614),2))</f>
        <v/>
      </c>
      <c r="AM1614" s="17">
        <f>IF(AND($E1614="Saída",$W1614&gt;0,$C1614&lt;&gt;""),$C1614+ROW()/1000000,"")</f>
        <v/>
      </c>
      <c r="AN1614" s="17">
        <f>IF(AND($E1614="Entrada",$W1614&gt;0,$C1614&lt;&gt;""),$C1614+ROW()/1000000,"")</f>
        <v/>
      </c>
      <c r="AO1614" s="9">
        <f>IF(COUNTA($B1614:$R1614)=0,"",IF(AND($I1614&lt;&gt;"",COUNTIF(CLIENTES_NOMES,$I1614)+COUNTIF(CLIENTES_FANTASIA,$I1614)+COUNTIF(FORNECEDORES_NOMES,$I1614)+COUNTIF(FORNECEDORES_FANTASIA,$I1614)=0),"⚠ Cliente/Fornecedor não cadastrado",IF(AND($G1614&lt;&gt;"",COUNTIF(SUBCATEGORIAS_PLANO,$G1614)=0),"⚠ Subcategoria fora do plano de contas",IF(OR($Q1614="",N($Q1614)=0),"⚠ Valor previsto não informado",IF(AND(OR($X1614="Pago",$X1614="Recebido"),$D1614=""),"⚠ Status pago/recebido sem data",IF(AND($D1614&lt;&gt;"",N($R1614)=0),"⚠ Data de pagamento sem valor realizado",IF(AND(N($P1614)&gt;1,N($O1614)&gt;N($P1614)),"⚠ Nº da parcela maior que o total",IF(AND($C1614&lt;&gt;"",$B1614&lt;&gt;"",$C1614&lt;$B1614),"⚠ Vencimento anterior à competência","OK"))))))))</f>
        <v/>
      </c>
    </row>
    <row r="1615">
      <c r="A1615" s="14" t="n"/>
      <c r="B1615" s="36" t="n"/>
      <c r="C1615" s="36" t="n"/>
      <c r="D1615" s="36" t="n"/>
      <c r="E1615" s="14" t="n"/>
      <c r="F1615" s="29" t="n"/>
      <c r="G1615" s="29" t="n"/>
      <c r="H1615" s="29" t="n"/>
      <c r="I1615" s="29" t="n"/>
      <c r="J1615" s="29" t="n"/>
      <c r="K1615" s="14" t="n"/>
      <c r="L1615" s="29" t="n"/>
      <c r="M1615" s="14" t="n"/>
      <c r="N1615" s="29" t="n"/>
      <c r="O1615" s="13" t="n"/>
      <c r="P1615" s="13" t="n"/>
      <c r="Q1615" s="35" t="n"/>
      <c r="R1615" s="35" t="n"/>
      <c r="S1615" s="35" t="n"/>
      <c r="T1615" s="35" t="n"/>
      <c r="U1615" s="35" t="n"/>
      <c r="V1615" s="18">
        <f>IF(COUNTA($B1615:$R1615)=0,"",ROUND(N($R1615)+N($S1615)+N($T1615)-N($U1615),2))</f>
        <v/>
      </c>
      <c r="W1615" s="18">
        <f>IF(COUNTA($B1615:$R1615)=0,"",IF(OR($X1615="Pago",$X1615="Recebido",$X1615="Cancelado"),0,ROUND(N($Q1615)+N($S1615)+N($T1615)-N($U1615)-N($R1615),2)))</f>
        <v/>
      </c>
      <c r="X1615" s="14" t="n"/>
      <c r="Y1615" s="17">
        <f>IF(COUNTA($B1615:$R1615)=0,"",IF($X1615="Cancelado","Cancelado",IF(OR($X1615="Pago",$X1615="Recebido"),$X1615,IF(OR($X1615="Parcial",N($R1615)&gt;0),"Parcial",IF($C1615="","Sem vencimento",IF($C1615&lt;TODAY(),"Vencido",IF($C1615=TODAY(),"Vence hoje",IF($C1615&lt;=TODAY()+7,"Vence em 7 dias",IF($C1615&lt;=TODAY()+30,"Vence em 30 dias","Futuro")))))))))</f>
        <v/>
      </c>
      <c r="Z1615" s="24">
        <f>IF($B1615="","",MONTH($B1615))</f>
        <v/>
      </c>
      <c r="AA1615" s="24">
        <f>IF($B1615="","",YEAR($B1615))</f>
        <v/>
      </c>
      <c r="AB1615" s="24">
        <f>IF($B1615="","",ISOWEEKNUM($B1615))</f>
        <v/>
      </c>
      <c r="AC1615" s="17">
        <f>IF($B1615="","",CHOOSE(WEEKDAY($B1615,2),"Segunda","Terça","Quarta","Quinta","Sexta","Sábado","Domingo"))</f>
        <v/>
      </c>
      <c r="AD1615" s="17">
        <f>IF($B1615="","",TEXT($B1615,"MM/AAAA"))</f>
        <v/>
      </c>
      <c r="AE1615" s="18">
        <f>IF(COUNTA($B1615:$R1615)=0,"",IF($X1615="Cancelado",0,ROUND(N($Q1615)+N($S1615)+N($T1615)-N($U1615),2)))</f>
        <v/>
      </c>
      <c r="AF1615" s="9">
        <f>IF($G1615="","",IFERROR(INDEX(LINHAS_DRE_PLANO,MATCH($G1615,SUBCATEGORIAS_PLANO,0)),"Não classificado"))</f>
        <v/>
      </c>
      <c r="AG1615" s="17">
        <f>IF($G1615="","",IFERROR(INDEX(TIPOS_FLUXO_PLANO,MATCH($G1615,SUBCATEGORIAS_PLANO,0)),"Não classificado"))</f>
        <v/>
      </c>
      <c r="AH1615" s="9">
        <f>IF($G1615="","",IFERROR(INDEX(GRUPOS_PLANO,MATCH($G1615,SUBCATEGORIAS_PLANO,0)),"Não classificado"))</f>
        <v/>
      </c>
      <c r="AI1615" s="24">
        <f>IF(OR($C1615="",$X1615="Pago",$X1615="Recebido",$X1615="Cancelado"),"",$C1615-TODAY())</f>
        <v/>
      </c>
      <c r="AJ1615" s="24">
        <f>IF(OR($C1615="",$X1615="Pago",$X1615="Recebido",$X1615="Cancelado"),0,MAX(0,TODAY()-$C1615))</f>
        <v/>
      </c>
      <c r="AK1615" s="24">
        <f>IF($D1615="","",$D1615-$B1615)</f>
        <v/>
      </c>
      <c r="AL1615" s="18">
        <f>IF(OR($D1615="",$B1615=""),"",ROUND(N($R1615)*($D1615-$B1615),2))</f>
        <v/>
      </c>
      <c r="AM1615" s="17">
        <f>IF(AND($E1615="Saída",$W1615&gt;0,$C1615&lt;&gt;""),$C1615+ROW()/1000000,"")</f>
        <v/>
      </c>
      <c r="AN1615" s="17">
        <f>IF(AND($E1615="Entrada",$W1615&gt;0,$C1615&lt;&gt;""),$C1615+ROW()/1000000,"")</f>
        <v/>
      </c>
      <c r="AO1615" s="9">
        <f>IF(COUNTA($B1615:$R1615)=0,"",IF(AND($I1615&lt;&gt;"",COUNTIF(CLIENTES_NOMES,$I1615)+COUNTIF(CLIENTES_FANTASIA,$I1615)+COUNTIF(FORNECEDORES_NOMES,$I1615)+COUNTIF(FORNECEDORES_FANTASIA,$I1615)=0),"⚠ Cliente/Fornecedor não cadastrado",IF(AND($G1615&lt;&gt;"",COUNTIF(SUBCATEGORIAS_PLANO,$G1615)=0),"⚠ Subcategoria fora do plano de contas",IF(OR($Q1615="",N($Q1615)=0),"⚠ Valor previsto não informado",IF(AND(OR($X1615="Pago",$X1615="Recebido"),$D1615=""),"⚠ Status pago/recebido sem data",IF(AND($D1615&lt;&gt;"",N($R1615)=0),"⚠ Data de pagamento sem valor realizado",IF(AND(N($P1615)&gt;1,N($O1615)&gt;N($P1615)),"⚠ Nº da parcela maior que o total",IF(AND($C1615&lt;&gt;"",$B1615&lt;&gt;"",$C1615&lt;$B1615),"⚠ Vencimento anterior à competência","OK"))))))))</f>
        <v/>
      </c>
    </row>
    <row r="1616">
      <c r="A1616" s="14" t="n"/>
      <c r="B1616" s="36" t="n"/>
      <c r="C1616" s="36" t="n"/>
      <c r="D1616" s="36" t="n"/>
      <c r="E1616" s="14" t="n"/>
      <c r="F1616" s="29" t="n"/>
      <c r="G1616" s="29" t="n"/>
      <c r="H1616" s="29" t="n"/>
      <c r="I1616" s="29" t="n"/>
      <c r="J1616" s="29" t="n"/>
      <c r="K1616" s="14" t="n"/>
      <c r="L1616" s="29" t="n"/>
      <c r="M1616" s="14" t="n"/>
      <c r="N1616" s="29" t="n"/>
      <c r="O1616" s="13" t="n"/>
      <c r="P1616" s="13" t="n"/>
      <c r="Q1616" s="35" t="n"/>
      <c r="R1616" s="35" t="n"/>
      <c r="S1616" s="35" t="n"/>
      <c r="T1616" s="35" t="n"/>
      <c r="U1616" s="35" t="n"/>
      <c r="V1616" s="18">
        <f>IF(COUNTA($B1616:$R1616)=0,"",ROUND(N($R1616)+N($S1616)+N($T1616)-N($U1616),2))</f>
        <v/>
      </c>
      <c r="W1616" s="18">
        <f>IF(COUNTA($B1616:$R1616)=0,"",IF(OR($X1616="Pago",$X1616="Recebido",$X1616="Cancelado"),0,ROUND(N($Q1616)+N($S1616)+N($T1616)-N($U1616)-N($R1616),2)))</f>
        <v/>
      </c>
      <c r="X1616" s="14" t="n"/>
      <c r="Y1616" s="17">
        <f>IF(COUNTA($B1616:$R1616)=0,"",IF($X1616="Cancelado","Cancelado",IF(OR($X1616="Pago",$X1616="Recebido"),$X1616,IF(OR($X1616="Parcial",N($R1616)&gt;0),"Parcial",IF($C1616="","Sem vencimento",IF($C1616&lt;TODAY(),"Vencido",IF($C1616=TODAY(),"Vence hoje",IF($C1616&lt;=TODAY()+7,"Vence em 7 dias",IF($C1616&lt;=TODAY()+30,"Vence em 30 dias","Futuro")))))))))</f>
        <v/>
      </c>
      <c r="Z1616" s="24">
        <f>IF($B1616="","",MONTH($B1616))</f>
        <v/>
      </c>
      <c r="AA1616" s="24">
        <f>IF($B1616="","",YEAR($B1616))</f>
        <v/>
      </c>
      <c r="AB1616" s="24">
        <f>IF($B1616="","",ISOWEEKNUM($B1616))</f>
        <v/>
      </c>
      <c r="AC1616" s="17">
        <f>IF($B1616="","",CHOOSE(WEEKDAY($B1616,2),"Segunda","Terça","Quarta","Quinta","Sexta","Sábado","Domingo"))</f>
        <v/>
      </c>
      <c r="AD1616" s="17">
        <f>IF($B1616="","",TEXT($B1616,"MM/AAAA"))</f>
        <v/>
      </c>
      <c r="AE1616" s="18">
        <f>IF(COUNTA($B1616:$R1616)=0,"",IF($X1616="Cancelado",0,ROUND(N($Q1616)+N($S1616)+N($T1616)-N($U1616),2)))</f>
        <v/>
      </c>
      <c r="AF1616" s="9">
        <f>IF($G1616="","",IFERROR(INDEX(LINHAS_DRE_PLANO,MATCH($G1616,SUBCATEGORIAS_PLANO,0)),"Não classificado"))</f>
        <v/>
      </c>
      <c r="AG1616" s="17">
        <f>IF($G1616="","",IFERROR(INDEX(TIPOS_FLUXO_PLANO,MATCH($G1616,SUBCATEGORIAS_PLANO,0)),"Não classificado"))</f>
        <v/>
      </c>
      <c r="AH1616" s="9">
        <f>IF($G1616="","",IFERROR(INDEX(GRUPOS_PLANO,MATCH($G1616,SUBCATEGORIAS_PLANO,0)),"Não classificado"))</f>
        <v/>
      </c>
      <c r="AI1616" s="24">
        <f>IF(OR($C1616="",$X1616="Pago",$X1616="Recebido",$X1616="Cancelado"),"",$C1616-TODAY())</f>
        <v/>
      </c>
      <c r="AJ1616" s="24">
        <f>IF(OR($C1616="",$X1616="Pago",$X1616="Recebido",$X1616="Cancelado"),0,MAX(0,TODAY()-$C1616))</f>
        <v/>
      </c>
      <c r="AK1616" s="24">
        <f>IF($D1616="","",$D1616-$B1616)</f>
        <v/>
      </c>
      <c r="AL1616" s="18">
        <f>IF(OR($D1616="",$B1616=""),"",ROUND(N($R1616)*($D1616-$B1616),2))</f>
        <v/>
      </c>
      <c r="AM1616" s="17">
        <f>IF(AND($E1616="Saída",$W1616&gt;0,$C1616&lt;&gt;""),$C1616+ROW()/1000000,"")</f>
        <v/>
      </c>
      <c r="AN1616" s="17">
        <f>IF(AND($E1616="Entrada",$W1616&gt;0,$C1616&lt;&gt;""),$C1616+ROW()/1000000,"")</f>
        <v/>
      </c>
      <c r="AO1616" s="9">
        <f>IF(COUNTA($B1616:$R1616)=0,"",IF(AND($I1616&lt;&gt;"",COUNTIF(CLIENTES_NOMES,$I1616)+COUNTIF(CLIENTES_FANTASIA,$I1616)+COUNTIF(FORNECEDORES_NOMES,$I1616)+COUNTIF(FORNECEDORES_FANTASIA,$I1616)=0),"⚠ Cliente/Fornecedor não cadastrado",IF(AND($G1616&lt;&gt;"",COUNTIF(SUBCATEGORIAS_PLANO,$G1616)=0),"⚠ Subcategoria fora do plano de contas",IF(OR($Q1616="",N($Q1616)=0),"⚠ Valor previsto não informado",IF(AND(OR($X1616="Pago",$X1616="Recebido"),$D1616=""),"⚠ Status pago/recebido sem data",IF(AND($D1616&lt;&gt;"",N($R1616)=0),"⚠ Data de pagamento sem valor realizado",IF(AND(N($P1616)&gt;1,N($O1616)&gt;N($P1616)),"⚠ Nº da parcela maior que o total",IF(AND($C1616&lt;&gt;"",$B1616&lt;&gt;"",$C1616&lt;$B1616),"⚠ Vencimento anterior à competência","OK"))))))))</f>
        <v/>
      </c>
    </row>
    <row r="1617">
      <c r="A1617" s="14" t="n"/>
      <c r="B1617" s="36" t="n"/>
      <c r="C1617" s="36" t="n"/>
      <c r="D1617" s="36" t="n"/>
      <c r="E1617" s="14" t="n"/>
      <c r="F1617" s="29" t="n"/>
      <c r="G1617" s="29" t="n"/>
      <c r="H1617" s="29" t="n"/>
      <c r="I1617" s="29" t="n"/>
      <c r="J1617" s="29" t="n"/>
      <c r="K1617" s="14" t="n"/>
      <c r="L1617" s="29" t="n"/>
      <c r="M1617" s="14" t="n"/>
      <c r="N1617" s="29" t="n"/>
      <c r="O1617" s="13" t="n"/>
      <c r="P1617" s="13" t="n"/>
      <c r="Q1617" s="35" t="n"/>
      <c r="R1617" s="35" t="n"/>
      <c r="S1617" s="35" t="n"/>
      <c r="T1617" s="35" t="n"/>
      <c r="U1617" s="35" t="n"/>
      <c r="V1617" s="18">
        <f>IF(COUNTA($B1617:$R1617)=0,"",ROUND(N($R1617)+N($S1617)+N($T1617)-N($U1617),2))</f>
        <v/>
      </c>
      <c r="W1617" s="18">
        <f>IF(COUNTA($B1617:$R1617)=0,"",IF(OR($X1617="Pago",$X1617="Recebido",$X1617="Cancelado"),0,ROUND(N($Q1617)+N($S1617)+N($T1617)-N($U1617)-N($R1617),2)))</f>
        <v/>
      </c>
      <c r="X1617" s="14" t="n"/>
      <c r="Y1617" s="17">
        <f>IF(COUNTA($B1617:$R1617)=0,"",IF($X1617="Cancelado","Cancelado",IF(OR($X1617="Pago",$X1617="Recebido"),$X1617,IF(OR($X1617="Parcial",N($R1617)&gt;0),"Parcial",IF($C1617="","Sem vencimento",IF($C1617&lt;TODAY(),"Vencido",IF($C1617=TODAY(),"Vence hoje",IF($C1617&lt;=TODAY()+7,"Vence em 7 dias",IF($C1617&lt;=TODAY()+30,"Vence em 30 dias","Futuro")))))))))</f>
        <v/>
      </c>
      <c r="Z1617" s="24">
        <f>IF($B1617="","",MONTH($B1617))</f>
        <v/>
      </c>
      <c r="AA1617" s="24">
        <f>IF($B1617="","",YEAR($B1617))</f>
        <v/>
      </c>
      <c r="AB1617" s="24">
        <f>IF($B1617="","",ISOWEEKNUM($B1617))</f>
        <v/>
      </c>
      <c r="AC1617" s="17">
        <f>IF($B1617="","",CHOOSE(WEEKDAY($B1617,2),"Segunda","Terça","Quarta","Quinta","Sexta","Sábado","Domingo"))</f>
        <v/>
      </c>
      <c r="AD1617" s="17">
        <f>IF($B1617="","",TEXT($B1617,"MM/AAAA"))</f>
        <v/>
      </c>
      <c r="AE1617" s="18">
        <f>IF(COUNTA($B1617:$R1617)=0,"",IF($X1617="Cancelado",0,ROUND(N($Q1617)+N($S1617)+N($T1617)-N($U1617),2)))</f>
        <v/>
      </c>
      <c r="AF1617" s="9">
        <f>IF($G1617="","",IFERROR(INDEX(LINHAS_DRE_PLANO,MATCH($G1617,SUBCATEGORIAS_PLANO,0)),"Não classificado"))</f>
        <v/>
      </c>
      <c r="AG1617" s="17">
        <f>IF($G1617="","",IFERROR(INDEX(TIPOS_FLUXO_PLANO,MATCH($G1617,SUBCATEGORIAS_PLANO,0)),"Não classificado"))</f>
        <v/>
      </c>
      <c r="AH1617" s="9">
        <f>IF($G1617="","",IFERROR(INDEX(GRUPOS_PLANO,MATCH($G1617,SUBCATEGORIAS_PLANO,0)),"Não classificado"))</f>
        <v/>
      </c>
      <c r="AI1617" s="24">
        <f>IF(OR($C1617="",$X1617="Pago",$X1617="Recebido",$X1617="Cancelado"),"",$C1617-TODAY())</f>
        <v/>
      </c>
      <c r="AJ1617" s="24">
        <f>IF(OR($C1617="",$X1617="Pago",$X1617="Recebido",$X1617="Cancelado"),0,MAX(0,TODAY()-$C1617))</f>
        <v/>
      </c>
      <c r="AK1617" s="24">
        <f>IF($D1617="","",$D1617-$B1617)</f>
        <v/>
      </c>
      <c r="AL1617" s="18">
        <f>IF(OR($D1617="",$B1617=""),"",ROUND(N($R1617)*($D1617-$B1617),2))</f>
        <v/>
      </c>
      <c r="AM1617" s="17">
        <f>IF(AND($E1617="Saída",$W1617&gt;0,$C1617&lt;&gt;""),$C1617+ROW()/1000000,"")</f>
        <v/>
      </c>
      <c r="AN1617" s="17">
        <f>IF(AND($E1617="Entrada",$W1617&gt;0,$C1617&lt;&gt;""),$C1617+ROW()/1000000,"")</f>
        <v/>
      </c>
      <c r="AO1617" s="9">
        <f>IF(COUNTA($B1617:$R1617)=0,"",IF(AND($I1617&lt;&gt;"",COUNTIF(CLIENTES_NOMES,$I1617)+COUNTIF(CLIENTES_FANTASIA,$I1617)+COUNTIF(FORNECEDORES_NOMES,$I1617)+COUNTIF(FORNECEDORES_FANTASIA,$I1617)=0),"⚠ Cliente/Fornecedor não cadastrado",IF(AND($G1617&lt;&gt;"",COUNTIF(SUBCATEGORIAS_PLANO,$G1617)=0),"⚠ Subcategoria fora do plano de contas",IF(OR($Q1617="",N($Q1617)=0),"⚠ Valor previsto não informado",IF(AND(OR($X1617="Pago",$X1617="Recebido"),$D1617=""),"⚠ Status pago/recebido sem data",IF(AND($D1617&lt;&gt;"",N($R1617)=0),"⚠ Data de pagamento sem valor realizado",IF(AND(N($P1617)&gt;1,N($O1617)&gt;N($P1617)),"⚠ Nº da parcela maior que o total",IF(AND($C1617&lt;&gt;"",$B1617&lt;&gt;"",$C1617&lt;$B1617),"⚠ Vencimento anterior à competência","OK"))))))))</f>
        <v/>
      </c>
    </row>
    <row r="1618">
      <c r="A1618" s="14" t="n"/>
      <c r="B1618" s="36" t="n"/>
      <c r="C1618" s="36" t="n"/>
      <c r="D1618" s="36" t="n"/>
      <c r="E1618" s="14" t="n"/>
      <c r="F1618" s="29" t="n"/>
      <c r="G1618" s="29" t="n"/>
      <c r="H1618" s="29" t="n"/>
      <c r="I1618" s="29" t="n"/>
      <c r="J1618" s="29" t="n"/>
      <c r="K1618" s="14" t="n"/>
      <c r="L1618" s="29" t="n"/>
      <c r="M1618" s="14" t="n"/>
      <c r="N1618" s="29" t="n"/>
      <c r="O1618" s="13" t="n"/>
      <c r="P1618" s="13" t="n"/>
      <c r="Q1618" s="35" t="n"/>
      <c r="R1618" s="35" t="n"/>
      <c r="S1618" s="35" t="n"/>
      <c r="T1618" s="35" t="n"/>
      <c r="U1618" s="35" t="n"/>
      <c r="V1618" s="18">
        <f>IF(COUNTA($B1618:$R1618)=0,"",ROUND(N($R1618)+N($S1618)+N($T1618)-N($U1618),2))</f>
        <v/>
      </c>
      <c r="W1618" s="18">
        <f>IF(COUNTA($B1618:$R1618)=0,"",IF(OR($X1618="Pago",$X1618="Recebido",$X1618="Cancelado"),0,ROUND(N($Q1618)+N($S1618)+N($T1618)-N($U1618)-N($R1618),2)))</f>
        <v/>
      </c>
      <c r="X1618" s="14" t="n"/>
      <c r="Y1618" s="17">
        <f>IF(COUNTA($B1618:$R1618)=0,"",IF($X1618="Cancelado","Cancelado",IF(OR($X1618="Pago",$X1618="Recebido"),$X1618,IF(OR($X1618="Parcial",N($R1618)&gt;0),"Parcial",IF($C1618="","Sem vencimento",IF($C1618&lt;TODAY(),"Vencido",IF($C1618=TODAY(),"Vence hoje",IF($C1618&lt;=TODAY()+7,"Vence em 7 dias",IF($C1618&lt;=TODAY()+30,"Vence em 30 dias","Futuro")))))))))</f>
        <v/>
      </c>
      <c r="Z1618" s="24">
        <f>IF($B1618="","",MONTH($B1618))</f>
        <v/>
      </c>
      <c r="AA1618" s="24">
        <f>IF($B1618="","",YEAR($B1618))</f>
        <v/>
      </c>
      <c r="AB1618" s="24">
        <f>IF($B1618="","",ISOWEEKNUM($B1618))</f>
        <v/>
      </c>
      <c r="AC1618" s="17">
        <f>IF($B1618="","",CHOOSE(WEEKDAY($B1618,2),"Segunda","Terça","Quarta","Quinta","Sexta","Sábado","Domingo"))</f>
        <v/>
      </c>
      <c r="AD1618" s="17">
        <f>IF($B1618="","",TEXT($B1618,"MM/AAAA"))</f>
        <v/>
      </c>
      <c r="AE1618" s="18">
        <f>IF(COUNTA($B1618:$R1618)=0,"",IF($X1618="Cancelado",0,ROUND(N($Q1618)+N($S1618)+N($T1618)-N($U1618),2)))</f>
        <v/>
      </c>
      <c r="AF1618" s="9">
        <f>IF($G1618="","",IFERROR(INDEX(LINHAS_DRE_PLANO,MATCH($G1618,SUBCATEGORIAS_PLANO,0)),"Não classificado"))</f>
        <v/>
      </c>
      <c r="AG1618" s="17">
        <f>IF($G1618="","",IFERROR(INDEX(TIPOS_FLUXO_PLANO,MATCH($G1618,SUBCATEGORIAS_PLANO,0)),"Não classificado"))</f>
        <v/>
      </c>
      <c r="AH1618" s="9">
        <f>IF($G1618="","",IFERROR(INDEX(GRUPOS_PLANO,MATCH($G1618,SUBCATEGORIAS_PLANO,0)),"Não classificado"))</f>
        <v/>
      </c>
      <c r="AI1618" s="24">
        <f>IF(OR($C1618="",$X1618="Pago",$X1618="Recebido",$X1618="Cancelado"),"",$C1618-TODAY())</f>
        <v/>
      </c>
      <c r="AJ1618" s="24">
        <f>IF(OR($C1618="",$X1618="Pago",$X1618="Recebido",$X1618="Cancelado"),0,MAX(0,TODAY()-$C1618))</f>
        <v/>
      </c>
      <c r="AK1618" s="24">
        <f>IF($D1618="","",$D1618-$B1618)</f>
        <v/>
      </c>
      <c r="AL1618" s="18">
        <f>IF(OR($D1618="",$B1618=""),"",ROUND(N($R1618)*($D1618-$B1618),2))</f>
        <v/>
      </c>
      <c r="AM1618" s="17">
        <f>IF(AND($E1618="Saída",$W1618&gt;0,$C1618&lt;&gt;""),$C1618+ROW()/1000000,"")</f>
        <v/>
      </c>
      <c r="AN1618" s="17">
        <f>IF(AND($E1618="Entrada",$W1618&gt;0,$C1618&lt;&gt;""),$C1618+ROW()/1000000,"")</f>
        <v/>
      </c>
      <c r="AO1618" s="9">
        <f>IF(COUNTA($B1618:$R1618)=0,"",IF(AND($I1618&lt;&gt;"",COUNTIF(CLIENTES_NOMES,$I1618)+COUNTIF(CLIENTES_FANTASIA,$I1618)+COUNTIF(FORNECEDORES_NOMES,$I1618)+COUNTIF(FORNECEDORES_FANTASIA,$I1618)=0),"⚠ Cliente/Fornecedor não cadastrado",IF(AND($G1618&lt;&gt;"",COUNTIF(SUBCATEGORIAS_PLANO,$G1618)=0),"⚠ Subcategoria fora do plano de contas",IF(OR($Q1618="",N($Q1618)=0),"⚠ Valor previsto não informado",IF(AND(OR($X1618="Pago",$X1618="Recebido"),$D1618=""),"⚠ Status pago/recebido sem data",IF(AND($D1618&lt;&gt;"",N($R1618)=0),"⚠ Data de pagamento sem valor realizado",IF(AND(N($P1618)&gt;1,N($O1618)&gt;N($P1618)),"⚠ Nº da parcela maior que o total",IF(AND($C1618&lt;&gt;"",$B1618&lt;&gt;"",$C1618&lt;$B1618),"⚠ Vencimento anterior à competência","OK"))))))))</f>
        <v/>
      </c>
    </row>
    <row r="1619">
      <c r="A1619" s="14" t="n"/>
      <c r="B1619" s="36" t="n"/>
      <c r="C1619" s="36" t="n"/>
      <c r="D1619" s="36" t="n"/>
      <c r="E1619" s="14" t="n"/>
      <c r="F1619" s="29" t="n"/>
      <c r="G1619" s="29" t="n"/>
      <c r="H1619" s="29" t="n"/>
      <c r="I1619" s="29" t="n"/>
      <c r="J1619" s="29" t="n"/>
      <c r="K1619" s="14" t="n"/>
      <c r="L1619" s="29" t="n"/>
      <c r="M1619" s="14" t="n"/>
      <c r="N1619" s="29" t="n"/>
      <c r="O1619" s="13" t="n"/>
      <c r="P1619" s="13" t="n"/>
      <c r="Q1619" s="35" t="n"/>
      <c r="R1619" s="35" t="n"/>
      <c r="S1619" s="35" t="n"/>
      <c r="T1619" s="35" t="n"/>
      <c r="U1619" s="35" t="n"/>
      <c r="V1619" s="18">
        <f>IF(COUNTA($B1619:$R1619)=0,"",ROUND(N($R1619)+N($S1619)+N($T1619)-N($U1619),2))</f>
        <v/>
      </c>
      <c r="W1619" s="18">
        <f>IF(COUNTA($B1619:$R1619)=0,"",IF(OR($X1619="Pago",$X1619="Recebido",$X1619="Cancelado"),0,ROUND(N($Q1619)+N($S1619)+N($T1619)-N($U1619)-N($R1619),2)))</f>
        <v/>
      </c>
      <c r="X1619" s="14" t="n"/>
      <c r="Y1619" s="17">
        <f>IF(COUNTA($B1619:$R1619)=0,"",IF($X1619="Cancelado","Cancelado",IF(OR($X1619="Pago",$X1619="Recebido"),$X1619,IF(OR($X1619="Parcial",N($R1619)&gt;0),"Parcial",IF($C1619="","Sem vencimento",IF($C1619&lt;TODAY(),"Vencido",IF($C1619=TODAY(),"Vence hoje",IF($C1619&lt;=TODAY()+7,"Vence em 7 dias",IF($C1619&lt;=TODAY()+30,"Vence em 30 dias","Futuro")))))))))</f>
        <v/>
      </c>
      <c r="Z1619" s="24">
        <f>IF($B1619="","",MONTH($B1619))</f>
        <v/>
      </c>
      <c r="AA1619" s="24">
        <f>IF($B1619="","",YEAR($B1619))</f>
        <v/>
      </c>
      <c r="AB1619" s="24">
        <f>IF($B1619="","",ISOWEEKNUM($B1619))</f>
        <v/>
      </c>
      <c r="AC1619" s="17">
        <f>IF($B1619="","",CHOOSE(WEEKDAY($B1619,2),"Segunda","Terça","Quarta","Quinta","Sexta","Sábado","Domingo"))</f>
        <v/>
      </c>
      <c r="AD1619" s="17">
        <f>IF($B1619="","",TEXT($B1619,"MM/AAAA"))</f>
        <v/>
      </c>
      <c r="AE1619" s="18">
        <f>IF(COUNTA($B1619:$R1619)=0,"",IF($X1619="Cancelado",0,ROUND(N($Q1619)+N($S1619)+N($T1619)-N($U1619),2)))</f>
        <v/>
      </c>
      <c r="AF1619" s="9">
        <f>IF($G1619="","",IFERROR(INDEX(LINHAS_DRE_PLANO,MATCH($G1619,SUBCATEGORIAS_PLANO,0)),"Não classificado"))</f>
        <v/>
      </c>
      <c r="AG1619" s="17">
        <f>IF($G1619="","",IFERROR(INDEX(TIPOS_FLUXO_PLANO,MATCH($G1619,SUBCATEGORIAS_PLANO,0)),"Não classificado"))</f>
        <v/>
      </c>
      <c r="AH1619" s="9">
        <f>IF($G1619="","",IFERROR(INDEX(GRUPOS_PLANO,MATCH($G1619,SUBCATEGORIAS_PLANO,0)),"Não classificado"))</f>
        <v/>
      </c>
      <c r="AI1619" s="24">
        <f>IF(OR($C1619="",$X1619="Pago",$X1619="Recebido",$X1619="Cancelado"),"",$C1619-TODAY())</f>
        <v/>
      </c>
      <c r="AJ1619" s="24">
        <f>IF(OR($C1619="",$X1619="Pago",$X1619="Recebido",$X1619="Cancelado"),0,MAX(0,TODAY()-$C1619))</f>
        <v/>
      </c>
      <c r="AK1619" s="24">
        <f>IF($D1619="","",$D1619-$B1619)</f>
        <v/>
      </c>
      <c r="AL1619" s="18">
        <f>IF(OR($D1619="",$B1619=""),"",ROUND(N($R1619)*($D1619-$B1619),2))</f>
        <v/>
      </c>
      <c r="AM1619" s="17">
        <f>IF(AND($E1619="Saída",$W1619&gt;0,$C1619&lt;&gt;""),$C1619+ROW()/1000000,"")</f>
        <v/>
      </c>
      <c r="AN1619" s="17">
        <f>IF(AND($E1619="Entrada",$W1619&gt;0,$C1619&lt;&gt;""),$C1619+ROW()/1000000,"")</f>
        <v/>
      </c>
      <c r="AO1619" s="9">
        <f>IF(COUNTA($B1619:$R1619)=0,"",IF(AND($I1619&lt;&gt;"",COUNTIF(CLIENTES_NOMES,$I1619)+COUNTIF(CLIENTES_FANTASIA,$I1619)+COUNTIF(FORNECEDORES_NOMES,$I1619)+COUNTIF(FORNECEDORES_FANTASIA,$I1619)=0),"⚠ Cliente/Fornecedor não cadastrado",IF(AND($G1619&lt;&gt;"",COUNTIF(SUBCATEGORIAS_PLANO,$G1619)=0),"⚠ Subcategoria fora do plano de contas",IF(OR($Q1619="",N($Q1619)=0),"⚠ Valor previsto não informado",IF(AND(OR($X1619="Pago",$X1619="Recebido"),$D1619=""),"⚠ Status pago/recebido sem data",IF(AND($D1619&lt;&gt;"",N($R1619)=0),"⚠ Data de pagamento sem valor realizado",IF(AND(N($P1619)&gt;1,N($O1619)&gt;N($P1619)),"⚠ Nº da parcela maior que o total",IF(AND($C1619&lt;&gt;"",$B1619&lt;&gt;"",$C1619&lt;$B1619),"⚠ Vencimento anterior à competência","OK"))))))))</f>
        <v/>
      </c>
    </row>
    <row r="1620">
      <c r="A1620" s="14" t="n"/>
      <c r="B1620" s="36" t="n"/>
      <c r="C1620" s="36" t="n"/>
      <c r="D1620" s="36" t="n"/>
      <c r="E1620" s="14" t="n"/>
      <c r="F1620" s="29" t="n"/>
      <c r="G1620" s="29" t="n"/>
      <c r="H1620" s="29" t="n"/>
      <c r="I1620" s="29" t="n"/>
      <c r="J1620" s="29" t="n"/>
      <c r="K1620" s="14" t="n"/>
      <c r="L1620" s="29" t="n"/>
      <c r="M1620" s="14" t="n"/>
      <c r="N1620" s="29" t="n"/>
      <c r="O1620" s="13" t="n"/>
      <c r="P1620" s="13" t="n"/>
      <c r="Q1620" s="35" t="n"/>
      <c r="R1620" s="35" t="n"/>
      <c r="S1620" s="35" t="n"/>
      <c r="T1620" s="35" t="n"/>
      <c r="U1620" s="35" t="n"/>
      <c r="V1620" s="18">
        <f>IF(COUNTA($B1620:$R1620)=0,"",ROUND(N($R1620)+N($S1620)+N($T1620)-N($U1620),2))</f>
        <v/>
      </c>
      <c r="W1620" s="18">
        <f>IF(COUNTA($B1620:$R1620)=0,"",IF(OR($X1620="Pago",$X1620="Recebido",$X1620="Cancelado"),0,ROUND(N($Q1620)+N($S1620)+N($T1620)-N($U1620)-N($R1620),2)))</f>
        <v/>
      </c>
      <c r="X1620" s="14" t="n"/>
      <c r="Y1620" s="17">
        <f>IF(COUNTA($B1620:$R1620)=0,"",IF($X1620="Cancelado","Cancelado",IF(OR($X1620="Pago",$X1620="Recebido"),$X1620,IF(OR($X1620="Parcial",N($R1620)&gt;0),"Parcial",IF($C1620="","Sem vencimento",IF($C1620&lt;TODAY(),"Vencido",IF($C1620=TODAY(),"Vence hoje",IF($C1620&lt;=TODAY()+7,"Vence em 7 dias",IF($C1620&lt;=TODAY()+30,"Vence em 30 dias","Futuro")))))))))</f>
        <v/>
      </c>
      <c r="Z1620" s="24">
        <f>IF($B1620="","",MONTH($B1620))</f>
        <v/>
      </c>
      <c r="AA1620" s="24">
        <f>IF($B1620="","",YEAR($B1620))</f>
        <v/>
      </c>
      <c r="AB1620" s="24">
        <f>IF($B1620="","",ISOWEEKNUM($B1620))</f>
        <v/>
      </c>
      <c r="AC1620" s="17">
        <f>IF($B1620="","",CHOOSE(WEEKDAY($B1620,2),"Segunda","Terça","Quarta","Quinta","Sexta","Sábado","Domingo"))</f>
        <v/>
      </c>
      <c r="AD1620" s="17">
        <f>IF($B1620="","",TEXT($B1620,"MM/AAAA"))</f>
        <v/>
      </c>
      <c r="AE1620" s="18">
        <f>IF(COUNTA($B1620:$R1620)=0,"",IF($X1620="Cancelado",0,ROUND(N($Q1620)+N($S1620)+N($T1620)-N($U1620),2)))</f>
        <v/>
      </c>
      <c r="AF1620" s="9">
        <f>IF($G1620="","",IFERROR(INDEX(LINHAS_DRE_PLANO,MATCH($G1620,SUBCATEGORIAS_PLANO,0)),"Não classificado"))</f>
        <v/>
      </c>
      <c r="AG1620" s="17">
        <f>IF($G1620="","",IFERROR(INDEX(TIPOS_FLUXO_PLANO,MATCH($G1620,SUBCATEGORIAS_PLANO,0)),"Não classificado"))</f>
        <v/>
      </c>
      <c r="AH1620" s="9">
        <f>IF($G1620="","",IFERROR(INDEX(GRUPOS_PLANO,MATCH($G1620,SUBCATEGORIAS_PLANO,0)),"Não classificado"))</f>
        <v/>
      </c>
      <c r="AI1620" s="24">
        <f>IF(OR($C1620="",$X1620="Pago",$X1620="Recebido",$X1620="Cancelado"),"",$C1620-TODAY())</f>
        <v/>
      </c>
      <c r="AJ1620" s="24">
        <f>IF(OR($C1620="",$X1620="Pago",$X1620="Recebido",$X1620="Cancelado"),0,MAX(0,TODAY()-$C1620))</f>
        <v/>
      </c>
      <c r="AK1620" s="24">
        <f>IF($D1620="","",$D1620-$B1620)</f>
        <v/>
      </c>
      <c r="AL1620" s="18">
        <f>IF(OR($D1620="",$B1620=""),"",ROUND(N($R1620)*($D1620-$B1620),2))</f>
        <v/>
      </c>
      <c r="AM1620" s="17">
        <f>IF(AND($E1620="Saída",$W1620&gt;0,$C1620&lt;&gt;""),$C1620+ROW()/1000000,"")</f>
        <v/>
      </c>
      <c r="AN1620" s="17">
        <f>IF(AND($E1620="Entrada",$W1620&gt;0,$C1620&lt;&gt;""),$C1620+ROW()/1000000,"")</f>
        <v/>
      </c>
      <c r="AO1620" s="9">
        <f>IF(COUNTA($B1620:$R1620)=0,"",IF(AND($I1620&lt;&gt;"",COUNTIF(CLIENTES_NOMES,$I1620)+COUNTIF(CLIENTES_FANTASIA,$I1620)+COUNTIF(FORNECEDORES_NOMES,$I1620)+COUNTIF(FORNECEDORES_FANTASIA,$I1620)=0),"⚠ Cliente/Fornecedor não cadastrado",IF(AND($G1620&lt;&gt;"",COUNTIF(SUBCATEGORIAS_PLANO,$G1620)=0),"⚠ Subcategoria fora do plano de contas",IF(OR($Q1620="",N($Q1620)=0),"⚠ Valor previsto não informado",IF(AND(OR($X1620="Pago",$X1620="Recebido"),$D1620=""),"⚠ Status pago/recebido sem data",IF(AND($D1620&lt;&gt;"",N($R1620)=0),"⚠ Data de pagamento sem valor realizado",IF(AND(N($P1620)&gt;1,N($O1620)&gt;N($P1620)),"⚠ Nº da parcela maior que o total",IF(AND($C1620&lt;&gt;"",$B1620&lt;&gt;"",$C1620&lt;$B1620),"⚠ Vencimento anterior à competência","OK"))))))))</f>
        <v/>
      </c>
    </row>
    <row r="1621">
      <c r="A1621" s="14" t="n"/>
      <c r="B1621" s="36" t="n"/>
      <c r="C1621" s="36" t="n"/>
      <c r="D1621" s="36" t="n"/>
      <c r="E1621" s="14" t="n"/>
      <c r="F1621" s="29" t="n"/>
      <c r="G1621" s="29" t="n"/>
      <c r="H1621" s="29" t="n"/>
      <c r="I1621" s="29" t="n"/>
      <c r="J1621" s="29" t="n"/>
      <c r="K1621" s="14" t="n"/>
      <c r="L1621" s="29" t="n"/>
      <c r="M1621" s="14" t="n"/>
      <c r="N1621" s="29" t="n"/>
      <c r="O1621" s="13" t="n"/>
      <c r="P1621" s="13" t="n"/>
      <c r="Q1621" s="35" t="n"/>
      <c r="R1621" s="35" t="n"/>
      <c r="S1621" s="35" t="n"/>
      <c r="T1621" s="35" t="n"/>
      <c r="U1621" s="35" t="n"/>
      <c r="V1621" s="18">
        <f>IF(COUNTA($B1621:$R1621)=0,"",ROUND(N($R1621)+N($S1621)+N($T1621)-N($U1621),2))</f>
        <v/>
      </c>
      <c r="W1621" s="18">
        <f>IF(COUNTA($B1621:$R1621)=0,"",IF(OR($X1621="Pago",$X1621="Recebido",$X1621="Cancelado"),0,ROUND(N($Q1621)+N($S1621)+N($T1621)-N($U1621)-N($R1621),2)))</f>
        <v/>
      </c>
      <c r="X1621" s="14" t="n"/>
      <c r="Y1621" s="17">
        <f>IF(COUNTA($B1621:$R1621)=0,"",IF($X1621="Cancelado","Cancelado",IF(OR($X1621="Pago",$X1621="Recebido"),$X1621,IF(OR($X1621="Parcial",N($R1621)&gt;0),"Parcial",IF($C1621="","Sem vencimento",IF($C1621&lt;TODAY(),"Vencido",IF($C1621=TODAY(),"Vence hoje",IF($C1621&lt;=TODAY()+7,"Vence em 7 dias",IF($C1621&lt;=TODAY()+30,"Vence em 30 dias","Futuro")))))))))</f>
        <v/>
      </c>
      <c r="Z1621" s="24">
        <f>IF($B1621="","",MONTH($B1621))</f>
        <v/>
      </c>
      <c r="AA1621" s="24">
        <f>IF($B1621="","",YEAR($B1621))</f>
        <v/>
      </c>
      <c r="AB1621" s="24">
        <f>IF($B1621="","",ISOWEEKNUM($B1621))</f>
        <v/>
      </c>
      <c r="AC1621" s="17">
        <f>IF($B1621="","",CHOOSE(WEEKDAY($B1621,2),"Segunda","Terça","Quarta","Quinta","Sexta","Sábado","Domingo"))</f>
        <v/>
      </c>
      <c r="AD1621" s="17">
        <f>IF($B1621="","",TEXT($B1621,"MM/AAAA"))</f>
        <v/>
      </c>
      <c r="AE1621" s="18">
        <f>IF(COUNTA($B1621:$R1621)=0,"",IF($X1621="Cancelado",0,ROUND(N($Q1621)+N($S1621)+N($T1621)-N($U1621),2)))</f>
        <v/>
      </c>
      <c r="AF1621" s="9">
        <f>IF($G1621="","",IFERROR(INDEX(LINHAS_DRE_PLANO,MATCH($G1621,SUBCATEGORIAS_PLANO,0)),"Não classificado"))</f>
        <v/>
      </c>
      <c r="AG1621" s="17">
        <f>IF($G1621="","",IFERROR(INDEX(TIPOS_FLUXO_PLANO,MATCH($G1621,SUBCATEGORIAS_PLANO,0)),"Não classificado"))</f>
        <v/>
      </c>
      <c r="AH1621" s="9">
        <f>IF($G1621="","",IFERROR(INDEX(GRUPOS_PLANO,MATCH($G1621,SUBCATEGORIAS_PLANO,0)),"Não classificado"))</f>
        <v/>
      </c>
      <c r="AI1621" s="24">
        <f>IF(OR($C1621="",$X1621="Pago",$X1621="Recebido",$X1621="Cancelado"),"",$C1621-TODAY())</f>
        <v/>
      </c>
      <c r="AJ1621" s="24">
        <f>IF(OR($C1621="",$X1621="Pago",$X1621="Recebido",$X1621="Cancelado"),0,MAX(0,TODAY()-$C1621))</f>
        <v/>
      </c>
      <c r="AK1621" s="24">
        <f>IF($D1621="","",$D1621-$B1621)</f>
        <v/>
      </c>
      <c r="AL1621" s="18">
        <f>IF(OR($D1621="",$B1621=""),"",ROUND(N($R1621)*($D1621-$B1621),2))</f>
        <v/>
      </c>
      <c r="AM1621" s="17">
        <f>IF(AND($E1621="Saída",$W1621&gt;0,$C1621&lt;&gt;""),$C1621+ROW()/1000000,"")</f>
        <v/>
      </c>
      <c r="AN1621" s="17">
        <f>IF(AND($E1621="Entrada",$W1621&gt;0,$C1621&lt;&gt;""),$C1621+ROW()/1000000,"")</f>
        <v/>
      </c>
      <c r="AO1621" s="9">
        <f>IF(COUNTA($B1621:$R1621)=0,"",IF(AND($I1621&lt;&gt;"",COUNTIF(CLIENTES_NOMES,$I1621)+COUNTIF(CLIENTES_FANTASIA,$I1621)+COUNTIF(FORNECEDORES_NOMES,$I1621)+COUNTIF(FORNECEDORES_FANTASIA,$I1621)=0),"⚠ Cliente/Fornecedor não cadastrado",IF(AND($G1621&lt;&gt;"",COUNTIF(SUBCATEGORIAS_PLANO,$G1621)=0),"⚠ Subcategoria fora do plano de contas",IF(OR($Q1621="",N($Q1621)=0),"⚠ Valor previsto não informado",IF(AND(OR($X1621="Pago",$X1621="Recebido"),$D1621=""),"⚠ Status pago/recebido sem data",IF(AND($D1621&lt;&gt;"",N($R1621)=0),"⚠ Data de pagamento sem valor realizado",IF(AND(N($P1621)&gt;1,N($O1621)&gt;N($P1621)),"⚠ Nº da parcela maior que o total",IF(AND($C1621&lt;&gt;"",$B1621&lt;&gt;"",$C1621&lt;$B1621),"⚠ Vencimento anterior à competência","OK"))))))))</f>
        <v/>
      </c>
    </row>
    <row r="1622">
      <c r="A1622" s="14" t="n"/>
      <c r="B1622" s="36" t="n"/>
      <c r="C1622" s="36" t="n"/>
      <c r="D1622" s="36" t="n"/>
      <c r="E1622" s="14" t="n"/>
      <c r="F1622" s="29" t="n"/>
      <c r="G1622" s="29" t="n"/>
      <c r="H1622" s="29" t="n"/>
      <c r="I1622" s="29" t="n"/>
      <c r="J1622" s="29" t="n"/>
      <c r="K1622" s="14" t="n"/>
      <c r="L1622" s="29" t="n"/>
      <c r="M1622" s="14" t="n"/>
      <c r="N1622" s="29" t="n"/>
      <c r="O1622" s="13" t="n"/>
      <c r="P1622" s="13" t="n"/>
      <c r="Q1622" s="35" t="n"/>
      <c r="R1622" s="35" t="n"/>
      <c r="S1622" s="35" t="n"/>
      <c r="T1622" s="35" t="n"/>
      <c r="U1622" s="35" t="n"/>
      <c r="V1622" s="18">
        <f>IF(COUNTA($B1622:$R1622)=0,"",ROUND(N($R1622)+N($S1622)+N($T1622)-N($U1622),2))</f>
        <v/>
      </c>
      <c r="W1622" s="18">
        <f>IF(COUNTA($B1622:$R1622)=0,"",IF(OR($X1622="Pago",$X1622="Recebido",$X1622="Cancelado"),0,ROUND(N($Q1622)+N($S1622)+N($T1622)-N($U1622)-N($R1622),2)))</f>
        <v/>
      </c>
      <c r="X1622" s="14" t="n"/>
      <c r="Y1622" s="17">
        <f>IF(COUNTA($B1622:$R1622)=0,"",IF($X1622="Cancelado","Cancelado",IF(OR($X1622="Pago",$X1622="Recebido"),$X1622,IF(OR($X1622="Parcial",N($R1622)&gt;0),"Parcial",IF($C1622="","Sem vencimento",IF($C1622&lt;TODAY(),"Vencido",IF($C1622=TODAY(),"Vence hoje",IF($C1622&lt;=TODAY()+7,"Vence em 7 dias",IF($C1622&lt;=TODAY()+30,"Vence em 30 dias","Futuro")))))))))</f>
        <v/>
      </c>
      <c r="Z1622" s="24">
        <f>IF($B1622="","",MONTH($B1622))</f>
        <v/>
      </c>
      <c r="AA1622" s="24">
        <f>IF($B1622="","",YEAR($B1622))</f>
        <v/>
      </c>
      <c r="AB1622" s="24">
        <f>IF($B1622="","",ISOWEEKNUM($B1622))</f>
        <v/>
      </c>
      <c r="AC1622" s="17">
        <f>IF($B1622="","",CHOOSE(WEEKDAY($B1622,2),"Segunda","Terça","Quarta","Quinta","Sexta","Sábado","Domingo"))</f>
        <v/>
      </c>
      <c r="AD1622" s="17">
        <f>IF($B1622="","",TEXT($B1622,"MM/AAAA"))</f>
        <v/>
      </c>
      <c r="AE1622" s="18">
        <f>IF(COUNTA($B1622:$R1622)=0,"",IF($X1622="Cancelado",0,ROUND(N($Q1622)+N($S1622)+N($T1622)-N($U1622),2)))</f>
        <v/>
      </c>
      <c r="AF1622" s="9">
        <f>IF($G1622="","",IFERROR(INDEX(LINHAS_DRE_PLANO,MATCH($G1622,SUBCATEGORIAS_PLANO,0)),"Não classificado"))</f>
        <v/>
      </c>
      <c r="AG1622" s="17">
        <f>IF($G1622="","",IFERROR(INDEX(TIPOS_FLUXO_PLANO,MATCH($G1622,SUBCATEGORIAS_PLANO,0)),"Não classificado"))</f>
        <v/>
      </c>
      <c r="AH1622" s="9">
        <f>IF($G1622="","",IFERROR(INDEX(GRUPOS_PLANO,MATCH($G1622,SUBCATEGORIAS_PLANO,0)),"Não classificado"))</f>
        <v/>
      </c>
      <c r="AI1622" s="24">
        <f>IF(OR($C1622="",$X1622="Pago",$X1622="Recebido",$X1622="Cancelado"),"",$C1622-TODAY())</f>
        <v/>
      </c>
      <c r="AJ1622" s="24">
        <f>IF(OR($C1622="",$X1622="Pago",$X1622="Recebido",$X1622="Cancelado"),0,MAX(0,TODAY()-$C1622))</f>
        <v/>
      </c>
      <c r="AK1622" s="24">
        <f>IF($D1622="","",$D1622-$B1622)</f>
        <v/>
      </c>
      <c r="AL1622" s="18">
        <f>IF(OR($D1622="",$B1622=""),"",ROUND(N($R1622)*($D1622-$B1622),2))</f>
        <v/>
      </c>
      <c r="AM1622" s="17">
        <f>IF(AND($E1622="Saída",$W1622&gt;0,$C1622&lt;&gt;""),$C1622+ROW()/1000000,"")</f>
        <v/>
      </c>
      <c r="AN1622" s="17">
        <f>IF(AND($E1622="Entrada",$W1622&gt;0,$C1622&lt;&gt;""),$C1622+ROW()/1000000,"")</f>
        <v/>
      </c>
      <c r="AO1622" s="9">
        <f>IF(COUNTA($B1622:$R1622)=0,"",IF(AND($I1622&lt;&gt;"",COUNTIF(CLIENTES_NOMES,$I1622)+COUNTIF(CLIENTES_FANTASIA,$I1622)+COUNTIF(FORNECEDORES_NOMES,$I1622)+COUNTIF(FORNECEDORES_FANTASIA,$I1622)=0),"⚠ Cliente/Fornecedor não cadastrado",IF(AND($G1622&lt;&gt;"",COUNTIF(SUBCATEGORIAS_PLANO,$G1622)=0),"⚠ Subcategoria fora do plano de contas",IF(OR($Q1622="",N($Q1622)=0),"⚠ Valor previsto não informado",IF(AND(OR($X1622="Pago",$X1622="Recebido"),$D1622=""),"⚠ Status pago/recebido sem data",IF(AND($D1622&lt;&gt;"",N($R1622)=0),"⚠ Data de pagamento sem valor realizado",IF(AND(N($P1622)&gt;1,N($O1622)&gt;N($P1622)),"⚠ Nº da parcela maior que o total",IF(AND($C1622&lt;&gt;"",$B1622&lt;&gt;"",$C1622&lt;$B1622),"⚠ Vencimento anterior à competência","OK"))))))))</f>
        <v/>
      </c>
    </row>
    <row r="1623">
      <c r="A1623" s="14" t="n"/>
      <c r="B1623" s="36" t="n"/>
      <c r="C1623" s="36" t="n"/>
      <c r="D1623" s="36" t="n"/>
      <c r="E1623" s="14" t="n"/>
      <c r="F1623" s="29" t="n"/>
      <c r="G1623" s="29" t="n"/>
      <c r="H1623" s="29" t="n"/>
      <c r="I1623" s="29" t="n"/>
      <c r="J1623" s="29" t="n"/>
      <c r="K1623" s="14" t="n"/>
      <c r="L1623" s="29" t="n"/>
      <c r="M1623" s="14" t="n"/>
      <c r="N1623" s="29" t="n"/>
      <c r="O1623" s="13" t="n"/>
      <c r="P1623" s="13" t="n"/>
      <c r="Q1623" s="35" t="n"/>
      <c r="R1623" s="35" t="n"/>
      <c r="S1623" s="35" t="n"/>
      <c r="T1623" s="35" t="n"/>
      <c r="U1623" s="35" t="n"/>
      <c r="V1623" s="18">
        <f>IF(COUNTA($B1623:$R1623)=0,"",ROUND(N($R1623)+N($S1623)+N($T1623)-N($U1623),2))</f>
        <v/>
      </c>
      <c r="W1623" s="18">
        <f>IF(COUNTA($B1623:$R1623)=0,"",IF(OR($X1623="Pago",$X1623="Recebido",$X1623="Cancelado"),0,ROUND(N($Q1623)+N($S1623)+N($T1623)-N($U1623)-N($R1623),2)))</f>
        <v/>
      </c>
      <c r="X1623" s="14" t="n"/>
      <c r="Y1623" s="17">
        <f>IF(COUNTA($B1623:$R1623)=0,"",IF($X1623="Cancelado","Cancelado",IF(OR($X1623="Pago",$X1623="Recebido"),$X1623,IF(OR($X1623="Parcial",N($R1623)&gt;0),"Parcial",IF($C1623="","Sem vencimento",IF($C1623&lt;TODAY(),"Vencido",IF($C1623=TODAY(),"Vence hoje",IF($C1623&lt;=TODAY()+7,"Vence em 7 dias",IF($C1623&lt;=TODAY()+30,"Vence em 30 dias","Futuro")))))))))</f>
        <v/>
      </c>
      <c r="Z1623" s="24">
        <f>IF($B1623="","",MONTH($B1623))</f>
        <v/>
      </c>
      <c r="AA1623" s="24">
        <f>IF($B1623="","",YEAR($B1623))</f>
        <v/>
      </c>
      <c r="AB1623" s="24">
        <f>IF($B1623="","",ISOWEEKNUM($B1623))</f>
        <v/>
      </c>
      <c r="AC1623" s="17">
        <f>IF($B1623="","",CHOOSE(WEEKDAY($B1623,2),"Segunda","Terça","Quarta","Quinta","Sexta","Sábado","Domingo"))</f>
        <v/>
      </c>
      <c r="AD1623" s="17">
        <f>IF($B1623="","",TEXT($B1623,"MM/AAAA"))</f>
        <v/>
      </c>
      <c r="AE1623" s="18">
        <f>IF(COUNTA($B1623:$R1623)=0,"",IF($X1623="Cancelado",0,ROUND(N($Q1623)+N($S1623)+N($T1623)-N($U1623),2)))</f>
        <v/>
      </c>
      <c r="AF1623" s="9">
        <f>IF($G1623="","",IFERROR(INDEX(LINHAS_DRE_PLANO,MATCH($G1623,SUBCATEGORIAS_PLANO,0)),"Não classificado"))</f>
        <v/>
      </c>
      <c r="AG1623" s="17">
        <f>IF($G1623="","",IFERROR(INDEX(TIPOS_FLUXO_PLANO,MATCH($G1623,SUBCATEGORIAS_PLANO,0)),"Não classificado"))</f>
        <v/>
      </c>
      <c r="AH1623" s="9">
        <f>IF($G1623="","",IFERROR(INDEX(GRUPOS_PLANO,MATCH($G1623,SUBCATEGORIAS_PLANO,0)),"Não classificado"))</f>
        <v/>
      </c>
      <c r="AI1623" s="24">
        <f>IF(OR($C1623="",$X1623="Pago",$X1623="Recebido",$X1623="Cancelado"),"",$C1623-TODAY())</f>
        <v/>
      </c>
      <c r="AJ1623" s="24">
        <f>IF(OR($C1623="",$X1623="Pago",$X1623="Recebido",$X1623="Cancelado"),0,MAX(0,TODAY()-$C1623))</f>
        <v/>
      </c>
      <c r="AK1623" s="24">
        <f>IF($D1623="","",$D1623-$B1623)</f>
        <v/>
      </c>
      <c r="AL1623" s="18">
        <f>IF(OR($D1623="",$B1623=""),"",ROUND(N($R1623)*($D1623-$B1623),2))</f>
        <v/>
      </c>
      <c r="AM1623" s="17">
        <f>IF(AND($E1623="Saída",$W1623&gt;0,$C1623&lt;&gt;""),$C1623+ROW()/1000000,"")</f>
        <v/>
      </c>
      <c r="AN1623" s="17">
        <f>IF(AND($E1623="Entrada",$W1623&gt;0,$C1623&lt;&gt;""),$C1623+ROW()/1000000,"")</f>
        <v/>
      </c>
      <c r="AO1623" s="9">
        <f>IF(COUNTA($B1623:$R1623)=0,"",IF(AND($I1623&lt;&gt;"",COUNTIF(CLIENTES_NOMES,$I1623)+COUNTIF(CLIENTES_FANTASIA,$I1623)+COUNTIF(FORNECEDORES_NOMES,$I1623)+COUNTIF(FORNECEDORES_FANTASIA,$I1623)=0),"⚠ Cliente/Fornecedor não cadastrado",IF(AND($G1623&lt;&gt;"",COUNTIF(SUBCATEGORIAS_PLANO,$G1623)=0),"⚠ Subcategoria fora do plano de contas",IF(OR($Q1623="",N($Q1623)=0),"⚠ Valor previsto não informado",IF(AND(OR($X1623="Pago",$X1623="Recebido"),$D1623=""),"⚠ Status pago/recebido sem data",IF(AND($D1623&lt;&gt;"",N($R1623)=0),"⚠ Data de pagamento sem valor realizado",IF(AND(N($P1623)&gt;1,N($O1623)&gt;N($P1623)),"⚠ Nº da parcela maior que o total",IF(AND($C1623&lt;&gt;"",$B1623&lt;&gt;"",$C1623&lt;$B1623),"⚠ Vencimento anterior à competência","OK"))))))))</f>
        <v/>
      </c>
    </row>
    <row r="1624">
      <c r="A1624" s="14" t="n"/>
      <c r="B1624" s="36" t="n"/>
      <c r="C1624" s="36" t="n"/>
      <c r="D1624" s="36" t="n"/>
      <c r="E1624" s="14" t="n"/>
      <c r="F1624" s="29" t="n"/>
      <c r="G1624" s="29" t="n"/>
      <c r="H1624" s="29" t="n"/>
      <c r="I1624" s="29" t="n"/>
      <c r="J1624" s="29" t="n"/>
      <c r="K1624" s="14" t="n"/>
      <c r="L1624" s="29" t="n"/>
      <c r="M1624" s="14" t="n"/>
      <c r="N1624" s="29" t="n"/>
      <c r="O1624" s="13" t="n"/>
      <c r="P1624" s="13" t="n"/>
      <c r="Q1624" s="35" t="n"/>
      <c r="R1624" s="35" t="n"/>
      <c r="S1624" s="35" t="n"/>
      <c r="T1624" s="35" t="n"/>
      <c r="U1624" s="35" t="n"/>
      <c r="V1624" s="18">
        <f>IF(COUNTA($B1624:$R1624)=0,"",ROUND(N($R1624)+N($S1624)+N($T1624)-N($U1624),2))</f>
        <v/>
      </c>
      <c r="W1624" s="18">
        <f>IF(COUNTA($B1624:$R1624)=0,"",IF(OR($X1624="Pago",$X1624="Recebido",$X1624="Cancelado"),0,ROUND(N($Q1624)+N($S1624)+N($T1624)-N($U1624)-N($R1624),2)))</f>
        <v/>
      </c>
      <c r="X1624" s="14" t="n"/>
      <c r="Y1624" s="17">
        <f>IF(COUNTA($B1624:$R1624)=0,"",IF($X1624="Cancelado","Cancelado",IF(OR($X1624="Pago",$X1624="Recebido"),$X1624,IF(OR($X1624="Parcial",N($R1624)&gt;0),"Parcial",IF($C1624="","Sem vencimento",IF($C1624&lt;TODAY(),"Vencido",IF($C1624=TODAY(),"Vence hoje",IF($C1624&lt;=TODAY()+7,"Vence em 7 dias",IF($C1624&lt;=TODAY()+30,"Vence em 30 dias","Futuro")))))))))</f>
        <v/>
      </c>
      <c r="Z1624" s="24">
        <f>IF($B1624="","",MONTH($B1624))</f>
        <v/>
      </c>
      <c r="AA1624" s="24">
        <f>IF($B1624="","",YEAR($B1624))</f>
        <v/>
      </c>
      <c r="AB1624" s="24">
        <f>IF($B1624="","",ISOWEEKNUM($B1624))</f>
        <v/>
      </c>
      <c r="AC1624" s="17">
        <f>IF($B1624="","",CHOOSE(WEEKDAY($B1624,2),"Segunda","Terça","Quarta","Quinta","Sexta","Sábado","Domingo"))</f>
        <v/>
      </c>
      <c r="AD1624" s="17">
        <f>IF($B1624="","",TEXT($B1624,"MM/AAAA"))</f>
        <v/>
      </c>
      <c r="AE1624" s="18">
        <f>IF(COUNTA($B1624:$R1624)=0,"",IF($X1624="Cancelado",0,ROUND(N($Q1624)+N($S1624)+N($T1624)-N($U1624),2)))</f>
        <v/>
      </c>
      <c r="AF1624" s="9">
        <f>IF($G1624="","",IFERROR(INDEX(LINHAS_DRE_PLANO,MATCH($G1624,SUBCATEGORIAS_PLANO,0)),"Não classificado"))</f>
        <v/>
      </c>
      <c r="AG1624" s="17">
        <f>IF($G1624="","",IFERROR(INDEX(TIPOS_FLUXO_PLANO,MATCH($G1624,SUBCATEGORIAS_PLANO,0)),"Não classificado"))</f>
        <v/>
      </c>
      <c r="AH1624" s="9">
        <f>IF($G1624="","",IFERROR(INDEX(GRUPOS_PLANO,MATCH($G1624,SUBCATEGORIAS_PLANO,0)),"Não classificado"))</f>
        <v/>
      </c>
      <c r="AI1624" s="24">
        <f>IF(OR($C1624="",$X1624="Pago",$X1624="Recebido",$X1624="Cancelado"),"",$C1624-TODAY())</f>
        <v/>
      </c>
      <c r="AJ1624" s="24">
        <f>IF(OR($C1624="",$X1624="Pago",$X1624="Recebido",$X1624="Cancelado"),0,MAX(0,TODAY()-$C1624))</f>
        <v/>
      </c>
      <c r="AK1624" s="24">
        <f>IF($D1624="","",$D1624-$B1624)</f>
        <v/>
      </c>
      <c r="AL1624" s="18">
        <f>IF(OR($D1624="",$B1624=""),"",ROUND(N($R1624)*($D1624-$B1624),2))</f>
        <v/>
      </c>
      <c r="AM1624" s="17">
        <f>IF(AND($E1624="Saída",$W1624&gt;0,$C1624&lt;&gt;""),$C1624+ROW()/1000000,"")</f>
        <v/>
      </c>
      <c r="AN1624" s="17">
        <f>IF(AND($E1624="Entrada",$W1624&gt;0,$C1624&lt;&gt;""),$C1624+ROW()/1000000,"")</f>
        <v/>
      </c>
      <c r="AO1624" s="9">
        <f>IF(COUNTA($B1624:$R1624)=0,"",IF(AND($I1624&lt;&gt;"",COUNTIF(CLIENTES_NOMES,$I1624)+COUNTIF(CLIENTES_FANTASIA,$I1624)+COUNTIF(FORNECEDORES_NOMES,$I1624)+COUNTIF(FORNECEDORES_FANTASIA,$I1624)=0),"⚠ Cliente/Fornecedor não cadastrado",IF(AND($G1624&lt;&gt;"",COUNTIF(SUBCATEGORIAS_PLANO,$G1624)=0),"⚠ Subcategoria fora do plano de contas",IF(OR($Q1624="",N($Q1624)=0),"⚠ Valor previsto não informado",IF(AND(OR($X1624="Pago",$X1624="Recebido"),$D1624=""),"⚠ Status pago/recebido sem data",IF(AND($D1624&lt;&gt;"",N($R1624)=0),"⚠ Data de pagamento sem valor realizado",IF(AND(N($P1624)&gt;1,N($O1624)&gt;N($P1624)),"⚠ Nº da parcela maior que o total",IF(AND($C1624&lt;&gt;"",$B1624&lt;&gt;"",$C1624&lt;$B1624),"⚠ Vencimento anterior à competência","OK"))))))))</f>
        <v/>
      </c>
    </row>
    <row r="1625">
      <c r="A1625" s="14" t="n"/>
      <c r="B1625" s="36" t="n"/>
      <c r="C1625" s="36" t="n"/>
      <c r="D1625" s="36" t="n"/>
      <c r="E1625" s="14" t="n"/>
      <c r="F1625" s="29" t="n"/>
      <c r="G1625" s="29" t="n"/>
      <c r="H1625" s="29" t="n"/>
      <c r="I1625" s="29" t="n"/>
      <c r="J1625" s="29" t="n"/>
      <c r="K1625" s="14" t="n"/>
      <c r="L1625" s="29" t="n"/>
      <c r="M1625" s="14" t="n"/>
      <c r="N1625" s="29" t="n"/>
      <c r="O1625" s="13" t="n"/>
      <c r="P1625" s="13" t="n"/>
      <c r="Q1625" s="35" t="n"/>
      <c r="R1625" s="35" t="n"/>
      <c r="S1625" s="35" t="n"/>
      <c r="T1625" s="35" t="n"/>
      <c r="U1625" s="35" t="n"/>
      <c r="V1625" s="18">
        <f>IF(COUNTA($B1625:$R1625)=0,"",ROUND(N($R1625)+N($S1625)+N($T1625)-N($U1625),2))</f>
        <v/>
      </c>
      <c r="W1625" s="18">
        <f>IF(COUNTA($B1625:$R1625)=0,"",IF(OR($X1625="Pago",$X1625="Recebido",$X1625="Cancelado"),0,ROUND(N($Q1625)+N($S1625)+N($T1625)-N($U1625)-N($R1625),2)))</f>
        <v/>
      </c>
      <c r="X1625" s="14" t="n"/>
      <c r="Y1625" s="17">
        <f>IF(COUNTA($B1625:$R1625)=0,"",IF($X1625="Cancelado","Cancelado",IF(OR($X1625="Pago",$X1625="Recebido"),$X1625,IF(OR($X1625="Parcial",N($R1625)&gt;0),"Parcial",IF($C1625="","Sem vencimento",IF($C1625&lt;TODAY(),"Vencido",IF($C1625=TODAY(),"Vence hoje",IF($C1625&lt;=TODAY()+7,"Vence em 7 dias",IF($C1625&lt;=TODAY()+30,"Vence em 30 dias","Futuro")))))))))</f>
        <v/>
      </c>
      <c r="Z1625" s="24">
        <f>IF($B1625="","",MONTH($B1625))</f>
        <v/>
      </c>
      <c r="AA1625" s="24">
        <f>IF($B1625="","",YEAR($B1625))</f>
        <v/>
      </c>
      <c r="AB1625" s="24">
        <f>IF($B1625="","",ISOWEEKNUM($B1625))</f>
        <v/>
      </c>
      <c r="AC1625" s="17">
        <f>IF($B1625="","",CHOOSE(WEEKDAY($B1625,2),"Segunda","Terça","Quarta","Quinta","Sexta","Sábado","Domingo"))</f>
        <v/>
      </c>
      <c r="AD1625" s="17">
        <f>IF($B1625="","",TEXT($B1625,"MM/AAAA"))</f>
        <v/>
      </c>
      <c r="AE1625" s="18">
        <f>IF(COUNTA($B1625:$R1625)=0,"",IF($X1625="Cancelado",0,ROUND(N($Q1625)+N($S1625)+N($T1625)-N($U1625),2)))</f>
        <v/>
      </c>
      <c r="AF1625" s="9">
        <f>IF($G1625="","",IFERROR(INDEX(LINHAS_DRE_PLANO,MATCH($G1625,SUBCATEGORIAS_PLANO,0)),"Não classificado"))</f>
        <v/>
      </c>
      <c r="AG1625" s="17">
        <f>IF($G1625="","",IFERROR(INDEX(TIPOS_FLUXO_PLANO,MATCH($G1625,SUBCATEGORIAS_PLANO,0)),"Não classificado"))</f>
        <v/>
      </c>
      <c r="AH1625" s="9">
        <f>IF($G1625="","",IFERROR(INDEX(GRUPOS_PLANO,MATCH($G1625,SUBCATEGORIAS_PLANO,0)),"Não classificado"))</f>
        <v/>
      </c>
      <c r="AI1625" s="24">
        <f>IF(OR($C1625="",$X1625="Pago",$X1625="Recebido",$X1625="Cancelado"),"",$C1625-TODAY())</f>
        <v/>
      </c>
      <c r="AJ1625" s="24">
        <f>IF(OR($C1625="",$X1625="Pago",$X1625="Recebido",$X1625="Cancelado"),0,MAX(0,TODAY()-$C1625))</f>
        <v/>
      </c>
      <c r="AK1625" s="24">
        <f>IF($D1625="","",$D1625-$B1625)</f>
        <v/>
      </c>
      <c r="AL1625" s="18">
        <f>IF(OR($D1625="",$B1625=""),"",ROUND(N($R1625)*($D1625-$B1625),2))</f>
        <v/>
      </c>
      <c r="AM1625" s="17">
        <f>IF(AND($E1625="Saída",$W1625&gt;0,$C1625&lt;&gt;""),$C1625+ROW()/1000000,"")</f>
        <v/>
      </c>
      <c r="AN1625" s="17">
        <f>IF(AND($E1625="Entrada",$W1625&gt;0,$C1625&lt;&gt;""),$C1625+ROW()/1000000,"")</f>
        <v/>
      </c>
      <c r="AO1625" s="9">
        <f>IF(COUNTA($B1625:$R1625)=0,"",IF(AND($I1625&lt;&gt;"",COUNTIF(CLIENTES_NOMES,$I1625)+COUNTIF(CLIENTES_FANTASIA,$I1625)+COUNTIF(FORNECEDORES_NOMES,$I1625)+COUNTIF(FORNECEDORES_FANTASIA,$I1625)=0),"⚠ Cliente/Fornecedor não cadastrado",IF(AND($G1625&lt;&gt;"",COUNTIF(SUBCATEGORIAS_PLANO,$G1625)=0),"⚠ Subcategoria fora do plano de contas",IF(OR($Q1625="",N($Q1625)=0),"⚠ Valor previsto não informado",IF(AND(OR($X1625="Pago",$X1625="Recebido"),$D1625=""),"⚠ Status pago/recebido sem data",IF(AND($D1625&lt;&gt;"",N($R1625)=0),"⚠ Data de pagamento sem valor realizado",IF(AND(N($P1625)&gt;1,N($O1625)&gt;N($P1625)),"⚠ Nº da parcela maior que o total",IF(AND($C1625&lt;&gt;"",$B1625&lt;&gt;"",$C1625&lt;$B1625),"⚠ Vencimento anterior à competência","OK"))))))))</f>
        <v/>
      </c>
    </row>
    <row r="1626">
      <c r="A1626" s="14" t="n"/>
      <c r="B1626" s="36" t="n"/>
      <c r="C1626" s="36" t="n"/>
      <c r="D1626" s="36" t="n"/>
      <c r="E1626" s="14" t="n"/>
      <c r="F1626" s="29" t="n"/>
      <c r="G1626" s="29" t="n"/>
      <c r="H1626" s="29" t="n"/>
      <c r="I1626" s="29" t="n"/>
      <c r="J1626" s="29" t="n"/>
      <c r="K1626" s="14" t="n"/>
      <c r="L1626" s="29" t="n"/>
      <c r="M1626" s="14" t="n"/>
      <c r="N1626" s="29" t="n"/>
      <c r="O1626" s="13" t="n"/>
      <c r="P1626" s="13" t="n"/>
      <c r="Q1626" s="35" t="n"/>
      <c r="R1626" s="35" t="n"/>
      <c r="S1626" s="35" t="n"/>
      <c r="T1626" s="35" t="n"/>
      <c r="U1626" s="35" t="n"/>
      <c r="V1626" s="18">
        <f>IF(COUNTA($B1626:$R1626)=0,"",ROUND(N($R1626)+N($S1626)+N($T1626)-N($U1626),2))</f>
        <v/>
      </c>
      <c r="W1626" s="18">
        <f>IF(COUNTA($B1626:$R1626)=0,"",IF(OR($X1626="Pago",$X1626="Recebido",$X1626="Cancelado"),0,ROUND(N($Q1626)+N($S1626)+N($T1626)-N($U1626)-N($R1626),2)))</f>
        <v/>
      </c>
      <c r="X1626" s="14" t="n"/>
      <c r="Y1626" s="17">
        <f>IF(COUNTA($B1626:$R1626)=0,"",IF($X1626="Cancelado","Cancelado",IF(OR($X1626="Pago",$X1626="Recebido"),$X1626,IF(OR($X1626="Parcial",N($R1626)&gt;0),"Parcial",IF($C1626="","Sem vencimento",IF($C1626&lt;TODAY(),"Vencido",IF($C1626=TODAY(),"Vence hoje",IF($C1626&lt;=TODAY()+7,"Vence em 7 dias",IF($C1626&lt;=TODAY()+30,"Vence em 30 dias","Futuro")))))))))</f>
        <v/>
      </c>
      <c r="Z1626" s="24">
        <f>IF($B1626="","",MONTH($B1626))</f>
        <v/>
      </c>
      <c r="AA1626" s="24">
        <f>IF($B1626="","",YEAR($B1626))</f>
        <v/>
      </c>
      <c r="AB1626" s="24">
        <f>IF($B1626="","",ISOWEEKNUM($B1626))</f>
        <v/>
      </c>
      <c r="AC1626" s="17">
        <f>IF($B1626="","",CHOOSE(WEEKDAY($B1626,2),"Segunda","Terça","Quarta","Quinta","Sexta","Sábado","Domingo"))</f>
        <v/>
      </c>
      <c r="AD1626" s="17">
        <f>IF($B1626="","",TEXT($B1626,"MM/AAAA"))</f>
        <v/>
      </c>
      <c r="AE1626" s="18">
        <f>IF(COUNTA($B1626:$R1626)=0,"",IF($X1626="Cancelado",0,ROUND(N($Q1626)+N($S1626)+N($T1626)-N($U1626),2)))</f>
        <v/>
      </c>
      <c r="AF1626" s="9">
        <f>IF($G1626="","",IFERROR(INDEX(LINHAS_DRE_PLANO,MATCH($G1626,SUBCATEGORIAS_PLANO,0)),"Não classificado"))</f>
        <v/>
      </c>
      <c r="AG1626" s="17">
        <f>IF($G1626="","",IFERROR(INDEX(TIPOS_FLUXO_PLANO,MATCH($G1626,SUBCATEGORIAS_PLANO,0)),"Não classificado"))</f>
        <v/>
      </c>
      <c r="AH1626" s="9">
        <f>IF($G1626="","",IFERROR(INDEX(GRUPOS_PLANO,MATCH($G1626,SUBCATEGORIAS_PLANO,0)),"Não classificado"))</f>
        <v/>
      </c>
      <c r="AI1626" s="24">
        <f>IF(OR($C1626="",$X1626="Pago",$X1626="Recebido",$X1626="Cancelado"),"",$C1626-TODAY())</f>
        <v/>
      </c>
      <c r="AJ1626" s="24">
        <f>IF(OR($C1626="",$X1626="Pago",$X1626="Recebido",$X1626="Cancelado"),0,MAX(0,TODAY()-$C1626))</f>
        <v/>
      </c>
      <c r="AK1626" s="24">
        <f>IF($D1626="","",$D1626-$B1626)</f>
        <v/>
      </c>
      <c r="AL1626" s="18">
        <f>IF(OR($D1626="",$B1626=""),"",ROUND(N($R1626)*($D1626-$B1626),2))</f>
        <v/>
      </c>
      <c r="AM1626" s="17">
        <f>IF(AND($E1626="Saída",$W1626&gt;0,$C1626&lt;&gt;""),$C1626+ROW()/1000000,"")</f>
        <v/>
      </c>
      <c r="AN1626" s="17">
        <f>IF(AND($E1626="Entrada",$W1626&gt;0,$C1626&lt;&gt;""),$C1626+ROW()/1000000,"")</f>
        <v/>
      </c>
      <c r="AO1626" s="9">
        <f>IF(COUNTA($B1626:$R1626)=0,"",IF(AND($I1626&lt;&gt;"",COUNTIF(CLIENTES_NOMES,$I1626)+COUNTIF(CLIENTES_FANTASIA,$I1626)+COUNTIF(FORNECEDORES_NOMES,$I1626)+COUNTIF(FORNECEDORES_FANTASIA,$I1626)=0),"⚠ Cliente/Fornecedor não cadastrado",IF(AND($G1626&lt;&gt;"",COUNTIF(SUBCATEGORIAS_PLANO,$G1626)=0),"⚠ Subcategoria fora do plano de contas",IF(OR($Q1626="",N($Q1626)=0),"⚠ Valor previsto não informado",IF(AND(OR($X1626="Pago",$X1626="Recebido"),$D1626=""),"⚠ Status pago/recebido sem data",IF(AND($D1626&lt;&gt;"",N($R1626)=0),"⚠ Data de pagamento sem valor realizado",IF(AND(N($P1626)&gt;1,N($O1626)&gt;N($P1626)),"⚠ Nº da parcela maior que o total",IF(AND($C1626&lt;&gt;"",$B1626&lt;&gt;"",$C1626&lt;$B1626),"⚠ Vencimento anterior à competência","OK"))))))))</f>
        <v/>
      </c>
    </row>
    <row r="1627">
      <c r="A1627" s="14" t="n"/>
      <c r="B1627" s="36" t="n"/>
      <c r="C1627" s="36" t="n"/>
      <c r="D1627" s="36" t="n"/>
      <c r="E1627" s="14" t="n"/>
      <c r="F1627" s="29" t="n"/>
      <c r="G1627" s="29" t="n"/>
      <c r="H1627" s="29" t="n"/>
      <c r="I1627" s="29" t="n"/>
      <c r="J1627" s="29" t="n"/>
      <c r="K1627" s="14" t="n"/>
      <c r="L1627" s="29" t="n"/>
      <c r="M1627" s="14" t="n"/>
      <c r="N1627" s="29" t="n"/>
      <c r="O1627" s="13" t="n"/>
      <c r="P1627" s="13" t="n"/>
      <c r="Q1627" s="35" t="n"/>
      <c r="R1627" s="35" t="n"/>
      <c r="S1627" s="35" t="n"/>
      <c r="T1627" s="35" t="n"/>
      <c r="U1627" s="35" t="n"/>
      <c r="V1627" s="18">
        <f>IF(COUNTA($B1627:$R1627)=0,"",ROUND(N($R1627)+N($S1627)+N($T1627)-N($U1627),2))</f>
        <v/>
      </c>
      <c r="W1627" s="18">
        <f>IF(COUNTA($B1627:$R1627)=0,"",IF(OR($X1627="Pago",$X1627="Recebido",$X1627="Cancelado"),0,ROUND(N($Q1627)+N($S1627)+N($T1627)-N($U1627)-N($R1627),2)))</f>
        <v/>
      </c>
      <c r="X1627" s="14" t="n"/>
      <c r="Y1627" s="17">
        <f>IF(COUNTA($B1627:$R1627)=0,"",IF($X1627="Cancelado","Cancelado",IF(OR($X1627="Pago",$X1627="Recebido"),$X1627,IF(OR($X1627="Parcial",N($R1627)&gt;0),"Parcial",IF($C1627="","Sem vencimento",IF($C1627&lt;TODAY(),"Vencido",IF($C1627=TODAY(),"Vence hoje",IF($C1627&lt;=TODAY()+7,"Vence em 7 dias",IF($C1627&lt;=TODAY()+30,"Vence em 30 dias","Futuro")))))))))</f>
        <v/>
      </c>
      <c r="Z1627" s="24">
        <f>IF($B1627="","",MONTH($B1627))</f>
        <v/>
      </c>
      <c r="AA1627" s="24">
        <f>IF($B1627="","",YEAR($B1627))</f>
        <v/>
      </c>
      <c r="AB1627" s="24">
        <f>IF($B1627="","",ISOWEEKNUM($B1627))</f>
        <v/>
      </c>
      <c r="AC1627" s="17">
        <f>IF($B1627="","",CHOOSE(WEEKDAY($B1627,2),"Segunda","Terça","Quarta","Quinta","Sexta","Sábado","Domingo"))</f>
        <v/>
      </c>
      <c r="AD1627" s="17">
        <f>IF($B1627="","",TEXT($B1627,"MM/AAAA"))</f>
        <v/>
      </c>
      <c r="AE1627" s="18">
        <f>IF(COUNTA($B1627:$R1627)=0,"",IF($X1627="Cancelado",0,ROUND(N($Q1627)+N($S1627)+N($T1627)-N($U1627),2)))</f>
        <v/>
      </c>
      <c r="AF1627" s="9">
        <f>IF($G1627="","",IFERROR(INDEX(LINHAS_DRE_PLANO,MATCH($G1627,SUBCATEGORIAS_PLANO,0)),"Não classificado"))</f>
        <v/>
      </c>
      <c r="AG1627" s="17">
        <f>IF($G1627="","",IFERROR(INDEX(TIPOS_FLUXO_PLANO,MATCH($G1627,SUBCATEGORIAS_PLANO,0)),"Não classificado"))</f>
        <v/>
      </c>
      <c r="AH1627" s="9">
        <f>IF($G1627="","",IFERROR(INDEX(GRUPOS_PLANO,MATCH($G1627,SUBCATEGORIAS_PLANO,0)),"Não classificado"))</f>
        <v/>
      </c>
      <c r="AI1627" s="24">
        <f>IF(OR($C1627="",$X1627="Pago",$X1627="Recebido",$X1627="Cancelado"),"",$C1627-TODAY())</f>
        <v/>
      </c>
      <c r="AJ1627" s="24">
        <f>IF(OR($C1627="",$X1627="Pago",$X1627="Recebido",$X1627="Cancelado"),0,MAX(0,TODAY()-$C1627))</f>
        <v/>
      </c>
      <c r="AK1627" s="24">
        <f>IF($D1627="","",$D1627-$B1627)</f>
        <v/>
      </c>
      <c r="AL1627" s="18">
        <f>IF(OR($D1627="",$B1627=""),"",ROUND(N($R1627)*($D1627-$B1627),2))</f>
        <v/>
      </c>
      <c r="AM1627" s="17">
        <f>IF(AND($E1627="Saída",$W1627&gt;0,$C1627&lt;&gt;""),$C1627+ROW()/1000000,"")</f>
        <v/>
      </c>
      <c r="AN1627" s="17">
        <f>IF(AND($E1627="Entrada",$W1627&gt;0,$C1627&lt;&gt;""),$C1627+ROW()/1000000,"")</f>
        <v/>
      </c>
      <c r="AO1627" s="9">
        <f>IF(COUNTA($B1627:$R1627)=0,"",IF(AND($I1627&lt;&gt;"",COUNTIF(CLIENTES_NOMES,$I1627)+COUNTIF(CLIENTES_FANTASIA,$I1627)+COUNTIF(FORNECEDORES_NOMES,$I1627)+COUNTIF(FORNECEDORES_FANTASIA,$I1627)=0),"⚠ Cliente/Fornecedor não cadastrado",IF(AND($G1627&lt;&gt;"",COUNTIF(SUBCATEGORIAS_PLANO,$G1627)=0),"⚠ Subcategoria fora do plano de contas",IF(OR($Q1627="",N($Q1627)=0),"⚠ Valor previsto não informado",IF(AND(OR($X1627="Pago",$X1627="Recebido"),$D1627=""),"⚠ Status pago/recebido sem data",IF(AND($D1627&lt;&gt;"",N($R1627)=0),"⚠ Data de pagamento sem valor realizado",IF(AND(N($P1627)&gt;1,N($O1627)&gt;N($P1627)),"⚠ Nº da parcela maior que o total",IF(AND($C1627&lt;&gt;"",$B1627&lt;&gt;"",$C1627&lt;$B1627),"⚠ Vencimento anterior à competência","OK"))))))))</f>
        <v/>
      </c>
    </row>
    <row r="1628">
      <c r="A1628" s="14" t="n"/>
      <c r="B1628" s="36" t="n"/>
      <c r="C1628" s="36" t="n"/>
      <c r="D1628" s="36" t="n"/>
      <c r="E1628" s="14" t="n"/>
      <c r="F1628" s="29" t="n"/>
      <c r="G1628" s="29" t="n"/>
      <c r="H1628" s="29" t="n"/>
      <c r="I1628" s="29" t="n"/>
      <c r="J1628" s="29" t="n"/>
      <c r="K1628" s="14" t="n"/>
      <c r="L1628" s="29" t="n"/>
      <c r="M1628" s="14" t="n"/>
      <c r="N1628" s="29" t="n"/>
      <c r="O1628" s="13" t="n"/>
      <c r="P1628" s="13" t="n"/>
      <c r="Q1628" s="35" t="n"/>
      <c r="R1628" s="35" t="n"/>
      <c r="S1628" s="35" t="n"/>
      <c r="T1628" s="35" t="n"/>
      <c r="U1628" s="35" t="n"/>
      <c r="V1628" s="18">
        <f>IF(COUNTA($B1628:$R1628)=0,"",ROUND(N($R1628)+N($S1628)+N($T1628)-N($U1628),2))</f>
        <v/>
      </c>
      <c r="W1628" s="18">
        <f>IF(COUNTA($B1628:$R1628)=0,"",IF(OR($X1628="Pago",$X1628="Recebido",$X1628="Cancelado"),0,ROUND(N($Q1628)+N($S1628)+N($T1628)-N($U1628)-N($R1628),2)))</f>
        <v/>
      </c>
      <c r="X1628" s="14" t="n"/>
      <c r="Y1628" s="17">
        <f>IF(COUNTA($B1628:$R1628)=0,"",IF($X1628="Cancelado","Cancelado",IF(OR($X1628="Pago",$X1628="Recebido"),$X1628,IF(OR($X1628="Parcial",N($R1628)&gt;0),"Parcial",IF($C1628="","Sem vencimento",IF($C1628&lt;TODAY(),"Vencido",IF($C1628=TODAY(),"Vence hoje",IF($C1628&lt;=TODAY()+7,"Vence em 7 dias",IF($C1628&lt;=TODAY()+30,"Vence em 30 dias","Futuro")))))))))</f>
        <v/>
      </c>
      <c r="Z1628" s="24">
        <f>IF($B1628="","",MONTH($B1628))</f>
        <v/>
      </c>
      <c r="AA1628" s="24">
        <f>IF($B1628="","",YEAR($B1628))</f>
        <v/>
      </c>
      <c r="AB1628" s="24">
        <f>IF($B1628="","",ISOWEEKNUM($B1628))</f>
        <v/>
      </c>
      <c r="AC1628" s="17">
        <f>IF($B1628="","",CHOOSE(WEEKDAY($B1628,2),"Segunda","Terça","Quarta","Quinta","Sexta","Sábado","Domingo"))</f>
        <v/>
      </c>
      <c r="AD1628" s="17">
        <f>IF($B1628="","",TEXT($B1628,"MM/AAAA"))</f>
        <v/>
      </c>
      <c r="AE1628" s="18">
        <f>IF(COUNTA($B1628:$R1628)=0,"",IF($X1628="Cancelado",0,ROUND(N($Q1628)+N($S1628)+N($T1628)-N($U1628),2)))</f>
        <v/>
      </c>
      <c r="AF1628" s="9">
        <f>IF($G1628="","",IFERROR(INDEX(LINHAS_DRE_PLANO,MATCH($G1628,SUBCATEGORIAS_PLANO,0)),"Não classificado"))</f>
        <v/>
      </c>
      <c r="AG1628" s="17">
        <f>IF($G1628="","",IFERROR(INDEX(TIPOS_FLUXO_PLANO,MATCH($G1628,SUBCATEGORIAS_PLANO,0)),"Não classificado"))</f>
        <v/>
      </c>
      <c r="AH1628" s="9">
        <f>IF($G1628="","",IFERROR(INDEX(GRUPOS_PLANO,MATCH($G1628,SUBCATEGORIAS_PLANO,0)),"Não classificado"))</f>
        <v/>
      </c>
      <c r="AI1628" s="24">
        <f>IF(OR($C1628="",$X1628="Pago",$X1628="Recebido",$X1628="Cancelado"),"",$C1628-TODAY())</f>
        <v/>
      </c>
      <c r="AJ1628" s="24">
        <f>IF(OR($C1628="",$X1628="Pago",$X1628="Recebido",$X1628="Cancelado"),0,MAX(0,TODAY()-$C1628))</f>
        <v/>
      </c>
      <c r="AK1628" s="24">
        <f>IF($D1628="","",$D1628-$B1628)</f>
        <v/>
      </c>
      <c r="AL1628" s="18">
        <f>IF(OR($D1628="",$B1628=""),"",ROUND(N($R1628)*($D1628-$B1628),2))</f>
        <v/>
      </c>
      <c r="AM1628" s="17">
        <f>IF(AND($E1628="Saída",$W1628&gt;0,$C1628&lt;&gt;""),$C1628+ROW()/1000000,"")</f>
        <v/>
      </c>
      <c r="AN1628" s="17">
        <f>IF(AND($E1628="Entrada",$W1628&gt;0,$C1628&lt;&gt;""),$C1628+ROW()/1000000,"")</f>
        <v/>
      </c>
      <c r="AO1628" s="9">
        <f>IF(COUNTA($B1628:$R1628)=0,"",IF(AND($I1628&lt;&gt;"",COUNTIF(CLIENTES_NOMES,$I1628)+COUNTIF(CLIENTES_FANTASIA,$I1628)+COUNTIF(FORNECEDORES_NOMES,$I1628)+COUNTIF(FORNECEDORES_FANTASIA,$I1628)=0),"⚠ Cliente/Fornecedor não cadastrado",IF(AND($G1628&lt;&gt;"",COUNTIF(SUBCATEGORIAS_PLANO,$G1628)=0),"⚠ Subcategoria fora do plano de contas",IF(OR($Q1628="",N($Q1628)=0),"⚠ Valor previsto não informado",IF(AND(OR($X1628="Pago",$X1628="Recebido"),$D1628=""),"⚠ Status pago/recebido sem data",IF(AND($D1628&lt;&gt;"",N($R1628)=0),"⚠ Data de pagamento sem valor realizado",IF(AND(N($P1628)&gt;1,N($O1628)&gt;N($P1628)),"⚠ Nº da parcela maior que o total",IF(AND($C1628&lt;&gt;"",$B1628&lt;&gt;"",$C1628&lt;$B1628),"⚠ Vencimento anterior à competência","OK"))))))))</f>
        <v/>
      </c>
    </row>
    <row r="1629">
      <c r="A1629" s="14" t="n"/>
      <c r="B1629" s="36" t="n"/>
      <c r="C1629" s="36" t="n"/>
      <c r="D1629" s="36" t="n"/>
      <c r="E1629" s="14" t="n"/>
      <c r="F1629" s="29" t="n"/>
      <c r="G1629" s="29" t="n"/>
      <c r="H1629" s="29" t="n"/>
      <c r="I1629" s="29" t="n"/>
      <c r="J1629" s="29" t="n"/>
      <c r="K1629" s="14" t="n"/>
      <c r="L1629" s="29" t="n"/>
      <c r="M1629" s="14" t="n"/>
      <c r="N1629" s="29" t="n"/>
      <c r="O1629" s="13" t="n"/>
      <c r="P1629" s="13" t="n"/>
      <c r="Q1629" s="35" t="n"/>
      <c r="R1629" s="35" t="n"/>
      <c r="S1629" s="35" t="n"/>
      <c r="T1629" s="35" t="n"/>
      <c r="U1629" s="35" t="n"/>
      <c r="V1629" s="18">
        <f>IF(COUNTA($B1629:$R1629)=0,"",ROUND(N($R1629)+N($S1629)+N($T1629)-N($U1629),2))</f>
        <v/>
      </c>
      <c r="W1629" s="18">
        <f>IF(COUNTA($B1629:$R1629)=0,"",IF(OR($X1629="Pago",$X1629="Recebido",$X1629="Cancelado"),0,ROUND(N($Q1629)+N($S1629)+N($T1629)-N($U1629)-N($R1629),2)))</f>
        <v/>
      </c>
      <c r="X1629" s="14" t="n"/>
      <c r="Y1629" s="17">
        <f>IF(COUNTA($B1629:$R1629)=0,"",IF($X1629="Cancelado","Cancelado",IF(OR($X1629="Pago",$X1629="Recebido"),$X1629,IF(OR($X1629="Parcial",N($R1629)&gt;0),"Parcial",IF($C1629="","Sem vencimento",IF($C1629&lt;TODAY(),"Vencido",IF($C1629=TODAY(),"Vence hoje",IF($C1629&lt;=TODAY()+7,"Vence em 7 dias",IF($C1629&lt;=TODAY()+30,"Vence em 30 dias","Futuro")))))))))</f>
        <v/>
      </c>
      <c r="Z1629" s="24">
        <f>IF($B1629="","",MONTH($B1629))</f>
        <v/>
      </c>
      <c r="AA1629" s="24">
        <f>IF($B1629="","",YEAR($B1629))</f>
        <v/>
      </c>
      <c r="AB1629" s="24">
        <f>IF($B1629="","",ISOWEEKNUM($B1629))</f>
        <v/>
      </c>
      <c r="AC1629" s="17">
        <f>IF($B1629="","",CHOOSE(WEEKDAY($B1629,2),"Segunda","Terça","Quarta","Quinta","Sexta","Sábado","Domingo"))</f>
        <v/>
      </c>
      <c r="AD1629" s="17">
        <f>IF($B1629="","",TEXT($B1629,"MM/AAAA"))</f>
        <v/>
      </c>
      <c r="AE1629" s="18">
        <f>IF(COUNTA($B1629:$R1629)=0,"",IF($X1629="Cancelado",0,ROUND(N($Q1629)+N($S1629)+N($T1629)-N($U1629),2)))</f>
        <v/>
      </c>
      <c r="AF1629" s="9">
        <f>IF($G1629="","",IFERROR(INDEX(LINHAS_DRE_PLANO,MATCH($G1629,SUBCATEGORIAS_PLANO,0)),"Não classificado"))</f>
        <v/>
      </c>
      <c r="AG1629" s="17">
        <f>IF($G1629="","",IFERROR(INDEX(TIPOS_FLUXO_PLANO,MATCH($G1629,SUBCATEGORIAS_PLANO,0)),"Não classificado"))</f>
        <v/>
      </c>
      <c r="AH1629" s="9">
        <f>IF($G1629="","",IFERROR(INDEX(GRUPOS_PLANO,MATCH($G1629,SUBCATEGORIAS_PLANO,0)),"Não classificado"))</f>
        <v/>
      </c>
      <c r="AI1629" s="24">
        <f>IF(OR($C1629="",$X1629="Pago",$X1629="Recebido",$X1629="Cancelado"),"",$C1629-TODAY())</f>
        <v/>
      </c>
      <c r="AJ1629" s="24">
        <f>IF(OR($C1629="",$X1629="Pago",$X1629="Recebido",$X1629="Cancelado"),0,MAX(0,TODAY()-$C1629))</f>
        <v/>
      </c>
      <c r="AK1629" s="24">
        <f>IF($D1629="","",$D1629-$B1629)</f>
        <v/>
      </c>
      <c r="AL1629" s="18">
        <f>IF(OR($D1629="",$B1629=""),"",ROUND(N($R1629)*($D1629-$B1629),2))</f>
        <v/>
      </c>
      <c r="AM1629" s="17">
        <f>IF(AND($E1629="Saída",$W1629&gt;0,$C1629&lt;&gt;""),$C1629+ROW()/1000000,"")</f>
        <v/>
      </c>
      <c r="AN1629" s="17">
        <f>IF(AND($E1629="Entrada",$W1629&gt;0,$C1629&lt;&gt;""),$C1629+ROW()/1000000,"")</f>
        <v/>
      </c>
      <c r="AO1629" s="9">
        <f>IF(COUNTA($B1629:$R1629)=0,"",IF(AND($I1629&lt;&gt;"",COUNTIF(CLIENTES_NOMES,$I1629)+COUNTIF(CLIENTES_FANTASIA,$I1629)+COUNTIF(FORNECEDORES_NOMES,$I1629)+COUNTIF(FORNECEDORES_FANTASIA,$I1629)=0),"⚠ Cliente/Fornecedor não cadastrado",IF(AND($G1629&lt;&gt;"",COUNTIF(SUBCATEGORIAS_PLANO,$G1629)=0),"⚠ Subcategoria fora do plano de contas",IF(OR($Q1629="",N($Q1629)=0),"⚠ Valor previsto não informado",IF(AND(OR($X1629="Pago",$X1629="Recebido"),$D1629=""),"⚠ Status pago/recebido sem data",IF(AND($D1629&lt;&gt;"",N($R1629)=0),"⚠ Data de pagamento sem valor realizado",IF(AND(N($P1629)&gt;1,N($O1629)&gt;N($P1629)),"⚠ Nº da parcela maior que o total",IF(AND($C1629&lt;&gt;"",$B1629&lt;&gt;"",$C1629&lt;$B1629),"⚠ Vencimento anterior à competência","OK"))))))))</f>
        <v/>
      </c>
    </row>
    <row r="1630">
      <c r="A1630" s="14" t="n"/>
      <c r="B1630" s="36" t="n"/>
      <c r="C1630" s="36" t="n"/>
      <c r="D1630" s="36" t="n"/>
      <c r="E1630" s="14" t="n"/>
      <c r="F1630" s="29" t="n"/>
      <c r="G1630" s="29" t="n"/>
      <c r="H1630" s="29" t="n"/>
      <c r="I1630" s="29" t="n"/>
      <c r="J1630" s="29" t="n"/>
      <c r="K1630" s="14" t="n"/>
      <c r="L1630" s="29" t="n"/>
      <c r="M1630" s="14" t="n"/>
      <c r="N1630" s="29" t="n"/>
      <c r="O1630" s="13" t="n"/>
      <c r="P1630" s="13" t="n"/>
      <c r="Q1630" s="35" t="n"/>
      <c r="R1630" s="35" t="n"/>
      <c r="S1630" s="35" t="n"/>
      <c r="T1630" s="35" t="n"/>
      <c r="U1630" s="35" t="n"/>
      <c r="V1630" s="18">
        <f>IF(COUNTA($B1630:$R1630)=0,"",ROUND(N($R1630)+N($S1630)+N($T1630)-N($U1630),2))</f>
        <v/>
      </c>
      <c r="W1630" s="18">
        <f>IF(COUNTA($B1630:$R1630)=0,"",IF(OR($X1630="Pago",$X1630="Recebido",$X1630="Cancelado"),0,ROUND(N($Q1630)+N($S1630)+N($T1630)-N($U1630)-N($R1630),2)))</f>
        <v/>
      </c>
      <c r="X1630" s="14" t="n"/>
      <c r="Y1630" s="17">
        <f>IF(COUNTA($B1630:$R1630)=0,"",IF($X1630="Cancelado","Cancelado",IF(OR($X1630="Pago",$X1630="Recebido"),$X1630,IF(OR($X1630="Parcial",N($R1630)&gt;0),"Parcial",IF($C1630="","Sem vencimento",IF($C1630&lt;TODAY(),"Vencido",IF($C1630=TODAY(),"Vence hoje",IF($C1630&lt;=TODAY()+7,"Vence em 7 dias",IF($C1630&lt;=TODAY()+30,"Vence em 30 dias","Futuro")))))))))</f>
        <v/>
      </c>
      <c r="Z1630" s="24">
        <f>IF($B1630="","",MONTH($B1630))</f>
        <v/>
      </c>
      <c r="AA1630" s="24">
        <f>IF($B1630="","",YEAR($B1630))</f>
        <v/>
      </c>
      <c r="AB1630" s="24">
        <f>IF($B1630="","",ISOWEEKNUM($B1630))</f>
        <v/>
      </c>
      <c r="AC1630" s="17">
        <f>IF($B1630="","",CHOOSE(WEEKDAY($B1630,2),"Segunda","Terça","Quarta","Quinta","Sexta","Sábado","Domingo"))</f>
        <v/>
      </c>
      <c r="AD1630" s="17">
        <f>IF($B1630="","",TEXT($B1630,"MM/AAAA"))</f>
        <v/>
      </c>
      <c r="AE1630" s="18">
        <f>IF(COUNTA($B1630:$R1630)=0,"",IF($X1630="Cancelado",0,ROUND(N($Q1630)+N($S1630)+N($T1630)-N($U1630),2)))</f>
        <v/>
      </c>
      <c r="AF1630" s="9">
        <f>IF($G1630="","",IFERROR(INDEX(LINHAS_DRE_PLANO,MATCH($G1630,SUBCATEGORIAS_PLANO,0)),"Não classificado"))</f>
        <v/>
      </c>
      <c r="AG1630" s="17">
        <f>IF($G1630="","",IFERROR(INDEX(TIPOS_FLUXO_PLANO,MATCH($G1630,SUBCATEGORIAS_PLANO,0)),"Não classificado"))</f>
        <v/>
      </c>
      <c r="AH1630" s="9">
        <f>IF($G1630="","",IFERROR(INDEX(GRUPOS_PLANO,MATCH($G1630,SUBCATEGORIAS_PLANO,0)),"Não classificado"))</f>
        <v/>
      </c>
      <c r="AI1630" s="24">
        <f>IF(OR($C1630="",$X1630="Pago",$X1630="Recebido",$X1630="Cancelado"),"",$C1630-TODAY())</f>
        <v/>
      </c>
      <c r="AJ1630" s="24">
        <f>IF(OR($C1630="",$X1630="Pago",$X1630="Recebido",$X1630="Cancelado"),0,MAX(0,TODAY()-$C1630))</f>
        <v/>
      </c>
      <c r="AK1630" s="24">
        <f>IF($D1630="","",$D1630-$B1630)</f>
        <v/>
      </c>
      <c r="AL1630" s="18">
        <f>IF(OR($D1630="",$B1630=""),"",ROUND(N($R1630)*($D1630-$B1630),2))</f>
        <v/>
      </c>
      <c r="AM1630" s="17">
        <f>IF(AND($E1630="Saída",$W1630&gt;0,$C1630&lt;&gt;""),$C1630+ROW()/1000000,"")</f>
        <v/>
      </c>
      <c r="AN1630" s="17">
        <f>IF(AND($E1630="Entrada",$W1630&gt;0,$C1630&lt;&gt;""),$C1630+ROW()/1000000,"")</f>
        <v/>
      </c>
      <c r="AO1630" s="9">
        <f>IF(COUNTA($B1630:$R1630)=0,"",IF(AND($I1630&lt;&gt;"",COUNTIF(CLIENTES_NOMES,$I1630)+COUNTIF(CLIENTES_FANTASIA,$I1630)+COUNTIF(FORNECEDORES_NOMES,$I1630)+COUNTIF(FORNECEDORES_FANTASIA,$I1630)=0),"⚠ Cliente/Fornecedor não cadastrado",IF(AND($G1630&lt;&gt;"",COUNTIF(SUBCATEGORIAS_PLANO,$G1630)=0),"⚠ Subcategoria fora do plano de contas",IF(OR($Q1630="",N($Q1630)=0),"⚠ Valor previsto não informado",IF(AND(OR($X1630="Pago",$X1630="Recebido"),$D1630=""),"⚠ Status pago/recebido sem data",IF(AND($D1630&lt;&gt;"",N($R1630)=0),"⚠ Data de pagamento sem valor realizado",IF(AND(N($P1630)&gt;1,N($O1630)&gt;N($P1630)),"⚠ Nº da parcela maior que o total",IF(AND($C1630&lt;&gt;"",$B1630&lt;&gt;"",$C1630&lt;$B1630),"⚠ Vencimento anterior à competência","OK"))))))))</f>
        <v/>
      </c>
    </row>
    <row r="1631">
      <c r="A1631" s="14" t="n"/>
      <c r="B1631" s="36" t="n"/>
      <c r="C1631" s="36" t="n"/>
      <c r="D1631" s="36" t="n"/>
      <c r="E1631" s="14" t="n"/>
      <c r="F1631" s="29" t="n"/>
      <c r="G1631" s="29" t="n"/>
      <c r="H1631" s="29" t="n"/>
      <c r="I1631" s="29" t="n"/>
      <c r="J1631" s="29" t="n"/>
      <c r="K1631" s="14" t="n"/>
      <c r="L1631" s="29" t="n"/>
      <c r="M1631" s="14" t="n"/>
      <c r="N1631" s="29" t="n"/>
      <c r="O1631" s="13" t="n"/>
      <c r="P1631" s="13" t="n"/>
      <c r="Q1631" s="35" t="n"/>
      <c r="R1631" s="35" t="n"/>
      <c r="S1631" s="35" t="n"/>
      <c r="T1631" s="35" t="n"/>
      <c r="U1631" s="35" t="n"/>
      <c r="V1631" s="18">
        <f>IF(COUNTA($B1631:$R1631)=0,"",ROUND(N($R1631)+N($S1631)+N($T1631)-N($U1631),2))</f>
        <v/>
      </c>
      <c r="W1631" s="18">
        <f>IF(COUNTA($B1631:$R1631)=0,"",IF(OR($X1631="Pago",$X1631="Recebido",$X1631="Cancelado"),0,ROUND(N($Q1631)+N($S1631)+N($T1631)-N($U1631)-N($R1631),2)))</f>
        <v/>
      </c>
      <c r="X1631" s="14" t="n"/>
      <c r="Y1631" s="17">
        <f>IF(COUNTA($B1631:$R1631)=0,"",IF($X1631="Cancelado","Cancelado",IF(OR($X1631="Pago",$X1631="Recebido"),$X1631,IF(OR($X1631="Parcial",N($R1631)&gt;0),"Parcial",IF($C1631="","Sem vencimento",IF($C1631&lt;TODAY(),"Vencido",IF($C1631=TODAY(),"Vence hoje",IF($C1631&lt;=TODAY()+7,"Vence em 7 dias",IF($C1631&lt;=TODAY()+30,"Vence em 30 dias","Futuro")))))))))</f>
        <v/>
      </c>
      <c r="Z1631" s="24">
        <f>IF($B1631="","",MONTH($B1631))</f>
        <v/>
      </c>
      <c r="AA1631" s="24">
        <f>IF($B1631="","",YEAR($B1631))</f>
        <v/>
      </c>
      <c r="AB1631" s="24">
        <f>IF($B1631="","",ISOWEEKNUM($B1631))</f>
        <v/>
      </c>
      <c r="AC1631" s="17">
        <f>IF($B1631="","",CHOOSE(WEEKDAY($B1631,2),"Segunda","Terça","Quarta","Quinta","Sexta","Sábado","Domingo"))</f>
        <v/>
      </c>
      <c r="AD1631" s="17">
        <f>IF($B1631="","",TEXT($B1631,"MM/AAAA"))</f>
        <v/>
      </c>
      <c r="AE1631" s="18">
        <f>IF(COUNTA($B1631:$R1631)=0,"",IF($X1631="Cancelado",0,ROUND(N($Q1631)+N($S1631)+N($T1631)-N($U1631),2)))</f>
        <v/>
      </c>
      <c r="AF1631" s="9">
        <f>IF($G1631="","",IFERROR(INDEX(LINHAS_DRE_PLANO,MATCH($G1631,SUBCATEGORIAS_PLANO,0)),"Não classificado"))</f>
        <v/>
      </c>
      <c r="AG1631" s="17">
        <f>IF($G1631="","",IFERROR(INDEX(TIPOS_FLUXO_PLANO,MATCH($G1631,SUBCATEGORIAS_PLANO,0)),"Não classificado"))</f>
        <v/>
      </c>
      <c r="AH1631" s="9">
        <f>IF($G1631="","",IFERROR(INDEX(GRUPOS_PLANO,MATCH($G1631,SUBCATEGORIAS_PLANO,0)),"Não classificado"))</f>
        <v/>
      </c>
      <c r="AI1631" s="24">
        <f>IF(OR($C1631="",$X1631="Pago",$X1631="Recebido",$X1631="Cancelado"),"",$C1631-TODAY())</f>
        <v/>
      </c>
      <c r="AJ1631" s="24">
        <f>IF(OR($C1631="",$X1631="Pago",$X1631="Recebido",$X1631="Cancelado"),0,MAX(0,TODAY()-$C1631))</f>
        <v/>
      </c>
      <c r="AK1631" s="24">
        <f>IF($D1631="","",$D1631-$B1631)</f>
        <v/>
      </c>
      <c r="AL1631" s="18">
        <f>IF(OR($D1631="",$B1631=""),"",ROUND(N($R1631)*($D1631-$B1631),2))</f>
        <v/>
      </c>
      <c r="AM1631" s="17">
        <f>IF(AND($E1631="Saída",$W1631&gt;0,$C1631&lt;&gt;""),$C1631+ROW()/1000000,"")</f>
        <v/>
      </c>
      <c r="AN1631" s="17">
        <f>IF(AND($E1631="Entrada",$W1631&gt;0,$C1631&lt;&gt;""),$C1631+ROW()/1000000,"")</f>
        <v/>
      </c>
      <c r="AO1631" s="9">
        <f>IF(COUNTA($B1631:$R1631)=0,"",IF(AND($I1631&lt;&gt;"",COUNTIF(CLIENTES_NOMES,$I1631)+COUNTIF(CLIENTES_FANTASIA,$I1631)+COUNTIF(FORNECEDORES_NOMES,$I1631)+COUNTIF(FORNECEDORES_FANTASIA,$I1631)=0),"⚠ Cliente/Fornecedor não cadastrado",IF(AND($G1631&lt;&gt;"",COUNTIF(SUBCATEGORIAS_PLANO,$G1631)=0),"⚠ Subcategoria fora do plano de contas",IF(OR($Q1631="",N($Q1631)=0),"⚠ Valor previsto não informado",IF(AND(OR($X1631="Pago",$X1631="Recebido"),$D1631=""),"⚠ Status pago/recebido sem data",IF(AND($D1631&lt;&gt;"",N($R1631)=0),"⚠ Data de pagamento sem valor realizado",IF(AND(N($P1631)&gt;1,N($O1631)&gt;N($P1631)),"⚠ Nº da parcela maior que o total",IF(AND($C1631&lt;&gt;"",$B1631&lt;&gt;"",$C1631&lt;$B1631),"⚠ Vencimento anterior à competência","OK"))))))))</f>
        <v/>
      </c>
    </row>
    <row r="1632">
      <c r="A1632" s="14" t="n"/>
      <c r="B1632" s="36" t="n"/>
      <c r="C1632" s="36" t="n"/>
      <c r="D1632" s="36" t="n"/>
      <c r="E1632" s="14" t="n"/>
      <c r="F1632" s="29" t="n"/>
      <c r="G1632" s="29" t="n"/>
      <c r="H1632" s="29" t="n"/>
      <c r="I1632" s="29" t="n"/>
      <c r="J1632" s="29" t="n"/>
      <c r="K1632" s="14" t="n"/>
      <c r="L1632" s="29" t="n"/>
      <c r="M1632" s="14" t="n"/>
      <c r="N1632" s="29" t="n"/>
      <c r="O1632" s="13" t="n"/>
      <c r="P1632" s="13" t="n"/>
      <c r="Q1632" s="35" t="n"/>
      <c r="R1632" s="35" t="n"/>
      <c r="S1632" s="35" t="n"/>
      <c r="T1632" s="35" t="n"/>
      <c r="U1632" s="35" t="n"/>
      <c r="V1632" s="18">
        <f>IF(COUNTA($B1632:$R1632)=0,"",ROUND(N($R1632)+N($S1632)+N($T1632)-N($U1632),2))</f>
        <v/>
      </c>
      <c r="W1632" s="18">
        <f>IF(COUNTA($B1632:$R1632)=0,"",IF(OR($X1632="Pago",$X1632="Recebido",$X1632="Cancelado"),0,ROUND(N($Q1632)+N($S1632)+N($T1632)-N($U1632)-N($R1632),2)))</f>
        <v/>
      </c>
      <c r="X1632" s="14" t="n"/>
      <c r="Y1632" s="17">
        <f>IF(COUNTA($B1632:$R1632)=0,"",IF($X1632="Cancelado","Cancelado",IF(OR($X1632="Pago",$X1632="Recebido"),$X1632,IF(OR($X1632="Parcial",N($R1632)&gt;0),"Parcial",IF($C1632="","Sem vencimento",IF($C1632&lt;TODAY(),"Vencido",IF($C1632=TODAY(),"Vence hoje",IF($C1632&lt;=TODAY()+7,"Vence em 7 dias",IF($C1632&lt;=TODAY()+30,"Vence em 30 dias","Futuro")))))))))</f>
        <v/>
      </c>
      <c r="Z1632" s="24">
        <f>IF($B1632="","",MONTH($B1632))</f>
        <v/>
      </c>
      <c r="AA1632" s="24">
        <f>IF($B1632="","",YEAR($B1632))</f>
        <v/>
      </c>
      <c r="AB1632" s="24">
        <f>IF($B1632="","",ISOWEEKNUM($B1632))</f>
        <v/>
      </c>
      <c r="AC1632" s="17">
        <f>IF($B1632="","",CHOOSE(WEEKDAY($B1632,2),"Segunda","Terça","Quarta","Quinta","Sexta","Sábado","Domingo"))</f>
        <v/>
      </c>
      <c r="AD1632" s="17">
        <f>IF($B1632="","",TEXT($B1632,"MM/AAAA"))</f>
        <v/>
      </c>
      <c r="AE1632" s="18">
        <f>IF(COUNTA($B1632:$R1632)=0,"",IF($X1632="Cancelado",0,ROUND(N($Q1632)+N($S1632)+N($T1632)-N($U1632),2)))</f>
        <v/>
      </c>
      <c r="AF1632" s="9">
        <f>IF($G1632="","",IFERROR(INDEX(LINHAS_DRE_PLANO,MATCH($G1632,SUBCATEGORIAS_PLANO,0)),"Não classificado"))</f>
        <v/>
      </c>
      <c r="AG1632" s="17">
        <f>IF($G1632="","",IFERROR(INDEX(TIPOS_FLUXO_PLANO,MATCH($G1632,SUBCATEGORIAS_PLANO,0)),"Não classificado"))</f>
        <v/>
      </c>
      <c r="AH1632" s="9">
        <f>IF($G1632="","",IFERROR(INDEX(GRUPOS_PLANO,MATCH($G1632,SUBCATEGORIAS_PLANO,0)),"Não classificado"))</f>
        <v/>
      </c>
      <c r="AI1632" s="24">
        <f>IF(OR($C1632="",$X1632="Pago",$X1632="Recebido",$X1632="Cancelado"),"",$C1632-TODAY())</f>
        <v/>
      </c>
      <c r="AJ1632" s="24">
        <f>IF(OR($C1632="",$X1632="Pago",$X1632="Recebido",$X1632="Cancelado"),0,MAX(0,TODAY()-$C1632))</f>
        <v/>
      </c>
      <c r="AK1632" s="24">
        <f>IF($D1632="","",$D1632-$B1632)</f>
        <v/>
      </c>
      <c r="AL1632" s="18">
        <f>IF(OR($D1632="",$B1632=""),"",ROUND(N($R1632)*($D1632-$B1632),2))</f>
        <v/>
      </c>
      <c r="AM1632" s="17">
        <f>IF(AND($E1632="Saída",$W1632&gt;0,$C1632&lt;&gt;""),$C1632+ROW()/1000000,"")</f>
        <v/>
      </c>
      <c r="AN1632" s="17">
        <f>IF(AND($E1632="Entrada",$W1632&gt;0,$C1632&lt;&gt;""),$C1632+ROW()/1000000,"")</f>
        <v/>
      </c>
      <c r="AO1632" s="9">
        <f>IF(COUNTA($B1632:$R1632)=0,"",IF(AND($I1632&lt;&gt;"",COUNTIF(CLIENTES_NOMES,$I1632)+COUNTIF(CLIENTES_FANTASIA,$I1632)+COUNTIF(FORNECEDORES_NOMES,$I1632)+COUNTIF(FORNECEDORES_FANTASIA,$I1632)=0),"⚠ Cliente/Fornecedor não cadastrado",IF(AND($G1632&lt;&gt;"",COUNTIF(SUBCATEGORIAS_PLANO,$G1632)=0),"⚠ Subcategoria fora do plano de contas",IF(OR($Q1632="",N($Q1632)=0),"⚠ Valor previsto não informado",IF(AND(OR($X1632="Pago",$X1632="Recebido"),$D1632=""),"⚠ Status pago/recebido sem data",IF(AND($D1632&lt;&gt;"",N($R1632)=0),"⚠ Data de pagamento sem valor realizado",IF(AND(N($P1632)&gt;1,N($O1632)&gt;N($P1632)),"⚠ Nº da parcela maior que o total",IF(AND($C1632&lt;&gt;"",$B1632&lt;&gt;"",$C1632&lt;$B1632),"⚠ Vencimento anterior à competência","OK"))))))))</f>
        <v/>
      </c>
    </row>
    <row r="1633">
      <c r="A1633" s="14" t="n"/>
      <c r="B1633" s="36" t="n"/>
      <c r="C1633" s="36" t="n"/>
      <c r="D1633" s="36" t="n"/>
      <c r="E1633" s="14" t="n"/>
      <c r="F1633" s="29" t="n"/>
      <c r="G1633" s="29" t="n"/>
      <c r="H1633" s="29" t="n"/>
      <c r="I1633" s="29" t="n"/>
      <c r="J1633" s="29" t="n"/>
      <c r="K1633" s="14" t="n"/>
      <c r="L1633" s="29" t="n"/>
      <c r="M1633" s="14" t="n"/>
      <c r="N1633" s="29" t="n"/>
      <c r="O1633" s="13" t="n"/>
      <c r="P1633" s="13" t="n"/>
      <c r="Q1633" s="35" t="n"/>
      <c r="R1633" s="35" t="n"/>
      <c r="S1633" s="35" t="n"/>
      <c r="T1633" s="35" t="n"/>
      <c r="U1633" s="35" t="n"/>
      <c r="V1633" s="18">
        <f>IF(COUNTA($B1633:$R1633)=0,"",ROUND(N($R1633)+N($S1633)+N($T1633)-N($U1633),2))</f>
        <v/>
      </c>
      <c r="W1633" s="18">
        <f>IF(COUNTA($B1633:$R1633)=0,"",IF(OR($X1633="Pago",$X1633="Recebido",$X1633="Cancelado"),0,ROUND(N($Q1633)+N($S1633)+N($T1633)-N($U1633)-N($R1633),2)))</f>
        <v/>
      </c>
      <c r="X1633" s="14" t="n"/>
      <c r="Y1633" s="17">
        <f>IF(COUNTA($B1633:$R1633)=0,"",IF($X1633="Cancelado","Cancelado",IF(OR($X1633="Pago",$X1633="Recebido"),$X1633,IF(OR($X1633="Parcial",N($R1633)&gt;0),"Parcial",IF($C1633="","Sem vencimento",IF($C1633&lt;TODAY(),"Vencido",IF($C1633=TODAY(),"Vence hoje",IF($C1633&lt;=TODAY()+7,"Vence em 7 dias",IF($C1633&lt;=TODAY()+30,"Vence em 30 dias","Futuro")))))))))</f>
        <v/>
      </c>
      <c r="Z1633" s="24">
        <f>IF($B1633="","",MONTH($B1633))</f>
        <v/>
      </c>
      <c r="AA1633" s="24">
        <f>IF($B1633="","",YEAR($B1633))</f>
        <v/>
      </c>
      <c r="AB1633" s="24">
        <f>IF($B1633="","",ISOWEEKNUM($B1633))</f>
        <v/>
      </c>
      <c r="AC1633" s="17">
        <f>IF($B1633="","",CHOOSE(WEEKDAY($B1633,2),"Segunda","Terça","Quarta","Quinta","Sexta","Sábado","Domingo"))</f>
        <v/>
      </c>
      <c r="AD1633" s="17">
        <f>IF($B1633="","",TEXT($B1633,"MM/AAAA"))</f>
        <v/>
      </c>
      <c r="AE1633" s="18">
        <f>IF(COUNTA($B1633:$R1633)=0,"",IF($X1633="Cancelado",0,ROUND(N($Q1633)+N($S1633)+N($T1633)-N($U1633),2)))</f>
        <v/>
      </c>
      <c r="AF1633" s="9">
        <f>IF($G1633="","",IFERROR(INDEX(LINHAS_DRE_PLANO,MATCH($G1633,SUBCATEGORIAS_PLANO,0)),"Não classificado"))</f>
        <v/>
      </c>
      <c r="AG1633" s="17">
        <f>IF($G1633="","",IFERROR(INDEX(TIPOS_FLUXO_PLANO,MATCH($G1633,SUBCATEGORIAS_PLANO,0)),"Não classificado"))</f>
        <v/>
      </c>
      <c r="AH1633" s="9">
        <f>IF($G1633="","",IFERROR(INDEX(GRUPOS_PLANO,MATCH($G1633,SUBCATEGORIAS_PLANO,0)),"Não classificado"))</f>
        <v/>
      </c>
      <c r="AI1633" s="24">
        <f>IF(OR($C1633="",$X1633="Pago",$X1633="Recebido",$X1633="Cancelado"),"",$C1633-TODAY())</f>
        <v/>
      </c>
      <c r="AJ1633" s="24">
        <f>IF(OR($C1633="",$X1633="Pago",$X1633="Recebido",$X1633="Cancelado"),0,MAX(0,TODAY()-$C1633))</f>
        <v/>
      </c>
      <c r="AK1633" s="24">
        <f>IF($D1633="","",$D1633-$B1633)</f>
        <v/>
      </c>
      <c r="AL1633" s="18">
        <f>IF(OR($D1633="",$B1633=""),"",ROUND(N($R1633)*($D1633-$B1633),2))</f>
        <v/>
      </c>
      <c r="AM1633" s="17">
        <f>IF(AND($E1633="Saída",$W1633&gt;0,$C1633&lt;&gt;""),$C1633+ROW()/1000000,"")</f>
        <v/>
      </c>
      <c r="AN1633" s="17">
        <f>IF(AND($E1633="Entrada",$W1633&gt;0,$C1633&lt;&gt;""),$C1633+ROW()/1000000,"")</f>
        <v/>
      </c>
      <c r="AO1633" s="9">
        <f>IF(COUNTA($B1633:$R1633)=0,"",IF(AND($I1633&lt;&gt;"",COUNTIF(CLIENTES_NOMES,$I1633)+COUNTIF(CLIENTES_FANTASIA,$I1633)+COUNTIF(FORNECEDORES_NOMES,$I1633)+COUNTIF(FORNECEDORES_FANTASIA,$I1633)=0),"⚠ Cliente/Fornecedor não cadastrado",IF(AND($G1633&lt;&gt;"",COUNTIF(SUBCATEGORIAS_PLANO,$G1633)=0),"⚠ Subcategoria fora do plano de contas",IF(OR($Q1633="",N($Q1633)=0),"⚠ Valor previsto não informado",IF(AND(OR($X1633="Pago",$X1633="Recebido"),$D1633=""),"⚠ Status pago/recebido sem data",IF(AND($D1633&lt;&gt;"",N($R1633)=0),"⚠ Data de pagamento sem valor realizado",IF(AND(N($P1633)&gt;1,N($O1633)&gt;N($P1633)),"⚠ Nº da parcela maior que o total",IF(AND($C1633&lt;&gt;"",$B1633&lt;&gt;"",$C1633&lt;$B1633),"⚠ Vencimento anterior à competência","OK"))))))))</f>
        <v/>
      </c>
    </row>
    <row r="1634">
      <c r="A1634" s="14" t="n"/>
      <c r="B1634" s="36" t="n"/>
      <c r="C1634" s="36" t="n"/>
      <c r="D1634" s="36" t="n"/>
      <c r="E1634" s="14" t="n"/>
      <c r="F1634" s="29" t="n"/>
      <c r="G1634" s="29" t="n"/>
      <c r="H1634" s="29" t="n"/>
      <c r="I1634" s="29" t="n"/>
      <c r="J1634" s="29" t="n"/>
      <c r="K1634" s="14" t="n"/>
      <c r="L1634" s="29" t="n"/>
      <c r="M1634" s="14" t="n"/>
      <c r="N1634" s="29" t="n"/>
      <c r="O1634" s="13" t="n"/>
      <c r="P1634" s="13" t="n"/>
      <c r="Q1634" s="35" t="n"/>
      <c r="R1634" s="35" t="n"/>
      <c r="S1634" s="35" t="n"/>
      <c r="T1634" s="35" t="n"/>
      <c r="U1634" s="35" t="n"/>
      <c r="V1634" s="18">
        <f>IF(COUNTA($B1634:$R1634)=0,"",ROUND(N($R1634)+N($S1634)+N($T1634)-N($U1634),2))</f>
        <v/>
      </c>
      <c r="W1634" s="18">
        <f>IF(COUNTA($B1634:$R1634)=0,"",IF(OR($X1634="Pago",$X1634="Recebido",$X1634="Cancelado"),0,ROUND(N($Q1634)+N($S1634)+N($T1634)-N($U1634)-N($R1634),2)))</f>
        <v/>
      </c>
      <c r="X1634" s="14" t="n"/>
      <c r="Y1634" s="17">
        <f>IF(COUNTA($B1634:$R1634)=0,"",IF($X1634="Cancelado","Cancelado",IF(OR($X1634="Pago",$X1634="Recebido"),$X1634,IF(OR($X1634="Parcial",N($R1634)&gt;0),"Parcial",IF($C1634="","Sem vencimento",IF($C1634&lt;TODAY(),"Vencido",IF($C1634=TODAY(),"Vence hoje",IF($C1634&lt;=TODAY()+7,"Vence em 7 dias",IF($C1634&lt;=TODAY()+30,"Vence em 30 dias","Futuro")))))))))</f>
        <v/>
      </c>
      <c r="Z1634" s="24">
        <f>IF($B1634="","",MONTH($B1634))</f>
        <v/>
      </c>
      <c r="AA1634" s="24">
        <f>IF($B1634="","",YEAR($B1634))</f>
        <v/>
      </c>
      <c r="AB1634" s="24">
        <f>IF($B1634="","",ISOWEEKNUM($B1634))</f>
        <v/>
      </c>
      <c r="AC1634" s="17">
        <f>IF($B1634="","",CHOOSE(WEEKDAY($B1634,2),"Segunda","Terça","Quarta","Quinta","Sexta","Sábado","Domingo"))</f>
        <v/>
      </c>
      <c r="AD1634" s="17">
        <f>IF($B1634="","",TEXT($B1634,"MM/AAAA"))</f>
        <v/>
      </c>
      <c r="AE1634" s="18">
        <f>IF(COUNTA($B1634:$R1634)=0,"",IF($X1634="Cancelado",0,ROUND(N($Q1634)+N($S1634)+N($T1634)-N($U1634),2)))</f>
        <v/>
      </c>
      <c r="AF1634" s="9">
        <f>IF($G1634="","",IFERROR(INDEX(LINHAS_DRE_PLANO,MATCH($G1634,SUBCATEGORIAS_PLANO,0)),"Não classificado"))</f>
        <v/>
      </c>
      <c r="AG1634" s="17">
        <f>IF($G1634="","",IFERROR(INDEX(TIPOS_FLUXO_PLANO,MATCH($G1634,SUBCATEGORIAS_PLANO,0)),"Não classificado"))</f>
        <v/>
      </c>
      <c r="AH1634" s="9">
        <f>IF($G1634="","",IFERROR(INDEX(GRUPOS_PLANO,MATCH($G1634,SUBCATEGORIAS_PLANO,0)),"Não classificado"))</f>
        <v/>
      </c>
      <c r="AI1634" s="24">
        <f>IF(OR($C1634="",$X1634="Pago",$X1634="Recebido",$X1634="Cancelado"),"",$C1634-TODAY())</f>
        <v/>
      </c>
      <c r="AJ1634" s="24">
        <f>IF(OR($C1634="",$X1634="Pago",$X1634="Recebido",$X1634="Cancelado"),0,MAX(0,TODAY()-$C1634))</f>
        <v/>
      </c>
      <c r="AK1634" s="24">
        <f>IF($D1634="","",$D1634-$B1634)</f>
        <v/>
      </c>
      <c r="AL1634" s="18">
        <f>IF(OR($D1634="",$B1634=""),"",ROUND(N($R1634)*($D1634-$B1634),2))</f>
        <v/>
      </c>
      <c r="AM1634" s="17">
        <f>IF(AND($E1634="Saída",$W1634&gt;0,$C1634&lt;&gt;""),$C1634+ROW()/1000000,"")</f>
        <v/>
      </c>
      <c r="AN1634" s="17">
        <f>IF(AND($E1634="Entrada",$W1634&gt;0,$C1634&lt;&gt;""),$C1634+ROW()/1000000,"")</f>
        <v/>
      </c>
      <c r="AO1634" s="9">
        <f>IF(COUNTA($B1634:$R1634)=0,"",IF(AND($I1634&lt;&gt;"",COUNTIF(CLIENTES_NOMES,$I1634)+COUNTIF(CLIENTES_FANTASIA,$I1634)+COUNTIF(FORNECEDORES_NOMES,$I1634)+COUNTIF(FORNECEDORES_FANTASIA,$I1634)=0),"⚠ Cliente/Fornecedor não cadastrado",IF(AND($G1634&lt;&gt;"",COUNTIF(SUBCATEGORIAS_PLANO,$G1634)=0),"⚠ Subcategoria fora do plano de contas",IF(OR($Q1634="",N($Q1634)=0),"⚠ Valor previsto não informado",IF(AND(OR($X1634="Pago",$X1634="Recebido"),$D1634=""),"⚠ Status pago/recebido sem data",IF(AND($D1634&lt;&gt;"",N($R1634)=0),"⚠ Data de pagamento sem valor realizado",IF(AND(N($P1634)&gt;1,N($O1634)&gt;N($P1634)),"⚠ Nº da parcela maior que o total",IF(AND($C1634&lt;&gt;"",$B1634&lt;&gt;"",$C1634&lt;$B1634),"⚠ Vencimento anterior à competência","OK"))))))))</f>
        <v/>
      </c>
    </row>
    <row r="1635">
      <c r="A1635" s="14" t="n"/>
      <c r="B1635" s="36" t="n"/>
      <c r="C1635" s="36" t="n"/>
      <c r="D1635" s="36" t="n"/>
      <c r="E1635" s="14" t="n"/>
      <c r="F1635" s="29" t="n"/>
      <c r="G1635" s="29" t="n"/>
      <c r="H1635" s="29" t="n"/>
      <c r="I1635" s="29" t="n"/>
      <c r="J1635" s="29" t="n"/>
      <c r="K1635" s="14" t="n"/>
      <c r="L1635" s="29" t="n"/>
      <c r="M1635" s="14" t="n"/>
      <c r="N1635" s="29" t="n"/>
      <c r="O1635" s="13" t="n"/>
      <c r="P1635" s="13" t="n"/>
      <c r="Q1635" s="35" t="n"/>
      <c r="R1635" s="35" t="n"/>
      <c r="S1635" s="35" t="n"/>
      <c r="T1635" s="35" t="n"/>
      <c r="U1635" s="35" t="n"/>
      <c r="V1635" s="18">
        <f>IF(COUNTA($B1635:$R1635)=0,"",ROUND(N($R1635)+N($S1635)+N($T1635)-N($U1635),2))</f>
        <v/>
      </c>
      <c r="W1635" s="18">
        <f>IF(COUNTA($B1635:$R1635)=0,"",IF(OR($X1635="Pago",$X1635="Recebido",$X1635="Cancelado"),0,ROUND(N($Q1635)+N($S1635)+N($T1635)-N($U1635)-N($R1635),2)))</f>
        <v/>
      </c>
      <c r="X1635" s="14" t="n"/>
      <c r="Y1635" s="17">
        <f>IF(COUNTA($B1635:$R1635)=0,"",IF($X1635="Cancelado","Cancelado",IF(OR($X1635="Pago",$X1635="Recebido"),$X1635,IF(OR($X1635="Parcial",N($R1635)&gt;0),"Parcial",IF($C1635="","Sem vencimento",IF($C1635&lt;TODAY(),"Vencido",IF($C1635=TODAY(),"Vence hoje",IF($C1635&lt;=TODAY()+7,"Vence em 7 dias",IF($C1635&lt;=TODAY()+30,"Vence em 30 dias","Futuro")))))))))</f>
        <v/>
      </c>
      <c r="Z1635" s="24">
        <f>IF($B1635="","",MONTH($B1635))</f>
        <v/>
      </c>
      <c r="AA1635" s="24">
        <f>IF($B1635="","",YEAR($B1635))</f>
        <v/>
      </c>
      <c r="AB1635" s="24">
        <f>IF($B1635="","",ISOWEEKNUM($B1635))</f>
        <v/>
      </c>
      <c r="AC1635" s="17">
        <f>IF($B1635="","",CHOOSE(WEEKDAY($B1635,2),"Segunda","Terça","Quarta","Quinta","Sexta","Sábado","Domingo"))</f>
        <v/>
      </c>
      <c r="AD1635" s="17">
        <f>IF($B1635="","",TEXT($B1635,"MM/AAAA"))</f>
        <v/>
      </c>
      <c r="AE1635" s="18">
        <f>IF(COUNTA($B1635:$R1635)=0,"",IF($X1635="Cancelado",0,ROUND(N($Q1635)+N($S1635)+N($T1635)-N($U1635),2)))</f>
        <v/>
      </c>
      <c r="AF1635" s="9">
        <f>IF($G1635="","",IFERROR(INDEX(LINHAS_DRE_PLANO,MATCH($G1635,SUBCATEGORIAS_PLANO,0)),"Não classificado"))</f>
        <v/>
      </c>
      <c r="AG1635" s="17">
        <f>IF($G1635="","",IFERROR(INDEX(TIPOS_FLUXO_PLANO,MATCH($G1635,SUBCATEGORIAS_PLANO,0)),"Não classificado"))</f>
        <v/>
      </c>
      <c r="AH1635" s="9">
        <f>IF($G1635="","",IFERROR(INDEX(GRUPOS_PLANO,MATCH($G1635,SUBCATEGORIAS_PLANO,0)),"Não classificado"))</f>
        <v/>
      </c>
      <c r="AI1635" s="24">
        <f>IF(OR($C1635="",$X1635="Pago",$X1635="Recebido",$X1635="Cancelado"),"",$C1635-TODAY())</f>
        <v/>
      </c>
      <c r="AJ1635" s="24">
        <f>IF(OR($C1635="",$X1635="Pago",$X1635="Recebido",$X1635="Cancelado"),0,MAX(0,TODAY()-$C1635))</f>
        <v/>
      </c>
      <c r="AK1635" s="24">
        <f>IF($D1635="","",$D1635-$B1635)</f>
        <v/>
      </c>
      <c r="AL1635" s="18">
        <f>IF(OR($D1635="",$B1635=""),"",ROUND(N($R1635)*($D1635-$B1635),2))</f>
        <v/>
      </c>
      <c r="AM1635" s="17">
        <f>IF(AND($E1635="Saída",$W1635&gt;0,$C1635&lt;&gt;""),$C1635+ROW()/1000000,"")</f>
        <v/>
      </c>
      <c r="AN1635" s="17">
        <f>IF(AND($E1635="Entrada",$W1635&gt;0,$C1635&lt;&gt;""),$C1635+ROW()/1000000,"")</f>
        <v/>
      </c>
      <c r="AO1635" s="9">
        <f>IF(COUNTA($B1635:$R1635)=0,"",IF(AND($I1635&lt;&gt;"",COUNTIF(CLIENTES_NOMES,$I1635)+COUNTIF(CLIENTES_FANTASIA,$I1635)+COUNTIF(FORNECEDORES_NOMES,$I1635)+COUNTIF(FORNECEDORES_FANTASIA,$I1635)=0),"⚠ Cliente/Fornecedor não cadastrado",IF(AND($G1635&lt;&gt;"",COUNTIF(SUBCATEGORIAS_PLANO,$G1635)=0),"⚠ Subcategoria fora do plano de contas",IF(OR($Q1635="",N($Q1635)=0),"⚠ Valor previsto não informado",IF(AND(OR($X1635="Pago",$X1635="Recebido"),$D1635=""),"⚠ Status pago/recebido sem data",IF(AND($D1635&lt;&gt;"",N($R1635)=0),"⚠ Data de pagamento sem valor realizado",IF(AND(N($P1635)&gt;1,N($O1635)&gt;N($P1635)),"⚠ Nº da parcela maior que o total",IF(AND($C1635&lt;&gt;"",$B1635&lt;&gt;"",$C1635&lt;$B1635),"⚠ Vencimento anterior à competência","OK"))))))))</f>
        <v/>
      </c>
    </row>
    <row r="1636">
      <c r="A1636" s="14" t="n"/>
      <c r="B1636" s="36" t="n"/>
      <c r="C1636" s="36" t="n"/>
      <c r="D1636" s="36" t="n"/>
      <c r="E1636" s="14" t="n"/>
      <c r="F1636" s="29" t="n"/>
      <c r="G1636" s="29" t="n"/>
      <c r="H1636" s="29" t="n"/>
      <c r="I1636" s="29" t="n"/>
      <c r="J1636" s="29" t="n"/>
      <c r="K1636" s="14" t="n"/>
      <c r="L1636" s="29" t="n"/>
      <c r="M1636" s="14" t="n"/>
      <c r="N1636" s="29" t="n"/>
      <c r="O1636" s="13" t="n"/>
      <c r="P1636" s="13" t="n"/>
      <c r="Q1636" s="35" t="n"/>
      <c r="R1636" s="35" t="n"/>
      <c r="S1636" s="35" t="n"/>
      <c r="T1636" s="35" t="n"/>
      <c r="U1636" s="35" t="n"/>
      <c r="V1636" s="18">
        <f>IF(COUNTA($B1636:$R1636)=0,"",ROUND(N($R1636)+N($S1636)+N($T1636)-N($U1636),2))</f>
        <v/>
      </c>
      <c r="W1636" s="18">
        <f>IF(COUNTA($B1636:$R1636)=0,"",IF(OR($X1636="Pago",$X1636="Recebido",$X1636="Cancelado"),0,ROUND(N($Q1636)+N($S1636)+N($T1636)-N($U1636)-N($R1636),2)))</f>
        <v/>
      </c>
      <c r="X1636" s="14" t="n"/>
      <c r="Y1636" s="17">
        <f>IF(COUNTA($B1636:$R1636)=0,"",IF($X1636="Cancelado","Cancelado",IF(OR($X1636="Pago",$X1636="Recebido"),$X1636,IF(OR($X1636="Parcial",N($R1636)&gt;0),"Parcial",IF($C1636="","Sem vencimento",IF($C1636&lt;TODAY(),"Vencido",IF($C1636=TODAY(),"Vence hoje",IF($C1636&lt;=TODAY()+7,"Vence em 7 dias",IF($C1636&lt;=TODAY()+30,"Vence em 30 dias","Futuro")))))))))</f>
        <v/>
      </c>
      <c r="Z1636" s="24">
        <f>IF($B1636="","",MONTH($B1636))</f>
        <v/>
      </c>
      <c r="AA1636" s="24">
        <f>IF($B1636="","",YEAR($B1636))</f>
        <v/>
      </c>
      <c r="AB1636" s="24">
        <f>IF($B1636="","",ISOWEEKNUM($B1636))</f>
        <v/>
      </c>
      <c r="AC1636" s="17">
        <f>IF($B1636="","",CHOOSE(WEEKDAY($B1636,2),"Segunda","Terça","Quarta","Quinta","Sexta","Sábado","Domingo"))</f>
        <v/>
      </c>
      <c r="AD1636" s="17">
        <f>IF($B1636="","",TEXT($B1636,"MM/AAAA"))</f>
        <v/>
      </c>
      <c r="AE1636" s="18">
        <f>IF(COUNTA($B1636:$R1636)=0,"",IF($X1636="Cancelado",0,ROUND(N($Q1636)+N($S1636)+N($T1636)-N($U1636),2)))</f>
        <v/>
      </c>
      <c r="AF1636" s="9">
        <f>IF($G1636="","",IFERROR(INDEX(LINHAS_DRE_PLANO,MATCH($G1636,SUBCATEGORIAS_PLANO,0)),"Não classificado"))</f>
        <v/>
      </c>
      <c r="AG1636" s="17">
        <f>IF($G1636="","",IFERROR(INDEX(TIPOS_FLUXO_PLANO,MATCH($G1636,SUBCATEGORIAS_PLANO,0)),"Não classificado"))</f>
        <v/>
      </c>
      <c r="AH1636" s="9">
        <f>IF($G1636="","",IFERROR(INDEX(GRUPOS_PLANO,MATCH($G1636,SUBCATEGORIAS_PLANO,0)),"Não classificado"))</f>
        <v/>
      </c>
      <c r="AI1636" s="24">
        <f>IF(OR($C1636="",$X1636="Pago",$X1636="Recebido",$X1636="Cancelado"),"",$C1636-TODAY())</f>
        <v/>
      </c>
      <c r="AJ1636" s="24">
        <f>IF(OR($C1636="",$X1636="Pago",$X1636="Recebido",$X1636="Cancelado"),0,MAX(0,TODAY()-$C1636))</f>
        <v/>
      </c>
      <c r="AK1636" s="24">
        <f>IF($D1636="","",$D1636-$B1636)</f>
        <v/>
      </c>
      <c r="AL1636" s="18">
        <f>IF(OR($D1636="",$B1636=""),"",ROUND(N($R1636)*($D1636-$B1636),2))</f>
        <v/>
      </c>
      <c r="AM1636" s="17">
        <f>IF(AND($E1636="Saída",$W1636&gt;0,$C1636&lt;&gt;""),$C1636+ROW()/1000000,"")</f>
        <v/>
      </c>
      <c r="AN1636" s="17">
        <f>IF(AND($E1636="Entrada",$W1636&gt;0,$C1636&lt;&gt;""),$C1636+ROW()/1000000,"")</f>
        <v/>
      </c>
      <c r="AO1636" s="9">
        <f>IF(COUNTA($B1636:$R1636)=0,"",IF(AND($I1636&lt;&gt;"",COUNTIF(CLIENTES_NOMES,$I1636)+COUNTIF(CLIENTES_FANTASIA,$I1636)+COUNTIF(FORNECEDORES_NOMES,$I1636)+COUNTIF(FORNECEDORES_FANTASIA,$I1636)=0),"⚠ Cliente/Fornecedor não cadastrado",IF(AND($G1636&lt;&gt;"",COUNTIF(SUBCATEGORIAS_PLANO,$G1636)=0),"⚠ Subcategoria fora do plano de contas",IF(OR($Q1636="",N($Q1636)=0),"⚠ Valor previsto não informado",IF(AND(OR($X1636="Pago",$X1636="Recebido"),$D1636=""),"⚠ Status pago/recebido sem data",IF(AND($D1636&lt;&gt;"",N($R1636)=0),"⚠ Data de pagamento sem valor realizado",IF(AND(N($P1636)&gt;1,N($O1636)&gt;N($P1636)),"⚠ Nº da parcela maior que o total",IF(AND($C1636&lt;&gt;"",$B1636&lt;&gt;"",$C1636&lt;$B1636),"⚠ Vencimento anterior à competência","OK"))))))))</f>
        <v/>
      </c>
    </row>
    <row r="1637">
      <c r="A1637" s="14" t="n"/>
      <c r="B1637" s="36" t="n"/>
      <c r="C1637" s="36" t="n"/>
      <c r="D1637" s="36" t="n"/>
      <c r="E1637" s="14" t="n"/>
      <c r="F1637" s="29" t="n"/>
      <c r="G1637" s="29" t="n"/>
      <c r="H1637" s="29" t="n"/>
      <c r="I1637" s="29" t="n"/>
      <c r="J1637" s="29" t="n"/>
      <c r="K1637" s="14" t="n"/>
      <c r="L1637" s="29" t="n"/>
      <c r="M1637" s="14" t="n"/>
      <c r="N1637" s="29" t="n"/>
      <c r="O1637" s="13" t="n"/>
      <c r="P1637" s="13" t="n"/>
      <c r="Q1637" s="35" t="n"/>
      <c r="R1637" s="35" t="n"/>
      <c r="S1637" s="35" t="n"/>
      <c r="T1637" s="35" t="n"/>
      <c r="U1637" s="35" t="n"/>
      <c r="V1637" s="18">
        <f>IF(COUNTA($B1637:$R1637)=0,"",ROUND(N($R1637)+N($S1637)+N($T1637)-N($U1637),2))</f>
        <v/>
      </c>
      <c r="W1637" s="18">
        <f>IF(COUNTA($B1637:$R1637)=0,"",IF(OR($X1637="Pago",$X1637="Recebido",$X1637="Cancelado"),0,ROUND(N($Q1637)+N($S1637)+N($T1637)-N($U1637)-N($R1637),2)))</f>
        <v/>
      </c>
      <c r="X1637" s="14" t="n"/>
      <c r="Y1637" s="17">
        <f>IF(COUNTA($B1637:$R1637)=0,"",IF($X1637="Cancelado","Cancelado",IF(OR($X1637="Pago",$X1637="Recebido"),$X1637,IF(OR($X1637="Parcial",N($R1637)&gt;0),"Parcial",IF($C1637="","Sem vencimento",IF($C1637&lt;TODAY(),"Vencido",IF($C1637=TODAY(),"Vence hoje",IF($C1637&lt;=TODAY()+7,"Vence em 7 dias",IF($C1637&lt;=TODAY()+30,"Vence em 30 dias","Futuro")))))))))</f>
        <v/>
      </c>
      <c r="Z1637" s="24">
        <f>IF($B1637="","",MONTH($B1637))</f>
        <v/>
      </c>
      <c r="AA1637" s="24">
        <f>IF($B1637="","",YEAR($B1637))</f>
        <v/>
      </c>
      <c r="AB1637" s="24">
        <f>IF($B1637="","",ISOWEEKNUM($B1637))</f>
        <v/>
      </c>
      <c r="AC1637" s="17">
        <f>IF($B1637="","",CHOOSE(WEEKDAY($B1637,2),"Segunda","Terça","Quarta","Quinta","Sexta","Sábado","Domingo"))</f>
        <v/>
      </c>
      <c r="AD1637" s="17">
        <f>IF($B1637="","",TEXT($B1637,"MM/AAAA"))</f>
        <v/>
      </c>
      <c r="AE1637" s="18">
        <f>IF(COUNTA($B1637:$R1637)=0,"",IF($X1637="Cancelado",0,ROUND(N($Q1637)+N($S1637)+N($T1637)-N($U1637),2)))</f>
        <v/>
      </c>
      <c r="AF1637" s="9">
        <f>IF($G1637="","",IFERROR(INDEX(LINHAS_DRE_PLANO,MATCH($G1637,SUBCATEGORIAS_PLANO,0)),"Não classificado"))</f>
        <v/>
      </c>
      <c r="AG1637" s="17">
        <f>IF($G1637="","",IFERROR(INDEX(TIPOS_FLUXO_PLANO,MATCH($G1637,SUBCATEGORIAS_PLANO,0)),"Não classificado"))</f>
        <v/>
      </c>
      <c r="AH1637" s="9">
        <f>IF($G1637="","",IFERROR(INDEX(GRUPOS_PLANO,MATCH($G1637,SUBCATEGORIAS_PLANO,0)),"Não classificado"))</f>
        <v/>
      </c>
      <c r="AI1637" s="24">
        <f>IF(OR($C1637="",$X1637="Pago",$X1637="Recebido",$X1637="Cancelado"),"",$C1637-TODAY())</f>
        <v/>
      </c>
      <c r="AJ1637" s="24">
        <f>IF(OR($C1637="",$X1637="Pago",$X1637="Recebido",$X1637="Cancelado"),0,MAX(0,TODAY()-$C1637))</f>
        <v/>
      </c>
      <c r="AK1637" s="24">
        <f>IF($D1637="","",$D1637-$B1637)</f>
        <v/>
      </c>
      <c r="AL1637" s="18">
        <f>IF(OR($D1637="",$B1637=""),"",ROUND(N($R1637)*($D1637-$B1637),2))</f>
        <v/>
      </c>
      <c r="AM1637" s="17">
        <f>IF(AND($E1637="Saída",$W1637&gt;0,$C1637&lt;&gt;""),$C1637+ROW()/1000000,"")</f>
        <v/>
      </c>
      <c r="AN1637" s="17">
        <f>IF(AND($E1637="Entrada",$W1637&gt;0,$C1637&lt;&gt;""),$C1637+ROW()/1000000,"")</f>
        <v/>
      </c>
      <c r="AO1637" s="9">
        <f>IF(COUNTA($B1637:$R1637)=0,"",IF(AND($I1637&lt;&gt;"",COUNTIF(CLIENTES_NOMES,$I1637)+COUNTIF(CLIENTES_FANTASIA,$I1637)+COUNTIF(FORNECEDORES_NOMES,$I1637)+COUNTIF(FORNECEDORES_FANTASIA,$I1637)=0),"⚠ Cliente/Fornecedor não cadastrado",IF(AND($G1637&lt;&gt;"",COUNTIF(SUBCATEGORIAS_PLANO,$G1637)=0),"⚠ Subcategoria fora do plano de contas",IF(OR($Q1637="",N($Q1637)=0),"⚠ Valor previsto não informado",IF(AND(OR($X1637="Pago",$X1637="Recebido"),$D1637=""),"⚠ Status pago/recebido sem data",IF(AND($D1637&lt;&gt;"",N($R1637)=0),"⚠ Data de pagamento sem valor realizado",IF(AND(N($P1637)&gt;1,N($O1637)&gt;N($P1637)),"⚠ Nº da parcela maior que o total",IF(AND($C1637&lt;&gt;"",$B1637&lt;&gt;"",$C1637&lt;$B1637),"⚠ Vencimento anterior à competência","OK"))))))))</f>
        <v/>
      </c>
    </row>
    <row r="1638">
      <c r="A1638" s="14" t="n"/>
      <c r="B1638" s="36" t="n"/>
      <c r="C1638" s="36" t="n"/>
      <c r="D1638" s="36" t="n"/>
      <c r="E1638" s="14" t="n"/>
      <c r="F1638" s="29" t="n"/>
      <c r="G1638" s="29" t="n"/>
      <c r="H1638" s="29" t="n"/>
      <c r="I1638" s="29" t="n"/>
      <c r="J1638" s="29" t="n"/>
      <c r="K1638" s="14" t="n"/>
      <c r="L1638" s="29" t="n"/>
      <c r="M1638" s="14" t="n"/>
      <c r="N1638" s="29" t="n"/>
      <c r="O1638" s="13" t="n"/>
      <c r="P1638" s="13" t="n"/>
      <c r="Q1638" s="35" t="n"/>
      <c r="R1638" s="35" t="n"/>
      <c r="S1638" s="35" t="n"/>
      <c r="T1638" s="35" t="n"/>
      <c r="U1638" s="35" t="n"/>
      <c r="V1638" s="18">
        <f>IF(COUNTA($B1638:$R1638)=0,"",ROUND(N($R1638)+N($S1638)+N($T1638)-N($U1638),2))</f>
        <v/>
      </c>
      <c r="W1638" s="18">
        <f>IF(COUNTA($B1638:$R1638)=0,"",IF(OR($X1638="Pago",$X1638="Recebido",$X1638="Cancelado"),0,ROUND(N($Q1638)+N($S1638)+N($T1638)-N($U1638)-N($R1638),2)))</f>
        <v/>
      </c>
      <c r="X1638" s="14" t="n"/>
      <c r="Y1638" s="17">
        <f>IF(COUNTA($B1638:$R1638)=0,"",IF($X1638="Cancelado","Cancelado",IF(OR($X1638="Pago",$X1638="Recebido"),$X1638,IF(OR($X1638="Parcial",N($R1638)&gt;0),"Parcial",IF($C1638="","Sem vencimento",IF($C1638&lt;TODAY(),"Vencido",IF($C1638=TODAY(),"Vence hoje",IF($C1638&lt;=TODAY()+7,"Vence em 7 dias",IF($C1638&lt;=TODAY()+30,"Vence em 30 dias","Futuro")))))))))</f>
        <v/>
      </c>
      <c r="Z1638" s="24">
        <f>IF($B1638="","",MONTH($B1638))</f>
        <v/>
      </c>
      <c r="AA1638" s="24">
        <f>IF($B1638="","",YEAR($B1638))</f>
        <v/>
      </c>
      <c r="AB1638" s="24">
        <f>IF($B1638="","",ISOWEEKNUM($B1638))</f>
        <v/>
      </c>
      <c r="AC1638" s="17">
        <f>IF($B1638="","",CHOOSE(WEEKDAY($B1638,2),"Segunda","Terça","Quarta","Quinta","Sexta","Sábado","Domingo"))</f>
        <v/>
      </c>
      <c r="AD1638" s="17">
        <f>IF($B1638="","",TEXT($B1638,"MM/AAAA"))</f>
        <v/>
      </c>
      <c r="AE1638" s="18">
        <f>IF(COUNTA($B1638:$R1638)=0,"",IF($X1638="Cancelado",0,ROUND(N($Q1638)+N($S1638)+N($T1638)-N($U1638),2)))</f>
        <v/>
      </c>
      <c r="AF1638" s="9">
        <f>IF($G1638="","",IFERROR(INDEX(LINHAS_DRE_PLANO,MATCH($G1638,SUBCATEGORIAS_PLANO,0)),"Não classificado"))</f>
        <v/>
      </c>
      <c r="AG1638" s="17">
        <f>IF($G1638="","",IFERROR(INDEX(TIPOS_FLUXO_PLANO,MATCH($G1638,SUBCATEGORIAS_PLANO,0)),"Não classificado"))</f>
        <v/>
      </c>
      <c r="AH1638" s="9">
        <f>IF($G1638="","",IFERROR(INDEX(GRUPOS_PLANO,MATCH($G1638,SUBCATEGORIAS_PLANO,0)),"Não classificado"))</f>
        <v/>
      </c>
      <c r="AI1638" s="24">
        <f>IF(OR($C1638="",$X1638="Pago",$X1638="Recebido",$X1638="Cancelado"),"",$C1638-TODAY())</f>
        <v/>
      </c>
      <c r="AJ1638" s="24">
        <f>IF(OR($C1638="",$X1638="Pago",$X1638="Recebido",$X1638="Cancelado"),0,MAX(0,TODAY()-$C1638))</f>
        <v/>
      </c>
      <c r="AK1638" s="24">
        <f>IF($D1638="","",$D1638-$B1638)</f>
        <v/>
      </c>
      <c r="AL1638" s="18">
        <f>IF(OR($D1638="",$B1638=""),"",ROUND(N($R1638)*($D1638-$B1638),2))</f>
        <v/>
      </c>
      <c r="AM1638" s="17">
        <f>IF(AND($E1638="Saída",$W1638&gt;0,$C1638&lt;&gt;""),$C1638+ROW()/1000000,"")</f>
        <v/>
      </c>
      <c r="AN1638" s="17">
        <f>IF(AND($E1638="Entrada",$W1638&gt;0,$C1638&lt;&gt;""),$C1638+ROW()/1000000,"")</f>
        <v/>
      </c>
      <c r="AO1638" s="9">
        <f>IF(COUNTA($B1638:$R1638)=0,"",IF(AND($I1638&lt;&gt;"",COUNTIF(CLIENTES_NOMES,$I1638)+COUNTIF(CLIENTES_FANTASIA,$I1638)+COUNTIF(FORNECEDORES_NOMES,$I1638)+COUNTIF(FORNECEDORES_FANTASIA,$I1638)=0),"⚠ Cliente/Fornecedor não cadastrado",IF(AND($G1638&lt;&gt;"",COUNTIF(SUBCATEGORIAS_PLANO,$G1638)=0),"⚠ Subcategoria fora do plano de contas",IF(OR($Q1638="",N($Q1638)=0),"⚠ Valor previsto não informado",IF(AND(OR($X1638="Pago",$X1638="Recebido"),$D1638=""),"⚠ Status pago/recebido sem data",IF(AND($D1638&lt;&gt;"",N($R1638)=0),"⚠ Data de pagamento sem valor realizado",IF(AND(N($P1638)&gt;1,N($O1638)&gt;N($P1638)),"⚠ Nº da parcela maior que o total",IF(AND($C1638&lt;&gt;"",$B1638&lt;&gt;"",$C1638&lt;$B1638),"⚠ Vencimento anterior à competência","OK"))))))))</f>
        <v/>
      </c>
    </row>
    <row r="1639">
      <c r="A1639" s="14" t="n"/>
      <c r="B1639" s="36" t="n"/>
      <c r="C1639" s="36" t="n"/>
      <c r="D1639" s="36" t="n"/>
      <c r="E1639" s="14" t="n"/>
      <c r="F1639" s="29" t="n"/>
      <c r="G1639" s="29" t="n"/>
      <c r="H1639" s="29" t="n"/>
      <c r="I1639" s="29" t="n"/>
      <c r="J1639" s="29" t="n"/>
      <c r="K1639" s="14" t="n"/>
      <c r="L1639" s="29" t="n"/>
      <c r="M1639" s="14" t="n"/>
      <c r="N1639" s="29" t="n"/>
      <c r="O1639" s="13" t="n"/>
      <c r="P1639" s="13" t="n"/>
      <c r="Q1639" s="35" t="n"/>
      <c r="R1639" s="35" t="n"/>
      <c r="S1639" s="35" t="n"/>
      <c r="T1639" s="35" t="n"/>
      <c r="U1639" s="35" t="n"/>
      <c r="V1639" s="18">
        <f>IF(COUNTA($B1639:$R1639)=0,"",ROUND(N($R1639)+N($S1639)+N($T1639)-N($U1639),2))</f>
        <v/>
      </c>
      <c r="W1639" s="18">
        <f>IF(COUNTA($B1639:$R1639)=0,"",IF(OR($X1639="Pago",$X1639="Recebido",$X1639="Cancelado"),0,ROUND(N($Q1639)+N($S1639)+N($T1639)-N($U1639)-N($R1639),2)))</f>
        <v/>
      </c>
      <c r="X1639" s="14" t="n"/>
      <c r="Y1639" s="17">
        <f>IF(COUNTA($B1639:$R1639)=0,"",IF($X1639="Cancelado","Cancelado",IF(OR($X1639="Pago",$X1639="Recebido"),$X1639,IF(OR($X1639="Parcial",N($R1639)&gt;0),"Parcial",IF($C1639="","Sem vencimento",IF($C1639&lt;TODAY(),"Vencido",IF($C1639=TODAY(),"Vence hoje",IF($C1639&lt;=TODAY()+7,"Vence em 7 dias",IF($C1639&lt;=TODAY()+30,"Vence em 30 dias","Futuro")))))))))</f>
        <v/>
      </c>
      <c r="Z1639" s="24">
        <f>IF($B1639="","",MONTH($B1639))</f>
        <v/>
      </c>
      <c r="AA1639" s="24">
        <f>IF($B1639="","",YEAR($B1639))</f>
        <v/>
      </c>
      <c r="AB1639" s="24">
        <f>IF($B1639="","",ISOWEEKNUM($B1639))</f>
        <v/>
      </c>
      <c r="AC1639" s="17">
        <f>IF($B1639="","",CHOOSE(WEEKDAY($B1639,2),"Segunda","Terça","Quarta","Quinta","Sexta","Sábado","Domingo"))</f>
        <v/>
      </c>
      <c r="AD1639" s="17">
        <f>IF($B1639="","",TEXT($B1639,"MM/AAAA"))</f>
        <v/>
      </c>
      <c r="AE1639" s="18">
        <f>IF(COUNTA($B1639:$R1639)=0,"",IF($X1639="Cancelado",0,ROUND(N($Q1639)+N($S1639)+N($T1639)-N($U1639),2)))</f>
        <v/>
      </c>
      <c r="AF1639" s="9">
        <f>IF($G1639="","",IFERROR(INDEX(LINHAS_DRE_PLANO,MATCH($G1639,SUBCATEGORIAS_PLANO,0)),"Não classificado"))</f>
        <v/>
      </c>
      <c r="AG1639" s="17">
        <f>IF($G1639="","",IFERROR(INDEX(TIPOS_FLUXO_PLANO,MATCH($G1639,SUBCATEGORIAS_PLANO,0)),"Não classificado"))</f>
        <v/>
      </c>
      <c r="AH1639" s="9">
        <f>IF($G1639="","",IFERROR(INDEX(GRUPOS_PLANO,MATCH($G1639,SUBCATEGORIAS_PLANO,0)),"Não classificado"))</f>
        <v/>
      </c>
      <c r="AI1639" s="24">
        <f>IF(OR($C1639="",$X1639="Pago",$X1639="Recebido",$X1639="Cancelado"),"",$C1639-TODAY())</f>
        <v/>
      </c>
      <c r="AJ1639" s="24">
        <f>IF(OR($C1639="",$X1639="Pago",$X1639="Recebido",$X1639="Cancelado"),0,MAX(0,TODAY()-$C1639))</f>
        <v/>
      </c>
      <c r="AK1639" s="24">
        <f>IF($D1639="","",$D1639-$B1639)</f>
        <v/>
      </c>
      <c r="AL1639" s="18">
        <f>IF(OR($D1639="",$B1639=""),"",ROUND(N($R1639)*($D1639-$B1639),2))</f>
        <v/>
      </c>
      <c r="AM1639" s="17">
        <f>IF(AND($E1639="Saída",$W1639&gt;0,$C1639&lt;&gt;""),$C1639+ROW()/1000000,"")</f>
        <v/>
      </c>
      <c r="AN1639" s="17">
        <f>IF(AND($E1639="Entrada",$W1639&gt;0,$C1639&lt;&gt;""),$C1639+ROW()/1000000,"")</f>
        <v/>
      </c>
      <c r="AO1639" s="9">
        <f>IF(COUNTA($B1639:$R1639)=0,"",IF(AND($I1639&lt;&gt;"",COUNTIF(CLIENTES_NOMES,$I1639)+COUNTIF(CLIENTES_FANTASIA,$I1639)+COUNTIF(FORNECEDORES_NOMES,$I1639)+COUNTIF(FORNECEDORES_FANTASIA,$I1639)=0),"⚠ Cliente/Fornecedor não cadastrado",IF(AND($G1639&lt;&gt;"",COUNTIF(SUBCATEGORIAS_PLANO,$G1639)=0),"⚠ Subcategoria fora do plano de contas",IF(OR($Q1639="",N($Q1639)=0),"⚠ Valor previsto não informado",IF(AND(OR($X1639="Pago",$X1639="Recebido"),$D1639=""),"⚠ Status pago/recebido sem data",IF(AND($D1639&lt;&gt;"",N($R1639)=0),"⚠ Data de pagamento sem valor realizado",IF(AND(N($P1639)&gt;1,N($O1639)&gt;N($P1639)),"⚠ Nº da parcela maior que o total",IF(AND($C1639&lt;&gt;"",$B1639&lt;&gt;"",$C1639&lt;$B1639),"⚠ Vencimento anterior à competência","OK"))))))))</f>
        <v/>
      </c>
    </row>
    <row r="1640">
      <c r="A1640" s="14" t="n"/>
      <c r="B1640" s="36" t="n"/>
      <c r="C1640" s="36" t="n"/>
      <c r="D1640" s="36" t="n"/>
      <c r="E1640" s="14" t="n"/>
      <c r="F1640" s="29" t="n"/>
      <c r="G1640" s="29" t="n"/>
      <c r="H1640" s="29" t="n"/>
      <c r="I1640" s="29" t="n"/>
      <c r="J1640" s="29" t="n"/>
      <c r="K1640" s="14" t="n"/>
      <c r="L1640" s="29" t="n"/>
      <c r="M1640" s="14" t="n"/>
      <c r="N1640" s="29" t="n"/>
      <c r="O1640" s="13" t="n"/>
      <c r="P1640" s="13" t="n"/>
      <c r="Q1640" s="35" t="n"/>
      <c r="R1640" s="35" t="n"/>
      <c r="S1640" s="35" t="n"/>
      <c r="T1640" s="35" t="n"/>
      <c r="U1640" s="35" t="n"/>
      <c r="V1640" s="18">
        <f>IF(COUNTA($B1640:$R1640)=0,"",ROUND(N($R1640)+N($S1640)+N($T1640)-N($U1640),2))</f>
        <v/>
      </c>
      <c r="W1640" s="18">
        <f>IF(COUNTA($B1640:$R1640)=0,"",IF(OR($X1640="Pago",$X1640="Recebido",$X1640="Cancelado"),0,ROUND(N($Q1640)+N($S1640)+N($T1640)-N($U1640)-N($R1640),2)))</f>
        <v/>
      </c>
      <c r="X1640" s="14" t="n"/>
      <c r="Y1640" s="17">
        <f>IF(COUNTA($B1640:$R1640)=0,"",IF($X1640="Cancelado","Cancelado",IF(OR($X1640="Pago",$X1640="Recebido"),$X1640,IF(OR($X1640="Parcial",N($R1640)&gt;0),"Parcial",IF($C1640="","Sem vencimento",IF($C1640&lt;TODAY(),"Vencido",IF($C1640=TODAY(),"Vence hoje",IF($C1640&lt;=TODAY()+7,"Vence em 7 dias",IF($C1640&lt;=TODAY()+30,"Vence em 30 dias","Futuro")))))))))</f>
        <v/>
      </c>
      <c r="Z1640" s="24">
        <f>IF($B1640="","",MONTH($B1640))</f>
        <v/>
      </c>
      <c r="AA1640" s="24">
        <f>IF($B1640="","",YEAR($B1640))</f>
        <v/>
      </c>
      <c r="AB1640" s="24">
        <f>IF($B1640="","",ISOWEEKNUM($B1640))</f>
        <v/>
      </c>
      <c r="AC1640" s="17">
        <f>IF($B1640="","",CHOOSE(WEEKDAY($B1640,2),"Segunda","Terça","Quarta","Quinta","Sexta","Sábado","Domingo"))</f>
        <v/>
      </c>
      <c r="AD1640" s="17">
        <f>IF($B1640="","",TEXT($B1640,"MM/AAAA"))</f>
        <v/>
      </c>
      <c r="AE1640" s="18">
        <f>IF(COUNTA($B1640:$R1640)=0,"",IF($X1640="Cancelado",0,ROUND(N($Q1640)+N($S1640)+N($T1640)-N($U1640),2)))</f>
        <v/>
      </c>
      <c r="AF1640" s="9">
        <f>IF($G1640="","",IFERROR(INDEX(LINHAS_DRE_PLANO,MATCH($G1640,SUBCATEGORIAS_PLANO,0)),"Não classificado"))</f>
        <v/>
      </c>
      <c r="AG1640" s="17">
        <f>IF($G1640="","",IFERROR(INDEX(TIPOS_FLUXO_PLANO,MATCH($G1640,SUBCATEGORIAS_PLANO,0)),"Não classificado"))</f>
        <v/>
      </c>
      <c r="AH1640" s="9">
        <f>IF($G1640="","",IFERROR(INDEX(GRUPOS_PLANO,MATCH($G1640,SUBCATEGORIAS_PLANO,0)),"Não classificado"))</f>
        <v/>
      </c>
      <c r="AI1640" s="24">
        <f>IF(OR($C1640="",$X1640="Pago",$X1640="Recebido",$X1640="Cancelado"),"",$C1640-TODAY())</f>
        <v/>
      </c>
      <c r="AJ1640" s="24">
        <f>IF(OR($C1640="",$X1640="Pago",$X1640="Recebido",$X1640="Cancelado"),0,MAX(0,TODAY()-$C1640))</f>
        <v/>
      </c>
      <c r="AK1640" s="24">
        <f>IF($D1640="","",$D1640-$B1640)</f>
        <v/>
      </c>
      <c r="AL1640" s="18">
        <f>IF(OR($D1640="",$B1640=""),"",ROUND(N($R1640)*($D1640-$B1640),2))</f>
        <v/>
      </c>
      <c r="AM1640" s="17">
        <f>IF(AND($E1640="Saída",$W1640&gt;0,$C1640&lt;&gt;""),$C1640+ROW()/1000000,"")</f>
        <v/>
      </c>
      <c r="AN1640" s="17">
        <f>IF(AND($E1640="Entrada",$W1640&gt;0,$C1640&lt;&gt;""),$C1640+ROW()/1000000,"")</f>
        <v/>
      </c>
      <c r="AO1640" s="9">
        <f>IF(COUNTA($B1640:$R1640)=0,"",IF(AND($I1640&lt;&gt;"",COUNTIF(CLIENTES_NOMES,$I1640)+COUNTIF(CLIENTES_FANTASIA,$I1640)+COUNTIF(FORNECEDORES_NOMES,$I1640)+COUNTIF(FORNECEDORES_FANTASIA,$I1640)=0),"⚠ Cliente/Fornecedor não cadastrado",IF(AND($G1640&lt;&gt;"",COUNTIF(SUBCATEGORIAS_PLANO,$G1640)=0),"⚠ Subcategoria fora do plano de contas",IF(OR($Q1640="",N($Q1640)=0),"⚠ Valor previsto não informado",IF(AND(OR($X1640="Pago",$X1640="Recebido"),$D1640=""),"⚠ Status pago/recebido sem data",IF(AND($D1640&lt;&gt;"",N($R1640)=0),"⚠ Data de pagamento sem valor realizado",IF(AND(N($P1640)&gt;1,N($O1640)&gt;N($P1640)),"⚠ Nº da parcela maior que o total",IF(AND($C1640&lt;&gt;"",$B1640&lt;&gt;"",$C1640&lt;$B1640),"⚠ Vencimento anterior à competência","OK"))))))))</f>
        <v/>
      </c>
    </row>
    <row r="1641">
      <c r="A1641" s="14" t="n"/>
      <c r="B1641" s="36" t="n"/>
      <c r="C1641" s="36" t="n"/>
      <c r="D1641" s="36" t="n"/>
      <c r="E1641" s="14" t="n"/>
      <c r="F1641" s="29" t="n"/>
      <c r="G1641" s="29" t="n"/>
      <c r="H1641" s="29" t="n"/>
      <c r="I1641" s="29" t="n"/>
      <c r="J1641" s="29" t="n"/>
      <c r="K1641" s="14" t="n"/>
      <c r="L1641" s="29" t="n"/>
      <c r="M1641" s="14" t="n"/>
      <c r="N1641" s="29" t="n"/>
      <c r="O1641" s="13" t="n"/>
      <c r="P1641" s="13" t="n"/>
      <c r="Q1641" s="35" t="n"/>
      <c r="R1641" s="35" t="n"/>
      <c r="S1641" s="35" t="n"/>
      <c r="T1641" s="35" t="n"/>
      <c r="U1641" s="35" t="n"/>
      <c r="V1641" s="18">
        <f>IF(COUNTA($B1641:$R1641)=0,"",ROUND(N($R1641)+N($S1641)+N($T1641)-N($U1641),2))</f>
        <v/>
      </c>
      <c r="W1641" s="18">
        <f>IF(COUNTA($B1641:$R1641)=0,"",IF(OR($X1641="Pago",$X1641="Recebido",$X1641="Cancelado"),0,ROUND(N($Q1641)+N($S1641)+N($T1641)-N($U1641)-N($R1641),2)))</f>
        <v/>
      </c>
      <c r="X1641" s="14" t="n"/>
      <c r="Y1641" s="17">
        <f>IF(COUNTA($B1641:$R1641)=0,"",IF($X1641="Cancelado","Cancelado",IF(OR($X1641="Pago",$X1641="Recebido"),$X1641,IF(OR($X1641="Parcial",N($R1641)&gt;0),"Parcial",IF($C1641="","Sem vencimento",IF($C1641&lt;TODAY(),"Vencido",IF($C1641=TODAY(),"Vence hoje",IF($C1641&lt;=TODAY()+7,"Vence em 7 dias",IF($C1641&lt;=TODAY()+30,"Vence em 30 dias","Futuro")))))))))</f>
        <v/>
      </c>
      <c r="Z1641" s="24">
        <f>IF($B1641="","",MONTH($B1641))</f>
        <v/>
      </c>
      <c r="AA1641" s="24">
        <f>IF($B1641="","",YEAR($B1641))</f>
        <v/>
      </c>
      <c r="AB1641" s="24">
        <f>IF($B1641="","",ISOWEEKNUM($B1641))</f>
        <v/>
      </c>
      <c r="AC1641" s="17">
        <f>IF($B1641="","",CHOOSE(WEEKDAY($B1641,2),"Segunda","Terça","Quarta","Quinta","Sexta","Sábado","Domingo"))</f>
        <v/>
      </c>
      <c r="AD1641" s="17">
        <f>IF($B1641="","",TEXT($B1641,"MM/AAAA"))</f>
        <v/>
      </c>
      <c r="AE1641" s="18">
        <f>IF(COUNTA($B1641:$R1641)=0,"",IF($X1641="Cancelado",0,ROUND(N($Q1641)+N($S1641)+N($T1641)-N($U1641),2)))</f>
        <v/>
      </c>
      <c r="AF1641" s="9">
        <f>IF($G1641="","",IFERROR(INDEX(LINHAS_DRE_PLANO,MATCH($G1641,SUBCATEGORIAS_PLANO,0)),"Não classificado"))</f>
        <v/>
      </c>
      <c r="AG1641" s="17">
        <f>IF($G1641="","",IFERROR(INDEX(TIPOS_FLUXO_PLANO,MATCH($G1641,SUBCATEGORIAS_PLANO,0)),"Não classificado"))</f>
        <v/>
      </c>
      <c r="AH1641" s="9">
        <f>IF($G1641="","",IFERROR(INDEX(GRUPOS_PLANO,MATCH($G1641,SUBCATEGORIAS_PLANO,0)),"Não classificado"))</f>
        <v/>
      </c>
      <c r="AI1641" s="24">
        <f>IF(OR($C1641="",$X1641="Pago",$X1641="Recebido",$X1641="Cancelado"),"",$C1641-TODAY())</f>
        <v/>
      </c>
      <c r="AJ1641" s="24">
        <f>IF(OR($C1641="",$X1641="Pago",$X1641="Recebido",$X1641="Cancelado"),0,MAX(0,TODAY()-$C1641))</f>
        <v/>
      </c>
      <c r="AK1641" s="24">
        <f>IF($D1641="","",$D1641-$B1641)</f>
        <v/>
      </c>
      <c r="AL1641" s="18">
        <f>IF(OR($D1641="",$B1641=""),"",ROUND(N($R1641)*($D1641-$B1641),2))</f>
        <v/>
      </c>
      <c r="AM1641" s="17">
        <f>IF(AND($E1641="Saída",$W1641&gt;0,$C1641&lt;&gt;""),$C1641+ROW()/1000000,"")</f>
        <v/>
      </c>
      <c r="AN1641" s="17">
        <f>IF(AND($E1641="Entrada",$W1641&gt;0,$C1641&lt;&gt;""),$C1641+ROW()/1000000,"")</f>
        <v/>
      </c>
      <c r="AO1641" s="9">
        <f>IF(COUNTA($B1641:$R1641)=0,"",IF(AND($I1641&lt;&gt;"",COUNTIF(CLIENTES_NOMES,$I1641)+COUNTIF(CLIENTES_FANTASIA,$I1641)+COUNTIF(FORNECEDORES_NOMES,$I1641)+COUNTIF(FORNECEDORES_FANTASIA,$I1641)=0),"⚠ Cliente/Fornecedor não cadastrado",IF(AND($G1641&lt;&gt;"",COUNTIF(SUBCATEGORIAS_PLANO,$G1641)=0),"⚠ Subcategoria fora do plano de contas",IF(OR($Q1641="",N($Q1641)=0),"⚠ Valor previsto não informado",IF(AND(OR($X1641="Pago",$X1641="Recebido"),$D1641=""),"⚠ Status pago/recebido sem data",IF(AND($D1641&lt;&gt;"",N($R1641)=0),"⚠ Data de pagamento sem valor realizado",IF(AND(N($P1641)&gt;1,N($O1641)&gt;N($P1641)),"⚠ Nº da parcela maior que o total",IF(AND($C1641&lt;&gt;"",$B1641&lt;&gt;"",$C1641&lt;$B1641),"⚠ Vencimento anterior à competência","OK"))))))))</f>
        <v/>
      </c>
    </row>
    <row r="1642">
      <c r="A1642" s="14" t="n"/>
      <c r="B1642" s="36" t="n"/>
      <c r="C1642" s="36" t="n"/>
      <c r="D1642" s="36" t="n"/>
      <c r="E1642" s="14" t="n"/>
      <c r="F1642" s="29" t="n"/>
      <c r="G1642" s="29" t="n"/>
      <c r="H1642" s="29" t="n"/>
      <c r="I1642" s="29" t="n"/>
      <c r="J1642" s="29" t="n"/>
      <c r="K1642" s="14" t="n"/>
      <c r="L1642" s="29" t="n"/>
      <c r="M1642" s="14" t="n"/>
      <c r="N1642" s="29" t="n"/>
      <c r="O1642" s="13" t="n"/>
      <c r="P1642" s="13" t="n"/>
      <c r="Q1642" s="35" t="n"/>
      <c r="R1642" s="35" t="n"/>
      <c r="S1642" s="35" t="n"/>
      <c r="T1642" s="35" t="n"/>
      <c r="U1642" s="35" t="n"/>
      <c r="V1642" s="18">
        <f>IF(COUNTA($B1642:$R1642)=0,"",ROUND(N($R1642)+N($S1642)+N($T1642)-N($U1642),2))</f>
        <v/>
      </c>
      <c r="W1642" s="18">
        <f>IF(COUNTA($B1642:$R1642)=0,"",IF(OR($X1642="Pago",$X1642="Recebido",$X1642="Cancelado"),0,ROUND(N($Q1642)+N($S1642)+N($T1642)-N($U1642)-N($R1642),2)))</f>
        <v/>
      </c>
      <c r="X1642" s="14" t="n"/>
      <c r="Y1642" s="17">
        <f>IF(COUNTA($B1642:$R1642)=0,"",IF($X1642="Cancelado","Cancelado",IF(OR($X1642="Pago",$X1642="Recebido"),$X1642,IF(OR($X1642="Parcial",N($R1642)&gt;0),"Parcial",IF($C1642="","Sem vencimento",IF($C1642&lt;TODAY(),"Vencido",IF($C1642=TODAY(),"Vence hoje",IF($C1642&lt;=TODAY()+7,"Vence em 7 dias",IF($C1642&lt;=TODAY()+30,"Vence em 30 dias","Futuro")))))))))</f>
        <v/>
      </c>
      <c r="Z1642" s="24">
        <f>IF($B1642="","",MONTH($B1642))</f>
        <v/>
      </c>
      <c r="AA1642" s="24">
        <f>IF($B1642="","",YEAR($B1642))</f>
        <v/>
      </c>
      <c r="AB1642" s="24">
        <f>IF($B1642="","",ISOWEEKNUM($B1642))</f>
        <v/>
      </c>
      <c r="AC1642" s="17">
        <f>IF($B1642="","",CHOOSE(WEEKDAY($B1642,2),"Segunda","Terça","Quarta","Quinta","Sexta","Sábado","Domingo"))</f>
        <v/>
      </c>
      <c r="AD1642" s="17">
        <f>IF($B1642="","",TEXT($B1642,"MM/AAAA"))</f>
        <v/>
      </c>
      <c r="AE1642" s="18">
        <f>IF(COUNTA($B1642:$R1642)=0,"",IF($X1642="Cancelado",0,ROUND(N($Q1642)+N($S1642)+N($T1642)-N($U1642),2)))</f>
        <v/>
      </c>
      <c r="AF1642" s="9">
        <f>IF($G1642="","",IFERROR(INDEX(LINHAS_DRE_PLANO,MATCH($G1642,SUBCATEGORIAS_PLANO,0)),"Não classificado"))</f>
        <v/>
      </c>
      <c r="AG1642" s="17">
        <f>IF($G1642="","",IFERROR(INDEX(TIPOS_FLUXO_PLANO,MATCH($G1642,SUBCATEGORIAS_PLANO,0)),"Não classificado"))</f>
        <v/>
      </c>
      <c r="AH1642" s="9">
        <f>IF($G1642="","",IFERROR(INDEX(GRUPOS_PLANO,MATCH($G1642,SUBCATEGORIAS_PLANO,0)),"Não classificado"))</f>
        <v/>
      </c>
      <c r="AI1642" s="24">
        <f>IF(OR($C1642="",$X1642="Pago",$X1642="Recebido",$X1642="Cancelado"),"",$C1642-TODAY())</f>
        <v/>
      </c>
      <c r="AJ1642" s="24">
        <f>IF(OR($C1642="",$X1642="Pago",$X1642="Recebido",$X1642="Cancelado"),0,MAX(0,TODAY()-$C1642))</f>
        <v/>
      </c>
      <c r="AK1642" s="24">
        <f>IF($D1642="","",$D1642-$B1642)</f>
        <v/>
      </c>
      <c r="AL1642" s="18">
        <f>IF(OR($D1642="",$B1642=""),"",ROUND(N($R1642)*($D1642-$B1642),2))</f>
        <v/>
      </c>
      <c r="AM1642" s="17">
        <f>IF(AND($E1642="Saída",$W1642&gt;0,$C1642&lt;&gt;""),$C1642+ROW()/1000000,"")</f>
        <v/>
      </c>
      <c r="AN1642" s="17">
        <f>IF(AND($E1642="Entrada",$W1642&gt;0,$C1642&lt;&gt;""),$C1642+ROW()/1000000,"")</f>
        <v/>
      </c>
      <c r="AO1642" s="9">
        <f>IF(COUNTA($B1642:$R1642)=0,"",IF(AND($I1642&lt;&gt;"",COUNTIF(CLIENTES_NOMES,$I1642)+COUNTIF(CLIENTES_FANTASIA,$I1642)+COUNTIF(FORNECEDORES_NOMES,$I1642)+COUNTIF(FORNECEDORES_FANTASIA,$I1642)=0),"⚠ Cliente/Fornecedor não cadastrado",IF(AND($G1642&lt;&gt;"",COUNTIF(SUBCATEGORIAS_PLANO,$G1642)=0),"⚠ Subcategoria fora do plano de contas",IF(OR($Q1642="",N($Q1642)=0),"⚠ Valor previsto não informado",IF(AND(OR($X1642="Pago",$X1642="Recebido"),$D1642=""),"⚠ Status pago/recebido sem data",IF(AND($D1642&lt;&gt;"",N($R1642)=0),"⚠ Data de pagamento sem valor realizado",IF(AND(N($P1642)&gt;1,N($O1642)&gt;N($P1642)),"⚠ Nº da parcela maior que o total",IF(AND($C1642&lt;&gt;"",$B1642&lt;&gt;"",$C1642&lt;$B1642),"⚠ Vencimento anterior à competência","OK"))))))))</f>
        <v/>
      </c>
    </row>
    <row r="1643">
      <c r="A1643" s="14" t="n"/>
      <c r="B1643" s="36" t="n"/>
      <c r="C1643" s="36" t="n"/>
      <c r="D1643" s="36" t="n"/>
      <c r="E1643" s="14" t="n"/>
      <c r="F1643" s="29" t="n"/>
      <c r="G1643" s="29" t="n"/>
      <c r="H1643" s="29" t="n"/>
      <c r="I1643" s="29" t="n"/>
      <c r="J1643" s="29" t="n"/>
      <c r="K1643" s="14" t="n"/>
      <c r="L1643" s="29" t="n"/>
      <c r="M1643" s="14" t="n"/>
      <c r="N1643" s="29" t="n"/>
      <c r="O1643" s="13" t="n"/>
      <c r="P1643" s="13" t="n"/>
      <c r="Q1643" s="35" t="n"/>
      <c r="R1643" s="35" t="n"/>
      <c r="S1643" s="35" t="n"/>
      <c r="T1643" s="35" t="n"/>
      <c r="U1643" s="35" t="n"/>
      <c r="V1643" s="18">
        <f>IF(COUNTA($B1643:$R1643)=0,"",ROUND(N($R1643)+N($S1643)+N($T1643)-N($U1643),2))</f>
        <v/>
      </c>
      <c r="W1643" s="18">
        <f>IF(COUNTA($B1643:$R1643)=0,"",IF(OR($X1643="Pago",$X1643="Recebido",$X1643="Cancelado"),0,ROUND(N($Q1643)+N($S1643)+N($T1643)-N($U1643)-N($R1643),2)))</f>
        <v/>
      </c>
      <c r="X1643" s="14" t="n"/>
      <c r="Y1643" s="17">
        <f>IF(COUNTA($B1643:$R1643)=0,"",IF($X1643="Cancelado","Cancelado",IF(OR($X1643="Pago",$X1643="Recebido"),$X1643,IF(OR($X1643="Parcial",N($R1643)&gt;0),"Parcial",IF($C1643="","Sem vencimento",IF($C1643&lt;TODAY(),"Vencido",IF($C1643=TODAY(),"Vence hoje",IF($C1643&lt;=TODAY()+7,"Vence em 7 dias",IF($C1643&lt;=TODAY()+30,"Vence em 30 dias","Futuro")))))))))</f>
        <v/>
      </c>
      <c r="Z1643" s="24">
        <f>IF($B1643="","",MONTH($B1643))</f>
        <v/>
      </c>
      <c r="AA1643" s="24">
        <f>IF($B1643="","",YEAR($B1643))</f>
        <v/>
      </c>
      <c r="AB1643" s="24">
        <f>IF($B1643="","",ISOWEEKNUM($B1643))</f>
        <v/>
      </c>
      <c r="AC1643" s="17">
        <f>IF($B1643="","",CHOOSE(WEEKDAY($B1643,2),"Segunda","Terça","Quarta","Quinta","Sexta","Sábado","Domingo"))</f>
        <v/>
      </c>
      <c r="AD1643" s="17">
        <f>IF($B1643="","",TEXT($B1643,"MM/AAAA"))</f>
        <v/>
      </c>
      <c r="AE1643" s="18">
        <f>IF(COUNTA($B1643:$R1643)=0,"",IF($X1643="Cancelado",0,ROUND(N($Q1643)+N($S1643)+N($T1643)-N($U1643),2)))</f>
        <v/>
      </c>
      <c r="AF1643" s="9">
        <f>IF($G1643="","",IFERROR(INDEX(LINHAS_DRE_PLANO,MATCH($G1643,SUBCATEGORIAS_PLANO,0)),"Não classificado"))</f>
        <v/>
      </c>
      <c r="AG1643" s="17">
        <f>IF($G1643="","",IFERROR(INDEX(TIPOS_FLUXO_PLANO,MATCH($G1643,SUBCATEGORIAS_PLANO,0)),"Não classificado"))</f>
        <v/>
      </c>
      <c r="AH1643" s="9">
        <f>IF($G1643="","",IFERROR(INDEX(GRUPOS_PLANO,MATCH($G1643,SUBCATEGORIAS_PLANO,0)),"Não classificado"))</f>
        <v/>
      </c>
      <c r="AI1643" s="24">
        <f>IF(OR($C1643="",$X1643="Pago",$X1643="Recebido",$X1643="Cancelado"),"",$C1643-TODAY())</f>
        <v/>
      </c>
      <c r="AJ1643" s="24">
        <f>IF(OR($C1643="",$X1643="Pago",$X1643="Recebido",$X1643="Cancelado"),0,MAX(0,TODAY()-$C1643))</f>
        <v/>
      </c>
      <c r="AK1643" s="24">
        <f>IF($D1643="","",$D1643-$B1643)</f>
        <v/>
      </c>
      <c r="AL1643" s="18">
        <f>IF(OR($D1643="",$B1643=""),"",ROUND(N($R1643)*($D1643-$B1643),2))</f>
        <v/>
      </c>
      <c r="AM1643" s="17">
        <f>IF(AND($E1643="Saída",$W1643&gt;0,$C1643&lt;&gt;""),$C1643+ROW()/1000000,"")</f>
        <v/>
      </c>
      <c r="AN1643" s="17">
        <f>IF(AND($E1643="Entrada",$W1643&gt;0,$C1643&lt;&gt;""),$C1643+ROW()/1000000,"")</f>
        <v/>
      </c>
      <c r="AO1643" s="9">
        <f>IF(COUNTA($B1643:$R1643)=0,"",IF(AND($I1643&lt;&gt;"",COUNTIF(CLIENTES_NOMES,$I1643)+COUNTIF(CLIENTES_FANTASIA,$I1643)+COUNTIF(FORNECEDORES_NOMES,$I1643)+COUNTIF(FORNECEDORES_FANTASIA,$I1643)=0),"⚠ Cliente/Fornecedor não cadastrado",IF(AND($G1643&lt;&gt;"",COUNTIF(SUBCATEGORIAS_PLANO,$G1643)=0),"⚠ Subcategoria fora do plano de contas",IF(OR($Q1643="",N($Q1643)=0),"⚠ Valor previsto não informado",IF(AND(OR($X1643="Pago",$X1643="Recebido"),$D1643=""),"⚠ Status pago/recebido sem data",IF(AND($D1643&lt;&gt;"",N($R1643)=0),"⚠ Data de pagamento sem valor realizado",IF(AND(N($P1643)&gt;1,N($O1643)&gt;N($P1643)),"⚠ Nº da parcela maior que o total",IF(AND($C1643&lt;&gt;"",$B1643&lt;&gt;"",$C1643&lt;$B1643),"⚠ Vencimento anterior à competência","OK"))))))))</f>
        <v/>
      </c>
    </row>
    <row r="1644">
      <c r="A1644" s="14" t="n"/>
      <c r="B1644" s="36" t="n"/>
      <c r="C1644" s="36" t="n"/>
      <c r="D1644" s="36" t="n"/>
      <c r="E1644" s="14" t="n"/>
      <c r="F1644" s="29" t="n"/>
      <c r="G1644" s="29" t="n"/>
      <c r="H1644" s="29" t="n"/>
      <c r="I1644" s="29" t="n"/>
      <c r="J1644" s="29" t="n"/>
      <c r="K1644" s="14" t="n"/>
      <c r="L1644" s="29" t="n"/>
      <c r="M1644" s="14" t="n"/>
      <c r="N1644" s="29" t="n"/>
      <c r="O1644" s="13" t="n"/>
      <c r="P1644" s="13" t="n"/>
      <c r="Q1644" s="35" t="n"/>
      <c r="R1644" s="35" t="n"/>
      <c r="S1644" s="35" t="n"/>
      <c r="T1644" s="35" t="n"/>
      <c r="U1644" s="35" t="n"/>
      <c r="V1644" s="18">
        <f>IF(COUNTA($B1644:$R1644)=0,"",ROUND(N($R1644)+N($S1644)+N($T1644)-N($U1644),2))</f>
        <v/>
      </c>
      <c r="W1644" s="18">
        <f>IF(COUNTA($B1644:$R1644)=0,"",IF(OR($X1644="Pago",$X1644="Recebido",$X1644="Cancelado"),0,ROUND(N($Q1644)+N($S1644)+N($T1644)-N($U1644)-N($R1644),2)))</f>
        <v/>
      </c>
      <c r="X1644" s="14" t="n"/>
      <c r="Y1644" s="17">
        <f>IF(COUNTA($B1644:$R1644)=0,"",IF($X1644="Cancelado","Cancelado",IF(OR($X1644="Pago",$X1644="Recebido"),$X1644,IF(OR($X1644="Parcial",N($R1644)&gt;0),"Parcial",IF($C1644="","Sem vencimento",IF($C1644&lt;TODAY(),"Vencido",IF($C1644=TODAY(),"Vence hoje",IF($C1644&lt;=TODAY()+7,"Vence em 7 dias",IF($C1644&lt;=TODAY()+30,"Vence em 30 dias","Futuro")))))))))</f>
        <v/>
      </c>
      <c r="Z1644" s="24">
        <f>IF($B1644="","",MONTH($B1644))</f>
        <v/>
      </c>
      <c r="AA1644" s="24">
        <f>IF($B1644="","",YEAR($B1644))</f>
        <v/>
      </c>
      <c r="AB1644" s="24">
        <f>IF($B1644="","",ISOWEEKNUM($B1644))</f>
        <v/>
      </c>
      <c r="AC1644" s="17">
        <f>IF($B1644="","",CHOOSE(WEEKDAY($B1644,2),"Segunda","Terça","Quarta","Quinta","Sexta","Sábado","Domingo"))</f>
        <v/>
      </c>
      <c r="AD1644" s="17">
        <f>IF($B1644="","",TEXT($B1644,"MM/AAAA"))</f>
        <v/>
      </c>
      <c r="AE1644" s="18">
        <f>IF(COUNTA($B1644:$R1644)=0,"",IF($X1644="Cancelado",0,ROUND(N($Q1644)+N($S1644)+N($T1644)-N($U1644),2)))</f>
        <v/>
      </c>
      <c r="AF1644" s="9">
        <f>IF($G1644="","",IFERROR(INDEX(LINHAS_DRE_PLANO,MATCH($G1644,SUBCATEGORIAS_PLANO,0)),"Não classificado"))</f>
        <v/>
      </c>
      <c r="AG1644" s="17">
        <f>IF($G1644="","",IFERROR(INDEX(TIPOS_FLUXO_PLANO,MATCH($G1644,SUBCATEGORIAS_PLANO,0)),"Não classificado"))</f>
        <v/>
      </c>
      <c r="AH1644" s="9">
        <f>IF($G1644="","",IFERROR(INDEX(GRUPOS_PLANO,MATCH($G1644,SUBCATEGORIAS_PLANO,0)),"Não classificado"))</f>
        <v/>
      </c>
      <c r="AI1644" s="24">
        <f>IF(OR($C1644="",$X1644="Pago",$X1644="Recebido",$X1644="Cancelado"),"",$C1644-TODAY())</f>
        <v/>
      </c>
      <c r="AJ1644" s="24">
        <f>IF(OR($C1644="",$X1644="Pago",$X1644="Recebido",$X1644="Cancelado"),0,MAX(0,TODAY()-$C1644))</f>
        <v/>
      </c>
      <c r="AK1644" s="24">
        <f>IF($D1644="","",$D1644-$B1644)</f>
        <v/>
      </c>
      <c r="AL1644" s="18">
        <f>IF(OR($D1644="",$B1644=""),"",ROUND(N($R1644)*($D1644-$B1644),2))</f>
        <v/>
      </c>
      <c r="AM1644" s="17">
        <f>IF(AND($E1644="Saída",$W1644&gt;0,$C1644&lt;&gt;""),$C1644+ROW()/1000000,"")</f>
        <v/>
      </c>
      <c r="AN1644" s="17">
        <f>IF(AND($E1644="Entrada",$W1644&gt;0,$C1644&lt;&gt;""),$C1644+ROW()/1000000,"")</f>
        <v/>
      </c>
      <c r="AO1644" s="9">
        <f>IF(COUNTA($B1644:$R1644)=0,"",IF(AND($I1644&lt;&gt;"",COUNTIF(CLIENTES_NOMES,$I1644)+COUNTIF(CLIENTES_FANTASIA,$I1644)+COUNTIF(FORNECEDORES_NOMES,$I1644)+COUNTIF(FORNECEDORES_FANTASIA,$I1644)=0),"⚠ Cliente/Fornecedor não cadastrado",IF(AND($G1644&lt;&gt;"",COUNTIF(SUBCATEGORIAS_PLANO,$G1644)=0),"⚠ Subcategoria fora do plano de contas",IF(OR($Q1644="",N($Q1644)=0),"⚠ Valor previsto não informado",IF(AND(OR($X1644="Pago",$X1644="Recebido"),$D1644=""),"⚠ Status pago/recebido sem data",IF(AND($D1644&lt;&gt;"",N($R1644)=0),"⚠ Data de pagamento sem valor realizado",IF(AND(N($P1644)&gt;1,N($O1644)&gt;N($P1644)),"⚠ Nº da parcela maior que o total",IF(AND($C1644&lt;&gt;"",$B1644&lt;&gt;"",$C1644&lt;$B1644),"⚠ Vencimento anterior à competência","OK"))))))))</f>
        <v/>
      </c>
    </row>
    <row r="1645">
      <c r="A1645" s="14" t="n"/>
      <c r="B1645" s="36" t="n"/>
      <c r="C1645" s="36" t="n"/>
      <c r="D1645" s="36" t="n"/>
      <c r="E1645" s="14" t="n"/>
      <c r="F1645" s="29" t="n"/>
      <c r="G1645" s="29" t="n"/>
      <c r="H1645" s="29" t="n"/>
      <c r="I1645" s="29" t="n"/>
      <c r="J1645" s="29" t="n"/>
      <c r="K1645" s="14" t="n"/>
      <c r="L1645" s="29" t="n"/>
      <c r="M1645" s="14" t="n"/>
      <c r="N1645" s="29" t="n"/>
      <c r="O1645" s="13" t="n"/>
      <c r="P1645" s="13" t="n"/>
      <c r="Q1645" s="35" t="n"/>
      <c r="R1645" s="35" t="n"/>
      <c r="S1645" s="35" t="n"/>
      <c r="T1645" s="35" t="n"/>
      <c r="U1645" s="35" t="n"/>
      <c r="V1645" s="18">
        <f>IF(COUNTA($B1645:$R1645)=0,"",ROUND(N($R1645)+N($S1645)+N($T1645)-N($U1645),2))</f>
        <v/>
      </c>
      <c r="W1645" s="18">
        <f>IF(COUNTA($B1645:$R1645)=0,"",IF(OR($X1645="Pago",$X1645="Recebido",$X1645="Cancelado"),0,ROUND(N($Q1645)+N($S1645)+N($T1645)-N($U1645)-N($R1645),2)))</f>
        <v/>
      </c>
      <c r="X1645" s="14" t="n"/>
      <c r="Y1645" s="17">
        <f>IF(COUNTA($B1645:$R1645)=0,"",IF($X1645="Cancelado","Cancelado",IF(OR($X1645="Pago",$X1645="Recebido"),$X1645,IF(OR($X1645="Parcial",N($R1645)&gt;0),"Parcial",IF($C1645="","Sem vencimento",IF($C1645&lt;TODAY(),"Vencido",IF($C1645=TODAY(),"Vence hoje",IF($C1645&lt;=TODAY()+7,"Vence em 7 dias",IF($C1645&lt;=TODAY()+30,"Vence em 30 dias","Futuro")))))))))</f>
        <v/>
      </c>
      <c r="Z1645" s="24">
        <f>IF($B1645="","",MONTH($B1645))</f>
        <v/>
      </c>
      <c r="AA1645" s="24">
        <f>IF($B1645="","",YEAR($B1645))</f>
        <v/>
      </c>
      <c r="AB1645" s="24">
        <f>IF($B1645="","",ISOWEEKNUM($B1645))</f>
        <v/>
      </c>
      <c r="AC1645" s="17">
        <f>IF($B1645="","",CHOOSE(WEEKDAY($B1645,2),"Segunda","Terça","Quarta","Quinta","Sexta","Sábado","Domingo"))</f>
        <v/>
      </c>
      <c r="AD1645" s="17">
        <f>IF($B1645="","",TEXT($B1645,"MM/AAAA"))</f>
        <v/>
      </c>
      <c r="AE1645" s="18">
        <f>IF(COUNTA($B1645:$R1645)=0,"",IF($X1645="Cancelado",0,ROUND(N($Q1645)+N($S1645)+N($T1645)-N($U1645),2)))</f>
        <v/>
      </c>
      <c r="AF1645" s="9">
        <f>IF($G1645="","",IFERROR(INDEX(LINHAS_DRE_PLANO,MATCH($G1645,SUBCATEGORIAS_PLANO,0)),"Não classificado"))</f>
        <v/>
      </c>
      <c r="AG1645" s="17">
        <f>IF($G1645="","",IFERROR(INDEX(TIPOS_FLUXO_PLANO,MATCH($G1645,SUBCATEGORIAS_PLANO,0)),"Não classificado"))</f>
        <v/>
      </c>
      <c r="AH1645" s="9">
        <f>IF($G1645="","",IFERROR(INDEX(GRUPOS_PLANO,MATCH($G1645,SUBCATEGORIAS_PLANO,0)),"Não classificado"))</f>
        <v/>
      </c>
      <c r="AI1645" s="24">
        <f>IF(OR($C1645="",$X1645="Pago",$X1645="Recebido",$X1645="Cancelado"),"",$C1645-TODAY())</f>
        <v/>
      </c>
      <c r="AJ1645" s="24">
        <f>IF(OR($C1645="",$X1645="Pago",$X1645="Recebido",$X1645="Cancelado"),0,MAX(0,TODAY()-$C1645))</f>
        <v/>
      </c>
      <c r="AK1645" s="24">
        <f>IF($D1645="","",$D1645-$B1645)</f>
        <v/>
      </c>
      <c r="AL1645" s="18">
        <f>IF(OR($D1645="",$B1645=""),"",ROUND(N($R1645)*($D1645-$B1645),2))</f>
        <v/>
      </c>
      <c r="AM1645" s="17">
        <f>IF(AND($E1645="Saída",$W1645&gt;0,$C1645&lt;&gt;""),$C1645+ROW()/1000000,"")</f>
        <v/>
      </c>
      <c r="AN1645" s="17">
        <f>IF(AND($E1645="Entrada",$W1645&gt;0,$C1645&lt;&gt;""),$C1645+ROW()/1000000,"")</f>
        <v/>
      </c>
      <c r="AO1645" s="9">
        <f>IF(COUNTA($B1645:$R1645)=0,"",IF(AND($I1645&lt;&gt;"",COUNTIF(CLIENTES_NOMES,$I1645)+COUNTIF(CLIENTES_FANTASIA,$I1645)+COUNTIF(FORNECEDORES_NOMES,$I1645)+COUNTIF(FORNECEDORES_FANTASIA,$I1645)=0),"⚠ Cliente/Fornecedor não cadastrado",IF(AND($G1645&lt;&gt;"",COUNTIF(SUBCATEGORIAS_PLANO,$G1645)=0),"⚠ Subcategoria fora do plano de contas",IF(OR($Q1645="",N($Q1645)=0),"⚠ Valor previsto não informado",IF(AND(OR($X1645="Pago",$X1645="Recebido"),$D1645=""),"⚠ Status pago/recebido sem data",IF(AND($D1645&lt;&gt;"",N($R1645)=0),"⚠ Data de pagamento sem valor realizado",IF(AND(N($P1645)&gt;1,N($O1645)&gt;N($P1645)),"⚠ Nº da parcela maior que o total",IF(AND($C1645&lt;&gt;"",$B1645&lt;&gt;"",$C1645&lt;$B1645),"⚠ Vencimento anterior à competência","OK"))))))))</f>
        <v/>
      </c>
    </row>
    <row r="1646">
      <c r="A1646" s="14" t="n"/>
      <c r="B1646" s="36" t="n"/>
      <c r="C1646" s="36" t="n"/>
      <c r="D1646" s="36" t="n"/>
      <c r="E1646" s="14" t="n"/>
      <c r="F1646" s="29" t="n"/>
      <c r="G1646" s="29" t="n"/>
      <c r="H1646" s="29" t="n"/>
      <c r="I1646" s="29" t="n"/>
      <c r="J1646" s="29" t="n"/>
      <c r="K1646" s="14" t="n"/>
      <c r="L1646" s="29" t="n"/>
      <c r="M1646" s="14" t="n"/>
      <c r="N1646" s="29" t="n"/>
      <c r="O1646" s="13" t="n"/>
      <c r="P1646" s="13" t="n"/>
      <c r="Q1646" s="35" t="n"/>
      <c r="R1646" s="35" t="n"/>
      <c r="S1646" s="35" t="n"/>
      <c r="T1646" s="35" t="n"/>
      <c r="U1646" s="35" t="n"/>
      <c r="V1646" s="18">
        <f>IF(COUNTA($B1646:$R1646)=0,"",ROUND(N($R1646)+N($S1646)+N($T1646)-N($U1646),2))</f>
        <v/>
      </c>
      <c r="W1646" s="18">
        <f>IF(COUNTA($B1646:$R1646)=0,"",IF(OR($X1646="Pago",$X1646="Recebido",$X1646="Cancelado"),0,ROUND(N($Q1646)+N($S1646)+N($T1646)-N($U1646)-N($R1646),2)))</f>
        <v/>
      </c>
      <c r="X1646" s="14" t="n"/>
      <c r="Y1646" s="17">
        <f>IF(COUNTA($B1646:$R1646)=0,"",IF($X1646="Cancelado","Cancelado",IF(OR($X1646="Pago",$X1646="Recebido"),$X1646,IF(OR($X1646="Parcial",N($R1646)&gt;0),"Parcial",IF($C1646="","Sem vencimento",IF($C1646&lt;TODAY(),"Vencido",IF($C1646=TODAY(),"Vence hoje",IF($C1646&lt;=TODAY()+7,"Vence em 7 dias",IF($C1646&lt;=TODAY()+30,"Vence em 30 dias","Futuro")))))))))</f>
        <v/>
      </c>
      <c r="Z1646" s="24">
        <f>IF($B1646="","",MONTH($B1646))</f>
        <v/>
      </c>
      <c r="AA1646" s="24">
        <f>IF($B1646="","",YEAR($B1646))</f>
        <v/>
      </c>
      <c r="AB1646" s="24">
        <f>IF($B1646="","",ISOWEEKNUM($B1646))</f>
        <v/>
      </c>
      <c r="AC1646" s="17">
        <f>IF($B1646="","",CHOOSE(WEEKDAY($B1646,2),"Segunda","Terça","Quarta","Quinta","Sexta","Sábado","Domingo"))</f>
        <v/>
      </c>
      <c r="AD1646" s="17">
        <f>IF($B1646="","",TEXT($B1646,"MM/AAAA"))</f>
        <v/>
      </c>
      <c r="AE1646" s="18">
        <f>IF(COUNTA($B1646:$R1646)=0,"",IF($X1646="Cancelado",0,ROUND(N($Q1646)+N($S1646)+N($T1646)-N($U1646),2)))</f>
        <v/>
      </c>
      <c r="AF1646" s="9">
        <f>IF($G1646="","",IFERROR(INDEX(LINHAS_DRE_PLANO,MATCH($G1646,SUBCATEGORIAS_PLANO,0)),"Não classificado"))</f>
        <v/>
      </c>
      <c r="AG1646" s="17">
        <f>IF($G1646="","",IFERROR(INDEX(TIPOS_FLUXO_PLANO,MATCH($G1646,SUBCATEGORIAS_PLANO,0)),"Não classificado"))</f>
        <v/>
      </c>
      <c r="AH1646" s="9">
        <f>IF($G1646="","",IFERROR(INDEX(GRUPOS_PLANO,MATCH($G1646,SUBCATEGORIAS_PLANO,0)),"Não classificado"))</f>
        <v/>
      </c>
      <c r="AI1646" s="24">
        <f>IF(OR($C1646="",$X1646="Pago",$X1646="Recebido",$X1646="Cancelado"),"",$C1646-TODAY())</f>
        <v/>
      </c>
      <c r="AJ1646" s="24">
        <f>IF(OR($C1646="",$X1646="Pago",$X1646="Recebido",$X1646="Cancelado"),0,MAX(0,TODAY()-$C1646))</f>
        <v/>
      </c>
      <c r="AK1646" s="24">
        <f>IF($D1646="","",$D1646-$B1646)</f>
        <v/>
      </c>
      <c r="AL1646" s="18">
        <f>IF(OR($D1646="",$B1646=""),"",ROUND(N($R1646)*($D1646-$B1646),2))</f>
        <v/>
      </c>
      <c r="AM1646" s="17">
        <f>IF(AND($E1646="Saída",$W1646&gt;0,$C1646&lt;&gt;""),$C1646+ROW()/1000000,"")</f>
        <v/>
      </c>
      <c r="AN1646" s="17">
        <f>IF(AND($E1646="Entrada",$W1646&gt;0,$C1646&lt;&gt;""),$C1646+ROW()/1000000,"")</f>
        <v/>
      </c>
      <c r="AO1646" s="9">
        <f>IF(COUNTA($B1646:$R1646)=0,"",IF(AND($I1646&lt;&gt;"",COUNTIF(CLIENTES_NOMES,$I1646)+COUNTIF(CLIENTES_FANTASIA,$I1646)+COUNTIF(FORNECEDORES_NOMES,$I1646)+COUNTIF(FORNECEDORES_FANTASIA,$I1646)=0),"⚠ Cliente/Fornecedor não cadastrado",IF(AND($G1646&lt;&gt;"",COUNTIF(SUBCATEGORIAS_PLANO,$G1646)=0),"⚠ Subcategoria fora do plano de contas",IF(OR($Q1646="",N($Q1646)=0),"⚠ Valor previsto não informado",IF(AND(OR($X1646="Pago",$X1646="Recebido"),$D1646=""),"⚠ Status pago/recebido sem data",IF(AND($D1646&lt;&gt;"",N($R1646)=0),"⚠ Data de pagamento sem valor realizado",IF(AND(N($P1646)&gt;1,N($O1646)&gt;N($P1646)),"⚠ Nº da parcela maior que o total",IF(AND($C1646&lt;&gt;"",$B1646&lt;&gt;"",$C1646&lt;$B1646),"⚠ Vencimento anterior à competência","OK"))))))))</f>
        <v/>
      </c>
    </row>
    <row r="1647">
      <c r="A1647" s="14" t="n"/>
      <c r="B1647" s="36" t="n"/>
      <c r="C1647" s="36" t="n"/>
      <c r="D1647" s="36" t="n"/>
      <c r="E1647" s="14" t="n"/>
      <c r="F1647" s="29" t="n"/>
      <c r="G1647" s="29" t="n"/>
      <c r="H1647" s="29" t="n"/>
      <c r="I1647" s="29" t="n"/>
      <c r="J1647" s="29" t="n"/>
      <c r="K1647" s="14" t="n"/>
      <c r="L1647" s="29" t="n"/>
      <c r="M1647" s="14" t="n"/>
      <c r="N1647" s="29" t="n"/>
      <c r="O1647" s="13" t="n"/>
      <c r="P1647" s="13" t="n"/>
      <c r="Q1647" s="35" t="n"/>
      <c r="R1647" s="35" t="n"/>
      <c r="S1647" s="35" t="n"/>
      <c r="T1647" s="35" t="n"/>
      <c r="U1647" s="35" t="n"/>
      <c r="V1647" s="18">
        <f>IF(COUNTA($B1647:$R1647)=0,"",ROUND(N($R1647)+N($S1647)+N($T1647)-N($U1647),2))</f>
        <v/>
      </c>
      <c r="W1647" s="18">
        <f>IF(COUNTA($B1647:$R1647)=0,"",IF(OR($X1647="Pago",$X1647="Recebido",$X1647="Cancelado"),0,ROUND(N($Q1647)+N($S1647)+N($T1647)-N($U1647)-N($R1647),2)))</f>
        <v/>
      </c>
      <c r="X1647" s="14" t="n"/>
      <c r="Y1647" s="17">
        <f>IF(COUNTA($B1647:$R1647)=0,"",IF($X1647="Cancelado","Cancelado",IF(OR($X1647="Pago",$X1647="Recebido"),$X1647,IF(OR($X1647="Parcial",N($R1647)&gt;0),"Parcial",IF($C1647="","Sem vencimento",IF($C1647&lt;TODAY(),"Vencido",IF($C1647=TODAY(),"Vence hoje",IF($C1647&lt;=TODAY()+7,"Vence em 7 dias",IF($C1647&lt;=TODAY()+30,"Vence em 30 dias","Futuro")))))))))</f>
        <v/>
      </c>
      <c r="Z1647" s="24">
        <f>IF($B1647="","",MONTH($B1647))</f>
        <v/>
      </c>
      <c r="AA1647" s="24">
        <f>IF($B1647="","",YEAR($B1647))</f>
        <v/>
      </c>
      <c r="AB1647" s="24">
        <f>IF($B1647="","",ISOWEEKNUM($B1647))</f>
        <v/>
      </c>
      <c r="AC1647" s="17">
        <f>IF($B1647="","",CHOOSE(WEEKDAY($B1647,2),"Segunda","Terça","Quarta","Quinta","Sexta","Sábado","Domingo"))</f>
        <v/>
      </c>
      <c r="AD1647" s="17">
        <f>IF($B1647="","",TEXT($B1647,"MM/AAAA"))</f>
        <v/>
      </c>
      <c r="AE1647" s="18">
        <f>IF(COUNTA($B1647:$R1647)=0,"",IF($X1647="Cancelado",0,ROUND(N($Q1647)+N($S1647)+N($T1647)-N($U1647),2)))</f>
        <v/>
      </c>
      <c r="AF1647" s="9">
        <f>IF($G1647="","",IFERROR(INDEX(LINHAS_DRE_PLANO,MATCH($G1647,SUBCATEGORIAS_PLANO,0)),"Não classificado"))</f>
        <v/>
      </c>
      <c r="AG1647" s="17">
        <f>IF($G1647="","",IFERROR(INDEX(TIPOS_FLUXO_PLANO,MATCH($G1647,SUBCATEGORIAS_PLANO,0)),"Não classificado"))</f>
        <v/>
      </c>
      <c r="AH1647" s="9">
        <f>IF($G1647="","",IFERROR(INDEX(GRUPOS_PLANO,MATCH($G1647,SUBCATEGORIAS_PLANO,0)),"Não classificado"))</f>
        <v/>
      </c>
      <c r="AI1647" s="24">
        <f>IF(OR($C1647="",$X1647="Pago",$X1647="Recebido",$X1647="Cancelado"),"",$C1647-TODAY())</f>
        <v/>
      </c>
      <c r="AJ1647" s="24">
        <f>IF(OR($C1647="",$X1647="Pago",$X1647="Recebido",$X1647="Cancelado"),0,MAX(0,TODAY()-$C1647))</f>
        <v/>
      </c>
      <c r="AK1647" s="24">
        <f>IF($D1647="","",$D1647-$B1647)</f>
        <v/>
      </c>
      <c r="AL1647" s="18">
        <f>IF(OR($D1647="",$B1647=""),"",ROUND(N($R1647)*($D1647-$B1647),2))</f>
        <v/>
      </c>
      <c r="AM1647" s="17">
        <f>IF(AND($E1647="Saída",$W1647&gt;0,$C1647&lt;&gt;""),$C1647+ROW()/1000000,"")</f>
        <v/>
      </c>
      <c r="AN1647" s="17">
        <f>IF(AND($E1647="Entrada",$W1647&gt;0,$C1647&lt;&gt;""),$C1647+ROW()/1000000,"")</f>
        <v/>
      </c>
      <c r="AO1647" s="9">
        <f>IF(COUNTA($B1647:$R1647)=0,"",IF(AND($I1647&lt;&gt;"",COUNTIF(CLIENTES_NOMES,$I1647)+COUNTIF(CLIENTES_FANTASIA,$I1647)+COUNTIF(FORNECEDORES_NOMES,$I1647)+COUNTIF(FORNECEDORES_FANTASIA,$I1647)=0),"⚠ Cliente/Fornecedor não cadastrado",IF(AND($G1647&lt;&gt;"",COUNTIF(SUBCATEGORIAS_PLANO,$G1647)=0),"⚠ Subcategoria fora do plano de contas",IF(OR($Q1647="",N($Q1647)=0),"⚠ Valor previsto não informado",IF(AND(OR($X1647="Pago",$X1647="Recebido"),$D1647=""),"⚠ Status pago/recebido sem data",IF(AND($D1647&lt;&gt;"",N($R1647)=0),"⚠ Data de pagamento sem valor realizado",IF(AND(N($P1647)&gt;1,N($O1647)&gt;N($P1647)),"⚠ Nº da parcela maior que o total",IF(AND($C1647&lt;&gt;"",$B1647&lt;&gt;"",$C1647&lt;$B1647),"⚠ Vencimento anterior à competência","OK"))))))))</f>
        <v/>
      </c>
    </row>
    <row r="1648">
      <c r="A1648" s="14" t="n"/>
      <c r="B1648" s="36" t="n"/>
      <c r="C1648" s="36" t="n"/>
      <c r="D1648" s="36" t="n"/>
      <c r="E1648" s="14" t="n"/>
      <c r="F1648" s="29" t="n"/>
      <c r="G1648" s="29" t="n"/>
      <c r="H1648" s="29" t="n"/>
      <c r="I1648" s="29" t="n"/>
      <c r="J1648" s="29" t="n"/>
      <c r="K1648" s="14" t="n"/>
      <c r="L1648" s="29" t="n"/>
      <c r="M1648" s="14" t="n"/>
      <c r="N1648" s="29" t="n"/>
      <c r="O1648" s="13" t="n"/>
      <c r="P1648" s="13" t="n"/>
      <c r="Q1648" s="35" t="n"/>
      <c r="R1648" s="35" t="n"/>
      <c r="S1648" s="35" t="n"/>
      <c r="T1648" s="35" t="n"/>
      <c r="U1648" s="35" t="n"/>
      <c r="V1648" s="18">
        <f>IF(COUNTA($B1648:$R1648)=0,"",ROUND(N($R1648)+N($S1648)+N($T1648)-N($U1648),2))</f>
        <v/>
      </c>
      <c r="W1648" s="18">
        <f>IF(COUNTA($B1648:$R1648)=0,"",IF(OR($X1648="Pago",$X1648="Recebido",$X1648="Cancelado"),0,ROUND(N($Q1648)+N($S1648)+N($T1648)-N($U1648)-N($R1648),2)))</f>
        <v/>
      </c>
      <c r="X1648" s="14" t="n"/>
      <c r="Y1648" s="17">
        <f>IF(COUNTA($B1648:$R1648)=0,"",IF($X1648="Cancelado","Cancelado",IF(OR($X1648="Pago",$X1648="Recebido"),$X1648,IF(OR($X1648="Parcial",N($R1648)&gt;0),"Parcial",IF($C1648="","Sem vencimento",IF($C1648&lt;TODAY(),"Vencido",IF($C1648=TODAY(),"Vence hoje",IF($C1648&lt;=TODAY()+7,"Vence em 7 dias",IF($C1648&lt;=TODAY()+30,"Vence em 30 dias","Futuro")))))))))</f>
        <v/>
      </c>
      <c r="Z1648" s="24">
        <f>IF($B1648="","",MONTH($B1648))</f>
        <v/>
      </c>
      <c r="AA1648" s="24">
        <f>IF($B1648="","",YEAR($B1648))</f>
        <v/>
      </c>
      <c r="AB1648" s="24">
        <f>IF($B1648="","",ISOWEEKNUM($B1648))</f>
        <v/>
      </c>
      <c r="AC1648" s="17">
        <f>IF($B1648="","",CHOOSE(WEEKDAY($B1648,2),"Segunda","Terça","Quarta","Quinta","Sexta","Sábado","Domingo"))</f>
        <v/>
      </c>
      <c r="AD1648" s="17">
        <f>IF($B1648="","",TEXT($B1648,"MM/AAAA"))</f>
        <v/>
      </c>
      <c r="AE1648" s="18">
        <f>IF(COUNTA($B1648:$R1648)=0,"",IF($X1648="Cancelado",0,ROUND(N($Q1648)+N($S1648)+N($T1648)-N($U1648),2)))</f>
        <v/>
      </c>
      <c r="AF1648" s="9">
        <f>IF($G1648="","",IFERROR(INDEX(LINHAS_DRE_PLANO,MATCH($G1648,SUBCATEGORIAS_PLANO,0)),"Não classificado"))</f>
        <v/>
      </c>
      <c r="AG1648" s="17">
        <f>IF($G1648="","",IFERROR(INDEX(TIPOS_FLUXO_PLANO,MATCH($G1648,SUBCATEGORIAS_PLANO,0)),"Não classificado"))</f>
        <v/>
      </c>
      <c r="AH1648" s="9">
        <f>IF($G1648="","",IFERROR(INDEX(GRUPOS_PLANO,MATCH($G1648,SUBCATEGORIAS_PLANO,0)),"Não classificado"))</f>
        <v/>
      </c>
      <c r="AI1648" s="24">
        <f>IF(OR($C1648="",$X1648="Pago",$X1648="Recebido",$X1648="Cancelado"),"",$C1648-TODAY())</f>
        <v/>
      </c>
      <c r="AJ1648" s="24">
        <f>IF(OR($C1648="",$X1648="Pago",$X1648="Recebido",$X1648="Cancelado"),0,MAX(0,TODAY()-$C1648))</f>
        <v/>
      </c>
      <c r="AK1648" s="24">
        <f>IF($D1648="","",$D1648-$B1648)</f>
        <v/>
      </c>
      <c r="AL1648" s="18">
        <f>IF(OR($D1648="",$B1648=""),"",ROUND(N($R1648)*($D1648-$B1648),2))</f>
        <v/>
      </c>
      <c r="AM1648" s="17">
        <f>IF(AND($E1648="Saída",$W1648&gt;0,$C1648&lt;&gt;""),$C1648+ROW()/1000000,"")</f>
        <v/>
      </c>
      <c r="AN1648" s="17">
        <f>IF(AND($E1648="Entrada",$W1648&gt;0,$C1648&lt;&gt;""),$C1648+ROW()/1000000,"")</f>
        <v/>
      </c>
      <c r="AO1648" s="9">
        <f>IF(COUNTA($B1648:$R1648)=0,"",IF(AND($I1648&lt;&gt;"",COUNTIF(CLIENTES_NOMES,$I1648)+COUNTIF(CLIENTES_FANTASIA,$I1648)+COUNTIF(FORNECEDORES_NOMES,$I1648)+COUNTIF(FORNECEDORES_FANTASIA,$I1648)=0),"⚠ Cliente/Fornecedor não cadastrado",IF(AND($G1648&lt;&gt;"",COUNTIF(SUBCATEGORIAS_PLANO,$G1648)=0),"⚠ Subcategoria fora do plano de contas",IF(OR($Q1648="",N($Q1648)=0),"⚠ Valor previsto não informado",IF(AND(OR($X1648="Pago",$X1648="Recebido"),$D1648=""),"⚠ Status pago/recebido sem data",IF(AND($D1648&lt;&gt;"",N($R1648)=0),"⚠ Data de pagamento sem valor realizado",IF(AND(N($P1648)&gt;1,N($O1648)&gt;N($P1648)),"⚠ Nº da parcela maior que o total",IF(AND($C1648&lt;&gt;"",$B1648&lt;&gt;"",$C1648&lt;$B1648),"⚠ Vencimento anterior à competência","OK"))))))))</f>
        <v/>
      </c>
    </row>
    <row r="1649">
      <c r="A1649" s="14" t="n"/>
      <c r="B1649" s="36" t="n"/>
      <c r="C1649" s="36" t="n"/>
      <c r="D1649" s="36" t="n"/>
      <c r="E1649" s="14" t="n"/>
      <c r="F1649" s="29" t="n"/>
      <c r="G1649" s="29" t="n"/>
      <c r="H1649" s="29" t="n"/>
      <c r="I1649" s="29" t="n"/>
      <c r="J1649" s="29" t="n"/>
      <c r="K1649" s="14" t="n"/>
      <c r="L1649" s="29" t="n"/>
      <c r="M1649" s="14" t="n"/>
      <c r="N1649" s="29" t="n"/>
      <c r="O1649" s="13" t="n"/>
      <c r="P1649" s="13" t="n"/>
      <c r="Q1649" s="35" t="n"/>
      <c r="R1649" s="35" t="n"/>
      <c r="S1649" s="35" t="n"/>
      <c r="T1649" s="35" t="n"/>
      <c r="U1649" s="35" t="n"/>
      <c r="V1649" s="18">
        <f>IF(COUNTA($B1649:$R1649)=0,"",ROUND(N($R1649)+N($S1649)+N($T1649)-N($U1649),2))</f>
        <v/>
      </c>
      <c r="W1649" s="18">
        <f>IF(COUNTA($B1649:$R1649)=0,"",IF(OR($X1649="Pago",$X1649="Recebido",$X1649="Cancelado"),0,ROUND(N($Q1649)+N($S1649)+N($T1649)-N($U1649)-N($R1649),2)))</f>
        <v/>
      </c>
      <c r="X1649" s="14" t="n"/>
      <c r="Y1649" s="17">
        <f>IF(COUNTA($B1649:$R1649)=0,"",IF($X1649="Cancelado","Cancelado",IF(OR($X1649="Pago",$X1649="Recebido"),$X1649,IF(OR($X1649="Parcial",N($R1649)&gt;0),"Parcial",IF($C1649="","Sem vencimento",IF($C1649&lt;TODAY(),"Vencido",IF($C1649=TODAY(),"Vence hoje",IF($C1649&lt;=TODAY()+7,"Vence em 7 dias",IF($C1649&lt;=TODAY()+30,"Vence em 30 dias","Futuro")))))))))</f>
        <v/>
      </c>
      <c r="Z1649" s="24">
        <f>IF($B1649="","",MONTH($B1649))</f>
        <v/>
      </c>
      <c r="AA1649" s="24">
        <f>IF($B1649="","",YEAR($B1649))</f>
        <v/>
      </c>
      <c r="AB1649" s="24">
        <f>IF($B1649="","",ISOWEEKNUM($B1649))</f>
        <v/>
      </c>
      <c r="AC1649" s="17">
        <f>IF($B1649="","",CHOOSE(WEEKDAY($B1649,2),"Segunda","Terça","Quarta","Quinta","Sexta","Sábado","Domingo"))</f>
        <v/>
      </c>
      <c r="AD1649" s="17">
        <f>IF($B1649="","",TEXT($B1649,"MM/AAAA"))</f>
        <v/>
      </c>
      <c r="AE1649" s="18">
        <f>IF(COUNTA($B1649:$R1649)=0,"",IF($X1649="Cancelado",0,ROUND(N($Q1649)+N($S1649)+N($T1649)-N($U1649),2)))</f>
        <v/>
      </c>
      <c r="AF1649" s="9">
        <f>IF($G1649="","",IFERROR(INDEX(LINHAS_DRE_PLANO,MATCH($G1649,SUBCATEGORIAS_PLANO,0)),"Não classificado"))</f>
        <v/>
      </c>
      <c r="AG1649" s="17">
        <f>IF($G1649="","",IFERROR(INDEX(TIPOS_FLUXO_PLANO,MATCH($G1649,SUBCATEGORIAS_PLANO,0)),"Não classificado"))</f>
        <v/>
      </c>
      <c r="AH1649" s="9">
        <f>IF($G1649="","",IFERROR(INDEX(GRUPOS_PLANO,MATCH($G1649,SUBCATEGORIAS_PLANO,0)),"Não classificado"))</f>
        <v/>
      </c>
      <c r="AI1649" s="24">
        <f>IF(OR($C1649="",$X1649="Pago",$X1649="Recebido",$X1649="Cancelado"),"",$C1649-TODAY())</f>
        <v/>
      </c>
      <c r="AJ1649" s="24">
        <f>IF(OR($C1649="",$X1649="Pago",$X1649="Recebido",$X1649="Cancelado"),0,MAX(0,TODAY()-$C1649))</f>
        <v/>
      </c>
      <c r="AK1649" s="24">
        <f>IF($D1649="","",$D1649-$B1649)</f>
        <v/>
      </c>
      <c r="AL1649" s="18">
        <f>IF(OR($D1649="",$B1649=""),"",ROUND(N($R1649)*($D1649-$B1649),2))</f>
        <v/>
      </c>
      <c r="AM1649" s="17">
        <f>IF(AND($E1649="Saída",$W1649&gt;0,$C1649&lt;&gt;""),$C1649+ROW()/1000000,"")</f>
        <v/>
      </c>
      <c r="AN1649" s="17">
        <f>IF(AND($E1649="Entrada",$W1649&gt;0,$C1649&lt;&gt;""),$C1649+ROW()/1000000,"")</f>
        <v/>
      </c>
      <c r="AO1649" s="9">
        <f>IF(COUNTA($B1649:$R1649)=0,"",IF(AND($I1649&lt;&gt;"",COUNTIF(CLIENTES_NOMES,$I1649)+COUNTIF(CLIENTES_FANTASIA,$I1649)+COUNTIF(FORNECEDORES_NOMES,$I1649)+COUNTIF(FORNECEDORES_FANTASIA,$I1649)=0),"⚠ Cliente/Fornecedor não cadastrado",IF(AND($G1649&lt;&gt;"",COUNTIF(SUBCATEGORIAS_PLANO,$G1649)=0),"⚠ Subcategoria fora do plano de contas",IF(OR($Q1649="",N($Q1649)=0),"⚠ Valor previsto não informado",IF(AND(OR($X1649="Pago",$X1649="Recebido"),$D1649=""),"⚠ Status pago/recebido sem data",IF(AND($D1649&lt;&gt;"",N($R1649)=0),"⚠ Data de pagamento sem valor realizado",IF(AND(N($P1649)&gt;1,N($O1649)&gt;N($P1649)),"⚠ Nº da parcela maior que o total",IF(AND($C1649&lt;&gt;"",$B1649&lt;&gt;"",$C1649&lt;$B1649),"⚠ Vencimento anterior à competência","OK"))))))))</f>
        <v/>
      </c>
    </row>
    <row r="1650">
      <c r="A1650" s="14" t="n"/>
      <c r="B1650" s="36" t="n"/>
      <c r="C1650" s="36" t="n"/>
      <c r="D1650" s="36" t="n"/>
      <c r="E1650" s="14" t="n"/>
      <c r="F1650" s="29" t="n"/>
      <c r="G1650" s="29" t="n"/>
      <c r="H1650" s="29" t="n"/>
      <c r="I1650" s="29" t="n"/>
      <c r="J1650" s="29" t="n"/>
      <c r="K1650" s="14" t="n"/>
      <c r="L1650" s="29" t="n"/>
      <c r="M1650" s="14" t="n"/>
      <c r="N1650" s="29" t="n"/>
      <c r="O1650" s="13" t="n"/>
      <c r="P1650" s="13" t="n"/>
      <c r="Q1650" s="35" t="n"/>
      <c r="R1650" s="35" t="n"/>
      <c r="S1650" s="35" t="n"/>
      <c r="T1650" s="35" t="n"/>
      <c r="U1650" s="35" t="n"/>
      <c r="V1650" s="18">
        <f>IF(COUNTA($B1650:$R1650)=0,"",ROUND(N($R1650)+N($S1650)+N($T1650)-N($U1650),2))</f>
        <v/>
      </c>
      <c r="W1650" s="18">
        <f>IF(COUNTA($B1650:$R1650)=0,"",IF(OR($X1650="Pago",$X1650="Recebido",$X1650="Cancelado"),0,ROUND(N($Q1650)+N($S1650)+N($T1650)-N($U1650)-N($R1650),2)))</f>
        <v/>
      </c>
      <c r="X1650" s="14" t="n"/>
      <c r="Y1650" s="17">
        <f>IF(COUNTA($B1650:$R1650)=0,"",IF($X1650="Cancelado","Cancelado",IF(OR($X1650="Pago",$X1650="Recebido"),$X1650,IF(OR($X1650="Parcial",N($R1650)&gt;0),"Parcial",IF($C1650="","Sem vencimento",IF($C1650&lt;TODAY(),"Vencido",IF($C1650=TODAY(),"Vence hoje",IF($C1650&lt;=TODAY()+7,"Vence em 7 dias",IF($C1650&lt;=TODAY()+30,"Vence em 30 dias","Futuro")))))))))</f>
        <v/>
      </c>
      <c r="Z1650" s="24">
        <f>IF($B1650="","",MONTH($B1650))</f>
        <v/>
      </c>
      <c r="AA1650" s="24">
        <f>IF($B1650="","",YEAR($B1650))</f>
        <v/>
      </c>
      <c r="AB1650" s="24">
        <f>IF($B1650="","",ISOWEEKNUM($B1650))</f>
        <v/>
      </c>
      <c r="AC1650" s="17">
        <f>IF($B1650="","",CHOOSE(WEEKDAY($B1650,2),"Segunda","Terça","Quarta","Quinta","Sexta","Sábado","Domingo"))</f>
        <v/>
      </c>
      <c r="AD1650" s="17">
        <f>IF($B1650="","",TEXT($B1650,"MM/AAAA"))</f>
        <v/>
      </c>
      <c r="AE1650" s="18">
        <f>IF(COUNTA($B1650:$R1650)=0,"",IF($X1650="Cancelado",0,ROUND(N($Q1650)+N($S1650)+N($T1650)-N($U1650),2)))</f>
        <v/>
      </c>
      <c r="AF1650" s="9">
        <f>IF($G1650="","",IFERROR(INDEX(LINHAS_DRE_PLANO,MATCH($G1650,SUBCATEGORIAS_PLANO,0)),"Não classificado"))</f>
        <v/>
      </c>
      <c r="AG1650" s="17">
        <f>IF($G1650="","",IFERROR(INDEX(TIPOS_FLUXO_PLANO,MATCH($G1650,SUBCATEGORIAS_PLANO,0)),"Não classificado"))</f>
        <v/>
      </c>
      <c r="AH1650" s="9">
        <f>IF($G1650="","",IFERROR(INDEX(GRUPOS_PLANO,MATCH($G1650,SUBCATEGORIAS_PLANO,0)),"Não classificado"))</f>
        <v/>
      </c>
      <c r="AI1650" s="24">
        <f>IF(OR($C1650="",$X1650="Pago",$X1650="Recebido",$X1650="Cancelado"),"",$C1650-TODAY())</f>
        <v/>
      </c>
      <c r="AJ1650" s="24">
        <f>IF(OR($C1650="",$X1650="Pago",$X1650="Recebido",$X1650="Cancelado"),0,MAX(0,TODAY()-$C1650))</f>
        <v/>
      </c>
      <c r="AK1650" s="24">
        <f>IF($D1650="","",$D1650-$B1650)</f>
        <v/>
      </c>
      <c r="AL1650" s="18">
        <f>IF(OR($D1650="",$B1650=""),"",ROUND(N($R1650)*($D1650-$B1650),2))</f>
        <v/>
      </c>
      <c r="AM1650" s="17">
        <f>IF(AND($E1650="Saída",$W1650&gt;0,$C1650&lt;&gt;""),$C1650+ROW()/1000000,"")</f>
        <v/>
      </c>
      <c r="AN1650" s="17">
        <f>IF(AND($E1650="Entrada",$W1650&gt;0,$C1650&lt;&gt;""),$C1650+ROW()/1000000,"")</f>
        <v/>
      </c>
      <c r="AO1650" s="9">
        <f>IF(COUNTA($B1650:$R1650)=0,"",IF(AND($I1650&lt;&gt;"",COUNTIF(CLIENTES_NOMES,$I1650)+COUNTIF(CLIENTES_FANTASIA,$I1650)+COUNTIF(FORNECEDORES_NOMES,$I1650)+COUNTIF(FORNECEDORES_FANTASIA,$I1650)=0),"⚠ Cliente/Fornecedor não cadastrado",IF(AND($G1650&lt;&gt;"",COUNTIF(SUBCATEGORIAS_PLANO,$G1650)=0),"⚠ Subcategoria fora do plano de contas",IF(OR($Q1650="",N($Q1650)=0),"⚠ Valor previsto não informado",IF(AND(OR($X1650="Pago",$X1650="Recebido"),$D1650=""),"⚠ Status pago/recebido sem data",IF(AND($D1650&lt;&gt;"",N($R1650)=0),"⚠ Data de pagamento sem valor realizado",IF(AND(N($P1650)&gt;1,N($O1650)&gt;N($P1650)),"⚠ Nº da parcela maior que o total",IF(AND($C1650&lt;&gt;"",$B1650&lt;&gt;"",$C1650&lt;$B1650),"⚠ Vencimento anterior à competência","OK"))))))))</f>
        <v/>
      </c>
    </row>
    <row r="1651">
      <c r="A1651" s="14" t="n"/>
      <c r="B1651" s="36" t="n"/>
      <c r="C1651" s="36" t="n"/>
      <c r="D1651" s="36" t="n"/>
      <c r="E1651" s="14" t="n"/>
      <c r="F1651" s="29" t="n"/>
      <c r="G1651" s="29" t="n"/>
      <c r="H1651" s="29" t="n"/>
      <c r="I1651" s="29" t="n"/>
      <c r="J1651" s="29" t="n"/>
      <c r="K1651" s="14" t="n"/>
      <c r="L1651" s="29" t="n"/>
      <c r="M1651" s="14" t="n"/>
      <c r="N1651" s="29" t="n"/>
      <c r="O1651" s="13" t="n"/>
      <c r="P1651" s="13" t="n"/>
      <c r="Q1651" s="35" t="n"/>
      <c r="R1651" s="35" t="n"/>
      <c r="S1651" s="35" t="n"/>
      <c r="T1651" s="35" t="n"/>
      <c r="U1651" s="35" t="n"/>
      <c r="V1651" s="18">
        <f>IF(COUNTA($B1651:$R1651)=0,"",ROUND(N($R1651)+N($S1651)+N($T1651)-N($U1651),2))</f>
        <v/>
      </c>
      <c r="W1651" s="18">
        <f>IF(COUNTA($B1651:$R1651)=0,"",IF(OR($X1651="Pago",$X1651="Recebido",$X1651="Cancelado"),0,ROUND(N($Q1651)+N($S1651)+N($T1651)-N($U1651)-N($R1651),2)))</f>
        <v/>
      </c>
      <c r="X1651" s="14" t="n"/>
      <c r="Y1651" s="17">
        <f>IF(COUNTA($B1651:$R1651)=0,"",IF($X1651="Cancelado","Cancelado",IF(OR($X1651="Pago",$X1651="Recebido"),$X1651,IF(OR($X1651="Parcial",N($R1651)&gt;0),"Parcial",IF($C1651="","Sem vencimento",IF($C1651&lt;TODAY(),"Vencido",IF($C1651=TODAY(),"Vence hoje",IF($C1651&lt;=TODAY()+7,"Vence em 7 dias",IF($C1651&lt;=TODAY()+30,"Vence em 30 dias","Futuro")))))))))</f>
        <v/>
      </c>
      <c r="Z1651" s="24">
        <f>IF($B1651="","",MONTH($B1651))</f>
        <v/>
      </c>
      <c r="AA1651" s="24">
        <f>IF($B1651="","",YEAR($B1651))</f>
        <v/>
      </c>
      <c r="AB1651" s="24">
        <f>IF($B1651="","",ISOWEEKNUM($B1651))</f>
        <v/>
      </c>
      <c r="AC1651" s="17">
        <f>IF($B1651="","",CHOOSE(WEEKDAY($B1651,2),"Segunda","Terça","Quarta","Quinta","Sexta","Sábado","Domingo"))</f>
        <v/>
      </c>
      <c r="AD1651" s="17">
        <f>IF($B1651="","",TEXT($B1651,"MM/AAAA"))</f>
        <v/>
      </c>
      <c r="AE1651" s="18">
        <f>IF(COUNTA($B1651:$R1651)=0,"",IF($X1651="Cancelado",0,ROUND(N($Q1651)+N($S1651)+N($T1651)-N($U1651),2)))</f>
        <v/>
      </c>
      <c r="AF1651" s="9">
        <f>IF($G1651="","",IFERROR(INDEX(LINHAS_DRE_PLANO,MATCH($G1651,SUBCATEGORIAS_PLANO,0)),"Não classificado"))</f>
        <v/>
      </c>
      <c r="AG1651" s="17">
        <f>IF($G1651="","",IFERROR(INDEX(TIPOS_FLUXO_PLANO,MATCH($G1651,SUBCATEGORIAS_PLANO,0)),"Não classificado"))</f>
        <v/>
      </c>
      <c r="AH1651" s="9">
        <f>IF($G1651="","",IFERROR(INDEX(GRUPOS_PLANO,MATCH($G1651,SUBCATEGORIAS_PLANO,0)),"Não classificado"))</f>
        <v/>
      </c>
      <c r="AI1651" s="24">
        <f>IF(OR($C1651="",$X1651="Pago",$X1651="Recebido",$X1651="Cancelado"),"",$C1651-TODAY())</f>
        <v/>
      </c>
      <c r="AJ1651" s="24">
        <f>IF(OR($C1651="",$X1651="Pago",$X1651="Recebido",$X1651="Cancelado"),0,MAX(0,TODAY()-$C1651))</f>
        <v/>
      </c>
      <c r="AK1651" s="24">
        <f>IF($D1651="","",$D1651-$B1651)</f>
        <v/>
      </c>
      <c r="AL1651" s="18">
        <f>IF(OR($D1651="",$B1651=""),"",ROUND(N($R1651)*($D1651-$B1651),2))</f>
        <v/>
      </c>
      <c r="AM1651" s="17">
        <f>IF(AND($E1651="Saída",$W1651&gt;0,$C1651&lt;&gt;""),$C1651+ROW()/1000000,"")</f>
        <v/>
      </c>
      <c r="AN1651" s="17">
        <f>IF(AND($E1651="Entrada",$W1651&gt;0,$C1651&lt;&gt;""),$C1651+ROW()/1000000,"")</f>
        <v/>
      </c>
      <c r="AO1651" s="9">
        <f>IF(COUNTA($B1651:$R1651)=0,"",IF(AND($I1651&lt;&gt;"",COUNTIF(CLIENTES_NOMES,$I1651)+COUNTIF(CLIENTES_FANTASIA,$I1651)+COUNTIF(FORNECEDORES_NOMES,$I1651)+COUNTIF(FORNECEDORES_FANTASIA,$I1651)=0),"⚠ Cliente/Fornecedor não cadastrado",IF(AND($G1651&lt;&gt;"",COUNTIF(SUBCATEGORIAS_PLANO,$G1651)=0),"⚠ Subcategoria fora do plano de contas",IF(OR($Q1651="",N($Q1651)=0),"⚠ Valor previsto não informado",IF(AND(OR($X1651="Pago",$X1651="Recebido"),$D1651=""),"⚠ Status pago/recebido sem data",IF(AND($D1651&lt;&gt;"",N($R1651)=0),"⚠ Data de pagamento sem valor realizado",IF(AND(N($P1651)&gt;1,N($O1651)&gt;N($P1651)),"⚠ Nº da parcela maior que o total",IF(AND($C1651&lt;&gt;"",$B1651&lt;&gt;"",$C1651&lt;$B1651),"⚠ Vencimento anterior à competência","OK"))))))))</f>
        <v/>
      </c>
    </row>
    <row r="1652">
      <c r="A1652" s="14" t="n"/>
      <c r="B1652" s="36" t="n"/>
      <c r="C1652" s="36" t="n"/>
      <c r="D1652" s="36" t="n"/>
      <c r="E1652" s="14" t="n"/>
      <c r="F1652" s="29" t="n"/>
      <c r="G1652" s="29" t="n"/>
      <c r="H1652" s="29" t="n"/>
      <c r="I1652" s="29" t="n"/>
      <c r="J1652" s="29" t="n"/>
      <c r="K1652" s="14" t="n"/>
      <c r="L1652" s="29" t="n"/>
      <c r="M1652" s="14" t="n"/>
      <c r="N1652" s="29" t="n"/>
      <c r="O1652" s="13" t="n"/>
      <c r="P1652" s="13" t="n"/>
      <c r="Q1652" s="35" t="n"/>
      <c r="R1652" s="35" t="n"/>
      <c r="S1652" s="35" t="n"/>
      <c r="T1652" s="35" t="n"/>
      <c r="U1652" s="35" t="n"/>
      <c r="V1652" s="18">
        <f>IF(COUNTA($B1652:$R1652)=0,"",ROUND(N($R1652)+N($S1652)+N($T1652)-N($U1652),2))</f>
        <v/>
      </c>
      <c r="W1652" s="18">
        <f>IF(COUNTA($B1652:$R1652)=0,"",IF(OR($X1652="Pago",$X1652="Recebido",$X1652="Cancelado"),0,ROUND(N($Q1652)+N($S1652)+N($T1652)-N($U1652)-N($R1652),2)))</f>
        <v/>
      </c>
      <c r="X1652" s="14" t="n"/>
      <c r="Y1652" s="17">
        <f>IF(COUNTA($B1652:$R1652)=0,"",IF($X1652="Cancelado","Cancelado",IF(OR($X1652="Pago",$X1652="Recebido"),$X1652,IF(OR($X1652="Parcial",N($R1652)&gt;0),"Parcial",IF($C1652="","Sem vencimento",IF($C1652&lt;TODAY(),"Vencido",IF($C1652=TODAY(),"Vence hoje",IF($C1652&lt;=TODAY()+7,"Vence em 7 dias",IF($C1652&lt;=TODAY()+30,"Vence em 30 dias","Futuro")))))))))</f>
        <v/>
      </c>
      <c r="Z1652" s="24">
        <f>IF($B1652="","",MONTH($B1652))</f>
        <v/>
      </c>
      <c r="AA1652" s="24">
        <f>IF($B1652="","",YEAR($B1652))</f>
        <v/>
      </c>
      <c r="AB1652" s="24">
        <f>IF($B1652="","",ISOWEEKNUM($B1652))</f>
        <v/>
      </c>
      <c r="AC1652" s="17">
        <f>IF($B1652="","",CHOOSE(WEEKDAY($B1652,2),"Segunda","Terça","Quarta","Quinta","Sexta","Sábado","Domingo"))</f>
        <v/>
      </c>
      <c r="AD1652" s="17">
        <f>IF($B1652="","",TEXT($B1652,"MM/AAAA"))</f>
        <v/>
      </c>
      <c r="AE1652" s="18">
        <f>IF(COUNTA($B1652:$R1652)=0,"",IF($X1652="Cancelado",0,ROUND(N($Q1652)+N($S1652)+N($T1652)-N($U1652),2)))</f>
        <v/>
      </c>
      <c r="AF1652" s="9">
        <f>IF($G1652="","",IFERROR(INDEX(LINHAS_DRE_PLANO,MATCH($G1652,SUBCATEGORIAS_PLANO,0)),"Não classificado"))</f>
        <v/>
      </c>
      <c r="AG1652" s="17">
        <f>IF($G1652="","",IFERROR(INDEX(TIPOS_FLUXO_PLANO,MATCH($G1652,SUBCATEGORIAS_PLANO,0)),"Não classificado"))</f>
        <v/>
      </c>
      <c r="AH1652" s="9">
        <f>IF($G1652="","",IFERROR(INDEX(GRUPOS_PLANO,MATCH($G1652,SUBCATEGORIAS_PLANO,0)),"Não classificado"))</f>
        <v/>
      </c>
      <c r="AI1652" s="24">
        <f>IF(OR($C1652="",$X1652="Pago",$X1652="Recebido",$X1652="Cancelado"),"",$C1652-TODAY())</f>
        <v/>
      </c>
      <c r="AJ1652" s="24">
        <f>IF(OR($C1652="",$X1652="Pago",$X1652="Recebido",$X1652="Cancelado"),0,MAX(0,TODAY()-$C1652))</f>
        <v/>
      </c>
      <c r="AK1652" s="24">
        <f>IF($D1652="","",$D1652-$B1652)</f>
        <v/>
      </c>
      <c r="AL1652" s="18">
        <f>IF(OR($D1652="",$B1652=""),"",ROUND(N($R1652)*($D1652-$B1652),2))</f>
        <v/>
      </c>
      <c r="AM1652" s="17">
        <f>IF(AND($E1652="Saída",$W1652&gt;0,$C1652&lt;&gt;""),$C1652+ROW()/1000000,"")</f>
        <v/>
      </c>
      <c r="AN1652" s="17">
        <f>IF(AND($E1652="Entrada",$W1652&gt;0,$C1652&lt;&gt;""),$C1652+ROW()/1000000,"")</f>
        <v/>
      </c>
      <c r="AO1652" s="9">
        <f>IF(COUNTA($B1652:$R1652)=0,"",IF(AND($I1652&lt;&gt;"",COUNTIF(CLIENTES_NOMES,$I1652)+COUNTIF(CLIENTES_FANTASIA,$I1652)+COUNTIF(FORNECEDORES_NOMES,$I1652)+COUNTIF(FORNECEDORES_FANTASIA,$I1652)=0),"⚠ Cliente/Fornecedor não cadastrado",IF(AND($G1652&lt;&gt;"",COUNTIF(SUBCATEGORIAS_PLANO,$G1652)=0),"⚠ Subcategoria fora do plano de contas",IF(OR($Q1652="",N($Q1652)=0),"⚠ Valor previsto não informado",IF(AND(OR($X1652="Pago",$X1652="Recebido"),$D1652=""),"⚠ Status pago/recebido sem data",IF(AND($D1652&lt;&gt;"",N($R1652)=0),"⚠ Data de pagamento sem valor realizado",IF(AND(N($P1652)&gt;1,N($O1652)&gt;N($P1652)),"⚠ Nº da parcela maior que o total",IF(AND($C1652&lt;&gt;"",$B1652&lt;&gt;"",$C1652&lt;$B1652),"⚠ Vencimento anterior à competência","OK"))))))))</f>
        <v/>
      </c>
    </row>
    <row r="1653">
      <c r="A1653" s="14" t="n"/>
      <c r="B1653" s="36" t="n"/>
      <c r="C1653" s="36" t="n"/>
      <c r="D1653" s="36" t="n"/>
      <c r="E1653" s="14" t="n"/>
      <c r="F1653" s="29" t="n"/>
      <c r="G1653" s="29" t="n"/>
      <c r="H1653" s="29" t="n"/>
      <c r="I1653" s="29" t="n"/>
      <c r="J1653" s="29" t="n"/>
      <c r="K1653" s="14" t="n"/>
      <c r="L1653" s="29" t="n"/>
      <c r="M1653" s="14" t="n"/>
      <c r="N1653" s="29" t="n"/>
      <c r="O1653" s="13" t="n"/>
      <c r="P1653" s="13" t="n"/>
      <c r="Q1653" s="35" t="n"/>
      <c r="R1653" s="35" t="n"/>
      <c r="S1653" s="35" t="n"/>
      <c r="T1653" s="35" t="n"/>
      <c r="U1653" s="35" t="n"/>
      <c r="V1653" s="18">
        <f>IF(COUNTA($B1653:$R1653)=0,"",ROUND(N($R1653)+N($S1653)+N($T1653)-N($U1653),2))</f>
        <v/>
      </c>
      <c r="W1653" s="18">
        <f>IF(COUNTA($B1653:$R1653)=0,"",IF(OR($X1653="Pago",$X1653="Recebido",$X1653="Cancelado"),0,ROUND(N($Q1653)+N($S1653)+N($T1653)-N($U1653)-N($R1653),2)))</f>
        <v/>
      </c>
      <c r="X1653" s="14" t="n"/>
      <c r="Y1653" s="17">
        <f>IF(COUNTA($B1653:$R1653)=0,"",IF($X1653="Cancelado","Cancelado",IF(OR($X1653="Pago",$X1653="Recebido"),$X1653,IF(OR($X1653="Parcial",N($R1653)&gt;0),"Parcial",IF($C1653="","Sem vencimento",IF($C1653&lt;TODAY(),"Vencido",IF($C1653=TODAY(),"Vence hoje",IF($C1653&lt;=TODAY()+7,"Vence em 7 dias",IF($C1653&lt;=TODAY()+30,"Vence em 30 dias","Futuro")))))))))</f>
        <v/>
      </c>
      <c r="Z1653" s="24">
        <f>IF($B1653="","",MONTH($B1653))</f>
        <v/>
      </c>
      <c r="AA1653" s="24">
        <f>IF($B1653="","",YEAR($B1653))</f>
        <v/>
      </c>
      <c r="AB1653" s="24">
        <f>IF($B1653="","",ISOWEEKNUM($B1653))</f>
        <v/>
      </c>
      <c r="AC1653" s="17">
        <f>IF($B1653="","",CHOOSE(WEEKDAY($B1653,2),"Segunda","Terça","Quarta","Quinta","Sexta","Sábado","Domingo"))</f>
        <v/>
      </c>
      <c r="AD1653" s="17">
        <f>IF($B1653="","",TEXT($B1653,"MM/AAAA"))</f>
        <v/>
      </c>
      <c r="AE1653" s="18">
        <f>IF(COUNTA($B1653:$R1653)=0,"",IF($X1653="Cancelado",0,ROUND(N($Q1653)+N($S1653)+N($T1653)-N($U1653),2)))</f>
        <v/>
      </c>
      <c r="AF1653" s="9">
        <f>IF($G1653="","",IFERROR(INDEX(LINHAS_DRE_PLANO,MATCH($G1653,SUBCATEGORIAS_PLANO,0)),"Não classificado"))</f>
        <v/>
      </c>
      <c r="AG1653" s="17">
        <f>IF($G1653="","",IFERROR(INDEX(TIPOS_FLUXO_PLANO,MATCH($G1653,SUBCATEGORIAS_PLANO,0)),"Não classificado"))</f>
        <v/>
      </c>
      <c r="AH1653" s="9">
        <f>IF($G1653="","",IFERROR(INDEX(GRUPOS_PLANO,MATCH($G1653,SUBCATEGORIAS_PLANO,0)),"Não classificado"))</f>
        <v/>
      </c>
      <c r="AI1653" s="24">
        <f>IF(OR($C1653="",$X1653="Pago",$X1653="Recebido",$X1653="Cancelado"),"",$C1653-TODAY())</f>
        <v/>
      </c>
      <c r="AJ1653" s="24">
        <f>IF(OR($C1653="",$X1653="Pago",$X1653="Recebido",$X1653="Cancelado"),0,MAX(0,TODAY()-$C1653))</f>
        <v/>
      </c>
      <c r="AK1653" s="24">
        <f>IF($D1653="","",$D1653-$B1653)</f>
        <v/>
      </c>
      <c r="AL1653" s="18">
        <f>IF(OR($D1653="",$B1653=""),"",ROUND(N($R1653)*($D1653-$B1653),2))</f>
        <v/>
      </c>
      <c r="AM1653" s="17">
        <f>IF(AND($E1653="Saída",$W1653&gt;0,$C1653&lt;&gt;""),$C1653+ROW()/1000000,"")</f>
        <v/>
      </c>
      <c r="AN1653" s="17">
        <f>IF(AND($E1653="Entrada",$W1653&gt;0,$C1653&lt;&gt;""),$C1653+ROW()/1000000,"")</f>
        <v/>
      </c>
      <c r="AO1653" s="9">
        <f>IF(COUNTA($B1653:$R1653)=0,"",IF(AND($I1653&lt;&gt;"",COUNTIF(CLIENTES_NOMES,$I1653)+COUNTIF(CLIENTES_FANTASIA,$I1653)+COUNTIF(FORNECEDORES_NOMES,$I1653)+COUNTIF(FORNECEDORES_FANTASIA,$I1653)=0),"⚠ Cliente/Fornecedor não cadastrado",IF(AND($G1653&lt;&gt;"",COUNTIF(SUBCATEGORIAS_PLANO,$G1653)=0),"⚠ Subcategoria fora do plano de contas",IF(OR($Q1653="",N($Q1653)=0),"⚠ Valor previsto não informado",IF(AND(OR($X1653="Pago",$X1653="Recebido"),$D1653=""),"⚠ Status pago/recebido sem data",IF(AND($D1653&lt;&gt;"",N($R1653)=0),"⚠ Data de pagamento sem valor realizado",IF(AND(N($P1653)&gt;1,N($O1653)&gt;N($P1653)),"⚠ Nº da parcela maior que o total",IF(AND($C1653&lt;&gt;"",$B1653&lt;&gt;"",$C1653&lt;$B1653),"⚠ Vencimento anterior à competência","OK"))))))))</f>
        <v/>
      </c>
    </row>
    <row r="1654">
      <c r="A1654" s="14" t="n"/>
      <c r="B1654" s="36" t="n"/>
      <c r="C1654" s="36" t="n"/>
      <c r="D1654" s="36" t="n"/>
      <c r="E1654" s="14" t="n"/>
      <c r="F1654" s="29" t="n"/>
      <c r="G1654" s="29" t="n"/>
      <c r="H1654" s="29" t="n"/>
      <c r="I1654" s="29" t="n"/>
      <c r="J1654" s="29" t="n"/>
      <c r="K1654" s="14" t="n"/>
      <c r="L1654" s="29" t="n"/>
      <c r="M1654" s="14" t="n"/>
      <c r="N1654" s="29" t="n"/>
      <c r="O1654" s="13" t="n"/>
      <c r="P1654" s="13" t="n"/>
      <c r="Q1654" s="35" t="n"/>
      <c r="R1654" s="35" t="n"/>
      <c r="S1654" s="35" t="n"/>
      <c r="T1654" s="35" t="n"/>
      <c r="U1654" s="35" t="n"/>
      <c r="V1654" s="18">
        <f>IF(COUNTA($B1654:$R1654)=0,"",ROUND(N($R1654)+N($S1654)+N($T1654)-N($U1654),2))</f>
        <v/>
      </c>
      <c r="W1654" s="18">
        <f>IF(COUNTA($B1654:$R1654)=0,"",IF(OR($X1654="Pago",$X1654="Recebido",$X1654="Cancelado"),0,ROUND(N($Q1654)+N($S1654)+N($T1654)-N($U1654)-N($R1654),2)))</f>
        <v/>
      </c>
      <c r="X1654" s="14" t="n"/>
      <c r="Y1654" s="17">
        <f>IF(COUNTA($B1654:$R1654)=0,"",IF($X1654="Cancelado","Cancelado",IF(OR($X1654="Pago",$X1654="Recebido"),$X1654,IF(OR($X1654="Parcial",N($R1654)&gt;0),"Parcial",IF($C1654="","Sem vencimento",IF($C1654&lt;TODAY(),"Vencido",IF($C1654=TODAY(),"Vence hoje",IF($C1654&lt;=TODAY()+7,"Vence em 7 dias",IF($C1654&lt;=TODAY()+30,"Vence em 30 dias","Futuro")))))))))</f>
        <v/>
      </c>
      <c r="Z1654" s="24">
        <f>IF($B1654="","",MONTH($B1654))</f>
        <v/>
      </c>
      <c r="AA1654" s="24">
        <f>IF($B1654="","",YEAR($B1654))</f>
        <v/>
      </c>
      <c r="AB1654" s="24">
        <f>IF($B1654="","",ISOWEEKNUM($B1654))</f>
        <v/>
      </c>
      <c r="AC1654" s="17">
        <f>IF($B1654="","",CHOOSE(WEEKDAY($B1654,2),"Segunda","Terça","Quarta","Quinta","Sexta","Sábado","Domingo"))</f>
        <v/>
      </c>
      <c r="AD1654" s="17">
        <f>IF($B1654="","",TEXT($B1654,"MM/AAAA"))</f>
        <v/>
      </c>
      <c r="AE1654" s="18">
        <f>IF(COUNTA($B1654:$R1654)=0,"",IF($X1654="Cancelado",0,ROUND(N($Q1654)+N($S1654)+N($T1654)-N($U1654),2)))</f>
        <v/>
      </c>
      <c r="AF1654" s="9">
        <f>IF($G1654="","",IFERROR(INDEX(LINHAS_DRE_PLANO,MATCH($G1654,SUBCATEGORIAS_PLANO,0)),"Não classificado"))</f>
        <v/>
      </c>
      <c r="AG1654" s="17">
        <f>IF($G1654="","",IFERROR(INDEX(TIPOS_FLUXO_PLANO,MATCH($G1654,SUBCATEGORIAS_PLANO,0)),"Não classificado"))</f>
        <v/>
      </c>
      <c r="AH1654" s="9">
        <f>IF($G1654="","",IFERROR(INDEX(GRUPOS_PLANO,MATCH($G1654,SUBCATEGORIAS_PLANO,0)),"Não classificado"))</f>
        <v/>
      </c>
      <c r="AI1654" s="24">
        <f>IF(OR($C1654="",$X1654="Pago",$X1654="Recebido",$X1654="Cancelado"),"",$C1654-TODAY())</f>
        <v/>
      </c>
      <c r="AJ1654" s="24">
        <f>IF(OR($C1654="",$X1654="Pago",$X1654="Recebido",$X1654="Cancelado"),0,MAX(0,TODAY()-$C1654))</f>
        <v/>
      </c>
      <c r="AK1654" s="24">
        <f>IF($D1654="","",$D1654-$B1654)</f>
        <v/>
      </c>
      <c r="AL1654" s="18">
        <f>IF(OR($D1654="",$B1654=""),"",ROUND(N($R1654)*($D1654-$B1654),2))</f>
        <v/>
      </c>
      <c r="AM1654" s="17">
        <f>IF(AND($E1654="Saída",$W1654&gt;0,$C1654&lt;&gt;""),$C1654+ROW()/1000000,"")</f>
        <v/>
      </c>
      <c r="AN1654" s="17">
        <f>IF(AND($E1654="Entrada",$W1654&gt;0,$C1654&lt;&gt;""),$C1654+ROW()/1000000,"")</f>
        <v/>
      </c>
      <c r="AO1654" s="9">
        <f>IF(COUNTA($B1654:$R1654)=0,"",IF(AND($I1654&lt;&gt;"",COUNTIF(CLIENTES_NOMES,$I1654)+COUNTIF(CLIENTES_FANTASIA,$I1654)+COUNTIF(FORNECEDORES_NOMES,$I1654)+COUNTIF(FORNECEDORES_FANTASIA,$I1654)=0),"⚠ Cliente/Fornecedor não cadastrado",IF(AND($G1654&lt;&gt;"",COUNTIF(SUBCATEGORIAS_PLANO,$G1654)=0),"⚠ Subcategoria fora do plano de contas",IF(OR($Q1654="",N($Q1654)=0),"⚠ Valor previsto não informado",IF(AND(OR($X1654="Pago",$X1654="Recebido"),$D1654=""),"⚠ Status pago/recebido sem data",IF(AND($D1654&lt;&gt;"",N($R1654)=0),"⚠ Data de pagamento sem valor realizado",IF(AND(N($P1654)&gt;1,N($O1654)&gt;N($P1654)),"⚠ Nº da parcela maior que o total",IF(AND($C1654&lt;&gt;"",$B1654&lt;&gt;"",$C1654&lt;$B1654),"⚠ Vencimento anterior à competência","OK"))))))))</f>
        <v/>
      </c>
    </row>
    <row r="1655">
      <c r="A1655" s="14" t="n"/>
      <c r="B1655" s="36" t="n"/>
      <c r="C1655" s="36" t="n"/>
      <c r="D1655" s="36" t="n"/>
      <c r="E1655" s="14" t="n"/>
      <c r="F1655" s="29" t="n"/>
      <c r="G1655" s="29" t="n"/>
      <c r="H1655" s="29" t="n"/>
      <c r="I1655" s="29" t="n"/>
      <c r="J1655" s="29" t="n"/>
      <c r="K1655" s="14" t="n"/>
      <c r="L1655" s="29" t="n"/>
      <c r="M1655" s="14" t="n"/>
      <c r="N1655" s="29" t="n"/>
      <c r="O1655" s="13" t="n"/>
      <c r="P1655" s="13" t="n"/>
      <c r="Q1655" s="35" t="n"/>
      <c r="R1655" s="35" t="n"/>
      <c r="S1655" s="35" t="n"/>
      <c r="T1655" s="35" t="n"/>
      <c r="U1655" s="35" t="n"/>
      <c r="V1655" s="18">
        <f>IF(COUNTA($B1655:$R1655)=0,"",ROUND(N($R1655)+N($S1655)+N($T1655)-N($U1655),2))</f>
        <v/>
      </c>
      <c r="W1655" s="18">
        <f>IF(COUNTA($B1655:$R1655)=0,"",IF(OR($X1655="Pago",$X1655="Recebido",$X1655="Cancelado"),0,ROUND(N($Q1655)+N($S1655)+N($T1655)-N($U1655)-N($R1655),2)))</f>
        <v/>
      </c>
      <c r="X1655" s="14" t="n"/>
      <c r="Y1655" s="17">
        <f>IF(COUNTA($B1655:$R1655)=0,"",IF($X1655="Cancelado","Cancelado",IF(OR($X1655="Pago",$X1655="Recebido"),$X1655,IF(OR($X1655="Parcial",N($R1655)&gt;0),"Parcial",IF($C1655="","Sem vencimento",IF($C1655&lt;TODAY(),"Vencido",IF($C1655=TODAY(),"Vence hoje",IF($C1655&lt;=TODAY()+7,"Vence em 7 dias",IF($C1655&lt;=TODAY()+30,"Vence em 30 dias","Futuro")))))))))</f>
        <v/>
      </c>
      <c r="Z1655" s="24">
        <f>IF($B1655="","",MONTH($B1655))</f>
        <v/>
      </c>
      <c r="AA1655" s="24">
        <f>IF($B1655="","",YEAR($B1655))</f>
        <v/>
      </c>
      <c r="AB1655" s="24">
        <f>IF($B1655="","",ISOWEEKNUM($B1655))</f>
        <v/>
      </c>
      <c r="AC1655" s="17">
        <f>IF($B1655="","",CHOOSE(WEEKDAY($B1655,2),"Segunda","Terça","Quarta","Quinta","Sexta","Sábado","Domingo"))</f>
        <v/>
      </c>
      <c r="AD1655" s="17">
        <f>IF($B1655="","",TEXT($B1655,"MM/AAAA"))</f>
        <v/>
      </c>
      <c r="AE1655" s="18">
        <f>IF(COUNTA($B1655:$R1655)=0,"",IF($X1655="Cancelado",0,ROUND(N($Q1655)+N($S1655)+N($T1655)-N($U1655),2)))</f>
        <v/>
      </c>
      <c r="AF1655" s="9">
        <f>IF($G1655="","",IFERROR(INDEX(LINHAS_DRE_PLANO,MATCH($G1655,SUBCATEGORIAS_PLANO,0)),"Não classificado"))</f>
        <v/>
      </c>
      <c r="AG1655" s="17">
        <f>IF($G1655="","",IFERROR(INDEX(TIPOS_FLUXO_PLANO,MATCH($G1655,SUBCATEGORIAS_PLANO,0)),"Não classificado"))</f>
        <v/>
      </c>
      <c r="AH1655" s="9">
        <f>IF($G1655="","",IFERROR(INDEX(GRUPOS_PLANO,MATCH($G1655,SUBCATEGORIAS_PLANO,0)),"Não classificado"))</f>
        <v/>
      </c>
      <c r="AI1655" s="24">
        <f>IF(OR($C1655="",$X1655="Pago",$X1655="Recebido",$X1655="Cancelado"),"",$C1655-TODAY())</f>
        <v/>
      </c>
      <c r="AJ1655" s="24">
        <f>IF(OR($C1655="",$X1655="Pago",$X1655="Recebido",$X1655="Cancelado"),0,MAX(0,TODAY()-$C1655))</f>
        <v/>
      </c>
      <c r="AK1655" s="24">
        <f>IF($D1655="","",$D1655-$B1655)</f>
        <v/>
      </c>
      <c r="AL1655" s="18">
        <f>IF(OR($D1655="",$B1655=""),"",ROUND(N($R1655)*($D1655-$B1655),2))</f>
        <v/>
      </c>
      <c r="AM1655" s="17">
        <f>IF(AND($E1655="Saída",$W1655&gt;0,$C1655&lt;&gt;""),$C1655+ROW()/1000000,"")</f>
        <v/>
      </c>
      <c r="AN1655" s="17">
        <f>IF(AND($E1655="Entrada",$W1655&gt;0,$C1655&lt;&gt;""),$C1655+ROW()/1000000,"")</f>
        <v/>
      </c>
      <c r="AO1655" s="9">
        <f>IF(COUNTA($B1655:$R1655)=0,"",IF(AND($I1655&lt;&gt;"",COUNTIF(CLIENTES_NOMES,$I1655)+COUNTIF(CLIENTES_FANTASIA,$I1655)+COUNTIF(FORNECEDORES_NOMES,$I1655)+COUNTIF(FORNECEDORES_FANTASIA,$I1655)=0),"⚠ Cliente/Fornecedor não cadastrado",IF(AND($G1655&lt;&gt;"",COUNTIF(SUBCATEGORIAS_PLANO,$G1655)=0),"⚠ Subcategoria fora do plano de contas",IF(OR($Q1655="",N($Q1655)=0),"⚠ Valor previsto não informado",IF(AND(OR($X1655="Pago",$X1655="Recebido"),$D1655=""),"⚠ Status pago/recebido sem data",IF(AND($D1655&lt;&gt;"",N($R1655)=0),"⚠ Data de pagamento sem valor realizado",IF(AND(N($P1655)&gt;1,N($O1655)&gt;N($P1655)),"⚠ Nº da parcela maior que o total",IF(AND($C1655&lt;&gt;"",$B1655&lt;&gt;"",$C1655&lt;$B1655),"⚠ Vencimento anterior à competência","OK"))))))))</f>
        <v/>
      </c>
    </row>
    <row r="1656">
      <c r="A1656" s="14" t="n"/>
      <c r="B1656" s="36" t="n"/>
      <c r="C1656" s="36" t="n"/>
      <c r="D1656" s="36" t="n"/>
      <c r="E1656" s="14" t="n"/>
      <c r="F1656" s="29" t="n"/>
      <c r="G1656" s="29" t="n"/>
      <c r="H1656" s="29" t="n"/>
      <c r="I1656" s="29" t="n"/>
      <c r="J1656" s="29" t="n"/>
      <c r="K1656" s="14" t="n"/>
      <c r="L1656" s="29" t="n"/>
      <c r="M1656" s="14" t="n"/>
      <c r="N1656" s="29" t="n"/>
      <c r="O1656" s="13" t="n"/>
      <c r="P1656" s="13" t="n"/>
      <c r="Q1656" s="35" t="n"/>
      <c r="R1656" s="35" t="n"/>
      <c r="S1656" s="35" t="n"/>
      <c r="T1656" s="35" t="n"/>
      <c r="U1656" s="35" t="n"/>
      <c r="V1656" s="18">
        <f>IF(COUNTA($B1656:$R1656)=0,"",ROUND(N($R1656)+N($S1656)+N($T1656)-N($U1656),2))</f>
        <v/>
      </c>
      <c r="W1656" s="18">
        <f>IF(COUNTA($B1656:$R1656)=0,"",IF(OR($X1656="Pago",$X1656="Recebido",$X1656="Cancelado"),0,ROUND(N($Q1656)+N($S1656)+N($T1656)-N($U1656)-N($R1656),2)))</f>
        <v/>
      </c>
      <c r="X1656" s="14" t="n"/>
      <c r="Y1656" s="17">
        <f>IF(COUNTA($B1656:$R1656)=0,"",IF($X1656="Cancelado","Cancelado",IF(OR($X1656="Pago",$X1656="Recebido"),$X1656,IF(OR($X1656="Parcial",N($R1656)&gt;0),"Parcial",IF($C1656="","Sem vencimento",IF($C1656&lt;TODAY(),"Vencido",IF($C1656=TODAY(),"Vence hoje",IF($C1656&lt;=TODAY()+7,"Vence em 7 dias",IF($C1656&lt;=TODAY()+30,"Vence em 30 dias","Futuro")))))))))</f>
        <v/>
      </c>
      <c r="Z1656" s="24">
        <f>IF($B1656="","",MONTH($B1656))</f>
        <v/>
      </c>
      <c r="AA1656" s="24">
        <f>IF($B1656="","",YEAR($B1656))</f>
        <v/>
      </c>
      <c r="AB1656" s="24">
        <f>IF($B1656="","",ISOWEEKNUM($B1656))</f>
        <v/>
      </c>
      <c r="AC1656" s="17">
        <f>IF($B1656="","",CHOOSE(WEEKDAY($B1656,2),"Segunda","Terça","Quarta","Quinta","Sexta","Sábado","Domingo"))</f>
        <v/>
      </c>
      <c r="AD1656" s="17">
        <f>IF($B1656="","",TEXT($B1656,"MM/AAAA"))</f>
        <v/>
      </c>
      <c r="AE1656" s="18">
        <f>IF(COUNTA($B1656:$R1656)=0,"",IF($X1656="Cancelado",0,ROUND(N($Q1656)+N($S1656)+N($T1656)-N($U1656),2)))</f>
        <v/>
      </c>
      <c r="AF1656" s="9">
        <f>IF($G1656="","",IFERROR(INDEX(LINHAS_DRE_PLANO,MATCH($G1656,SUBCATEGORIAS_PLANO,0)),"Não classificado"))</f>
        <v/>
      </c>
      <c r="AG1656" s="17">
        <f>IF($G1656="","",IFERROR(INDEX(TIPOS_FLUXO_PLANO,MATCH($G1656,SUBCATEGORIAS_PLANO,0)),"Não classificado"))</f>
        <v/>
      </c>
      <c r="AH1656" s="9">
        <f>IF($G1656="","",IFERROR(INDEX(GRUPOS_PLANO,MATCH($G1656,SUBCATEGORIAS_PLANO,0)),"Não classificado"))</f>
        <v/>
      </c>
      <c r="AI1656" s="24">
        <f>IF(OR($C1656="",$X1656="Pago",$X1656="Recebido",$X1656="Cancelado"),"",$C1656-TODAY())</f>
        <v/>
      </c>
      <c r="AJ1656" s="24">
        <f>IF(OR($C1656="",$X1656="Pago",$X1656="Recebido",$X1656="Cancelado"),0,MAX(0,TODAY()-$C1656))</f>
        <v/>
      </c>
      <c r="AK1656" s="24">
        <f>IF($D1656="","",$D1656-$B1656)</f>
        <v/>
      </c>
      <c r="AL1656" s="18">
        <f>IF(OR($D1656="",$B1656=""),"",ROUND(N($R1656)*($D1656-$B1656),2))</f>
        <v/>
      </c>
      <c r="AM1656" s="17">
        <f>IF(AND($E1656="Saída",$W1656&gt;0,$C1656&lt;&gt;""),$C1656+ROW()/1000000,"")</f>
        <v/>
      </c>
      <c r="AN1656" s="17">
        <f>IF(AND($E1656="Entrada",$W1656&gt;0,$C1656&lt;&gt;""),$C1656+ROW()/1000000,"")</f>
        <v/>
      </c>
      <c r="AO1656" s="9">
        <f>IF(COUNTA($B1656:$R1656)=0,"",IF(AND($I1656&lt;&gt;"",COUNTIF(CLIENTES_NOMES,$I1656)+COUNTIF(CLIENTES_FANTASIA,$I1656)+COUNTIF(FORNECEDORES_NOMES,$I1656)+COUNTIF(FORNECEDORES_FANTASIA,$I1656)=0),"⚠ Cliente/Fornecedor não cadastrado",IF(AND($G1656&lt;&gt;"",COUNTIF(SUBCATEGORIAS_PLANO,$G1656)=0),"⚠ Subcategoria fora do plano de contas",IF(OR($Q1656="",N($Q1656)=0),"⚠ Valor previsto não informado",IF(AND(OR($X1656="Pago",$X1656="Recebido"),$D1656=""),"⚠ Status pago/recebido sem data",IF(AND($D1656&lt;&gt;"",N($R1656)=0),"⚠ Data de pagamento sem valor realizado",IF(AND(N($P1656)&gt;1,N($O1656)&gt;N($P1656)),"⚠ Nº da parcela maior que o total",IF(AND($C1656&lt;&gt;"",$B1656&lt;&gt;"",$C1656&lt;$B1656),"⚠ Vencimento anterior à competência","OK"))))))))</f>
        <v/>
      </c>
    </row>
    <row r="1657">
      <c r="A1657" s="14" t="n"/>
      <c r="B1657" s="36" t="n"/>
      <c r="C1657" s="36" t="n"/>
      <c r="D1657" s="36" t="n"/>
      <c r="E1657" s="14" t="n"/>
      <c r="F1657" s="29" t="n"/>
      <c r="G1657" s="29" t="n"/>
      <c r="H1657" s="29" t="n"/>
      <c r="I1657" s="29" t="n"/>
      <c r="J1657" s="29" t="n"/>
      <c r="K1657" s="14" t="n"/>
      <c r="L1657" s="29" t="n"/>
      <c r="M1657" s="14" t="n"/>
      <c r="N1657" s="29" t="n"/>
      <c r="O1657" s="13" t="n"/>
      <c r="P1657" s="13" t="n"/>
      <c r="Q1657" s="35" t="n"/>
      <c r="R1657" s="35" t="n"/>
      <c r="S1657" s="35" t="n"/>
      <c r="T1657" s="35" t="n"/>
      <c r="U1657" s="35" t="n"/>
      <c r="V1657" s="18">
        <f>IF(COUNTA($B1657:$R1657)=0,"",ROUND(N($R1657)+N($S1657)+N($T1657)-N($U1657),2))</f>
        <v/>
      </c>
      <c r="W1657" s="18">
        <f>IF(COUNTA($B1657:$R1657)=0,"",IF(OR($X1657="Pago",$X1657="Recebido",$X1657="Cancelado"),0,ROUND(N($Q1657)+N($S1657)+N($T1657)-N($U1657)-N($R1657),2)))</f>
        <v/>
      </c>
      <c r="X1657" s="14" t="n"/>
      <c r="Y1657" s="17">
        <f>IF(COUNTA($B1657:$R1657)=0,"",IF($X1657="Cancelado","Cancelado",IF(OR($X1657="Pago",$X1657="Recebido"),$X1657,IF(OR($X1657="Parcial",N($R1657)&gt;0),"Parcial",IF($C1657="","Sem vencimento",IF($C1657&lt;TODAY(),"Vencido",IF($C1657=TODAY(),"Vence hoje",IF($C1657&lt;=TODAY()+7,"Vence em 7 dias",IF($C1657&lt;=TODAY()+30,"Vence em 30 dias","Futuro")))))))))</f>
        <v/>
      </c>
      <c r="Z1657" s="24">
        <f>IF($B1657="","",MONTH($B1657))</f>
        <v/>
      </c>
      <c r="AA1657" s="24">
        <f>IF($B1657="","",YEAR($B1657))</f>
        <v/>
      </c>
      <c r="AB1657" s="24">
        <f>IF($B1657="","",ISOWEEKNUM($B1657))</f>
        <v/>
      </c>
      <c r="AC1657" s="17">
        <f>IF($B1657="","",CHOOSE(WEEKDAY($B1657,2),"Segunda","Terça","Quarta","Quinta","Sexta","Sábado","Domingo"))</f>
        <v/>
      </c>
      <c r="AD1657" s="17">
        <f>IF($B1657="","",TEXT($B1657,"MM/AAAA"))</f>
        <v/>
      </c>
      <c r="AE1657" s="18">
        <f>IF(COUNTA($B1657:$R1657)=0,"",IF($X1657="Cancelado",0,ROUND(N($Q1657)+N($S1657)+N($T1657)-N($U1657),2)))</f>
        <v/>
      </c>
      <c r="AF1657" s="9">
        <f>IF($G1657="","",IFERROR(INDEX(LINHAS_DRE_PLANO,MATCH($G1657,SUBCATEGORIAS_PLANO,0)),"Não classificado"))</f>
        <v/>
      </c>
      <c r="AG1657" s="17">
        <f>IF($G1657="","",IFERROR(INDEX(TIPOS_FLUXO_PLANO,MATCH($G1657,SUBCATEGORIAS_PLANO,0)),"Não classificado"))</f>
        <v/>
      </c>
      <c r="AH1657" s="9">
        <f>IF($G1657="","",IFERROR(INDEX(GRUPOS_PLANO,MATCH($G1657,SUBCATEGORIAS_PLANO,0)),"Não classificado"))</f>
        <v/>
      </c>
      <c r="AI1657" s="24">
        <f>IF(OR($C1657="",$X1657="Pago",$X1657="Recebido",$X1657="Cancelado"),"",$C1657-TODAY())</f>
        <v/>
      </c>
      <c r="AJ1657" s="24">
        <f>IF(OR($C1657="",$X1657="Pago",$X1657="Recebido",$X1657="Cancelado"),0,MAX(0,TODAY()-$C1657))</f>
        <v/>
      </c>
      <c r="AK1657" s="24">
        <f>IF($D1657="","",$D1657-$B1657)</f>
        <v/>
      </c>
      <c r="AL1657" s="18">
        <f>IF(OR($D1657="",$B1657=""),"",ROUND(N($R1657)*($D1657-$B1657),2))</f>
        <v/>
      </c>
      <c r="AM1657" s="17">
        <f>IF(AND($E1657="Saída",$W1657&gt;0,$C1657&lt;&gt;""),$C1657+ROW()/1000000,"")</f>
        <v/>
      </c>
      <c r="AN1657" s="17">
        <f>IF(AND($E1657="Entrada",$W1657&gt;0,$C1657&lt;&gt;""),$C1657+ROW()/1000000,"")</f>
        <v/>
      </c>
      <c r="AO1657" s="9">
        <f>IF(COUNTA($B1657:$R1657)=0,"",IF(AND($I1657&lt;&gt;"",COUNTIF(CLIENTES_NOMES,$I1657)+COUNTIF(CLIENTES_FANTASIA,$I1657)+COUNTIF(FORNECEDORES_NOMES,$I1657)+COUNTIF(FORNECEDORES_FANTASIA,$I1657)=0),"⚠ Cliente/Fornecedor não cadastrado",IF(AND($G1657&lt;&gt;"",COUNTIF(SUBCATEGORIAS_PLANO,$G1657)=0),"⚠ Subcategoria fora do plano de contas",IF(OR($Q1657="",N($Q1657)=0),"⚠ Valor previsto não informado",IF(AND(OR($X1657="Pago",$X1657="Recebido"),$D1657=""),"⚠ Status pago/recebido sem data",IF(AND($D1657&lt;&gt;"",N($R1657)=0),"⚠ Data de pagamento sem valor realizado",IF(AND(N($P1657)&gt;1,N($O1657)&gt;N($P1657)),"⚠ Nº da parcela maior que o total",IF(AND($C1657&lt;&gt;"",$B1657&lt;&gt;"",$C1657&lt;$B1657),"⚠ Vencimento anterior à competência","OK"))))))))</f>
        <v/>
      </c>
    </row>
    <row r="1658">
      <c r="A1658" s="14" t="n"/>
      <c r="B1658" s="36" t="n"/>
      <c r="C1658" s="36" t="n"/>
      <c r="D1658" s="36" t="n"/>
      <c r="E1658" s="14" t="n"/>
      <c r="F1658" s="29" t="n"/>
      <c r="G1658" s="29" t="n"/>
      <c r="H1658" s="29" t="n"/>
      <c r="I1658" s="29" t="n"/>
      <c r="J1658" s="29" t="n"/>
      <c r="K1658" s="14" t="n"/>
      <c r="L1658" s="29" t="n"/>
      <c r="M1658" s="14" t="n"/>
      <c r="N1658" s="29" t="n"/>
      <c r="O1658" s="13" t="n"/>
      <c r="P1658" s="13" t="n"/>
      <c r="Q1658" s="35" t="n"/>
      <c r="R1658" s="35" t="n"/>
      <c r="S1658" s="35" t="n"/>
      <c r="T1658" s="35" t="n"/>
      <c r="U1658" s="35" t="n"/>
      <c r="V1658" s="18">
        <f>IF(COUNTA($B1658:$R1658)=0,"",ROUND(N($R1658)+N($S1658)+N($T1658)-N($U1658),2))</f>
        <v/>
      </c>
      <c r="W1658" s="18">
        <f>IF(COUNTA($B1658:$R1658)=0,"",IF(OR($X1658="Pago",$X1658="Recebido",$X1658="Cancelado"),0,ROUND(N($Q1658)+N($S1658)+N($T1658)-N($U1658)-N($R1658),2)))</f>
        <v/>
      </c>
      <c r="X1658" s="14" t="n"/>
      <c r="Y1658" s="17">
        <f>IF(COUNTA($B1658:$R1658)=0,"",IF($X1658="Cancelado","Cancelado",IF(OR($X1658="Pago",$X1658="Recebido"),$X1658,IF(OR($X1658="Parcial",N($R1658)&gt;0),"Parcial",IF($C1658="","Sem vencimento",IF($C1658&lt;TODAY(),"Vencido",IF($C1658=TODAY(),"Vence hoje",IF($C1658&lt;=TODAY()+7,"Vence em 7 dias",IF($C1658&lt;=TODAY()+30,"Vence em 30 dias","Futuro")))))))))</f>
        <v/>
      </c>
      <c r="Z1658" s="24">
        <f>IF($B1658="","",MONTH($B1658))</f>
        <v/>
      </c>
      <c r="AA1658" s="24">
        <f>IF($B1658="","",YEAR($B1658))</f>
        <v/>
      </c>
      <c r="AB1658" s="24">
        <f>IF($B1658="","",ISOWEEKNUM($B1658))</f>
        <v/>
      </c>
      <c r="AC1658" s="17">
        <f>IF($B1658="","",CHOOSE(WEEKDAY($B1658,2),"Segunda","Terça","Quarta","Quinta","Sexta","Sábado","Domingo"))</f>
        <v/>
      </c>
      <c r="AD1658" s="17">
        <f>IF($B1658="","",TEXT($B1658,"MM/AAAA"))</f>
        <v/>
      </c>
      <c r="AE1658" s="18">
        <f>IF(COUNTA($B1658:$R1658)=0,"",IF($X1658="Cancelado",0,ROUND(N($Q1658)+N($S1658)+N($T1658)-N($U1658),2)))</f>
        <v/>
      </c>
      <c r="AF1658" s="9">
        <f>IF($G1658="","",IFERROR(INDEX(LINHAS_DRE_PLANO,MATCH($G1658,SUBCATEGORIAS_PLANO,0)),"Não classificado"))</f>
        <v/>
      </c>
      <c r="AG1658" s="17">
        <f>IF($G1658="","",IFERROR(INDEX(TIPOS_FLUXO_PLANO,MATCH($G1658,SUBCATEGORIAS_PLANO,0)),"Não classificado"))</f>
        <v/>
      </c>
      <c r="AH1658" s="9">
        <f>IF($G1658="","",IFERROR(INDEX(GRUPOS_PLANO,MATCH($G1658,SUBCATEGORIAS_PLANO,0)),"Não classificado"))</f>
        <v/>
      </c>
      <c r="AI1658" s="24">
        <f>IF(OR($C1658="",$X1658="Pago",$X1658="Recebido",$X1658="Cancelado"),"",$C1658-TODAY())</f>
        <v/>
      </c>
      <c r="AJ1658" s="24">
        <f>IF(OR($C1658="",$X1658="Pago",$X1658="Recebido",$X1658="Cancelado"),0,MAX(0,TODAY()-$C1658))</f>
        <v/>
      </c>
      <c r="AK1658" s="24">
        <f>IF($D1658="","",$D1658-$B1658)</f>
        <v/>
      </c>
      <c r="AL1658" s="18">
        <f>IF(OR($D1658="",$B1658=""),"",ROUND(N($R1658)*($D1658-$B1658),2))</f>
        <v/>
      </c>
      <c r="AM1658" s="17">
        <f>IF(AND($E1658="Saída",$W1658&gt;0,$C1658&lt;&gt;""),$C1658+ROW()/1000000,"")</f>
        <v/>
      </c>
      <c r="AN1658" s="17">
        <f>IF(AND($E1658="Entrada",$W1658&gt;0,$C1658&lt;&gt;""),$C1658+ROW()/1000000,"")</f>
        <v/>
      </c>
      <c r="AO1658" s="9">
        <f>IF(COUNTA($B1658:$R1658)=0,"",IF(AND($I1658&lt;&gt;"",COUNTIF(CLIENTES_NOMES,$I1658)+COUNTIF(CLIENTES_FANTASIA,$I1658)+COUNTIF(FORNECEDORES_NOMES,$I1658)+COUNTIF(FORNECEDORES_FANTASIA,$I1658)=0),"⚠ Cliente/Fornecedor não cadastrado",IF(AND($G1658&lt;&gt;"",COUNTIF(SUBCATEGORIAS_PLANO,$G1658)=0),"⚠ Subcategoria fora do plano de contas",IF(OR($Q1658="",N($Q1658)=0),"⚠ Valor previsto não informado",IF(AND(OR($X1658="Pago",$X1658="Recebido"),$D1658=""),"⚠ Status pago/recebido sem data",IF(AND($D1658&lt;&gt;"",N($R1658)=0),"⚠ Data de pagamento sem valor realizado",IF(AND(N($P1658)&gt;1,N($O1658)&gt;N($P1658)),"⚠ Nº da parcela maior que o total",IF(AND($C1658&lt;&gt;"",$B1658&lt;&gt;"",$C1658&lt;$B1658),"⚠ Vencimento anterior à competência","OK"))))))))</f>
        <v/>
      </c>
    </row>
    <row r="1659">
      <c r="A1659" s="14" t="n"/>
      <c r="B1659" s="36" t="n"/>
      <c r="C1659" s="36" t="n"/>
      <c r="D1659" s="36" t="n"/>
      <c r="E1659" s="14" t="n"/>
      <c r="F1659" s="29" t="n"/>
      <c r="G1659" s="29" t="n"/>
      <c r="H1659" s="29" t="n"/>
      <c r="I1659" s="29" t="n"/>
      <c r="J1659" s="29" t="n"/>
      <c r="K1659" s="14" t="n"/>
      <c r="L1659" s="29" t="n"/>
      <c r="M1659" s="14" t="n"/>
      <c r="N1659" s="29" t="n"/>
      <c r="O1659" s="13" t="n"/>
      <c r="P1659" s="13" t="n"/>
      <c r="Q1659" s="35" t="n"/>
      <c r="R1659" s="35" t="n"/>
      <c r="S1659" s="35" t="n"/>
      <c r="T1659" s="35" t="n"/>
      <c r="U1659" s="35" t="n"/>
      <c r="V1659" s="18">
        <f>IF(COUNTA($B1659:$R1659)=0,"",ROUND(N($R1659)+N($S1659)+N($T1659)-N($U1659),2))</f>
        <v/>
      </c>
      <c r="W1659" s="18">
        <f>IF(COUNTA($B1659:$R1659)=0,"",IF(OR($X1659="Pago",$X1659="Recebido",$X1659="Cancelado"),0,ROUND(N($Q1659)+N($S1659)+N($T1659)-N($U1659)-N($R1659),2)))</f>
        <v/>
      </c>
      <c r="X1659" s="14" t="n"/>
      <c r="Y1659" s="17">
        <f>IF(COUNTA($B1659:$R1659)=0,"",IF($X1659="Cancelado","Cancelado",IF(OR($X1659="Pago",$X1659="Recebido"),$X1659,IF(OR($X1659="Parcial",N($R1659)&gt;0),"Parcial",IF($C1659="","Sem vencimento",IF($C1659&lt;TODAY(),"Vencido",IF($C1659=TODAY(),"Vence hoje",IF($C1659&lt;=TODAY()+7,"Vence em 7 dias",IF($C1659&lt;=TODAY()+30,"Vence em 30 dias","Futuro")))))))))</f>
        <v/>
      </c>
      <c r="Z1659" s="24">
        <f>IF($B1659="","",MONTH($B1659))</f>
        <v/>
      </c>
      <c r="AA1659" s="24">
        <f>IF($B1659="","",YEAR($B1659))</f>
        <v/>
      </c>
      <c r="AB1659" s="24">
        <f>IF($B1659="","",ISOWEEKNUM($B1659))</f>
        <v/>
      </c>
      <c r="AC1659" s="17">
        <f>IF($B1659="","",CHOOSE(WEEKDAY($B1659,2),"Segunda","Terça","Quarta","Quinta","Sexta","Sábado","Domingo"))</f>
        <v/>
      </c>
      <c r="AD1659" s="17">
        <f>IF($B1659="","",TEXT($B1659,"MM/AAAA"))</f>
        <v/>
      </c>
      <c r="AE1659" s="18">
        <f>IF(COUNTA($B1659:$R1659)=0,"",IF($X1659="Cancelado",0,ROUND(N($Q1659)+N($S1659)+N($T1659)-N($U1659),2)))</f>
        <v/>
      </c>
      <c r="AF1659" s="9">
        <f>IF($G1659="","",IFERROR(INDEX(LINHAS_DRE_PLANO,MATCH($G1659,SUBCATEGORIAS_PLANO,0)),"Não classificado"))</f>
        <v/>
      </c>
      <c r="AG1659" s="17">
        <f>IF($G1659="","",IFERROR(INDEX(TIPOS_FLUXO_PLANO,MATCH($G1659,SUBCATEGORIAS_PLANO,0)),"Não classificado"))</f>
        <v/>
      </c>
      <c r="AH1659" s="9">
        <f>IF($G1659="","",IFERROR(INDEX(GRUPOS_PLANO,MATCH($G1659,SUBCATEGORIAS_PLANO,0)),"Não classificado"))</f>
        <v/>
      </c>
      <c r="AI1659" s="24">
        <f>IF(OR($C1659="",$X1659="Pago",$X1659="Recebido",$X1659="Cancelado"),"",$C1659-TODAY())</f>
        <v/>
      </c>
      <c r="AJ1659" s="24">
        <f>IF(OR($C1659="",$X1659="Pago",$X1659="Recebido",$X1659="Cancelado"),0,MAX(0,TODAY()-$C1659))</f>
        <v/>
      </c>
      <c r="AK1659" s="24">
        <f>IF($D1659="","",$D1659-$B1659)</f>
        <v/>
      </c>
      <c r="AL1659" s="18">
        <f>IF(OR($D1659="",$B1659=""),"",ROUND(N($R1659)*($D1659-$B1659),2))</f>
        <v/>
      </c>
      <c r="AM1659" s="17">
        <f>IF(AND($E1659="Saída",$W1659&gt;0,$C1659&lt;&gt;""),$C1659+ROW()/1000000,"")</f>
        <v/>
      </c>
      <c r="AN1659" s="17">
        <f>IF(AND($E1659="Entrada",$W1659&gt;0,$C1659&lt;&gt;""),$C1659+ROW()/1000000,"")</f>
        <v/>
      </c>
      <c r="AO1659" s="9">
        <f>IF(COUNTA($B1659:$R1659)=0,"",IF(AND($I1659&lt;&gt;"",COUNTIF(CLIENTES_NOMES,$I1659)+COUNTIF(CLIENTES_FANTASIA,$I1659)+COUNTIF(FORNECEDORES_NOMES,$I1659)+COUNTIF(FORNECEDORES_FANTASIA,$I1659)=0),"⚠ Cliente/Fornecedor não cadastrado",IF(AND($G1659&lt;&gt;"",COUNTIF(SUBCATEGORIAS_PLANO,$G1659)=0),"⚠ Subcategoria fora do plano de contas",IF(OR($Q1659="",N($Q1659)=0),"⚠ Valor previsto não informado",IF(AND(OR($X1659="Pago",$X1659="Recebido"),$D1659=""),"⚠ Status pago/recebido sem data",IF(AND($D1659&lt;&gt;"",N($R1659)=0),"⚠ Data de pagamento sem valor realizado",IF(AND(N($P1659)&gt;1,N($O1659)&gt;N($P1659)),"⚠ Nº da parcela maior que o total",IF(AND($C1659&lt;&gt;"",$B1659&lt;&gt;"",$C1659&lt;$B1659),"⚠ Vencimento anterior à competência","OK"))))))))</f>
        <v/>
      </c>
    </row>
    <row r="1660">
      <c r="A1660" s="14" t="n"/>
      <c r="B1660" s="36" t="n"/>
      <c r="C1660" s="36" t="n"/>
      <c r="D1660" s="36" t="n"/>
      <c r="E1660" s="14" t="n"/>
      <c r="F1660" s="29" t="n"/>
      <c r="G1660" s="29" t="n"/>
      <c r="H1660" s="29" t="n"/>
      <c r="I1660" s="29" t="n"/>
      <c r="J1660" s="29" t="n"/>
      <c r="K1660" s="14" t="n"/>
      <c r="L1660" s="29" t="n"/>
      <c r="M1660" s="14" t="n"/>
      <c r="N1660" s="29" t="n"/>
      <c r="O1660" s="13" t="n"/>
      <c r="P1660" s="13" t="n"/>
      <c r="Q1660" s="35" t="n"/>
      <c r="R1660" s="35" t="n"/>
      <c r="S1660" s="35" t="n"/>
      <c r="T1660" s="35" t="n"/>
      <c r="U1660" s="35" t="n"/>
      <c r="V1660" s="18">
        <f>IF(COUNTA($B1660:$R1660)=0,"",ROUND(N($R1660)+N($S1660)+N($T1660)-N($U1660),2))</f>
        <v/>
      </c>
      <c r="W1660" s="18">
        <f>IF(COUNTA($B1660:$R1660)=0,"",IF(OR($X1660="Pago",$X1660="Recebido",$X1660="Cancelado"),0,ROUND(N($Q1660)+N($S1660)+N($T1660)-N($U1660)-N($R1660),2)))</f>
        <v/>
      </c>
      <c r="X1660" s="14" t="n"/>
      <c r="Y1660" s="17">
        <f>IF(COUNTA($B1660:$R1660)=0,"",IF($X1660="Cancelado","Cancelado",IF(OR($X1660="Pago",$X1660="Recebido"),$X1660,IF(OR($X1660="Parcial",N($R1660)&gt;0),"Parcial",IF($C1660="","Sem vencimento",IF($C1660&lt;TODAY(),"Vencido",IF($C1660=TODAY(),"Vence hoje",IF($C1660&lt;=TODAY()+7,"Vence em 7 dias",IF($C1660&lt;=TODAY()+30,"Vence em 30 dias","Futuro")))))))))</f>
        <v/>
      </c>
      <c r="Z1660" s="24">
        <f>IF($B1660="","",MONTH($B1660))</f>
        <v/>
      </c>
      <c r="AA1660" s="24">
        <f>IF($B1660="","",YEAR($B1660))</f>
        <v/>
      </c>
      <c r="AB1660" s="24">
        <f>IF($B1660="","",ISOWEEKNUM($B1660))</f>
        <v/>
      </c>
      <c r="AC1660" s="17">
        <f>IF($B1660="","",CHOOSE(WEEKDAY($B1660,2),"Segunda","Terça","Quarta","Quinta","Sexta","Sábado","Domingo"))</f>
        <v/>
      </c>
      <c r="AD1660" s="17">
        <f>IF($B1660="","",TEXT($B1660,"MM/AAAA"))</f>
        <v/>
      </c>
      <c r="AE1660" s="18">
        <f>IF(COUNTA($B1660:$R1660)=0,"",IF($X1660="Cancelado",0,ROUND(N($Q1660)+N($S1660)+N($T1660)-N($U1660),2)))</f>
        <v/>
      </c>
      <c r="AF1660" s="9">
        <f>IF($G1660="","",IFERROR(INDEX(LINHAS_DRE_PLANO,MATCH($G1660,SUBCATEGORIAS_PLANO,0)),"Não classificado"))</f>
        <v/>
      </c>
      <c r="AG1660" s="17">
        <f>IF($G1660="","",IFERROR(INDEX(TIPOS_FLUXO_PLANO,MATCH($G1660,SUBCATEGORIAS_PLANO,0)),"Não classificado"))</f>
        <v/>
      </c>
      <c r="AH1660" s="9">
        <f>IF($G1660="","",IFERROR(INDEX(GRUPOS_PLANO,MATCH($G1660,SUBCATEGORIAS_PLANO,0)),"Não classificado"))</f>
        <v/>
      </c>
      <c r="AI1660" s="24">
        <f>IF(OR($C1660="",$X1660="Pago",$X1660="Recebido",$X1660="Cancelado"),"",$C1660-TODAY())</f>
        <v/>
      </c>
      <c r="AJ1660" s="24">
        <f>IF(OR($C1660="",$X1660="Pago",$X1660="Recebido",$X1660="Cancelado"),0,MAX(0,TODAY()-$C1660))</f>
        <v/>
      </c>
      <c r="AK1660" s="24">
        <f>IF($D1660="","",$D1660-$B1660)</f>
        <v/>
      </c>
      <c r="AL1660" s="18">
        <f>IF(OR($D1660="",$B1660=""),"",ROUND(N($R1660)*($D1660-$B1660),2))</f>
        <v/>
      </c>
      <c r="AM1660" s="17">
        <f>IF(AND($E1660="Saída",$W1660&gt;0,$C1660&lt;&gt;""),$C1660+ROW()/1000000,"")</f>
        <v/>
      </c>
      <c r="AN1660" s="17">
        <f>IF(AND($E1660="Entrada",$W1660&gt;0,$C1660&lt;&gt;""),$C1660+ROW()/1000000,"")</f>
        <v/>
      </c>
      <c r="AO1660" s="9">
        <f>IF(COUNTA($B1660:$R1660)=0,"",IF(AND($I1660&lt;&gt;"",COUNTIF(CLIENTES_NOMES,$I1660)+COUNTIF(CLIENTES_FANTASIA,$I1660)+COUNTIF(FORNECEDORES_NOMES,$I1660)+COUNTIF(FORNECEDORES_FANTASIA,$I1660)=0),"⚠ Cliente/Fornecedor não cadastrado",IF(AND($G1660&lt;&gt;"",COUNTIF(SUBCATEGORIAS_PLANO,$G1660)=0),"⚠ Subcategoria fora do plano de contas",IF(OR($Q1660="",N($Q1660)=0),"⚠ Valor previsto não informado",IF(AND(OR($X1660="Pago",$X1660="Recebido"),$D1660=""),"⚠ Status pago/recebido sem data",IF(AND($D1660&lt;&gt;"",N($R1660)=0),"⚠ Data de pagamento sem valor realizado",IF(AND(N($P1660)&gt;1,N($O1660)&gt;N($P1660)),"⚠ Nº da parcela maior que o total",IF(AND($C1660&lt;&gt;"",$B1660&lt;&gt;"",$C1660&lt;$B1660),"⚠ Vencimento anterior à competência","OK"))))))))</f>
        <v/>
      </c>
    </row>
    <row r="1661">
      <c r="A1661" s="14" t="n"/>
      <c r="B1661" s="36" t="n"/>
      <c r="C1661" s="36" t="n"/>
      <c r="D1661" s="36" t="n"/>
      <c r="E1661" s="14" t="n"/>
      <c r="F1661" s="29" t="n"/>
      <c r="G1661" s="29" t="n"/>
      <c r="H1661" s="29" t="n"/>
      <c r="I1661" s="29" t="n"/>
      <c r="J1661" s="29" t="n"/>
      <c r="K1661" s="14" t="n"/>
      <c r="L1661" s="29" t="n"/>
      <c r="M1661" s="14" t="n"/>
      <c r="N1661" s="29" t="n"/>
      <c r="O1661" s="13" t="n"/>
      <c r="P1661" s="13" t="n"/>
      <c r="Q1661" s="35" t="n"/>
      <c r="R1661" s="35" t="n"/>
      <c r="S1661" s="35" t="n"/>
      <c r="T1661" s="35" t="n"/>
      <c r="U1661" s="35" t="n"/>
      <c r="V1661" s="18">
        <f>IF(COUNTA($B1661:$R1661)=0,"",ROUND(N($R1661)+N($S1661)+N($T1661)-N($U1661),2))</f>
        <v/>
      </c>
      <c r="W1661" s="18">
        <f>IF(COUNTA($B1661:$R1661)=0,"",IF(OR($X1661="Pago",$X1661="Recebido",$X1661="Cancelado"),0,ROUND(N($Q1661)+N($S1661)+N($T1661)-N($U1661)-N($R1661),2)))</f>
        <v/>
      </c>
      <c r="X1661" s="14" t="n"/>
      <c r="Y1661" s="17">
        <f>IF(COUNTA($B1661:$R1661)=0,"",IF($X1661="Cancelado","Cancelado",IF(OR($X1661="Pago",$X1661="Recebido"),$X1661,IF(OR($X1661="Parcial",N($R1661)&gt;0),"Parcial",IF($C1661="","Sem vencimento",IF($C1661&lt;TODAY(),"Vencido",IF($C1661=TODAY(),"Vence hoje",IF($C1661&lt;=TODAY()+7,"Vence em 7 dias",IF($C1661&lt;=TODAY()+30,"Vence em 30 dias","Futuro")))))))))</f>
        <v/>
      </c>
      <c r="Z1661" s="24">
        <f>IF($B1661="","",MONTH($B1661))</f>
        <v/>
      </c>
      <c r="AA1661" s="24">
        <f>IF($B1661="","",YEAR($B1661))</f>
        <v/>
      </c>
      <c r="AB1661" s="24">
        <f>IF($B1661="","",ISOWEEKNUM($B1661))</f>
        <v/>
      </c>
      <c r="AC1661" s="17">
        <f>IF($B1661="","",CHOOSE(WEEKDAY($B1661,2),"Segunda","Terça","Quarta","Quinta","Sexta","Sábado","Domingo"))</f>
        <v/>
      </c>
      <c r="AD1661" s="17">
        <f>IF($B1661="","",TEXT($B1661,"MM/AAAA"))</f>
        <v/>
      </c>
      <c r="AE1661" s="18">
        <f>IF(COUNTA($B1661:$R1661)=0,"",IF($X1661="Cancelado",0,ROUND(N($Q1661)+N($S1661)+N($T1661)-N($U1661),2)))</f>
        <v/>
      </c>
      <c r="AF1661" s="9">
        <f>IF($G1661="","",IFERROR(INDEX(LINHAS_DRE_PLANO,MATCH($G1661,SUBCATEGORIAS_PLANO,0)),"Não classificado"))</f>
        <v/>
      </c>
      <c r="AG1661" s="17">
        <f>IF($G1661="","",IFERROR(INDEX(TIPOS_FLUXO_PLANO,MATCH($G1661,SUBCATEGORIAS_PLANO,0)),"Não classificado"))</f>
        <v/>
      </c>
      <c r="AH1661" s="9">
        <f>IF($G1661="","",IFERROR(INDEX(GRUPOS_PLANO,MATCH($G1661,SUBCATEGORIAS_PLANO,0)),"Não classificado"))</f>
        <v/>
      </c>
      <c r="AI1661" s="24">
        <f>IF(OR($C1661="",$X1661="Pago",$X1661="Recebido",$X1661="Cancelado"),"",$C1661-TODAY())</f>
        <v/>
      </c>
      <c r="AJ1661" s="24">
        <f>IF(OR($C1661="",$X1661="Pago",$X1661="Recebido",$X1661="Cancelado"),0,MAX(0,TODAY()-$C1661))</f>
        <v/>
      </c>
      <c r="AK1661" s="24">
        <f>IF($D1661="","",$D1661-$B1661)</f>
        <v/>
      </c>
      <c r="AL1661" s="18">
        <f>IF(OR($D1661="",$B1661=""),"",ROUND(N($R1661)*($D1661-$B1661),2))</f>
        <v/>
      </c>
      <c r="AM1661" s="17">
        <f>IF(AND($E1661="Saída",$W1661&gt;0,$C1661&lt;&gt;""),$C1661+ROW()/1000000,"")</f>
        <v/>
      </c>
      <c r="AN1661" s="17">
        <f>IF(AND($E1661="Entrada",$W1661&gt;0,$C1661&lt;&gt;""),$C1661+ROW()/1000000,"")</f>
        <v/>
      </c>
      <c r="AO1661" s="9">
        <f>IF(COUNTA($B1661:$R1661)=0,"",IF(AND($I1661&lt;&gt;"",COUNTIF(CLIENTES_NOMES,$I1661)+COUNTIF(CLIENTES_FANTASIA,$I1661)+COUNTIF(FORNECEDORES_NOMES,$I1661)+COUNTIF(FORNECEDORES_FANTASIA,$I1661)=0),"⚠ Cliente/Fornecedor não cadastrado",IF(AND($G1661&lt;&gt;"",COUNTIF(SUBCATEGORIAS_PLANO,$G1661)=0),"⚠ Subcategoria fora do plano de contas",IF(OR($Q1661="",N($Q1661)=0),"⚠ Valor previsto não informado",IF(AND(OR($X1661="Pago",$X1661="Recebido"),$D1661=""),"⚠ Status pago/recebido sem data",IF(AND($D1661&lt;&gt;"",N($R1661)=0),"⚠ Data de pagamento sem valor realizado",IF(AND(N($P1661)&gt;1,N($O1661)&gt;N($P1661)),"⚠ Nº da parcela maior que o total",IF(AND($C1661&lt;&gt;"",$B1661&lt;&gt;"",$C1661&lt;$B1661),"⚠ Vencimento anterior à competência","OK"))))))))</f>
        <v/>
      </c>
    </row>
    <row r="1662">
      <c r="A1662" s="14" t="n"/>
      <c r="B1662" s="36" t="n"/>
      <c r="C1662" s="36" t="n"/>
      <c r="D1662" s="36" t="n"/>
      <c r="E1662" s="14" t="n"/>
      <c r="F1662" s="29" t="n"/>
      <c r="G1662" s="29" t="n"/>
      <c r="H1662" s="29" t="n"/>
      <c r="I1662" s="29" t="n"/>
      <c r="J1662" s="29" t="n"/>
      <c r="K1662" s="14" t="n"/>
      <c r="L1662" s="29" t="n"/>
      <c r="M1662" s="14" t="n"/>
      <c r="N1662" s="29" t="n"/>
      <c r="O1662" s="13" t="n"/>
      <c r="P1662" s="13" t="n"/>
      <c r="Q1662" s="35" t="n"/>
      <c r="R1662" s="35" t="n"/>
      <c r="S1662" s="35" t="n"/>
      <c r="T1662" s="35" t="n"/>
      <c r="U1662" s="35" t="n"/>
      <c r="V1662" s="18">
        <f>IF(COUNTA($B1662:$R1662)=0,"",ROUND(N($R1662)+N($S1662)+N($T1662)-N($U1662),2))</f>
        <v/>
      </c>
      <c r="W1662" s="18">
        <f>IF(COUNTA($B1662:$R1662)=0,"",IF(OR($X1662="Pago",$X1662="Recebido",$X1662="Cancelado"),0,ROUND(N($Q1662)+N($S1662)+N($T1662)-N($U1662)-N($R1662),2)))</f>
        <v/>
      </c>
      <c r="X1662" s="14" t="n"/>
      <c r="Y1662" s="17">
        <f>IF(COUNTA($B1662:$R1662)=0,"",IF($X1662="Cancelado","Cancelado",IF(OR($X1662="Pago",$X1662="Recebido"),$X1662,IF(OR($X1662="Parcial",N($R1662)&gt;0),"Parcial",IF($C1662="","Sem vencimento",IF($C1662&lt;TODAY(),"Vencido",IF($C1662=TODAY(),"Vence hoje",IF($C1662&lt;=TODAY()+7,"Vence em 7 dias",IF($C1662&lt;=TODAY()+30,"Vence em 30 dias","Futuro")))))))))</f>
        <v/>
      </c>
      <c r="Z1662" s="24">
        <f>IF($B1662="","",MONTH($B1662))</f>
        <v/>
      </c>
      <c r="AA1662" s="24">
        <f>IF($B1662="","",YEAR($B1662))</f>
        <v/>
      </c>
      <c r="AB1662" s="24">
        <f>IF($B1662="","",ISOWEEKNUM($B1662))</f>
        <v/>
      </c>
      <c r="AC1662" s="17">
        <f>IF($B1662="","",CHOOSE(WEEKDAY($B1662,2),"Segunda","Terça","Quarta","Quinta","Sexta","Sábado","Domingo"))</f>
        <v/>
      </c>
      <c r="AD1662" s="17">
        <f>IF($B1662="","",TEXT($B1662,"MM/AAAA"))</f>
        <v/>
      </c>
      <c r="AE1662" s="18">
        <f>IF(COUNTA($B1662:$R1662)=0,"",IF($X1662="Cancelado",0,ROUND(N($Q1662)+N($S1662)+N($T1662)-N($U1662),2)))</f>
        <v/>
      </c>
      <c r="AF1662" s="9">
        <f>IF($G1662="","",IFERROR(INDEX(LINHAS_DRE_PLANO,MATCH($G1662,SUBCATEGORIAS_PLANO,0)),"Não classificado"))</f>
        <v/>
      </c>
      <c r="AG1662" s="17">
        <f>IF($G1662="","",IFERROR(INDEX(TIPOS_FLUXO_PLANO,MATCH($G1662,SUBCATEGORIAS_PLANO,0)),"Não classificado"))</f>
        <v/>
      </c>
      <c r="AH1662" s="9">
        <f>IF($G1662="","",IFERROR(INDEX(GRUPOS_PLANO,MATCH($G1662,SUBCATEGORIAS_PLANO,0)),"Não classificado"))</f>
        <v/>
      </c>
      <c r="AI1662" s="24">
        <f>IF(OR($C1662="",$X1662="Pago",$X1662="Recebido",$X1662="Cancelado"),"",$C1662-TODAY())</f>
        <v/>
      </c>
      <c r="AJ1662" s="24">
        <f>IF(OR($C1662="",$X1662="Pago",$X1662="Recebido",$X1662="Cancelado"),0,MAX(0,TODAY()-$C1662))</f>
        <v/>
      </c>
      <c r="AK1662" s="24">
        <f>IF($D1662="","",$D1662-$B1662)</f>
        <v/>
      </c>
      <c r="AL1662" s="18">
        <f>IF(OR($D1662="",$B1662=""),"",ROUND(N($R1662)*($D1662-$B1662),2))</f>
        <v/>
      </c>
      <c r="AM1662" s="17">
        <f>IF(AND($E1662="Saída",$W1662&gt;0,$C1662&lt;&gt;""),$C1662+ROW()/1000000,"")</f>
        <v/>
      </c>
      <c r="AN1662" s="17">
        <f>IF(AND($E1662="Entrada",$W1662&gt;0,$C1662&lt;&gt;""),$C1662+ROW()/1000000,"")</f>
        <v/>
      </c>
      <c r="AO1662" s="9">
        <f>IF(COUNTA($B1662:$R1662)=0,"",IF(AND($I1662&lt;&gt;"",COUNTIF(CLIENTES_NOMES,$I1662)+COUNTIF(CLIENTES_FANTASIA,$I1662)+COUNTIF(FORNECEDORES_NOMES,$I1662)+COUNTIF(FORNECEDORES_FANTASIA,$I1662)=0),"⚠ Cliente/Fornecedor não cadastrado",IF(AND($G1662&lt;&gt;"",COUNTIF(SUBCATEGORIAS_PLANO,$G1662)=0),"⚠ Subcategoria fora do plano de contas",IF(OR($Q1662="",N($Q1662)=0),"⚠ Valor previsto não informado",IF(AND(OR($X1662="Pago",$X1662="Recebido"),$D1662=""),"⚠ Status pago/recebido sem data",IF(AND($D1662&lt;&gt;"",N($R1662)=0),"⚠ Data de pagamento sem valor realizado",IF(AND(N($P1662)&gt;1,N($O1662)&gt;N($P1662)),"⚠ Nº da parcela maior que o total",IF(AND($C1662&lt;&gt;"",$B1662&lt;&gt;"",$C1662&lt;$B1662),"⚠ Vencimento anterior à competência","OK"))))))))</f>
        <v/>
      </c>
    </row>
    <row r="1663">
      <c r="A1663" s="14" t="n"/>
      <c r="B1663" s="36" t="n"/>
      <c r="C1663" s="36" t="n"/>
      <c r="D1663" s="36" t="n"/>
      <c r="E1663" s="14" t="n"/>
      <c r="F1663" s="29" t="n"/>
      <c r="G1663" s="29" t="n"/>
      <c r="H1663" s="29" t="n"/>
      <c r="I1663" s="29" t="n"/>
      <c r="J1663" s="29" t="n"/>
      <c r="K1663" s="14" t="n"/>
      <c r="L1663" s="29" t="n"/>
      <c r="M1663" s="14" t="n"/>
      <c r="N1663" s="29" t="n"/>
      <c r="O1663" s="13" t="n"/>
      <c r="P1663" s="13" t="n"/>
      <c r="Q1663" s="35" t="n"/>
      <c r="R1663" s="35" t="n"/>
      <c r="S1663" s="35" t="n"/>
      <c r="T1663" s="35" t="n"/>
      <c r="U1663" s="35" t="n"/>
      <c r="V1663" s="18">
        <f>IF(COUNTA($B1663:$R1663)=0,"",ROUND(N($R1663)+N($S1663)+N($T1663)-N($U1663),2))</f>
        <v/>
      </c>
      <c r="W1663" s="18">
        <f>IF(COUNTA($B1663:$R1663)=0,"",IF(OR($X1663="Pago",$X1663="Recebido",$X1663="Cancelado"),0,ROUND(N($Q1663)+N($S1663)+N($T1663)-N($U1663)-N($R1663),2)))</f>
        <v/>
      </c>
      <c r="X1663" s="14" t="n"/>
      <c r="Y1663" s="17">
        <f>IF(COUNTA($B1663:$R1663)=0,"",IF($X1663="Cancelado","Cancelado",IF(OR($X1663="Pago",$X1663="Recebido"),$X1663,IF(OR($X1663="Parcial",N($R1663)&gt;0),"Parcial",IF($C1663="","Sem vencimento",IF($C1663&lt;TODAY(),"Vencido",IF($C1663=TODAY(),"Vence hoje",IF($C1663&lt;=TODAY()+7,"Vence em 7 dias",IF($C1663&lt;=TODAY()+30,"Vence em 30 dias","Futuro")))))))))</f>
        <v/>
      </c>
      <c r="Z1663" s="24">
        <f>IF($B1663="","",MONTH($B1663))</f>
        <v/>
      </c>
      <c r="AA1663" s="24">
        <f>IF($B1663="","",YEAR($B1663))</f>
        <v/>
      </c>
      <c r="AB1663" s="24">
        <f>IF($B1663="","",ISOWEEKNUM($B1663))</f>
        <v/>
      </c>
      <c r="AC1663" s="17">
        <f>IF($B1663="","",CHOOSE(WEEKDAY($B1663,2),"Segunda","Terça","Quarta","Quinta","Sexta","Sábado","Domingo"))</f>
        <v/>
      </c>
      <c r="AD1663" s="17">
        <f>IF($B1663="","",TEXT($B1663,"MM/AAAA"))</f>
        <v/>
      </c>
      <c r="AE1663" s="18">
        <f>IF(COUNTA($B1663:$R1663)=0,"",IF($X1663="Cancelado",0,ROUND(N($Q1663)+N($S1663)+N($T1663)-N($U1663),2)))</f>
        <v/>
      </c>
      <c r="AF1663" s="9">
        <f>IF($G1663="","",IFERROR(INDEX(LINHAS_DRE_PLANO,MATCH($G1663,SUBCATEGORIAS_PLANO,0)),"Não classificado"))</f>
        <v/>
      </c>
      <c r="AG1663" s="17">
        <f>IF($G1663="","",IFERROR(INDEX(TIPOS_FLUXO_PLANO,MATCH($G1663,SUBCATEGORIAS_PLANO,0)),"Não classificado"))</f>
        <v/>
      </c>
      <c r="AH1663" s="9">
        <f>IF($G1663="","",IFERROR(INDEX(GRUPOS_PLANO,MATCH($G1663,SUBCATEGORIAS_PLANO,0)),"Não classificado"))</f>
        <v/>
      </c>
      <c r="AI1663" s="24">
        <f>IF(OR($C1663="",$X1663="Pago",$X1663="Recebido",$X1663="Cancelado"),"",$C1663-TODAY())</f>
        <v/>
      </c>
      <c r="AJ1663" s="24">
        <f>IF(OR($C1663="",$X1663="Pago",$X1663="Recebido",$X1663="Cancelado"),0,MAX(0,TODAY()-$C1663))</f>
        <v/>
      </c>
      <c r="AK1663" s="24">
        <f>IF($D1663="","",$D1663-$B1663)</f>
        <v/>
      </c>
      <c r="AL1663" s="18">
        <f>IF(OR($D1663="",$B1663=""),"",ROUND(N($R1663)*($D1663-$B1663),2))</f>
        <v/>
      </c>
      <c r="AM1663" s="17">
        <f>IF(AND($E1663="Saída",$W1663&gt;0,$C1663&lt;&gt;""),$C1663+ROW()/1000000,"")</f>
        <v/>
      </c>
      <c r="AN1663" s="17">
        <f>IF(AND($E1663="Entrada",$W1663&gt;0,$C1663&lt;&gt;""),$C1663+ROW()/1000000,"")</f>
        <v/>
      </c>
      <c r="AO1663" s="9">
        <f>IF(COUNTA($B1663:$R1663)=0,"",IF(AND($I1663&lt;&gt;"",COUNTIF(CLIENTES_NOMES,$I1663)+COUNTIF(CLIENTES_FANTASIA,$I1663)+COUNTIF(FORNECEDORES_NOMES,$I1663)+COUNTIF(FORNECEDORES_FANTASIA,$I1663)=0),"⚠ Cliente/Fornecedor não cadastrado",IF(AND($G1663&lt;&gt;"",COUNTIF(SUBCATEGORIAS_PLANO,$G1663)=0),"⚠ Subcategoria fora do plano de contas",IF(OR($Q1663="",N($Q1663)=0),"⚠ Valor previsto não informado",IF(AND(OR($X1663="Pago",$X1663="Recebido"),$D1663=""),"⚠ Status pago/recebido sem data",IF(AND($D1663&lt;&gt;"",N($R1663)=0),"⚠ Data de pagamento sem valor realizado",IF(AND(N($P1663)&gt;1,N($O1663)&gt;N($P1663)),"⚠ Nº da parcela maior que o total",IF(AND($C1663&lt;&gt;"",$B1663&lt;&gt;"",$C1663&lt;$B1663),"⚠ Vencimento anterior à competência","OK"))))))))</f>
        <v/>
      </c>
    </row>
    <row r="1664">
      <c r="A1664" s="14" t="n"/>
      <c r="B1664" s="36" t="n"/>
      <c r="C1664" s="36" t="n"/>
      <c r="D1664" s="36" t="n"/>
      <c r="E1664" s="14" t="n"/>
      <c r="F1664" s="29" t="n"/>
      <c r="G1664" s="29" t="n"/>
      <c r="H1664" s="29" t="n"/>
      <c r="I1664" s="29" t="n"/>
      <c r="J1664" s="29" t="n"/>
      <c r="K1664" s="14" t="n"/>
      <c r="L1664" s="29" t="n"/>
      <c r="M1664" s="14" t="n"/>
      <c r="N1664" s="29" t="n"/>
      <c r="O1664" s="13" t="n"/>
      <c r="P1664" s="13" t="n"/>
      <c r="Q1664" s="35" t="n"/>
      <c r="R1664" s="35" t="n"/>
      <c r="S1664" s="35" t="n"/>
      <c r="T1664" s="35" t="n"/>
      <c r="U1664" s="35" t="n"/>
      <c r="V1664" s="18">
        <f>IF(COUNTA($B1664:$R1664)=0,"",ROUND(N($R1664)+N($S1664)+N($T1664)-N($U1664),2))</f>
        <v/>
      </c>
      <c r="W1664" s="18">
        <f>IF(COUNTA($B1664:$R1664)=0,"",IF(OR($X1664="Pago",$X1664="Recebido",$X1664="Cancelado"),0,ROUND(N($Q1664)+N($S1664)+N($T1664)-N($U1664)-N($R1664),2)))</f>
        <v/>
      </c>
      <c r="X1664" s="14" t="n"/>
      <c r="Y1664" s="17">
        <f>IF(COUNTA($B1664:$R1664)=0,"",IF($X1664="Cancelado","Cancelado",IF(OR($X1664="Pago",$X1664="Recebido"),$X1664,IF(OR($X1664="Parcial",N($R1664)&gt;0),"Parcial",IF($C1664="","Sem vencimento",IF($C1664&lt;TODAY(),"Vencido",IF($C1664=TODAY(),"Vence hoje",IF($C1664&lt;=TODAY()+7,"Vence em 7 dias",IF($C1664&lt;=TODAY()+30,"Vence em 30 dias","Futuro")))))))))</f>
        <v/>
      </c>
      <c r="Z1664" s="24">
        <f>IF($B1664="","",MONTH($B1664))</f>
        <v/>
      </c>
      <c r="AA1664" s="24">
        <f>IF($B1664="","",YEAR($B1664))</f>
        <v/>
      </c>
      <c r="AB1664" s="24">
        <f>IF($B1664="","",ISOWEEKNUM($B1664))</f>
        <v/>
      </c>
      <c r="AC1664" s="17">
        <f>IF($B1664="","",CHOOSE(WEEKDAY($B1664,2),"Segunda","Terça","Quarta","Quinta","Sexta","Sábado","Domingo"))</f>
        <v/>
      </c>
      <c r="AD1664" s="17">
        <f>IF($B1664="","",TEXT($B1664,"MM/AAAA"))</f>
        <v/>
      </c>
      <c r="AE1664" s="18">
        <f>IF(COUNTA($B1664:$R1664)=0,"",IF($X1664="Cancelado",0,ROUND(N($Q1664)+N($S1664)+N($T1664)-N($U1664),2)))</f>
        <v/>
      </c>
      <c r="AF1664" s="9">
        <f>IF($G1664="","",IFERROR(INDEX(LINHAS_DRE_PLANO,MATCH($G1664,SUBCATEGORIAS_PLANO,0)),"Não classificado"))</f>
        <v/>
      </c>
      <c r="AG1664" s="17">
        <f>IF($G1664="","",IFERROR(INDEX(TIPOS_FLUXO_PLANO,MATCH($G1664,SUBCATEGORIAS_PLANO,0)),"Não classificado"))</f>
        <v/>
      </c>
      <c r="AH1664" s="9">
        <f>IF($G1664="","",IFERROR(INDEX(GRUPOS_PLANO,MATCH($G1664,SUBCATEGORIAS_PLANO,0)),"Não classificado"))</f>
        <v/>
      </c>
      <c r="AI1664" s="24">
        <f>IF(OR($C1664="",$X1664="Pago",$X1664="Recebido",$X1664="Cancelado"),"",$C1664-TODAY())</f>
        <v/>
      </c>
      <c r="AJ1664" s="24">
        <f>IF(OR($C1664="",$X1664="Pago",$X1664="Recebido",$X1664="Cancelado"),0,MAX(0,TODAY()-$C1664))</f>
        <v/>
      </c>
      <c r="AK1664" s="24">
        <f>IF($D1664="","",$D1664-$B1664)</f>
        <v/>
      </c>
      <c r="AL1664" s="18">
        <f>IF(OR($D1664="",$B1664=""),"",ROUND(N($R1664)*($D1664-$B1664),2))</f>
        <v/>
      </c>
      <c r="AM1664" s="17">
        <f>IF(AND($E1664="Saída",$W1664&gt;0,$C1664&lt;&gt;""),$C1664+ROW()/1000000,"")</f>
        <v/>
      </c>
      <c r="AN1664" s="17">
        <f>IF(AND($E1664="Entrada",$W1664&gt;0,$C1664&lt;&gt;""),$C1664+ROW()/1000000,"")</f>
        <v/>
      </c>
      <c r="AO1664" s="9">
        <f>IF(COUNTA($B1664:$R1664)=0,"",IF(AND($I1664&lt;&gt;"",COUNTIF(CLIENTES_NOMES,$I1664)+COUNTIF(CLIENTES_FANTASIA,$I1664)+COUNTIF(FORNECEDORES_NOMES,$I1664)+COUNTIF(FORNECEDORES_FANTASIA,$I1664)=0),"⚠ Cliente/Fornecedor não cadastrado",IF(AND($G1664&lt;&gt;"",COUNTIF(SUBCATEGORIAS_PLANO,$G1664)=0),"⚠ Subcategoria fora do plano de contas",IF(OR($Q1664="",N($Q1664)=0),"⚠ Valor previsto não informado",IF(AND(OR($X1664="Pago",$X1664="Recebido"),$D1664=""),"⚠ Status pago/recebido sem data",IF(AND($D1664&lt;&gt;"",N($R1664)=0),"⚠ Data de pagamento sem valor realizado",IF(AND(N($P1664)&gt;1,N($O1664)&gt;N($P1664)),"⚠ Nº da parcela maior que o total",IF(AND($C1664&lt;&gt;"",$B1664&lt;&gt;"",$C1664&lt;$B1664),"⚠ Vencimento anterior à competência","OK"))))))))</f>
        <v/>
      </c>
    </row>
    <row r="1665">
      <c r="A1665" s="14" t="n"/>
      <c r="B1665" s="36" t="n"/>
      <c r="C1665" s="36" t="n"/>
      <c r="D1665" s="36" t="n"/>
      <c r="E1665" s="14" t="n"/>
      <c r="F1665" s="29" t="n"/>
      <c r="G1665" s="29" t="n"/>
      <c r="H1665" s="29" t="n"/>
      <c r="I1665" s="29" t="n"/>
      <c r="J1665" s="29" t="n"/>
      <c r="K1665" s="14" t="n"/>
      <c r="L1665" s="29" t="n"/>
      <c r="M1665" s="14" t="n"/>
      <c r="N1665" s="29" t="n"/>
      <c r="O1665" s="13" t="n"/>
      <c r="P1665" s="13" t="n"/>
      <c r="Q1665" s="35" t="n"/>
      <c r="R1665" s="35" t="n"/>
      <c r="S1665" s="35" t="n"/>
      <c r="T1665" s="35" t="n"/>
      <c r="U1665" s="35" t="n"/>
      <c r="V1665" s="18">
        <f>IF(COUNTA($B1665:$R1665)=0,"",ROUND(N($R1665)+N($S1665)+N($T1665)-N($U1665),2))</f>
        <v/>
      </c>
      <c r="W1665" s="18">
        <f>IF(COUNTA($B1665:$R1665)=0,"",IF(OR($X1665="Pago",$X1665="Recebido",$X1665="Cancelado"),0,ROUND(N($Q1665)+N($S1665)+N($T1665)-N($U1665)-N($R1665),2)))</f>
        <v/>
      </c>
      <c r="X1665" s="14" t="n"/>
      <c r="Y1665" s="17">
        <f>IF(COUNTA($B1665:$R1665)=0,"",IF($X1665="Cancelado","Cancelado",IF(OR($X1665="Pago",$X1665="Recebido"),$X1665,IF(OR($X1665="Parcial",N($R1665)&gt;0),"Parcial",IF($C1665="","Sem vencimento",IF($C1665&lt;TODAY(),"Vencido",IF($C1665=TODAY(),"Vence hoje",IF($C1665&lt;=TODAY()+7,"Vence em 7 dias",IF($C1665&lt;=TODAY()+30,"Vence em 30 dias","Futuro")))))))))</f>
        <v/>
      </c>
      <c r="Z1665" s="24">
        <f>IF($B1665="","",MONTH($B1665))</f>
        <v/>
      </c>
      <c r="AA1665" s="24">
        <f>IF($B1665="","",YEAR($B1665))</f>
        <v/>
      </c>
      <c r="AB1665" s="24">
        <f>IF($B1665="","",ISOWEEKNUM($B1665))</f>
        <v/>
      </c>
      <c r="AC1665" s="17">
        <f>IF($B1665="","",CHOOSE(WEEKDAY($B1665,2),"Segunda","Terça","Quarta","Quinta","Sexta","Sábado","Domingo"))</f>
        <v/>
      </c>
      <c r="AD1665" s="17">
        <f>IF($B1665="","",TEXT($B1665,"MM/AAAA"))</f>
        <v/>
      </c>
      <c r="AE1665" s="18">
        <f>IF(COUNTA($B1665:$R1665)=0,"",IF($X1665="Cancelado",0,ROUND(N($Q1665)+N($S1665)+N($T1665)-N($U1665),2)))</f>
        <v/>
      </c>
      <c r="AF1665" s="9">
        <f>IF($G1665="","",IFERROR(INDEX(LINHAS_DRE_PLANO,MATCH($G1665,SUBCATEGORIAS_PLANO,0)),"Não classificado"))</f>
        <v/>
      </c>
      <c r="AG1665" s="17">
        <f>IF($G1665="","",IFERROR(INDEX(TIPOS_FLUXO_PLANO,MATCH($G1665,SUBCATEGORIAS_PLANO,0)),"Não classificado"))</f>
        <v/>
      </c>
      <c r="AH1665" s="9">
        <f>IF($G1665="","",IFERROR(INDEX(GRUPOS_PLANO,MATCH($G1665,SUBCATEGORIAS_PLANO,0)),"Não classificado"))</f>
        <v/>
      </c>
      <c r="AI1665" s="24">
        <f>IF(OR($C1665="",$X1665="Pago",$X1665="Recebido",$X1665="Cancelado"),"",$C1665-TODAY())</f>
        <v/>
      </c>
      <c r="AJ1665" s="24">
        <f>IF(OR($C1665="",$X1665="Pago",$X1665="Recebido",$X1665="Cancelado"),0,MAX(0,TODAY()-$C1665))</f>
        <v/>
      </c>
      <c r="AK1665" s="24">
        <f>IF($D1665="","",$D1665-$B1665)</f>
        <v/>
      </c>
      <c r="AL1665" s="18">
        <f>IF(OR($D1665="",$B1665=""),"",ROUND(N($R1665)*($D1665-$B1665),2))</f>
        <v/>
      </c>
      <c r="AM1665" s="17">
        <f>IF(AND($E1665="Saída",$W1665&gt;0,$C1665&lt;&gt;""),$C1665+ROW()/1000000,"")</f>
        <v/>
      </c>
      <c r="AN1665" s="17">
        <f>IF(AND($E1665="Entrada",$W1665&gt;0,$C1665&lt;&gt;""),$C1665+ROW()/1000000,"")</f>
        <v/>
      </c>
      <c r="AO1665" s="9">
        <f>IF(COUNTA($B1665:$R1665)=0,"",IF(AND($I1665&lt;&gt;"",COUNTIF(CLIENTES_NOMES,$I1665)+COUNTIF(CLIENTES_FANTASIA,$I1665)+COUNTIF(FORNECEDORES_NOMES,$I1665)+COUNTIF(FORNECEDORES_FANTASIA,$I1665)=0),"⚠ Cliente/Fornecedor não cadastrado",IF(AND($G1665&lt;&gt;"",COUNTIF(SUBCATEGORIAS_PLANO,$G1665)=0),"⚠ Subcategoria fora do plano de contas",IF(OR($Q1665="",N($Q1665)=0),"⚠ Valor previsto não informado",IF(AND(OR($X1665="Pago",$X1665="Recebido"),$D1665=""),"⚠ Status pago/recebido sem data",IF(AND($D1665&lt;&gt;"",N($R1665)=0),"⚠ Data de pagamento sem valor realizado",IF(AND(N($P1665)&gt;1,N($O1665)&gt;N($P1665)),"⚠ Nº da parcela maior que o total",IF(AND($C1665&lt;&gt;"",$B1665&lt;&gt;"",$C1665&lt;$B1665),"⚠ Vencimento anterior à competência","OK"))))))))</f>
        <v/>
      </c>
    </row>
    <row r="1666">
      <c r="A1666" s="14" t="n"/>
      <c r="B1666" s="36" t="n"/>
      <c r="C1666" s="36" t="n"/>
      <c r="D1666" s="36" t="n"/>
      <c r="E1666" s="14" t="n"/>
      <c r="F1666" s="29" t="n"/>
      <c r="G1666" s="29" t="n"/>
      <c r="H1666" s="29" t="n"/>
      <c r="I1666" s="29" t="n"/>
      <c r="J1666" s="29" t="n"/>
      <c r="K1666" s="14" t="n"/>
      <c r="L1666" s="29" t="n"/>
      <c r="M1666" s="14" t="n"/>
      <c r="N1666" s="29" t="n"/>
      <c r="O1666" s="13" t="n"/>
      <c r="P1666" s="13" t="n"/>
      <c r="Q1666" s="35" t="n"/>
      <c r="R1666" s="35" t="n"/>
      <c r="S1666" s="35" t="n"/>
      <c r="T1666" s="35" t="n"/>
      <c r="U1666" s="35" t="n"/>
      <c r="V1666" s="18">
        <f>IF(COUNTA($B1666:$R1666)=0,"",ROUND(N($R1666)+N($S1666)+N($T1666)-N($U1666),2))</f>
        <v/>
      </c>
      <c r="W1666" s="18">
        <f>IF(COUNTA($B1666:$R1666)=0,"",IF(OR($X1666="Pago",$X1666="Recebido",$X1666="Cancelado"),0,ROUND(N($Q1666)+N($S1666)+N($T1666)-N($U1666)-N($R1666),2)))</f>
        <v/>
      </c>
      <c r="X1666" s="14" t="n"/>
      <c r="Y1666" s="17">
        <f>IF(COUNTA($B1666:$R1666)=0,"",IF($X1666="Cancelado","Cancelado",IF(OR($X1666="Pago",$X1666="Recebido"),$X1666,IF(OR($X1666="Parcial",N($R1666)&gt;0),"Parcial",IF($C1666="","Sem vencimento",IF($C1666&lt;TODAY(),"Vencido",IF($C1666=TODAY(),"Vence hoje",IF($C1666&lt;=TODAY()+7,"Vence em 7 dias",IF($C1666&lt;=TODAY()+30,"Vence em 30 dias","Futuro")))))))))</f>
        <v/>
      </c>
      <c r="Z1666" s="24">
        <f>IF($B1666="","",MONTH($B1666))</f>
        <v/>
      </c>
      <c r="AA1666" s="24">
        <f>IF($B1666="","",YEAR($B1666))</f>
        <v/>
      </c>
      <c r="AB1666" s="24">
        <f>IF($B1666="","",ISOWEEKNUM($B1666))</f>
        <v/>
      </c>
      <c r="AC1666" s="17">
        <f>IF($B1666="","",CHOOSE(WEEKDAY($B1666,2),"Segunda","Terça","Quarta","Quinta","Sexta","Sábado","Domingo"))</f>
        <v/>
      </c>
      <c r="AD1666" s="17">
        <f>IF($B1666="","",TEXT($B1666,"MM/AAAA"))</f>
        <v/>
      </c>
      <c r="AE1666" s="18">
        <f>IF(COUNTA($B1666:$R1666)=0,"",IF($X1666="Cancelado",0,ROUND(N($Q1666)+N($S1666)+N($T1666)-N($U1666),2)))</f>
        <v/>
      </c>
      <c r="AF1666" s="9">
        <f>IF($G1666="","",IFERROR(INDEX(LINHAS_DRE_PLANO,MATCH($G1666,SUBCATEGORIAS_PLANO,0)),"Não classificado"))</f>
        <v/>
      </c>
      <c r="AG1666" s="17">
        <f>IF($G1666="","",IFERROR(INDEX(TIPOS_FLUXO_PLANO,MATCH($G1666,SUBCATEGORIAS_PLANO,0)),"Não classificado"))</f>
        <v/>
      </c>
      <c r="AH1666" s="9">
        <f>IF($G1666="","",IFERROR(INDEX(GRUPOS_PLANO,MATCH($G1666,SUBCATEGORIAS_PLANO,0)),"Não classificado"))</f>
        <v/>
      </c>
      <c r="AI1666" s="24">
        <f>IF(OR($C1666="",$X1666="Pago",$X1666="Recebido",$X1666="Cancelado"),"",$C1666-TODAY())</f>
        <v/>
      </c>
      <c r="AJ1666" s="24">
        <f>IF(OR($C1666="",$X1666="Pago",$X1666="Recebido",$X1666="Cancelado"),0,MAX(0,TODAY()-$C1666))</f>
        <v/>
      </c>
      <c r="AK1666" s="24">
        <f>IF($D1666="","",$D1666-$B1666)</f>
        <v/>
      </c>
      <c r="AL1666" s="18">
        <f>IF(OR($D1666="",$B1666=""),"",ROUND(N($R1666)*($D1666-$B1666),2))</f>
        <v/>
      </c>
      <c r="AM1666" s="17">
        <f>IF(AND($E1666="Saída",$W1666&gt;0,$C1666&lt;&gt;""),$C1666+ROW()/1000000,"")</f>
        <v/>
      </c>
      <c r="AN1666" s="17">
        <f>IF(AND($E1666="Entrada",$W1666&gt;0,$C1666&lt;&gt;""),$C1666+ROW()/1000000,"")</f>
        <v/>
      </c>
      <c r="AO1666" s="9">
        <f>IF(COUNTA($B1666:$R1666)=0,"",IF(AND($I1666&lt;&gt;"",COUNTIF(CLIENTES_NOMES,$I1666)+COUNTIF(CLIENTES_FANTASIA,$I1666)+COUNTIF(FORNECEDORES_NOMES,$I1666)+COUNTIF(FORNECEDORES_FANTASIA,$I1666)=0),"⚠ Cliente/Fornecedor não cadastrado",IF(AND($G1666&lt;&gt;"",COUNTIF(SUBCATEGORIAS_PLANO,$G1666)=0),"⚠ Subcategoria fora do plano de contas",IF(OR($Q1666="",N($Q1666)=0),"⚠ Valor previsto não informado",IF(AND(OR($X1666="Pago",$X1666="Recebido"),$D1666=""),"⚠ Status pago/recebido sem data",IF(AND($D1666&lt;&gt;"",N($R1666)=0),"⚠ Data de pagamento sem valor realizado",IF(AND(N($P1666)&gt;1,N($O1666)&gt;N($P1666)),"⚠ Nº da parcela maior que o total",IF(AND($C1666&lt;&gt;"",$B1666&lt;&gt;"",$C1666&lt;$B1666),"⚠ Vencimento anterior à competência","OK"))))))))</f>
        <v/>
      </c>
    </row>
    <row r="1667">
      <c r="A1667" s="14" t="n"/>
      <c r="B1667" s="36" t="n"/>
      <c r="C1667" s="36" t="n"/>
      <c r="D1667" s="36" t="n"/>
      <c r="E1667" s="14" t="n"/>
      <c r="F1667" s="29" t="n"/>
      <c r="G1667" s="29" t="n"/>
      <c r="H1667" s="29" t="n"/>
      <c r="I1667" s="29" t="n"/>
      <c r="J1667" s="29" t="n"/>
      <c r="K1667" s="14" t="n"/>
      <c r="L1667" s="29" t="n"/>
      <c r="M1667" s="14" t="n"/>
      <c r="N1667" s="29" t="n"/>
      <c r="O1667" s="13" t="n"/>
      <c r="P1667" s="13" t="n"/>
      <c r="Q1667" s="35" t="n"/>
      <c r="R1667" s="35" t="n"/>
      <c r="S1667" s="35" t="n"/>
      <c r="T1667" s="35" t="n"/>
      <c r="U1667" s="35" t="n"/>
      <c r="V1667" s="18">
        <f>IF(COUNTA($B1667:$R1667)=0,"",ROUND(N($R1667)+N($S1667)+N($T1667)-N($U1667),2))</f>
        <v/>
      </c>
      <c r="W1667" s="18">
        <f>IF(COUNTA($B1667:$R1667)=0,"",IF(OR($X1667="Pago",$X1667="Recebido",$X1667="Cancelado"),0,ROUND(N($Q1667)+N($S1667)+N($T1667)-N($U1667)-N($R1667),2)))</f>
        <v/>
      </c>
      <c r="X1667" s="14" t="n"/>
      <c r="Y1667" s="17">
        <f>IF(COUNTA($B1667:$R1667)=0,"",IF($X1667="Cancelado","Cancelado",IF(OR($X1667="Pago",$X1667="Recebido"),$X1667,IF(OR($X1667="Parcial",N($R1667)&gt;0),"Parcial",IF($C1667="","Sem vencimento",IF($C1667&lt;TODAY(),"Vencido",IF($C1667=TODAY(),"Vence hoje",IF($C1667&lt;=TODAY()+7,"Vence em 7 dias",IF($C1667&lt;=TODAY()+30,"Vence em 30 dias","Futuro")))))))))</f>
        <v/>
      </c>
      <c r="Z1667" s="24">
        <f>IF($B1667="","",MONTH($B1667))</f>
        <v/>
      </c>
      <c r="AA1667" s="24">
        <f>IF($B1667="","",YEAR($B1667))</f>
        <v/>
      </c>
      <c r="AB1667" s="24">
        <f>IF($B1667="","",ISOWEEKNUM($B1667))</f>
        <v/>
      </c>
      <c r="AC1667" s="17">
        <f>IF($B1667="","",CHOOSE(WEEKDAY($B1667,2),"Segunda","Terça","Quarta","Quinta","Sexta","Sábado","Domingo"))</f>
        <v/>
      </c>
      <c r="AD1667" s="17">
        <f>IF($B1667="","",TEXT($B1667,"MM/AAAA"))</f>
        <v/>
      </c>
      <c r="AE1667" s="18">
        <f>IF(COUNTA($B1667:$R1667)=0,"",IF($X1667="Cancelado",0,ROUND(N($Q1667)+N($S1667)+N($T1667)-N($U1667),2)))</f>
        <v/>
      </c>
      <c r="AF1667" s="9">
        <f>IF($G1667="","",IFERROR(INDEX(LINHAS_DRE_PLANO,MATCH($G1667,SUBCATEGORIAS_PLANO,0)),"Não classificado"))</f>
        <v/>
      </c>
      <c r="AG1667" s="17">
        <f>IF($G1667="","",IFERROR(INDEX(TIPOS_FLUXO_PLANO,MATCH($G1667,SUBCATEGORIAS_PLANO,0)),"Não classificado"))</f>
        <v/>
      </c>
      <c r="AH1667" s="9">
        <f>IF($G1667="","",IFERROR(INDEX(GRUPOS_PLANO,MATCH($G1667,SUBCATEGORIAS_PLANO,0)),"Não classificado"))</f>
        <v/>
      </c>
      <c r="AI1667" s="24">
        <f>IF(OR($C1667="",$X1667="Pago",$X1667="Recebido",$X1667="Cancelado"),"",$C1667-TODAY())</f>
        <v/>
      </c>
      <c r="AJ1667" s="24">
        <f>IF(OR($C1667="",$X1667="Pago",$X1667="Recebido",$X1667="Cancelado"),0,MAX(0,TODAY()-$C1667))</f>
        <v/>
      </c>
      <c r="AK1667" s="24">
        <f>IF($D1667="","",$D1667-$B1667)</f>
        <v/>
      </c>
      <c r="AL1667" s="18">
        <f>IF(OR($D1667="",$B1667=""),"",ROUND(N($R1667)*($D1667-$B1667),2))</f>
        <v/>
      </c>
      <c r="AM1667" s="17">
        <f>IF(AND($E1667="Saída",$W1667&gt;0,$C1667&lt;&gt;""),$C1667+ROW()/1000000,"")</f>
        <v/>
      </c>
      <c r="AN1667" s="17">
        <f>IF(AND($E1667="Entrada",$W1667&gt;0,$C1667&lt;&gt;""),$C1667+ROW()/1000000,"")</f>
        <v/>
      </c>
      <c r="AO1667" s="9">
        <f>IF(COUNTA($B1667:$R1667)=0,"",IF(AND($I1667&lt;&gt;"",COUNTIF(CLIENTES_NOMES,$I1667)+COUNTIF(CLIENTES_FANTASIA,$I1667)+COUNTIF(FORNECEDORES_NOMES,$I1667)+COUNTIF(FORNECEDORES_FANTASIA,$I1667)=0),"⚠ Cliente/Fornecedor não cadastrado",IF(AND($G1667&lt;&gt;"",COUNTIF(SUBCATEGORIAS_PLANO,$G1667)=0),"⚠ Subcategoria fora do plano de contas",IF(OR($Q1667="",N($Q1667)=0),"⚠ Valor previsto não informado",IF(AND(OR($X1667="Pago",$X1667="Recebido"),$D1667=""),"⚠ Status pago/recebido sem data",IF(AND($D1667&lt;&gt;"",N($R1667)=0),"⚠ Data de pagamento sem valor realizado",IF(AND(N($P1667)&gt;1,N($O1667)&gt;N($P1667)),"⚠ Nº da parcela maior que o total",IF(AND($C1667&lt;&gt;"",$B1667&lt;&gt;"",$C1667&lt;$B1667),"⚠ Vencimento anterior à competência","OK"))))))))</f>
        <v/>
      </c>
    </row>
    <row r="1668">
      <c r="A1668" s="14" t="n"/>
      <c r="B1668" s="36" t="n"/>
      <c r="C1668" s="36" t="n"/>
      <c r="D1668" s="36" t="n"/>
      <c r="E1668" s="14" t="n"/>
      <c r="F1668" s="29" t="n"/>
      <c r="G1668" s="29" t="n"/>
      <c r="H1668" s="29" t="n"/>
      <c r="I1668" s="29" t="n"/>
      <c r="J1668" s="29" t="n"/>
      <c r="K1668" s="14" t="n"/>
      <c r="L1668" s="29" t="n"/>
      <c r="M1668" s="14" t="n"/>
      <c r="N1668" s="29" t="n"/>
      <c r="O1668" s="13" t="n"/>
      <c r="P1668" s="13" t="n"/>
      <c r="Q1668" s="35" t="n"/>
      <c r="R1668" s="35" t="n"/>
      <c r="S1668" s="35" t="n"/>
      <c r="T1668" s="35" t="n"/>
      <c r="U1668" s="35" t="n"/>
      <c r="V1668" s="18">
        <f>IF(COUNTA($B1668:$R1668)=0,"",ROUND(N($R1668)+N($S1668)+N($T1668)-N($U1668),2))</f>
        <v/>
      </c>
      <c r="W1668" s="18">
        <f>IF(COUNTA($B1668:$R1668)=0,"",IF(OR($X1668="Pago",$X1668="Recebido",$X1668="Cancelado"),0,ROUND(N($Q1668)+N($S1668)+N($T1668)-N($U1668)-N($R1668),2)))</f>
        <v/>
      </c>
      <c r="X1668" s="14" t="n"/>
      <c r="Y1668" s="17">
        <f>IF(COUNTA($B1668:$R1668)=0,"",IF($X1668="Cancelado","Cancelado",IF(OR($X1668="Pago",$X1668="Recebido"),$X1668,IF(OR($X1668="Parcial",N($R1668)&gt;0),"Parcial",IF($C1668="","Sem vencimento",IF($C1668&lt;TODAY(),"Vencido",IF($C1668=TODAY(),"Vence hoje",IF($C1668&lt;=TODAY()+7,"Vence em 7 dias",IF($C1668&lt;=TODAY()+30,"Vence em 30 dias","Futuro")))))))))</f>
        <v/>
      </c>
      <c r="Z1668" s="24">
        <f>IF($B1668="","",MONTH($B1668))</f>
        <v/>
      </c>
      <c r="AA1668" s="24">
        <f>IF($B1668="","",YEAR($B1668))</f>
        <v/>
      </c>
      <c r="AB1668" s="24">
        <f>IF($B1668="","",ISOWEEKNUM($B1668))</f>
        <v/>
      </c>
      <c r="AC1668" s="17">
        <f>IF($B1668="","",CHOOSE(WEEKDAY($B1668,2),"Segunda","Terça","Quarta","Quinta","Sexta","Sábado","Domingo"))</f>
        <v/>
      </c>
      <c r="AD1668" s="17">
        <f>IF($B1668="","",TEXT($B1668,"MM/AAAA"))</f>
        <v/>
      </c>
      <c r="AE1668" s="18">
        <f>IF(COUNTA($B1668:$R1668)=0,"",IF($X1668="Cancelado",0,ROUND(N($Q1668)+N($S1668)+N($T1668)-N($U1668),2)))</f>
        <v/>
      </c>
      <c r="AF1668" s="9">
        <f>IF($G1668="","",IFERROR(INDEX(LINHAS_DRE_PLANO,MATCH($G1668,SUBCATEGORIAS_PLANO,0)),"Não classificado"))</f>
        <v/>
      </c>
      <c r="AG1668" s="17">
        <f>IF($G1668="","",IFERROR(INDEX(TIPOS_FLUXO_PLANO,MATCH($G1668,SUBCATEGORIAS_PLANO,0)),"Não classificado"))</f>
        <v/>
      </c>
      <c r="AH1668" s="9">
        <f>IF($G1668="","",IFERROR(INDEX(GRUPOS_PLANO,MATCH($G1668,SUBCATEGORIAS_PLANO,0)),"Não classificado"))</f>
        <v/>
      </c>
      <c r="AI1668" s="24">
        <f>IF(OR($C1668="",$X1668="Pago",$X1668="Recebido",$X1668="Cancelado"),"",$C1668-TODAY())</f>
        <v/>
      </c>
      <c r="AJ1668" s="24">
        <f>IF(OR($C1668="",$X1668="Pago",$X1668="Recebido",$X1668="Cancelado"),0,MAX(0,TODAY()-$C1668))</f>
        <v/>
      </c>
      <c r="AK1668" s="24">
        <f>IF($D1668="","",$D1668-$B1668)</f>
        <v/>
      </c>
      <c r="AL1668" s="18">
        <f>IF(OR($D1668="",$B1668=""),"",ROUND(N($R1668)*($D1668-$B1668),2))</f>
        <v/>
      </c>
      <c r="AM1668" s="17">
        <f>IF(AND($E1668="Saída",$W1668&gt;0,$C1668&lt;&gt;""),$C1668+ROW()/1000000,"")</f>
        <v/>
      </c>
      <c r="AN1668" s="17">
        <f>IF(AND($E1668="Entrada",$W1668&gt;0,$C1668&lt;&gt;""),$C1668+ROW()/1000000,"")</f>
        <v/>
      </c>
      <c r="AO1668" s="9">
        <f>IF(COUNTA($B1668:$R1668)=0,"",IF(AND($I1668&lt;&gt;"",COUNTIF(CLIENTES_NOMES,$I1668)+COUNTIF(CLIENTES_FANTASIA,$I1668)+COUNTIF(FORNECEDORES_NOMES,$I1668)+COUNTIF(FORNECEDORES_FANTASIA,$I1668)=0),"⚠ Cliente/Fornecedor não cadastrado",IF(AND($G1668&lt;&gt;"",COUNTIF(SUBCATEGORIAS_PLANO,$G1668)=0),"⚠ Subcategoria fora do plano de contas",IF(OR($Q1668="",N($Q1668)=0),"⚠ Valor previsto não informado",IF(AND(OR($X1668="Pago",$X1668="Recebido"),$D1668=""),"⚠ Status pago/recebido sem data",IF(AND($D1668&lt;&gt;"",N($R1668)=0),"⚠ Data de pagamento sem valor realizado",IF(AND(N($P1668)&gt;1,N($O1668)&gt;N($P1668)),"⚠ Nº da parcela maior que o total",IF(AND($C1668&lt;&gt;"",$B1668&lt;&gt;"",$C1668&lt;$B1668),"⚠ Vencimento anterior à competência","OK"))))))))</f>
        <v/>
      </c>
    </row>
    <row r="1669">
      <c r="A1669" s="14" t="n"/>
      <c r="B1669" s="36" t="n"/>
      <c r="C1669" s="36" t="n"/>
      <c r="D1669" s="36" t="n"/>
      <c r="E1669" s="14" t="n"/>
      <c r="F1669" s="29" t="n"/>
      <c r="G1669" s="29" t="n"/>
      <c r="H1669" s="29" t="n"/>
      <c r="I1669" s="29" t="n"/>
      <c r="J1669" s="29" t="n"/>
      <c r="K1669" s="14" t="n"/>
      <c r="L1669" s="29" t="n"/>
      <c r="M1669" s="14" t="n"/>
      <c r="N1669" s="29" t="n"/>
      <c r="O1669" s="13" t="n"/>
      <c r="P1669" s="13" t="n"/>
      <c r="Q1669" s="35" t="n"/>
      <c r="R1669" s="35" t="n"/>
      <c r="S1669" s="35" t="n"/>
      <c r="T1669" s="35" t="n"/>
      <c r="U1669" s="35" t="n"/>
      <c r="V1669" s="18">
        <f>IF(COUNTA($B1669:$R1669)=0,"",ROUND(N($R1669)+N($S1669)+N($T1669)-N($U1669),2))</f>
        <v/>
      </c>
      <c r="W1669" s="18">
        <f>IF(COUNTA($B1669:$R1669)=0,"",IF(OR($X1669="Pago",$X1669="Recebido",$X1669="Cancelado"),0,ROUND(N($Q1669)+N($S1669)+N($T1669)-N($U1669)-N($R1669),2)))</f>
        <v/>
      </c>
      <c r="X1669" s="14" t="n"/>
      <c r="Y1669" s="17">
        <f>IF(COUNTA($B1669:$R1669)=0,"",IF($X1669="Cancelado","Cancelado",IF(OR($X1669="Pago",$X1669="Recebido"),$X1669,IF(OR($X1669="Parcial",N($R1669)&gt;0),"Parcial",IF($C1669="","Sem vencimento",IF($C1669&lt;TODAY(),"Vencido",IF($C1669=TODAY(),"Vence hoje",IF($C1669&lt;=TODAY()+7,"Vence em 7 dias",IF($C1669&lt;=TODAY()+30,"Vence em 30 dias","Futuro")))))))))</f>
        <v/>
      </c>
      <c r="Z1669" s="24">
        <f>IF($B1669="","",MONTH($B1669))</f>
        <v/>
      </c>
      <c r="AA1669" s="24">
        <f>IF($B1669="","",YEAR($B1669))</f>
        <v/>
      </c>
      <c r="AB1669" s="24">
        <f>IF($B1669="","",ISOWEEKNUM($B1669))</f>
        <v/>
      </c>
      <c r="AC1669" s="17">
        <f>IF($B1669="","",CHOOSE(WEEKDAY($B1669,2),"Segunda","Terça","Quarta","Quinta","Sexta","Sábado","Domingo"))</f>
        <v/>
      </c>
      <c r="AD1669" s="17">
        <f>IF($B1669="","",TEXT($B1669,"MM/AAAA"))</f>
        <v/>
      </c>
      <c r="AE1669" s="18">
        <f>IF(COUNTA($B1669:$R1669)=0,"",IF($X1669="Cancelado",0,ROUND(N($Q1669)+N($S1669)+N($T1669)-N($U1669),2)))</f>
        <v/>
      </c>
      <c r="AF1669" s="9">
        <f>IF($G1669="","",IFERROR(INDEX(LINHAS_DRE_PLANO,MATCH($G1669,SUBCATEGORIAS_PLANO,0)),"Não classificado"))</f>
        <v/>
      </c>
      <c r="AG1669" s="17">
        <f>IF($G1669="","",IFERROR(INDEX(TIPOS_FLUXO_PLANO,MATCH($G1669,SUBCATEGORIAS_PLANO,0)),"Não classificado"))</f>
        <v/>
      </c>
      <c r="AH1669" s="9">
        <f>IF($G1669="","",IFERROR(INDEX(GRUPOS_PLANO,MATCH($G1669,SUBCATEGORIAS_PLANO,0)),"Não classificado"))</f>
        <v/>
      </c>
      <c r="AI1669" s="24">
        <f>IF(OR($C1669="",$X1669="Pago",$X1669="Recebido",$X1669="Cancelado"),"",$C1669-TODAY())</f>
        <v/>
      </c>
      <c r="AJ1669" s="24">
        <f>IF(OR($C1669="",$X1669="Pago",$X1669="Recebido",$X1669="Cancelado"),0,MAX(0,TODAY()-$C1669))</f>
        <v/>
      </c>
      <c r="AK1669" s="24">
        <f>IF($D1669="","",$D1669-$B1669)</f>
        <v/>
      </c>
      <c r="AL1669" s="18">
        <f>IF(OR($D1669="",$B1669=""),"",ROUND(N($R1669)*($D1669-$B1669),2))</f>
        <v/>
      </c>
      <c r="AM1669" s="17">
        <f>IF(AND($E1669="Saída",$W1669&gt;0,$C1669&lt;&gt;""),$C1669+ROW()/1000000,"")</f>
        <v/>
      </c>
      <c r="AN1669" s="17">
        <f>IF(AND($E1669="Entrada",$W1669&gt;0,$C1669&lt;&gt;""),$C1669+ROW()/1000000,"")</f>
        <v/>
      </c>
      <c r="AO1669" s="9">
        <f>IF(COUNTA($B1669:$R1669)=0,"",IF(AND($I1669&lt;&gt;"",COUNTIF(CLIENTES_NOMES,$I1669)+COUNTIF(CLIENTES_FANTASIA,$I1669)+COUNTIF(FORNECEDORES_NOMES,$I1669)+COUNTIF(FORNECEDORES_FANTASIA,$I1669)=0),"⚠ Cliente/Fornecedor não cadastrado",IF(AND($G1669&lt;&gt;"",COUNTIF(SUBCATEGORIAS_PLANO,$G1669)=0),"⚠ Subcategoria fora do plano de contas",IF(OR($Q1669="",N($Q1669)=0),"⚠ Valor previsto não informado",IF(AND(OR($X1669="Pago",$X1669="Recebido"),$D1669=""),"⚠ Status pago/recebido sem data",IF(AND($D1669&lt;&gt;"",N($R1669)=0),"⚠ Data de pagamento sem valor realizado",IF(AND(N($P1669)&gt;1,N($O1669)&gt;N($P1669)),"⚠ Nº da parcela maior que o total",IF(AND($C1669&lt;&gt;"",$B1669&lt;&gt;"",$C1669&lt;$B1669),"⚠ Vencimento anterior à competência","OK"))))))))</f>
        <v/>
      </c>
    </row>
    <row r="1670">
      <c r="A1670" s="14" t="n"/>
      <c r="B1670" s="36" t="n"/>
      <c r="C1670" s="36" t="n"/>
      <c r="D1670" s="36" t="n"/>
      <c r="E1670" s="14" t="n"/>
      <c r="F1670" s="29" t="n"/>
      <c r="G1670" s="29" t="n"/>
      <c r="H1670" s="29" t="n"/>
      <c r="I1670" s="29" t="n"/>
      <c r="J1670" s="29" t="n"/>
      <c r="K1670" s="14" t="n"/>
      <c r="L1670" s="29" t="n"/>
      <c r="M1670" s="14" t="n"/>
      <c r="N1670" s="29" t="n"/>
      <c r="O1670" s="13" t="n"/>
      <c r="P1670" s="13" t="n"/>
      <c r="Q1670" s="35" t="n"/>
      <c r="R1670" s="35" t="n"/>
      <c r="S1670" s="35" t="n"/>
      <c r="T1670" s="35" t="n"/>
      <c r="U1670" s="35" t="n"/>
      <c r="V1670" s="18">
        <f>IF(COUNTA($B1670:$R1670)=0,"",ROUND(N($R1670)+N($S1670)+N($T1670)-N($U1670),2))</f>
        <v/>
      </c>
      <c r="W1670" s="18">
        <f>IF(COUNTA($B1670:$R1670)=0,"",IF(OR($X1670="Pago",$X1670="Recebido",$X1670="Cancelado"),0,ROUND(N($Q1670)+N($S1670)+N($T1670)-N($U1670)-N($R1670),2)))</f>
        <v/>
      </c>
      <c r="X1670" s="14" t="n"/>
      <c r="Y1670" s="17">
        <f>IF(COUNTA($B1670:$R1670)=0,"",IF($X1670="Cancelado","Cancelado",IF(OR($X1670="Pago",$X1670="Recebido"),$X1670,IF(OR($X1670="Parcial",N($R1670)&gt;0),"Parcial",IF($C1670="","Sem vencimento",IF($C1670&lt;TODAY(),"Vencido",IF($C1670=TODAY(),"Vence hoje",IF($C1670&lt;=TODAY()+7,"Vence em 7 dias",IF($C1670&lt;=TODAY()+30,"Vence em 30 dias","Futuro")))))))))</f>
        <v/>
      </c>
      <c r="Z1670" s="24">
        <f>IF($B1670="","",MONTH($B1670))</f>
        <v/>
      </c>
      <c r="AA1670" s="24">
        <f>IF($B1670="","",YEAR($B1670))</f>
        <v/>
      </c>
      <c r="AB1670" s="24">
        <f>IF($B1670="","",ISOWEEKNUM($B1670))</f>
        <v/>
      </c>
      <c r="AC1670" s="17">
        <f>IF($B1670="","",CHOOSE(WEEKDAY($B1670,2),"Segunda","Terça","Quarta","Quinta","Sexta","Sábado","Domingo"))</f>
        <v/>
      </c>
      <c r="AD1670" s="17">
        <f>IF($B1670="","",TEXT($B1670,"MM/AAAA"))</f>
        <v/>
      </c>
      <c r="AE1670" s="18">
        <f>IF(COUNTA($B1670:$R1670)=0,"",IF($X1670="Cancelado",0,ROUND(N($Q1670)+N($S1670)+N($T1670)-N($U1670),2)))</f>
        <v/>
      </c>
      <c r="AF1670" s="9">
        <f>IF($G1670="","",IFERROR(INDEX(LINHAS_DRE_PLANO,MATCH($G1670,SUBCATEGORIAS_PLANO,0)),"Não classificado"))</f>
        <v/>
      </c>
      <c r="AG1670" s="17">
        <f>IF($G1670="","",IFERROR(INDEX(TIPOS_FLUXO_PLANO,MATCH($G1670,SUBCATEGORIAS_PLANO,0)),"Não classificado"))</f>
        <v/>
      </c>
      <c r="AH1670" s="9">
        <f>IF($G1670="","",IFERROR(INDEX(GRUPOS_PLANO,MATCH($G1670,SUBCATEGORIAS_PLANO,0)),"Não classificado"))</f>
        <v/>
      </c>
      <c r="AI1670" s="24">
        <f>IF(OR($C1670="",$X1670="Pago",$X1670="Recebido",$X1670="Cancelado"),"",$C1670-TODAY())</f>
        <v/>
      </c>
      <c r="AJ1670" s="24">
        <f>IF(OR($C1670="",$X1670="Pago",$X1670="Recebido",$X1670="Cancelado"),0,MAX(0,TODAY()-$C1670))</f>
        <v/>
      </c>
      <c r="AK1670" s="24">
        <f>IF($D1670="","",$D1670-$B1670)</f>
        <v/>
      </c>
      <c r="AL1670" s="18">
        <f>IF(OR($D1670="",$B1670=""),"",ROUND(N($R1670)*($D1670-$B1670),2))</f>
        <v/>
      </c>
      <c r="AM1670" s="17">
        <f>IF(AND($E1670="Saída",$W1670&gt;0,$C1670&lt;&gt;""),$C1670+ROW()/1000000,"")</f>
        <v/>
      </c>
      <c r="AN1670" s="17">
        <f>IF(AND($E1670="Entrada",$W1670&gt;0,$C1670&lt;&gt;""),$C1670+ROW()/1000000,"")</f>
        <v/>
      </c>
      <c r="AO1670" s="9">
        <f>IF(COUNTA($B1670:$R1670)=0,"",IF(AND($I1670&lt;&gt;"",COUNTIF(CLIENTES_NOMES,$I1670)+COUNTIF(CLIENTES_FANTASIA,$I1670)+COUNTIF(FORNECEDORES_NOMES,$I1670)+COUNTIF(FORNECEDORES_FANTASIA,$I1670)=0),"⚠ Cliente/Fornecedor não cadastrado",IF(AND($G1670&lt;&gt;"",COUNTIF(SUBCATEGORIAS_PLANO,$G1670)=0),"⚠ Subcategoria fora do plano de contas",IF(OR($Q1670="",N($Q1670)=0),"⚠ Valor previsto não informado",IF(AND(OR($X1670="Pago",$X1670="Recebido"),$D1670=""),"⚠ Status pago/recebido sem data",IF(AND($D1670&lt;&gt;"",N($R1670)=0),"⚠ Data de pagamento sem valor realizado",IF(AND(N($P1670)&gt;1,N($O1670)&gt;N($P1670)),"⚠ Nº da parcela maior que o total",IF(AND($C1670&lt;&gt;"",$B1670&lt;&gt;"",$C1670&lt;$B1670),"⚠ Vencimento anterior à competência","OK"))))))))</f>
        <v/>
      </c>
    </row>
    <row r="1671">
      <c r="A1671" s="14" t="n"/>
      <c r="B1671" s="36" t="n"/>
      <c r="C1671" s="36" t="n"/>
      <c r="D1671" s="36" t="n"/>
      <c r="E1671" s="14" t="n"/>
      <c r="F1671" s="29" t="n"/>
      <c r="G1671" s="29" t="n"/>
      <c r="H1671" s="29" t="n"/>
      <c r="I1671" s="29" t="n"/>
      <c r="J1671" s="29" t="n"/>
      <c r="K1671" s="14" t="n"/>
      <c r="L1671" s="29" t="n"/>
      <c r="M1671" s="14" t="n"/>
      <c r="N1671" s="29" t="n"/>
      <c r="O1671" s="13" t="n"/>
      <c r="P1671" s="13" t="n"/>
      <c r="Q1671" s="35" t="n"/>
      <c r="R1671" s="35" t="n"/>
      <c r="S1671" s="35" t="n"/>
      <c r="T1671" s="35" t="n"/>
      <c r="U1671" s="35" t="n"/>
      <c r="V1671" s="18">
        <f>IF(COUNTA($B1671:$R1671)=0,"",ROUND(N($R1671)+N($S1671)+N($T1671)-N($U1671),2))</f>
        <v/>
      </c>
      <c r="W1671" s="18">
        <f>IF(COUNTA($B1671:$R1671)=0,"",IF(OR($X1671="Pago",$X1671="Recebido",$X1671="Cancelado"),0,ROUND(N($Q1671)+N($S1671)+N($T1671)-N($U1671)-N($R1671),2)))</f>
        <v/>
      </c>
      <c r="X1671" s="14" t="n"/>
      <c r="Y1671" s="17">
        <f>IF(COUNTA($B1671:$R1671)=0,"",IF($X1671="Cancelado","Cancelado",IF(OR($X1671="Pago",$X1671="Recebido"),$X1671,IF(OR($X1671="Parcial",N($R1671)&gt;0),"Parcial",IF($C1671="","Sem vencimento",IF($C1671&lt;TODAY(),"Vencido",IF($C1671=TODAY(),"Vence hoje",IF($C1671&lt;=TODAY()+7,"Vence em 7 dias",IF($C1671&lt;=TODAY()+30,"Vence em 30 dias","Futuro")))))))))</f>
        <v/>
      </c>
      <c r="Z1671" s="24">
        <f>IF($B1671="","",MONTH($B1671))</f>
        <v/>
      </c>
      <c r="AA1671" s="24">
        <f>IF($B1671="","",YEAR($B1671))</f>
        <v/>
      </c>
      <c r="AB1671" s="24">
        <f>IF($B1671="","",ISOWEEKNUM($B1671))</f>
        <v/>
      </c>
      <c r="AC1671" s="17">
        <f>IF($B1671="","",CHOOSE(WEEKDAY($B1671,2),"Segunda","Terça","Quarta","Quinta","Sexta","Sábado","Domingo"))</f>
        <v/>
      </c>
      <c r="AD1671" s="17">
        <f>IF($B1671="","",TEXT($B1671,"MM/AAAA"))</f>
        <v/>
      </c>
      <c r="AE1671" s="18">
        <f>IF(COUNTA($B1671:$R1671)=0,"",IF($X1671="Cancelado",0,ROUND(N($Q1671)+N($S1671)+N($T1671)-N($U1671),2)))</f>
        <v/>
      </c>
      <c r="AF1671" s="9">
        <f>IF($G1671="","",IFERROR(INDEX(LINHAS_DRE_PLANO,MATCH($G1671,SUBCATEGORIAS_PLANO,0)),"Não classificado"))</f>
        <v/>
      </c>
      <c r="AG1671" s="17">
        <f>IF($G1671="","",IFERROR(INDEX(TIPOS_FLUXO_PLANO,MATCH($G1671,SUBCATEGORIAS_PLANO,0)),"Não classificado"))</f>
        <v/>
      </c>
      <c r="AH1671" s="9">
        <f>IF($G1671="","",IFERROR(INDEX(GRUPOS_PLANO,MATCH($G1671,SUBCATEGORIAS_PLANO,0)),"Não classificado"))</f>
        <v/>
      </c>
      <c r="AI1671" s="24">
        <f>IF(OR($C1671="",$X1671="Pago",$X1671="Recebido",$X1671="Cancelado"),"",$C1671-TODAY())</f>
        <v/>
      </c>
      <c r="AJ1671" s="24">
        <f>IF(OR($C1671="",$X1671="Pago",$X1671="Recebido",$X1671="Cancelado"),0,MAX(0,TODAY()-$C1671))</f>
        <v/>
      </c>
      <c r="AK1671" s="24">
        <f>IF($D1671="","",$D1671-$B1671)</f>
        <v/>
      </c>
      <c r="AL1671" s="18">
        <f>IF(OR($D1671="",$B1671=""),"",ROUND(N($R1671)*($D1671-$B1671),2))</f>
        <v/>
      </c>
      <c r="AM1671" s="17">
        <f>IF(AND($E1671="Saída",$W1671&gt;0,$C1671&lt;&gt;""),$C1671+ROW()/1000000,"")</f>
        <v/>
      </c>
      <c r="AN1671" s="17">
        <f>IF(AND($E1671="Entrada",$W1671&gt;0,$C1671&lt;&gt;""),$C1671+ROW()/1000000,"")</f>
        <v/>
      </c>
      <c r="AO1671" s="9">
        <f>IF(COUNTA($B1671:$R1671)=0,"",IF(AND($I1671&lt;&gt;"",COUNTIF(CLIENTES_NOMES,$I1671)+COUNTIF(CLIENTES_FANTASIA,$I1671)+COUNTIF(FORNECEDORES_NOMES,$I1671)+COUNTIF(FORNECEDORES_FANTASIA,$I1671)=0),"⚠ Cliente/Fornecedor não cadastrado",IF(AND($G1671&lt;&gt;"",COUNTIF(SUBCATEGORIAS_PLANO,$G1671)=0),"⚠ Subcategoria fora do plano de contas",IF(OR($Q1671="",N($Q1671)=0),"⚠ Valor previsto não informado",IF(AND(OR($X1671="Pago",$X1671="Recebido"),$D1671=""),"⚠ Status pago/recebido sem data",IF(AND($D1671&lt;&gt;"",N($R1671)=0),"⚠ Data de pagamento sem valor realizado",IF(AND(N($P1671)&gt;1,N($O1671)&gt;N($P1671)),"⚠ Nº da parcela maior que o total",IF(AND($C1671&lt;&gt;"",$B1671&lt;&gt;"",$C1671&lt;$B1671),"⚠ Vencimento anterior à competência","OK"))))))))</f>
        <v/>
      </c>
    </row>
    <row r="1672">
      <c r="A1672" s="14" t="n"/>
      <c r="B1672" s="36" t="n"/>
      <c r="C1672" s="36" t="n"/>
      <c r="D1672" s="36" t="n"/>
      <c r="E1672" s="14" t="n"/>
      <c r="F1672" s="29" t="n"/>
      <c r="G1672" s="29" t="n"/>
      <c r="H1672" s="29" t="n"/>
      <c r="I1672" s="29" t="n"/>
      <c r="J1672" s="29" t="n"/>
      <c r="K1672" s="14" t="n"/>
      <c r="L1672" s="29" t="n"/>
      <c r="M1672" s="14" t="n"/>
      <c r="N1672" s="29" t="n"/>
      <c r="O1672" s="13" t="n"/>
      <c r="P1672" s="13" t="n"/>
      <c r="Q1672" s="35" t="n"/>
      <c r="R1672" s="35" t="n"/>
      <c r="S1672" s="35" t="n"/>
      <c r="T1672" s="35" t="n"/>
      <c r="U1672" s="35" t="n"/>
      <c r="V1672" s="18">
        <f>IF(COUNTA($B1672:$R1672)=0,"",ROUND(N($R1672)+N($S1672)+N($T1672)-N($U1672),2))</f>
        <v/>
      </c>
      <c r="W1672" s="18">
        <f>IF(COUNTA($B1672:$R1672)=0,"",IF(OR($X1672="Pago",$X1672="Recebido",$X1672="Cancelado"),0,ROUND(N($Q1672)+N($S1672)+N($T1672)-N($U1672)-N($R1672),2)))</f>
        <v/>
      </c>
      <c r="X1672" s="14" t="n"/>
      <c r="Y1672" s="17">
        <f>IF(COUNTA($B1672:$R1672)=0,"",IF($X1672="Cancelado","Cancelado",IF(OR($X1672="Pago",$X1672="Recebido"),$X1672,IF(OR($X1672="Parcial",N($R1672)&gt;0),"Parcial",IF($C1672="","Sem vencimento",IF($C1672&lt;TODAY(),"Vencido",IF($C1672=TODAY(),"Vence hoje",IF($C1672&lt;=TODAY()+7,"Vence em 7 dias",IF($C1672&lt;=TODAY()+30,"Vence em 30 dias","Futuro")))))))))</f>
        <v/>
      </c>
      <c r="Z1672" s="24">
        <f>IF($B1672="","",MONTH($B1672))</f>
        <v/>
      </c>
      <c r="AA1672" s="24">
        <f>IF($B1672="","",YEAR($B1672))</f>
        <v/>
      </c>
      <c r="AB1672" s="24">
        <f>IF($B1672="","",ISOWEEKNUM($B1672))</f>
        <v/>
      </c>
      <c r="AC1672" s="17">
        <f>IF($B1672="","",CHOOSE(WEEKDAY($B1672,2),"Segunda","Terça","Quarta","Quinta","Sexta","Sábado","Domingo"))</f>
        <v/>
      </c>
      <c r="AD1672" s="17">
        <f>IF($B1672="","",TEXT($B1672,"MM/AAAA"))</f>
        <v/>
      </c>
      <c r="AE1672" s="18">
        <f>IF(COUNTA($B1672:$R1672)=0,"",IF($X1672="Cancelado",0,ROUND(N($Q1672)+N($S1672)+N($T1672)-N($U1672),2)))</f>
        <v/>
      </c>
      <c r="AF1672" s="9">
        <f>IF($G1672="","",IFERROR(INDEX(LINHAS_DRE_PLANO,MATCH($G1672,SUBCATEGORIAS_PLANO,0)),"Não classificado"))</f>
        <v/>
      </c>
      <c r="AG1672" s="17">
        <f>IF($G1672="","",IFERROR(INDEX(TIPOS_FLUXO_PLANO,MATCH($G1672,SUBCATEGORIAS_PLANO,0)),"Não classificado"))</f>
        <v/>
      </c>
      <c r="AH1672" s="9">
        <f>IF($G1672="","",IFERROR(INDEX(GRUPOS_PLANO,MATCH($G1672,SUBCATEGORIAS_PLANO,0)),"Não classificado"))</f>
        <v/>
      </c>
      <c r="AI1672" s="24">
        <f>IF(OR($C1672="",$X1672="Pago",$X1672="Recebido",$X1672="Cancelado"),"",$C1672-TODAY())</f>
        <v/>
      </c>
      <c r="AJ1672" s="24">
        <f>IF(OR($C1672="",$X1672="Pago",$X1672="Recebido",$X1672="Cancelado"),0,MAX(0,TODAY()-$C1672))</f>
        <v/>
      </c>
      <c r="AK1672" s="24">
        <f>IF($D1672="","",$D1672-$B1672)</f>
        <v/>
      </c>
      <c r="AL1672" s="18">
        <f>IF(OR($D1672="",$B1672=""),"",ROUND(N($R1672)*($D1672-$B1672),2))</f>
        <v/>
      </c>
      <c r="AM1672" s="17">
        <f>IF(AND($E1672="Saída",$W1672&gt;0,$C1672&lt;&gt;""),$C1672+ROW()/1000000,"")</f>
        <v/>
      </c>
      <c r="AN1672" s="17">
        <f>IF(AND($E1672="Entrada",$W1672&gt;0,$C1672&lt;&gt;""),$C1672+ROW()/1000000,"")</f>
        <v/>
      </c>
      <c r="AO1672" s="9">
        <f>IF(COUNTA($B1672:$R1672)=0,"",IF(AND($I1672&lt;&gt;"",COUNTIF(CLIENTES_NOMES,$I1672)+COUNTIF(CLIENTES_FANTASIA,$I1672)+COUNTIF(FORNECEDORES_NOMES,$I1672)+COUNTIF(FORNECEDORES_FANTASIA,$I1672)=0),"⚠ Cliente/Fornecedor não cadastrado",IF(AND($G1672&lt;&gt;"",COUNTIF(SUBCATEGORIAS_PLANO,$G1672)=0),"⚠ Subcategoria fora do plano de contas",IF(OR($Q1672="",N($Q1672)=0),"⚠ Valor previsto não informado",IF(AND(OR($X1672="Pago",$X1672="Recebido"),$D1672=""),"⚠ Status pago/recebido sem data",IF(AND($D1672&lt;&gt;"",N($R1672)=0),"⚠ Data de pagamento sem valor realizado",IF(AND(N($P1672)&gt;1,N($O1672)&gt;N($P1672)),"⚠ Nº da parcela maior que o total",IF(AND($C1672&lt;&gt;"",$B1672&lt;&gt;"",$C1672&lt;$B1672),"⚠ Vencimento anterior à competência","OK"))))))))</f>
        <v/>
      </c>
    </row>
    <row r="1673">
      <c r="A1673" s="14" t="n"/>
      <c r="B1673" s="36" t="n"/>
      <c r="C1673" s="36" t="n"/>
      <c r="D1673" s="36" t="n"/>
      <c r="E1673" s="14" t="n"/>
      <c r="F1673" s="29" t="n"/>
      <c r="G1673" s="29" t="n"/>
      <c r="H1673" s="29" t="n"/>
      <c r="I1673" s="29" t="n"/>
      <c r="J1673" s="29" t="n"/>
      <c r="K1673" s="14" t="n"/>
      <c r="L1673" s="29" t="n"/>
      <c r="M1673" s="14" t="n"/>
      <c r="N1673" s="29" t="n"/>
      <c r="O1673" s="13" t="n"/>
      <c r="P1673" s="13" t="n"/>
      <c r="Q1673" s="35" t="n"/>
      <c r="R1673" s="35" t="n"/>
      <c r="S1673" s="35" t="n"/>
      <c r="T1673" s="35" t="n"/>
      <c r="U1673" s="35" t="n"/>
      <c r="V1673" s="18">
        <f>IF(COUNTA($B1673:$R1673)=0,"",ROUND(N($R1673)+N($S1673)+N($T1673)-N($U1673),2))</f>
        <v/>
      </c>
      <c r="W1673" s="18">
        <f>IF(COUNTA($B1673:$R1673)=0,"",IF(OR($X1673="Pago",$X1673="Recebido",$X1673="Cancelado"),0,ROUND(N($Q1673)+N($S1673)+N($T1673)-N($U1673)-N($R1673),2)))</f>
        <v/>
      </c>
      <c r="X1673" s="14" t="n"/>
      <c r="Y1673" s="17">
        <f>IF(COUNTA($B1673:$R1673)=0,"",IF($X1673="Cancelado","Cancelado",IF(OR($X1673="Pago",$X1673="Recebido"),$X1673,IF(OR($X1673="Parcial",N($R1673)&gt;0),"Parcial",IF($C1673="","Sem vencimento",IF($C1673&lt;TODAY(),"Vencido",IF($C1673=TODAY(),"Vence hoje",IF($C1673&lt;=TODAY()+7,"Vence em 7 dias",IF($C1673&lt;=TODAY()+30,"Vence em 30 dias","Futuro")))))))))</f>
        <v/>
      </c>
      <c r="Z1673" s="24">
        <f>IF($B1673="","",MONTH($B1673))</f>
        <v/>
      </c>
      <c r="AA1673" s="24">
        <f>IF($B1673="","",YEAR($B1673))</f>
        <v/>
      </c>
      <c r="AB1673" s="24">
        <f>IF($B1673="","",ISOWEEKNUM($B1673))</f>
        <v/>
      </c>
      <c r="AC1673" s="17">
        <f>IF($B1673="","",CHOOSE(WEEKDAY($B1673,2),"Segunda","Terça","Quarta","Quinta","Sexta","Sábado","Domingo"))</f>
        <v/>
      </c>
      <c r="AD1673" s="17">
        <f>IF($B1673="","",TEXT($B1673,"MM/AAAA"))</f>
        <v/>
      </c>
      <c r="AE1673" s="18">
        <f>IF(COUNTA($B1673:$R1673)=0,"",IF($X1673="Cancelado",0,ROUND(N($Q1673)+N($S1673)+N($T1673)-N($U1673),2)))</f>
        <v/>
      </c>
      <c r="AF1673" s="9">
        <f>IF($G1673="","",IFERROR(INDEX(LINHAS_DRE_PLANO,MATCH($G1673,SUBCATEGORIAS_PLANO,0)),"Não classificado"))</f>
        <v/>
      </c>
      <c r="AG1673" s="17">
        <f>IF($G1673="","",IFERROR(INDEX(TIPOS_FLUXO_PLANO,MATCH($G1673,SUBCATEGORIAS_PLANO,0)),"Não classificado"))</f>
        <v/>
      </c>
      <c r="AH1673" s="9">
        <f>IF($G1673="","",IFERROR(INDEX(GRUPOS_PLANO,MATCH($G1673,SUBCATEGORIAS_PLANO,0)),"Não classificado"))</f>
        <v/>
      </c>
      <c r="AI1673" s="24">
        <f>IF(OR($C1673="",$X1673="Pago",$X1673="Recebido",$X1673="Cancelado"),"",$C1673-TODAY())</f>
        <v/>
      </c>
      <c r="AJ1673" s="24">
        <f>IF(OR($C1673="",$X1673="Pago",$X1673="Recebido",$X1673="Cancelado"),0,MAX(0,TODAY()-$C1673))</f>
        <v/>
      </c>
      <c r="AK1673" s="24">
        <f>IF($D1673="","",$D1673-$B1673)</f>
        <v/>
      </c>
      <c r="AL1673" s="18">
        <f>IF(OR($D1673="",$B1673=""),"",ROUND(N($R1673)*($D1673-$B1673),2))</f>
        <v/>
      </c>
      <c r="AM1673" s="17">
        <f>IF(AND($E1673="Saída",$W1673&gt;0,$C1673&lt;&gt;""),$C1673+ROW()/1000000,"")</f>
        <v/>
      </c>
      <c r="AN1673" s="17">
        <f>IF(AND($E1673="Entrada",$W1673&gt;0,$C1673&lt;&gt;""),$C1673+ROW()/1000000,"")</f>
        <v/>
      </c>
      <c r="AO1673" s="9">
        <f>IF(COUNTA($B1673:$R1673)=0,"",IF(AND($I1673&lt;&gt;"",COUNTIF(CLIENTES_NOMES,$I1673)+COUNTIF(CLIENTES_FANTASIA,$I1673)+COUNTIF(FORNECEDORES_NOMES,$I1673)+COUNTIF(FORNECEDORES_FANTASIA,$I1673)=0),"⚠ Cliente/Fornecedor não cadastrado",IF(AND($G1673&lt;&gt;"",COUNTIF(SUBCATEGORIAS_PLANO,$G1673)=0),"⚠ Subcategoria fora do plano de contas",IF(OR($Q1673="",N($Q1673)=0),"⚠ Valor previsto não informado",IF(AND(OR($X1673="Pago",$X1673="Recebido"),$D1673=""),"⚠ Status pago/recebido sem data",IF(AND($D1673&lt;&gt;"",N($R1673)=0),"⚠ Data de pagamento sem valor realizado",IF(AND(N($P1673)&gt;1,N($O1673)&gt;N($P1673)),"⚠ Nº da parcela maior que o total",IF(AND($C1673&lt;&gt;"",$B1673&lt;&gt;"",$C1673&lt;$B1673),"⚠ Vencimento anterior à competência","OK"))))))))</f>
        <v/>
      </c>
    </row>
    <row r="1674">
      <c r="A1674" s="14" t="n"/>
      <c r="B1674" s="36" t="n"/>
      <c r="C1674" s="36" t="n"/>
      <c r="D1674" s="36" t="n"/>
      <c r="E1674" s="14" t="n"/>
      <c r="F1674" s="29" t="n"/>
      <c r="G1674" s="29" t="n"/>
      <c r="H1674" s="29" t="n"/>
      <c r="I1674" s="29" t="n"/>
      <c r="J1674" s="29" t="n"/>
      <c r="K1674" s="14" t="n"/>
      <c r="L1674" s="29" t="n"/>
      <c r="M1674" s="14" t="n"/>
      <c r="N1674" s="29" t="n"/>
      <c r="O1674" s="13" t="n"/>
      <c r="P1674" s="13" t="n"/>
      <c r="Q1674" s="35" t="n"/>
      <c r="R1674" s="35" t="n"/>
      <c r="S1674" s="35" t="n"/>
      <c r="T1674" s="35" t="n"/>
      <c r="U1674" s="35" t="n"/>
      <c r="V1674" s="18">
        <f>IF(COUNTA($B1674:$R1674)=0,"",ROUND(N($R1674)+N($S1674)+N($T1674)-N($U1674),2))</f>
        <v/>
      </c>
      <c r="W1674" s="18">
        <f>IF(COUNTA($B1674:$R1674)=0,"",IF(OR($X1674="Pago",$X1674="Recebido",$X1674="Cancelado"),0,ROUND(N($Q1674)+N($S1674)+N($T1674)-N($U1674)-N($R1674),2)))</f>
        <v/>
      </c>
      <c r="X1674" s="14" t="n"/>
      <c r="Y1674" s="17">
        <f>IF(COUNTA($B1674:$R1674)=0,"",IF($X1674="Cancelado","Cancelado",IF(OR($X1674="Pago",$X1674="Recebido"),$X1674,IF(OR($X1674="Parcial",N($R1674)&gt;0),"Parcial",IF($C1674="","Sem vencimento",IF($C1674&lt;TODAY(),"Vencido",IF($C1674=TODAY(),"Vence hoje",IF($C1674&lt;=TODAY()+7,"Vence em 7 dias",IF($C1674&lt;=TODAY()+30,"Vence em 30 dias","Futuro")))))))))</f>
        <v/>
      </c>
      <c r="Z1674" s="24">
        <f>IF($B1674="","",MONTH($B1674))</f>
        <v/>
      </c>
      <c r="AA1674" s="24">
        <f>IF($B1674="","",YEAR($B1674))</f>
        <v/>
      </c>
      <c r="AB1674" s="24">
        <f>IF($B1674="","",ISOWEEKNUM($B1674))</f>
        <v/>
      </c>
      <c r="AC1674" s="17">
        <f>IF($B1674="","",CHOOSE(WEEKDAY($B1674,2),"Segunda","Terça","Quarta","Quinta","Sexta","Sábado","Domingo"))</f>
        <v/>
      </c>
      <c r="AD1674" s="17">
        <f>IF($B1674="","",TEXT($B1674,"MM/AAAA"))</f>
        <v/>
      </c>
      <c r="AE1674" s="18">
        <f>IF(COUNTA($B1674:$R1674)=0,"",IF($X1674="Cancelado",0,ROUND(N($Q1674)+N($S1674)+N($T1674)-N($U1674),2)))</f>
        <v/>
      </c>
      <c r="AF1674" s="9">
        <f>IF($G1674="","",IFERROR(INDEX(LINHAS_DRE_PLANO,MATCH($G1674,SUBCATEGORIAS_PLANO,0)),"Não classificado"))</f>
        <v/>
      </c>
      <c r="AG1674" s="17">
        <f>IF($G1674="","",IFERROR(INDEX(TIPOS_FLUXO_PLANO,MATCH($G1674,SUBCATEGORIAS_PLANO,0)),"Não classificado"))</f>
        <v/>
      </c>
      <c r="AH1674" s="9">
        <f>IF($G1674="","",IFERROR(INDEX(GRUPOS_PLANO,MATCH($G1674,SUBCATEGORIAS_PLANO,0)),"Não classificado"))</f>
        <v/>
      </c>
      <c r="AI1674" s="24">
        <f>IF(OR($C1674="",$X1674="Pago",$X1674="Recebido",$X1674="Cancelado"),"",$C1674-TODAY())</f>
        <v/>
      </c>
      <c r="AJ1674" s="24">
        <f>IF(OR($C1674="",$X1674="Pago",$X1674="Recebido",$X1674="Cancelado"),0,MAX(0,TODAY()-$C1674))</f>
        <v/>
      </c>
      <c r="AK1674" s="24">
        <f>IF($D1674="","",$D1674-$B1674)</f>
        <v/>
      </c>
      <c r="AL1674" s="18">
        <f>IF(OR($D1674="",$B1674=""),"",ROUND(N($R1674)*($D1674-$B1674),2))</f>
        <v/>
      </c>
      <c r="AM1674" s="17">
        <f>IF(AND($E1674="Saída",$W1674&gt;0,$C1674&lt;&gt;""),$C1674+ROW()/1000000,"")</f>
        <v/>
      </c>
      <c r="AN1674" s="17">
        <f>IF(AND($E1674="Entrada",$W1674&gt;0,$C1674&lt;&gt;""),$C1674+ROW()/1000000,"")</f>
        <v/>
      </c>
      <c r="AO1674" s="9">
        <f>IF(COUNTA($B1674:$R1674)=0,"",IF(AND($I1674&lt;&gt;"",COUNTIF(CLIENTES_NOMES,$I1674)+COUNTIF(CLIENTES_FANTASIA,$I1674)+COUNTIF(FORNECEDORES_NOMES,$I1674)+COUNTIF(FORNECEDORES_FANTASIA,$I1674)=0),"⚠ Cliente/Fornecedor não cadastrado",IF(AND($G1674&lt;&gt;"",COUNTIF(SUBCATEGORIAS_PLANO,$G1674)=0),"⚠ Subcategoria fora do plano de contas",IF(OR($Q1674="",N($Q1674)=0),"⚠ Valor previsto não informado",IF(AND(OR($X1674="Pago",$X1674="Recebido"),$D1674=""),"⚠ Status pago/recebido sem data",IF(AND($D1674&lt;&gt;"",N($R1674)=0),"⚠ Data de pagamento sem valor realizado",IF(AND(N($P1674)&gt;1,N($O1674)&gt;N($P1674)),"⚠ Nº da parcela maior que o total",IF(AND($C1674&lt;&gt;"",$B1674&lt;&gt;"",$C1674&lt;$B1674),"⚠ Vencimento anterior à competência","OK"))))))))</f>
        <v/>
      </c>
    </row>
    <row r="1675">
      <c r="A1675" s="14" t="n"/>
      <c r="B1675" s="36" t="n"/>
      <c r="C1675" s="36" t="n"/>
      <c r="D1675" s="36" t="n"/>
      <c r="E1675" s="14" t="n"/>
      <c r="F1675" s="29" t="n"/>
      <c r="G1675" s="29" t="n"/>
      <c r="H1675" s="29" t="n"/>
      <c r="I1675" s="29" t="n"/>
      <c r="J1675" s="29" t="n"/>
      <c r="K1675" s="14" t="n"/>
      <c r="L1675" s="29" t="n"/>
      <c r="M1675" s="14" t="n"/>
      <c r="N1675" s="29" t="n"/>
      <c r="O1675" s="13" t="n"/>
      <c r="P1675" s="13" t="n"/>
      <c r="Q1675" s="35" t="n"/>
      <c r="R1675" s="35" t="n"/>
      <c r="S1675" s="35" t="n"/>
      <c r="T1675" s="35" t="n"/>
      <c r="U1675" s="35" t="n"/>
      <c r="V1675" s="18">
        <f>IF(COUNTA($B1675:$R1675)=0,"",ROUND(N($R1675)+N($S1675)+N($T1675)-N($U1675),2))</f>
        <v/>
      </c>
      <c r="W1675" s="18">
        <f>IF(COUNTA($B1675:$R1675)=0,"",IF(OR($X1675="Pago",$X1675="Recebido",$X1675="Cancelado"),0,ROUND(N($Q1675)+N($S1675)+N($T1675)-N($U1675)-N($R1675),2)))</f>
        <v/>
      </c>
      <c r="X1675" s="14" t="n"/>
      <c r="Y1675" s="17">
        <f>IF(COUNTA($B1675:$R1675)=0,"",IF($X1675="Cancelado","Cancelado",IF(OR($X1675="Pago",$X1675="Recebido"),$X1675,IF(OR($X1675="Parcial",N($R1675)&gt;0),"Parcial",IF($C1675="","Sem vencimento",IF($C1675&lt;TODAY(),"Vencido",IF($C1675=TODAY(),"Vence hoje",IF($C1675&lt;=TODAY()+7,"Vence em 7 dias",IF($C1675&lt;=TODAY()+30,"Vence em 30 dias","Futuro")))))))))</f>
        <v/>
      </c>
      <c r="Z1675" s="24">
        <f>IF($B1675="","",MONTH($B1675))</f>
        <v/>
      </c>
      <c r="AA1675" s="24">
        <f>IF($B1675="","",YEAR($B1675))</f>
        <v/>
      </c>
      <c r="AB1675" s="24">
        <f>IF($B1675="","",ISOWEEKNUM($B1675))</f>
        <v/>
      </c>
      <c r="AC1675" s="17">
        <f>IF($B1675="","",CHOOSE(WEEKDAY($B1675,2),"Segunda","Terça","Quarta","Quinta","Sexta","Sábado","Domingo"))</f>
        <v/>
      </c>
      <c r="AD1675" s="17">
        <f>IF($B1675="","",TEXT($B1675,"MM/AAAA"))</f>
        <v/>
      </c>
      <c r="AE1675" s="18">
        <f>IF(COUNTA($B1675:$R1675)=0,"",IF($X1675="Cancelado",0,ROUND(N($Q1675)+N($S1675)+N($T1675)-N($U1675),2)))</f>
        <v/>
      </c>
      <c r="AF1675" s="9">
        <f>IF($G1675="","",IFERROR(INDEX(LINHAS_DRE_PLANO,MATCH($G1675,SUBCATEGORIAS_PLANO,0)),"Não classificado"))</f>
        <v/>
      </c>
      <c r="AG1675" s="17">
        <f>IF($G1675="","",IFERROR(INDEX(TIPOS_FLUXO_PLANO,MATCH($G1675,SUBCATEGORIAS_PLANO,0)),"Não classificado"))</f>
        <v/>
      </c>
      <c r="AH1675" s="9">
        <f>IF($G1675="","",IFERROR(INDEX(GRUPOS_PLANO,MATCH($G1675,SUBCATEGORIAS_PLANO,0)),"Não classificado"))</f>
        <v/>
      </c>
      <c r="AI1675" s="24">
        <f>IF(OR($C1675="",$X1675="Pago",$X1675="Recebido",$X1675="Cancelado"),"",$C1675-TODAY())</f>
        <v/>
      </c>
      <c r="AJ1675" s="24">
        <f>IF(OR($C1675="",$X1675="Pago",$X1675="Recebido",$X1675="Cancelado"),0,MAX(0,TODAY()-$C1675))</f>
        <v/>
      </c>
      <c r="AK1675" s="24">
        <f>IF($D1675="","",$D1675-$B1675)</f>
        <v/>
      </c>
      <c r="AL1675" s="18">
        <f>IF(OR($D1675="",$B1675=""),"",ROUND(N($R1675)*($D1675-$B1675),2))</f>
        <v/>
      </c>
      <c r="AM1675" s="17">
        <f>IF(AND($E1675="Saída",$W1675&gt;0,$C1675&lt;&gt;""),$C1675+ROW()/1000000,"")</f>
        <v/>
      </c>
      <c r="AN1675" s="17">
        <f>IF(AND($E1675="Entrada",$W1675&gt;0,$C1675&lt;&gt;""),$C1675+ROW()/1000000,"")</f>
        <v/>
      </c>
      <c r="AO1675" s="9">
        <f>IF(COUNTA($B1675:$R1675)=0,"",IF(AND($I1675&lt;&gt;"",COUNTIF(CLIENTES_NOMES,$I1675)+COUNTIF(CLIENTES_FANTASIA,$I1675)+COUNTIF(FORNECEDORES_NOMES,$I1675)+COUNTIF(FORNECEDORES_FANTASIA,$I1675)=0),"⚠ Cliente/Fornecedor não cadastrado",IF(AND($G1675&lt;&gt;"",COUNTIF(SUBCATEGORIAS_PLANO,$G1675)=0),"⚠ Subcategoria fora do plano de contas",IF(OR($Q1675="",N($Q1675)=0),"⚠ Valor previsto não informado",IF(AND(OR($X1675="Pago",$X1675="Recebido"),$D1675=""),"⚠ Status pago/recebido sem data",IF(AND($D1675&lt;&gt;"",N($R1675)=0),"⚠ Data de pagamento sem valor realizado",IF(AND(N($P1675)&gt;1,N($O1675)&gt;N($P1675)),"⚠ Nº da parcela maior que o total",IF(AND($C1675&lt;&gt;"",$B1675&lt;&gt;"",$C1675&lt;$B1675),"⚠ Vencimento anterior à competência","OK"))))))))</f>
        <v/>
      </c>
    </row>
    <row r="1676">
      <c r="A1676" s="14" t="n"/>
      <c r="B1676" s="36" t="n"/>
      <c r="C1676" s="36" t="n"/>
      <c r="D1676" s="36" t="n"/>
      <c r="E1676" s="14" t="n"/>
      <c r="F1676" s="29" t="n"/>
      <c r="G1676" s="29" t="n"/>
      <c r="H1676" s="29" t="n"/>
      <c r="I1676" s="29" t="n"/>
      <c r="J1676" s="29" t="n"/>
      <c r="K1676" s="14" t="n"/>
      <c r="L1676" s="29" t="n"/>
      <c r="M1676" s="14" t="n"/>
      <c r="N1676" s="29" t="n"/>
      <c r="O1676" s="13" t="n"/>
      <c r="P1676" s="13" t="n"/>
      <c r="Q1676" s="35" t="n"/>
      <c r="R1676" s="35" t="n"/>
      <c r="S1676" s="35" t="n"/>
      <c r="T1676" s="35" t="n"/>
      <c r="U1676" s="35" t="n"/>
      <c r="V1676" s="18">
        <f>IF(COUNTA($B1676:$R1676)=0,"",ROUND(N($R1676)+N($S1676)+N($T1676)-N($U1676),2))</f>
        <v/>
      </c>
      <c r="W1676" s="18">
        <f>IF(COUNTA($B1676:$R1676)=0,"",IF(OR($X1676="Pago",$X1676="Recebido",$X1676="Cancelado"),0,ROUND(N($Q1676)+N($S1676)+N($T1676)-N($U1676)-N($R1676),2)))</f>
        <v/>
      </c>
      <c r="X1676" s="14" t="n"/>
      <c r="Y1676" s="17">
        <f>IF(COUNTA($B1676:$R1676)=0,"",IF($X1676="Cancelado","Cancelado",IF(OR($X1676="Pago",$X1676="Recebido"),$X1676,IF(OR($X1676="Parcial",N($R1676)&gt;0),"Parcial",IF($C1676="","Sem vencimento",IF($C1676&lt;TODAY(),"Vencido",IF($C1676=TODAY(),"Vence hoje",IF($C1676&lt;=TODAY()+7,"Vence em 7 dias",IF($C1676&lt;=TODAY()+30,"Vence em 30 dias","Futuro")))))))))</f>
        <v/>
      </c>
      <c r="Z1676" s="24">
        <f>IF($B1676="","",MONTH($B1676))</f>
        <v/>
      </c>
      <c r="AA1676" s="24">
        <f>IF($B1676="","",YEAR($B1676))</f>
        <v/>
      </c>
      <c r="AB1676" s="24">
        <f>IF($B1676="","",ISOWEEKNUM($B1676))</f>
        <v/>
      </c>
      <c r="AC1676" s="17">
        <f>IF($B1676="","",CHOOSE(WEEKDAY($B1676,2),"Segunda","Terça","Quarta","Quinta","Sexta","Sábado","Domingo"))</f>
        <v/>
      </c>
      <c r="AD1676" s="17">
        <f>IF($B1676="","",TEXT($B1676,"MM/AAAA"))</f>
        <v/>
      </c>
      <c r="AE1676" s="18">
        <f>IF(COUNTA($B1676:$R1676)=0,"",IF($X1676="Cancelado",0,ROUND(N($Q1676)+N($S1676)+N($T1676)-N($U1676),2)))</f>
        <v/>
      </c>
      <c r="AF1676" s="9">
        <f>IF($G1676="","",IFERROR(INDEX(LINHAS_DRE_PLANO,MATCH($G1676,SUBCATEGORIAS_PLANO,0)),"Não classificado"))</f>
        <v/>
      </c>
      <c r="AG1676" s="17">
        <f>IF($G1676="","",IFERROR(INDEX(TIPOS_FLUXO_PLANO,MATCH($G1676,SUBCATEGORIAS_PLANO,0)),"Não classificado"))</f>
        <v/>
      </c>
      <c r="AH1676" s="9">
        <f>IF($G1676="","",IFERROR(INDEX(GRUPOS_PLANO,MATCH($G1676,SUBCATEGORIAS_PLANO,0)),"Não classificado"))</f>
        <v/>
      </c>
      <c r="AI1676" s="24">
        <f>IF(OR($C1676="",$X1676="Pago",$X1676="Recebido",$X1676="Cancelado"),"",$C1676-TODAY())</f>
        <v/>
      </c>
      <c r="AJ1676" s="24">
        <f>IF(OR($C1676="",$X1676="Pago",$X1676="Recebido",$X1676="Cancelado"),0,MAX(0,TODAY()-$C1676))</f>
        <v/>
      </c>
      <c r="AK1676" s="24">
        <f>IF($D1676="","",$D1676-$B1676)</f>
        <v/>
      </c>
      <c r="AL1676" s="18">
        <f>IF(OR($D1676="",$B1676=""),"",ROUND(N($R1676)*($D1676-$B1676),2))</f>
        <v/>
      </c>
      <c r="AM1676" s="17">
        <f>IF(AND($E1676="Saída",$W1676&gt;0,$C1676&lt;&gt;""),$C1676+ROW()/1000000,"")</f>
        <v/>
      </c>
      <c r="AN1676" s="17">
        <f>IF(AND($E1676="Entrada",$W1676&gt;0,$C1676&lt;&gt;""),$C1676+ROW()/1000000,"")</f>
        <v/>
      </c>
      <c r="AO1676" s="9">
        <f>IF(COUNTA($B1676:$R1676)=0,"",IF(AND($I1676&lt;&gt;"",COUNTIF(CLIENTES_NOMES,$I1676)+COUNTIF(CLIENTES_FANTASIA,$I1676)+COUNTIF(FORNECEDORES_NOMES,$I1676)+COUNTIF(FORNECEDORES_FANTASIA,$I1676)=0),"⚠ Cliente/Fornecedor não cadastrado",IF(AND($G1676&lt;&gt;"",COUNTIF(SUBCATEGORIAS_PLANO,$G1676)=0),"⚠ Subcategoria fora do plano de contas",IF(OR($Q1676="",N($Q1676)=0),"⚠ Valor previsto não informado",IF(AND(OR($X1676="Pago",$X1676="Recebido"),$D1676=""),"⚠ Status pago/recebido sem data",IF(AND($D1676&lt;&gt;"",N($R1676)=0),"⚠ Data de pagamento sem valor realizado",IF(AND(N($P1676)&gt;1,N($O1676)&gt;N($P1676)),"⚠ Nº da parcela maior que o total",IF(AND($C1676&lt;&gt;"",$B1676&lt;&gt;"",$C1676&lt;$B1676),"⚠ Vencimento anterior à competência","OK"))))))))</f>
        <v/>
      </c>
    </row>
    <row r="1677">
      <c r="A1677" s="14" t="n"/>
      <c r="B1677" s="36" t="n"/>
      <c r="C1677" s="36" t="n"/>
      <c r="D1677" s="36" t="n"/>
      <c r="E1677" s="14" t="n"/>
      <c r="F1677" s="29" t="n"/>
      <c r="G1677" s="29" t="n"/>
      <c r="H1677" s="29" t="n"/>
      <c r="I1677" s="29" t="n"/>
      <c r="J1677" s="29" t="n"/>
      <c r="K1677" s="14" t="n"/>
      <c r="L1677" s="29" t="n"/>
      <c r="M1677" s="14" t="n"/>
      <c r="N1677" s="29" t="n"/>
      <c r="O1677" s="13" t="n"/>
      <c r="P1677" s="13" t="n"/>
      <c r="Q1677" s="35" t="n"/>
      <c r="R1677" s="35" t="n"/>
      <c r="S1677" s="35" t="n"/>
      <c r="T1677" s="35" t="n"/>
      <c r="U1677" s="35" t="n"/>
      <c r="V1677" s="18">
        <f>IF(COUNTA($B1677:$R1677)=0,"",ROUND(N($R1677)+N($S1677)+N($T1677)-N($U1677),2))</f>
        <v/>
      </c>
      <c r="W1677" s="18">
        <f>IF(COUNTA($B1677:$R1677)=0,"",IF(OR($X1677="Pago",$X1677="Recebido",$X1677="Cancelado"),0,ROUND(N($Q1677)+N($S1677)+N($T1677)-N($U1677)-N($R1677),2)))</f>
        <v/>
      </c>
      <c r="X1677" s="14" t="n"/>
      <c r="Y1677" s="17">
        <f>IF(COUNTA($B1677:$R1677)=0,"",IF($X1677="Cancelado","Cancelado",IF(OR($X1677="Pago",$X1677="Recebido"),$X1677,IF(OR($X1677="Parcial",N($R1677)&gt;0),"Parcial",IF($C1677="","Sem vencimento",IF($C1677&lt;TODAY(),"Vencido",IF($C1677=TODAY(),"Vence hoje",IF($C1677&lt;=TODAY()+7,"Vence em 7 dias",IF($C1677&lt;=TODAY()+30,"Vence em 30 dias","Futuro")))))))))</f>
        <v/>
      </c>
      <c r="Z1677" s="24">
        <f>IF($B1677="","",MONTH($B1677))</f>
        <v/>
      </c>
      <c r="AA1677" s="24">
        <f>IF($B1677="","",YEAR($B1677))</f>
        <v/>
      </c>
      <c r="AB1677" s="24">
        <f>IF($B1677="","",ISOWEEKNUM($B1677))</f>
        <v/>
      </c>
      <c r="AC1677" s="17">
        <f>IF($B1677="","",CHOOSE(WEEKDAY($B1677,2),"Segunda","Terça","Quarta","Quinta","Sexta","Sábado","Domingo"))</f>
        <v/>
      </c>
      <c r="AD1677" s="17">
        <f>IF($B1677="","",TEXT($B1677,"MM/AAAA"))</f>
        <v/>
      </c>
      <c r="AE1677" s="18">
        <f>IF(COUNTA($B1677:$R1677)=0,"",IF($X1677="Cancelado",0,ROUND(N($Q1677)+N($S1677)+N($T1677)-N($U1677),2)))</f>
        <v/>
      </c>
      <c r="AF1677" s="9">
        <f>IF($G1677="","",IFERROR(INDEX(LINHAS_DRE_PLANO,MATCH($G1677,SUBCATEGORIAS_PLANO,0)),"Não classificado"))</f>
        <v/>
      </c>
      <c r="AG1677" s="17">
        <f>IF($G1677="","",IFERROR(INDEX(TIPOS_FLUXO_PLANO,MATCH($G1677,SUBCATEGORIAS_PLANO,0)),"Não classificado"))</f>
        <v/>
      </c>
      <c r="AH1677" s="9">
        <f>IF($G1677="","",IFERROR(INDEX(GRUPOS_PLANO,MATCH($G1677,SUBCATEGORIAS_PLANO,0)),"Não classificado"))</f>
        <v/>
      </c>
      <c r="AI1677" s="24">
        <f>IF(OR($C1677="",$X1677="Pago",$X1677="Recebido",$X1677="Cancelado"),"",$C1677-TODAY())</f>
        <v/>
      </c>
      <c r="AJ1677" s="24">
        <f>IF(OR($C1677="",$X1677="Pago",$X1677="Recebido",$X1677="Cancelado"),0,MAX(0,TODAY()-$C1677))</f>
        <v/>
      </c>
      <c r="AK1677" s="24">
        <f>IF($D1677="","",$D1677-$B1677)</f>
        <v/>
      </c>
      <c r="AL1677" s="18">
        <f>IF(OR($D1677="",$B1677=""),"",ROUND(N($R1677)*($D1677-$B1677),2))</f>
        <v/>
      </c>
      <c r="AM1677" s="17">
        <f>IF(AND($E1677="Saída",$W1677&gt;0,$C1677&lt;&gt;""),$C1677+ROW()/1000000,"")</f>
        <v/>
      </c>
      <c r="AN1677" s="17">
        <f>IF(AND($E1677="Entrada",$W1677&gt;0,$C1677&lt;&gt;""),$C1677+ROW()/1000000,"")</f>
        <v/>
      </c>
      <c r="AO1677" s="9">
        <f>IF(COUNTA($B1677:$R1677)=0,"",IF(AND($I1677&lt;&gt;"",COUNTIF(CLIENTES_NOMES,$I1677)+COUNTIF(CLIENTES_FANTASIA,$I1677)+COUNTIF(FORNECEDORES_NOMES,$I1677)+COUNTIF(FORNECEDORES_FANTASIA,$I1677)=0),"⚠ Cliente/Fornecedor não cadastrado",IF(AND($G1677&lt;&gt;"",COUNTIF(SUBCATEGORIAS_PLANO,$G1677)=0),"⚠ Subcategoria fora do plano de contas",IF(OR($Q1677="",N($Q1677)=0),"⚠ Valor previsto não informado",IF(AND(OR($X1677="Pago",$X1677="Recebido"),$D1677=""),"⚠ Status pago/recebido sem data",IF(AND($D1677&lt;&gt;"",N($R1677)=0),"⚠ Data de pagamento sem valor realizado",IF(AND(N($P1677)&gt;1,N($O1677)&gt;N($P1677)),"⚠ Nº da parcela maior que o total",IF(AND($C1677&lt;&gt;"",$B1677&lt;&gt;"",$C1677&lt;$B1677),"⚠ Vencimento anterior à competência","OK"))))))))</f>
        <v/>
      </c>
    </row>
    <row r="1678">
      <c r="A1678" s="14" t="n"/>
      <c r="B1678" s="36" t="n"/>
      <c r="C1678" s="36" t="n"/>
      <c r="D1678" s="36" t="n"/>
      <c r="E1678" s="14" t="n"/>
      <c r="F1678" s="29" t="n"/>
      <c r="G1678" s="29" t="n"/>
      <c r="H1678" s="29" t="n"/>
      <c r="I1678" s="29" t="n"/>
      <c r="J1678" s="29" t="n"/>
      <c r="K1678" s="14" t="n"/>
      <c r="L1678" s="29" t="n"/>
      <c r="M1678" s="14" t="n"/>
      <c r="N1678" s="29" t="n"/>
      <c r="O1678" s="13" t="n"/>
      <c r="P1678" s="13" t="n"/>
      <c r="Q1678" s="35" t="n"/>
      <c r="R1678" s="35" t="n"/>
      <c r="S1678" s="35" t="n"/>
      <c r="T1678" s="35" t="n"/>
      <c r="U1678" s="35" t="n"/>
      <c r="V1678" s="18">
        <f>IF(COUNTA($B1678:$R1678)=0,"",ROUND(N($R1678)+N($S1678)+N($T1678)-N($U1678),2))</f>
        <v/>
      </c>
      <c r="W1678" s="18">
        <f>IF(COUNTA($B1678:$R1678)=0,"",IF(OR($X1678="Pago",$X1678="Recebido",$X1678="Cancelado"),0,ROUND(N($Q1678)+N($S1678)+N($T1678)-N($U1678)-N($R1678),2)))</f>
        <v/>
      </c>
      <c r="X1678" s="14" t="n"/>
      <c r="Y1678" s="17">
        <f>IF(COUNTA($B1678:$R1678)=0,"",IF($X1678="Cancelado","Cancelado",IF(OR($X1678="Pago",$X1678="Recebido"),$X1678,IF(OR($X1678="Parcial",N($R1678)&gt;0),"Parcial",IF($C1678="","Sem vencimento",IF($C1678&lt;TODAY(),"Vencido",IF($C1678=TODAY(),"Vence hoje",IF($C1678&lt;=TODAY()+7,"Vence em 7 dias",IF($C1678&lt;=TODAY()+30,"Vence em 30 dias","Futuro")))))))))</f>
        <v/>
      </c>
      <c r="Z1678" s="24">
        <f>IF($B1678="","",MONTH($B1678))</f>
        <v/>
      </c>
      <c r="AA1678" s="24">
        <f>IF($B1678="","",YEAR($B1678))</f>
        <v/>
      </c>
      <c r="AB1678" s="24">
        <f>IF($B1678="","",ISOWEEKNUM($B1678))</f>
        <v/>
      </c>
      <c r="AC1678" s="17">
        <f>IF($B1678="","",CHOOSE(WEEKDAY($B1678,2),"Segunda","Terça","Quarta","Quinta","Sexta","Sábado","Domingo"))</f>
        <v/>
      </c>
      <c r="AD1678" s="17">
        <f>IF($B1678="","",TEXT($B1678,"MM/AAAA"))</f>
        <v/>
      </c>
      <c r="AE1678" s="18">
        <f>IF(COUNTA($B1678:$R1678)=0,"",IF($X1678="Cancelado",0,ROUND(N($Q1678)+N($S1678)+N($T1678)-N($U1678),2)))</f>
        <v/>
      </c>
      <c r="AF1678" s="9">
        <f>IF($G1678="","",IFERROR(INDEX(LINHAS_DRE_PLANO,MATCH($G1678,SUBCATEGORIAS_PLANO,0)),"Não classificado"))</f>
        <v/>
      </c>
      <c r="AG1678" s="17">
        <f>IF($G1678="","",IFERROR(INDEX(TIPOS_FLUXO_PLANO,MATCH($G1678,SUBCATEGORIAS_PLANO,0)),"Não classificado"))</f>
        <v/>
      </c>
      <c r="AH1678" s="9">
        <f>IF($G1678="","",IFERROR(INDEX(GRUPOS_PLANO,MATCH($G1678,SUBCATEGORIAS_PLANO,0)),"Não classificado"))</f>
        <v/>
      </c>
      <c r="AI1678" s="24">
        <f>IF(OR($C1678="",$X1678="Pago",$X1678="Recebido",$X1678="Cancelado"),"",$C1678-TODAY())</f>
        <v/>
      </c>
      <c r="AJ1678" s="24">
        <f>IF(OR($C1678="",$X1678="Pago",$X1678="Recebido",$X1678="Cancelado"),0,MAX(0,TODAY()-$C1678))</f>
        <v/>
      </c>
      <c r="AK1678" s="24">
        <f>IF($D1678="","",$D1678-$B1678)</f>
        <v/>
      </c>
      <c r="AL1678" s="18">
        <f>IF(OR($D1678="",$B1678=""),"",ROUND(N($R1678)*($D1678-$B1678),2))</f>
        <v/>
      </c>
      <c r="AM1678" s="17">
        <f>IF(AND($E1678="Saída",$W1678&gt;0,$C1678&lt;&gt;""),$C1678+ROW()/1000000,"")</f>
        <v/>
      </c>
      <c r="AN1678" s="17">
        <f>IF(AND($E1678="Entrada",$W1678&gt;0,$C1678&lt;&gt;""),$C1678+ROW()/1000000,"")</f>
        <v/>
      </c>
      <c r="AO1678" s="9">
        <f>IF(COUNTA($B1678:$R1678)=0,"",IF(AND($I1678&lt;&gt;"",COUNTIF(CLIENTES_NOMES,$I1678)+COUNTIF(CLIENTES_FANTASIA,$I1678)+COUNTIF(FORNECEDORES_NOMES,$I1678)+COUNTIF(FORNECEDORES_FANTASIA,$I1678)=0),"⚠ Cliente/Fornecedor não cadastrado",IF(AND($G1678&lt;&gt;"",COUNTIF(SUBCATEGORIAS_PLANO,$G1678)=0),"⚠ Subcategoria fora do plano de contas",IF(OR($Q1678="",N($Q1678)=0),"⚠ Valor previsto não informado",IF(AND(OR($X1678="Pago",$X1678="Recebido"),$D1678=""),"⚠ Status pago/recebido sem data",IF(AND($D1678&lt;&gt;"",N($R1678)=0),"⚠ Data de pagamento sem valor realizado",IF(AND(N($P1678)&gt;1,N($O1678)&gt;N($P1678)),"⚠ Nº da parcela maior que o total",IF(AND($C1678&lt;&gt;"",$B1678&lt;&gt;"",$C1678&lt;$B1678),"⚠ Vencimento anterior à competência","OK"))))))))</f>
        <v/>
      </c>
    </row>
    <row r="1679">
      <c r="A1679" s="14" t="n"/>
      <c r="B1679" s="36" t="n"/>
      <c r="C1679" s="36" t="n"/>
      <c r="D1679" s="36" t="n"/>
      <c r="E1679" s="14" t="n"/>
      <c r="F1679" s="29" t="n"/>
      <c r="G1679" s="29" t="n"/>
      <c r="H1679" s="29" t="n"/>
      <c r="I1679" s="29" t="n"/>
      <c r="J1679" s="29" t="n"/>
      <c r="K1679" s="14" t="n"/>
      <c r="L1679" s="29" t="n"/>
      <c r="M1679" s="14" t="n"/>
      <c r="N1679" s="29" t="n"/>
      <c r="O1679" s="13" t="n"/>
      <c r="P1679" s="13" t="n"/>
      <c r="Q1679" s="35" t="n"/>
      <c r="R1679" s="35" t="n"/>
      <c r="S1679" s="35" t="n"/>
      <c r="T1679" s="35" t="n"/>
      <c r="U1679" s="35" t="n"/>
      <c r="V1679" s="18">
        <f>IF(COUNTA($B1679:$R1679)=0,"",ROUND(N($R1679)+N($S1679)+N($T1679)-N($U1679),2))</f>
        <v/>
      </c>
      <c r="W1679" s="18">
        <f>IF(COUNTA($B1679:$R1679)=0,"",IF(OR($X1679="Pago",$X1679="Recebido",$X1679="Cancelado"),0,ROUND(N($Q1679)+N($S1679)+N($T1679)-N($U1679)-N($R1679),2)))</f>
        <v/>
      </c>
      <c r="X1679" s="14" t="n"/>
      <c r="Y1679" s="17">
        <f>IF(COUNTA($B1679:$R1679)=0,"",IF($X1679="Cancelado","Cancelado",IF(OR($X1679="Pago",$X1679="Recebido"),$X1679,IF(OR($X1679="Parcial",N($R1679)&gt;0),"Parcial",IF($C1679="","Sem vencimento",IF($C1679&lt;TODAY(),"Vencido",IF($C1679=TODAY(),"Vence hoje",IF($C1679&lt;=TODAY()+7,"Vence em 7 dias",IF($C1679&lt;=TODAY()+30,"Vence em 30 dias","Futuro")))))))))</f>
        <v/>
      </c>
      <c r="Z1679" s="24">
        <f>IF($B1679="","",MONTH($B1679))</f>
        <v/>
      </c>
      <c r="AA1679" s="24">
        <f>IF($B1679="","",YEAR($B1679))</f>
        <v/>
      </c>
      <c r="AB1679" s="24">
        <f>IF($B1679="","",ISOWEEKNUM($B1679))</f>
        <v/>
      </c>
      <c r="AC1679" s="17">
        <f>IF($B1679="","",CHOOSE(WEEKDAY($B1679,2),"Segunda","Terça","Quarta","Quinta","Sexta","Sábado","Domingo"))</f>
        <v/>
      </c>
      <c r="AD1679" s="17">
        <f>IF($B1679="","",TEXT($B1679,"MM/AAAA"))</f>
        <v/>
      </c>
      <c r="AE1679" s="18">
        <f>IF(COUNTA($B1679:$R1679)=0,"",IF($X1679="Cancelado",0,ROUND(N($Q1679)+N($S1679)+N($T1679)-N($U1679),2)))</f>
        <v/>
      </c>
      <c r="AF1679" s="9">
        <f>IF($G1679="","",IFERROR(INDEX(LINHAS_DRE_PLANO,MATCH($G1679,SUBCATEGORIAS_PLANO,0)),"Não classificado"))</f>
        <v/>
      </c>
      <c r="AG1679" s="17">
        <f>IF($G1679="","",IFERROR(INDEX(TIPOS_FLUXO_PLANO,MATCH($G1679,SUBCATEGORIAS_PLANO,0)),"Não classificado"))</f>
        <v/>
      </c>
      <c r="AH1679" s="9">
        <f>IF($G1679="","",IFERROR(INDEX(GRUPOS_PLANO,MATCH($G1679,SUBCATEGORIAS_PLANO,0)),"Não classificado"))</f>
        <v/>
      </c>
      <c r="AI1679" s="24">
        <f>IF(OR($C1679="",$X1679="Pago",$X1679="Recebido",$X1679="Cancelado"),"",$C1679-TODAY())</f>
        <v/>
      </c>
      <c r="AJ1679" s="24">
        <f>IF(OR($C1679="",$X1679="Pago",$X1679="Recebido",$X1679="Cancelado"),0,MAX(0,TODAY()-$C1679))</f>
        <v/>
      </c>
      <c r="AK1679" s="24">
        <f>IF($D1679="","",$D1679-$B1679)</f>
        <v/>
      </c>
      <c r="AL1679" s="18">
        <f>IF(OR($D1679="",$B1679=""),"",ROUND(N($R1679)*($D1679-$B1679),2))</f>
        <v/>
      </c>
      <c r="AM1679" s="17">
        <f>IF(AND($E1679="Saída",$W1679&gt;0,$C1679&lt;&gt;""),$C1679+ROW()/1000000,"")</f>
        <v/>
      </c>
      <c r="AN1679" s="17">
        <f>IF(AND($E1679="Entrada",$W1679&gt;0,$C1679&lt;&gt;""),$C1679+ROW()/1000000,"")</f>
        <v/>
      </c>
      <c r="AO1679" s="9">
        <f>IF(COUNTA($B1679:$R1679)=0,"",IF(AND($I1679&lt;&gt;"",COUNTIF(CLIENTES_NOMES,$I1679)+COUNTIF(CLIENTES_FANTASIA,$I1679)+COUNTIF(FORNECEDORES_NOMES,$I1679)+COUNTIF(FORNECEDORES_FANTASIA,$I1679)=0),"⚠ Cliente/Fornecedor não cadastrado",IF(AND($G1679&lt;&gt;"",COUNTIF(SUBCATEGORIAS_PLANO,$G1679)=0),"⚠ Subcategoria fora do plano de contas",IF(OR($Q1679="",N($Q1679)=0),"⚠ Valor previsto não informado",IF(AND(OR($X1679="Pago",$X1679="Recebido"),$D1679=""),"⚠ Status pago/recebido sem data",IF(AND($D1679&lt;&gt;"",N($R1679)=0),"⚠ Data de pagamento sem valor realizado",IF(AND(N($P1679)&gt;1,N($O1679)&gt;N($P1679)),"⚠ Nº da parcela maior que o total",IF(AND($C1679&lt;&gt;"",$B1679&lt;&gt;"",$C1679&lt;$B1679),"⚠ Vencimento anterior à competência","OK"))))))))</f>
        <v/>
      </c>
    </row>
    <row r="1680">
      <c r="A1680" s="14" t="n"/>
      <c r="B1680" s="36" t="n"/>
      <c r="C1680" s="36" t="n"/>
      <c r="D1680" s="36" t="n"/>
      <c r="E1680" s="14" t="n"/>
      <c r="F1680" s="29" t="n"/>
      <c r="G1680" s="29" t="n"/>
      <c r="H1680" s="29" t="n"/>
      <c r="I1680" s="29" t="n"/>
      <c r="J1680" s="29" t="n"/>
      <c r="K1680" s="14" t="n"/>
      <c r="L1680" s="29" t="n"/>
      <c r="M1680" s="14" t="n"/>
      <c r="N1680" s="29" t="n"/>
      <c r="O1680" s="13" t="n"/>
      <c r="P1680" s="13" t="n"/>
      <c r="Q1680" s="35" t="n"/>
      <c r="R1680" s="35" t="n"/>
      <c r="S1680" s="35" t="n"/>
      <c r="T1680" s="35" t="n"/>
      <c r="U1680" s="35" t="n"/>
      <c r="V1680" s="18">
        <f>IF(COUNTA($B1680:$R1680)=0,"",ROUND(N($R1680)+N($S1680)+N($T1680)-N($U1680),2))</f>
        <v/>
      </c>
      <c r="W1680" s="18">
        <f>IF(COUNTA($B1680:$R1680)=0,"",IF(OR($X1680="Pago",$X1680="Recebido",$X1680="Cancelado"),0,ROUND(N($Q1680)+N($S1680)+N($T1680)-N($U1680)-N($R1680),2)))</f>
        <v/>
      </c>
      <c r="X1680" s="14" t="n"/>
      <c r="Y1680" s="17">
        <f>IF(COUNTA($B1680:$R1680)=0,"",IF($X1680="Cancelado","Cancelado",IF(OR($X1680="Pago",$X1680="Recebido"),$X1680,IF(OR($X1680="Parcial",N($R1680)&gt;0),"Parcial",IF($C1680="","Sem vencimento",IF($C1680&lt;TODAY(),"Vencido",IF($C1680=TODAY(),"Vence hoje",IF($C1680&lt;=TODAY()+7,"Vence em 7 dias",IF($C1680&lt;=TODAY()+30,"Vence em 30 dias","Futuro")))))))))</f>
        <v/>
      </c>
      <c r="Z1680" s="24">
        <f>IF($B1680="","",MONTH($B1680))</f>
        <v/>
      </c>
      <c r="AA1680" s="24">
        <f>IF($B1680="","",YEAR($B1680))</f>
        <v/>
      </c>
      <c r="AB1680" s="24">
        <f>IF($B1680="","",ISOWEEKNUM($B1680))</f>
        <v/>
      </c>
      <c r="AC1680" s="17">
        <f>IF($B1680="","",CHOOSE(WEEKDAY($B1680,2),"Segunda","Terça","Quarta","Quinta","Sexta","Sábado","Domingo"))</f>
        <v/>
      </c>
      <c r="AD1680" s="17">
        <f>IF($B1680="","",TEXT($B1680,"MM/AAAA"))</f>
        <v/>
      </c>
      <c r="AE1680" s="18">
        <f>IF(COUNTA($B1680:$R1680)=0,"",IF($X1680="Cancelado",0,ROUND(N($Q1680)+N($S1680)+N($T1680)-N($U1680),2)))</f>
        <v/>
      </c>
      <c r="AF1680" s="9">
        <f>IF($G1680="","",IFERROR(INDEX(LINHAS_DRE_PLANO,MATCH($G1680,SUBCATEGORIAS_PLANO,0)),"Não classificado"))</f>
        <v/>
      </c>
      <c r="AG1680" s="17">
        <f>IF($G1680="","",IFERROR(INDEX(TIPOS_FLUXO_PLANO,MATCH($G1680,SUBCATEGORIAS_PLANO,0)),"Não classificado"))</f>
        <v/>
      </c>
      <c r="AH1680" s="9">
        <f>IF($G1680="","",IFERROR(INDEX(GRUPOS_PLANO,MATCH($G1680,SUBCATEGORIAS_PLANO,0)),"Não classificado"))</f>
        <v/>
      </c>
      <c r="AI1680" s="24">
        <f>IF(OR($C1680="",$X1680="Pago",$X1680="Recebido",$X1680="Cancelado"),"",$C1680-TODAY())</f>
        <v/>
      </c>
      <c r="AJ1680" s="24">
        <f>IF(OR($C1680="",$X1680="Pago",$X1680="Recebido",$X1680="Cancelado"),0,MAX(0,TODAY()-$C1680))</f>
        <v/>
      </c>
      <c r="AK1680" s="24">
        <f>IF($D1680="","",$D1680-$B1680)</f>
        <v/>
      </c>
      <c r="AL1680" s="18">
        <f>IF(OR($D1680="",$B1680=""),"",ROUND(N($R1680)*($D1680-$B1680),2))</f>
        <v/>
      </c>
      <c r="AM1680" s="17">
        <f>IF(AND($E1680="Saída",$W1680&gt;0,$C1680&lt;&gt;""),$C1680+ROW()/1000000,"")</f>
        <v/>
      </c>
      <c r="AN1680" s="17">
        <f>IF(AND($E1680="Entrada",$W1680&gt;0,$C1680&lt;&gt;""),$C1680+ROW()/1000000,"")</f>
        <v/>
      </c>
      <c r="AO1680" s="9">
        <f>IF(COUNTA($B1680:$R1680)=0,"",IF(AND($I1680&lt;&gt;"",COUNTIF(CLIENTES_NOMES,$I1680)+COUNTIF(CLIENTES_FANTASIA,$I1680)+COUNTIF(FORNECEDORES_NOMES,$I1680)+COUNTIF(FORNECEDORES_FANTASIA,$I1680)=0),"⚠ Cliente/Fornecedor não cadastrado",IF(AND($G1680&lt;&gt;"",COUNTIF(SUBCATEGORIAS_PLANO,$G1680)=0),"⚠ Subcategoria fora do plano de contas",IF(OR($Q1680="",N($Q1680)=0),"⚠ Valor previsto não informado",IF(AND(OR($X1680="Pago",$X1680="Recebido"),$D1680=""),"⚠ Status pago/recebido sem data",IF(AND($D1680&lt;&gt;"",N($R1680)=0),"⚠ Data de pagamento sem valor realizado",IF(AND(N($P1680)&gt;1,N($O1680)&gt;N($P1680)),"⚠ Nº da parcela maior que o total",IF(AND($C1680&lt;&gt;"",$B1680&lt;&gt;"",$C1680&lt;$B1680),"⚠ Vencimento anterior à competência","OK"))))))))</f>
        <v/>
      </c>
    </row>
    <row r="1681">
      <c r="A1681" s="14" t="n"/>
      <c r="B1681" s="36" t="n"/>
      <c r="C1681" s="36" t="n"/>
      <c r="D1681" s="36" t="n"/>
      <c r="E1681" s="14" t="n"/>
      <c r="F1681" s="29" t="n"/>
      <c r="G1681" s="29" t="n"/>
      <c r="H1681" s="29" t="n"/>
      <c r="I1681" s="29" t="n"/>
      <c r="J1681" s="29" t="n"/>
      <c r="K1681" s="14" t="n"/>
      <c r="L1681" s="29" t="n"/>
      <c r="M1681" s="14" t="n"/>
      <c r="N1681" s="29" t="n"/>
      <c r="O1681" s="13" t="n"/>
      <c r="P1681" s="13" t="n"/>
      <c r="Q1681" s="35" t="n"/>
      <c r="R1681" s="35" t="n"/>
      <c r="S1681" s="35" t="n"/>
      <c r="T1681" s="35" t="n"/>
      <c r="U1681" s="35" t="n"/>
      <c r="V1681" s="18">
        <f>IF(COUNTA($B1681:$R1681)=0,"",ROUND(N($R1681)+N($S1681)+N($T1681)-N($U1681),2))</f>
        <v/>
      </c>
      <c r="W1681" s="18">
        <f>IF(COUNTA($B1681:$R1681)=0,"",IF(OR($X1681="Pago",$X1681="Recebido",$X1681="Cancelado"),0,ROUND(N($Q1681)+N($S1681)+N($T1681)-N($U1681)-N($R1681),2)))</f>
        <v/>
      </c>
      <c r="X1681" s="14" t="n"/>
      <c r="Y1681" s="17">
        <f>IF(COUNTA($B1681:$R1681)=0,"",IF($X1681="Cancelado","Cancelado",IF(OR($X1681="Pago",$X1681="Recebido"),$X1681,IF(OR($X1681="Parcial",N($R1681)&gt;0),"Parcial",IF($C1681="","Sem vencimento",IF($C1681&lt;TODAY(),"Vencido",IF($C1681=TODAY(),"Vence hoje",IF($C1681&lt;=TODAY()+7,"Vence em 7 dias",IF($C1681&lt;=TODAY()+30,"Vence em 30 dias","Futuro")))))))))</f>
        <v/>
      </c>
      <c r="Z1681" s="24">
        <f>IF($B1681="","",MONTH($B1681))</f>
        <v/>
      </c>
      <c r="AA1681" s="24">
        <f>IF($B1681="","",YEAR($B1681))</f>
        <v/>
      </c>
      <c r="AB1681" s="24">
        <f>IF($B1681="","",ISOWEEKNUM($B1681))</f>
        <v/>
      </c>
      <c r="AC1681" s="17">
        <f>IF($B1681="","",CHOOSE(WEEKDAY($B1681,2),"Segunda","Terça","Quarta","Quinta","Sexta","Sábado","Domingo"))</f>
        <v/>
      </c>
      <c r="AD1681" s="17">
        <f>IF($B1681="","",TEXT($B1681,"MM/AAAA"))</f>
        <v/>
      </c>
      <c r="AE1681" s="18">
        <f>IF(COUNTA($B1681:$R1681)=0,"",IF($X1681="Cancelado",0,ROUND(N($Q1681)+N($S1681)+N($T1681)-N($U1681),2)))</f>
        <v/>
      </c>
      <c r="AF1681" s="9">
        <f>IF($G1681="","",IFERROR(INDEX(LINHAS_DRE_PLANO,MATCH($G1681,SUBCATEGORIAS_PLANO,0)),"Não classificado"))</f>
        <v/>
      </c>
      <c r="AG1681" s="17">
        <f>IF($G1681="","",IFERROR(INDEX(TIPOS_FLUXO_PLANO,MATCH($G1681,SUBCATEGORIAS_PLANO,0)),"Não classificado"))</f>
        <v/>
      </c>
      <c r="AH1681" s="9">
        <f>IF($G1681="","",IFERROR(INDEX(GRUPOS_PLANO,MATCH($G1681,SUBCATEGORIAS_PLANO,0)),"Não classificado"))</f>
        <v/>
      </c>
      <c r="AI1681" s="24">
        <f>IF(OR($C1681="",$X1681="Pago",$X1681="Recebido",$X1681="Cancelado"),"",$C1681-TODAY())</f>
        <v/>
      </c>
      <c r="AJ1681" s="24">
        <f>IF(OR($C1681="",$X1681="Pago",$X1681="Recebido",$X1681="Cancelado"),0,MAX(0,TODAY()-$C1681))</f>
        <v/>
      </c>
      <c r="AK1681" s="24">
        <f>IF($D1681="","",$D1681-$B1681)</f>
        <v/>
      </c>
      <c r="AL1681" s="18">
        <f>IF(OR($D1681="",$B1681=""),"",ROUND(N($R1681)*($D1681-$B1681),2))</f>
        <v/>
      </c>
      <c r="AM1681" s="17">
        <f>IF(AND($E1681="Saída",$W1681&gt;0,$C1681&lt;&gt;""),$C1681+ROW()/1000000,"")</f>
        <v/>
      </c>
      <c r="AN1681" s="17">
        <f>IF(AND($E1681="Entrada",$W1681&gt;0,$C1681&lt;&gt;""),$C1681+ROW()/1000000,"")</f>
        <v/>
      </c>
      <c r="AO1681" s="9">
        <f>IF(COUNTA($B1681:$R1681)=0,"",IF(AND($I1681&lt;&gt;"",COUNTIF(CLIENTES_NOMES,$I1681)+COUNTIF(CLIENTES_FANTASIA,$I1681)+COUNTIF(FORNECEDORES_NOMES,$I1681)+COUNTIF(FORNECEDORES_FANTASIA,$I1681)=0),"⚠ Cliente/Fornecedor não cadastrado",IF(AND($G1681&lt;&gt;"",COUNTIF(SUBCATEGORIAS_PLANO,$G1681)=0),"⚠ Subcategoria fora do plano de contas",IF(OR($Q1681="",N($Q1681)=0),"⚠ Valor previsto não informado",IF(AND(OR($X1681="Pago",$X1681="Recebido"),$D1681=""),"⚠ Status pago/recebido sem data",IF(AND($D1681&lt;&gt;"",N($R1681)=0),"⚠ Data de pagamento sem valor realizado",IF(AND(N($P1681)&gt;1,N($O1681)&gt;N($P1681)),"⚠ Nº da parcela maior que o total",IF(AND($C1681&lt;&gt;"",$B1681&lt;&gt;"",$C1681&lt;$B1681),"⚠ Vencimento anterior à competência","OK"))))))))</f>
        <v/>
      </c>
    </row>
    <row r="1682">
      <c r="A1682" s="14" t="n"/>
      <c r="B1682" s="36" t="n"/>
      <c r="C1682" s="36" t="n"/>
      <c r="D1682" s="36" t="n"/>
      <c r="E1682" s="14" t="n"/>
      <c r="F1682" s="29" t="n"/>
      <c r="G1682" s="29" t="n"/>
      <c r="H1682" s="29" t="n"/>
      <c r="I1682" s="29" t="n"/>
      <c r="J1682" s="29" t="n"/>
      <c r="K1682" s="14" t="n"/>
      <c r="L1682" s="29" t="n"/>
      <c r="M1682" s="14" t="n"/>
      <c r="N1682" s="29" t="n"/>
      <c r="O1682" s="13" t="n"/>
      <c r="P1682" s="13" t="n"/>
      <c r="Q1682" s="35" t="n"/>
      <c r="R1682" s="35" t="n"/>
      <c r="S1682" s="35" t="n"/>
      <c r="T1682" s="35" t="n"/>
      <c r="U1682" s="35" t="n"/>
      <c r="V1682" s="18">
        <f>IF(COUNTA($B1682:$R1682)=0,"",ROUND(N($R1682)+N($S1682)+N($T1682)-N($U1682),2))</f>
        <v/>
      </c>
      <c r="W1682" s="18">
        <f>IF(COUNTA($B1682:$R1682)=0,"",IF(OR($X1682="Pago",$X1682="Recebido",$X1682="Cancelado"),0,ROUND(N($Q1682)+N($S1682)+N($T1682)-N($U1682)-N($R1682),2)))</f>
        <v/>
      </c>
      <c r="X1682" s="14" t="n"/>
      <c r="Y1682" s="17">
        <f>IF(COUNTA($B1682:$R1682)=0,"",IF($X1682="Cancelado","Cancelado",IF(OR($X1682="Pago",$X1682="Recebido"),$X1682,IF(OR($X1682="Parcial",N($R1682)&gt;0),"Parcial",IF($C1682="","Sem vencimento",IF($C1682&lt;TODAY(),"Vencido",IF($C1682=TODAY(),"Vence hoje",IF($C1682&lt;=TODAY()+7,"Vence em 7 dias",IF($C1682&lt;=TODAY()+30,"Vence em 30 dias","Futuro")))))))))</f>
        <v/>
      </c>
      <c r="Z1682" s="24">
        <f>IF($B1682="","",MONTH($B1682))</f>
        <v/>
      </c>
      <c r="AA1682" s="24">
        <f>IF($B1682="","",YEAR($B1682))</f>
        <v/>
      </c>
      <c r="AB1682" s="24">
        <f>IF($B1682="","",ISOWEEKNUM($B1682))</f>
        <v/>
      </c>
      <c r="AC1682" s="17">
        <f>IF($B1682="","",CHOOSE(WEEKDAY($B1682,2),"Segunda","Terça","Quarta","Quinta","Sexta","Sábado","Domingo"))</f>
        <v/>
      </c>
      <c r="AD1682" s="17">
        <f>IF($B1682="","",TEXT($B1682,"MM/AAAA"))</f>
        <v/>
      </c>
      <c r="AE1682" s="18">
        <f>IF(COUNTA($B1682:$R1682)=0,"",IF($X1682="Cancelado",0,ROUND(N($Q1682)+N($S1682)+N($T1682)-N($U1682),2)))</f>
        <v/>
      </c>
      <c r="AF1682" s="9">
        <f>IF($G1682="","",IFERROR(INDEX(LINHAS_DRE_PLANO,MATCH($G1682,SUBCATEGORIAS_PLANO,0)),"Não classificado"))</f>
        <v/>
      </c>
      <c r="AG1682" s="17">
        <f>IF($G1682="","",IFERROR(INDEX(TIPOS_FLUXO_PLANO,MATCH($G1682,SUBCATEGORIAS_PLANO,0)),"Não classificado"))</f>
        <v/>
      </c>
      <c r="AH1682" s="9">
        <f>IF($G1682="","",IFERROR(INDEX(GRUPOS_PLANO,MATCH($G1682,SUBCATEGORIAS_PLANO,0)),"Não classificado"))</f>
        <v/>
      </c>
      <c r="AI1682" s="24">
        <f>IF(OR($C1682="",$X1682="Pago",$X1682="Recebido",$X1682="Cancelado"),"",$C1682-TODAY())</f>
        <v/>
      </c>
      <c r="AJ1682" s="24">
        <f>IF(OR($C1682="",$X1682="Pago",$X1682="Recebido",$X1682="Cancelado"),0,MAX(0,TODAY()-$C1682))</f>
        <v/>
      </c>
      <c r="AK1682" s="24">
        <f>IF($D1682="","",$D1682-$B1682)</f>
        <v/>
      </c>
      <c r="AL1682" s="18">
        <f>IF(OR($D1682="",$B1682=""),"",ROUND(N($R1682)*($D1682-$B1682),2))</f>
        <v/>
      </c>
      <c r="AM1682" s="17">
        <f>IF(AND($E1682="Saída",$W1682&gt;0,$C1682&lt;&gt;""),$C1682+ROW()/1000000,"")</f>
        <v/>
      </c>
      <c r="AN1682" s="17">
        <f>IF(AND($E1682="Entrada",$W1682&gt;0,$C1682&lt;&gt;""),$C1682+ROW()/1000000,"")</f>
        <v/>
      </c>
      <c r="AO1682" s="9">
        <f>IF(COUNTA($B1682:$R1682)=0,"",IF(AND($I1682&lt;&gt;"",COUNTIF(CLIENTES_NOMES,$I1682)+COUNTIF(CLIENTES_FANTASIA,$I1682)+COUNTIF(FORNECEDORES_NOMES,$I1682)+COUNTIF(FORNECEDORES_FANTASIA,$I1682)=0),"⚠ Cliente/Fornecedor não cadastrado",IF(AND($G1682&lt;&gt;"",COUNTIF(SUBCATEGORIAS_PLANO,$G1682)=0),"⚠ Subcategoria fora do plano de contas",IF(OR($Q1682="",N($Q1682)=0),"⚠ Valor previsto não informado",IF(AND(OR($X1682="Pago",$X1682="Recebido"),$D1682=""),"⚠ Status pago/recebido sem data",IF(AND($D1682&lt;&gt;"",N($R1682)=0),"⚠ Data de pagamento sem valor realizado",IF(AND(N($P1682)&gt;1,N($O1682)&gt;N($P1682)),"⚠ Nº da parcela maior que o total",IF(AND($C1682&lt;&gt;"",$B1682&lt;&gt;"",$C1682&lt;$B1682),"⚠ Vencimento anterior à competência","OK"))))))))</f>
        <v/>
      </c>
    </row>
    <row r="1683">
      <c r="A1683" s="14" t="n"/>
      <c r="B1683" s="36" t="n"/>
      <c r="C1683" s="36" t="n"/>
      <c r="D1683" s="36" t="n"/>
      <c r="E1683" s="14" t="n"/>
      <c r="F1683" s="29" t="n"/>
      <c r="G1683" s="29" t="n"/>
      <c r="H1683" s="29" t="n"/>
      <c r="I1683" s="29" t="n"/>
      <c r="J1683" s="29" t="n"/>
      <c r="K1683" s="14" t="n"/>
      <c r="L1683" s="29" t="n"/>
      <c r="M1683" s="14" t="n"/>
      <c r="N1683" s="29" t="n"/>
      <c r="O1683" s="13" t="n"/>
      <c r="P1683" s="13" t="n"/>
      <c r="Q1683" s="35" t="n"/>
      <c r="R1683" s="35" t="n"/>
      <c r="S1683" s="35" t="n"/>
      <c r="T1683" s="35" t="n"/>
      <c r="U1683" s="35" t="n"/>
      <c r="V1683" s="18">
        <f>IF(COUNTA($B1683:$R1683)=0,"",ROUND(N($R1683)+N($S1683)+N($T1683)-N($U1683),2))</f>
        <v/>
      </c>
      <c r="W1683" s="18">
        <f>IF(COUNTA($B1683:$R1683)=0,"",IF(OR($X1683="Pago",$X1683="Recebido",$X1683="Cancelado"),0,ROUND(N($Q1683)+N($S1683)+N($T1683)-N($U1683)-N($R1683),2)))</f>
        <v/>
      </c>
      <c r="X1683" s="14" t="n"/>
      <c r="Y1683" s="17">
        <f>IF(COUNTA($B1683:$R1683)=0,"",IF($X1683="Cancelado","Cancelado",IF(OR($X1683="Pago",$X1683="Recebido"),$X1683,IF(OR($X1683="Parcial",N($R1683)&gt;0),"Parcial",IF($C1683="","Sem vencimento",IF($C1683&lt;TODAY(),"Vencido",IF($C1683=TODAY(),"Vence hoje",IF($C1683&lt;=TODAY()+7,"Vence em 7 dias",IF($C1683&lt;=TODAY()+30,"Vence em 30 dias","Futuro")))))))))</f>
        <v/>
      </c>
      <c r="Z1683" s="24">
        <f>IF($B1683="","",MONTH($B1683))</f>
        <v/>
      </c>
      <c r="AA1683" s="24">
        <f>IF($B1683="","",YEAR($B1683))</f>
        <v/>
      </c>
      <c r="AB1683" s="24">
        <f>IF($B1683="","",ISOWEEKNUM($B1683))</f>
        <v/>
      </c>
      <c r="AC1683" s="17">
        <f>IF($B1683="","",CHOOSE(WEEKDAY($B1683,2),"Segunda","Terça","Quarta","Quinta","Sexta","Sábado","Domingo"))</f>
        <v/>
      </c>
      <c r="AD1683" s="17">
        <f>IF($B1683="","",TEXT($B1683,"MM/AAAA"))</f>
        <v/>
      </c>
      <c r="AE1683" s="18">
        <f>IF(COUNTA($B1683:$R1683)=0,"",IF($X1683="Cancelado",0,ROUND(N($Q1683)+N($S1683)+N($T1683)-N($U1683),2)))</f>
        <v/>
      </c>
      <c r="AF1683" s="9">
        <f>IF($G1683="","",IFERROR(INDEX(LINHAS_DRE_PLANO,MATCH($G1683,SUBCATEGORIAS_PLANO,0)),"Não classificado"))</f>
        <v/>
      </c>
      <c r="AG1683" s="17">
        <f>IF($G1683="","",IFERROR(INDEX(TIPOS_FLUXO_PLANO,MATCH($G1683,SUBCATEGORIAS_PLANO,0)),"Não classificado"))</f>
        <v/>
      </c>
      <c r="AH1683" s="9">
        <f>IF($G1683="","",IFERROR(INDEX(GRUPOS_PLANO,MATCH($G1683,SUBCATEGORIAS_PLANO,0)),"Não classificado"))</f>
        <v/>
      </c>
      <c r="AI1683" s="24">
        <f>IF(OR($C1683="",$X1683="Pago",$X1683="Recebido",$X1683="Cancelado"),"",$C1683-TODAY())</f>
        <v/>
      </c>
      <c r="AJ1683" s="24">
        <f>IF(OR($C1683="",$X1683="Pago",$X1683="Recebido",$X1683="Cancelado"),0,MAX(0,TODAY()-$C1683))</f>
        <v/>
      </c>
      <c r="AK1683" s="24">
        <f>IF($D1683="","",$D1683-$B1683)</f>
        <v/>
      </c>
      <c r="AL1683" s="18">
        <f>IF(OR($D1683="",$B1683=""),"",ROUND(N($R1683)*($D1683-$B1683),2))</f>
        <v/>
      </c>
      <c r="AM1683" s="17">
        <f>IF(AND($E1683="Saída",$W1683&gt;0,$C1683&lt;&gt;""),$C1683+ROW()/1000000,"")</f>
        <v/>
      </c>
      <c r="AN1683" s="17">
        <f>IF(AND($E1683="Entrada",$W1683&gt;0,$C1683&lt;&gt;""),$C1683+ROW()/1000000,"")</f>
        <v/>
      </c>
      <c r="AO1683" s="9">
        <f>IF(COUNTA($B1683:$R1683)=0,"",IF(AND($I1683&lt;&gt;"",COUNTIF(CLIENTES_NOMES,$I1683)+COUNTIF(CLIENTES_FANTASIA,$I1683)+COUNTIF(FORNECEDORES_NOMES,$I1683)+COUNTIF(FORNECEDORES_FANTASIA,$I1683)=0),"⚠ Cliente/Fornecedor não cadastrado",IF(AND($G1683&lt;&gt;"",COUNTIF(SUBCATEGORIAS_PLANO,$G1683)=0),"⚠ Subcategoria fora do plano de contas",IF(OR($Q1683="",N($Q1683)=0),"⚠ Valor previsto não informado",IF(AND(OR($X1683="Pago",$X1683="Recebido"),$D1683=""),"⚠ Status pago/recebido sem data",IF(AND($D1683&lt;&gt;"",N($R1683)=0),"⚠ Data de pagamento sem valor realizado",IF(AND(N($P1683)&gt;1,N($O1683)&gt;N($P1683)),"⚠ Nº da parcela maior que o total",IF(AND($C1683&lt;&gt;"",$B1683&lt;&gt;"",$C1683&lt;$B1683),"⚠ Vencimento anterior à competência","OK"))))))))</f>
        <v/>
      </c>
    </row>
    <row r="1684">
      <c r="A1684" s="14" t="n"/>
      <c r="B1684" s="36" t="n"/>
      <c r="C1684" s="36" t="n"/>
      <c r="D1684" s="36" t="n"/>
      <c r="E1684" s="14" t="n"/>
      <c r="F1684" s="29" t="n"/>
      <c r="G1684" s="29" t="n"/>
      <c r="H1684" s="29" t="n"/>
      <c r="I1684" s="29" t="n"/>
      <c r="J1684" s="29" t="n"/>
      <c r="K1684" s="14" t="n"/>
      <c r="L1684" s="29" t="n"/>
      <c r="M1684" s="14" t="n"/>
      <c r="N1684" s="29" t="n"/>
      <c r="O1684" s="13" t="n"/>
      <c r="P1684" s="13" t="n"/>
      <c r="Q1684" s="35" t="n"/>
      <c r="R1684" s="35" t="n"/>
      <c r="S1684" s="35" t="n"/>
      <c r="T1684" s="35" t="n"/>
      <c r="U1684" s="35" t="n"/>
      <c r="V1684" s="18">
        <f>IF(COUNTA($B1684:$R1684)=0,"",ROUND(N($R1684)+N($S1684)+N($T1684)-N($U1684),2))</f>
        <v/>
      </c>
      <c r="W1684" s="18">
        <f>IF(COUNTA($B1684:$R1684)=0,"",IF(OR($X1684="Pago",$X1684="Recebido",$X1684="Cancelado"),0,ROUND(N($Q1684)+N($S1684)+N($T1684)-N($U1684)-N($R1684),2)))</f>
        <v/>
      </c>
      <c r="X1684" s="14" t="n"/>
      <c r="Y1684" s="17">
        <f>IF(COUNTA($B1684:$R1684)=0,"",IF($X1684="Cancelado","Cancelado",IF(OR($X1684="Pago",$X1684="Recebido"),$X1684,IF(OR($X1684="Parcial",N($R1684)&gt;0),"Parcial",IF($C1684="","Sem vencimento",IF($C1684&lt;TODAY(),"Vencido",IF($C1684=TODAY(),"Vence hoje",IF($C1684&lt;=TODAY()+7,"Vence em 7 dias",IF($C1684&lt;=TODAY()+30,"Vence em 30 dias","Futuro")))))))))</f>
        <v/>
      </c>
      <c r="Z1684" s="24">
        <f>IF($B1684="","",MONTH($B1684))</f>
        <v/>
      </c>
      <c r="AA1684" s="24">
        <f>IF($B1684="","",YEAR($B1684))</f>
        <v/>
      </c>
      <c r="AB1684" s="24">
        <f>IF($B1684="","",ISOWEEKNUM($B1684))</f>
        <v/>
      </c>
      <c r="AC1684" s="17">
        <f>IF($B1684="","",CHOOSE(WEEKDAY($B1684,2),"Segunda","Terça","Quarta","Quinta","Sexta","Sábado","Domingo"))</f>
        <v/>
      </c>
      <c r="AD1684" s="17">
        <f>IF($B1684="","",TEXT($B1684,"MM/AAAA"))</f>
        <v/>
      </c>
      <c r="AE1684" s="18">
        <f>IF(COUNTA($B1684:$R1684)=0,"",IF($X1684="Cancelado",0,ROUND(N($Q1684)+N($S1684)+N($T1684)-N($U1684),2)))</f>
        <v/>
      </c>
      <c r="AF1684" s="9">
        <f>IF($G1684="","",IFERROR(INDEX(LINHAS_DRE_PLANO,MATCH($G1684,SUBCATEGORIAS_PLANO,0)),"Não classificado"))</f>
        <v/>
      </c>
      <c r="AG1684" s="17">
        <f>IF($G1684="","",IFERROR(INDEX(TIPOS_FLUXO_PLANO,MATCH($G1684,SUBCATEGORIAS_PLANO,0)),"Não classificado"))</f>
        <v/>
      </c>
      <c r="AH1684" s="9">
        <f>IF($G1684="","",IFERROR(INDEX(GRUPOS_PLANO,MATCH($G1684,SUBCATEGORIAS_PLANO,0)),"Não classificado"))</f>
        <v/>
      </c>
      <c r="AI1684" s="24">
        <f>IF(OR($C1684="",$X1684="Pago",$X1684="Recebido",$X1684="Cancelado"),"",$C1684-TODAY())</f>
        <v/>
      </c>
      <c r="AJ1684" s="24">
        <f>IF(OR($C1684="",$X1684="Pago",$X1684="Recebido",$X1684="Cancelado"),0,MAX(0,TODAY()-$C1684))</f>
        <v/>
      </c>
      <c r="AK1684" s="24">
        <f>IF($D1684="","",$D1684-$B1684)</f>
        <v/>
      </c>
      <c r="AL1684" s="18">
        <f>IF(OR($D1684="",$B1684=""),"",ROUND(N($R1684)*($D1684-$B1684),2))</f>
        <v/>
      </c>
      <c r="AM1684" s="17">
        <f>IF(AND($E1684="Saída",$W1684&gt;0,$C1684&lt;&gt;""),$C1684+ROW()/1000000,"")</f>
        <v/>
      </c>
      <c r="AN1684" s="17">
        <f>IF(AND($E1684="Entrada",$W1684&gt;0,$C1684&lt;&gt;""),$C1684+ROW()/1000000,"")</f>
        <v/>
      </c>
      <c r="AO1684" s="9">
        <f>IF(COUNTA($B1684:$R1684)=0,"",IF(AND($I1684&lt;&gt;"",COUNTIF(CLIENTES_NOMES,$I1684)+COUNTIF(CLIENTES_FANTASIA,$I1684)+COUNTIF(FORNECEDORES_NOMES,$I1684)+COUNTIF(FORNECEDORES_FANTASIA,$I1684)=0),"⚠ Cliente/Fornecedor não cadastrado",IF(AND($G1684&lt;&gt;"",COUNTIF(SUBCATEGORIAS_PLANO,$G1684)=0),"⚠ Subcategoria fora do plano de contas",IF(OR($Q1684="",N($Q1684)=0),"⚠ Valor previsto não informado",IF(AND(OR($X1684="Pago",$X1684="Recebido"),$D1684=""),"⚠ Status pago/recebido sem data",IF(AND($D1684&lt;&gt;"",N($R1684)=0),"⚠ Data de pagamento sem valor realizado",IF(AND(N($P1684)&gt;1,N($O1684)&gt;N($P1684)),"⚠ Nº da parcela maior que o total",IF(AND($C1684&lt;&gt;"",$B1684&lt;&gt;"",$C1684&lt;$B1684),"⚠ Vencimento anterior à competência","OK"))))))))</f>
        <v/>
      </c>
    </row>
    <row r="1685">
      <c r="A1685" s="14" t="n"/>
      <c r="B1685" s="36" t="n"/>
      <c r="C1685" s="36" t="n"/>
      <c r="D1685" s="36" t="n"/>
      <c r="E1685" s="14" t="n"/>
      <c r="F1685" s="29" t="n"/>
      <c r="G1685" s="29" t="n"/>
      <c r="H1685" s="29" t="n"/>
      <c r="I1685" s="29" t="n"/>
      <c r="J1685" s="29" t="n"/>
      <c r="K1685" s="14" t="n"/>
      <c r="L1685" s="29" t="n"/>
      <c r="M1685" s="14" t="n"/>
      <c r="N1685" s="29" t="n"/>
      <c r="O1685" s="13" t="n"/>
      <c r="P1685" s="13" t="n"/>
      <c r="Q1685" s="35" t="n"/>
      <c r="R1685" s="35" t="n"/>
      <c r="S1685" s="35" t="n"/>
      <c r="T1685" s="35" t="n"/>
      <c r="U1685" s="35" t="n"/>
      <c r="V1685" s="18">
        <f>IF(COUNTA($B1685:$R1685)=0,"",ROUND(N($R1685)+N($S1685)+N($T1685)-N($U1685),2))</f>
        <v/>
      </c>
      <c r="W1685" s="18">
        <f>IF(COUNTA($B1685:$R1685)=0,"",IF(OR($X1685="Pago",$X1685="Recebido",$X1685="Cancelado"),0,ROUND(N($Q1685)+N($S1685)+N($T1685)-N($U1685)-N($R1685),2)))</f>
        <v/>
      </c>
      <c r="X1685" s="14" t="n"/>
      <c r="Y1685" s="17">
        <f>IF(COUNTA($B1685:$R1685)=0,"",IF($X1685="Cancelado","Cancelado",IF(OR($X1685="Pago",$X1685="Recebido"),$X1685,IF(OR($X1685="Parcial",N($R1685)&gt;0),"Parcial",IF($C1685="","Sem vencimento",IF($C1685&lt;TODAY(),"Vencido",IF($C1685=TODAY(),"Vence hoje",IF($C1685&lt;=TODAY()+7,"Vence em 7 dias",IF($C1685&lt;=TODAY()+30,"Vence em 30 dias","Futuro")))))))))</f>
        <v/>
      </c>
      <c r="Z1685" s="24">
        <f>IF($B1685="","",MONTH($B1685))</f>
        <v/>
      </c>
      <c r="AA1685" s="24">
        <f>IF($B1685="","",YEAR($B1685))</f>
        <v/>
      </c>
      <c r="AB1685" s="24">
        <f>IF($B1685="","",ISOWEEKNUM($B1685))</f>
        <v/>
      </c>
      <c r="AC1685" s="17">
        <f>IF($B1685="","",CHOOSE(WEEKDAY($B1685,2),"Segunda","Terça","Quarta","Quinta","Sexta","Sábado","Domingo"))</f>
        <v/>
      </c>
      <c r="AD1685" s="17">
        <f>IF($B1685="","",TEXT($B1685,"MM/AAAA"))</f>
        <v/>
      </c>
      <c r="AE1685" s="18">
        <f>IF(COUNTA($B1685:$R1685)=0,"",IF($X1685="Cancelado",0,ROUND(N($Q1685)+N($S1685)+N($T1685)-N($U1685),2)))</f>
        <v/>
      </c>
      <c r="AF1685" s="9">
        <f>IF($G1685="","",IFERROR(INDEX(LINHAS_DRE_PLANO,MATCH($G1685,SUBCATEGORIAS_PLANO,0)),"Não classificado"))</f>
        <v/>
      </c>
      <c r="AG1685" s="17">
        <f>IF($G1685="","",IFERROR(INDEX(TIPOS_FLUXO_PLANO,MATCH($G1685,SUBCATEGORIAS_PLANO,0)),"Não classificado"))</f>
        <v/>
      </c>
      <c r="AH1685" s="9">
        <f>IF($G1685="","",IFERROR(INDEX(GRUPOS_PLANO,MATCH($G1685,SUBCATEGORIAS_PLANO,0)),"Não classificado"))</f>
        <v/>
      </c>
      <c r="AI1685" s="24">
        <f>IF(OR($C1685="",$X1685="Pago",$X1685="Recebido",$X1685="Cancelado"),"",$C1685-TODAY())</f>
        <v/>
      </c>
      <c r="AJ1685" s="24">
        <f>IF(OR($C1685="",$X1685="Pago",$X1685="Recebido",$X1685="Cancelado"),0,MAX(0,TODAY()-$C1685))</f>
        <v/>
      </c>
      <c r="AK1685" s="24">
        <f>IF($D1685="","",$D1685-$B1685)</f>
        <v/>
      </c>
      <c r="AL1685" s="18">
        <f>IF(OR($D1685="",$B1685=""),"",ROUND(N($R1685)*($D1685-$B1685),2))</f>
        <v/>
      </c>
      <c r="AM1685" s="17">
        <f>IF(AND($E1685="Saída",$W1685&gt;0,$C1685&lt;&gt;""),$C1685+ROW()/1000000,"")</f>
        <v/>
      </c>
      <c r="AN1685" s="17">
        <f>IF(AND($E1685="Entrada",$W1685&gt;0,$C1685&lt;&gt;""),$C1685+ROW()/1000000,"")</f>
        <v/>
      </c>
      <c r="AO1685" s="9">
        <f>IF(COUNTA($B1685:$R1685)=0,"",IF(AND($I1685&lt;&gt;"",COUNTIF(CLIENTES_NOMES,$I1685)+COUNTIF(CLIENTES_FANTASIA,$I1685)+COUNTIF(FORNECEDORES_NOMES,$I1685)+COUNTIF(FORNECEDORES_FANTASIA,$I1685)=0),"⚠ Cliente/Fornecedor não cadastrado",IF(AND($G1685&lt;&gt;"",COUNTIF(SUBCATEGORIAS_PLANO,$G1685)=0),"⚠ Subcategoria fora do plano de contas",IF(OR($Q1685="",N($Q1685)=0),"⚠ Valor previsto não informado",IF(AND(OR($X1685="Pago",$X1685="Recebido"),$D1685=""),"⚠ Status pago/recebido sem data",IF(AND($D1685&lt;&gt;"",N($R1685)=0),"⚠ Data de pagamento sem valor realizado",IF(AND(N($P1685)&gt;1,N($O1685)&gt;N($P1685)),"⚠ Nº da parcela maior que o total",IF(AND($C1685&lt;&gt;"",$B1685&lt;&gt;"",$C1685&lt;$B1685),"⚠ Vencimento anterior à competência","OK"))))))))</f>
        <v/>
      </c>
    </row>
    <row r="1686">
      <c r="A1686" s="14" t="n"/>
      <c r="B1686" s="36" t="n"/>
      <c r="C1686" s="36" t="n"/>
      <c r="D1686" s="36" t="n"/>
      <c r="E1686" s="14" t="n"/>
      <c r="F1686" s="29" t="n"/>
      <c r="G1686" s="29" t="n"/>
      <c r="H1686" s="29" t="n"/>
      <c r="I1686" s="29" t="n"/>
      <c r="J1686" s="29" t="n"/>
      <c r="K1686" s="14" t="n"/>
      <c r="L1686" s="29" t="n"/>
      <c r="M1686" s="14" t="n"/>
      <c r="N1686" s="29" t="n"/>
      <c r="O1686" s="13" t="n"/>
      <c r="P1686" s="13" t="n"/>
      <c r="Q1686" s="35" t="n"/>
      <c r="R1686" s="35" t="n"/>
      <c r="S1686" s="35" t="n"/>
      <c r="T1686" s="35" t="n"/>
      <c r="U1686" s="35" t="n"/>
      <c r="V1686" s="18">
        <f>IF(COUNTA($B1686:$R1686)=0,"",ROUND(N($R1686)+N($S1686)+N($T1686)-N($U1686),2))</f>
        <v/>
      </c>
      <c r="W1686" s="18">
        <f>IF(COUNTA($B1686:$R1686)=0,"",IF(OR($X1686="Pago",$X1686="Recebido",$X1686="Cancelado"),0,ROUND(N($Q1686)+N($S1686)+N($T1686)-N($U1686)-N($R1686),2)))</f>
        <v/>
      </c>
      <c r="X1686" s="14" t="n"/>
      <c r="Y1686" s="17">
        <f>IF(COUNTA($B1686:$R1686)=0,"",IF($X1686="Cancelado","Cancelado",IF(OR($X1686="Pago",$X1686="Recebido"),$X1686,IF(OR($X1686="Parcial",N($R1686)&gt;0),"Parcial",IF($C1686="","Sem vencimento",IF($C1686&lt;TODAY(),"Vencido",IF($C1686=TODAY(),"Vence hoje",IF($C1686&lt;=TODAY()+7,"Vence em 7 dias",IF($C1686&lt;=TODAY()+30,"Vence em 30 dias","Futuro")))))))))</f>
        <v/>
      </c>
      <c r="Z1686" s="24">
        <f>IF($B1686="","",MONTH($B1686))</f>
        <v/>
      </c>
      <c r="AA1686" s="24">
        <f>IF($B1686="","",YEAR($B1686))</f>
        <v/>
      </c>
      <c r="AB1686" s="24">
        <f>IF($B1686="","",ISOWEEKNUM($B1686))</f>
        <v/>
      </c>
      <c r="AC1686" s="17">
        <f>IF($B1686="","",CHOOSE(WEEKDAY($B1686,2),"Segunda","Terça","Quarta","Quinta","Sexta","Sábado","Domingo"))</f>
        <v/>
      </c>
      <c r="AD1686" s="17">
        <f>IF($B1686="","",TEXT($B1686,"MM/AAAA"))</f>
        <v/>
      </c>
      <c r="AE1686" s="18">
        <f>IF(COUNTA($B1686:$R1686)=0,"",IF($X1686="Cancelado",0,ROUND(N($Q1686)+N($S1686)+N($T1686)-N($U1686),2)))</f>
        <v/>
      </c>
      <c r="AF1686" s="9">
        <f>IF($G1686="","",IFERROR(INDEX(LINHAS_DRE_PLANO,MATCH($G1686,SUBCATEGORIAS_PLANO,0)),"Não classificado"))</f>
        <v/>
      </c>
      <c r="AG1686" s="17">
        <f>IF($G1686="","",IFERROR(INDEX(TIPOS_FLUXO_PLANO,MATCH($G1686,SUBCATEGORIAS_PLANO,0)),"Não classificado"))</f>
        <v/>
      </c>
      <c r="AH1686" s="9">
        <f>IF($G1686="","",IFERROR(INDEX(GRUPOS_PLANO,MATCH($G1686,SUBCATEGORIAS_PLANO,0)),"Não classificado"))</f>
        <v/>
      </c>
      <c r="AI1686" s="24">
        <f>IF(OR($C1686="",$X1686="Pago",$X1686="Recebido",$X1686="Cancelado"),"",$C1686-TODAY())</f>
        <v/>
      </c>
      <c r="AJ1686" s="24">
        <f>IF(OR($C1686="",$X1686="Pago",$X1686="Recebido",$X1686="Cancelado"),0,MAX(0,TODAY()-$C1686))</f>
        <v/>
      </c>
      <c r="AK1686" s="24">
        <f>IF($D1686="","",$D1686-$B1686)</f>
        <v/>
      </c>
      <c r="AL1686" s="18">
        <f>IF(OR($D1686="",$B1686=""),"",ROUND(N($R1686)*($D1686-$B1686),2))</f>
        <v/>
      </c>
      <c r="AM1686" s="17">
        <f>IF(AND($E1686="Saída",$W1686&gt;0,$C1686&lt;&gt;""),$C1686+ROW()/1000000,"")</f>
        <v/>
      </c>
      <c r="AN1686" s="17">
        <f>IF(AND($E1686="Entrada",$W1686&gt;0,$C1686&lt;&gt;""),$C1686+ROW()/1000000,"")</f>
        <v/>
      </c>
      <c r="AO1686" s="9">
        <f>IF(COUNTA($B1686:$R1686)=0,"",IF(AND($I1686&lt;&gt;"",COUNTIF(CLIENTES_NOMES,$I1686)+COUNTIF(CLIENTES_FANTASIA,$I1686)+COUNTIF(FORNECEDORES_NOMES,$I1686)+COUNTIF(FORNECEDORES_FANTASIA,$I1686)=0),"⚠ Cliente/Fornecedor não cadastrado",IF(AND($G1686&lt;&gt;"",COUNTIF(SUBCATEGORIAS_PLANO,$G1686)=0),"⚠ Subcategoria fora do plano de contas",IF(OR($Q1686="",N($Q1686)=0),"⚠ Valor previsto não informado",IF(AND(OR($X1686="Pago",$X1686="Recebido"),$D1686=""),"⚠ Status pago/recebido sem data",IF(AND($D1686&lt;&gt;"",N($R1686)=0),"⚠ Data de pagamento sem valor realizado",IF(AND(N($P1686)&gt;1,N($O1686)&gt;N($P1686)),"⚠ Nº da parcela maior que o total",IF(AND($C1686&lt;&gt;"",$B1686&lt;&gt;"",$C1686&lt;$B1686),"⚠ Vencimento anterior à competência","OK"))))))))</f>
        <v/>
      </c>
    </row>
    <row r="1687">
      <c r="A1687" s="14" t="n"/>
      <c r="B1687" s="36" t="n"/>
      <c r="C1687" s="36" t="n"/>
      <c r="D1687" s="36" t="n"/>
      <c r="E1687" s="14" t="n"/>
      <c r="F1687" s="29" t="n"/>
      <c r="G1687" s="29" t="n"/>
      <c r="H1687" s="29" t="n"/>
      <c r="I1687" s="29" t="n"/>
      <c r="J1687" s="29" t="n"/>
      <c r="K1687" s="14" t="n"/>
      <c r="L1687" s="29" t="n"/>
      <c r="M1687" s="14" t="n"/>
      <c r="N1687" s="29" t="n"/>
      <c r="O1687" s="13" t="n"/>
      <c r="P1687" s="13" t="n"/>
      <c r="Q1687" s="35" t="n"/>
      <c r="R1687" s="35" t="n"/>
      <c r="S1687" s="35" t="n"/>
      <c r="T1687" s="35" t="n"/>
      <c r="U1687" s="35" t="n"/>
      <c r="V1687" s="18">
        <f>IF(COUNTA($B1687:$R1687)=0,"",ROUND(N($R1687)+N($S1687)+N($T1687)-N($U1687),2))</f>
        <v/>
      </c>
      <c r="W1687" s="18">
        <f>IF(COUNTA($B1687:$R1687)=0,"",IF(OR($X1687="Pago",$X1687="Recebido",$X1687="Cancelado"),0,ROUND(N($Q1687)+N($S1687)+N($T1687)-N($U1687)-N($R1687),2)))</f>
        <v/>
      </c>
      <c r="X1687" s="14" t="n"/>
      <c r="Y1687" s="17">
        <f>IF(COUNTA($B1687:$R1687)=0,"",IF($X1687="Cancelado","Cancelado",IF(OR($X1687="Pago",$X1687="Recebido"),$X1687,IF(OR($X1687="Parcial",N($R1687)&gt;0),"Parcial",IF($C1687="","Sem vencimento",IF($C1687&lt;TODAY(),"Vencido",IF($C1687=TODAY(),"Vence hoje",IF($C1687&lt;=TODAY()+7,"Vence em 7 dias",IF($C1687&lt;=TODAY()+30,"Vence em 30 dias","Futuro")))))))))</f>
        <v/>
      </c>
      <c r="Z1687" s="24">
        <f>IF($B1687="","",MONTH($B1687))</f>
        <v/>
      </c>
      <c r="AA1687" s="24">
        <f>IF($B1687="","",YEAR($B1687))</f>
        <v/>
      </c>
      <c r="AB1687" s="24">
        <f>IF($B1687="","",ISOWEEKNUM($B1687))</f>
        <v/>
      </c>
      <c r="AC1687" s="17">
        <f>IF($B1687="","",CHOOSE(WEEKDAY($B1687,2),"Segunda","Terça","Quarta","Quinta","Sexta","Sábado","Domingo"))</f>
        <v/>
      </c>
      <c r="AD1687" s="17">
        <f>IF($B1687="","",TEXT($B1687,"MM/AAAA"))</f>
        <v/>
      </c>
      <c r="AE1687" s="18">
        <f>IF(COUNTA($B1687:$R1687)=0,"",IF($X1687="Cancelado",0,ROUND(N($Q1687)+N($S1687)+N($T1687)-N($U1687),2)))</f>
        <v/>
      </c>
      <c r="AF1687" s="9">
        <f>IF($G1687="","",IFERROR(INDEX(LINHAS_DRE_PLANO,MATCH($G1687,SUBCATEGORIAS_PLANO,0)),"Não classificado"))</f>
        <v/>
      </c>
      <c r="AG1687" s="17">
        <f>IF($G1687="","",IFERROR(INDEX(TIPOS_FLUXO_PLANO,MATCH($G1687,SUBCATEGORIAS_PLANO,0)),"Não classificado"))</f>
        <v/>
      </c>
      <c r="AH1687" s="9">
        <f>IF($G1687="","",IFERROR(INDEX(GRUPOS_PLANO,MATCH($G1687,SUBCATEGORIAS_PLANO,0)),"Não classificado"))</f>
        <v/>
      </c>
      <c r="AI1687" s="24">
        <f>IF(OR($C1687="",$X1687="Pago",$X1687="Recebido",$X1687="Cancelado"),"",$C1687-TODAY())</f>
        <v/>
      </c>
      <c r="AJ1687" s="24">
        <f>IF(OR($C1687="",$X1687="Pago",$X1687="Recebido",$X1687="Cancelado"),0,MAX(0,TODAY()-$C1687))</f>
        <v/>
      </c>
      <c r="AK1687" s="24">
        <f>IF($D1687="","",$D1687-$B1687)</f>
        <v/>
      </c>
      <c r="AL1687" s="18">
        <f>IF(OR($D1687="",$B1687=""),"",ROUND(N($R1687)*($D1687-$B1687),2))</f>
        <v/>
      </c>
      <c r="AM1687" s="17">
        <f>IF(AND($E1687="Saída",$W1687&gt;0,$C1687&lt;&gt;""),$C1687+ROW()/1000000,"")</f>
        <v/>
      </c>
      <c r="AN1687" s="17">
        <f>IF(AND($E1687="Entrada",$W1687&gt;0,$C1687&lt;&gt;""),$C1687+ROW()/1000000,"")</f>
        <v/>
      </c>
      <c r="AO1687" s="9">
        <f>IF(COUNTA($B1687:$R1687)=0,"",IF(AND($I1687&lt;&gt;"",COUNTIF(CLIENTES_NOMES,$I1687)+COUNTIF(CLIENTES_FANTASIA,$I1687)+COUNTIF(FORNECEDORES_NOMES,$I1687)+COUNTIF(FORNECEDORES_FANTASIA,$I1687)=0),"⚠ Cliente/Fornecedor não cadastrado",IF(AND($G1687&lt;&gt;"",COUNTIF(SUBCATEGORIAS_PLANO,$G1687)=0),"⚠ Subcategoria fora do plano de contas",IF(OR($Q1687="",N($Q1687)=0),"⚠ Valor previsto não informado",IF(AND(OR($X1687="Pago",$X1687="Recebido"),$D1687=""),"⚠ Status pago/recebido sem data",IF(AND($D1687&lt;&gt;"",N($R1687)=0),"⚠ Data de pagamento sem valor realizado",IF(AND(N($P1687)&gt;1,N($O1687)&gt;N($P1687)),"⚠ Nº da parcela maior que o total",IF(AND($C1687&lt;&gt;"",$B1687&lt;&gt;"",$C1687&lt;$B1687),"⚠ Vencimento anterior à competência","OK"))))))))</f>
        <v/>
      </c>
    </row>
    <row r="1688">
      <c r="A1688" s="14" t="n"/>
      <c r="B1688" s="36" t="n"/>
      <c r="C1688" s="36" t="n"/>
      <c r="D1688" s="36" t="n"/>
      <c r="E1688" s="14" t="n"/>
      <c r="F1688" s="29" t="n"/>
      <c r="G1688" s="29" t="n"/>
      <c r="H1688" s="29" t="n"/>
      <c r="I1688" s="29" t="n"/>
      <c r="J1688" s="29" t="n"/>
      <c r="K1688" s="14" t="n"/>
      <c r="L1688" s="29" t="n"/>
      <c r="M1688" s="14" t="n"/>
      <c r="N1688" s="29" t="n"/>
      <c r="O1688" s="13" t="n"/>
      <c r="P1688" s="13" t="n"/>
      <c r="Q1688" s="35" t="n"/>
      <c r="R1688" s="35" t="n"/>
      <c r="S1688" s="35" t="n"/>
      <c r="T1688" s="35" t="n"/>
      <c r="U1688" s="35" t="n"/>
      <c r="V1688" s="18">
        <f>IF(COUNTA($B1688:$R1688)=0,"",ROUND(N($R1688)+N($S1688)+N($T1688)-N($U1688),2))</f>
        <v/>
      </c>
      <c r="W1688" s="18">
        <f>IF(COUNTA($B1688:$R1688)=0,"",IF(OR($X1688="Pago",$X1688="Recebido",$X1688="Cancelado"),0,ROUND(N($Q1688)+N($S1688)+N($T1688)-N($U1688)-N($R1688),2)))</f>
        <v/>
      </c>
      <c r="X1688" s="14" t="n"/>
      <c r="Y1688" s="17">
        <f>IF(COUNTA($B1688:$R1688)=0,"",IF($X1688="Cancelado","Cancelado",IF(OR($X1688="Pago",$X1688="Recebido"),$X1688,IF(OR($X1688="Parcial",N($R1688)&gt;0),"Parcial",IF($C1688="","Sem vencimento",IF($C1688&lt;TODAY(),"Vencido",IF($C1688=TODAY(),"Vence hoje",IF($C1688&lt;=TODAY()+7,"Vence em 7 dias",IF($C1688&lt;=TODAY()+30,"Vence em 30 dias","Futuro")))))))))</f>
        <v/>
      </c>
      <c r="Z1688" s="24">
        <f>IF($B1688="","",MONTH($B1688))</f>
        <v/>
      </c>
      <c r="AA1688" s="24">
        <f>IF($B1688="","",YEAR($B1688))</f>
        <v/>
      </c>
      <c r="AB1688" s="24">
        <f>IF($B1688="","",ISOWEEKNUM($B1688))</f>
        <v/>
      </c>
      <c r="AC1688" s="17">
        <f>IF($B1688="","",CHOOSE(WEEKDAY($B1688,2),"Segunda","Terça","Quarta","Quinta","Sexta","Sábado","Domingo"))</f>
        <v/>
      </c>
      <c r="AD1688" s="17">
        <f>IF($B1688="","",TEXT($B1688,"MM/AAAA"))</f>
        <v/>
      </c>
      <c r="AE1688" s="18">
        <f>IF(COUNTA($B1688:$R1688)=0,"",IF($X1688="Cancelado",0,ROUND(N($Q1688)+N($S1688)+N($T1688)-N($U1688),2)))</f>
        <v/>
      </c>
      <c r="AF1688" s="9">
        <f>IF($G1688="","",IFERROR(INDEX(LINHAS_DRE_PLANO,MATCH($G1688,SUBCATEGORIAS_PLANO,0)),"Não classificado"))</f>
        <v/>
      </c>
      <c r="AG1688" s="17">
        <f>IF($G1688="","",IFERROR(INDEX(TIPOS_FLUXO_PLANO,MATCH($G1688,SUBCATEGORIAS_PLANO,0)),"Não classificado"))</f>
        <v/>
      </c>
      <c r="AH1688" s="9">
        <f>IF($G1688="","",IFERROR(INDEX(GRUPOS_PLANO,MATCH($G1688,SUBCATEGORIAS_PLANO,0)),"Não classificado"))</f>
        <v/>
      </c>
      <c r="AI1688" s="24">
        <f>IF(OR($C1688="",$X1688="Pago",$X1688="Recebido",$X1688="Cancelado"),"",$C1688-TODAY())</f>
        <v/>
      </c>
      <c r="AJ1688" s="24">
        <f>IF(OR($C1688="",$X1688="Pago",$X1688="Recebido",$X1688="Cancelado"),0,MAX(0,TODAY()-$C1688))</f>
        <v/>
      </c>
      <c r="AK1688" s="24">
        <f>IF($D1688="","",$D1688-$B1688)</f>
        <v/>
      </c>
      <c r="AL1688" s="18">
        <f>IF(OR($D1688="",$B1688=""),"",ROUND(N($R1688)*($D1688-$B1688),2))</f>
        <v/>
      </c>
      <c r="AM1688" s="17">
        <f>IF(AND($E1688="Saída",$W1688&gt;0,$C1688&lt;&gt;""),$C1688+ROW()/1000000,"")</f>
        <v/>
      </c>
      <c r="AN1688" s="17">
        <f>IF(AND($E1688="Entrada",$W1688&gt;0,$C1688&lt;&gt;""),$C1688+ROW()/1000000,"")</f>
        <v/>
      </c>
      <c r="AO1688" s="9">
        <f>IF(COUNTA($B1688:$R1688)=0,"",IF(AND($I1688&lt;&gt;"",COUNTIF(CLIENTES_NOMES,$I1688)+COUNTIF(CLIENTES_FANTASIA,$I1688)+COUNTIF(FORNECEDORES_NOMES,$I1688)+COUNTIF(FORNECEDORES_FANTASIA,$I1688)=0),"⚠ Cliente/Fornecedor não cadastrado",IF(AND($G1688&lt;&gt;"",COUNTIF(SUBCATEGORIAS_PLANO,$G1688)=0),"⚠ Subcategoria fora do plano de contas",IF(OR($Q1688="",N($Q1688)=0),"⚠ Valor previsto não informado",IF(AND(OR($X1688="Pago",$X1688="Recebido"),$D1688=""),"⚠ Status pago/recebido sem data",IF(AND($D1688&lt;&gt;"",N($R1688)=0),"⚠ Data de pagamento sem valor realizado",IF(AND(N($P1688)&gt;1,N($O1688)&gt;N($P1688)),"⚠ Nº da parcela maior que o total",IF(AND($C1688&lt;&gt;"",$B1688&lt;&gt;"",$C1688&lt;$B1688),"⚠ Vencimento anterior à competência","OK"))))))))</f>
        <v/>
      </c>
    </row>
    <row r="1689">
      <c r="A1689" s="14" t="n"/>
      <c r="B1689" s="36" t="n"/>
      <c r="C1689" s="36" t="n"/>
      <c r="D1689" s="36" t="n"/>
      <c r="E1689" s="14" t="n"/>
      <c r="F1689" s="29" t="n"/>
      <c r="G1689" s="29" t="n"/>
      <c r="H1689" s="29" t="n"/>
      <c r="I1689" s="29" t="n"/>
      <c r="J1689" s="29" t="n"/>
      <c r="K1689" s="14" t="n"/>
      <c r="L1689" s="29" t="n"/>
      <c r="M1689" s="14" t="n"/>
      <c r="N1689" s="29" t="n"/>
      <c r="O1689" s="13" t="n"/>
      <c r="P1689" s="13" t="n"/>
      <c r="Q1689" s="35" t="n"/>
      <c r="R1689" s="35" t="n"/>
      <c r="S1689" s="35" t="n"/>
      <c r="T1689" s="35" t="n"/>
      <c r="U1689" s="35" t="n"/>
      <c r="V1689" s="18">
        <f>IF(COUNTA($B1689:$R1689)=0,"",ROUND(N($R1689)+N($S1689)+N($T1689)-N($U1689),2))</f>
        <v/>
      </c>
      <c r="W1689" s="18">
        <f>IF(COUNTA($B1689:$R1689)=0,"",IF(OR($X1689="Pago",$X1689="Recebido",$X1689="Cancelado"),0,ROUND(N($Q1689)+N($S1689)+N($T1689)-N($U1689)-N($R1689),2)))</f>
        <v/>
      </c>
      <c r="X1689" s="14" t="n"/>
      <c r="Y1689" s="17">
        <f>IF(COUNTA($B1689:$R1689)=0,"",IF($X1689="Cancelado","Cancelado",IF(OR($X1689="Pago",$X1689="Recebido"),$X1689,IF(OR($X1689="Parcial",N($R1689)&gt;0),"Parcial",IF($C1689="","Sem vencimento",IF($C1689&lt;TODAY(),"Vencido",IF($C1689=TODAY(),"Vence hoje",IF($C1689&lt;=TODAY()+7,"Vence em 7 dias",IF($C1689&lt;=TODAY()+30,"Vence em 30 dias","Futuro")))))))))</f>
        <v/>
      </c>
      <c r="Z1689" s="24">
        <f>IF($B1689="","",MONTH($B1689))</f>
        <v/>
      </c>
      <c r="AA1689" s="24">
        <f>IF($B1689="","",YEAR($B1689))</f>
        <v/>
      </c>
      <c r="AB1689" s="24">
        <f>IF($B1689="","",ISOWEEKNUM($B1689))</f>
        <v/>
      </c>
      <c r="AC1689" s="17">
        <f>IF($B1689="","",CHOOSE(WEEKDAY($B1689,2),"Segunda","Terça","Quarta","Quinta","Sexta","Sábado","Domingo"))</f>
        <v/>
      </c>
      <c r="AD1689" s="17">
        <f>IF($B1689="","",TEXT($B1689,"MM/AAAA"))</f>
        <v/>
      </c>
      <c r="AE1689" s="18">
        <f>IF(COUNTA($B1689:$R1689)=0,"",IF($X1689="Cancelado",0,ROUND(N($Q1689)+N($S1689)+N($T1689)-N($U1689),2)))</f>
        <v/>
      </c>
      <c r="AF1689" s="9">
        <f>IF($G1689="","",IFERROR(INDEX(LINHAS_DRE_PLANO,MATCH($G1689,SUBCATEGORIAS_PLANO,0)),"Não classificado"))</f>
        <v/>
      </c>
      <c r="AG1689" s="17">
        <f>IF($G1689="","",IFERROR(INDEX(TIPOS_FLUXO_PLANO,MATCH($G1689,SUBCATEGORIAS_PLANO,0)),"Não classificado"))</f>
        <v/>
      </c>
      <c r="AH1689" s="9">
        <f>IF($G1689="","",IFERROR(INDEX(GRUPOS_PLANO,MATCH($G1689,SUBCATEGORIAS_PLANO,0)),"Não classificado"))</f>
        <v/>
      </c>
      <c r="AI1689" s="24">
        <f>IF(OR($C1689="",$X1689="Pago",$X1689="Recebido",$X1689="Cancelado"),"",$C1689-TODAY())</f>
        <v/>
      </c>
      <c r="AJ1689" s="24">
        <f>IF(OR($C1689="",$X1689="Pago",$X1689="Recebido",$X1689="Cancelado"),0,MAX(0,TODAY()-$C1689))</f>
        <v/>
      </c>
      <c r="AK1689" s="24">
        <f>IF($D1689="","",$D1689-$B1689)</f>
        <v/>
      </c>
      <c r="AL1689" s="18">
        <f>IF(OR($D1689="",$B1689=""),"",ROUND(N($R1689)*($D1689-$B1689),2))</f>
        <v/>
      </c>
      <c r="AM1689" s="17">
        <f>IF(AND($E1689="Saída",$W1689&gt;0,$C1689&lt;&gt;""),$C1689+ROW()/1000000,"")</f>
        <v/>
      </c>
      <c r="AN1689" s="17">
        <f>IF(AND($E1689="Entrada",$W1689&gt;0,$C1689&lt;&gt;""),$C1689+ROW()/1000000,"")</f>
        <v/>
      </c>
      <c r="AO1689" s="9">
        <f>IF(COUNTA($B1689:$R1689)=0,"",IF(AND($I1689&lt;&gt;"",COUNTIF(CLIENTES_NOMES,$I1689)+COUNTIF(CLIENTES_FANTASIA,$I1689)+COUNTIF(FORNECEDORES_NOMES,$I1689)+COUNTIF(FORNECEDORES_FANTASIA,$I1689)=0),"⚠ Cliente/Fornecedor não cadastrado",IF(AND($G1689&lt;&gt;"",COUNTIF(SUBCATEGORIAS_PLANO,$G1689)=0),"⚠ Subcategoria fora do plano de contas",IF(OR($Q1689="",N($Q1689)=0),"⚠ Valor previsto não informado",IF(AND(OR($X1689="Pago",$X1689="Recebido"),$D1689=""),"⚠ Status pago/recebido sem data",IF(AND($D1689&lt;&gt;"",N($R1689)=0),"⚠ Data de pagamento sem valor realizado",IF(AND(N($P1689)&gt;1,N($O1689)&gt;N($P1689)),"⚠ Nº da parcela maior que o total",IF(AND($C1689&lt;&gt;"",$B1689&lt;&gt;"",$C1689&lt;$B1689),"⚠ Vencimento anterior à competência","OK"))))))))</f>
        <v/>
      </c>
    </row>
    <row r="1690">
      <c r="A1690" s="14" t="n"/>
      <c r="B1690" s="36" t="n"/>
      <c r="C1690" s="36" t="n"/>
      <c r="D1690" s="36" t="n"/>
      <c r="E1690" s="14" t="n"/>
      <c r="F1690" s="29" t="n"/>
      <c r="G1690" s="29" t="n"/>
      <c r="H1690" s="29" t="n"/>
      <c r="I1690" s="29" t="n"/>
      <c r="J1690" s="29" t="n"/>
      <c r="K1690" s="14" t="n"/>
      <c r="L1690" s="29" t="n"/>
      <c r="M1690" s="14" t="n"/>
      <c r="N1690" s="29" t="n"/>
      <c r="O1690" s="13" t="n"/>
      <c r="P1690" s="13" t="n"/>
      <c r="Q1690" s="35" t="n"/>
      <c r="R1690" s="35" t="n"/>
      <c r="S1690" s="35" t="n"/>
      <c r="T1690" s="35" t="n"/>
      <c r="U1690" s="35" t="n"/>
      <c r="V1690" s="18">
        <f>IF(COUNTA($B1690:$R1690)=0,"",ROUND(N($R1690)+N($S1690)+N($T1690)-N($U1690),2))</f>
        <v/>
      </c>
      <c r="W1690" s="18">
        <f>IF(COUNTA($B1690:$R1690)=0,"",IF(OR($X1690="Pago",$X1690="Recebido",$X1690="Cancelado"),0,ROUND(N($Q1690)+N($S1690)+N($T1690)-N($U1690)-N($R1690),2)))</f>
        <v/>
      </c>
      <c r="X1690" s="14" t="n"/>
      <c r="Y1690" s="17">
        <f>IF(COUNTA($B1690:$R1690)=0,"",IF($X1690="Cancelado","Cancelado",IF(OR($X1690="Pago",$X1690="Recebido"),$X1690,IF(OR($X1690="Parcial",N($R1690)&gt;0),"Parcial",IF($C1690="","Sem vencimento",IF($C1690&lt;TODAY(),"Vencido",IF($C1690=TODAY(),"Vence hoje",IF($C1690&lt;=TODAY()+7,"Vence em 7 dias",IF($C1690&lt;=TODAY()+30,"Vence em 30 dias","Futuro")))))))))</f>
        <v/>
      </c>
      <c r="Z1690" s="24">
        <f>IF($B1690="","",MONTH($B1690))</f>
        <v/>
      </c>
      <c r="AA1690" s="24">
        <f>IF($B1690="","",YEAR($B1690))</f>
        <v/>
      </c>
      <c r="AB1690" s="24">
        <f>IF($B1690="","",ISOWEEKNUM($B1690))</f>
        <v/>
      </c>
      <c r="AC1690" s="17">
        <f>IF($B1690="","",CHOOSE(WEEKDAY($B1690,2),"Segunda","Terça","Quarta","Quinta","Sexta","Sábado","Domingo"))</f>
        <v/>
      </c>
      <c r="AD1690" s="17">
        <f>IF($B1690="","",TEXT($B1690,"MM/AAAA"))</f>
        <v/>
      </c>
      <c r="AE1690" s="18">
        <f>IF(COUNTA($B1690:$R1690)=0,"",IF($X1690="Cancelado",0,ROUND(N($Q1690)+N($S1690)+N($T1690)-N($U1690),2)))</f>
        <v/>
      </c>
      <c r="AF1690" s="9">
        <f>IF($G1690="","",IFERROR(INDEX(LINHAS_DRE_PLANO,MATCH($G1690,SUBCATEGORIAS_PLANO,0)),"Não classificado"))</f>
        <v/>
      </c>
      <c r="AG1690" s="17">
        <f>IF($G1690="","",IFERROR(INDEX(TIPOS_FLUXO_PLANO,MATCH($G1690,SUBCATEGORIAS_PLANO,0)),"Não classificado"))</f>
        <v/>
      </c>
      <c r="AH1690" s="9">
        <f>IF($G1690="","",IFERROR(INDEX(GRUPOS_PLANO,MATCH($G1690,SUBCATEGORIAS_PLANO,0)),"Não classificado"))</f>
        <v/>
      </c>
      <c r="AI1690" s="24">
        <f>IF(OR($C1690="",$X1690="Pago",$X1690="Recebido",$X1690="Cancelado"),"",$C1690-TODAY())</f>
        <v/>
      </c>
      <c r="AJ1690" s="24">
        <f>IF(OR($C1690="",$X1690="Pago",$X1690="Recebido",$X1690="Cancelado"),0,MAX(0,TODAY()-$C1690))</f>
        <v/>
      </c>
      <c r="AK1690" s="24">
        <f>IF($D1690="","",$D1690-$B1690)</f>
        <v/>
      </c>
      <c r="AL1690" s="18">
        <f>IF(OR($D1690="",$B1690=""),"",ROUND(N($R1690)*($D1690-$B1690),2))</f>
        <v/>
      </c>
      <c r="AM1690" s="17">
        <f>IF(AND($E1690="Saída",$W1690&gt;0,$C1690&lt;&gt;""),$C1690+ROW()/1000000,"")</f>
        <v/>
      </c>
      <c r="AN1690" s="17">
        <f>IF(AND($E1690="Entrada",$W1690&gt;0,$C1690&lt;&gt;""),$C1690+ROW()/1000000,"")</f>
        <v/>
      </c>
      <c r="AO1690" s="9">
        <f>IF(COUNTA($B1690:$R1690)=0,"",IF(AND($I1690&lt;&gt;"",COUNTIF(CLIENTES_NOMES,$I1690)+COUNTIF(CLIENTES_FANTASIA,$I1690)+COUNTIF(FORNECEDORES_NOMES,$I1690)+COUNTIF(FORNECEDORES_FANTASIA,$I1690)=0),"⚠ Cliente/Fornecedor não cadastrado",IF(AND($G1690&lt;&gt;"",COUNTIF(SUBCATEGORIAS_PLANO,$G1690)=0),"⚠ Subcategoria fora do plano de contas",IF(OR($Q1690="",N($Q1690)=0),"⚠ Valor previsto não informado",IF(AND(OR($X1690="Pago",$X1690="Recebido"),$D1690=""),"⚠ Status pago/recebido sem data",IF(AND($D1690&lt;&gt;"",N($R1690)=0),"⚠ Data de pagamento sem valor realizado",IF(AND(N($P1690)&gt;1,N($O1690)&gt;N($P1690)),"⚠ Nº da parcela maior que o total",IF(AND($C1690&lt;&gt;"",$B1690&lt;&gt;"",$C1690&lt;$B1690),"⚠ Vencimento anterior à competência","OK"))))))))</f>
        <v/>
      </c>
    </row>
    <row r="1691">
      <c r="A1691" s="14" t="n"/>
      <c r="B1691" s="36" t="n"/>
      <c r="C1691" s="36" t="n"/>
      <c r="D1691" s="36" t="n"/>
      <c r="E1691" s="14" t="n"/>
      <c r="F1691" s="29" t="n"/>
      <c r="G1691" s="29" t="n"/>
      <c r="H1691" s="29" t="n"/>
      <c r="I1691" s="29" t="n"/>
      <c r="J1691" s="29" t="n"/>
      <c r="K1691" s="14" t="n"/>
      <c r="L1691" s="29" t="n"/>
      <c r="M1691" s="14" t="n"/>
      <c r="N1691" s="29" t="n"/>
      <c r="O1691" s="13" t="n"/>
      <c r="P1691" s="13" t="n"/>
      <c r="Q1691" s="35" t="n"/>
      <c r="R1691" s="35" t="n"/>
      <c r="S1691" s="35" t="n"/>
      <c r="T1691" s="35" t="n"/>
      <c r="U1691" s="35" t="n"/>
      <c r="V1691" s="18">
        <f>IF(COUNTA($B1691:$R1691)=0,"",ROUND(N($R1691)+N($S1691)+N($T1691)-N($U1691),2))</f>
        <v/>
      </c>
      <c r="W1691" s="18">
        <f>IF(COUNTA($B1691:$R1691)=0,"",IF(OR($X1691="Pago",$X1691="Recebido",$X1691="Cancelado"),0,ROUND(N($Q1691)+N($S1691)+N($T1691)-N($U1691)-N($R1691),2)))</f>
        <v/>
      </c>
      <c r="X1691" s="14" t="n"/>
      <c r="Y1691" s="17">
        <f>IF(COUNTA($B1691:$R1691)=0,"",IF($X1691="Cancelado","Cancelado",IF(OR($X1691="Pago",$X1691="Recebido"),$X1691,IF(OR($X1691="Parcial",N($R1691)&gt;0),"Parcial",IF($C1691="","Sem vencimento",IF($C1691&lt;TODAY(),"Vencido",IF($C1691=TODAY(),"Vence hoje",IF($C1691&lt;=TODAY()+7,"Vence em 7 dias",IF($C1691&lt;=TODAY()+30,"Vence em 30 dias","Futuro")))))))))</f>
        <v/>
      </c>
      <c r="Z1691" s="24">
        <f>IF($B1691="","",MONTH($B1691))</f>
        <v/>
      </c>
      <c r="AA1691" s="24">
        <f>IF($B1691="","",YEAR($B1691))</f>
        <v/>
      </c>
      <c r="AB1691" s="24">
        <f>IF($B1691="","",ISOWEEKNUM($B1691))</f>
        <v/>
      </c>
      <c r="AC1691" s="17">
        <f>IF($B1691="","",CHOOSE(WEEKDAY($B1691,2),"Segunda","Terça","Quarta","Quinta","Sexta","Sábado","Domingo"))</f>
        <v/>
      </c>
      <c r="AD1691" s="17">
        <f>IF($B1691="","",TEXT($B1691,"MM/AAAA"))</f>
        <v/>
      </c>
      <c r="AE1691" s="18">
        <f>IF(COUNTA($B1691:$R1691)=0,"",IF($X1691="Cancelado",0,ROUND(N($Q1691)+N($S1691)+N($T1691)-N($U1691),2)))</f>
        <v/>
      </c>
      <c r="AF1691" s="9">
        <f>IF($G1691="","",IFERROR(INDEX(LINHAS_DRE_PLANO,MATCH($G1691,SUBCATEGORIAS_PLANO,0)),"Não classificado"))</f>
        <v/>
      </c>
      <c r="AG1691" s="17">
        <f>IF($G1691="","",IFERROR(INDEX(TIPOS_FLUXO_PLANO,MATCH($G1691,SUBCATEGORIAS_PLANO,0)),"Não classificado"))</f>
        <v/>
      </c>
      <c r="AH1691" s="9">
        <f>IF($G1691="","",IFERROR(INDEX(GRUPOS_PLANO,MATCH($G1691,SUBCATEGORIAS_PLANO,0)),"Não classificado"))</f>
        <v/>
      </c>
      <c r="AI1691" s="24">
        <f>IF(OR($C1691="",$X1691="Pago",$X1691="Recebido",$X1691="Cancelado"),"",$C1691-TODAY())</f>
        <v/>
      </c>
      <c r="AJ1691" s="24">
        <f>IF(OR($C1691="",$X1691="Pago",$X1691="Recebido",$X1691="Cancelado"),0,MAX(0,TODAY()-$C1691))</f>
        <v/>
      </c>
      <c r="AK1691" s="24">
        <f>IF($D1691="","",$D1691-$B1691)</f>
        <v/>
      </c>
      <c r="AL1691" s="18">
        <f>IF(OR($D1691="",$B1691=""),"",ROUND(N($R1691)*($D1691-$B1691),2))</f>
        <v/>
      </c>
      <c r="AM1691" s="17">
        <f>IF(AND($E1691="Saída",$W1691&gt;0,$C1691&lt;&gt;""),$C1691+ROW()/1000000,"")</f>
        <v/>
      </c>
      <c r="AN1691" s="17">
        <f>IF(AND($E1691="Entrada",$W1691&gt;0,$C1691&lt;&gt;""),$C1691+ROW()/1000000,"")</f>
        <v/>
      </c>
      <c r="AO1691" s="9">
        <f>IF(COUNTA($B1691:$R1691)=0,"",IF(AND($I1691&lt;&gt;"",COUNTIF(CLIENTES_NOMES,$I1691)+COUNTIF(CLIENTES_FANTASIA,$I1691)+COUNTIF(FORNECEDORES_NOMES,$I1691)+COUNTIF(FORNECEDORES_FANTASIA,$I1691)=0),"⚠ Cliente/Fornecedor não cadastrado",IF(AND($G1691&lt;&gt;"",COUNTIF(SUBCATEGORIAS_PLANO,$G1691)=0),"⚠ Subcategoria fora do plano de contas",IF(OR($Q1691="",N($Q1691)=0),"⚠ Valor previsto não informado",IF(AND(OR($X1691="Pago",$X1691="Recebido"),$D1691=""),"⚠ Status pago/recebido sem data",IF(AND($D1691&lt;&gt;"",N($R1691)=0),"⚠ Data de pagamento sem valor realizado",IF(AND(N($P1691)&gt;1,N($O1691)&gt;N($P1691)),"⚠ Nº da parcela maior que o total",IF(AND($C1691&lt;&gt;"",$B1691&lt;&gt;"",$C1691&lt;$B1691),"⚠ Vencimento anterior à competência","OK"))))))))</f>
        <v/>
      </c>
    </row>
    <row r="1692">
      <c r="A1692" s="14" t="n"/>
      <c r="B1692" s="36" t="n"/>
      <c r="C1692" s="36" t="n"/>
      <c r="D1692" s="36" t="n"/>
      <c r="E1692" s="14" t="n"/>
      <c r="F1692" s="29" t="n"/>
      <c r="G1692" s="29" t="n"/>
      <c r="H1692" s="29" t="n"/>
      <c r="I1692" s="29" t="n"/>
      <c r="J1692" s="29" t="n"/>
      <c r="K1692" s="14" t="n"/>
      <c r="L1692" s="29" t="n"/>
      <c r="M1692" s="14" t="n"/>
      <c r="N1692" s="29" t="n"/>
      <c r="O1692" s="13" t="n"/>
      <c r="P1692" s="13" t="n"/>
      <c r="Q1692" s="35" t="n"/>
      <c r="R1692" s="35" t="n"/>
      <c r="S1692" s="35" t="n"/>
      <c r="T1692" s="35" t="n"/>
      <c r="U1692" s="35" t="n"/>
      <c r="V1692" s="18">
        <f>IF(COUNTA($B1692:$R1692)=0,"",ROUND(N($R1692)+N($S1692)+N($T1692)-N($U1692),2))</f>
        <v/>
      </c>
      <c r="W1692" s="18">
        <f>IF(COUNTA($B1692:$R1692)=0,"",IF(OR($X1692="Pago",$X1692="Recebido",$X1692="Cancelado"),0,ROUND(N($Q1692)+N($S1692)+N($T1692)-N($U1692)-N($R1692),2)))</f>
        <v/>
      </c>
      <c r="X1692" s="14" t="n"/>
      <c r="Y1692" s="17">
        <f>IF(COUNTA($B1692:$R1692)=0,"",IF($X1692="Cancelado","Cancelado",IF(OR($X1692="Pago",$X1692="Recebido"),$X1692,IF(OR($X1692="Parcial",N($R1692)&gt;0),"Parcial",IF($C1692="","Sem vencimento",IF($C1692&lt;TODAY(),"Vencido",IF($C1692=TODAY(),"Vence hoje",IF($C1692&lt;=TODAY()+7,"Vence em 7 dias",IF($C1692&lt;=TODAY()+30,"Vence em 30 dias","Futuro")))))))))</f>
        <v/>
      </c>
      <c r="Z1692" s="24">
        <f>IF($B1692="","",MONTH($B1692))</f>
        <v/>
      </c>
      <c r="AA1692" s="24">
        <f>IF($B1692="","",YEAR($B1692))</f>
        <v/>
      </c>
      <c r="AB1692" s="24">
        <f>IF($B1692="","",ISOWEEKNUM($B1692))</f>
        <v/>
      </c>
      <c r="AC1692" s="17">
        <f>IF($B1692="","",CHOOSE(WEEKDAY($B1692,2),"Segunda","Terça","Quarta","Quinta","Sexta","Sábado","Domingo"))</f>
        <v/>
      </c>
      <c r="AD1692" s="17">
        <f>IF($B1692="","",TEXT($B1692,"MM/AAAA"))</f>
        <v/>
      </c>
      <c r="AE1692" s="18">
        <f>IF(COUNTA($B1692:$R1692)=0,"",IF($X1692="Cancelado",0,ROUND(N($Q1692)+N($S1692)+N($T1692)-N($U1692),2)))</f>
        <v/>
      </c>
      <c r="AF1692" s="9">
        <f>IF($G1692="","",IFERROR(INDEX(LINHAS_DRE_PLANO,MATCH($G1692,SUBCATEGORIAS_PLANO,0)),"Não classificado"))</f>
        <v/>
      </c>
      <c r="AG1692" s="17">
        <f>IF($G1692="","",IFERROR(INDEX(TIPOS_FLUXO_PLANO,MATCH($G1692,SUBCATEGORIAS_PLANO,0)),"Não classificado"))</f>
        <v/>
      </c>
      <c r="AH1692" s="9">
        <f>IF($G1692="","",IFERROR(INDEX(GRUPOS_PLANO,MATCH($G1692,SUBCATEGORIAS_PLANO,0)),"Não classificado"))</f>
        <v/>
      </c>
      <c r="AI1692" s="24">
        <f>IF(OR($C1692="",$X1692="Pago",$X1692="Recebido",$X1692="Cancelado"),"",$C1692-TODAY())</f>
        <v/>
      </c>
      <c r="AJ1692" s="24">
        <f>IF(OR($C1692="",$X1692="Pago",$X1692="Recebido",$X1692="Cancelado"),0,MAX(0,TODAY()-$C1692))</f>
        <v/>
      </c>
      <c r="AK1692" s="24">
        <f>IF($D1692="","",$D1692-$B1692)</f>
        <v/>
      </c>
      <c r="AL1692" s="18">
        <f>IF(OR($D1692="",$B1692=""),"",ROUND(N($R1692)*($D1692-$B1692),2))</f>
        <v/>
      </c>
      <c r="AM1692" s="17">
        <f>IF(AND($E1692="Saída",$W1692&gt;0,$C1692&lt;&gt;""),$C1692+ROW()/1000000,"")</f>
        <v/>
      </c>
      <c r="AN1692" s="17">
        <f>IF(AND($E1692="Entrada",$W1692&gt;0,$C1692&lt;&gt;""),$C1692+ROW()/1000000,"")</f>
        <v/>
      </c>
      <c r="AO1692" s="9">
        <f>IF(COUNTA($B1692:$R1692)=0,"",IF(AND($I1692&lt;&gt;"",COUNTIF(CLIENTES_NOMES,$I1692)+COUNTIF(CLIENTES_FANTASIA,$I1692)+COUNTIF(FORNECEDORES_NOMES,$I1692)+COUNTIF(FORNECEDORES_FANTASIA,$I1692)=0),"⚠ Cliente/Fornecedor não cadastrado",IF(AND($G1692&lt;&gt;"",COUNTIF(SUBCATEGORIAS_PLANO,$G1692)=0),"⚠ Subcategoria fora do plano de contas",IF(OR($Q1692="",N($Q1692)=0),"⚠ Valor previsto não informado",IF(AND(OR($X1692="Pago",$X1692="Recebido"),$D1692=""),"⚠ Status pago/recebido sem data",IF(AND($D1692&lt;&gt;"",N($R1692)=0),"⚠ Data de pagamento sem valor realizado",IF(AND(N($P1692)&gt;1,N($O1692)&gt;N($P1692)),"⚠ Nº da parcela maior que o total",IF(AND($C1692&lt;&gt;"",$B1692&lt;&gt;"",$C1692&lt;$B1692),"⚠ Vencimento anterior à competência","OK"))))))))</f>
        <v/>
      </c>
    </row>
    <row r="1693">
      <c r="A1693" s="14" t="n"/>
      <c r="B1693" s="36" t="n"/>
      <c r="C1693" s="36" t="n"/>
      <c r="D1693" s="36" t="n"/>
      <c r="E1693" s="14" t="n"/>
      <c r="F1693" s="29" t="n"/>
      <c r="G1693" s="29" t="n"/>
      <c r="H1693" s="29" t="n"/>
      <c r="I1693" s="29" t="n"/>
      <c r="J1693" s="29" t="n"/>
      <c r="K1693" s="14" t="n"/>
      <c r="L1693" s="29" t="n"/>
      <c r="M1693" s="14" t="n"/>
      <c r="N1693" s="29" t="n"/>
      <c r="O1693" s="13" t="n"/>
      <c r="P1693" s="13" t="n"/>
      <c r="Q1693" s="35" t="n"/>
      <c r="R1693" s="35" t="n"/>
      <c r="S1693" s="35" t="n"/>
      <c r="T1693" s="35" t="n"/>
      <c r="U1693" s="35" t="n"/>
      <c r="V1693" s="18">
        <f>IF(COUNTA($B1693:$R1693)=0,"",ROUND(N($R1693)+N($S1693)+N($T1693)-N($U1693),2))</f>
        <v/>
      </c>
      <c r="W1693" s="18">
        <f>IF(COUNTA($B1693:$R1693)=0,"",IF(OR($X1693="Pago",$X1693="Recebido",$X1693="Cancelado"),0,ROUND(N($Q1693)+N($S1693)+N($T1693)-N($U1693)-N($R1693),2)))</f>
        <v/>
      </c>
      <c r="X1693" s="14" t="n"/>
      <c r="Y1693" s="17">
        <f>IF(COUNTA($B1693:$R1693)=0,"",IF($X1693="Cancelado","Cancelado",IF(OR($X1693="Pago",$X1693="Recebido"),$X1693,IF(OR($X1693="Parcial",N($R1693)&gt;0),"Parcial",IF($C1693="","Sem vencimento",IF($C1693&lt;TODAY(),"Vencido",IF($C1693=TODAY(),"Vence hoje",IF($C1693&lt;=TODAY()+7,"Vence em 7 dias",IF($C1693&lt;=TODAY()+30,"Vence em 30 dias","Futuro")))))))))</f>
        <v/>
      </c>
      <c r="Z1693" s="24">
        <f>IF($B1693="","",MONTH($B1693))</f>
        <v/>
      </c>
      <c r="AA1693" s="24">
        <f>IF($B1693="","",YEAR($B1693))</f>
        <v/>
      </c>
      <c r="AB1693" s="24">
        <f>IF($B1693="","",ISOWEEKNUM($B1693))</f>
        <v/>
      </c>
      <c r="AC1693" s="17">
        <f>IF($B1693="","",CHOOSE(WEEKDAY($B1693,2),"Segunda","Terça","Quarta","Quinta","Sexta","Sábado","Domingo"))</f>
        <v/>
      </c>
      <c r="AD1693" s="17">
        <f>IF($B1693="","",TEXT($B1693,"MM/AAAA"))</f>
        <v/>
      </c>
      <c r="AE1693" s="18">
        <f>IF(COUNTA($B1693:$R1693)=0,"",IF($X1693="Cancelado",0,ROUND(N($Q1693)+N($S1693)+N($T1693)-N($U1693),2)))</f>
        <v/>
      </c>
      <c r="AF1693" s="9">
        <f>IF($G1693="","",IFERROR(INDEX(LINHAS_DRE_PLANO,MATCH($G1693,SUBCATEGORIAS_PLANO,0)),"Não classificado"))</f>
        <v/>
      </c>
      <c r="AG1693" s="17">
        <f>IF($G1693="","",IFERROR(INDEX(TIPOS_FLUXO_PLANO,MATCH($G1693,SUBCATEGORIAS_PLANO,0)),"Não classificado"))</f>
        <v/>
      </c>
      <c r="AH1693" s="9">
        <f>IF($G1693="","",IFERROR(INDEX(GRUPOS_PLANO,MATCH($G1693,SUBCATEGORIAS_PLANO,0)),"Não classificado"))</f>
        <v/>
      </c>
      <c r="AI1693" s="24">
        <f>IF(OR($C1693="",$X1693="Pago",$X1693="Recebido",$X1693="Cancelado"),"",$C1693-TODAY())</f>
        <v/>
      </c>
      <c r="AJ1693" s="24">
        <f>IF(OR($C1693="",$X1693="Pago",$X1693="Recebido",$X1693="Cancelado"),0,MAX(0,TODAY()-$C1693))</f>
        <v/>
      </c>
      <c r="AK1693" s="24">
        <f>IF($D1693="","",$D1693-$B1693)</f>
        <v/>
      </c>
      <c r="AL1693" s="18">
        <f>IF(OR($D1693="",$B1693=""),"",ROUND(N($R1693)*($D1693-$B1693),2))</f>
        <v/>
      </c>
      <c r="AM1693" s="17">
        <f>IF(AND($E1693="Saída",$W1693&gt;0,$C1693&lt;&gt;""),$C1693+ROW()/1000000,"")</f>
        <v/>
      </c>
      <c r="AN1693" s="17">
        <f>IF(AND($E1693="Entrada",$W1693&gt;0,$C1693&lt;&gt;""),$C1693+ROW()/1000000,"")</f>
        <v/>
      </c>
      <c r="AO1693" s="9">
        <f>IF(COUNTA($B1693:$R1693)=0,"",IF(AND($I1693&lt;&gt;"",COUNTIF(CLIENTES_NOMES,$I1693)+COUNTIF(CLIENTES_FANTASIA,$I1693)+COUNTIF(FORNECEDORES_NOMES,$I1693)+COUNTIF(FORNECEDORES_FANTASIA,$I1693)=0),"⚠ Cliente/Fornecedor não cadastrado",IF(AND($G1693&lt;&gt;"",COUNTIF(SUBCATEGORIAS_PLANO,$G1693)=0),"⚠ Subcategoria fora do plano de contas",IF(OR($Q1693="",N($Q1693)=0),"⚠ Valor previsto não informado",IF(AND(OR($X1693="Pago",$X1693="Recebido"),$D1693=""),"⚠ Status pago/recebido sem data",IF(AND($D1693&lt;&gt;"",N($R1693)=0),"⚠ Data de pagamento sem valor realizado",IF(AND(N($P1693)&gt;1,N($O1693)&gt;N($P1693)),"⚠ Nº da parcela maior que o total",IF(AND($C1693&lt;&gt;"",$B1693&lt;&gt;"",$C1693&lt;$B1693),"⚠ Vencimento anterior à competência","OK"))))))))</f>
        <v/>
      </c>
    </row>
    <row r="1694">
      <c r="A1694" s="14" t="n"/>
      <c r="B1694" s="36" t="n"/>
      <c r="C1694" s="36" t="n"/>
      <c r="D1694" s="36" t="n"/>
      <c r="E1694" s="14" t="n"/>
      <c r="F1694" s="29" t="n"/>
      <c r="G1694" s="29" t="n"/>
      <c r="H1694" s="29" t="n"/>
      <c r="I1694" s="29" t="n"/>
      <c r="J1694" s="29" t="n"/>
      <c r="K1694" s="14" t="n"/>
      <c r="L1694" s="29" t="n"/>
      <c r="M1694" s="14" t="n"/>
      <c r="N1694" s="29" t="n"/>
      <c r="O1694" s="13" t="n"/>
      <c r="P1694" s="13" t="n"/>
      <c r="Q1694" s="35" t="n"/>
      <c r="R1694" s="35" t="n"/>
      <c r="S1694" s="35" t="n"/>
      <c r="T1694" s="35" t="n"/>
      <c r="U1694" s="35" t="n"/>
      <c r="V1694" s="18">
        <f>IF(COUNTA($B1694:$R1694)=0,"",ROUND(N($R1694)+N($S1694)+N($T1694)-N($U1694),2))</f>
        <v/>
      </c>
      <c r="W1694" s="18">
        <f>IF(COUNTA($B1694:$R1694)=0,"",IF(OR($X1694="Pago",$X1694="Recebido",$X1694="Cancelado"),0,ROUND(N($Q1694)+N($S1694)+N($T1694)-N($U1694)-N($R1694),2)))</f>
        <v/>
      </c>
      <c r="X1694" s="14" t="n"/>
      <c r="Y1694" s="17">
        <f>IF(COUNTA($B1694:$R1694)=0,"",IF($X1694="Cancelado","Cancelado",IF(OR($X1694="Pago",$X1694="Recebido"),$X1694,IF(OR($X1694="Parcial",N($R1694)&gt;0),"Parcial",IF($C1694="","Sem vencimento",IF($C1694&lt;TODAY(),"Vencido",IF($C1694=TODAY(),"Vence hoje",IF($C1694&lt;=TODAY()+7,"Vence em 7 dias",IF($C1694&lt;=TODAY()+30,"Vence em 30 dias","Futuro")))))))))</f>
        <v/>
      </c>
      <c r="Z1694" s="24">
        <f>IF($B1694="","",MONTH($B1694))</f>
        <v/>
      </c>
      <c r="AA1694" s="24">
        <f>IF($B1694="","",YEAR($B1694))</f>
        <v/>
      </c>
      <c r="AB1694" s="24">
        <f>IF($B1694="","",ISOWEEKNUM($B1694))</f>
        <v/>
      </c>
      <c r="AC1694" s="17">
        <f>IF($B1694="","",CHOOSE(WEEKDAY($B1694,2),"Segunda","Terça","Quarta","Quinta","Sexta","Sábado","Domingo"))</f>
        <v/>
      </c>
      <c r="AD1694" s="17">
        <f>IF($B1694="","",TEXT($B1694,"MM/AAAA"))</f>
        <v/>
      </c>
      <c r="AE1694" s="18">
        <f>IF(COUNTA($B1694:$R1694)=0,"",IF($X1694="Cancelado",0,ROUND(N($Q1694)+N($S1694)+N($T1694)-N($U1694),2)))</f>
        <v/>
      </c>
      <c r="AF1694" s="9">
        <f>IF($G1694="","",IFERROR(INDEX(LINHAS_DRE_PLANO,MATCH($G1694,SUBCATEGORIAS_PLANO,0)),"Não classificado"))</f>
        <v/>
      </c>
      <c r="AG1694" s="17">
        <f>IF($G1694="","",IFERROR(INDEX(TIPOS_FLUXO_PLANO,MATCH($G1694,SUBCATEGORIAS_PLANO,0)),"Não classificado"))</f>
        <v/>
      </c>
      <c r="AH1694" s="9">
        <f>IF($G1694="","",IFERROR(INDEX(GRUPOS_PLANO,MATCH($G1694,SUBCATEGORIAS_PLANO,0)),"Não classificado"))</f>
        <v/>
      </c>
      <c r="AI1694" s="24">
        <f>IF(OR($C1694="",$X1694="Pago",$X1694="Recebido",$X1694="Cancelado"),"",$C1694-TODAY())</f>
        <v/>
      </c>
      <c r="AJ1694" s="24">
        <f>IF(OR($C1694="",$X1694="Pago",$X1694="Recebido",$X1694="Cancelado"),0,MAX(0,TODAY()-$C1694))</f>
        <v/>
      </c>
      <c r="AK1694" s="24">
        <f>IF($D1694="","",$D1694-$B1694)</f>
        <v/>
      </c>
      <c r="AL1694" s="18">
        <f>IF(OR($D1694="",$B1694=""),"",ROUND(N($R1694)*($D1694-$B1694),2))</f>
        <v/>
      </c>
      <c r="AM1694" s="17">
        <f>IF(AND($E1694="Saída",$W1694&gt;0,$C1694&lt;&gt;""),$C1694+ROW()/1000000,"")</f>
        <v/>
      </c>
      <c r="AN1694" s="17">
        <f>IF(AND($E1694="Entrada",$W1694&gt;0,$C1694&lt;&gt;""),$C1694+ROW()/1000000,"")</f>
        <v/>
      </c>
      <c r="AO1694" s="9">
        <f>IF(COUNTA($B1694:$R1694)=0,"",IF(AND($I1694&lt;&gt;"",COUNTIF(CLIENTES_NOMES,$I1694)+COUNTIF(CLIENTES_FANTASIA,$I1694)+COUNTIF(FORNECEDORES_NOMES,$I1694)+COUNTIF(FORNECEDORES_FANTASIA,$I1694)=0),"⚠ Cliente/Fornecedor não cadastrado",IF(AND($G1694&lt;&gt;"",COUNTIF(SUBCATEGORIAS_PLANO,$G1694)=0),"⚠ Subcategoria fora do plano de contas",IF(OR($Q1694="",N($Q1694)=0),"⚠ Valor previsto não informado",IF(AND(OR($X1694="Pago",$X1694="Recebido"),$D1694=""),"⚠ Status pago/recebido sem data",IF(AND($D1694&lt;&gt;"",N($R1694)=0),"⚠ Data de pagamento sem valor realizado",IF(AND(N($P1694)&gt;1,N($O1694)&gt;N($P1694)),"⚠ Nº da parcela maior que o total",IF(AND($C1694&lt;&gt;"",$B1694&lt;&gt;"",$C1694&lt;$B1694),"⚠ Vencimento anterior à competência","OK"))))))))</f>
        <v/>
      </c>
    </row>
    <row r="1695">
      <c r="A1695" s="14" t="n"/>
      <c r="B1695" s="36" t="n"/>
      <c r="C1695" s="36" t="n"/>
      <c r="D1695" s="36" t="n"/>
      <c r="E1695" s="14" t="n"/>
      <c r="F1695" s="29" t="n"/>
      <c r="G1695" s="29" t="n"/>
      <c r="H1695" s="29" t="n"/>
      <c r="I1695" s="29" t="n"/>
      <c r="J1695" s="29" t="n"/>
      <c r="K1695" s="14" t="n"/>
      <c r="L1695" s="29" t="n"/>
      <c r="M1695" s="14" t="n"/>
      <c r="N1695" s="29" t="n"/>
      <c r="O1695" s="13" t="n"/>
      <c r="P1695" s="13" t="n"/>
      <c r="Q1695" s="35" t="n"/>
      <c r="R1695" s="35" t="n"/>
      <c r="S1695" s="35" t="n"/>
      <c r="T1695" s="35" t="n"/>
      <c r="U1695" s="35" t="n"/>
      <c r="V1695" s="18">
        <f>IF(COUNTA($B1695:$R1695)=0,"",ROUND(N($R1695)+N($S1695)+N($T1695)-N($U1695),2))</f>
        <v/>
      </c>
      <c r="W1695" s="18">
        <f>IF(COUNTA($B1695:$R1695)=0,"",IF(OR($X1695="Pago",$X1695="Recebido",$X1695="Cancelado"),0,ROUND(N($Q1695)+N($S1695)+N($T1695)-N($U1695)-N($R1695),2)))</f>
        <v/>
      </c>
      <c r="X1695" s="14" t="n"/>
      <c r="Y1695" s="17">
        <f>IF(COUNTA($B1695:$R1695)=0,"",IF($X1695="Cancelado","Cancelado",IF(OR($X1695="Pago",$X1695="Recebido"),$X1695,IF(OR($X1695="Parcial",N($R1695)&gt;0),"Parcial",IF($C1695="","Sem vencimento",IF($C1695&lt;TODAY(),"Vencido",IF($C1695=TODAY(),"Vence hoje",IF($C1695&lt;=TODAY()+7,"Vence em 7 dias",IF($C1695&lt;=TODAY()+30,"Vence em 30 dias","Futuro")))))))))</f>
        <v/>
      </c>
      <c r="Z1695" s="24">
        <f>IF($B1695="","",MONTH($B1695))</f>
        <v/>
      </c>
      <c r="AA1695" s="24">
        <f>IF($B1695="","",YEAR($B1695))</f>
        <v/>
      </c>
      <c r="AB1695" s="24">
        <f>IF($B1695="","",ISOWEEKNUM($B1695))</f>
        <v/>
      </c>
      <c r="AC1695" s="17">
        <f>IF($B1695="","",CHOOSE(WEEKDAY($B1695,2),"Segunda","Terça","Quarta","Quinta","Sexta","Sábado","Domingo"))</f>
        <v/>
      </c>
      <c r="AD1695" s="17">
        <f>IF($B1695="","",TEXT($B1695,"MM/AAAA"))</f>
        <v/>
      </c>
      <c r="AE1695" s="18">
        <f>IF(COUNTA($B1695:$R1695)=0,"",IF($X1695="Cancelado",0,ROUND(N($Q1695)+N($S1695)+N($T1695)-N($U1695),2)))</f>
        <v/>
      </c>
      <c r="AF1695" s="9">
        <f>IF($G1695="","",IFERROR(INDEX(LINHAS_DRE_PLANO,MATCH($G1695,SUBCATEGORIAS_PLANO,0)),"Não classificado"))</f>
        <v/>
      </c>
      <c r="AG1695" s="17">
        <f>IF($G1695="","",IFERROR(INDEX(TIPOS_FLUXO_PLANO,MATCH($G1695,SUBCATEGORIAS_PLANO,0)),"Não classificado"))</f>
        <v/>
      </c>
      <c r="AH1695" s="9">
        <f>IF($G1695="","",IFERROR(INDEX(GRUPOS_PLANO,MATCH($G1695,SUBCATEGORIAS_PLANO,0)),"Não classificado"))</f>
        <v/>
      </c>
      <c r="AI1695" s="24">
        <f>IF(OR($C1695="",$X1695="Pago",$X1695="Recebido",$X1695="Cancelado"),"",$C1695-TODAY())</f>
        <v/>
      </c>
      <c r="AJ1695" s="24">
        <f>IF(OR($C1695="",$X1695="Pago",$X1695="Recebido",$X1695="Cancelado"),0,MAX(0,TODAY()-$C1695))</f>
        <v/>
      </c>
      <c r="AK1695" s="24">
        <f>IF($D1695="","",$D1695-$B1695)</f>
        <v/>
      </c>
      <c r="AL1695" s="18">
        <f>IF(OR($D1695="",$B1695=""),"",ROUND(N($R1695)*($D1695-$B1695),2))</f>
        <v/>
      </c>
      <c r="AM1695" s="17">
        <f>IF(AND($E1695="Saída",$W1695&gt;0,$C1695&lt;&gt;""),$C1695+ROW()/1000000,"")</f>
        <v/>
      </c>
      <c r="AN1695" s="17">
        <f>IF(AND($E1695="Entrada",$W1695&gt;0,$C1695&lt;&gt;""),$C1695+ROW()/1000000,"")</f>
        <v/>
      </c>
      <c r="AO1695" s="9">
        <f>IF(COUNTA($B1695:$R1695)=0,"",IF(AND($I1695&lt;&gt;"",COUNTIF(CLIENTES_NOMES,$I1695)+COUNTIF(CLIENTES_FANTASIA,$I1695)+COUNTIF(FORNECEDORES_NOMES,$I1695)+COUNTIF(FORNECEDORES_FANTASIA,$I1695)=0),"⚠ Cliente/Fornecedor não cadastrado",IF(AND($G1695&lt;&gt;"",COUNTIF(SUBCATEGORIAS_PLANO,$G1695)=0),"⚠ Subcategoria fora do plano de contas",IF(OR($Q1695="",N($Q1695)=0),"⚠ Valor previsto não informado",IF(AND(OR($X1695="Pago",$X1695="Recebido"),$D1695=""),"⚠ Status pago/recebido sem data",IF(AND($D1695&lt;&gt;"",N($R1695)=0),"⚠ Data de pagamento sem valor realizado",IF(AND(N($P1695)&gt;1,N($O1695)&gt;N($P1695)),"⚠ Nº da parcela maior que o total",IF(AND($C1695&lt;&gt;"",$B1695&lt;&gt;"",$C1695&lt;$B1695),"⚠ Vencimento anterior à competência","OK"))))))))</f>
        <v/>
      </c>
    </row>
    <row r="1696">
      <c r="A1696" s="14" t="n"/>
      <c r="B1696" s="36" t="n"/>
      <c r="C1696" s="36" t="n"/>
      <c r="D1696" s="36" t="n"/>
      <c r="E1696" s="14" t="n"/>
      <c r="F1696" s="29" t="n"/>
      <c r="G1696" s="29" t="n"/>
      <c r="H1696" s="29" t="n"/>
      <c r="I1696" s="29" t="n"/>
      <c r="J1696" s="29" t="n"/>
      <c r="K1696" s="14" t="n"/>
      <c r="L1696" s="29" t="n"/>
      <c r="M1696" s="14" t="n"/>
      <c r="N1696" s="29" t="n"/>
      <c r="O1696" s="13" t="n"/>
      <c r="P1696" s="13" t="n"/>
      <c r="Q1696" s="35" t="n"/>
      <c r="R1696" s="35" t="n"/>
      <c r="S1696" s="35" t="n"/>
      <c r="T1696" s="35" t="n"/>
      <c r="U1696" s="35" t="n"/>
      <c r="V1696" s="18">
        <f>IF(COUNTA($B1696:$R1696)=0,"",ROUND(N($R1696)+N($S1696)+N($T1696)-N($U1696),2))</f>
        <v/>
      </c>
      <c r="W1696" s="18">
        <f>IF(COUNTA($B1696:$R1696)=0,"",IF(OR($X1696="Pago",$X1696="Recebido",$X1696="Cancelado"),0,ROUND(N($Q1696)+N($S1696)+N($T1696)-N($U1696)-N($R1696),2)))</f>
        <v/>
      </c>
      <c r="X1696" s="14" t="n"/>
      <c r="Y1696" s="17">
        <f>IF(COUNTA($B1696:$R1696)=0,"",IF($X1696="Cancelado","Cancelado",IF(OR($X1696="Pago",$X1696="Recebido"),$X1696,IF(OR($X1696="Parcial",N($R1696)&gt;0),"Parcial",IF($C1696="","Sem vencimento",IF($C1696&lt;TODAY(),"Vencido",IF($C1696=TODAY(),"Vence hoje",IF($C1696&lt;=TODAY()+7,"Vence em 7 dias",IF($C1696&lt;=TODAY()+30,"Vence em 30 dias","Futuro")))))))))</f>
        <v/>
      </c>
      <c r="Z1696" s="24">
        <f>IF($B1696="","",MONTH($B1696))</f>
        <v/>
      </c>
      <c r="AA1696" s="24">
        <f>IF($B1696="","",YEAR($B1696))</f>
        <v/>
      </c>
      <c r="AB1696" s="24">
        <f>IF($B1696="","",ISOWEEKNUM($B1696))</f>
        <v/>
      </c>
      <c r="AC1696" s="17">
        <f>IF($B1696="","",CHOOSE(WEEKDAY($B1696,2),"Segunda","Terça","Quarta","Quinta","Sexta","Sábado","Domingo"))</f>
        <v/>
      </c>
      <c r="AD1696" s="17">
        <f>IF($B1696="","",TEXT($B1696,"MM/AAAA"))</f>
        <v/>
      </c>
      <c r="AE1696" s="18">
        <f>IF(COUNTA($B1696:$R1696)=0,"",IF($X1696="Cancelado",0,ROUND(N($Q1696)+N($S1696)+N($T1696)-N($U1696),2)))</f>
        <v/>
      </c>
      <c r="AF1696" s="9">
        <f>IF($G1696="","",IFERROR(INDEX(LINHAS_DRE_PLANO,MATCH($G1696,SUBCATEGORIAS_PLANO,0)),"Não classificado"))</f>
        <v/>
      </c>
      <c r="AG1696" s="17">
        <f>IF($G1696="","",IFERROR(INDEX(TIPOS_FLUXO_PLANO,MATCH($G1696,SUBCATEGORIAS_PLANO,0)),"Não classificado"))</f>
        <v/>
      </c>
      <c r="AH1696" s="9">
        <f>IF($G1696="","",IFERROR(INDEX(GRUPOS_PLANO,MATCH($G1696,SUBCATEGORIAS_PLANO,0)),"Não classificado"))</f>
        <v/>
      </c>
      <c r="AI1696" s="24">
        <f>IF(OR($C1696="",$X1696="Pago",$X1696="Recebido",$X1696="Cancelado"),"",$C1696-TODAY())</f>
        <v/>
      </c>
      <c r="AJ1696" s="24">
        <f>IF(OR($C1696="",$X1696="Pago",$X1696="Recebido",$X1696="Cancelado"),0,MAX(0,TODAY()-$C1696))</f>
        <v/>
      </c>
      <c r="AK1696" s="24">
        <f>IF($D1696="","",$D1696-$B1696)</f>
        <v/>
      </c>
      <c r="AL1696" s="18">
        <f>IF(OR($D1696="",$B1696=""),"",ROUND(N($R1696)*($D1696-$B1696),2))</f>
        <v/>
      </c>
      <c r="AM1696" s="17">
        <f>IF(AND($E1696="Saída",$W1696&gt;0,$C1696&lt;&gt;""),$C1696+ROW()/1000000,"")</f>
        <v/>
      </c>
      <c r="AN1696" s="17">
        <f>IF(AND($E1696="Entrada",$W1696&gt;0,$C1696&lt;&gt;""),$C1696+ROW()/1000000,"")</f>
        <v/>
      </c>
      <c r="AO1696" s="9">
        <f>IF(COUNTA($B1696:$R1696)=0,"",IF(AND($I1696&lt;&gt;"",COUNTIF(CLIENTES_NOMES,$I1696)+COUNTIF(CLIENTES_FANTASIA,$I1696)+COUNTIF(FORNECEDORES_NOMES,$I1696)+COUNTIF(FORNECEDORES_FANTASIA,$I1696)=0),"⚠ Cliente/Fornecedor não cadastrado",IF(AND($G1696&lt;&gt;"",COUNTIF(SUBCATEGORIAS_PLANO,$G1696)=0),"⚠ Subcategoria fora do plano de contas",IF(OR($Q1696="",N($Q1696)=0),"⚠ Valor previsto não informado",IF(AND(OR($X1696="Pago",$X1696="Recebido"),$D1696=""),"⚠ Status pago/recebido sem data",IF(AND($D1696&lt;&gt;"",N($R1696)=0),"⚠ Data de pagamento sem valor realizado",IF(AND(N($P1696)&gt;1,N($O1696)&gt;N($P1696)),"⚠ Nº da parcela maior que o total",IF(AND($C1696&lt;&gt;"",$B1696&lt;&gt;"",$C1696&lt;$B1696),"⚠ Vencimento anterior à competência","OK"))))))))</f>
        <v/>
      </c>
    </row>
    <row r="1697">
      <c r="A1697" s="14" t="n"/>
      <c r="B1697" s="36" t="n"/>
      <c r="C1697" s="36" t="n"/>
      <c r="D1697" s="36" t="n"/>
      <c r="E1697" s="14" t="n"/>
      <c r="F1697" s="29" t="n"/>
      <c r="G1697" s="29" t="n"/>
      <c r="H1697" s="29" t="n"/>
      <c r="I1697" s="29" t="n"/>
      <c r="J1697" s="29" t="n"/>
      <c r="K1697" s="14" t="n"/>
      <c r="L1697" s="29" t="n"/>
      <c r="M1697" s="14" t="n"/>
      <c r="N1697" s="29" t="n"/>
      <c r="O1697" s="13" t="n"/>
      <c r="P1697" s="13" t="n"/>
      <c r="Q1697" s="35" t="n"/>
      <c r="R1697" s="35" t="n"/>
      <c r="S1697" s="35" t="n"/>
      <c r="T1697" s="35" t="n"/>
      <c r="U1697" s="35" t="n"/>
      <c r="V1697" s="18">
        <f>IF(COUNTA($B1697:$R1697)=0,"",ROUND(N($R1697)+N($S1697)+N($T1697)-N($U1697),2))</f>
        <v/>
      </c>
      <c r="W1697" s="18">
        <f>IF(COUNTA($B1697:$R1697)=0,"",IF(OR($X1697="Pago",$X1697="Recebido",$X1697="Cancelado"),0,ROUND(N($Q1697)+N($S1697)+N($T1697)-N($U1697)-N($R1697),2)))</f>
        <v/>
      </c>
      <c r="X1697" s="14" t="n"/>
      <c r="Y1697" s="17">
        <f>IF(COUNTA($B1697:$R1697)=0,"",IF($X1697="Cancelado","Cancelado",IF(OR($X1697="Pago",$X1697="Recebido"),$X1697,IF(OR($X1697="Parcial",N($R1697)&gt;0),"Parcial",IF($C1697="","Sem vencimento",IF($C1697&lt;TODAY(),"Vencido",IF($C1697=TODAY(),"Vence hoje",IF($C1697&lt;=TODAY()+7,"Vence em 7 dias",IF($C1697&lt;=TODAY()+30,"Vence em 30 dias","Futuro")))))))))</f>
        <v/>
      </c>
      <c r="Z1697" s="24">
        <f>IF($B1697="","",MONTH($B1697))</f>
        <v/>
      </c>
      <c r="AA1697" s="24">
        <f>IF($B1697="","",YEAR($B1697))</f>
        <v/>
      </c>
      <c r="AB1697" s="24">
        <f>IF($B1697="","",ISOWEEKNUM($B1697))</f>
        <v/>
      </c>
      <c r="AC1697" s="17">
        <f>IF($B1697="","",CHOOSE(WEEKDAY($B1697,2),"Segunda","Terça","Quarta","Quinta","Sexta","Sábado","Domingo"))</f>
        <v/>
      </c>
      <c r="AD1697" s="17">
        <f>IF($B1697="","",TEXT($B1697,"MM/AAAA"))</f>
        <v/>
      </c>
      <c r="AE1697" s="18">
        <f>IF(COUNTA($B1697:$R1697)=0,"",IF($X1697="Cancelado",0,ROUND(N($Q1697)+N($S1697)+N($T1697)-N($U1697),2)))</f>
        <v/>
      </c>
      <c r="AF1697" s="9">
        <f>IF($G1697="","",IFERROR(INDEX(LINHAS_DRE_PLANO,MATCH($G1697,SUBCATEGORIAS_PLANO,0)),"Não classificado"))</f>
        <v/>
      </c>
      <c r="AG1697" s="17">
        <f>IF($G1697="","",IFERROR(INDEX(TIPOS_FLUXO_PLANO,MATCH($G1697,SUBCATEGORIAS_PLANO,0)),"Não classificado"))</f>
        <v/>
      </c>
      <c r="AH1697" s="9">
        <f>IF($G1697="","",IFERROR(INDEX(GRUPOS_PLANO,MATCH($G1697,SUBCATEGORIAS_PLANO,0)),"Não classificado"))</f>
        <v/>
      </c>
      <c r="AI1697" s="24">
        <f>IF(OR($C1697="",$X1697="Pago",$X1697="Recebido",$X1697="Cancelado"),"",$C1697-TODAY())</f>
        <v/>
      </c>
      <c r="AJ1697" s="24">
        <f>IF(OR($C1697="",$X1697="Pago",$X1697="Recebido",$X1697="Cancelado"),0,MAX(0,TODAY()-$C1697))</f>
        <v/>
      </c>
      <c r="AK1697" s="24">
        <f>IF($D1697="","",$D1697-$B1697)</f>
        <v/>
      </c>
      <c r="AL1697" s="18">
        <f>IF(OR($D1697="",$B1697=""),"",ROUND(N($R1697)*($D1697-$B1697),2))</f>
        <v/>
      </c>
      <c r="AM1697" s="17">
        <f>IF(AND($E1697="Saída",$W1697&gt;0,$C1697&lt;&gt;""),$C1697+ROW()/1000000,"")</f>
        <v/>
      </c>
      <c r="AN1697" s="17">
        <f>IF(AND($E1697="Entrada",$W1697&gt;0,$C1697&lt;&gt;""),$C1697+ROW()/1000000,"")</f>
        <v/>
      </c>
      <c r="AO1697" s="9">
        <f>IF(COUNTA($B1697:$R1697)=0,"",IF(AND($I1697&lt;&gt;"",COUNTIF(CLIENTES_NOMES,$I1697)+COUNTIF(CLIENTES_FANTASIA,$I1697)+COUNTIF(FORNECEDORES_NOMES,$I1697)+COUNTIF(FORNECEDORES_FANTASIA,$I1697)=0),"⚠ Cliente/Fornecedor não cadastrado",IF(AND($G1697&lt;&gt;"",COUNTIF(SUBCATEGORIAS_PLANO,$G1697)=0),"⚠ Subcategoria fora do plano de contas",IF(OR($Q1697="",N($Q1697)=0),"⚠ Valor previsto não informado",IF(AND(OR($X1697="Pago",$X1697="Recebido"),$D1697=""),"⚠ Status pago/recebido sem data",IF(AND($D1697&lt;&gt;"",N($R1697)=0),"⚠ Data de pagamento sem valor realizado",IF(AND(N($P1697)&gt;1,N($O1697)&gt;N($P1697)),"⚠ Nº da parcela maior que o total",IF(AND($C1697&lt;&gt;"",$B1697&lt;&gt;"",$C1697&lt;$B1697),"⚠ Vencimento anterior à competência","OK"))))))))</f>
        <v/>
      </c>
    </row>
    <row r="1698">
      <c r="A1698" s="14" t="n"/>
      <c r="B1698" s="36" t="n"/>
      <c r="C1698" s="36" t="n"/>
      <c r="D1698" s="36" t="n"/>
      <c r="E1698" s="14" t="n"/>
      <c r="F1698" s="29" t="n"/>
      <c r="G1698" s="29" t="n"/>
      <c r="H1698" s="29" t="n"/>
      <c r="I1698" s="29" t="n"/>
      <c r="J1698" s="29" t="n"/>
      <c r="K1698" s="14" t="n"/>
      <c r="L1698" s="29" t="n"/>
      <c r="M1698" s="14" t="n"/>
      <c r="N1698" s="29" t="n"/>
      <c r="O1698" s="13" t="n"/>
      <c r="P1698" s="13" t="n"/>
      <c r="Q1698" s="35" t="n"/>
      <c r="R1698" s="35" t="n"/>
      <c r="S1698" s="35" t="n"/>
      <c r="T1698" s="35" t="n"/>
      <c r="U1698" s="35" t="n"/>
      <c r="V1698" s="18">
        <f>IF(COUNTA($B1698:$R1698)=0,"",ROUND(N($R1698)+N($S1698)+N($T1698)-N($U1698),2))</f>
        <v/>
      </c>
      <c r="W1698" s="18">
        <f>IF(COUNTA($B1698:$R1698)=0,"",IF(OR($X1698="Pago",$X1698="Recebido",$X1698="Cancelado"),0,ROUND(N($Q1698)+N($S1698)+N($T1698)-N($U1698)-N($R1698),2)))</f>
        <v/>
      </c>
      <c r="X1698" s="14" t="n"/>
      <c r="Y1698" s="17">
        <f>IF(COUNTA($B1698:$R1698)=0,"",IF($X1698="Cancelado","Cancelado",IF(OR($X1698="Pago",$X1698="Recebido"),$X1698,IF(OR($X1698="Parcial",N($R1698)&gt;0),"Parcial",IF($C1698="","Sem vencimento",IF($C1698&lt;TODAY(),"Vencido",IF($C1698=TODAY(),"Vence hoje",IF($C1698&lt;=TODAY()+7,"Vence em 7 dias",IF($C1698&lt;=TODAY()+30,"Vence em 30 dias","Futuro")))))))))</f>
        <v/>
      </c>
      <c r="Z1698" s="24">
        <f>IF($B1698="","",MONTH($B1698))</f>
        <v/>
      </c>
      <c r="AA1698" s="24">
        <f>IF($B1698="","",YEAR($B1698))</f>
        <v/>
      </c>
      <c r="AB1698" s="24">
        <f>IF($B1698="","",ISOWEEKNUM($B1698))</f>
        <v/>
      </c>
      <c r="AC1698" s="17">
        <f>IF($B1698="","",CHOOSE(WEEKDAY($B1698,2),"Segunda","Terça","Quarta","Quinta","Sexta","Sábado","Domingo"))</f>
        <v/>
      </c>
      <c r="AD1698" s="17">
        <f>IF($B1698="","",TEXT($B1698,"MM/AAAA"))</f>
        <v/>
      </c>
      <c r="AE1698" s="18">
        <f>IF(COUNTA($B1698:$R1698)=0,"",IF($X1698="Cancelado",0,ROUND(N($Q1698)+N($S1698)+N($T1698)-N($U1698),2)))</f>
        <v/>
      </c>
      <c r="AF1698" s="9">
        <f>IF($G1698="","",IFERROR(INDEX(LINHAS_DRE_PLANO,MATCH($G1698,SUBCATEGORIAS_PLANO,0)),"Não classificado"))</f>
        <v/>
      </c>
      <c r="AG1698" s="17">
        <f>IF($G1698="","",IFERROR(INDEX(TIPOS_FLUXO_PLANO,MATCH($G1698,SUBCATEGORIAS_PLANO,0)),"Não classificado"))</f>
        <v/>
      </c>
      <c r="AH1698" s="9">
        <f>IF($G1698="","",IFERROR(INDEX(GRUPOS_PLANO,MATCH($G1698,SUBCATEGORIAS_PLANO,0)),"Não classificado"))</f>
        <v/>
      </c>
      <c r="AI1698" s="24">
        <f>IF(OR($C1698="",$X1698="Pago",$X1698="Recebido",$X1698="Cancelado"),"",$C1698-TODAY())</f>
        <v/>
      </c>
      <c r="AJ1698" s="24">
        <f>IF(OR($C1698="",$X1698="Pago",$X1698="Recebido",$X1698="Cancelado"),0,MAX(0,TODAY()-$C1698))</f>
        <v/>
      </c>
      <c r="AK1698" s="24">
        <f>IF($D1698="","",$D1698-$B1698)</f>
        <v/>
      </c>
      <c r="AL1698" s="18">
        <f>IF(OR($D1698="",$B1698=""),"",ROUND(N($R1698)*($D1698-$B1698),2))</f>
        <v/>
      </c>
      <c r="AM1698" s="17">
        <f>IF(AND($E1698="Saída",$W1698&gt;0,$C1698&lt;&gt;""),$C1698+ROW()/1000000,"")</f>
        <v/>
      </c>
      <c r="AN1698" s="17">
        <f>IF(AND($E1698="Entrada",$W1698&gt;0,$C1698&lt;&gt;""),$C1698+ROW()/1000000,"")</f>
        <v/>
      </c>
      <c r="AO1698" s="9">
        <f>IF(COUNTA($B1698:$R1698)=0,"",IF(AND($I1698&lt;&gt;"",COUNTIF(CLIENTES_NOMES,$I1698)+COUNTIF(CLIENTES_FANTASIA,$I1698)+COUNTIF(FORNECEDORES_NOMES,$I1698)+COUNTIF(FORNECEDORES_FANTASIA,$I1698)=0),"⚠ Cliente/Fornecedor não cadastrado",IF(AND($G1698&lt;&gt;"",COUNTIF(SUBCATEGORIAS_PLANO,$G1698)=0),"⚠ Subcategoria fora do plano de contas",IF(OR($Q1698="",N($Q1698)=0),"⚠ Valor previsto não informado",IF(AND(OR($X1698="Pago",$X1698="Recebido"),$D1698=""),"⚠ Status pago/recebido sem data",IF(AND($D1698&lt;&gt;"",N($R1698)=0),"⚠ Data de pagamento sem valor realizado",IF(AND(N($P1698)&gt;1,N($O1698)&gt;N($P1698)),"⚠ Nº da parcela maior que o total",IF(AND($C1698&lt;&gt;"",$B1698&lt;&gt;"",$C1698&lt;$B1698),"⚠ Vencimento anterior à competência","OK"))))))))</f>
        <v/>
      </c>
    </row>
    <row r="1699">
      <c r="A1699" s="14" t="n"/>
      <c r="B1699" s="36" t="n"/>
      <c r="C1699" s="36" t="n"/>
      <c r="D1699" s="36" t="n"/>
      <c r="E1699" s="14" t="n"/>
      <c r="F1699" s="29" t="n"/>
      <c r="G1699" s="29" t="n"/>
      <c r="H1699" s="29" t="n"/>
      <c r="I1699" s="29" t="n"/>
      <c r="J1699" s="29" t="n"/>
      <c r="K1699" s="14" t="n"/>
      <c r="L1699" s="29" t="n"/>
      <c r="M1699" s="14" t="n"/>
      <c r="N1699" s="29" t="n"/>
      <c r="O1699" s="13" t="n"/>
      <c r="P1699" s="13" t="n"/>
      <c r="Q1699" s="35" t="n"/>
      <c r="R1699" s="35" t="n"/>
      <c r="S1699" s="35" t="n"/>
      <c r="T1699" s="35" t="n"/>
      <c r="U1699" s="35" t="n"/>
      <c r="V1699" s="18">
        <f>IF(COUNTA($B1699:$R1699)=0,"",ROUND(N($R1699)+N($S1699)+N($T1699)-N($U1699),2))</f>
        <v/>
      </c>
      <c r="W1699" s="18">
        <f>IF(COUNTA($B1699:$R1699)=0,"",IF(OR($X1699="Pago",$X1699="Recebido",$X1699="Cancelado"),0,ROUND(N($Q1699)+N($S1699)+N($T1699)-N($U1699)-N($R1699),2)))</f>
        <v/>
      </c>
      <c r="X1699" s="14" t="n"/>
      <c r="Y1699" s="17">
        <f>IF(COUNTA($B1699:$R1699)=0,"",IF($X1699="Cancelado","Cancelado",IF(OR($X1699="Pago",$X1699="Recebido"),$X1699,IF(OR($X1699="Parcial",N($R1699)&gt;0),"Parcial",IF($C1699="","Sem vencimento",IF($C1699&lt;TODAY(),"Vencido",IF($C1699=TODAY(),"Vence hoje",IF($C1699&lt;=TODAY()+7,"Vence em 7 dias",IF($C1699&lt;=TODAY()+30,"Vence em 30 dias","Futuro")))))))))</f>
        <v/>
      </c>
      <c r="Z1699" s="24">
        <f>IF($B1699="","",MONTH($B1699))</f>
        <v/>
      </c>
      <c r="AA1699" s="24">
        <f>IF($B1699="","",YEAR($B1699))</f>
        <v/>
      </c>
      <c r="AB1699" s="24">
        <f>IF($B1699="","",ISOWEEKNUM($B1699))</f>
        <v/>
      </c>
      <c r="AC1699" s="17">
        <f>IF($B1699="","",CHOOSE(WEEKDAY($B1699,2),"Segunda","Terça","Quarta","Quinta","Sexta","Sábado","Domingo"))</f>
        <v/>
      </c>
      <c r="AD1699" s="17">
        <f>IF($B1699="","",TEXT($B1699,"MM/AAAA"))</f>
        <v/>
      </c>
      <c r="AE1699" s="18">
        <f>IF(COUNTA($B1699:$R1699)=0,"",IF($X1699="Cancelado",0,ROUND(N($Q1699)+N($S1699)+N($T1699)-N($U1699),2)))</f>
        <v/>
      </c>
      <c r="AF1699" s="9">
        <f>IF($G1699="","",IFERROR(INDEX(LINHAS_DRE_PLANO,MATCH($G1699,SUBCATEGORIAS_PLANO,0)),"Não classificado"))</f>
        <v/>
      </c>
      <c r="AG1699" s="17">
        <f>IF($G1699="","",IFERROR(INDEX(TIPOS_FLUXO_PLANO,MATCH($G1699,SUBCATEGORIAS_PLANO,0)),"Não classificado"))</f>
        <v/>
      </c>
      <c r="AH1699" s="9">
        <f>IF($G1699="","",IFERROR(INDEX(GRUPOS_PLANO,MATCH($G1699,SUBCATEGORIAS_PLANO,0)),"Não classificado"))</f>
        <v/>
      </c>
      <c r="AI1699" s="24">
        <f>IF(OR($C1699="",$X1699="Pago",$X1699="Recebido",$X1699="Cancelado"),"",$C1699-TODAY())</f>
        <v/>
      </c>
      <c r="AJ1699" s="24">
        <f>IF(OR($C1699="",$X1699="Pago",$X1699="Recebido",$X1699="Cancelado"),0,MAX(0,TODAY()-$C1699))</f>
        <v/>
      </c>
      <c r="AK1699" s="24">
        <f>IF($D1699="","",$D1699-$B1699)</f>
        <v/>
      </c>
      <c r="AL1699" s="18">
        <f>IF(OR($D1699="",$B1699=""),"",ROUND(N($R1699)*($D1699-$B1699),2))</f>
        <v/>
      </c>
      <c r="AM1699" s="17">
        <f>IF(AND($E1699="Saída",$W1699&gt;0,$C1699&lt;&gt;""),$C1699+ROW()/1000000,"")</f>
        <v/>
      </c>
      <c r="AN1699" s="17">
        <f>IF(AND($E1699="Entrada",$W1699&gt;0,$C1699&lt;&gt;""),$C1699+ROW()/1000000,"")</f>
        <v/>
      </c>
      <c r="AO1699" s="9">
        <f>IF(COUNTA($B1699:$R1699)=0,"",IF(AND($I1699&lt;&gt;"",COUNTIF(CLIENTES_NOMES,$I1699)+COUNTIF(CLIENTES_FANTASIA,$I1699)+COUNTIF(FORNECEDORES_NOMES,$I1699)+COUNTIF(FORNECEDORES_FANTASIA,$I1699)=0),"⚠ Cliente/Fornecedor não cadastrado",IF(AND($G1699&lt;&gt;"",COUNTIF(SUBCATEGORIAS_PLANO,$G1699)=0),"⚠ Subcategoria fora do plano de contas",IF(OR($Q1699="",N($Q1699)=0),"⚠ Valor previsto não informado",IF(AND(OR($X1699="Pago",$X1699="Recebido"),$D1699=""),"⚠ Status pago/recebido sem data",IF(AND($D1699&lt;&gt;"",N($R1699)=0),"⚠ Data de pagamento sem valor realizado",IF(AND(N($P1699)&gt;1,N($O1699)&gt;N($P1699)),"⚠ Nº da parcela maior que o total",IF(AND($C1699&lt;&gt;"",$B1699&lt;&gt;"",$C1699&lt;$B1699),"⚠ Vencimento anterior à competência","OK"))))))))</f>
        <v/>
      </c>
    </row>
    <row r="1700">
      <c r="A1700" s="14" t="n"/>
      <c r="B1700" s="36" t="n"/>
      <c r="C1700" s="36" t="n"/>
      <c r="D1700" s="36" t="n"/>
      <c r="E1700" s="14" t="n"/>
      <c r="F1700" s="29" t="n"/>
      <c r="G1700" s="29" t="n"/>
      <c r="H1700" s="29" t="n"/>
      <c r="I1700" s="29" t="n"/>
      <c r="J1700" s="29" t="n"/>
      <c r="K1700" s="14" t="n"/>
      <c r="L1700" s="29" t="n"/>
      <c r="M1700" s="14" t="n"/>
      <c r="N1700" s="29" t="n"/>
      <c r="O1700" s="13" t="n"/>
      <c r="P1700" s="13" t="n"/>
      <c r="Q1700" s="35" t="n"/>
      <c r="R1700" s="35" t="n"/>
      <c r="S1700" s="35" t="n"/>
      <c r="T1700" s="35" t="n"/>
      <c r="U1700" s="35" t="n"/>
      <c r="V1700" s="18">
        <f>IF(COUNTA($B1700:$R1700)=0,"",ROUND(N($R1700)+N($S1700)+N($T1700)-N($U1700),2))</f>
        <v/>
      </c>
      <c r="W1700" s="18">
        <f>IF(COUNTA($B1700:$R1700)=0,"",IF(OR($X1700="Pago",$X1700="Recebido",$X1700="Cancelado"),0,ROUND(N($Q1700)+N($S1700)+N($T1700)-N($U1700)-N($R1700),2)))</f>
        <v/>
      </c>
      <c r="X1700" s="14" t="n"/>
      <c r="Y1700" s="17">
        <f>IF(COUNTA($B1700:$R1700)=0,"",IF($X1700="Cancelado","Cancelado",IF(OR($X1700="Pago",$X1700="Recebido"),$X1700,IF(OR($X1700="Parcial",N($R1700)&gt;0),"Parcial",IF($C1700="","Sem vencimento",IF($C1700&lt;TODAY(),"Vencido",IF($C1700=TODAY(),"Vence hoje",IF($C1700&lt;=TODAY()+7,"Vence em 7 dias",IF($C1700&lt;=TODAY()+30,"Vence em 30 dias","Futuro")))))))))</f>
        <v/>
      </c>
      <c r="Z1700" s="24">
        <f>IF($B1700="","",MONTH($B1700))</f>
        <v/>
      </c>
      <c r="AA1700" s="24">
        <f>IF($B1700="","",YEAR($B1700))</f>
        <v/>
      </c>
      <c r="AB1700" s="24">
        <f>IF($B1700="","",ISOWEEKNUM($B1700))</f>
        <v/>
      </c>
      <c r="AC1700" s="17">
        <f>IF($B1700="","",CHOOSE(WEEKDAY($B1700,2),"Segunda","Terça","Quarta","Quinta","Sexta","Sábado","Domingo"))</f>
        <v/>
      </c>
      <c r="AD1700" s="17">
        <f>IF($B1700="","",TEXT($B1700,"MM/AAAA"))</f>
        <v/>
      </c>
      <c r="AE1700" s="18">
        <f>IF(COUNTA($B1700:$R1700)=0,"",IF($X1700="Cancelado",0,ROUND(N($Q1700)+N($S1700)+N($T1700)-N($U1700),2)))</f>
        <v/>
      </c>
      <c r="AF1700" s="9">
        <f>IF($G1700="","",IFERROR(INDEX(LINHAS_DRE_PLANO,MATCH($G1700,SUBCATEGORIAS_PLANO,0)),"Não classificado"))</f>
        <v/>
      </c>
      <c r="AG1700" s="17">
        <f>IF($G1700="","",IFERROR(INDEX(TIPOS_FLUXO_PLANO,MATCH($G1700,SUBCATEGORIAS_PLANO,0)),"Não classificado"))</f>
        <v/>
      </c>
      <c r="AH1700" s="9">
        <f>IF($G1700="","",IFERROR(INDEX(GRUPOS_PLANO,MATCH($G1700,SUBCATEGORIAS_PLANO,0)),"Não classificado"))</f>
        <v/>
      </c>
      <c r="AI1700" s="24">
        <f>IF(OR($C1700="",$X1700="Pago",$X1700="Recebido",$X1700="Cancelado"),"",$C1700-TODAY())</f>
        <v/>
      </c>
      <c r="AJ1700" s="24">
        <f>IF(OR($C1700="",$X1700="Pago",$X1700="Recebido",$X1700="Cancelado"),0,MAX(0,TODAY()-$C1700))</f>
        <v/>
      </c>
      <c r="AK1700" s="24">
        <f>IF($D1700="","",$D1700-$B1700)</f>
        <v/>
      </c>
      <c r="AL1700" s="18">
        <f>IF(OR($D1700="",$B1700=""),"",ROUND(N($R1700)*($D1700-$B1700),2))</f>
        <v/>
      </c>
      <c r="AM1700" s="17">
        <f>IF(AND($E1700="Saída",$W1700&gt;0,$C1700&lt;&gt;""),$C1700+ROW()/1000000,"")</f>
        <v/>
      </c>
      <c r="AN1700" s="17">
        <f>IF(AND($E1700="Entrada",$W1700&gt;0,$C1700&lt;&gt;""),$C1700+ROW()/1000000,"")</f>
        <v/>
      </c>
      <c r="AO1700" s="9">
        <f>IF(COUNTA($B1700:$R1700)=0,"",IF(AND($I1700&lt;&gt;"",COUNTIF(CLIENTES_NOMES,$I1700)+COUNTIF(CLIENTES_FANTASIA,$I1700)+COUNTIF(FORNECEDORES_NOMES,$I1700)+COUNTIF(FORNECEDORES_FANTASIA,$I1700)=0),"⚠ Cliente/Fornecedor não cadastrado",IF(AND($G1700&lt;&gt;"",COUNTIF(SUBCATEGORIAS_PLANO,$G1700)=0),"⚠ Subcategoria fora do plano de contas",IF(OR($Q1700="",N($Q1700)=0),"⚠ Valor previsto não informado",IF(AND(OR($X1700="Pago",$X1700="Recebido"),$D1700=""),"⚠ Status pago/recebido sem data",IF(AND($D1700&lt;&gt;"",N($R1700)=0),"⚠ Data de pagamento sem valor realizado",IF(AND(N($P1700)&gt;1,N($O1700)&gt;N($P1700)),"⚠ Nº da parcela maior que o total",IF(AND($C1700&lt;&gt;"",$B1700&lt;&gt;"",$C1700&lt;$B1700),"⚠ Vencimento anterior à competência","OK"))))))))</f>
        <v/>
      </c>
    </row>
    <row r="1701">
      <c r="A1701" s="14" t="n"/>
      <c r="B1701" s="36" t="n"/>
      <c r="C1701" s="36" t="n"/>
      <c r="D1701" s="36" t="n"/>
      <c r="E1701" s="14" t="n"/>
      <c r="F1701" s="29" t="n"/>
      <c r="G1701" s="29" t="n"/>
      <c r="H1701" s="29" t="n"/>
      <c r="I1701" s="29" t="n"/>
      <c r="J1701" s="29" t="n"/>
      <c r="K1701" s="14" t="n"/>
      <c r="L1701" s="29" t="n"/>
      <c r="M1701" s="14" t="n"/>
      <c r="N1701" s="29" t="n"/>
      <c r="O1701" s="13" t="n"/>
      <c r="P1701" s="13" t="n"/>
      <c r="Q1701" s="35" t="n"/>
      <c r="R1701" s="35" t="n"/>
      <c r="S1701" s="35" t="n"/>
      <c r="T1701" s="35" t="n"/>
      <c r="U1701" s="35" t="n"/>
      <c r="V1701" s="18">
        <f>IF(COUNTA($B1701:$R1701)=0,"",ROUND(N($R1701)+N($S1701)+N($T1701)-N($U1701),2))</f>
        <v/>
      </c>
      <c r="W1701" s="18">
        <f>IF(COUNTA($B1701:$R1701)=0,"",IF(OR($X1701="Pago",$X1701="Recebido",$X1701="Cancelado"),0,ROUND(N($Q1701)+N($S1701)+N($T1701)-N($U1701)-N($R1701),2)))</f>
        <v/>
      </c>
      <c r="X1701" s="14" t="n"/>
      <c r="Y1701" s="17">
        <f>IF(COUNTA($B1701:$R1701)=0,"",IF($X1701="Cancelado","Cancelado",IF(OR($X1701="Pago",$X1701="Recebido"),$X1701,IF(OR($X1701="Parcial",N($R1701)&gt;0),"Parcial",IF($C1701="","Sem vencimento",IF($C1701&lt;TODAY(),"Vencido",IF($C1701=TODAY(),"Vence hoje",IF($C1701&lt;=TODAY()+7,"Vence em 7 dias",IF($C1701&lt;=TODAY()+30,"Vence em 30 dias","Futuro")))))))))</f>
        <v/>
      </c>
      <c r="Z1701" s="24">
        <f>IF($B1701="","",MONTH($B1701))</f>
        <v/>
      </c>
      <c r="AA1701" s="24">
        <f>IF($B1701="","",YEAR($B1701))</f>
        <v/>
      </c>
      <c r="AB1701" s="24">
        <f>IF($B1701="","",ISOWEEKNUM($B1701))</f>
        <v/>
      </c>
      <c r="AC1701" s="17">
        <f>IF($B1701="","",CHOOSE(WEEKDAY($B1701,2),"Segunda","Terça","Quarta","Quinta","Sexta","Sábado","Domingo"))</f>
        <v/>
      </c>
      <c r="AD1701" s="17">
        <f>IF($B1701="","",TEXT($B1701,"MM/AAAA"))</f>
        <v/>
      </c>
      <c r="AE1701" s="18">
        <f>IF(COUNTA($B1701:$R1701)=0,"",IF($X1701="Cancelado",0,ROUND(N($Q1701)+N($S1701)+N($T1701)-N($U1701),2)))</f>
        <v/>
      </c>
      <c r="AF1701" s="9">
        <f>IF($G1701="","",IFERROR(INDEX(LINHAS_DRE_PLANO,MATCH($G1701,SUBCATEGORIAS_PLANO,0)),"Não classificado"))</f>
        <v/>
      </c>
      <c r="AG1701" s="17">
        <f>IF($G1701="","",IFERROR(INDEX(TIPOS_FLUXO_PLANO,MATCH($G1701,SUBCATEGORIAS_PLANO,0)),"Não classificado"))</f>
        <v/>
      </c>
      <c r="AH1701" s="9">
        <f>IF($G1701="","",IFERROR(INDEX(GRUPOS_PLANO,MATCH($G1701,SUBCATEGORIAS_PLANO,0)),"Não classificado"))</f>
        <v/>
      </c>
      <c r="AI1701" s="24">
        <f>IF(OR($C1701="",$X1701="Pago",$X1701="Recebido",$X1701="Cancelado"),"",$C1701-TODAY())</f>
        <v/>
      </c>
      <c r="AJ1701" s="24">
        <f>IF(OR($C1701="",$X1701="Pago",$X1701="Recebido",$X1701="Cancelado"),0,MAX(0,TODAY()-$C1701))</f>
        <v/>
      </c>
      <c r="AK1701" s="24">
        <f>IF($D1701="","",$D1701-$B1701)</f>
        <v/>
      </c>
      <c r="AL1701" s="18">
        <f>IF(OR($D1701="",$B1701=""),"",ROUND(N($R1701)*($D1701-$B1701),2))</f>
        <v/>
      </c>
      <c r="AM1701" s="17">
        <f>IF(AND($E1701="Saída",$W1701&gt;0,$C1701&lt;&gt;""),$C1701+ROW()/1000000,"")</f>
        <v/>
      </c>
      <c r="AN1701" s="17">
        <f>IF(AND($E1701="Entrada",$W1701&gt;0,$C1701&lt;&gt;""),$C1701+ROW()/1000000,"")</f>
        <v/>
      </c>
      <c r="AO1701" s="9">
        <f>IF(COUNTA($B1701:$R1701)=0,"",IF(AND($I1701&lt;&gt;"",COUNTIF(CLIENTES_NOMES,$I1701)+COUNTIF(CLIENTES_FANTASIA,$I1701)+COUNTIF(FORNECEDORES_NOMES,$I1701)+COUNTIF(FORNECEDORES_FANTASIA,$I1701)=0),"⚠ Cliente/Fornecedor não cadastrado",IF(AND($G1701&lt;&gt;"",COUNTIF(SUBCATEGORIAS_PLANO,$G1701)=0),"⚠ Subcategoria fora do plano de contas",IF(OR($Q1701="",N($Q1701)=0),"⚠ Valor previsto não informado",IF(AND(OR($X1701="Pago",$X1701="Recebido"),$D1701=""),"⚠ Status pago/recebido sem data",IF(AND($D1701&lt;&gt;"",N($R1701)=0),"⚠ Data de pagamento sem valor realizado",IF(AND(N($P1701)&gt;1,N($O1701)&gt;N($P1701)),"⚠ Nº da parcela maior que o total",IF(AND($C1701&lt;&gt;"",$B1701&lt;&gt;"",$C1701&lt;$B1701),"⚠ Vencimento anterior à competência","OK"))))))))</f>
        <v/>
      </c>
    </row>
    <row r="1702">
      <c r="A1702" s="14" t="n"/>
      <c r="B1702" s="36" t="n"/>
      <c r="C1702" s="36" t="n"/>
      <c r="D1702" s="36" t="n"/>
      <c r="E1702" s="14" t="n"/>
      <c r="F1702" s="29" t="n"/>
      <c r="G1702" s="29" t="n"/>
      <c r="H1702" s="29" t="n"/>
      <c r="I1702" s="29" t="n"/>
      <c r="J1702" s="29" t="n"/>
      <c r="K1702" s="14" t="n"/>
      <c r="L1702" s="29" t="n"/>
      <c r="M1702" s="14" t="n"/>
      <c r="N1702" s="29" t="n"/>
      <c r="O1702" s="13" t="n"/>
      <c r="P1702" s="13" t="n"/>
      <c r="Q1702" s="35" t="n"/>
      <c r="R1702" s="35" t="n"/>
      <c r="S1702" s="35" t="n"/>
      <c r="T1702" s="35" t="n"/>
      <c r="U1702" s="35" t="n"/>
      <c r="V1702" s="18">
        <f>IF(COUNTA($B1702:$R1702)=0,"",ROUND(N($R1702)+N($S1702)+N($T1702)-N($U1702),2))</f>
        <v/>
      </c>
      <c r="W1702" s="18">
        <f>IF(COUNTA($B1702:$R1702)=0,"",IF(OR($X1702="Pago",$X1702="Recebido",$X1702="Cancelado"),0,ROUND(N($Q1702)+N($S1702)+N($T1702)-N($U1702)-N($R1702),2)))</f>
        <v/>
      </c>
      <c r="X1702" s="14" t="n"/>
      <c r="Y1702" s="17">
        <f>IF(COUNTA($B1702:$R1702)=0,"",IF($X1702="Cancelado","Cancelado",IF(OR($X1702="Pago",$X1702="Recebido"),$X1702,IF(OR($X1702="Parcial",N($R1702)&gt;0),"Parcial",IF($C1702="","Sem vencimento",IF($C1702&lt;TODAY(),"Vencido",IF($C1702=TODAY(),"Vence hoje",IF($C1702&lt;=TODAY()+7,"Vence em 7 dias",IF($C1702&lt;=TODAY()+30,"Vence em 30 dias","Futuro")))))))))</f>
        <v/>
      </c>
      <c r="Z1702" s="24">
        <f>IF($B1702="","",MONTH($B1702))</f>
        <v/>
      </c>
      <c r="AA1702" s="24">
        <f>IF($B1702="","",YEAR($B1702))</f>
        <v/>
      </c>
      <c r="AB1702" s="24">
        <f>IF($B1702="","",ISOWEEKNUM($B1702))</f>
        <v/>
      </c>
      <c r="AC1702" s="17">
        <f>IF($B1702="","",CHOOSE(WEEKDAY($B1702,2),"Segunda","Terça","Quarta","Quinta","Sexta","Sábado","Domingo"))</f>
        <v/>
      </c>
      <c r="AD1702" s="17">
        <f>IF($B1702="","",TEXT($B1702,"MM/AAAA"))</f>
        <v/>
      </c>
      <c r="AE1702" s="18">
        <f>IF(COUNTA($B1702:$R1702)=0,"",IF($X1702="Cancelado",0,ROUND(N($Q1702)+N($S1702)+N($T1702)-N($U1702),2)))</f>
        <v/>
      </c>
      <c r="AF1702" s="9">
        <f>IF($G1702="","",IFERROR(INDEX(LINHAS_DRE_PLANO,MATCH($G1702,SUBCATEGORIAS_PLANO,0)),"Não classificado"))</f>
        <v/>
      </c>
      <c r="AG1702" s="17">
        <f>IF($G1702="","",IFERROR(INDEX(TIPOS_FLUXO_PLANO,MATCH($G1702,SUBCATEGORIAS_PLANO,0)),"Não classificado"))</f>
        <v/>
      </c>
      <c r="AH1702" s="9">
        <f>IF($G1702="","",IFERROR(INDEX(GRUPOS_PLANO,MATCH($G1702,SUBCATEGORIAS_PLANO,0)),"Não classificado"))</f>
        <v/>
      </c>
      <c r="AI1702" s="24">
        <f>IF(OR($C1702="",$X1702="Pago",$X1702="Recebido",$X1702="Cancelado"),"",$C1702-TODAY())</f>
        <v/>
      </c>
      <c r="AJ1702" s="24">
        <f>IF(OR($C1702="",$X1702="Pago",$X1702="Recebido",$X1702="Cancelado"),0,MAX(0,TODAY()-$C1702))</f>
        <v/>
      </c>
      <c r="AK1702" s="24">
        <f>IF($D1702="","",$D1702-$B1702)</f>
        <v/>
      </c>
      <c r="AL1702" s="18">
        <f>IF(OR($D1702="",$B1702=""),"",ROUND(N($R1702)*($D1702-$B1702),2))</f>
        <v/>
      </c>
      <c r="AM1702" s="17">
        <f>IF(AND($E1702="Saída",$W1702&gt;0,$C1702&lt;&gt;""),$C1702+ROW()/1000000,"")</f>
        <v/>
      </c>
      <c r="AN1702" s="17">
        <f>IF(AND($E1702="Entrada",$W1702&gt;0,$C1702&lt;&gt;""),$C1702+ROW()/1000000,"")</f>
        <v/>
      </c>
      <c r="AO1702" s="9">
        <f>IF(COUNTA($B1702:$R1702)=0,"",IF(AND($I1702&lt;&gt;"",COUNTIF(CLIENTES_NOMES,$I1702)+COUNTIF(CLIENTES_FANTASIA,$I1702)+COUNTIF(FORNECEDORES_NOMES,$I1702)+COUNTIF(FORNECEDORES_FANTASIA,$I1702)=0),"⚠ Cliente/Fornecedor não cadastrado",IF(AND($G1702&lt;&gt;"",COUNTIF(SUBCATEGORIAS_PLANO,$G1702)=0),"⚠ Subcategoria fora do plano de contas",IF(OR($Q1702="",N($Q1702)=0),"⚠ Valor previsto não informado",IF(AND(OR($X1702="Pago",$X1702="Recebido"),$D1702=""),"⚠ Status pago/recebido sem data",IF(AND($D1702&lt;&gt;"",N($R1702)=0),"⚠ Data de pagamento sem valor realizado",IF(AND(N($P1702)&gt;1,N($O1702)&gt;N($P1702)),"⚠ Nº da parcela maior que o total",IF(AND($C1702&lt;&gt;"",$B1702&lt;&gt;"",$C1702&lt;$B1702),"⚠ Vencimento anterior à competência","OK"))))))))</f>
        <v/>
      </c>
    </row>
    <row r="1703">
      <c r="A1703" s="14" t="n"/>
      <c r="B1703" s="36" t="n"/>
      <c r="C1703" s="36" t="n"/>
      <c r="D1703" s="36" t="n"/>
      <c r="E1703" s="14" t="n"/>
      <c r="F1703" s="29" t="n"/>
      <c r="G1703" s="29" t="n"/>
      <c r="H1703" s="29" t="n"/>
      <c r="I1703" s="29" t="n"/>
      <c r="J1703" s="29" t="n"/>
      <c r="K1703" s="14" t="n"/>
      <c r="L1703" s="29" t="n"/>
      <c r="M1703" s="14" t="n"/>
      <c r="N1703" s="29" t="n"/>
      <c r="O1703" s="13" t="n"/>
      <c r="P1703" s="13" t="n"/>
      <c r="Q1703" s="35" t="n"/>
      <c r="R1703" s="35" t="n"/>
      <c r="S1703" s="35" t="n"/>
      <c r="T1703" s="35" t="n"/>
      <c r="U1703" s="35" t="n"/>
      <c r="V1703" s="18">
        <f>IF(COUNTA($B1703:$R1703)=0,"",ROUND(N($R1703)+N($S1703)+N($T1703)-N($U1703),2))</f>
        <v/>
      </c>
      <c r="W1703" s="18">
        <f>IF(COUNTA($B1703:$R1703)=0,"",IF(OR($X1703="Pago",$X1703="Recebido",$X1703="Cancelado"),0,ROUND(N($Q1703)+N($S1703)+N($T1703)-N($U1703)-N($R1703),2)))</f>
        <v/>
      </c>
      <c r="X1703" s="14" t="n"/>
      <c r="Y1703" s="17">
        <f>IF(COUNTA($B1703:$R1703)=0,"",IF($X1703="Cancelado","Cancelado",IF(OR($X1703="Pago",$X1703="Recebido"),$X1703,IF(OR($X1703="Parcial",N($R1703)&gt;0),"Parcial",IF($C1703="","Sem vencimento",IF($C1703&lt;TODAY(),"Vencido",IF($C1703=TODAY(),"Vence hoje",IF($C1703&lt;=TODAY()+7,"Vence em 7 dias",IF($C1703&lt;=TODAY()+30,"Vence em 30 dias","Futuro")))))))))</f>
        <v/>
      </c>
      <c r="Z1703" s="24">
        <f>IF($B1703="","",MONTH($B1703))</f>
        <v/>
      </c>
      <c r="AA1703" s="24">
        <f>IF($B1703="","",YEAR($B1703))</f>
        <v/>
      </c>
      <c r="AB1703" s="24">
        <f>IF($B1703="","",ISOWEEKNUM($B1703))</f>
        <v/>
      </c>
      <c r="AC1703" s="17">
        <f>IF($B1703="","",CHOOSE(WEEKDAY($B1703,2),"Segunda","Terça","Quarta","Quinta","Sexta","Sábado","Domingo"))</f>
        <v/>
      </c>
      <c r="AD1703" s="17">
        <f>IF($B1703="","",TEXT($B1703,"MM/AAAA"))</f>
        <v/>
      </c>
      <c r="AE1703" s="18">
        <f>IF(COUNTA($B1703:$R1703)=0,"",IF($X1703="Cancelado",0,ROUND(N($Q1703)+N($S1703)+N($T1703)-N($U1703),2)))</f>
        <v/>
      </c>
      <c r="AF1703" s="9">
        <f>IF($G1703="","",IFERROR(INDEX(LINHAS_DRE_PLANO,MATCH($G1703,SUBCATEGORIAS_PLANO,0)),"Não classificado"))</f>
        <v/>
      </c>
      <c r="AG1703" s="17">
        <f>IF($G1703="","",IFERROR(INDEX(TIPOS_FLUXO_PLANO,MATCH($G1703,SUBCATEGORIAS_PLANO,0)),"Não classificado"))</f>
        <v/>
      </c>
      <c r="AH1703" s="9">
        <f>IF($G1703="","",IFERROR(INDEX(GRUPOS_PLANO,MATCH($G1703,SUBCATEGORIAS_PLANO,0)),"Não classificado"))</f>
        <v/>
      </c>
      <c r="AI1703" s="24">
        <f>IF(OR($C1703="",$X1703="Pago",$X1703="Recebido",$X1703="Cancelado"),"",$C1703-TODAY())</f>
        <v/>
      </c>
      <c r="AJ1703" s="24">
        <f>IF(OR($C1703="",$X1703="Pago",$X1703="Recebido",$X1703="Cancelado"),0,MAX(0,TODAY()-$C1703))</f>
        <v/>
      </c>
      <c r="AK1703" s="24">
        <f>IF($D1703="","",$D1703-$B1703)</f>
        <v/>
      </c>
      <c r="AL1703" s="18">
        <f>IF(OR($D1703="",$B1703=""),"",ROUND(N($R1703)*($D1703-$B1703),2))</f>
        <v/>
      </c>
      <c r="AM1703" s="17">
        <f>IF(AND($E1703="Saída",$W1703&gt;0,$C1703&lt;&gt;""),$C1703+ROW()/1000000,"")</f>
        <v/>
      </c>
      <c r="AN1703" s="17">
        <f>IF(AND($E1703="Entrada",$W1703&gt;0,$C1703&lt;&gt;""),$C1703+ROW()/1000000,"")</f>
        <v/>
      </c>
      <c r="AO1703" s="9">
        <f>IF(COUNTA($B1703:$R1703)=0,"",IF(AND($I1703&lt;&gt;"",COUNTIF(CLIENTES_NOMES,$I1703)+COUNTIF(CLIENTES_FANTASIA,$I1703)+COUNTIF(FORNECEDORES_NOMES,$I1703)+COUNTIF(FORNECEDORES_FANTASIA,$I1703)=0),"⚠ Cliente/Fornecedor não cadastrado",IF(AND($G1703&lt;&gt;"",COUNTIF(SUBCATEGORIAS_PLANO,$G1703)=0),"⚠ Subcategoria fora do plano de contas",IF(OR($Q1703="",N($Q1703)=0),"⚠ Valor previsto não informado",IF(AND(OR($X1703="Pago",$X1703="Recebido"),$D1703=""),"⚠ Status pago/recebido sem data",IF(AND($D1703&lt;&gt;"",N($R1703)=0),"⚠ Data de pagamento sem valor realizado",IF(AND(N($P1703)&gt;1,N($O1703)&gt;N($P1703)),"⚠ Nº da parcela maior que o total",IF(AND($C1703&lt;&gt;"",$B1703&lt;&gt;"",$C1703&lt;$B1703),"⚠ Vencimento anterior à competência","OK"))))))))</f>
        <v/>
      </c>
    </row>
    <row r="1704">
      <c r="A1704" s="14" t="n"/>
      <c r="B1704" s="36" t="n"/>
      <c r="C1704" s="36" t="n"/>
      <c r="D1704" s="36" t="n"/>
      <c r="E1704" s="14" t="n"/>
      <c r="F1704" s="29" t="n"/>
      <c r="G1704" s="29" t="n"/>
      <c r="H1704" s="29" t="n"/>
      <c r="I1704" s="29" t="n"/>
      <c r="J1704" s="29" t="n"/>
      <c r="K1704" s="14" t="n"/>
      <c r="L1704" s="29" t="n"/>
      <c r="M1704" s="14" t="n"/>
      <c r="N1704" s="29" t="n"/>
      <c r="O1704" s="13" t="n"/>
      <c r="P1704" s="13" t="n"/>
      <c r="Q1704" s="35" t="n"/>
      <c r="R1704" s="35" t="n"/>
      <c r="S1704" s="35" t="n"/>
      <c r="T1704" s="35" t="n"/>
      <c r="U1704" s="35" t="n"/>
      <c r="V1704" s="18">
        <f>IF(COUNTA($B1704:$R1704)=0,"",ROUND(N($R1704)+N($S1704)+N($T1704)-N($U1704),2))</f>
        <v/>
      </c>
      <c r="W1704" s="18">
        <f>IF(COUNTA($B1704:$R1704)=0,"",IF(OR($X1704="Pago",$X1704="Recebido",$X1704="Cancelado"),0,ROUND(N($Q1704)+N($S1704)+N($T1704)-N($U1704)-N($R1704),2)))</f>
        <v/>
      </c>
      <c r="X1704" s="14" t="n"/>
      <c r="Y1704" s="17">
        <f>IF(COUNTA($B1704:$R1704)=0,"",IF($X1704="Cancelado","Cancelado",IF(OR($X1704="Pago",$X1704="Recebido"),$X1704,IF(OR($X1704="Parcial",N($R1704)&gt;0),"Parcial",IF($C1704="","Sem vencimento",IF($C1704&lt;TODAY(),"Vencido",IF($C1704=TODAY(),"Vence hoje",IF($C1704&lt;=TODAY()+7,"Vence em 7 dias",IF($C1704&lt;=TODAY()+30,"Vence em 30 dias","Futuro")))))))))</f>
        <v/>
      </c>
      <c r="Z1704" s="24">
        <f>IF($B1704="","",MONTH($B1704))</f>
        <v/>
      </c>
      <c r="AA1704" s="24">
        <f>IF($B1704="","",YEAR($B1704))</f>
        <v/>
      </c>
      <c r="AB1704" s="24">
        <f>IF($B1704="","",ISOWEEKNUM($B1704))</f>
        <v/>
      </c>
      <c r="AC1704" s="17">
        <f>IF($B1704="","",CHOOSE(WEEKDAY($B1704,2),"Segunda","Terça","Quarta","Quinta","Sexta","Sábado","Domingo"))</f>
        <v/>
      </c>
      <c r="AD1704" s="17">
        <f>IF($B1704="","",TEXT($B1704,"MM/AAAA"))</f>
        <v/>
      </c>
      <c r="AE1704" s="18">
        <f>IF(COUNTA($B1704:$R1704)=0,"",IF($X1704="Cancelado",0,ROUND(N($Q1704)+N($S1704)+N($T1704)-N($U1704),2)))</f>
        <v/>
      </c>
      <c r="AF1704" s="9">
        <f>IF($G1704="","",IFERROR(INDEX(LINHAS_DRE_PLANO,MATCH($G1704,SUBCATEGORIAS_PLANO,0)),"Não classificado"))</f>
        <v/>
      </c>
      <c r="AG1704" s="17">
        <f>IF($G1704="","",IFERROR(INDEX(TIPOS_FLUXO_PLANO,MATCH($G1704,SUBCATEGORIAS_PLANO,0)),"Não classificado"))</f>
        <v/>
      </c>
      <c r="AH1704" s="9">
        <f>IF($G1704="","",IFERROR(INDEX(GRUPOS_PLANO,MATCH($G1704,SUBCATEGORIAS_PLANO,0)),"Não classificado"))</f>
        <v/>
      </c>
      <c r="AI1704" s="24">
        <f>IF(OR($C1704="",$X1704="Pago",$X1704="Recebido",$X1704="Cancelado"),"",$C1704-TODAY())</f>
        <v/>
      </c>
      <c r="AJ1704" s="24">
        <f>IF(OR($C1704="",$X1704="Pago",$X1704="Recebido",$X1704="Cancelado"),0,MAX(0,TODAY()-$C1704))</f>
        <v/>
      </c>
      <c r="AK1704" s="24">
        <f>IF($D1704="","",$D1704-$B1704)</f>
        <v/>
      </c>
      <c r="AL1704" s="18">
        <f>IF(OR($D1704="",$B1704=""),"",ROUND(N($R1704)*($D1704-$B1704),2))</f>
        <v/>
      </c>
      <c r="AM1704" s="17">
        <f>IF(AND($E1704="Saída",$W1704&gt;0,$C1704&lt;&gt;""),$C1704+ROW()/1000000,"")</f>
        <v/>
      </c>
      <c r="AN1704" s="17">
        <f>IF(AND($E1704="Entrada",$W1704&gt;0,$C1704&lt;&gt;""),$C1704+ROW()/1000000,"")</f>
        <v/>
      </c>
      <c r="AO1704" s="9">
        <f>IF(COUNTA($B1704:$R1704)=0,"",IF(AND($I1704&lt;&gt;"",COUNTIF(CLIENTES_NOMES,$I1704)+COUNTIF(CLIENTES_FANTASIA,$I1704)+COUNTIF(FORNECEDORES_NOMES,$I1704)+COUNTIF(FORNECEDORES_FANTASIA,$I1704)=0),"⚠ Cliente/Fornecedor não cadastrado",IF(AND($G1704&lt;&gt;"",COUNTIF(SUBCATEGORIAS_PLANO,$G1704)=0),"⚠ Subcategoria fora do plano de contas",IF(OR($Q1704="",N($Q1704)=0),"⚠ Valor previsto não informado",IF(AND(OR($X1704="Pago",$X1704="Recebido"),$D1704=""),"⚠ Status pago/recebido sem data",IF(AND($D1704&lt;&gt;"",N($R1704)=0),"⚠ Data de pagamento sem valor realizado",IF(AND(N($P1704)&gt;1,N($O1704)&gt;N($P1704)),"⚠ Nº da parcela maior que o total",IF(AND($C1704&lt;&gt;"",$B1704&lt;&gt;"",$C1704&lt;$B1704),"⚠ Vencimento anterior à competência","OK"))))))))</f>
        <v/>
      </c>
    </row>
    <row r="1705">
      <c r="A1705" s="14" t="n"/>
      <c r="B1705" s="36" t="n"/>
      <c r="C1705" s="36" t="n"/>
      <c r="D1705" s="36" t="n"/>
      <c r="E1705" s="14" t="n"/>
      <c r="F1705" s="29" t="n"/>
      <c r="G1705" s="29" t="n"/>
      <c r="H1705" s="29" t="n"/>
      <c r="I1705" s="29" t="n"/>
      <c r="J1705" s="29" t="n"/>
      <c r="K1705" s="14" t="n"/>
      <c r="L1705" s="29" t="n"/>
      <c r="M1705" s="14" t="n"/>
      <c r="N1705" s="29" t="n"/>
      <c r="O1705" s="13" t="n"/>
      <c r="P1705" s="13" t="n"/>
      <c r="Q1705" s="35" t="n"/>
      <c r="R1705" s="35" t="n"/>
      <c r="S1705" s="35" t="n"/>
      <c r="T1705" s="35" t="n"/>
      <c r="U1705" s="35" t="n"/>
      <c r="V1705" s="18">
        <f>IF(COUNTA($B1705:$R1705)=0,"",ROUND(N($R1705)+N($S1705)+N($T1705)-N($U1705),2))</f>
        <v/>
      </c>
      <c r="W1705" s="18">
        <f>IF(COUNTA($B1705:$R1705)=0,"",IF(OR($X1705="Pago",$X1705="Recebido",$X1705="Cancelado"),0,ROUND(N($Q1705)+N($S1705)+N($T1705)-N($U1705)-N($R1705),2)))</f>
        <v/>
      </c>
      <c r="X1705" s="14" t="n"/>
      <c r="Y1705" s="17">
        <f>IF(COUNTA($B1705:$R1705)=0,"",IF($X1705="Cancelado","Cancelado",IF(OR($X1705="Pago",$X1705="Recebido"),$X1705,IF(OR($X1705="Parcial",N($R1705)&gt;0),"Parcial",IF($C1705="","Sem vencimento",IF($C1705&lt;TODAY(),"Vencido",IF($C1705=TODAY(),"Vence hoje",IF($C1705&lt;=TODAY()+7,"Vence em 7 dias",IF($C1705&lt;=TODAY()+30,"Vence em 30 dias","Futuro")))))))))</f>
        <v/>
      </c>
      <c r="Z1705" s="24">
        <f>IF($B1705="","",MONTH($B1705))</f>
        <v/>
      </c>
      <c r="AA1705" s="24">
        <f>IF($B1705="","",YEAR($B1705))</f>
        <v/>
      </c>
      <c r="AB1705" s="24">
        <f>IF($B1705="","",ISOWEEKNUM($B1705))</f>
        <v/>
      </c>
      <c r="AC1705" s="17">
        <f>IF($B1705="","",CHOOSE(WEEKDAY($B1705,2),"Segunda","Terça","Quarta","Quinta","Sexta","Sábado","Domingo"))</f>
        <v/>
      </c>
      <c r="AD1705" s="17">
        <f>IF($B1705="","",TEXT($B1705,"MM/AAAA"))</f>
        <v/>
      </c>
      <c r="AE1705" s="18">
        <f>IF(COUNTA($B1705:$R1705)=0,"",IF($X1705="Cancelado",0,ROUND(N($Q1705)+N($S1705)+N($T1705)-N($U1705),2)))</f>
        <v/>
      </c>
      <c r="AF1705" s="9">
        <f>IF($G1705="","",IFERROR(INDEX(LINHAS_DRE_PLANO,MATCH($G1705,SUBCATEGORIAS_PLANO,0)),"Não classificado"))</f>
        <v/>
      </c>
      <c r="AG1705" s="17">
        <f>IF($G1705="","",IFERROR(INDEX(TIPOS_FLUXO_PLANO,MATCH($G1705,SUBCATEGORIAS_PLANO,0)),"Não classificado"))</f>
        <v/>
      </c>
      <c r="AH1705" s="9">
        <f>IF($G1705="","",IFERROR(INDEX(GRUPOS_PLANO,MATCH($G1705,SUBCATEGORIAS_PLANO,0)),"Não classificado"))</f>
        <v/>
      </c>
      <c r="AI1705" s="24">
        <f>IF(OR($C1705="",$X1705="Pago",$X1705="Recebido",$X1705="Cancelado"),"",$C1705-TODAY())</f>
        <v/>
      </c>
      <c r="AJ1705" s="24">
        <f>IF(OR($C1705="",$X1705="Pago",$X1705="Recebido",$X1705="Cancelado"),0,MAX(0,TODAY()-$C1705))</f>
        <v/>
      </c>
      <c r="AK1705" s="24">
        <f>IF($D1705="","",$D1705-$B1705)</f>
        <v/>
      </c>
      <c r="AL1705" s="18">
        <f>IF(OR($D1705="",$B1705=""),"",ROUND(N($R1705)*($D1705-$B1705),2))</f>
        <v/>
      </c>
      <c r="AM1705" s="17">
        <f>IF(AND($E1705="Saída",$W1705&gt;0,$C1705&lt;&gt;""),$C1705+ROW()/1000000,"")</f>
        <v/>
      </c>
      <c r="AN1705" s="17">
        <f>IF(AND($E1705="Entrada",$W1705&gt;0,$C1705&lt;&gt;""),$C1705+ROW()/1000000,"")</f>
        <v/>
      </c>
      <c r="AO1705" s="9">
        <f>IF(COUNTA($B1705:$R1705)=0,"",IF(AND($I1705&lt;&gt;"",COUNTIF(CLIENTES_NOMES,$I1705)+COUNTIF(CLIENTES_FANTASIA,$I1705)+COUNTIF(FORNECEDORES_NOMES,$I1705)+COUNTIF(FORNECEDORES_FANTASIA,$I1705)=0),"⚠ Cliente/Fornecedor não cadastrado",IF(AND($G1705&lt;&gt;"",COUNTIF(SUBCATEGORIAS_PLANO,$G1705)=0),"⚠ Subcategoria fora do plano de contas",IF(OR($Q1705="",N($Q1705)=0),"⚠ Valor previsto não informado",IF(AND(OR($X1705="Pago",$X1705="Recebido"),$D1705=""),"⚠ Status pago/recebido sem data",IF(AND($D1705&lt;&gt;"",N($R1705)=0),"⚠ Data de pagamento sem valor realizado",IF(AND(N($P1705)&gt;1,N($O1705)&gt;N($P1705)),"⚠ Nº da parcela maior que o total",IF(AND($C1705&lt;&gt;"",$B1705&lt;&gt;"",$C1705&lt;$B1705),"⚠ Vencimento anterior à competência","OK"))))))))</f>
        <v/>
      </c>
    </row>
    <row r="1706">
      <c r="A1706" s="14" t="n"/>
      <c r="B1706" s="36" t="n"/>
      <c r="C1706" s="36" t="n"/>
      <c r="D1706" s="36" t="n"/>
      <c r="E1706" s="14" t="n"/>
      <c r="F1706" s="29" t="n"/>
      <c r="G1706" s="29" t="n"/>
      <c r="H1706" s="29" t="n"/>
      <c r="I1706" s="29" t="n"/>
      <c r="J1706" s="29" t="n"/>
      <c r="K1706" s="14" t="n"/>
      <c r="L1706" s="29" t="n"/>
      <c r="M1706" s="14" t="n"/>
      <c r="N1706" s="29" t="n"/>
      <c r="O1706" s="13" t="n"/>
      <c r="P1706" s="13" t="n"/>
      <c r="Q1706" s="35" t="n"/>
      <c r="R1706" s="35" t="n"/>
      <c r="S1706" s="35" t="n"/>
      <c r="T1706" s="35" t="n"/>
      <c r="U1706" s="35" t="n"/>
      <c r="V1706" s="18">
        <f>IF(COUNTA($B1706:$R1706)=0,"",ROUND(N($R1706)+N($S1706)+N($T1706)-N($U1706),2))</f>
        <v/>
      </c>
      <c r="W1706" s="18">
        <f>IF(COUNTA($B1706:$R1706)=0,"",IF(OR($X1706="Pago",$X1706="Recebido",$X1706="Cancelado"),0,ROUND(N($Q1706)+N($S1706)+N($T1706)-N($U1706)-N($R1706),2)))</f>
        <v/>
      </c>
      <c r="X1706" s="14" t="n"/>
      <c r="Y1706" s="17">
        <f>IF(COUNTA($B1706:$R1706)=0,"",IF($X1706="Cancelado","Cancelado",IF(OR($X1706="Pago",$X1706="Recebido"),$X1706,IF(OR($X1706="Parcial",N($R1706)&gt;0),"Parcial",IF($C1706="","Sem vencimento",IF($C1706&lt;TODAY(),"Vencido",IF($C1706=TODAY(),"Vence hoje",IF($C1706&lt;=TODAY()+7,"Vence em 7 dias",IF($C1706&lt;=TODAY()+30,"Vence em 30 dias","Futuro")))))))))</f>
        <v/>
      </c>
      <c r="Z1706" s="24">
        <f>IF($B1706="","",MONTH($B1706))</f>
        <v/>
      </c>
      <c r="AA1706" s="24">
        <f>IF($B1706="","",YEAR($B1706))</f>
        <v/>
      </c>
      <c r="AB1706" s="24">
        <f>IF($B1706="","",ISOWEEKNUM($B1706))</f>
        <v/>
      </c>
      <c r="AC1706" s="17">
        <f>IF($B1706="","",CHOOSE(WEEKDAY($B1706,2),"Segunda","Terça","Quarta","Quinta","Sexta","Sábado","Domingo"))</f>
        <v/>
      </c>
      <c r="AD1706" s="17">
        <f>IF($B1706="","",TEXT($B1706,"MM/AAAA"))</f>
        <v/>
      </c>
      <c r="AE1706" s="18">
        <f>IF(COUNTA($B1706:$R1706)=0,"",IF($X1706="Cancelado",0,ROUND(N($Q1706)+N($S1706)+N($T1706)-N($U1706),2)))</f>
        <v/>
      </c>
      <c r="AF1706" s="9">
        <f>IF($G1706="","",IFERROR(INDEX(LINHAS_DRE_PLANO,MATCH($G1706,SUBCATEGORIAS_PLANO,0)),"Não classificado"))</f>
        <v/>
      </c>
      <c r="AG1706" s="17">
        <f>IF($G1706="","",IFERROR(INDEX(TIPOS_FLUXO_PLANO,MATCH($G1706,SUBCATEGORIAS_PLANO,0)),"Não classificado"))</f>
        <v/>
      </c>
      <c r="AH1706" s="9">
        <f>IF($G1706="","",IFERROR(INDEX(GRUPOS_PLANO,MATCH($G1706,SUBCATEGORIAS_PLANO,0)),"Não classificado"))</f>
        <v/>
      </c>
      <c r="AI1706" s="24">
        <f>IF(OR($C1706="",$X1706="Pago",$X1706="Recebido",$X1706="Cancelado"),"",$C1706-TODAY())</f>
        <v/>
      </c>
      <c r="AJ1706" s="24">
        <f>IF(OR($C1706="",$X1706="Pago",$X1706="Recebido",$X1706="Cancelado"),0,MAX(0,TODAY()-$C1706))</f>
        <v/>
      </c>
      <c r="AK1706" s="24">
        <f>IF($D1706="","",$D1706-$B1706)</f>
        <v/>
      </c>
      <c r="AL1706" s="18">
        <f>IF(OR($D1706="",$B1706=""),"",ROUND(N($R1706)*($D1706-$B1706),2))</f>
        <v/>
      </c>
      <c r="AM1706" s="17">
        <f>IF(AND($E1706="Saída",$W1706&gt;0,$C1706&lt;&gt;""),$C1706+ROW()/1000000,"")</f>
        <v/>
      </c>
      <c r="AN1706" s="17">
        <f>IF(AND($E1706="Entrada",$W1706&gt;0,$C1706&lt;&gt;""),$C1706+ROW()/1000000,"")</f>
        <v/>
      </c>
      <c r="AO1706" s="9">
        <f>IF(COUNTA($B1706:$R1706)=0,"",IF(AND($I1706&lt;&gt;"",COUNTIF(CLIENTES_NOMES,$I1706)+COUNTIF(CLIENTES_FANTASIA,$I1706)+COUNTIF(FORNECEDORES_NOMES,$I1706)+COUNTIF(FORNECEDORES_FANTASIA,$I1706)=0),"⚠ Cliente/Fornecedor não cadastrado",IF(AND($G1706&lt;&gt;"",COUNTIF(SUBCATEGORIAS_PLANO,$G1706)=0),"⚠ Subcategoria fora do plano de contas",IF(OR($Q1706="",N($Q1706)=0),"⚠ Valor previsto não informado",IF(AND(OR($X1706="Pago",$X1706="Recebido"),$D1706=""),"⚠ Status pago/recebido sem data",IF(AND($D1706&lt;&gt;"",N($R1706)=0),"⚠ Data de pagamento sem valor realizado",IF(AND(N($P1706)&gt;1,N($O1706)&gt;N($P1706)),"⚠ Nº da parcela maior que o total",IF(AND($C1706&lt;&gt;"",$B1706&lt;&gt;"",$C1706&lt;$B1706),"⚠ Vencimento anterior à competência","OK"))))))))</f>
        <v/>
      </c>
    </row>
    <row r="1707">
      <c r="A1707" s="14" t="n"/>
      <c r="B1707" s="36" t="n"/>
      <c r="C1707" s="36" t="n"/>
      <c r="D1707" s="36" t="n"/>
      <c r="E1707" s="14" t="n"/>
      <c r="F1707" s="29" t="n"/>
      <c r="G1707" s="29" t="n"/>
      <c r="H1707" s="29" t="n"/>
      <c r="I1707" s="29" t="n"/>
      <c r="J1707" s="29" t="n"/>
      <c r="K1707" s="14" t="n"/>
      <c r="L1707" s="29" t="n"/>
      <c r="M1707" s="14" t="n"/>
      <c r="N1707" s="29" t="n"/>
      <c r="O1707" s="13" t="n"/>
      <c r="P1707" s="13" t="n"/>
      <c r="Q1707" s="35" t="n"/>
      <c r="R1707" s="35" t="n"/>
      <c r="S1707" s="35" t="n"/>
      <c r="T1707" s="35" t="n"/>
      <c r="U1707" s="35" t="n"/>
      <c r="V1707" s="18">
        <f>IF(COUNTA($B1707:$R1707)=0,"",ROUND(N($R1707)+N($S1707)+N($T1707)-N($U1707),2))</f>
        <v/>
      </c>
      <c r="W1707" s="18">
        <f>IF(COUNTA($B1707:$R1707)=0,"",IF(OR($X1707="Pago",$X1707="Recebido",$X1707="Cancelado"),0,ROUND(N($Q1707)+N($S1707)+N($T1707)-N($U1707)-N($R1707),2)))</f>
        <v/>
      </c>
      <c r="X1707" s="14" t="n"/>
      <c r="Y1707" s="17">
        <f>IF(COUNTA($B1707:$R1707)=0,"",IF($X1707="Cancelado","Cancelado",IF(OR($X1707="Pago",$X1707="Recebido"),$X1707,IF(OR($X1707="Parcial",N($R1707)&gt;0),"Parcial",IF($C1707="","Sem vencimento",IF($C1707&lt;TODAY(),"Vencido",IF($C1707=TODAY(),"Vence hoje",IF($C1707&lt;=TODAY()+7,"Vence em 7 dias",IF($C1707&lt;=TODAY()+30,"Vence em 30 dias","Futuro")))))))))</f>
        <v/>
      </c>
      <c r="Z1707" s="24">
        <f>IF($B1707="","",MONTH($B1707))</f>
        <v/>
      </c>
      <c r="AA1707" s="24">
        <f>IF($B1707="","",YEAR($B1707))</f>
        <v/>
      </c>
      <c r="AB1707" s="24">
        <f>IF($B1707="","",ISOWEEKNUM($B1707))</f>
        <v/>
      </c>
      <c r="AC1707" s="17">
        <f>IF($B1707="","",CHOOSE(WEEKDAY($B1707,2),"Segunda","Terça","Quarta","Quinta","Sexta","Sábado","Domingo"))</f>
        <v/>
      </c>
      <c r="AD1707" s="17">
        <f>IF($B1707="","",TEXT($B1707,"MM/AAAA"))</f>
        <v/>
      </c>
      <c r="AE1707" s="18">
        <f>IF(COUNTA($B1707:$R1707)=0,"",IF($X1707="Cancelado",0,ROUND(N($Q1707)+N($S1707)+N($T1707)-N($U1707),2)))</f>
        <v/>
      </c>
      <c r="AF1707" s="9">
        <f>IF($G1707="","",IFERROR(INDEX(LINHAS_DRE_PLANO,MATCH($G1707,SUBCATEGORIAS_PLANO,0)),"Não classificado"))</f>
        <v/>
      </c>
      <c r="AG1707" s="17">
        <f>IF($G1707="","",IFERROR(INDEX(TIPOS_FLUXO_PLANO,MATCH($G1707,SUBCATEGORIAS_PLANO,0)),"Não classificado"))</f>
        <v/>
      </c>
      <c r="AH1707" s="9">
        <f>IF($G1707="","",IFERROR(INDEX(GRUPOS_PLANO,MATCH($G1707,SUBCATEGORIAS_PLANO,0)),"Não classificado"))</f>
        <v/>
      </c>
      <c r="AI1707" s="24">
        <f>IF(OR($C1707="",$X1707="Pago",$X1707="Recebido",$X1707="Cancelado"),"",$C1707-TODAY())</f>
        <v/>
      </c>
      <c r="AJ1707" s="24">
        <f>IF(OR($C1707="",$X1707="Pago",$X1707="Recebido",$X1707="Cancelado"),0,MAX(0,TODAY()-$C1707))</f>
        <v/>
      </c>
      <c r="AK1707" s="24">
        <f>IF($D1707="","",$D1707-$B1707)</f>
        <v/>
      </c>
      <c r="AL1707" s="18">
        <f>IF(OR($D1707="",$B1707=""),"",ROUND(N($R1707)*($D1707-$B1707),2))</f>
        <v/>
      </c>
      <c r="AM1707" s="17">
        <f>IF(AND($E1707="Saída",$W1707&gt;0,$C1707&lt;&gt;""),$C1707+ROW()/1000000,"")</f>
        <v/>
      </c>
      <c r="AN1707" s="17">
        <f>IF(AND($E1707="Entrada",$W1707&gt;0,$C1707&lt;&gt;""),$C1707+ROW()/1000000,"")</f>
        <v/>
      </c>
      <c r="AO1707" s="9">
        <f>IF(COUNTA($B1707:$R1707)=0,"",IF(AND($I1707&lt;&gt;"",COUNTIF(CLIENTES_NOMES,$I1707)+COUNTIF(CLIENTES_FANTASIA,$I1707)+COUNTIF(FORNECEDORES_NOMES,$I1707)+COUNTIF(FORNECEDORES_FANTASIA,$I1707)=0),"⚠ Cliente/Fornecedor não cadastrado",IF(AND($G1707&lt;&gt;"",COUNTIF(SUBCATEGORIAS_PLANO,$G1707)=0),"⚠ Subcategoria fora do plano de contas",IF(OR($Q1707="",N($Q1707)=0),"⚠ Valor previsto não informado",IF(AND(OR($X1707="Pago",$X1707="Recebido"),$D1707=""),"⚠ Status pago/recebido sem data",IF(AND($D1707&lt;&gt;"",N($R1707)=0),"⚠ Data de pagamento sem valor realizado",IF(AND(N($P1707)&gt;1,N($O1707)&gt;N($P1707)),"⚠ Nº da parcela maior que o total",IF(AND($C1707&lt;&gt;"",$B1707&lt;&gt;"",$C1707&lt;$B1707),"⚠ Vencimento anterior à competência","OK"))))))))</f>
        <v/>
      </c>
    </row>
    <row r="1708">
      <c r="A1708" s="14" t="n"/>
      <c r="B1708" s="36" t="n"/>
      <c r="C1708" s="36" t="n"/>
      <c r="D1708" s="36" t="n"/>
      <c r="E1708" s="14" t="n"/>
      <c r="F1708" s="29" t="n"/>
      <c r="G1708" s="29" t="n"/>
      <c r="H1708" s="29" t="n"/>
      <c r="I1708" s="29" t="n"/>
      <c r="J1708" s="29" t="n"/>
      <c r="K1708" s="14" t="n"/>
      <c r="L1708" s="29" t="n"/>
      <c r="M1708" s="14" t="n"/>
      <c r="N1708" s="29" t="n"/>
      <c r="O1708" s="13" t="n"/>
      <c r="P1708" s="13" t="n"/>
      <c r="Q1708" s="35" t="n"/>
      <c r="R1708" s="35" t="n"/>
      <c r="S1708" s="35" t="n"/>
      <c r="T1708" s="35" t="n"/>
      <c r="U1708" s="35" t="n"/>
      <c r="V1708" s="18">
        <f>IF(COUNTA($B1708:$R1708)=0,"",ROUND(N($R1708)+N($S1708)+N($T1708)-N($U1708),2))</f>
        <v/>
      </c>
      <c r="W1708" s="18">
        <f>IF(COUNTA($B1708:$R1708)=0,"",IF(OR($X1708="Pago",$X1708="Recebido",$X1708="Cancelado"),0,ROUND(N($Q1708)+N($S1708)+N($T1708)-N($U1708)-N($R1708),2)))</f>
        <v/>
      </c>
      <c r="X1708" s="14" t="n"/>
      <c r="Y1708" s="17">
        <f>IF(COUNTA($B1708:$R1708)=0,"",IF($X1708="Cancelado","Cancelado",IF(OR($X1708="Pago",$X1708="Recebido"),$X1708,IF(OR($X1708="Parcial",N($R1708)&gt;0),"Parcial",IF($C1708="","Sem vencimento",IF($C1708&lt;TODAY(),"Vencido",IF($C1708=TODAY(),"Vence hoje",IF($C1708&lt;=TODAY()+7,"Vence em 7 dias",IF($C1708&lt;=TODAY()+30,"Vence em 30 dias","Futuro")))))))))</f>
        <v/>
      </c>
      <c r="Z1708" s="24">
        <f>IF($B1708="","",MONTH($B1708))</f>
        <v/>
      </c>
      <c r="AA1708" s="24">
        <f>IF($B1708="","",YEAR($B1708))</f>
        <v/>
      </c>
      <c r="AB1708" s="24">
        <f>IF($B1708="","",ISOWEEKNUM($B1708))</f>
        <v/>
      </c>
      <c r="AC1708" s="17">
        <f>IF($B1708="","",CHOOSE(WEEKDAY($B1708,2),"Segunda","Terça","Quarta","Quinta","Sexta","Sábado","Domingo"))</f>
        <v/>
      </c>
      <c r="AD1708" s="17">
        <f>IF($B1708="","",TEXT($B1708,"MM/AAAA"))</f>
        <v/>
      </c>
      <c r="AE1708" s="18">
        <f>IF(COUNTA($B1708:$R1708)=0,"",IF($X1708="Cancelado",0,ROUND(N($Q1708)+N($S1708)+N($T1708)-N($U1708),2)))</f>
        <v/>
      </c>
      <c r="AF1708" s="9">
        <f>IF($G1708="","",IFERROR(INDEX(LINHAS_DRE_PLANO,MATCH($G1708,SUBCATEGORIAS_PLANO,0)),"Não classificado"))</f>
        <v/>
      </c>
      <c r="AG1708" s="17">
        <f>IF($G1708="","",IFERROR(INDEX(TIPOS_FLUXO_PLANO,MATCH($G1708,SUBCATEGORIAS_PLANO,0)),"Não classificado"))</f>
        <v/>
      </c>
      <c r="AH1708" s="9">
        <f>IF($G1708="","",IFERROR(INDEX(GRUPOS_PLANO,MATCH($G1708,SUBCATEGORIAS_PLANO,0)),"Não classificado"))</f>
        <v/>
      </c>
      <c r="AI1708" s="24">
        <f>IF(OR($C1708="",$X1708="Pago",$X1708="Recebido",$X1708="Cancelado"),"",$C1708-TODAY())</f>
        <v/>
      </c>
      <c r="AJ1708" s="24">
        <f>IF(OR($C1708="",$X1708="Pago",$X1708="Recebido",$X1708="Cancelado"),0,MAX(0,TODAY()-$C1708))</f>
        <v/>
      </c>
      <c r="AK1708" s="24">
        <f>IF($D1708="","",$D1708-$B1708)</f>
        <v/>
      </c>
      <c r="AL1708" s="18">
        <f>IF(OR($D1708="",$B1708=""),"",ROUND(N($R1708)*($D1708-$B1708),2))</f>
        <v/>
      </c>
      <c r="AM1708" s="17">
        <f>IF(AND($E1708="Saída",$W1708&gt;0,$C1708&lt;&gt;""),$C1708+ROW()/1000000,"")</f>
        <v/>
      </c>
      <c r="AN1708" s="17">
        <f>IF(AND($E1708="Entrada",$W1708&gt;0,$C1708&lt;&gt;""),$C1708+ROW()/1000000,"")</f>
        <v/>
      </c>
      <c r="AO1708" s="9">
        <f>IF(COUNTA($B1708:$R1708)=0,"",IF(AND($I1708&lt;&gt;"",COUNTIF(CLIENTES_NOMES,$I1708)+COUNTIF(CLIENTES_FANTASIA,$I1708)+COUNTIF(FORNECEDORES_NOMES,$I1708)+COUNTIF(FORNECEDORES_FANTASIA,$I1708)=0),"⚠ Cliente/Fornecedor não cadastrado",IF(AND($G1708&lt;&gt;"",COUNTIF(SUBCATEGORIAS_PLANO,$G1708)=0),"⚠ Subcategoria fora do plano de contas",IF(OR($Q1708="",N($Q1708)=0),"⚠ Valor previsto não informado",IF(AND(OR($X1708="Pago",$X1708="Recebido"),$D1708=""),"⚠ Status pago/recebido sem data",IF(AND($D1708&lt;&gt;"",N($R1708)=0),"⚠ Data de pagamento sem valor realizado",IF(AND(N($P1708)&gt;1,N($O1708)&gt;N($P1708)),"⚠ Nº da parcela maior que o total",IF(AND($C1708&lt;&gt;"",$B1708&lt;&gt;"",$C1708&lt;$B1708),"⚠ Vencimento anterior à competência","OK"))))))))</f>
        <v/>
      </c>
    </row>
    <row r="1709">
      <c r="A1709" s="14" t="n"/>
      <c r="B1709" s="36" t="n"/>
      <c r="C1709" s="36" t="n"/>
      <c r="D1709" s="36" t="n"/>
      <c r="E1709" s="14" t="n"/>
      <c r="F1709" s="29" t="n"/>
      <c r="G1709" s="29" t="n"/>
      <c r="H1709" s="29" t="n"/>
      <c r="I1709" s="29" t="n"/>
      <c r="J1709" s="29" t="n"/>
      <c r="K1709" s="14" t="n"/>
      <c r="L1709" s="29" t="n"/>
      <c r="M1709" s="14" t="n"/>
      <c r="N1709" s="29" t="n"/>
      <c r="O1709" s="13" t="n"/>
      <c r="P1709" s="13" t="n"/>
      <c r="Q1709" s="35" t="n"/>
      <c r="R1709" s="35" t="n"/>
      <c r="S1709" s="35" t="n"/>
      <c r="T1709" s="35" t="n"/>
      <c r="U1709" s="35" t="n"/>
      <c r="V1709" s="18">
        <f>IF(COUNTA($B1709:$R1709)=0,"",ROUND(N($R1709)+N($S1709)+N($T1709)-N($U1709),2))</f>
        <v/>
      </c>
      <c r="W1709" s="18">
        <f>IF(COUNTA($B1709:$R1709)=0,"",IF(OR($X1709="Pago",$X1709="Recebido",$X1709="Cancelado"),0,ROUND(N($Q1709)+N($S1709)+N($T1709)-N($U1709)-N($R1709),2)))</f>
        <v/>
      </c>
      <c r="X1709" s="14" t="n"/>
      <c r="Y1709" s="17">
        <f>IF(COUNTA($B1709:$R1709)=0,"",IF($X1709="Cancelado","Cancelado",IF(OR($X1709="Pago",$X1709="Recebido"),$X1709,IF(OR($X1709="Parcial",N($R1709)&gt;0),"Parcial",IF($C1709="","Sem vencimento",IF($C1709&lt;TODAY(),"Vencido",IF($C1709=TODAY(),"Vence hoje",IF($C1709&lt;=TODAY()+7,"Vence em 7 dias",IF($C1709&lt;=TODAY()+30,"Vence em 30 dias","Futuro")))))))))</f>
        <v/>
      </c>
      <c r="Z1709" s="24">
        <f>IF($B1709="","",MONTH($B1709))</f>
        <v/>
      </c>
      <c r="AA1709" s="24">
        <f>IF($B1709="","",YEAR($B1709))</f>
        <v/>
      </c>
      <c r="AB1709" s="24">
        <f>IF($B1709="","",ISOWEEKNUM($B1709))</f>
        <v/>
      </c>
      <c r="AC1709" s="17">
        <f>IF($B1709="","",CHOOSE(WEEKDAY($B1709,2),"Segunda","Terça","Quarta","Quinta","Sexta","Sábado","Domingo"))</f>
        <v/>
      </c>
      <c r="AD1709" s="17">
        <f>IF($B1709="","",TEXT($B1709,"MM/AAAA"))</f>
        <v/>
      </c>
      <c r="AE1709" s="18">
        <f>IF(COUNTA($B1709:$R1709)=0,"",IF($X1709="Cancelado",0,ROUND(N($Q1709)+N($S1709)+N($T1709)-N($U1709),2)))</f>
        <v/>
      </c>
      <c r="AF1709" s="9">
        <f>IF($G1709="","",IFERROR(INDEX(LINHAS_DRE_PLANO,MATCH($G1709,SUBCATEGORIAS_PLANO,0)),"Não classificado"))</f>
        <v/>
      </c>
      <c r="AG1709" s="17">
        <f>IF($G1709="","",IFERROR(INDEX(TIPOS_FLUXO_PLANO,MATCH($G1709,SUBCATEGORIAS_PLANO,0)),"Não classificado"))</f>
        <v/>
      </c>
      <c r="AH1709" s="9">
        <f>IF($G1709="","",IFERROR(INDEX(GRUPOS_PLANO,MATCH($G1709,SUBCATEGORIAS_PLANO,0)),"Não classificado"))</f>
        <v/>
      </c>
      <c r="AI1709" s="24">
        <f>IF(OR($C1709="",$X1709="Pago",$X1709="Recebido",$X1709="Cancelado"),"",$C1709-TODAY())</f>
        <v/>
      </c>
      <c r="AJ1709" s="24">
        <f>IF(OR($C1709="",$X1709="Pago",$X1709="Recebido",$X1709="Cancelado"),0,MAX(0,TODAY()-$C1709))</f>
        <v/>
      </c>
      <c r="AK1709" s="24">
        <f>IF($D1709="","",$D1709-$B1709)</f>
        <v/>
      </c>
      <c r="AL1709" s="18">
        <f>IF(OR($D1709="",$B1709=""),"",ROUND(N($R1709)*($D1709-$B1709),2))</f>
        <v/>
      </c>
      <c r="AM1709" s="17">
        <f>IF(AND($E1709="Saída",$W1709&gt;0,$C1709&lt;&gt;""),$C1709+ROW()/1000000,"")</f>
        <v/>
      </c>
      <c r="AN1709" s="17">
        <f>IF(AND($E1709="Entrada",$W1709&gt;0,$C1709&lt;&gt;""),$C1709+ROW()/1000000,"")</f>
        <v/>
      </c>
      <c r="AO1709" s="9">
        <f>IF(COUNTA($B1709:$R1709)=0,"",IF(AND($I1709&lt;&gt;"",COUNTIF(CLIENTES_NOMES,$I1709)+COUNTIF(CLIENTES_FANTASIA,$I1709)+COUNTIF(FORNECEDORES_NOMES,$I1709)+COUNTIF(FORNECEDORES_FANTASIA,$I1709)=0),"⚠ Cliente/Fornecedor não cadastrado",IF(AND($G1709&lt;&gt;"",COUNTIF(SUBCATEGORIAS_PLANO,$G1709)=0),"⚠ Subcategoria fora do plano de contas",IF(OR($Q1709="",N($Q1709)=0),"⚠ Valor previsto não informado",IF(AND(OR($X1709="Pago",$X1709="Recebido"),$D1709=""),"⚠ Status pago/recebido sem data",IF(AND($D1709&lt;&gt;"",N($R1709)=0),"⚠ Data de pagamento sem valor realizado",IF(AND(N($P1709)&gt;1,N($O1709)&gt;N($P1709)),"⚠ Nº da parcela maior que o total",IF(AND($C1709&lt;&gt;"",$B1709&lt;&gt;"",$C1709&lt;$B1709),"⚠ Vencimento anterior à competência","OK"))))))))</f>
        <v/>
      </c>
    </row>
    <row r="1710">
      <c r="A1710" s="14" t="n"/>
      <c r="B1710" s="36" t="n"/>
      <c r="C1710" s="36" t="n"/>
      <c r="D1710" s="36" t="n"/>
      <c r="E1710" s="14" t="n"/>
      <c r="F1710" s="29" t="n"/>
      <c r="G1710" s="29" t="n"/>
      <c r="H1710" s="29" t="n"/>
      <c r="I1710" s="29" t="n"/>
      <c r="J1710" s="29" t="n"/>
      <c r="K1710" s="14" t="n"/>
      <c r="L1710" s="29" t="n"/>
      <c r="M1710" s="14" t="n"/>
      <c r="N1710" s="29" t="n"/>
      <c r="O1710" s="13" t="n"/>
      <c r="P1710" s="13" t="n"/>
      <c r="Q1710" s="35" t="n"/>
      <c r="R1710" s="35" t="n"/>
      <c r="S1710" s="35" t="n"/>
      <c r="T1710" s="35" t="n"/>
      <c r="U1710" s="35" t="n"/>
      <c r="V1710" s="18">
        <f>IF(COUNTA($B1710:$R1710)=0,"",ROUND(N($R1710)+N($S1710)+N($T1710)-N($U1710),2))</f>
        <v/>
      </c>
      <c r="W1710" s="18">
        <f>IF(COUNTA($B1710:$R1710)=0,"",IF(OR($X1710="Pago",$X1710="Recebido",$X1710="Cancelado"),0,ROUND(N($Q1710)+N($S1710)+N($T1710)-N($U1710)-N($R1710),2)))</f>
        <v/>
      </c>
      <c r="X1710" s="14" t="n"/>
      <c r="Y1710" s="17">
        <f>IF(COUNTA($B1710:$R1710)=0,"",IF($X1710="Cancelado","Cancelado",IF(OR($X1710="Pago",$X1710="Recebido"),$X1710,IF(OR($X1710="Parcial",N($R1710)&gt;0),"Parcial",IF($C1710="","Sem vencimento",IF($C1710&lt;TODAY(),"Vencido",IF($C1710=TODAY(),"Vence hoje",IF($C1710&lt;=TODAY()+7,"Vence em 7 dias",IF($C1710&lt;=TODAY()+30,"Vence em 30 dias","Futuro")))))))))</f>
        <v/>
      </c>
      <c r="Z1710" s="24">
        <f>IF($B1710="","",MONTH($B1710))</f>
        <v/>
      </c>
      <c r="AA1710" s="24">
        <f>IF($B1710="","",YEAR($B1710))</f>
        <v/>
      </c>
      <c r="AB1710" s="24">
        <f>IF($B1710="","",ISOWEEKNUM($B1710))</f>
        <v/>
      </c>
      <c r="AC1710" s="17">
        <f>IF($B1710="","",CHOOSE(WEEKDAY($B1710,2),"Segunda","Terça","Quarta","Quinta","Sexta","Sábado","Domingo"))</f>
        <v/>
      </c>
      <c r="AD1710" s="17">
        <f>IF($B1710="","",TEXT($B1710,"MM/AAAA"))</f>
        <v/>
      </c>
      <c r="AE1710" s="18">
        <f>IF(COUNTA($B1710:$R1710)=0,"",IF($X1710="Cancelado",0,ROUND(N($Q1710)+N($S1710)+N($T1710)-N($U1710),2)))</f>
        <v/>
      </c>
      <c r="AF1710" s="9">
        <f>IF($G1710="","",IFERROR(INDEX(LINHAS_DRE_PLANO,MATCH($G1710,SUBCATEGORIAS_PLANO,0)),"Não classificado"))</f>
        <v/>
      </c>
      <c r="AG1710" s="17">
        <f>IF($G1710="","",IFERROR(INDEX(TIPOS_FLUXO_PLANO,MATCH($G1710,SUBCATEGORIAS_PLANO,0)),"Não classificado"))</f>
        <v/>
      </c>
      <c r="AH1710" s="9">
        <f>IF($G1710="","",IFERROR(INDEX(GRUPOS_PLANO,MATCH($G1710,SUBCATEGORIAS_PLANO,0)),"Não classificado"))</f>
        <v/>
      </c>
      <c r="AI1710" s="24">
        <f>IF(OR($C1710="",$X1710="Pago",$X1710="Recebido",$X1710="Cancelado"),"",$C1710-TODAY())</f>
        <v/>
      </c>
      <c r="AJ1710" s="24">
        <f>IF(OR($C1710="",$X1710="Pago",$X1710="Recebido",$X1710="Cancelado"),0,MAX(0,TODAY()-$C1710))</f>
        <v/>
      </c>
      <c r="AK1710" s="24">
        <f>IF($D1710="","",$D1710-$B1710)</f>
        <v/>
      </c>
      <c r="AL1710" s="18">
        <f>IF(OR($D1710="",$B1710=""),"",ROUND(N($R1710)*($D1710-$B1710),2))</f>
        <v/>
      </c>
      <c r="AM1710" s="17">
        <f>IF(AND($E1710="Saída",$W1710&gt;0,$C1710&lt;&gt;""),$C1710+ROW()/1000000,"")</f>
        <v/>
      </c>
      <c r="AN1710" s="17">
        <f>IF(AND($E1710="Entrada",$W1710&gt;0,$C1710&lt;&gt;""),$C1710+ROW()/1000000,"")</f>
        <v/>
      </c>
      <c r="AO1710" s="9">
        <f>IF(COUNTA($B1710:$R1710)=0,"",IF(AND($I1710&lt;&gt;"",COUNTIF(CLIENTES_NOMES,$I1710)+COUNTIF(CLIENTES_FANTASIA,$I1710)+COUNTIF(FORNECEDORES_NOMES,$I1710)+COUNTIF(FORNECEDORES_FANTASIA,$I1710)=0),"⚠ Cliente/Fornecedor não cadastrado",IF(AND($G1710&lt;&gt;"",COUNTIF(SUBCATEGORIAS_PLANO,$G1710)=0),"⚠ Subcategoria fora do plano de contas",IF(OR($Q1710="",N($Q1710)=0),"⚠ Valor previsto não informado",IF(AND(OR($X1710="Pago",$X1710="Recebido"),$D1710=""),"⚠ Status pago/recebido sem data",IF(AND($D1710&lt;&gt;"",N($R1710)=0),"⚠ Data de pagamento sem valor realizado",IF(AND(N($P1710)&gt;1,N($O1710)&gt;N($P1710)),"⚠ Nº da parcela maior que o total",IF(AND($C1710&lt;&gt;"",$B1710&lt;&gt;"",$C1710&lt;$B1710),"⚠ Vencimento anterior à competência","OK"))))))))</f>
        <v/>
      </c>
    </row>
    <row r="1711">
      <c r="A1711" s="14" t="n"/>
      <c r="B1711" s="36" t="n"/>
      <c r="C1711" s="36" t="n"/>
      <c r="D1711" s="36" t="n"/>
      <c r="E1711" s="14" t="n"/>
      <c r="F1711" s="29" t="n"/>
      <c r="G1711" s="29" t="n"/>
      <c r="H1711" s="29" t="n"/>
      <c r="I1711" s="29" t="n"/>
      <c r="J1711" s="29" t="n"/>
      <c r="K1711" s="14" t="n"/>
      <c r="L1711" s="29" t="n"/>
      <c r="M1711" s="14" t="n"/>
      <c r="N1711" s="29" t="n"/>
      <c r="O1711" s="13" t="n"/>
      <c r="P1711" s="13" t="n"/>
      <c r="Q1711" s="35" t="n"/>
      <c r="R1711" s="35" t="n"/>
      <c r="S1711" s="35" t="n"/>
      <c r="T1711" s="35" t="n"/>
      <c r="U1711" s="35" t="n"/>
      <c r="V1711" s="18">
        <f>IF(COUNTA($B1711:$R1711)=0,"",ROUND(N($R1711)+N($S1711)+N($T1711)-N($U1711),2))</f>
        <v/>
      </c>
      <c r="W1711" s="18">
        <f>IF(COUNTA($B1711:$R1711)=0,"",IF(OR($X1711="Pago",$X1711="Recebido",$X1711="Cancelado"),0,ROUND(N($Q1711)+N($S1711)+N($T1711)-N($U1711)-N($R1711),2)))</f>
        <v/>
      </c>
      <c r="X1711" s="14" t="n"/>
      <c r="Y1711" s="17">
        <f>IF(COUNTA($B1711:$R1711)=0,"",IF($X1711="Cancelado","Cancelado",IF(OR($X1711="Pago",$X1711="Recebido"),$X1711,IF(OR($X1711="Parcial",N($R1711)&gt;0),"Parcial",IF($C1711="","Sem vencimento",IF($C1711&lt;TODAY(),"Vencido",IF($C1711=TODAY(),"Vence hoje",IF($C1711&lt;=TODAY()+7,"Vence em 7 dias",IF($C1711&lt;=TODAY()+30,"Vence em 30 dias","Futuro")))))))))</f>
        <v/>
      </c>
      <c r="Z1711" s="24">
        <f>IF($B1711="","",MONTH($B1711))</f>
        <v/>
      </c>
      <c r="AA1711" s="24">
        <f>IF($B1711="","",YEAR($B1711))</f>
        <v/>
      </c>
      <c r="AB1711" s="24">
        <f>IF($B1711="","",ISOWEEKNUM($B1711))</f>
        <v/>
      </c>
      <c r="AC1711" s="17">
        <f>IF($B1711="","",CHOOSE(WEEKDAY($B1711,2),"Segunda","Terça","Quarta","Quinta","Sexta","Sábado","Domingo"))</f>
        <v/>
      </c>
      <c r="AD1711" s="17">
        <f>IF($B1711="","",TEXT($B1711,"MM/AAAA"))</f>
        <v/>
      </c>
      <c r="AE1711" s="18">
        <f>IF(COUNTA($B1711:$R1711)=0,"",IF($X1711="Cancelado",0,ROUND(N($Q1711)+N($S1711)+N($T1711)-N($U1711),2)))</f>
        <v/>
      </c>
      <c r="AF1711" s="9">
        <f>IF($G1711="","",IFERROR(INDEX(LINHAS_DRE_PLANO,MATCH($G1711,SUBCATEGORIAS_PLANO,0)),"Não classificado"))</f>
        <v/>
      </c>
      <c r="AG1711" s="17">
        <f>IF($G1711="","",IFERROR(INDEX(TIPOS_FLUXO_PLANO,MATCH($G1711,SUBCATEGORIAS_PLANO,0)),"Não classificado"))</f>
        <v/>
      </c>
      <c r="AH1711" s="9">
        <f>IF($G1711="","",IFERROR(INDEX(GRUPOS_PLANO,MATCH($G1711,SUBCATEGORIAS_PLANO,0)),"Não classificado"))</f>
        <v/>
      </c>
      <c r="AI1711" s="24">
        <f>IF(OR($C1711="",$X1711="Pago",$X1711="Recebido",$X1711="Cancelado"),"",$C1711-TODAY())</f>
        <v/>
      </c>
      <c r="AJ1711" s="24">
        <f>IF(OR($C1711="",$X1711="Pago",$X1711="Recebido",$X1711="Cancelado"),0,MAX(0,TODAY()-$C1711))</f>
        <v/>
      </c>
      <c r="AK1711" s="24">
        <f>IF($D1711="","",$D1711-$B1711)</f>
        <v/>
      </c>
      <c r="AL1711" s="18">
        <f>IF(OR($D1711="",$B1711=""),"",ROUND(N($R1711)*($D1711-$B1711),2))</f>
        <v/>
      </c>
      <c r="AM1711" s="17">
        <f>IF(AND($E1711="Saída",$W1711&gt;0,$C1711&lt;&gt;""),$C1711+ROW()/1000000,"")</f>
        <v/>
      </c>
      <c r="AN1711" s="17">
        <f>IF(AND($E1711="Entrada",$W1711&gt;0,$C1711&lt;&gt;""),$C1711+ROW()/1000000,"")</f>
        <v/>
      </c>
      <c r="AO1711" s="9">
        <f>IF(COUNTA($B1711:$R1711)=0,"",IF(AND($I1711&lt;&gt;"",COUNTIF(CLIENTES_NOMES,$I1711)+COUNTIF(CLIENTES_FANTASIA,$I1711)+COUNTIF(FORNECEDORES_NOMES,$I1711)+COUNTIF(FORNECEDORES_FANTASIA,$I1711)=0),"⚠ Cliente/Fornecedor não cadastrado",IF(AND($G1711&lt;&gt;"",COUNTIF(SUBCATEGORIAS_PLANO,$G1711)=0),"⚠ Subcategoria fora do plano de contas",IF(OR($Q1711="",N($Q1711)=0),"⚠ Valor previsto não informado",IF(AND(OR($X1711="Pago",$X1711="Recebido"),$D1711=""),"⚠ Status pago/recebido sem data",IF(AND($D1711&lt;&gt;"",N($R1711)=0),"⚠ Data de pagamento sem valor realizado",IF(AND(N($P1711)&gt;1,N($O1711)&gt;N($P1711)),"⚠ Nº da parcela maior que o total",IF(AND($C1711&lt;&gt;"",$B1711&lt;&gt;"",$C1711&lt;$B1711),"⚠ Vencimento anterior à competência","OK"))))))))</f>
        <v/>
      </c>
    </row>
    <row r="1712">
      <c r="A1712" s="14" t="n"/>
      <c r="B1712" s="36" t="n"/>
      <c r="C1712" s="36" t="n"/>
      <c r="D1712" s="36" t="n"/>
      <c r="E1712" s="14" t="n"/>
      <c r="F1712" s="29" t="n"/>
      <c r="G1712" s="29" t="n"/>
      <c r="H1712" s="29" t="n"/>
      <c r="I1712" s="29" t="n"/>
      <c r="J1712" s="29" t="n"/>
      <c r="K1712" s="14" t="n"/>
      <c r="L1712" s="29" t="n"/>
      <c r="M1712" s="14" t="n"/>
      <c r="N1712" s="29" t="n"/>
      <c r="O1712" s="13" t="n"/>
      <c r="P1712" s="13" t="n"/>
      <c r="Q1712" s="35" t="n"/>
      <c r="R1712" s="35" t="n"/>
      <c r="S1712" s="35" t="n"/>
      <c r="T1712" s="35" t="n"/>
      <c r="U1712" s="35" t="n"/>
      <c r="V1712" s="18">
        <f>IF(COUNTA($B1712:$R1712)=0,"",ROUND(N($R1712)+N($S1712)+N($T1712)-N($U1712),2))</f>
        <v/>
      </c>
      <c r="W1712" s="18">
        <f>IF(COUNTA($B1712:$R1712)=0,"",IF(OR($X1712="Pago",$X1712="Recebido",$X1712="Cancelado"),0,ROUND(N($Q1712)+N($S1712)+N($T1712)-N($U1712)-N($R1712),2)))</f>
        <v/>
      </c>
      <c r="X1712" s="14" t="n"/>
      <c r="Y1712" s="17">
        <f>IF(COUNTA($B1712:$R1712)=0,"",IF($X1712="Cancelado","Cancelado",IF(OR($X1712="Pago",$X1712="Recebido"),$X1712,IF(OR($X1712="Parcial",N($R1712)&gt;0),"Parcial",IF($C1712="","Sem vencimento",IF($C1712&lt;TODAY(),"Vencido",IF($C1712=TODAY(),"Vence hoje",IF($C1712&lt;=TODAY()+7,"Vence em 7 dias",IF($C1712&lt;=TODAY()+30,"Vence em 30 dias","Futuro")))))))))</f>
        <v/>
      </c>
      <c r="Z1712" s="24">
        <f>IF($B1712="","",MONTH($B1712))</f>
        <v/>
      </c>
      <c r="AA1712" s="24">
        <f>IF($B1712="","",YEAR($B1712))</f>
        <v/>
      </c>
      <c r="AB1712" s="24">
        <f>IF($B1712="","",ISOWEEKNUM($B1712))</f>
        <v/>
      </c>
      <c r="AC1712" s="17">
        <f>IF($B1712="","",CHOOSE(WEEKDAY($B1712,2),"Segunda","Terça","Quarta","Quinta","Sexta","Sábado","Domingo"))</f>
        <v/>
      </c>
      <c r="AD1712" s="17">
        <f>IF($B1712="","",TEXT($B1712,"MM/AAAA"))</f>
        <v/>
      </c>
      <c r="AE1712" s="18">
        <f>IF(COUNTA($B1712:$R1712)=0,"",IF($X1712="Cancelado",0,ROUND(N($Q1712)+N($S1712)+N($T1712)-N($U1712),2)))</f>
        <v/>
      </c>
      <c r="AF1712" s="9">
        <f>IF($G1712="","",IFERROR(INDEX(LINHAS_DRE_PLANO,MATCH($G1712,SUBCATEGORIAS_PLANO,0)),"Não classificado"))</f>
        <v/>
      </c>
      <c r="AG1712" s="17">
        <f>IF($G1712="","",IFERROR(INDEX(TIPOS_FLUXO_PLANO,MATCH($G1712,SUBCATEGORIAS_PLANO,0)),"Não classificado"))</f>
        <v/>
      </c>
      <c r="AH1712" s="9">
        <f>IF($G1712="","",IFERROR(INDEX(GRUPOS_PLANO,MATCH($G1712,SUBCATEGORIAS_PLANO,0)),"Não classificado"))</f>
        <v/>
      </c>
      <c r="AI1712" s="24">
        <f>IF(OR($C1712="",$X1712="Pago",$X1712="Recebido",$X1712="Cancelado"),"",$C1712-TODAY())</f>
        <v/>
      </c>
      <c r="AJ1712" s="24">
        <f>IF(OR($C1712="",$X1712="Pago",$X1712="Recebido",$X1712="Cancelado"),0,MAX(0,TODAY()-$C1712))</f>
        <v/>
      </c>
      <c r="AK1712" s="24">
        <f>IF($D1712="","",$D1712-$B1712)</f>
        <v/>
      </c>
      <c r="AL1712" s="18">
        <f>IF(OR($D1712="",$B1712=""),"",ROUND(N($R1712)*($D1712-$B1712),2))</f>
        <v/>
      </c>
      <c r="AM1712" s="17">
        <f>IF(AND($E1712="Saída",$W1712&gt;0,$C1712&lt;&gt;""),$C1712+ROW()/1000000,"")</f>
        <v/>
      </c>
      <c r="AN1712" s="17">
        <f>IF(AND($E1712="Entrada",$W1712&gt;0,$C1712&lt;&gt;""),$C1712+ROW()/1000000,"")</f>
        <v/>
      </c>
      <c r="AO1712" s="9">
        <f>IF(COUNTA($B1712:$R1712)=0,"",IF(AND($I1712&lt;&gt;"",COUNTIF(CLIENTES_NOMES,$I1712)+COUNTIF(CLIENTES_FANTASIA,$I1712)+COUNTIF(FORNECEDORES_NOMES,$I1712)+COUNTIF(FORNECEDORES_FANTASIA,$I1712)=0),"⚠ Cliente/Fornecedor não cadastrado",IF(AND($G1712&lt;&gt;"",COUNTIF(SUBCATEGORIAS_PLANO,$G1712)=0),"⚠ Subcategoria fora do plano de contas",IF(OR($Q1712="",N($Q1712)=0),"⚠ Valor previsto não informado",IF(AND(OR($X1712="Pago",$X1712="Recebido"),$D1712=""),"⚠ Status pago/recebido sem data",IF(AND($D1712&lt;&gt;"",N($R1712)=0),"⚠ Data de pagamento sem valor realizado",IF(AND(N($P1712)&gt;1,N($O1712)&gt;N($P1712)),"⚠ Nº da parcela maior que o total",IF(AND($C1712&lt;&gt;"",$B1712&lt;&gt;"",$C1712&lt;$B1712),"⚠ Vencimento anterior à competência","OK"))))))))</f>
        <v/>
      </c>
    </row>
    <row r="1713">
      <c r="A1713" s="14" t="n"/>
      <c r="B1713" s="36" t="n"/>
      <c r="C1713" s="36" t="n"/>
      <c r="D1713" s="36" t="n"/>
      <c r="E1713" s="14" t="n"/>
      <c r="F1713" s="29" t="n"/>
      <c r="G1713" s="29" t="n"/>
      <c r="H1713" s="29" t="n"/>
      <c r="I1713" s="29" t="n"/>
      <c r="J1713" s="29" t="n"/>
      <c r="K1713" s="14" t="n"/>
      <c r="L1713" s="29" t="n"/>
      <c r="M1713" s="14" t="n"/>
      <c r="N1713" s="29" t="n"/>
      <c r="O1713" s="13" t="n"/>
      <c r="P1713" s="13" t="n"/>
      <c r="Q1713" s="35" t="n"/>
      <c r="R1713" s="35" t="n"/>
      <c r="S1713" s="35" t="n"/>
      <c r="T1713" s="35" t="n"/>
      <c r="U1713" s="35" t="n"/>
      <c r="V1713" s="18">
        <f>IF(COUNTA($B1713:$R1713)=0,"",ROUND(N($R1713)+N($S1713)+N($T1713)-N($U1713),2))</f>
        <v/>
      </c>
      <c r="W1713" s="18">
        <f>IF(COUNTA($B1713:$R1713)=0,"",IF(OR($X1713="Pago",$X1713="Recebido",$X1713="Cancelado"),0,ROUND(N($Q1713)+N($S1713)+N($T1713)-N($U1713)-N($R1713),2)))</f>
        <v/>
      </c>
      <c r="X1713" s="14" t="n"/>
      <c r="Y1713" s="17">
        <f>IF(COUNTA($B1713:$R1713)=0,"",IF($X1713="Cancelado","Cancelado",IF(OR($X1713="Pago",$X1713="Recebido"),$X1713,IF(OR($X1713="Parcial",N($R1713)&gt;0),"Parcial",IF($C1713="","Sem vencimento",IF($C1713&lt;TODAY(),"Vencido",IF($C1713=TODAY(),"Vence hoje",IF($C1713&lt;=TODAY()+7,"Vence em 7 dias",IF($C1713&lt;=TODAY()+30,"Vence em 30 dias","Futuro")))))))))</f>
        <v/>
      </c>
      <c r="Z1713" s="24">
        <f>IF($B1713="","",MONTH($B1713))</f>
        <v/>
      </c>
      <c r="AA1713" s="24">
        <f>IF($B1713="","",YEAR($B1713))</f>
        <v/>
      </c>
      <c r="AB1713" s="24">
        <f>IF($B1713="","",ISOWEEKNUM($B1713))</f>
        <v/>
      </c>
      <c r="AC1713" s="17">
        <f>IF($B1713="","",CHOOSE(WEEKDAY($B1713,2),"Segunda","Terça","Quarta","Quinta","Sexta","Sábado","Domingo"))</f>
        <v/>
      </c>
      <c r="AD1713" s="17">
        <f>IF($B1713="","",TEXT($B1713,"MM/AAAA"))</f>
        <v/>
      </c>
      <c r="AE1713" s="18">
        <f>IF(COUNTA($B1713:$R1713)=0,"",IF($X1713="Cancelado",0,ROUND(N($Q1713)+N($S1713)+N($T1713)-N($U1713),2)))</f>
        <v/>
      </c>
      <c r="AF1713" s="9">
        <f>IF($G1713="","",IFERROR(INDEX(LINHAS_DRE_PLANO,MATCH($G1713,SUBCATEGORIAS_PLANO,0)),"Não classificado"))</f>
        <v/>
      </c>
      <c r="AG1713" s="17">
        <f>IF($G1713="","",IFERROR(INDEX(TIPOS_FLUXO_PLANO,MATCH($G1713,SUBCATEGORIAS_PLANO,0)),"Não classificado"))</f>
        <v/>
      </c>
      <c r="AH1713" s="9">
        <f>IF($G1713="","",IFERROR(INDEX(GRUPOS_PLANO,MATCH($G1713,SUBCATEGORIAS_PLANO,0)),"Não classificado"))</f>
        <v/>
      </c>
      <c r="AI1713" s="24">
        <f>IF(OR($C1713="",$X1713="Pago",$X1713="Recebido",$X1713="Cancelado"),"",$C1713-TODAY())</f>
        <v/>
      </c>
      <c r="AJ1713" s="24">
        <f>IF(OR($C1713="",$X1713="Pago",$X1713="Recebido",$X1713="Cancelado"),0,MAX(0,TODAY()-$C1713))</f>
        <v/>
      </c>
      <c r="AK1713" s="24">
        <f>IF($D1713="","",$D1713-$B1713)</f>
        <v/>
      </c>
      <c r="AL1713" s="18">
        <f>IF(OR($D1713="",$B1713=""),"",ROUND(N($R1713)*($D1713-$B1713),2))</f>
        <v/>
      </c>
      <c r="AM1713" s="17">
        <f>IF(AND($E1713="Saída",$W1713&gt;0,$C1713&lt;&gt;""),$C1713+ROW()/1000000,"")</f>
        <v/>
      </c>
      <c r="AN1713" s="17">
        <f>IF(AND($E1713="Entrada",$W1713&gt;0,$C1713&lt;&gt;""),$C1713+ROW()/1000000,"")</f>
        <v/>
      </c>
      <c r="AO1713" s="9">
        <f>IF(COUNTA($B1713:$R1713)=0,"",IF(AND($I1713&lt;&gt;"",COUNTIF(CLIENTES_NOMES,$I1713)+COUNTIF(CLIENTES_FANTASIA,$I1713)+COUNTIF(FORNECEDORES_NOMES,$I1713)+COUNTIF(FORNECEDORES_FANTASIA,$I1713)=0),"⚠ Cliente/Fornecedor não cadastrado",IF(AND($G1713&lt;&gt;"",COUNTIF(SUBCATEGORIAS_PLANO,$G1713)=0),"⚠ Subcategoria fora do plano de contas",IF(OR($Q1713="",N($Q1713)=0),"⚠ Valor previsto não informado",IF(AND(OR($X1713="Pago",$X1713="Recebido"),$D1713=""),"⚠ Status pago/recebido sem data",IF(AND($D1713&lt;&gt;"",N($R1713)=0),"⚠ Data de pagamento sem valor realizado",IF(AND(N($P1713)&gt;1,N($O1713)&gt;N($P1713)),"⚠ Nº da parcela maior que o total",IF(AND($C1713&lt;&gt;"",$B1713&lt;&gt;"",$C1713&lt;$B1713),"⚠ Vencimento anterior à competência","OK"))))))))</f>
        <v/>
      </c>
    </row>
    <row r="1714">
      <c r="A1714" s="14" t="n"/>
      <c r="B1714" s="36" t="n"/>
      <c r="C1714" s="36" t="n"/>
      <c r="D1714" s="36" t="n"/>
      <c r="E1714" s="14" t="n"/>
      <c r="F1714" s="29" t="n"/>
      <c r="G1714" s="29" t="n"/>
      <c r="H1714" s="29" t="n"/>
      <c r="I1714" s="29" t="n"/>
      <c r="J1714" s="29" t="n"/>
      <c r="K1714" s="14" t="n"/>
      <c r="L1714" s="29" t="n"/>
      <c r="M1714" s="14" t="n"/>
      <c r="N1714" s="29" t="n"/>
      <c r="O1714" s="13" t="n"/>
      <c r="P1714" s="13" t="n"/>
      <c r="Q1714" s="35" t="n"/>
      <c r="R1714" s="35" t="n"/>
      <c r="S1714" s="35" t="n"/>
      <c r="T1714" s="35" t="n"/>
      <c r="U1714" s="35" t="n"/>
      <c r="V1714" s="18">
        <f>IF(COUNTA($B1714:$R1714)=0,"",ROUND(N($R1714)+N($S1714)+N($T1714)-N($U1714),2))</f>
        <v/>
      </c>
      <c r="W1714" s="18">
        <f>IF(COUNTA($B1714:$R1714)=0,"",IF(OR($X1714="Pago",$X1714="Recebido",$X1714="Cancelado"),0,ROUND(N($Q1714)+N($S1714)+N($T1714)-N($U1714)-N($R1714),2)))</f>
        <v/>
      </c>
      <c r="X1714" s="14" t="n"/>
      <c r="Y1714" s="17">
        <f>IF(COUNTA($B1714:$R1714)=0,"",IF($X1714="Cancelado","Cancelado",IF(OR($X1714="Pago",$X1714="Recebido"),$X1714,IF(OR($X1714="Parcial",N($R1714)&gt;0),"Parcial",IF($C1714="","Sem vencimento",IF($C1714&lt;TODAY(),"Vencido",IF($C1714=TODAY(),"Vence hoje",IF($C1714&lt;=TODAY()+7,"Vence em 7 dias",IF($C1714&lt;=TODAY()+30,"Vence em 30 dias","Futuro")))))))))</f>
        <v/>
      </c>
      <c r="Z1714" s="24">
        <f>IF($B1714="","",MONTH($B1714))</f>
        <v/>
      </c>
      <c r="AA1714" s="24">
        <f>IF($B1714="","",YEAR($B1714))</f>
        <v/>
      </c>
      <c r="AB1714" s="24">
        <f>IF($B1714="","",ISOWEEKNUM($B1714))</f>
        <v/>
      </c>
      <c r="AC1714" s="17">
        <f>IF($B1714="","",CHOOSE(WEEKDAY($B1714,2),"Segunda","Terça","Quarta","Quinta","Sexta","Sábado","Domingo"))</f>
        <v/>
      </c>
      <c r="AD1714" s="17">
        <f>IF($B1714="","",TEXT($B1714,"MM/AAAA"))</f>
        <v/>
      </c>
      <c r="AE1714" s="18">
        <f>IF(COUNTA($B1714:$R1714)=0,"",IF($X1714="Cancelado",0,ROUND(N($Q1714)+N($S1714)+N($T1714)-N($U1714),2)))</f>
        <v/>
      </c>
      <c r="AF1714" s="9">
        <f>IF($G1714="","",IFERROR(INDEX(LINHAS_DRE_PLANO,MATCH($G1714,SUBCATEGORIAS_PLANO,0)),"Não classificado"))</f>
        <v/>
      </c>
      <c r="AG1714" s="17">
        <f>IF($G1714="","",IFERROR(INDEX(TIPOS_FLUXO_PLANO,MATCH($G1714,SUBCATEGORIAS_PLANO,0)),"Não classificado"))</f>
        <v/>
      </c>
      <c r="AH1714" s="9">
        <f>IF($G1714="","",IFERROR(INDEX(GRUPOS_PLANO,MATCH($G1714,SUBCATEGORIAS_PLANO,0)),"Não classificado"))</f>
        <v/>
      </c>
      <c r="AI1714" s="24">
        <f>IF(OR($C1714="",$X1714="Pago",$X1714="Recebido",$X1714="Cancelado"),"",$C1714-TODAY())</f>
        <v/>
      </c>
      <c r="AJ1714" s="24">
        <f>IF(OR($C1714="",$X1714="Pago",$X1714="Recebido",$X1714="Cancelado"),0,MAX(0,TODAY()-$C1714))</f>
        <v/>
      </c>
      <c r="AK1714" s="24">
        <f>IF($D1714="","",$D1714-$B1714)</f>
        <v/>
      </c>
      <c r="AL1714" s="18">
        <f>IF(OR($D1714="",$B1714=""),"",ROUND(N($R1714)*($D1714-$B1714),2))</f>
        <v/>
      </c>
      <c r="AM1714" s="17">
        <f>IF(AND($E1714="Saída",$W1714&gt;0,$C1714&lt;&gt;""),$C1714+ROW()/1000000,"")</f>
        <v/>
      </c>
      <c r="AN1714" s="17">
        <f>IF(AND($E1714="Entrada",$W1714&gt;0,$C1714&lt;&gt;""),$C1714+ROW()/1000000,"")</f>
        <v/>
      </c>
      <c r="AO1714" s="9">
        <f>IF(COUNTA($B1714:$R1714)=0,"",IF(AND($I1714&lt;&gt;"",COUNTIF(CLIENTES_NOMES,$I1714)+COUNTIF(CLIENTES_FANTASIA,$I1714)+COUNTIF(FORNECEDORES_NOMES,$I1714)+COUNTIF(FORNECEDORES_FANTASIA,$I1714)=0),"⚠ Cliente/Fornecedor não cadastrado",IF(AND($G1714&lt;&gt;"",COUNTIF(SUBCATEGORIAS_PLANO,$G1714)=0),"⚠ Subcategoria fora do plano de contas",IF(OR($Q1714="",N($Q1714)=0),"⚠ Valor previsto não informado",IF(AND(OR($X1714="Pago",$X1714="Recebido"),$D1714=""),"⚠ Status pago/recebido sem data",IF(AND($D1714&lt;&gt;"",N($R1714)=0),"⚠ Data de pagamento sem valor realizado",IF(AND(N($P1714)&gt;1,N($O1714)&gt;N($P1714)),"⚠ Nº da parcela maior que o total",IF(AND($C1714&lt;&gt;"",$B1714&lt;&gt;"",$C1714&lt;$B1714),"⚠ Vencimento anterior à competência","OK"))))))))</f>
        <v/>
      </c>
    </row>
    <row r="1715">
      <c r="A1715" s="14" t="n"/>
      <c r="B1715" s="36" t="n"/>
      <c r="C1715" s="36" t="n"/>
      <c r="D1715" s="36" t="n"/>
      <c r="E1715" s="14" t="n"/>
      <c r="F1715" s="29" t="n"/>
      <c r="G1715" s="29" t="n"/>
      <c r="H1715" s="29" t="n"/>
      <c r="I1715" s="29" t="n"/>
      <c r="J1715" s="29" t="n"/>
      <c r="K1715" s="14" t="n"/>
      <c r="L1715" s="29" t="n"/>
      <c r="M1715" s="14" t="n"/>
      <c r="N1715" s="29" t="n"/>
      <c r="O1715" s="13" t="n"/>
      <c r="P1715" s="13" t="n"/>
      <c r="Q1715" s="35" t="n"/>
      <c r="R1715" s="35" t="n"/>
      <c r="S1715" s="35" t="n"/>
      <c r="T1715" s="35" t="n"/>
      <c r="U1715" s="35" t="n"/>
      <c r="V1715" s="18">
        <f>IF(COUNTA($B1715:$R1715)=0,"",ROUND(N($R1715)+N($S1715)+N($T1715)-N($U1715),2))</f>
        <v/>
      </c>
      <c r="W1715" s="18">
        <f>IF(COUNTA($B1715:$R1715)=0,"",IF(OR($X1715="Pago",$X1715="Recebido",$X1715="Cancelado"),0,ROUND(N($Q1715)+N($S1715)+N($T1715)-N($U1715)-N($R1715),2)))</f>
        <v/>
      </c>
      <c r="X1715" s="14" t="n"/>
      <c r="Y1715" s="17">
        <f>IF(COUNTA($B1715:$R1715)=0,"",IF($X1715="Cancelado","Cancelado",IF(OR($X1715="Pago",$X1715="Recebido"),$X1715,IF(OR($X1715="Parcial",N($R1715)&gt;0),"Parcial",IF($C1715="","Sem vencimento",IF($C1715&lt;TODAY(),"Vencido",IF($C1715=TODAY(),"Vence hoje",IF($C1715&lt;=TODAY()+7,"Vence em 7 dias",IF($C1715&lt;=TODAY()+30,"Vence em 30 dias","Futuro")))))))))</f>
        <v/>
      </c>
      <c r="Z1715" s="24">
        <f>IF($B1715="","",MONTH($B1715))</f>
        <v/>
      </c>
      <c r="AA1715" s="24">
        <f>IF($B1715="","",YEAR($B1715))</f>
        <v/>
      </c>
      <c r="AB1715" s="24">
        <f>IF($B1715="","",ISOWEEKNUM($B1715))</f>
        <v/>
      </c>
      <c r="AC1715" s="17">
        <f>IF($B1715="","",CHOOSE(WEEKDAY($B1715,2),"Segunda","Terça","Quarta","Quinta","Sexta","Sábado","Domingo"))</f>
        <v/>
      </c>
      <c r="AD1715" s="17">
        <f>IF($B1715="","",TEXT($B1715,"MM/AAAA"))</f>
        <v/>
      </c>
      <c r="AE1715" s="18">
        <f>IF(COUNTA($B1715:$R1715)=0,"",IF($X1715="Cancelado",0,ROUND(N($Q1715)+N($S1715)+N($T1715)-N($U1715),2)))</f>
        <v/>
      </c>
      <c r="AF1715" s="9">
        <f>IF($G1715="","",IFERROR(INDEX(LINHAS_DRE_PLANO,MATCH($G1715,SUBCATEGORIAS_PLANO,0)),"Não classificado"))</f>
        <v/>
      </c>
      <c r="AG1715" s="17">
        <f>IF($G1715="","",IFERROR(INDEX(TIPOS_FLUXO_PLANO,MATCH($G1715,SUBCATEGORIAS_PLANO,0)),"Não classificado"))</f>
        <v/>
      </c>
      <c r="AH1715" s="9">
        <f>IF($G1715="","",IFERROR(INDEX(GRUPOS_PLANO,MATCH($G1715,SUBCATEGORIAS_PLANO,0)),"Não classificado"))</f>
        <v/>
      </c>
      <c r="AI1715" s="24">
        <f>IF(OR($C1715="",$X1715="Pago",$X1715="Recebido",$X1715="Cancelado"),"",$C1715-TODAY())</f>
        <v/>
      </c>
      <c r="AJ1715" s="24">
        <f>IF(OR($C1715="",$X1715="Pago",$X1715="Recebido",$X1715="Cancelado"),0,MAX(0,TODAY()-$C1715))</f>
        <v/>
      </c>
      <c r="AK1715" s="24">
        <f>IF($D1715="","",$D1715-$B1715)</f>
        <v/>
      </c>
      <c r="AL1715" s="18">
        <f>IF(OR($D1715="",$B1715=""),"",ROUND(N($R1715)*($D1715-$B1715),2))</f>
        <v/>
      </c>
      <c r="AM1715" s="17">
        <f>IF(AND($E1715="Saída",$W1715&gt;0,$C1715&lt;&gt;""),$C1715+ROW()/1000000,"")</f>
        <v/>
      </c>
      <c r="AN1715" s="17">
        <f>IF(AND($E1715="Entrada",$W1715&gt;0,$C1715&lt;&gt;""),$C1715+ROW()/1000000,"")</f>
        <v/>
      </c>
      <c r="AO1715" s="9">
        <f>IF(COUNTA($B1715:$R1715)=0,"",IF(AND($I1715&lt;&gt;"",COUNTIF(CLIENTES_NOMES,$I1715)+COUNTIF(CLIENTES_FANTASIA,$I1715)+COUNTIF(FORNECEDORES_NOMES,$I1715)+COUNTIF(FORNECEDORES_FANTASIA,$I1715)=0),"⚠ Cliente/Fornecedor não cadastrado",IF(AND($G1715&lt;&gt;"",COUNTIF(SUBCATEGORIAS_PLANO,$G1715)=0),"⚠ Subcategoria fora do plano de contas",IF(OR($Q1715="",N($Q1715)=0),"⚠ Valor previsto não informado",IF(AND(OR($X1715="Pago",$X1715="Recebido"),$D1715=""),"⚠ Status pago/recebido sem data",IF(AND($D1715&lt;&gt;"",N($R1715)=0),"⚠ Data de pagamento sem valor realizado",IF(AND(N($P1715)&gt;1,N($O1715)&gt;N($P1715)),"⚠ Nº da parcela maior que o total",IF(AND($C1715&lt;&gt;"",$B1715&lt;&gt;"",$C1715&lt;$B1715),"⚠ Vencimento anterior à competência","OK"))))))))</f>
        <v/>
      </c>
    </row>
    <row r="1716">
      <c r="A1716" s="14" t="n"/>
      <c r="B1716" s="36" t="n"/>
      <c r="C1716" s="36" t="n"/>
      <c r="D1716" s="36" t="n"/>
      <c r="E1716" s="14" t="n"/>
      <c r="F1716" s="29" t="n"/>
      <c r="G1716" s="29" t="n"/>
      <c r="H1716" s="29" t="n"/>
      <c r="I1716" s="29" t="n"/>
      <c r="J1716" s="29" t="n"/>
      <c r="K1716" s="14" t="n"/>
      <c r="L1716" s="29" t="n"/>
      <c r="M1716" s="14" t="n"/>
      <c r="N1716" s="29" t="n"/>
      <c r="O1716" s="13" t="n"/>
      <c r="P1716" s="13" t="n"/>
      <c r="Q1716" s="35" t="n"/>
      <c r="R1716" s="35" t="n"/>
      <c r="S1716" s="35" t="n"/>
      <c r="T1716" s="35" t="n"/>
      <c r="U1716" s="35" t="n"/>
      <c r="V1716" s="18">
        <f>IF(COUNTA($B1716:$R1716)=0,"",ROUND(N($R1716)+N($S1716)+N($T1716)-N($U1716),2))</f>
        <v/>
      </c>
      <c r="W1716" s="18">
        <f>IF(COUNTA($B1716:$R1716)=0,"",IF(OR($X1716="Pago",$X1716="Recebido",$X1716="Cancelado"),0,ROUND(N($Q1716)+N($S1716)+N($T1716)-N($U1716)-N($R1716),2)))</f>
        <v/>
      </c>
      <c r="X1716" s="14" t="n"/>
      <c r="Y1716" s="17">
        <f>IF(COUNTA($B1716:$R1716)=0,"",IF($X1716="Cancelado","Cancelado",IF(OR($X1716="Pago",$X1716="Recebido"),$X1716,IF(OR($X1716="Parcial",N($R1716)&gt;0),"Parcial",IF($C1716="","Sem vencimento",IF($C1716&lt;TODAY(),"Vencido",IF($C1716=TODAY(),"Vence hoje",IF($C1716&lt;=TODAY()+7,"Vence em 7 dias",IF($C1716&lt;=TODAY()+30,"Vence em 30 dias","Futuro")))))))))</f>
        <v/>
      </c>
      <c r="Z1716" s="24">
        <f>IF($B1716="","",MONTH($B1716))</f>
        <v/>
      </c>
      <c r="AA1716" s="24">
        <f>IF($B1716="","",YEAR($B1716))</f>
        <v/>
      </c>
      <c r="AB1716" s="24">
        <f>IF($B1716="","",ISOWEEKNUM($B1716))</f>
        <v/>
      </c>
      <c r="AC1716" s="17">
        <f>IF($B1716="","",CHOOSE(WEEKDAY($B1716,2),"Segunda","Terça","Quarta","Quinta","Sexta","Sábado","Domingo"))</f>
        <v/>
      </c>
      <c r="AD1716" s="17">
        <f>IF($B1716="","",TEXT($B1716,"MM/AAAA"))</f>
        <v/>
      </c>
      <c r="AE1716" s="18">
        <f>IF(COUNTA($B1716:$R1716)=0,"",IF($X1716="Cancelado",0,ROUND(N($Q1716)+N($S1716)+N($T1716)-N($U1716),2)))</f>
        <v/>
      </c>
      <c r="AF1716" s="9">
        <f>IF($G1716="","",IFERROR(INDEX(LINHAS_DRE_PLANO,MATCH($G1716,SUBCATEGORIAS_PLANO,0)),"Não classificado"))</f>
        <v/>
      </c>
      <c r="AG1716" s="17">
        <f>IF($G1716="","",IFERROR(INDEX(TIPOS_FLUXO_PLANO,MATCH($G1716,SUBCATEGORIAS_PLANO,0)),"Não classificado"))</f>
        <v/>
      </c>
      <c r="AH1716" s="9">
        <f>IF($G1716="","",IFERROR(INDEX(GRUPOS_PLANO,MATCH($G1716,SUBCATEGORIAS_PLANO,0)),"Não classificado"))</f>
        <v/>
      </c>
      <c r="AI1716" s="24">
        <f>IF(OR($C1716="",$X1716="Pago",$X1716="Recebido",$X1716="Cancelado"),"",$C1716-TODAY())</f>
        <v/>
      </c>
      <c r="AJ1716" s="24">
        <f>IF(OR($C1716="",$X1716="Pago",$X1716="Recebido",$X1716="Cancelado"),0,MAX(0,TODAY()-$C1716))</f>
        <v/>
      </c>
      <c r="AK1716" s="24">
        <f>IF($D1716="","",$D1716-$B1716)</f>
        <v/>
      </c>
      <c r="AL1716" s="18">
        <f>IF(OR($D1716="",$B1716=""),"",ROUND(N($R1716)*($D1716-$B1716),2))</f>
        <v/>
      </c>
      <c r="AM1716" s="17">
        <f>IF(AND($E1716="Saída",$W1716&gt;0,$C1716&lt;&gt;""),$C1716+ROW()/1000000,"")</f>
        <v/>
      </c>
      <c r="AN1716" s="17">
        <f>IF(AND($E1716="Entrada",$W1716&gt;0,$C1716&lt;&gt;""),$C1716+ROW()/1000000,"")</f>
        <v/>
      </c>
      <c r="AO1716" s="9">
        <f>IF(COUNTA($B1716:$R1716)=0,"",IF(AND($I1716&lt;&gt;"",COUNTIF(CLIENTES_NOMES,$I1716)+COUNTIF(CLIENTES_FANTASIA,$I1716)+COUNTIF(FORNECEDORES_NOMES,$I1716)+COUNTIF(FORNECEDORES_FANTASIA,$I1716)=0),"⚠ Cliente/Fornecedor não cadastrado",IF(AND($G1716&lt;&gt;"",COUNTIF(SUBCATEGORIAS_PLANO,$G1716)=0),"⚠ Subcategoria fora do plano de contas",IF(OR($Q1716="",N($Q1716)=0),"⚠ Valor previsto não informado",IF(AND(OR($X1716="Pago",$X1716="Recebido"),$D1716=""),"⚠ Status pago/recebido sem data",IF(AND($D1716&lt;&gt;"",N($R1716)=0),"⚠ Data de pagamento sem valor realizado",IF(AND(N($P1716)&gt;1,N($O1716)&gt;N($P1716)),"⚠ Nº da parcela maior que o total",IF(AND($C1716&lt;&gt;"",$B1716&lt;&gt;"",$C1716&lt;$B1716),"⚠ Vencimento anterior à competência","OK"))))))))</f>
        <v/>
      </c>
    </row>
    <row r="1717">
      <c r="A1717" s="14" t="n"/>
      <c r="B1717" s="36" t="n"/>
      <c r="C1717" s="36" t="n"/>
      <c r="D1717" s="36" t="n"/>
      <c r="E1717" s="14" t="n"/>
      <c r="F1717" s="29" t="n"/>
      <c r="G1717" s="29" t="n"/>
      <c r="H1717" s="29" t="n"/>
      <c r="I1717" s="29" t="n"/>
      <c r="J1717" s="29" t="n"/>
      <c r="K1717" s="14" t="n"/>
      <c r="L1717" s="29" t="n"/>
      <c r="M1717" s="14" t="n"/>
      <c r="N1717" s="29" t="n"/>
      <c r="O1717" s="13" t="n"/>
      <c r="P1717" s="13" t="n"/>
      <c r="Q1717" s="35" t="n"/>
      <c r="R1717" s="35" t="n"/>
      <c r="S1717" s="35" t="n"/>
      <c r="T1717" s="35" t="n"/>
      <c r="U1717" s="35" t="n"/>
      <c r="V1717" s="18">
        <f>IF(COUNTA($B1717:$R1717)=0,"",ROUND(N($R1717)+N($S1717)+N($T1717)-N($U1717),2))</f>
        <v/>
      </c>
      <c r="W1717" s="18">
        <f>IF(COUNTA($B1717:$R1717)=0,"",IF(OR($X1717="Pago",$X1717="Recebido",$X1717="Cancelado"),0,ROUND(N($Q1717)+N($S1717)+N($T1717)-N($U1717)-N($R1717),2)))</f>
        <v/>
      </c>
      <c r="X1717" s="14" t="n"/>
      <c r="Y1717" s="17">
        <f>IF(COUNTA($B1717:$R1717)=0,"",IF($X1717="Cancelado","Cancelado",IF(OR($X1717="Pago",$X1717="Recebido"),$X1717,IF(OR($X1717="Parcial",N($R1717)&gt;0),"Parcial",IF($C1717="","Sem vencimento",IF($C1717&lt;TODAY(),"Vencido",IF($C1717=TODAY(),"Vence hoje",IF($C1717&lt;=TODAY()+7,"Vence em 7 dias",IF($C1717&lt;=TODAY()+30,"Vence em 30 dias","Futuro")))))))))</f>
        <v/>
      </c>
      <c r="Z1717" s="24">
        <f>IF($B1717="","",MONTH($B1717))</f>
        <v/>
      </c>
      <c r="AA1717" s="24">
        <f>IF($B1717="","",YEAR($B1717))</f>
        <v/>
      </c>
      <c r="AB1717" s="24">
        <f>IF($B1717="","",ISOWEEKNUM($B1717))</f>
        <v/>
      </c>
      <c r="AC1717" s="17">
        <f>IF($B1717="","",CHOOSE(WEEKDAY($B1717,2),"Segunda","Terça","Quarta","Quinta","Sexta","Sábado","Domingo"))</f>
        <v/>
      </c>
      <c r="AD1717" s="17">
        <f>IF($B1717="","",TEXT($B1717,"MM/AAAA"))</f>
        <v/>
      </c>
      <c r="AE1717" s="18">
        <f>IF(COUNTA($B1717:$R1717)=0,"",IF($X1717="Cancelado",0,ROUND(N($Q1717)+N($S1717)+N($T1717)-N($U1717),2)))</f>
        <v/>
      </c>
      <c r="AF1717" s="9">
        <f>IF($G1717="","",IFERROR(INDEX(LINHAS_DRE_PLANO,MATCH($G1717,SUBCATEGORIAS_PLANO,0)),"Não classificado"))</f>
        <v/>
      </c>
      <c r="AG1717" s="17">
        <f>IF($G1717="","",IFERROR(INDEX(TIPOS_FLUXO_PLANO,MATCH($G1717,SUBCATEGORIAS_PLANO,0)),"Não classificado"))</f>
        <v/>
      </c>
      <c r="AH1717" s="9">
        <f>IF($G1717="","",IFERROR(INDEX(GRUPOS_PLANO,MATCH($G1717,SUBCATEGORIAS_PLANO,0)),"Não classificado"))</f>
        <v/>
      </c>
      <c r="AI1717" s="24">
        <f>IF(OR($C1717="",$X1717="Pago",$X1717="Recebido",$X1717="Cancelado"),"",$C1717-TODAY())</f>
        <v/>
      </c>
      <c r="AJ1717" s="24">
        <f>IF(OR($C1717="",$X1717="Pago",$X1717="Recebido",$X1717="Cancelado"),0,MAX(0,TODAY()-$C1717))</f>
        <v/>
      </c>
      <c r="AK1717" s="24">
        <f>IF($D1717="","",$D1717-$B1717)</f>
        <v/>
      </c>
      <c r="AL1717" s="18">
        <f>IF(OR($D1717="",$B1717=""),"",ROUND(N($R1717)*($D1717-$B1717),2))</f>
        <v/>
      </c>
      <c r="AM1717" s="17">
        <f>IF(AND($E1717="Saída",$W1717&gt;0,$C1717&lt;&gt;""),$C1717+ROW()/1000000,"")</f>
        <v/>
      </c>
      <c r="AN1717" s="17">
        <f>IF(AND($E1717="Entrada",$W1717&gt;0,$C1717&lt;&gt;""),$C1717+ROW()/1000000,"")</f>
        <v/>
      </c>
      <c r="AO1717" s="9">
        <f>IF(COUNTA($B1717:$R1717)=0,"",IF(AND($I1717&lt;&gt;"",COUNTIF(CLIENTES_NOMES,$I1717)+COUNTIF(CLIENTES_FANTASIA,$I1717)+COUNTIF(FORNECEDORES_NOMES,$I1717)+COUNTIF(FORNECEDORES_FANTASIA,$I1717)=0),"⚠ Cliente/Fornecedor não cadastrado",IF(AND($G1717&lt;&gt;"",COUNTIF(SUBCATEGORIAS_PLANO,$G1717)=0),"⚠ Subcategoria fora do plano de contas",IF(OR($Q1717="",N($Q1717)=0),"⚠ Valor previsto não informado",IF(AND(OR($X1717="Pago",$X1717="Recebido"),$D1717=""),"⚠ Status pago/recebido sem data",IF(AND($D1717&lt;&gt;"",N($R1717)=0),"⚠ Data de pagamento sem valor realizado",IF(AND(N($P1717)&gt;1,N($O1717)&gt;N($P1717)),"⚠ Nº da parcela maior que o total",IF(AND($C1717&lt;&gt;"",$B1717&lt;&gt;"",$C1717&lt;$B1717),"⚠ Vencimento anterior à competência","OK"))))))))</f>
        <v/>
      </c>
    </row>
    <row r="1718">
      <c r="A1718" s="14" t="n"/>
      <c r="B1718" s="36" t="n"/>
      <c r="C1718" s="36" t="n"/>
      <c r="D1718" s="36" t="n"/>
      <c r="E1718" s="14" t="n"/>
      <c r="F1718" s="29" t="n"/>
      <c r="G1718" s="29" t="n"/>
      <c r="H1718" s="29" t="n"/>
      <c r="I1718" s="29" t="n"/>
      <c r="J1718" s="29" t="n"/>
      <c r="K1718" s="14" t="n"/>
      <c r="L1718" s="29" t="n"/>
      <c r="M1718" s="14" t="n"/>
      <c r="N1718" s="29" t="n"/>
      <c r="O1718" s="13" t="n"/>
      <c r="P1718" s="13" t="n"/>
      <c r="Q1718" s="35" t="n"/>
      <c r="R1718" s="35" t="n"/>
      <c r="S1718" s="35" t="n"/>
      <c r="T1718" s="35" t="n"/>
      <c r="U1718" s="35" t="n"/>
      <c r="V1718" s="18">
        <f>IF(COUNTA($B1718:$R1718)=0,"",ROUND(N($R1718)+N($S1718)+N($T1718)-N($U1718),2))</f>
        <v/>
      </c>
      <c r="W1718" s="18">
        <f>IF(COUNTA($B1718:$R1718)=0,"",IF(OR($X1718="Pago",$X1718="Recebido",$X1718="Cancelado"),0,ROUND(N($Q1718)+N($S1718)+N($T1718)-N($U1718)-N($R1718),2)))</f>
        <v/>
      </c>
      <c r="X1718" s="14" t="n"/>
      <c r="Y1718" s="17">
        <f>IF(COUNTA($B1718:$R1718)=0,"",IF($X1718="Cancelado","Cancelado",IF(OR($X1718="Pago",$X1718="Recebido"),$X1718,IF(OR($X1718="Parcial",N($R1718)&gt;0),"Parcial",IF($C1718="","Sem vencimento",IF($C1718&lt;TODAY(),"Vencido",IF($C1718=TODAY(),"Vence hoje",IF($C1718&lt;=TODAY()+7,"Vence em 7 dias",IF($C1718&lt;=TODAY()+30,"Vence em 30 dias","Futuro")))))))))</f>
        <v/>
      </c>
      <c r="Z1718" s="24">
        <f>IF($B1718="","",MONTH($B1718))</f>
        <v/>
      </c>
      <c r="AA1718" s="24">
        <f>IF($B1718="","",YEAR($B1718))</f>
        <v/>
      </c>
      <c r="AB1718" s="24">
        <f>IF($B1718="","",ISOWEEKNUM($B1718))</f>
        <v/>
      </c>
      <c r="AC1718" s="17">
        <f>IF($B1718="","",CHOOSE(WEEKDAY($B1718,2),"Segunda","Terça","Quarta","Quinta","Sexta","Sábado","Domingo"))</f>
        <v/>
      </c>
      <c r="AD1718" s="17">
        <f>IF($B1718="","",TEXT($B1718,"MM/AAAA"))</f>
        <v/>
      </c>
      <c r="AE1718" s="18">
        <f>IF(COUNTA($B1718:$R1718)=0,"",IF($X1718="Cancelado",0,ROUND(N($Q1718)+N($S1718)+N($T1718)-N($U1718),2)))</f>
        <v/>
      </c>
      <c r="AF1718" s="9">
        <f>IF($G1718="","",IFERROR(INDEX(LINHAS_DRE_PLANO,MATCH($G1718,SUBCATEGORIAS_PLANO,0)),"Não classificado"))</f>
        <v/>
      </c>
      <c r="AG1718" s="17">
        <f>IF($G1718="","",IFERROR(INDEX(TIPOS_FLUXO_PLANO,MATCH($G1718,SUBCATEGORIAS_PLANO,0)),"Não classificado"))</f>
        <v/>
      </c>
      <c r="AH1718" s="9">
        <f>IF($G1718="","",IFERROR(INDEX(GRUPOS_PLANO,MATCH($G1718,SUBCATEGORIAS_PLANO,0)),"Não classificado"))</f>
        <v/>
      </c>
      <c r="AI1718" s="24">
        <f>IF(OR($C1718="",$X1718="Pago",$X1718="Recebido",$X1718="Cancelado"),"",$C1718-TODAY())</f>
        <v/>
      </c>
      <c r="AJ1718" s="24">
        <f>IF(OR($C1718="",$X1718="Pago",$X1718="Recebido",$X1718="Cancelado"),0,MAX(0,TODAY()-$C1718))</f>
        <v/>
      </c>
      <c r="AK1718" s="24">
        <f>IF($D1718="","",$D1718-$B1718)</f>
        <v/>
      </c>
      <c r="AL1718" s="18">
        <f>IF(OR($D1718="",$B1718=""),"",ROUND(N($R1718)*($D1718-$B1718),2))</f>
        <v/>
      </c>
      <c r="AM1718" s="17">
        <f>IF(AND($E1718="Saída",$W1718&gt;0,$C1718&lt;&gt;""),$C1718+ROW()/1000000,"")</f>
        <v/>
      </c>
      <c r="AN1718" s="17">
        <f>IF(AND($E1718="Entrada",$W1718&gt;0,$C1718&lt;&gt;""),$C1718+ROW()/1000000,"")</f>
        <v/>
      </c>
      <c r="AO1718" s="9">
        <f>IF(COUNTA($B1718:$R1718)=0,"",IF(AND($I1718&lt;&gt;"",COUNTIF(CLIENTES_NOMES,$I1718)+COUNTIF(CLIENTES_FANTASIA,$I1718)+COUNTIF(FORNECEDORES_NOMES,$I1718)+COUNTIF(FORNECEDORES_FANTASIA,$I1718)=0),"⚠ Cliente/Fornecedor não cadastrado",IF(AND($G1718&lt;&gt;"",COUNTIF(SUBCATEGORIAS_PLANO,$G1718)=0),"⚠ Subcategoria fora do plano de contas",IF(OR($Q1718="",N($Q1718)=0),"⚠ Valor previsto não informado",IF(AND(OR($X1718="Pago",$X1718="Recebido"),$D1718=""),"⚠ Status pago/recebido sem data",IF(AND($D1718&lt;&gt;"",N($R1718)=0),"⚠ Data de pagamento sem valor realizado",IF(AND(N($P1718)&gt;1,N($O1718)&gt;N($P1718)),"⚠ Nº da parcela maior que o total",IF(AND($C1718&lt;&gt;"",$B1718&lt;&gt;"",$C1718&lt;$B1718),"⚠ Vencimento anterior à competência","OK"))))))))</f>
        <v/>
      </c>
    </row>
    <row r="1719">
      <c r="A1719" s="14" t="n"/>
      <c r="B1719" s="36" t="n"/>
      <c r="C1719" s="36" t="n"/>
      <c r="D1719" s="36" t="n"/>
      <c r="E1719" s="14" t="n"/>
      <c r="F1719" s="29" t="n"/>
      <c r="G1719" s="29" t="n"/>
      <c r="H1719" s="29" t="n"/>
      <c r="I1719" s="29" t="n"/>
      <c r="J1719" s="29" t="n"/>
      <c r="K1719" s="14" t="n"/>
      <c r="L1719" s="29" t="n"/>
      <c r="M1719" s="14" t="n"/>
      <c r="N1719" s="29" t="n"/>
      <c r="O1719" s="13" t="n"/>
      <c r="P1719" s="13" t="n"/>
      <c r="Q1719" s="35" t="n"/>
      <c r="R1719" s="35" t="n"/>
      <c r="S1719" s="35" t="n"/>
      <c r="T1719" s="35" t="n"/>
      <c r="U1719" s="35" t="n"/>
      <c r="V1719" s="18">
        <f>IF(COUNTA($B1719:$R1719)=0,"",ROUND(N($R1719)+N($S1719)+N($T1719)-N($U1719),2))</f>
        <v/>
      </c>
      <c r="W1719" s="18">
        <f>IF(COUNTA($B1719:$R1719)=0,"",IF(OR($X1719="Pago",$X1719="Recebido",$X1719="Cancelado"),0,ROUND(N($Q1719)+N($S1719)+N($T1719)-N($U1719)-N($R1719),2)))</f>
        <v/>
      </c>
      <c r="X1719" s="14" t="n"/>
      <c r="Y1719" s="17">
        <f>IF(COUNTA($B1719:$R1719)=0,"",IF($X1719="Cancelado","Cancelado",IF(OR($X1719="Pago",$X1719="Recebido"),$X1719,IF(OR($X1719="Parcial",N($R1719)&gt;0),"Parcial",IF($C1719="","Sem vencimento",IF($C1719&lt;TODAY(),"Vencido",IF($C1719=TODAY(),"Vence hoje",IF($C1719&lt;=TODAY()+7,"Vence em 7 dias",IF($C1719&lt;=TODAY()+30,"Vence em 30 dias","Futuro")))))))))</f>
        <v/>
      </c>
      <c r="Z1719" s="24">
        <f>IF($B1719="","",MONTH($B1719))</f>
        <v/>
      </c>
      <c r="AA1719" s="24">
        <f>IF($B1719="","",YEAR($B1719))</f>
        <v/>
      </c>
      <c r="AB1719" s="24">
        <f>IF($B1719="","",ISOWEEKNUM($B1719))</f>
        <v/>
      </c>
      <c r="AC1719" s="17">
        <f>IF($B1719="","",CHOOSE(WEEKDAY($B1719,2),"Segunda","Terça","Quarta","Quinta","Sexta","Sábado","Domingo"))</f>
        <v/>
      </c>
      <c r="AD1719" s="17">
        <f>IF($B1719="","",TEXT($B1719,"MM/AAAA"))</f>
        <v/>
      </c>
      <c r="AE1719" s="18">
        <f>IF(COUNTA($B1719:$R1719)=0,"",IF($X1719="Cancelado",0,ROUND(N($Q1719)+N($S1719)+N($T1719)-N($U1719),2)))</f>
        <v/>
      </c>
      <c r="AF1719" s="9">
        <f>IF($G1719="","",IFERROR(INDEX(LINHAS_DRE_PLANO,MATCH($G1719,SUBCATEGORIAS_PLANO,0)),"Não classificado"))</f>
        <v/>
      </c>
      <c r="AG1719" s="17">
        <f>IF($G1719="","",IFERROR(INDEX(TIPOS_FLUXO_PLANO,MATCH($G1719,SUBCATEGORIAS_PLANO,0)),"Não classificado"))</f>
        <v/>
      </c>
      <c r="AH1719" s="9">
        <f>IF($G1719="","",IFERROR(INDEX(GRUPOS_PLANO,MATCH($G1719,SUBCATEGORIAS_PLANO,0)),"Não classificado"))</f>
        <v/>
      </c>
      <c r="AI1719" s="24">
        <f>IF(OR($C1719="",$X1719="Pago",$X1719="Recebido",$X1719="Cancelado"),"",$C1719-TODAY())</f>
        <v/>
      </c>
      <c r="AJ1719" s="24">
        <f>IF(OR($C1719="",$X1719="Pago",$X1719="Recebido",$X1719="Cancelado"),0,MAX(0,TODAY()-$C1719))</f>
        <v/>
      </c>
      <c r="AK1719" s="24">
        <f>IF($D1719="","",$D1719-$B1719)</f>
        <v/>
      </c>
      <c r="AL1719" s="18">
        <f>IF(OR($D1719="",$B1719=""),"",ROUND(N($R1719)*($D1719-$B1719),2))</f>
        <v/>
      </c>
      <c r="AM1719" s="17">
        <f>IF(AND($E1719="Saída",$W1719&gt;0,$C1719&lt;&gt;""),$C1719+ROW()/1000000,"")</f>
        <v/>
      </c>
      <c r="AN1719" s="17">
        <f>IF(AND($E1719="Entrada",$W1719&gt;0,$C1719&lt;&gt;""),$C1719+ROW()/1000000,"")</f>
        <v/>
      </c>
      <c r="AO1719" s="9">
        <f>IF(COUNTA($B1719:$R1719)=0,"",IF(AND($I1719&lt;&gt;"",COUNTIF(CLIENTES_NOMES,$I1719)+COUNTIF(CLIENTES_FANTASIA,$I1719)+COUNTIF(FORNECEDORES_NOMES,$I1719)+COUNTIF(FORNECEDORES_FANTASIA,$I1719)=0),"⚠ Cliente/Fornecedor não cadastrado",IF(AND($G1719&lt;&gt;"",COUNTIF(SUBCATEGORIAS_PLANO,$G1719)=0),"⚠ Subcategoria fora do plano de contas",IF(OR($Q1719="",N($Q1719)=0),"⚠ Valor previsto não informado",IF(AND(OR($X1719="Pago",$X1719="Recebido"),$D1719=""),"⚠ Status pago/recebido sem data",IF(AND($D1719&lt;&gt;"",N($R1719)=0),"⚠ Data de pagamento sem valor realizado",IF(AND(N($P1719)&gt;1,N($O1719)&gt;N($P1719)),"⚠ Nº da parcela maior que o total",IF(AND($C1719&lt;&gt;"",$B1719&lt;&gt;"",$C1719&lt;$B1719),"⚠ Vencimento anterior à competência","OK"))))))))</f>
        <v/>
      </c>
    </row>
    <row r="1720">
      <c r="A1720" s="14" t="n"/>
      <c r="B1720" s="36" t="n"/>
      <c r="C1720" s="36" t="n"/>
      <c r="D1720" s="36" t="n"/>
      <c r="E1720" s="14" t="n"/>
      <c r="F1720" s="29" t="n"/>
      <c r="G1720" s="29" t="n"/>
      <c r="H1720" s="29" t="n"/>
      <c r="I1720" s="29" t="n"/>
      <c r="J1720" s="29" t="n"/>
      <c r="K1720" s="14" t="n"/>
      <c r="L1720" s="29" t="n"/>
      <c r="M1720" s="14" t="n"/>
      <c r="N1720" s="29" t="n"/>
      <c r="O1720" s="13" t="n"/>
      <c r="P1720" s="13" t="n"/>
      <c r="Q1720" s="35" t="n"/>
      <c r="R1720" s="35" t="n"/>
      <c r="S1720" s="35" t="n"/>
      <c r="T1720" s="35" t="n"/>
      <c r="U1720" s="35" t="n"/>
      <c r="V1720" s="18">
        <f>IF(COUNTA($B1720:$R1720)=0,"",ROUND(N($R1720)+N($S1720)+N($T1720)-N($U1720),2))</f>
        <v/>
      </c>
      <c r="W1720" s="18">
        <f>IF(COUNTA($B1720:$R1720)=0,"",IF(OR($X1720="Pago",$X1720="Recebido",$X1720="Cancelado"),0,ROUND(N($Q1720)+N($S1720)+N($T1720)-N($U1720)-N($R1720),2)))</f>
        <v/>
      </c>
      <c r="X1720" s="14" t="n"/>
      <c r="Y1720" s="17">
        <f>IF(COUNTA($B1720:$R1720)=0,"",IF($X1720="Cancelado","Cancelado",IF(OR($X1720="Pago",$X1720="Recebido"),$X1720,IF(OR($X1720="Parcial",N($R1720)&gt;0),"Parcial",IF($C1720="","Sem vencimento",IF($C1720&lt;TODAY(),"Vencido",IF($C1720=TODAY(),"Vence hoje",IF($C1720&lt;=TODAY()+7,"Vence em 7 dias",IF($C1720&lt;=TODAY()+30,"Vence em 30 dias","Futuro")))))))))</f>
        <v/>
      </c>
      <c r="Z1720" s="24">
        <f>IF($B1720="","",MONTH($B1720))</f>
        <v/>
      </c>
      <c r="AA1720" s="24">
        <f>IF($B1720="","",YEAR($B1720))</f>
        <v/>
      </c>
      <c r="AB1720" s="24">
        <f>IF($B1720="","",ISOWEEKNUM($B1720))</f>
        <v/>
      </c>
      <c r="AC1720" s="17">
        <f>IF($B1720="","",CHOOSE(WEEKDAY($B1720,2),"Segunda","Terça","Quarta","Quinta","Sexta","Sábado","Domingo"))</f>
        <v/>
      </c>
      <c r="AD1720" s="17">
        <f>IF($B1720="","",TEXT($B1720,"MM/AAAA"))</f>
        <v/>
      </c>
      <c r="AE1720" s="18">
        <f>IF(COUNTA($B1720:$R1720)=0,"",IF($X1720="Cancelado",0,ROUND(N($Q1720)+N($S1720)+N($T1720)-N($U1720),2)))</f>
        <v/>
      </c>
      <c r="AF1720" s="9">
        <f>IF($G1720="","",IFERROR(INDEX(LINHAS_DRE_PLANO,MATCH($G1720,SUBCATEGORIAS_PLANO,0)),"Não classificado"))</f>
        <v/>
      </c>
      <c r="AG1720" s="17">
        <f>IF($G1720="","",IFERROR(INDEX(TIPOS_FLUXO_PLANO,MATCH($G1720,SUBCATEGORIAS_PLANO,0)),"Não classificado"))</f>
        <v/>
      </c>
      <c r="AH1720" s="9">
        <f>IF($G1720="","",IFERROR(INDEX(GRUPOS_PLANO,MATCH($G1720,SUBCATEGORIAS_PLANO,0)),"Não classificado"))</f>
        <v/>
      </c>
      <c r="AI1720" s="24">
        <f>IF(OR($C1720="",$X1720="Pago",$X1720="Recebido",$X1720="Cancelado"),"",$C1720-TODAY())</f>
        <v/>
      </c>
      <c r="AJ1720" s="24">
        <f>IF(OR($C1720="",$X1720="Pago",$X1720="Recebido",$X1720="Cancelado"),0,MAX(0,TODAY()-$C1720))</f>
        <v/>
      </c>
      <c r="AK1720" s="24">
        <f>IF($D1720="","",$D1720-$B1720)</f>
        <v/>
      </c>
      <c r="AL1720" s="18">
        <f>IF(OR($D1720="",$B1720=""),"",ROUND(N($R1720)*($D1720-$B1720),2))</f>
        <v/>
      </c>
      <c r="AM1720" s="17">
        <f>IF(AND($E1720="Saída",$W1720&gt;0,$C1720&lt;&gt;""),$C1720+ROW()/1000000,"")</f>
        <v/>
      </c>
      <c r="AN1720" s="17">
        <f>IF(AND($E1720="Entrada",$W1720&gt;0,$C1720&lt;&gt;""),$C1720+ROW()/1000000,"")</f>
        <v/>
      </c>
      <c r="AO1720" s="9">
        <f>IF(COUNTA($B1720:$R1720)=0,"",IF(AND($I1720&lt;&gt;"",COUNTIF(CLIENTES_NOMES,$I1720)+COUNTIF(CLIENTES_FANTASIA,$I1720)+COUNTIF(FORNECEDORES_NOMES,$I1720)+COUNTIF(FORNECEDORES_FANTASIA,$I1720)=0),"⚠ Cliente/Fornecedor não cadastrado",IF(AND($G1720&lt;&gt;"",COUNTIF(SUBCATEGORIAS_PLANO,$G1720)=0),"⚠ Subcategoria fora do plano de contas",IF(OR($Q1720="",N($Q1720)=0),"⚠ Valor previsto não informado",IF(AND(OR($X1720="Pago",$X1720="Recebido"),$D1720=""),"⚠ Status pago/recebido sem data",IF(AND($D1720&lt;&gt;"",N($R1720)=0),"⚠ Data de pagamento sem valor realizado",IF(AND(N($P1720)&gt;1,N($O1720)&gt;N($P1720)),"⚠ Nº da parcela maior que o total",IF(AND($C1720&lt;&gt;"",$B1720&lt;&gt;"",$C1720&lt;$B1720),"⚠ Vencimento anterior à competência","OK"))))))))</f>
        <v/>
      </c>
    </row>
    <row r="1721">
      <c r="A1721" s="14" t="n"/>
      <c r="B1721" s="36" t="n"/>
      <c r="C1721" s="36" t="n"/>
      <c r="D1721" s="36" t="n"/>
      <c r="E1721" s="14" t="n"/>
      <c r="F1721" s="29" t="n"/>
      <c r="G1721" s="29" t="n"/>
      <c r="H1721" s="29" t="n"/>
      <c r="I1721" s="29" t="n"/>
      <c r="J1721" s="29" t="n"/>
      <c r="K1721" s="14" t="n"/>
      <c r="L1721" s="29" t="n"/>
      <c r="M1721" s="14" t="n"/>
      <c r="N1721" s="29" t="n"/>
      <c r="O1721" s="13" t="n"/>
      <c r="P1721" s="13" t="n"/>
      <c r="Q1721" s="35" t="n"/>
      <c r="R1721" s="35" t="n"/>
      <c r="S1721" s="35" t="n"/>
      <c r="T1721" s="35" t="n"/>
      <c r="U1721" s="35" t="n"/>
      <c r="V1721" s="18">
        <f>IF(COUNTA($B1721:$R1721)=0,"",ROUND(N($R1721)+N($S1721)+N($T1721)-N($U1721),2))</f>
        <v/>
      </c>
      <c r="W1721" s="18">
        <f>IF(COUNTA($B1721:$R1721)=0,"",IF(OR($X1721="Pago",$X1721="Recebido",$X1721="Cancelado"),0,ROUND(N($Q1721)+N($S1721)+N($T1721)-N($U1721)-N($R1721),2)))</f>
        <v/>
      </c>
      <c r="X1721" s="14" t="n"/>
      <c r="Y1721" s="17">
        <f>IF(COUNTA($B1721:$R1721)=0,"",IF($X1721="Cancelado","Cancelado",IF(OR($X1721="Pago",$X1721="Recebido"),$X1721,IF(OR($X1721="Parcial",N($R1721)&gt;0),"Parcial",IF($C1721="","Sem vencimento",IF($C1721&lt;TODAY(),"Vencido",IF($C1721=TODAY(),"Vence hoje",IF($C1721&lt;=TODAY()+7,"Vence em 7 dias",IF($C1721&lt;=TODAY()+30,"Vence em 30 dias","Futuro")))))))))</f>
        <v/>
      </c>
      <c r="Z1721" s="24">
        <f>IF($B1721="","",MONTH($B1721))</f>
        <v/>
      </c>
      <c r="AA1721" s="24">
        <f>IF($B1721="","",YEAR($B1721))</f>
        <v/>
      </c>
      <c r="AB1721" s="24">
        <f>IF($B1721="","",ISOWEEKNUM($B1721))</f>
        <v/>
      </c>
      <c r="AC1721" s="17">
        <f>IF($B1721="","",CHOOSE(WEEKDAY($B1721,2),"Segunda","Terça","Quarta","Quinta","Sexta","Sábado","Domingo"))</f>
        <v/>
      </c>
      <c r="AD1721" s="17">
        <f>IF($B1721="","",TEXT($B1721,"MM/AAAA"))</f>
        <v/>
      </c>
      <c r="AE1721" s="18">
        <f>IF(COUNTA($B1721:$R1721)=0,"",IF($X1721="Cancelado",0,ROUND(N($Q1721)+N($S1721)+N($T1721)-N($U1721),2)))</f>
        <v/>
      </c>
      <c r="AF1721" s="9">
        <f>IF($G1721="","",IFERROR(INDEX(LINHAS_DRE_PLANO,MATCH($G1721,SUBCATEGORIAS_PLANO,0)),"Não classificado"))</f>
        <v/>
      </c>
      <c r="AG1721" s="17">
        <f>IF($G1721="","",IFERROR(INDEX(TIPOS_FLUXO_PLANO,MATCH($G1721,SUBCATEGORIAS_PLANO,0)),"Não classificado"))</f>
        <v/>
      </c>
      <c r="AH1721" s="9">
        <f>IF($G1721="","",IFERROR(INDEX(GRUPOS_PLANO,MATCH($G1721,SUBCATEGORIAS_PLANO,0)),"Não classificado"))</f>
        <v/>
      </c>
      <c r="AI1721" s="24">
        <f>IF(OR($C1721="",$X1721="Pago",$X1721="Recebido",$X1721="Cancelado"),"",$C1721-TODAY())</f>
        <v/>
      </c>
      <c r="AJ1721" s="24">
        <f>IF(OR($C1721="",$X1721="Pago",$X1721="Recebido",$X1721="Cancelado"),0,MAX(0,TODAY()-$C1721))</f>
        <v/>
      </c>
      <c r="AK1721" s="24">
        <f>IF($D1721="","",$D1721-$B1721)</f>
        <v/>
      </c>
      <c r="AL1721" s="18">
        <f>IF(OR($D1721="",$B1721=""),"",ROUND(N($R1721)*($D1721-$B1721),2))</f>
        <v/>
      </c>
      <c r="AM1721" s="17">
        <f>IF(AND($E1721="Saída",$W1721&gt;0,$C1721&lt;&gt;""),$C1721+ROW()/1000000,"")</f>
        <v/>
      </c>
      <c r="AN1721" s="17">
        <f>IF(AND($E1721="Entrada",$W1721&gt;0,$C1721&lt;&gt;""),$C1721+ROW()/1000000,"")</f>
        <v/>
      </c>
      <c r="AO1721" s="9">
        <f>IF(COUNTA($B1721:$R1721)=0,"",IF(AND($I1721&lt;&gt;"",COUNTIF(CLIENTES_NOMES,$I1721)+COUNTIF(CLIENTES_FANTASIA,$I1721)+COUNTIF(FORNECEDORES_NOMES,$I1721)+COUNTIF(FORNECEDORES_FANTASIA,$I1721)=0),"⚠ Cliente/Fornecedor não cadastrado",IF(AND($G1721&lt;&gt;"",COUNTIF(SUBCATEGORIAS_PLANO,$G1721)=0),"⚠ Subcategoria fora do plano de contas",IF(OR($Q1721="",N($Q1721)=0),"⚠ Valor previsto não informado",IF(AND(OR($X1721="Pago",$X1721="Recebido"),$D1721=""),"⚠ Status pago/recebido sem data",IF(AND($D1721&lt;&gt;"",N($R1721)=0),"⚠ Data de pagamento sem valor realizado",IF(AND(N($P1721)&gt;1,N($O1721)&gt;N($P1721)),"⚠ Nº da parcela maior que o total",IF(AND($C1721&lt;&gt;"",$B1721&lt;&gt;"",$C1721&lt;$B1721),"⚠ Vencimento anterior à competência","OK"))))))))</f>
        <v/>
      </c>
    </row>
    <row r="1722">
      <c r="A1722" s="14" t="n"/>
      <c r="B1722" s="36" t="n"/>
      <c r="C1722" s="36" t="n"/>
      <c r="D1722" s="36" t="n"/>
      <c r="E1722" s="14" t="n"/>
      <c r="F1722" s="29" t="n"/>
      <c r="G1722" s="29" t="n"/>
      <c r="H1722" s="29" t="n"/>
      <c r="I1722" s="29" t="n"/>
      <c r="J1722" s="29" t="n"/>
      <c r="K1722" s="14" t="n"/>
      <c r="L1722" s="29" t="n"/>
      <c r="M1722" s="14" t="n"/>
      <c r="N1722" s="29" t="n"/>
      <c r="O1722" s="13" t="n"/>
      <c r="P1722" s="13" t="n"/>
      <c r="Q1722" s="35" t="n"/>
      <c r="R1722" s="35" t="n"/>
      <c r="S1722" s="35" t="n"/>
      <c r="T1722" s="35" t="n"/>
      <c r="U1722" s="35" t="n"/>
      <c r="V1722" s="18">
        <f>IF(COUNTA($B1722:$R1722)=0,"",ROUND(N($R1722)+N($S1722)+N($T1722)-N($U1722),2))</f>
        <v/>
      </c>
      <c r="W1722" s="18">
        <f>IF(COUNTA($B1722:$R1722)=0,"",IF(OR($X1722="Pago",$X1722="Recebido",$X1722="Cancelado"),0,ROUND(N($Q1722)+N($S1722)+N($T1722)-N($U1722)-N($R1722),2)))</f>
        <v/>
      </c>
      <c r="X1722" s="14" t="n"/>
      <c r="Y1722" s="17">
        <f>IF(COUNTA($B1722:$R1722)=0,"",IF($X1722="Cancelado","Cancelado",IF(OR($X1722="Pago",$X1722="Recebido"),$X1722,IF(OR($X1722="Parcial",N($R1722)&gt;0),"Parcial",IF($C1722="","Sem vencimento",IF($C1722&lt;TODAY(),"Vencido",IF($C1722=TODAY(),"Vence hoje",IF($C1722&lt;=TODAY()+7,"Vence em 7 dias",IF($C1722&lt;=TODAY()+30,"Vence em 30 dias","Futuro")))))))))</f>
        <v/>
      </c>
      <c r="Z1722" s="24">
        <f>IF($B1722="","",MONTH($B1722))</f>
        <v/>
      </c>
      <c r="AA1722" s="24">
        <f>IF($B1722="","",YEAR($B1722))</f>
        <v/>
      </c>
      <c r="AB1722" s="24">
        <f>IF($B1722="","",ISOWEEKNUM($B1722))</f>
        <v/>
      </c>
      <c r="AC1722" s="17">
        <f>IF($B1722="","",CHOOSE(WEEKDAY($B1722,2),"Segunda","Terça","Quarta","Quinta","Sexta","Sábado","Domingo"))</f>
        <v/>
      </c>
      <c r="AD1722" s="17">
        <f>IF($B1722="","",TEXT($B1722,"MM/AAAA"))</f>
        <v/>
      </c>
      <c r="AE1722" s="18">
        <f>IF(COUNTA($B1722:$R1722)=0,"",IF($X1722="Cancelado",0,ROUND(N($Q1722)+N($S1722)+N($T1722)-N($U1722),2)))</f>
        <v/>
      </c>
      <c r="AF1722" s="9">
        <f>IF($G1722="","",IFERROR(INDEX(LINHAS_DRE_PLANO,MATCH($G1722,SUBCATEGORIAS_PLANO,0)),"Não classificado"))</f>
        <v/>
      </c>
      <c r="AG1722" s="17">
        <f>IF($G1722="","",IFERROR(INDEX(TIPOS_FLUXO_PLANO,MATCH($G1722,SUBCATEGORIAS_PLANO,0)),"Não classificado"))</f>
        <v/>
      </c>
      <c r="AH1722" s="9">
        <f>IF($G1722="","",IFERROR(INDEX(GRUPOS_PLANO,MATCH($G1722,SUBCATEGORIAS_PLANO,0)),"Não classificado"))</f>
        <v/>
      </c>
      <c r="AI1722" s="24">
        <f>IF(OR($C1722="",$X1722="Pago",$X1722="Recebido",$X1722="Cancelado"),"",$C1722-TODAY())</f>
        <v/>
      </c>
      <c r="AJ1722" s="24">
        <f>IF(OR($C1722="",$X1722="Pago",$X1722="Recebido",$X1722="Cancelado"),0,MAX(0,TODAY()-$C1722))</f>
        <v/>
      </c>
      <c r="AK1722" s="24">
        <f>IF($D1722="","",$D1722-$B1722)</f>
        <v/>
      </c>
      <c r="AL1722" s="18">
        <f>IF(OR($D1722="",$B1722=""),"",ROUND(N($R1722)*($D1722-$B1722),2))</f>
        <v/>
      </c>
      <c r="AM1722" s="17">
        <f>IF(AND($E1722="Saída",$W1722&gt;0,$C1722&lt;&gt;""),$C1722+ROW()/1000000,"")</f>
        <v/>
      </c>
      <c r="AN1722" s="17">
        <f>IF(AND($E1722="Entrada",$W1722&gt;0,$C1722&lt;&gt;""),$C1722+ROW()/1000000,"")</f>
        <v/>
      </c>
      <c r="AO1722" s="9">
        <f>IF(COUNTA($B1722:$R1722)=0,"",IF(AND($I1722&lt;&gt;"",COUNTIF(CLIENTES_NOMES,$I1722)+COUNTIF(CLIENTES_FANTASIA,$I1722)+COUNTIF(FORNECEDORES_NOMES,$I1722)+COUNTIF(FORNECEDORES_FANTASIA,$I1722)=0),"⚠ Cliente/Fornecedor não cadastrado",IF(AND($G1722&lt;&gt;"",COUNTIF(SUBCATEGORIAS_PLANO,$G1722)=0),"⚠ Subcategoria fora do plano de contas",IF(OR($Q1722="",N($Q1722)=0),"⚠ Valor previsto não informado",IF(AND(OR($X1722="Pago",$X1722="Recebido"),$D1722=""),"⚠ Status pago/recebido sem data",IF(AND($D1722&lt;&gt;"",N($R1722)=0),"⚠ Data de pagamento sem valor realizado",IF(AND(N($P1722)&gt;1,N($O1722)&gt;N($P1722)),"⚠ Nº da parcela maior que o total",IF(AND($C1722&lt;&gt;"",$B1722&lt;&gt;"",$C1722&lt;$B1722),"⚠ Vencimento anterior à competência","OK"))))))))</f>
        <v/>
      </c>
    </row>
    <row r="1723">
      <c r="A1723" s="14" t="n"/>
      <c r="B1723" s="36" t="n"/>
      <c r="C1723" s="36" t="n"/>
      <c r="D1723" s="36" t="n"/>
      <c r="E1723" s="14" t="n"/>
      <c r="F1723" s="29" t="n"/>
      <c r="G1723" s="29" t="n"/>
      <c r="H1723" s="29" t="n"/>
      <c r="I1723" s="29" t="n"/>
      <c r="J1723" s="29" t="n"/>
      <c r="K1723" s="14" t="n"/>
      <c r="L1723" s="29" t="n"/>
      <c r="M1723" s="14" t="n"/>
      <c r="N1723" s="29" t="n"/>
      <c r="O1723" s="13" t="n"/>
      <c r="P1723" s="13" t="n"/>
      <c r="Q1723" s="35" t="n"/>
      <c r="R1723" s="35" t="n"/>
      <c r="S1723" s="35" t="n"/>
      <c r="T1723" s="35" t="n"/>
      <c r="U1723" s="35" t="n"/>
      <c r="V1723" s="18">
        <f>IF(COUNTA($B1723:$R1723)=0,"",ROUND(N($R1723)+N($S1723)+N($T1723)-N($U1723),2))</f>
        <v/>
      </c>
      <c r="W1723" s="18">
        <f>IF(COUNTA($B1723:$R1723)=0,"",IF(OR($X1723="Pago",$X1723="Recebido",$X1723="Cancelado"),0,ROUND(N($Q1723)+N($S1723)+N($T1723)-N($U1723)-N($R1723),2)))</f>
        <v/>
      </c>
      <c r="X1723" s="14" t="n"/>
      <c r="Y1723" s="17">
        <f>IF(COUNTA($B1723:$R1723)=0,"",IF($X1723="Cancelado","Cancelado",IF(OR($X1723="Pago",$X1723="Recebido"),$X1723,IF(OR($X1723="Parcial",N($R1723)&gt;0),"Parcial",IF($C1723="","Sem vencimento",IF($C1723&lt;TODAY(),"Vencido",IF($C1723=TODAY(),"Vence hoje",IF($C1723&lt;=TODAY()+7,"Vence em 7 dias",IF($C1723&lt;=TODAY()+30,"Vence em 30 dias","Futuro")))))))))</f>
        <v/>
      </c>
      <c r="Z1723" s="24">
        <f>IF($B1723="","",MONTH($B1723))</f>
        <v/>
      </c>
      <c r="AA1723" s="24">
        <f>IF($B1723="","",YEAR($B1723))</f>
        <v/>
      </c>
      <c r="AB1723" s="24">
        <f>IF($B1723="","",ISOWEEKNUM($B1723))</f>
        <v/>
      </c>
      <c r="AC1723" s="17">
        <f>IF($B1723="","",CHOOSE(WEEKDAY($B1723,2),"Segunda","Terça","Quarta","Quinta","Sexta","Sábado","Domingo"))</f>
        <v/>
      </c>
      <c r="AD1723" s="17">
        <f>IF($B1723="","",TEXT($B1723,"MM/AAAA"))</f>
        <v/>
      </c>
      <c r="AE1723" s="18">
        <f>IF(COUNTA($B1723:$R1723)=0,"",IF($X1723="Cancelado",0,ROUND(N($Q1723)+N($S1723)+N($T1723)-N($U1723),2)))</f>
        <v/>
      </c>
      <c r="AF1723" s="9">
        <f>IF($G1723="","",IFERROR(INDEX(LINHAS_DRE_PLANO,MATCH($G1723,SUBCATEGORIAS_PLANO,0)),"Não classificado"))</f>
        <v/>
      </c>
      <c r="AG1723" s="17">
        <f>IF($G1723="","",IFERROR(INDEX(TIPOS_FLUXO_PLANO,MATCH($G1723,SUBCATEGORIAS_PLANO,0)),"Não classificado"))</f>
        <v/>
      </c>
      <c r="AH1723" s="9">
        <f>IF($G1723="","",IFERROR(INDEX(GRUPOS_PLANO,MATCH($G1723,SUBCATEGORIAS_PLANO,0)),"Não classificado"))</f>
        <v/>
      </c>
      <c r="AI1723" s="24">
        <f>IF(OR($C1723="",$X1723="Pago",$X1723="Recebido",$X1723="Cancelado"),"",$C1723-TODAY())</f>
        <v/>
      </c>
      <c r="AJ1723" s="24">
        <f>IF(OR($C1723="",$X1723="Pago",$X1723="Recebido",$X1723="Cancelado"),0,MAX(0,TODAY()-$C1723))</f>
        <v/>
      </c>
      <c r="AK1723" s="24">
        <f>IF($D1723="","",$D1723-$B1723)</f>
        <v/>
      </c>
      <c r="AL1723" s="18">
        <f>IF(OR($D1723="",$B1723=""),"",ROUND(N($R1723)*($D1723-$B1723),2))</f>
        <v/>
      </c>
      <c r="AM1723" s="17">
        <f>IF(AND($E1723="Saída",$W1723&gt;0,$C1723&lt;&gt;""),$C1723+ROW()/1000000,"")</f>
        <v/>
      </c>
      <c r="AN1723" s="17">
        <f>IF(AND($E1723="Entrada",$W1723&gt;0,$C1723&lt;&gt;""),$C1723+ROW()/1000000,"")</f>
        <v/>
      </c>
      <c r="AO1723" s="9">
        <f>IF(COUNTA($B1723:$R1723)=0,"",IF(AND($I1723&lt;&gt;"",COUNTIF(CLIENTES_NOMES,$I1723)+COUNTIF(CLIENTES_FANTASIA,$I1723)+COUNTIF(FORNECEDORES_NOMES,$I1723)+COUNTIF(FORNECEDORES_FANTASIA,$I1723)=0),"⚠ Cliente/Fornecedor não cadastrado",IF(AND($G1723&lt;&gt;"",COUNTIF(SUBCATEGORIAS_PLANO,$G1723)=0),"⚠ Subcategoria fora do plano de contas",IF(OR($Q1723="",N($Q1723)=0),"⚠ Valor previsto não informado",IF(AND(OR($X1723="Pago",$X1723="Recebido"),$D1723=""),"⚠ Status pago/recebido sem data",IF(AND($D1723&lt;&gt;"",N($R1723)=0),"⚠ Data de pagamento sem valor realizado",IF(AND(N($P1723)&gt;1,N($O1723)&gt;N($P1723)),"⚠ Nº da parcela maior que o total",IF(AND($C1723&lt;&gt;"",$B1723&lt;&gt;"",$C1723&lt;$B1723),"⚠ Vencimento anterior à competência","OK"))))))))</f>
        <v/>
      </c>
    </row>
    <row r="1724">
      <c r="A1724" s="14" t="n"/>
      <c r="B1724" s="36" t="n"/>
      <c r="C1724" s="36" t="n"/>
      <c r="D1724" s="36" t="n"/>
      <c r="E1724" s="14" t="n"/>
      <c r="F1724" s="29" t="n"/>
      <c r="G1724" s="29" t="n"/>
      <c r="H1724" s="29" t="n"/>
      <c r="I1724" s="29" t="n"/>
      <c r="J1724" s="29" t="n"/>
      <c r="K1724" s="14" t="n"/>
      <c r="L1724" s="29" t="n"/>
      <c r="M1724" s="14" t="n"/>
      <c r="N1724" s="29" t="n"/>
      <c r="O1724" s="13" t="n"/>
      <c r="P1724" s="13" t="n"/>
      <c r="Q1724" s="35" t="n"/>
      <c r="R1724" s="35" t="n"/>
      <c r="S1724" s="35" t="n"/>
      <c r="T1724" s="35" t="n"/>
      <c r="U1724" s="35" t="n"/>
      <c r="V1724" s="18">
        <f>IF(COUNTA($B1724:$R1724)=0,"",ROUND(N($R1724)+N($S1724)+N($T1724)-N($U1724),2))</f>
        <v/>
      </c>
      <c r="W1724" s="18">
        <f>IF(COUNTA($B1724:$R1724)=0,"",IF(OR($X1724="Pago",$X1724="Recebido",$X1724="Cancelado"),0,ROUND(N($Q1724)+N($S1724)+N($T1724)-N($U1724)-N($R1724),2)))</f>
        <v/>
      </c>
      <c r="X1724" s="14" t="n"/>
      <c r="Y1724" s="17">
        <f>IF(COUNTA($B1724:$R1724)=0,"",IF($X1724="Cancelado","Cancelado",IF(OR($X1724="Pago",$X1724="Recebido"),$X1724,IF(OR($X1724="Parcial",N($R1724)&gt;0),"Parcial",IF($C1724="","Sem vencimento",IF($C1724&lt;TODAY(),"Vencido",IF($C1724=TODAY(),"Vence hoje",IF($C1724&lt;=TODAY()+7,"Vence em 7 dias",IF($C1724&lt;=TODAY()+30,"Vence em 30 dias","Futuro")))))))))</f>
        <v/>
      </c>
      <c r="Z1724" s="24">
        <f>IF($B1724="","",MONTH($B1724))</f>
        <v/>
      </c>
      <c r="AA1724" s="24">
        <f>IF($B1724="","",YEAR($B1724))</f>
        <v/>
      </c>
      <c r="AB1724" s="24">
        <f>IF($B1724="","",ISOWEEKNUM($B1724))</f>
        <v/>
      </c>
      <c r="AC1724" s="17">
        <f>IF($B1724="","",CHOOSE(WEEKDAY($B1724,2),"Segunda","Terça","Quarta","Quinta","Sexta","Sábado","Domingo"))</f>
        <v/>
      </c>
      <c r="AD1724" s="17">
        <f>IF($B1724="","",TEXT($B1724,"MM/AAAA"))</f>
        <v/>
      </c>
      <c r="AE1724" s="18">
        <f>IF(COUNTA($B1724:$R1724)=0,"",IF($X1724="Cancelado",0,ROUND(N($Q1724)+N($S1724)+N($T1724)-N($U1724),2)))</f>
        <v/>
      </c>
      <c r="AF1724" s="9">
        <f>IF($G1724="","",IFERROR(INDEX(LINHAS_DRE_PLANO,MATCH($G1724,SUBCATEGORIAS_PLANO,0)),"Não classificado"))</f>
        <v/>
      </c>
      <c r="AG1724" s="17">
        <f>IF($G1724="","",IFERROR(INDEX(TIPOS_FLUXO_PLANO,MATCH($G1724,SUBCATEGORIAS_PLANO,0)),"Não classificado"))</f>
        <v/>
      </c>
      <c r="AH1724" s="9">
        <f>IF($G1724="","",IFERROR(INDEX(GRUPOS_PLANO,MATCH($G1724,SUBCATEGORIAS_PLANO,0)),"Não classificado"))</f>
        <v/>
      </c>
      <c r="AI1724" s="24">
        <f>IF(OR($C1724="",$X1724="Pago",$X1724="Recebido",$X1724="Cancelado"),"",$C1724-TODAY())</f>
        <v/>
      </c>
      <c r="AJ1724" s="24">
        <f>IF(OR($C1724="",$X1724="Pago",$X1724="Recebido",$X1724="Cancelado"),0,MAX(0,TODAY()-$C1724))</f>
        <v/>
      </c>
      <c r="AK1724" s="24">
        <f>IF($D1724="","",$D1724-$B1724)</f>
        <v/>
      </c>
      <c r="AL1724" s="18">
        <f>IF(OR($D1724="",$B1724=""),"",ROUND(N($R1724)*($D1724-$B1724),2))</f>
        <v/>
      </c>
      <c r="AM1724" s="17">
        <f>IF(AND($E1724="Saída",$W1724&gt;0,$C1724&lt;&gt;""),$C1724+ROW()/1000000,"")</f>
        <v/>
      </c>
      <c r="AN1724" s="17">
        <f>IF(AND($E1724="Entrada",$W1724&gt;0,$C1724&lt;&gt;""),$C1724+ROW()/1000000,"")</f>
        <v/>
      </c>
      <c r="AO1724" s="9">
        <f>IF(COUNTA($B1724:$R1724)=0,"",IF(AND($I1724&lt;&gt;"",COUNTIF(CLIENTES_NOMES,$I1724)+COUNTIF(CLIENTES_FANTASIA,$I1724)+COUNTIF(FORNECEDORES_NOMES,$I1724)+COUNTIF(FORNECEDORES_FANTASIA,$I1724)=0),"⚠ Cliente/Fornecedor não cadastrado",IF(AND($G1724&lt;&gt;"",COUNTIF(SUBCATEGORIAS_PLANO,$G1724)=0),"⚠ Subcategoria fora do plano de contas",IF(OR($Q1724="",N($Q1724)=0),"⚠ Valor previsto não informado",IF(AND(OR($X1724="Pago",$X1724="Recebido"),$D1724=""),"⚠ Status pago/recebido sem data",IF(AND($D1724&lt;&gt;"",N($R1724)=0),"⚠ Data de pagamento sem valor realizado",IF(AND(N($P1724)&gt;1,N($O1724)&gt;N($P1724)),"⚠ Nº da parcela maior que o total",IF(AND($C1724&lt;&gt;"",$B1724&lt;&gt;"",$C1724&lt;$B1724),"⚠ Vencimento anterior à competência","OK"))))))))</f>
        <v/>
      </c>
    </row>
    <row r="1725">
      <c r="A1725" s="14" t="n"/>
      <c r="B1725" s="36" t="n"/>
      <c r="C1725" s="36" t="n"/>
      <c r="D1725" s="36" t="n"/>
      <c r="E1725" s="14" t="n"/>
      <c r="F1725" s="29" t="n"/>
      <c r="G1725" s="29" t="n"/>
      <c r="H1725" s="29" t="n"/>
      <c r="I1725" s="29" t="n"/>
      <c r="J1725" s="29" t="n"/>
      <c r="K1725" s="14" t="n"/>
      <c r="L1725" s="29" t="n"/>
      <c r="M1725" s="14" t="n"/>
      <c r="N1725" s="29" t="n"/>
      <c r="O1725" s="13" t="n"/>
      <c r="P1725" s="13" t="n"/>
      <c r="Q1725" s="35" t="n"/>
      <c r="R1725" s="35" t="n"/>
      <c r="S1725" s="35" t="n"/>
      <c r="T1725" s="35" t="n"/>
      <c r="U1725" s="35" t="n"/>
      <c r="V1725" s="18">
        <f>IF(COUNTA($B1725:$R1725)=0,"",ROUND(N($R1725)+N($S1725)+N($T1725)-N($U1725),2))</f>
        <v/>
      </c>
      <c r="W1725" s="18">
        <f>IF(COUNTA($B1725:$R1725)=0,"",IF(OR($X1725="Pago",$X1725="Recebido",$X1725="Cancelado"),0,ROUND(N($Q1725)+N($S1725)+N($T1725)-N($U1725)-N($R1725),2)))</f>
        <v/>
      </c>
      <c r="X1725" s="14" t="n"/>
      <c r="Y1725" s="17">
        <f>IF(COUNTA($B1725:$R1725)=0,"",IF($X1725="Cancelado","Cancelado",IF(OR($X1725="Pago",$X1725="Recebido"),$X1725,IF(OR($X1725="Parcial",N($R1725)&gt;0),"Parcial",IF($C1725="","Sem vencimento",IF($C1725&lt;TODAY(),"Vencido",IF($C1725=TODAY(),"Vence hoje",IF($C1725&lt;=TODAY()+7,"Vence em 7 dias",IF($C1725&lt;=TODAY()+30,"Vence em 30 dias","Futuro")))))))))</f>
        <v/>
      </c>
      <c r="Z1725" s="24">
        <f>IF($B1725="","",MONTH($B1725))</f>
        <v/>
      </c>
      <c r="AA1725" s="24">
        <f>IF($B1725="","",YEAR($B1725))</f>
        <v/>
      </c>
      <c r="AB1725" s="24">
        <f>IF($B1725="","",ISOWEEKNUM($B1725))</f>
        <v/>
      </c>
      <c r="AC1725" s="17">
        <f>IF($B1725="","",CHOOSE(WEEKDAY($B1725,2),"Segunda","Terça","Quarta","Quinta","Sexta","Sábado","Domingo"))</f>
        <v/>
      </c>
      <c r="AD1725" s="17">
        <f>IF($B1725="","",TEXT($B1725,"MM/AAAA"))</f>
        <v/>
      </c>
      <c r="AE1725" s="18">
        <f>IF(COUNTA($B1725:$R1725)=0,"",IF($X1725="Cancelado",0,ROUND(N($Q1725)+N($S1725)+N($T1725)-N($U1725),2)))</f>
        <v/>
      </c>
      <c r="AF1725" s="9">
        <f>IF($G1725="","",IFERROR(INDEX(LINHAS_DRE_PLANO,MATCH($G1725,SUBCATEGORIAS_PLANO,0)),"Não classificado"))</f>
        <v/>
      </c>
      <c r="AG1725" s="17">
        <f>IF($G1725="","",IFERROR(INDEX(TIPOS_FLUXO_PLANO,MATCH($G1725,SUBCATEGORIAS_PLANO,0)),"Não classificado"))</f>
        <v/>
      </c>
      <c r="AH1725" s="9">
        <f>IF($G1725="","",IFERROR(INDEX(GRUPOS_PLANO,MATCH($G1725,SUBCATEGORIAS_PLANO,0)),"Não classificado"))</f>
        <v/>
      </c>
      <c r="AI1725" s="24">
        <f>IF(OR($C1725="",$X1725="Pago",$X1725="Recebido",$X1725="Cancelado"),"",$C1725-TODAY())</f>
        <v/>
      </c>
      <c r="AJ1725" s="24">
        <f>IF(OR($C1725="",$X1725="Pago",$X1725="Recebido",$X1725="Cancelado"),0,MAX(0,TODAY()-$C1725))</f>
        <v/>
      </c>
      <c r="AK1725" s="24">
        <f>IF($D1725="","",$D1725-$B1725)</f>
        <v/>
      </c>
      <c r="AL1725" s="18">
        <f>IF(OR($D1725="",$B1725=""),"",ROUND(N($R1725)*($D1725-$B1725),2))</f>
        <v/>
      </c>
      <c r="AM1725" s="17">
        <f>IF(AND($E1725="Saída",$W1725&gt;0,$C1725&lt;&gt;""),$C1725+ROW()/1000000,"")</f>
        <v/>
      </c>
      <c r="AN1725" s="17">
        <f>IF(AND($E1725="Entrada",$W1725&gt;0,$C1725&lt;&gt;""),$C1725+ROW()/1000000,"")</f>
        <v/>
      </c>
      <c r="AO1725" s="9">
        <f>IF(COUNTA($B1725:$R1725)=0,"",IF(AND($I1725&lt;&gt;"",COUNTIF(CLIENTES_NOMES,$I1725)+COUNTIF(CLIENTES_FANTASIA,$I1725)+COUNTIF(FORNECEDORES_NOMES,$I1725)+COUNTIF(FORNECEDORES_FANTASIA,$I1725)=0),"⚠ Cliente/Fornecedor não cadastrado",IF(AND($G1725&lt;&gt;"",COUNTIF(SUBCATEGORIAS_PLANO,$G1725)=0),"⚠ Subcategoria fora do plano de contas",IF(OR($Q1725="",N($Q1725)=0),"⚠ Valor previsto não informado",IF(AND(OR($X1725="Pago",$X1725="Recebido"),$D1725=""),"⚠ Status pago/recebido sem data",IF(AND($D1725&lt;&gt;"",N($R1725)=0),"⚠ Data de pagamento sem valor realizado",IF(AND(N($P1725)&gt;1,N($O1725)&gt;N($P1725)),"⚠ Nº da parcela maior que o total",IF(AND($C1725&lt;&gt;"",$B1725&lt;&gt;"",$C1725&lt;$B1725),"⚠ Vencimento anterior à competência","OK"))))))))</f>
        <v/>
      </c>
    </row>
    <row r="1726">
      <c r="A1726" s="14" t="n"/>
      <c r="B1726" s="36" t="n"/>
      <c r="C1726" s="36" t="n"/>
      <c r="D1726" s="36" t="n"/>
      <c r="E1726" s="14" t="n"/>
      <c r="F1726" s="29" t="n"/>
      <c r="G1726" s="29" t="n"/>
      <c r="H1726" s="29" t="n"/>
      <c r="I1726" s="29" t="n"/>
      <c r="J1726" s="29" t="n"/>
      <c r="K1726" s="14" t="n"/>
      <c r="L1726" s="29" t="n"/>
      <c r="M1726" s="14" t="n"/>
      <c r="N1726" s="29" t="n"/>
      <c r="O1726" s="13" t="n"/>
      <c r="P1726" s="13" t="n"/>
      <c r="Q1726" s="35" t="n"/>
      <c r="R1726" s="35" t="n"/>
      <c r="S1726" s="35" t="n"/>
      <c r="T1726" s="35" t="n"/>
      <c r="U1726" s="35" t="n"/>
      <c r="V1726" s="18">
        <f>IF(COUNTA($B1726:$R1726)=0,"",ROUND(N($R1726)+N($S1726)+N($T1726)-N($U1726),2))</f>
        <v/>
      </c>
      <c r="W1726" s="18">
        <f>IF(COUNTA($B1726:$R1726)=0,"",IF(OR($X1726="Pago",$X1726="Recebido",$X1726="Cancelado"),0,ROUND(N($Q1726)+N($S1726)+N($T1726)-N($U1726)-N($R1726),2)))</f>
        <v/>
      </c>
      <c r="X1726" s="14" t="n"/>
      <c r="Y1726" s="17">
        <f>IF(COUNTA($B1726:$R1726)=0,"",IF($X1726="Cancelado","Cancelado",IF(OR($X1726="Pago",$X1726="Recebido"),$X1726,IF(OR($X1726="Parcial",N($R1726)&gt;0),"Parcial",IF($C1726="","Sem vencimento",IF($C1726&lt;TODAY(),"Vencido",IF($C1726=TODAY(),"Vence hoje",IF($C1726&lt;=TODAY()+7,"Vence em 7 dias",IF($C1726&lt;=TODAY()+30,"Vence em 30 dias","Futuro")))))))))</f>
        <v/>
      </c>
      <c r="Z1726" s="24">
        <f>IF($B1726="","",MONTH($B1726))</f>
        <v/>
      </c>
      <c r="AA1726" s="24">
        <f>IF($B1726="","",YEAR($B1726))</f>
        <v/>
      </c>
      <c r="AB1726" s="24">
        <f>IF($B1726="","",ISOWEEKNUM($B1726))</f>
        <v/>
      </c>
      <c r="AC1726" s="17">
        <f>IF($B1726="","",CHOOSE(WEEKDAY($B1726,2),"Segunda","Terça","Quarta","Quinta","Sexta","Sábado","Domingo"))</f>
        <v/>
      </c>
      <c r="AD1726" s="17">
        <f>IF($B1726="","",TEXT($B1726,"MM/AAAA"))</f>
        <v/>
      </c>
      <c r="AE1726" s="18">
        <f>IF(COUNTA($B1726:$R1726)=0,"",IF($X1726="Cancelado",0,ROUND(N($Q1726)+N($S1726)+N($T1726)-N($U1726),2)))</f>
        <v/>
      </c>
      <c r="AF1726" s="9">
        <f>IF($G1726="","",IFERROR(INDEX(LINHAS_DRE_PLANO,MATCH($G1726,SUBCATEGORIAS_PLANO,0)),"Não classificado"))</f>
        <v/>
      </c>
      <c r="AG1726" s="17">
        <f>IF($G1726="","",IFERROR(INDEX(TIPOS_FLUXO_PLANO,MATCH($G1726,SUBCATEGORIAS_PLANO,0)),"Não classificado"))</f>
        <v/>
      </c>
      <c r="AH1726" s="9">
        <f>IF($G1726="","",IFERROR(INDEX(GRUPOS_PLANO,MATCH($G1726,SUBCATEGORIAS_PLANO,0)),"Não classificado"))</f>
        <v/>
      </c>
      <c r="AI1726" s="24">
        <f>IF(OR($C1726="",$X1726="Pago",$X1726="Recebido",$X1726="Cancelado"),"",$C1726-TODAY())</f>
        <v/>
      </c>
      <c r="AJ1726" s="24">
        <f>IF(OR($C1726="",$X1726="Pago",$X1726="Recebido",$X1726="Cancelado"),0,MAX(0,TODAY()-$C1726))</f>
        <v/>
      </c>
      <c r="AK1726" s="24">
        <f>IF($D1726="","",$D1726-$B1726)</f>
        <v/>
      </c>
      <c r="AL1726" s="18">
        <f>IF(OR($D1726="",$B1726=""),"",ROUND(N($R1726)*($D1726-$B1726),2))</f>
        <v/>
      </c>
      <c r="AM1726" s="17">
        <f>IF(AND($E1726="Saída",$W1726&gt;0,$C1726&lt;&gt;""),$C1726+ROW()/1000000,"")</f>
        <v/>
      </c>
      <c r="AN1726" s="17">
        <f>IF(AND($E1726="Entrada",$W1726&gt;0,$C1726&lt;&gt;""),$C1726+ROW()/1000000,"")</f>
        <v/>
      </c>
      <c r="AO1726" s="9">
        <f>IF(COUNTA($B1726:$R1726)=0,"",IF(AND($I1726&lt;&gt;"",COUNTIF(CLIENTES_NOMES,$I1726)+COUNTIF(CLIENTES_FANTASIA,$I1726)+COUNTIF(FORNECEDORES_NOMES,$I1726)+COUNTIF(FORNECEDORES_FANTASIA,$I1726)=0),"⚠ Cliente/Fornecedor não cadastrado",IF(AND($G1726&lt;&gt;"",COUNTIF(SUBCATEGORIAS_PLANO,$G1726)=0),"⚠ Subcategoria fora do plano de contas",IF(OR($Q1726="",N($Q1726)=0),"⚠ Valor previsto não informado",IF(AND(OR($X1726="Pago",$X1726="Recebido"),$D1726=""),"⚠ Status pago/recebido sem data",IF(AND($D1726&lt;&gt;"",N($R1726)=0),"⚠ Data de pagamento sem valor realizado",IF(AND(N($P1726)&gt;1,N($O1726)&gt;N($P1726)),"⚠ Nº da parcela maior que o total",IF(AND($C1726&lt;&gt;"",$B1726&lt;&gt;"",$C1726&lt;$B1726),"⚠ Vencimento anterior à competência","OK"))))))))</f>
        <v/>
      </c>
    </row>
    <row r="1727">
      <c r="A1727" s="14" t="n"/>
      <c r="B1727" s="36" t="n"/>
      <c r="C1727" s="36" t="n"/>
      <c r="D1727" s="36" t="n"/>
      <c r="E1727" s="14" t="n"/>
      <c r="F1727" s="29" t="n"/>
      <c r="G1727" s="29" t="n"/>
      <c r="H1727" s="29" t="n"/>
      <c r="I1727" s="29" t="n"/>
      <c r="J1727" s="29" t="n"/>
      <c r="K1727" s="14" t="n"/>
      <c r="L1727" s="29" t="n"/>
      <c r="M1727" s="14" t="n"/>
      <c r="N1727" s="29" t="n"/>
      <c r="O1727" s="13" t="n"/>
      <c r="P1727" s="13" t="n"/>
      <c r="Q1727" s="35" t="n"/>
      <c r="R1727" s="35" t="n"/>
      <c r="S1727" s="35" t="n"/>
      <c r="T1727" s="35" t="n"/>
      <c r="U1727" s="35" t="n"/>
      <c r="V1727" s="18">
        <f>IF(COUNTA($B1727:$R1727)=0,"",ROUND(N($R1727)+N($S1727)+N($T1727)-N($U1727),2))</f>
        <v/>
      </c>
      <c r="W1727" s="18">
        <f>IF(COUNTA($B1727:$R1727)=0,"",IF(OR($X1727="Pago",$X1727="Recebido",$X1727="Cancelado"),0,ROUND(N($Q1727)+N($S1727)+N($T1727)-N($U1727)-N($R1727),2)))</f>
        <v/>
      </c>
      <c r="X1727" s="14" t="n"/>
      <c r="Y1727" s="17">
        <f>IF(COUNTA($B1727:$R1727)=0,"",IF($X1727="Cancelado","Cancelado",IF(OR($X1727="Pago",$X1727="Recebido"),$X1727,IF(OR($X1727="Parcial",N($R1727)&gt;0),"Parcial",IF($C1727="","Sem vencimento",IF($C1727&lt;TODAY(),"Vencido",IF($C1727=TODAY(),"Vence hoje",IF($C1727&lt;=TODAY()+7,"Vence em 7 dias",IF($C1727&lt;=TODAY()+30,"Vence em 30 dias","Futuro")))))))))</f>
        <v/>
      </c>
      <c r="Z1727" s="24">
        <f>IF($B1727="","",MONTH($B1727))</f>
        <v/>
      </c>
      <c r="AA1727" s="24">
        <f>IF($B1727="","",YEAR($B1727))</f>
        <v/>
      </c>
      <c r="AB1727" s="24">
        <f>IF($B1727="","",ISOWEEKNUM($B1727))</f>
        <v/>
      </c>
      <c r="AC1727" s="17">
        <f>IF($B1727="","",CHOOSE(WEEKDAY($B1727,2),"Segunda","Terça","Quarta","Quinta","Sexta","Sábado","Domingo"))</f>
        <v/>
      </c>
      <c r="AD1727" s="17">
        <f>IF($B1727="","",TEXT($B1727,"MM/AAAA"))</f>
        <v/>
      </c>
      <c r="AE1727" s="18">
        <f>IF(COUNTA($B1727:$R1727)=0,"",IF($X1727="Cancelado",0,ROUND(N($Q1727)+N($S1727)+N($T1727)-N($U1727),2)))</f>
        <v/>
      </c>
      <c r="AF1727" s="9">
        <f>IF($G1727="","",IFERROR(INDEX(LINHAS_DRE_PLANO,MATCH($G1727,SUBCATEGORIAS_PLANO,0)),"Não classificado"))</f>
        <v/>
      </c>
      <c r="AG1727" s="17">
        <f>IF($G1727="","",IFERROR(INDEX(TIPOS_FLUXO_PLANO,MATCH($G1727,SUBCATEGORIAS_PLANO,0)),"Não classificado"))</f>
        <v/>
      </c>
      <c r="AH1727" s="9">
        <f>IF($G1727="","",IFERROR(INDEX(GRUPOS_PLANO,MATCH($G1727,SUBCATEGORIAS_PLANO,0)),"Não classificado"))</f>
        <v/>
      </c>
      <c r="AI1727" s="24">
        <f>IF(OR($C1727="",$X1727="Pago",$X1727="Recebido",$X1727="Cancelado"),"",$C1727-TODAY())</f>
        <v/>
      </c>
      <c r="AJ1727" s="24">
        <f>IF(OR($C1727="",$X1727="Pago",$X1727="Recebido",$X1727="Cancelado"),0,MAX(0,TODAY()-$C1727))</f>
        <v/>
      </c>
      <c r="AK1727" s="24">
        <f>IF($D1727="","",$D1727-$B1727)</f>
        <v/>
      </c>
      <c r="AL1727" s="18">
        <f>IF(OR($D1727="",$B1727=""),"",ROUND(N($R1727)*($D1727-$B1727),2))</f>
        <v/>
      </c>
      <c r="AM1727" s="17">
        <f>IF(AND($E1727="Saída",$W1727&gt;0,$C1727&lt;&gt;""),$C1727+ROW()/1000000,"")</f>
        <v/>
      </c>
      <c r="AN1727" s="17">
        <f>IF(AND($E1727="Entrada",$W1727&gt;0,$C1727&lt;&gt;""),$C1727+ROW()/1000000,"")</f>
        <v/>
      </c>
      <c r="AO1727" s="9">
        <f>IF(COUNTA($B1727:$R1727)=0,"",IF(AND($I1727&lt;&gt;"",COUNTIF(CLIENTES_NOMES,$I1727)+COUNTIF(CLIENTES_FANTASIA,$I1727)+COUNTIF(FORNECEDORES_NOMES,$I1727)+COUNTIF(FORNECEDORES_FANTASIA,$I1727)=0),"⚠ Cliente/Fornecedor não cadastrado",IF(AND($G1727&lt;&gt;"",COUNTIF(SUBCATEGORIAS_PLANO,$G1727)=0),"⚠ Subcategoria fora do plano de contas",IF(OR($Q1727="",N($Q1727)=0),"⚠ Valor previsto não informado",IF(AND(OR($X1727="Pago",$X1727="Recebido"),$D1727=""),"⚠ Status pago/recebido sem data",IF(AND($D1727&lt;&gt;"",N($R1727)=0),"⚠ Data de pagamento sem valor realizado",IF(AND(N($P1727)&gt;1,N($O1727)&gt;N($P1727)),"⚠ Nº da parcela maior que o total",IF(AND($C1727&lt;&gt;"",$B1727&lt;&gt;"",$C1727&lt;$B1727),"⚠ Vencimento anterior à competência","OK"))))))))</f>
        <v/>
      </c>
    </row>
    <row r="1728">
      <c r="A1728" s="14" t="n"/>
      <c r="B1728" s="36" t="n"/>
      <c r="C1728" s="36" t="n"/>
      <c r="D1728" s="36" t="n"/>
      <c r="E1728" s="14" t="n"/>
      <c r="F1728" s="29" t="n"/>
      <c r="G1728" s="29" t="n"/>
      <c r="H1728" s="29" t="n"/>
      <c r="I1728" s="29" t="n"/>
      <c r="J1728" s="29" t="n"/>
      <c r="K1728" s="14" t="n"/>
      <c r="L1728" s="29" t="n"/>
      <c r="M1728" s="14" t="n"/>
      <c r="N1728" s="29" t="n"/>
      <c r="O1728" s="13" t="n"/>
      <c r="P1728" s="13" t="n"/>
      <c r="Q1728" s="35" t="n"/>
      <c r="R1728" s="35" t="n"/>
      <c r="S1728" s="35" t="n"/>
      <c r="T1728" s="35" t="n"/>
      <c r="U1728" s="35" t="n"/>
      <c r="V1728" s="18">
        <f>IF(COUNTA($B1728:$R1728)=0,"",ROUND(N($R1728)+N($S1728)+N($T1728)-N($U1728),2))</f>
        <v/>
      </c>
      <c r="W1728" s="18">
        <f>IF(COUNTA($B1728:$R1728)=0,"",IF(OR($X1728="Pago",$X1728="Recebido",$X1728="Cancelado"),0,ROUND(N($Q1728)+N($S1728)+N($T1728)-N($U1728)-N($R1728),2)))</f>
        <v/>
      </c>
      <c r="X1728" s="14" t="n"/>
      <c r="Y1728" s="17">
        <f>IF(COUNTA($B1728:$R1728)=0,"",IF($X1728="Cancelado","Cancelado",IF(OR($X1728="Pago",$X1728="Recebido"),$X1728,IF(OR($X1728="Parcial",N($R1728)&gt;0),"Parcial",IF($C1728="","Sem vencimento",IF($C1728&lt;TODAY(),"Vencido",IF($C1728=TODAY(),"Vence hoje",IF($C1728&lt;=TODAY()+7,"Vence em 7 dias",IF($C1728&lt;=TODAY()+30,"Vence em 30 dias","Futuro")))))))))</f>
        <v/>
      </c>
      <c r="Z1728" s="24">
        <f>IF($B1728="","",MONTH($B1728))</f>
        <v/>
      </c>
      <c r="AA1728" s="24">
        <f>IF($B1728="","",YEAR($B1728))</f>
        <v/>
      </c>
      <c r="AB1728" s="24">
        <f>IF($B1728="","",ISOWEEKNUM($B1728))</f>
        <v/>
      </c>
      <c r="AC1728" s="17">
        <f>IF($B1728="","",CHOOSE(WEEKDAY($B1728,2),"Segunda","Terça","Quarta","Quinta","Sexta","Sábado","Domingo"))</f>
        <v/>
      </c>
      <c r="AD1728" s="17">
        <f>IF($B1728="","",TEXT($B1728,"MM/AAAA"))</f>
        <v/>
      </c>
      <c r="AE1728" s="18">
        <f>IF(COUNTA($B1728:$R1728)=0,"",IF($X1728="Cancelado",0,ROUND(N($Q1728)+N($S1728)+N($T1728)-N($U1728),2)))</f>
        <v/>
      </c>
      <c r="AF1728" s="9">
        <f>IF($G1728="","",IFERROR(INDEX(LINHAS_DRE_PLANO,MATCH($G1728,SUBCATEGORIAS_PLANO,0)),"Não classificado"))</f>
        <v/>
      </c>
      <c r="AG1728" s="17">
        <f>IF($G1728="","",IFERROR(INDEX(TIPOS_FLUXO_PLANO,MATCH($G1728,SUBCATEGORIAS_PLANO,0)),"Não classificado"))</f>
        <v/>
      </c>
      <c r="AH1728" s="9">
        <f>IF($G1728="","",IFERROR(INDEX(GRUPOS_PLANO,MATCH($G1728,SUBCATEGORIAS_PLANO,0)),"Não classificado"))</f>
        <v/>
      </c>
      <c r="AI1728" s="24">
        <f>IF(OR($C1728="",$X1728="Pago",$X1728="Recebido",$X1728="Cancelado"),"",$C1728-TODAY())</f>
        <v/>
      </c>
      <c r="AJ1728" s="24">
        <f>IF(OR($C1728="",$X1728="Pago",$X1728="Recebido",$X1728="Cancelado"),0,MAX(0,TODAY()-$C1728))</f>
        <v/>
      </c>
      <c r="AK1728" s="24">
        <f>IF($D1728="","",$D1728-$B1728)</f>
        <v/>
      </c>
      <c r="AL1728" s="18">
        <f>IF(OR($D1728="",$B1728=""),"",ROUND(N($R1728)*($D1728-$B1728),2))</f>
        <v/>
      </c>
      <c r="AM1728" s="17">
        <f>IF(AND($E1728="Saída",$W1728&gt;0,$C1728&lt;&gt;""),$C1728+ROW()/1000000,"")</f>
        <v/>
      </c>
      <c r="AN1728" s="17">
        <f>IF(AND($E1728="Entrada",$W1728&gt;0,$C1728&lt;&gt;""),$C1728+ROW()/1000000,"")</f>
        <v/>
      </c>
      <c r="AO1728" s="9">
        <f>IF(COUNTA($B1728:$R1728)=0,"",IF(AND($I1728&lt;&gt;"",COUNTIF(CLIENTES_NOMES,$I1728)+COUNTIF(CLIENTES_FANTASIA,$I1728)+COUNTIF(FORNECEDORES_NOMES,$I1728)+COUNTIF(FORNECEDORES_FANTASIA,$I1728)=0),"⚠ Cliente/Fornecedor não cadastrado",IF(AND($G1728&lt;&gt;"",COUNTIF(SUBCATEGORIAS_PLANO,$G1728)=0),"⚠ Subcategoria fora do plano de contas",IF(OR($Q1728="",N($Q1728)=0),"⚠ Valor previsto não informado",IF(AND(OR($X1728="Pago",$X1728="Recebido"),$D1728=""),"⚠ Status pago/recebido sem data",IF(AND($D1728&lt;&gt;"",N($R1728)=0),"⚠ Data de pagamento sem valor realizado",IF(AND(N($P1728)&gt;1,N($O1728)&gt;N($P1728)),"⚠ Nº da parcela maior que o total",IF(AND($C1728&lt;&gt;"",$B1728&lt;&gt;"",$C1728&lt;$B1728),"⚠ Vencimento anterior à competência","OK"))))))))</f>
        <v/>
      </c>
    </row>
    <row r="1729">
      <c r="A1729" s="14" t="n"/>
      <c r="B1729" s="36" t="n"/>
      <c r="C1729" s="36" t="n"/>
      <c r="D1729" s="36" t="n"/>
      <c r="E1729" s="14" t="n"/>
      <c r="F1729" s="29" t="n"/>
      <c r="G1729" s="29" t="n"/>
      <c r="H1729" s="29" t="n"/>
      <c r="I1729" s="29" t="n"/>
      <c r="J1729" s="29" t="n"/>
      <c r="K1729" s="14" t="n"/>
      <c r="L1729" s="29" t="n"/>
      <c r="M1729" s="14" t="n"/>
      <c r="N1729" s="29" t="n"/>
      <c r="O1729" s="13" t="n"/>
      <c r="P1729" s="13" t="n"/>
      <c r="Q1729" s="35" t="n"/>
      <c r="R1729" s="35" t="n"/>
      <c r="S1729" s="35" t="n"/>
      <c r="T1729" s="35" t="n"/>
      <c r="U1729" s="35" t="n"/>
      <c r="V1729" s="18">
        <f>IF(COUNTA($B1729:$R1729)=0,"",ROUND(N($R1729)+N($S1729)+N($T1729)-N($U1729),2))</f>
        <v/>
      </c>
      <c r="W1729" s="18">
        <f>IF(COUNTA($B1729:$R1729)=0,"",IF(OR($X1729="Pago",$X1729="Recebido",$X1729="Cancelado"),0,ROUND(N($Q1729)+N($S1729)+N($T1729)-N($U1729)-N($R1729),2)))</f>
        <v/>
      </c>
      <c r="X1729" s="14" t="n"/>
      <c r="Y1729" s="17">
        <f>IF(COUNTA($B1729:$R1729)=0,"",IF($X1729="Cancelado","Cancelado",IF(OR($X1729="Pago",$X1729="Recebido"),$X1729,IF(OR($X1729="Parcial",N($R1729)&gt;0),"Parcial",IF($C1729="","Sem vencimento",IF($C1729&lt;TODAY(),"Vencido",IF($C1729=TODAY(),"Vence hoje",IF($C1729&lt;=TODAY()+7,"Vence em 7 dias",IF($C1729&lt;=TODAY()+30,"Vence em 30 dias","Futuro")))))))))</f>
        <v/>
      </c>
      <c r="Z1729" s="24">
        <f>IF($B1729="","",MONTH($B1729))</f>
        <v/>
      </c>
      <c r="AA1729" s="24">
        <f>IF($B1729="","",YEAR($B1729))</f>
        <v/>
      </c>
      <c r="AB1729" s="24">
        <f>IF($B1729="","",ISOWEEKNUM($B1729))</f>
        <v/>
      </c>
      <c r="AC1729" s="17">
        <f>IF($B1729="","",CHOOSE(WEEKDAY($B1729,2),"Segunda","Terça","Quarta","Quinta","Sexta","Sábado","Domingo"))</f>
        <v/>
      </c>
      <c r="AD1729" s="17">
        <f>IF($B1729="","",TEXT($B1729,"MM/AAAA"))</f>
        <v/>
      </c>
      <c r="AE1729" s="18">
        <f>IF(COUNTA($B1729:$R1729)=0,"",IF($X1729="Cancelado",0,ROUND(N($Q1729)+N($S1729)+N($T1729)-N($U1729),2)))</f>
        <v/>
      </c>
      <c r="AF1729" s="9">
        <f>IF($G1729="","",IFERROR(INDEX(LINHAS_DRE_PLANO,MATCH($G1729,SUBCATEGORIAS_PLANO,0)),"Não classificado"))</f>
        <v/>
      </c>
      <c r="AG1729" s="17">
        <f>IF($G1729="","",IFERROR(INDEX(TIPOS_FLUXO_PLANO,MATCH($G1729,SUBCATEGORIAS_PLANO,0)),"Não classificado"))</f>
        <v/>
      </c>
      <c r="AH1729" s="9">
        <f>IF($G1729="","",IFERROR(INDEX(GRUPOS_PLANO,MATCH($G1729,SUBCATEGORIAS_PLANO,0)),"Não classificado"))</f>
        <v/>
      </c>
      <c r="AI1729" s="24">
        <f>IF(OR($C1729="",$X1729="Pago",$X1729="Recebido",$X1729="Cancelado"),"",$C1729-TODAY())</f>
        <v/>
      </c>
      <c r="AJ1729" s="24">
        <f>IF(OR($C1729="",$X1729="Pago",$X1729="Recebido",$X1729="Cancelado"),0,MAX(0,TODAY()-$C1729))</f>
        <v/>
      </c>
      <c r="AK1729" s="24">
        <f>IF($D1729="","",$D1729-$B1729)</f>
        <v/>
      </c>
      <c r="AL1729" s="18">
        <f>IF(OR($D1729="",$B1729=""),"",ROUND(N($R1729)*($D1729-$B1729),2))</f>
        <v/>
      </c>
      <c r="AM1729" s="17">
        <f>IF(AND($E1729="Saída",$W1729&gt;0,$C1729&lt;&gt;""),$C1729+ROW()/1000000,"")</f>
        <v/>
      </c>
      <c r="AN1729" s="17">
        <f>IF(AND($E1729="Entrada",$W1729&gt;0,$C1729&lt;&gt;""),$C1729+ROW()/1000000,"")</f>
        <v/>
      </c>
      <c r="AO1729" s="9">
        <f>IF(COUNTA($B1729:$R1729)=0,"",IF(AND($I1729&lt;&gt;"",COUNTIF(CLIENTES_NOMES,$I1729)+COUNTIF(CLIENTES_FANTASIA,$I1729)+COUNTIF(FORNECEDORES_NOMES,$I1729)+COUNTIF(FORNECEDORES_FANTASIA,$I1729)=0),"⚠ Cliente/Fornecedor não cadastrado",IF(AND($G1729&lt;&gt;"",COUNTIF(SUBCATEGORIAS_PLANO,$G1729)=0),"⚠ Subcategoria fora do plano de contas",IF(OR($Q1729="",N($Q1729)=0),"⚠ Valor previsto não informado",IF(AND(OR($X1729="Pago",$X1729="Recebido"),$D1729=""),"⚠ Status pago/recebido sem data",IF(AND($D1729&lt;&gt;"",N($R1729)=0),"⚠ Data de pagamento sem valor realizado",IF(AND(N($P1729)&gt;1,N($O1729)&gt;N($P1729)),"⚠ Nº da parcela maior que o total",IF(AND($C1729&lt;&gt;"",$B1729&lt;&gt;"",$C1729&lt;$B1729),"⚠ Vencimento anterior à competência","OK"))))))))</f>
        <v/>
      </c>
    </row>
    <row r="1730">
      <c r="A1730" s="14" t="n"/>
      <c r="B1730" s="36" t="n"/>
      <c r="C1730" s="36" t="n"/>
      <c r="D1730" s="36" t="n"/>
      <c r="E1730" s="14" t="n"/>
      <c r="F1730" s="29" t="n"/>
      <c r="G1730" s="29" t="n"/>
      <c r="H1730" s="29" t="n"/>
      <c r="I1730" s="29" t="n"/>
      <c r="J1730" s="29" t="n"/>
      <c r="K1730" s="14" t="n"/>
      <c r="L1730" s="29" t="n"/>
      <c r="M1730" s="14" t="n"/>
      <c r="N1730" s="29" t="n"/>
      <c r="O1730" s="13" t="n"/>
      <c r="P1730" s="13" t="n"/>
      <c r="Q1730" s="35" t="n"/>
      <c r="R1730" s="35" t="n"/>
      <c r="S1730" s="35" t="n"/>
      <c r="T1730" s="35" t="n"/>
      <c r="U1730" s="35" t="n"/>
      <c r="V1730" s="18">
        <f>IF(COUNTA($B1730:$R1730)=0,"",ROUND(N($R1730)+N($S1730)+N($T1730)-N($U1730),2))</f>
        <v/>
      </c>
      <c r="W1730" s="18">
        <f>IF(COUNTA($B1730:$R1730)=0,"",IF(OR($X1730="Pago",$X1730="Recebido",$X1730="Cancelado"),0,ROUND(N($Q1730)+N($S1730)+N($T1730)-N($U1730)-N($R1730),2)))</f>
        <v/>
      </c>
      <c r="X1730" s="14" t="n"/>
      <c r="Y1730" s="17">
        <f>IF(COUNTA($B1730:$R1730)=0,"",IF($X1730="Cancelado","Cancelado",IF(OR($X1730="Pago",$X1730="Recebido"),$X1730,IF(OR($X1730="Parcial",N($R1730)&gt;0),"Parcial",IF($C1730="","Sem vencimento",IF($C1730&lt;TODAY(),"Vencido",IF($C1730=TODAY(),"Vence hoje",IF($C1730&lt;=TODAY()+7,"Vence em 7 dias",IF($C1730&lt;=TODAY()+30,"Vence em 30 dias","Futuro")))))))))</f>
        <v/>
      </c>
      <c r="Z1730" s="24">
        <f>IF($B1730="","",MONTH($B1730))</f>
        <v/>
      </c>
      <c r="AA1730" s="24">
        <f>IF($B1730="","",YEAR($B1730))</f>
        <v/>
      </c>
      <c r="AB1730" s="24">
        <f>IF($B1730="","",ISOWEEKNUM($B1730))</f>
        <v/>
      </c>
      <c r="AC1730" s="17">
        <f>IF($B1730="","",CHOOSE(WEEKDAY($B1730,2),"Segunda","Terça","Quarta","Quinta","Sexta","Sábado","Domingo"))</f>
        <v/>
      </c>
      <c r="AD1730" s="17">
        <f>IF($B1730="","",TEXT($B1730,"MM/AAAA"))</f>
        <v/>
      </c>
      <c r="AE1730" s="18">
        <f>IF(COUNTA($B1730:$R1730)=0,"",IF($X1730="Cancelado",0,ROUND(N($Q1730)+N($S1730)+N($T1730)-N($U1730),2)))</f>
        <v/>
      </c>
      <c r="AF1730" s="9">
        <f>IF($G1730="","",IFERROR(INDEX(LINHAS_DRE_PLANO,MATCH($G1730,SUBCATEGORIAS_PLANO,0)),"Não classificado"))</f>
        <v/>
      </c>
      <c r="AG1730" s="17">
        <f>IF($G1730="","",IFERROR(INDEX(TIPOS_FLUXO_PLANO,MATCH($G1730,SUBCATEGORIAS_PLANO,0)),"Não classificado"))</f>
        <v/>
      </c>
      <c r="AH1730" s="9">
        <f>IF($G1730="","",IFERROR(INDEX(GRUPOS_PLANO,MATCH($G1730,SUBCATEGORIAS_PLANO,0)),"Não classificado"))</f>
        <v/>
      </c>
      <c r="AI1730" s="24">
        <f>IF(OR($C1730="",$X1730="Pago",$X1730="Recebido",$X1730="Cancelado"),"",$C1730-TODAY())</f>
        <v/>
      </c>
      <c r="AJ1730" s="24">
        <f>IF(OR($C1730="",$X1730="Pago",$X1730="Recebido",$X1730="Cancelado"),0,MAX(0,TODAY()-$C1730))</f>
        <v/>
      </c>
      <c r="AK1730" s="24">
        <f>IF($D1730="","",$D1730-$B1730)</f>
        <v/>
      </c>
      <c r="AL1730" s="18">
        <f>IF(OR($D1730="",$B1730=""),"",ROUND(N($R1730)*($D1730-$B1730),2))</f>
        <v/>
      </c>
      <c r="AM1730" s="17">
        <f>IF(AND($E1730="Saída",$W1730&gt;0,$C1730&lt;&gt;""),$C1730+ROW()/1000000,"")</f>
        <v/>
      </c>
      <c r="AN1730" s="17">
        <f>IF(AND($E1730="Entrada",$W1730&gt;0,$C1730&lt;&gt;""),$C1730+ROW()/1000000,"")</f>
        <v/>
      </c>
      <c r="AO1730" s="9">
        <f>IF(COUNTA($B1730:$R1730)=0,"",IF(AND($I1730&lt;&gt;"",COUNTIF(CLIENTES_NOMES,$I1730)+COUNTIF(CLIENTES_FANTASIA,$I1730)+COUNTIF(FORNECEDORES_NOMES,$I1730)+COUNTIF(FORNECEDORES_FANTASIA,$I1730)=0),"⚠ Cliente/Fornecedor não cadastrado",IF(AND($G1730&lt;&gt;"",COUNTIF(SUBCATEGORIAS_PLANO,$G1730)=0),"⚠ Subcategoria fora do plano de contas",IF(OR($Q1730="",N($Q1730)=0),"⚠ Valor previsto não informado",IF(AND(OR($X1730="Pago",$X1730="Recebido"),$D1730=""),"⚠ Status pago/recebido sem data",IF(AND($D1730&lt;&gt;"",N($R1730)=0),"⚠ Data de pagamento sem valor realizado",IF(AND(N($P1730)&gt;1,N($O1730)&gt;N($P1730)),"⚠ Nº da parcela maior que o total",IF(AND($C1730&lt;&gt;"",$B1730&lt;&gt;"",$C1730&lt;$B1730),"⚠ Vencimento anterior à competência","OK"))))))))</f>
        <v/>
      </c>
    </row>
    <row r="1731">
      <c r="A1731" s="14" t="n"/>
      <c r="B1731" s="36" t="n"/>
      <c r="C1731" s="36" t="n"/>
      <c r="D1731" s="36" t="n"/>
      <c r="E1731" s="14" t="n"/>
      <c r="F1731" s="29" t="n"/>
      <c r="G1731" s="29" t="n"/>
      <c r="H1731" s="29" t="n"/>
      <c r="I1731" s="29" t="n"/>
      <c r="J1731" s="29" t="n"/>
      <c r="K1731" s="14" t="n"/>
      <c r="L1731" s="29" t="n"/>
      <c r="M1731" s="14" t="n"/>
      <c r="N1731" s="29" t="n"/>
      <c r="O1731" s="13" t="n"/>
      <c r="P1731" s="13" t="n"/>
      <c r="Q1731" s="35" t="n"/>
      <c r="R1731" s="35" t="n"/>
      <c r="S1731" s="35" t="n"/>
      <c r="T1731" s="35" t="n"/>
      <c r="U1731" s="35" t="n"/>
      <c r="V1731" s="18">
        <f>IF(COUNTA($B1731:$R1731)=0,"",ROUND(N($R1731)+N($S1731)+N($T1731)-N($U1731),2))</f>
        <v/>
      </c>
      <c r="W1731" s="18">
        <f>IF(COUNTA($B1731:$R1731)=0,"",IF(OR($X1731="Pago",$X1731="Recebido",$X1731="Cancelado"),0,ROUND(N($Q1731)+N($S1731)+N($T1731)-N($U1731)-N($R1731),2)))</f>
        <v/>
      </c>
      <c r="X1731" s="14" t="n"/>
      <c r="Y1731" s="17">
        <f>IF(COUNTA($B1731:$R1731)=0,"",IF($X1731="Cancelado","Cancelado",IF(OR($X1731="Pago",$X1731="Recebido"),$X1731,IF(OR($X1731="Parcial",N($R1731)&gt;0),"Parcial",IF($C1731="","Sem vencimento",IF($C1731&lt;TODAY(),"Vencido",IF($C1731=TODAY(),"Vence hoje",IF($C1731&lt;=TODAY()+7,"Vence em 7 dias",IF($C1731&lt;=TODAY()+30,"Vence em 30 dias","Futuro")))))))))</f>
        <v/>
      </c>
      <c r="Z1731" s="24">
        <f>IF($B1731="","",MONTH($B1731))</f>
        <v/>
      </c>
      <c r="AA1731" s="24">
        <f>IF($B1731="","",YEAR($B1731))</f>
        <v/>
      </c>
      <c r="AB1731" s="24">
        <f>IF($B1731="","",ISOWEEKNUM($B1731))</f>
        <v/>
      </c>
      <c r="AC1731" s="17">
        <f>IF($B1731="","",CHOOSE(WEEKDAY($B1731,2),"Segunda","Terça","Quarta","Quinta","Sexta","Sábado","Domingo"))</f>
        <v/>
      </c>
      <c r="AD1731" s="17">
        <f>IF($B1731="","",TEXT($B1731,"MM/AAAA"))</f>
        <v/>
      </c>
      <c r="AE1731" s="18">
        <f>IF(COUNTA($B1731:$R1731)=0,"",IF($X1731="Cancelado",0,ROUND(N($Q1731)+N($S1731)+N($T1731)-N($U1731),2)))</f>
        <v/>
      </c>
      <c r="AF1731" s="9">
        <f>IF($G1731="","",IFERROR(INDEX(LINHAS_DRE_PLANO,MATCH($G1731,SUBCATEGORIAS_PLANO,0)),"Não classificado"))</f>
        <v/>
      </c>
      <c r="AG1731" s="17">
        <f>IF($G1731="","",IFERROR(INDEX(TIPOS_FLUXO_PLANO,MATCH($G1731,SUBCATEGORIAS_PLANO,0)),"Não classificado"))</f>
        <v/>
      </c>
      <c r="AH1731" s="9">
        <f>IF($G1731="","",IFERROR(INDEX(GRUPOS_PLANO,MATCH($G1731,SUBCATEGORIAS_PLANO,0)),"Não classificado"))</f>
        <v/>
      </c>
      <c r="AI1731" s="24">
        <f>IF(OR($C1731="",$X1731="Pago",$X1731="Recebido",$X1731="Cancelado"),"",$C1731-TODAY())</f>
        <v/>
      </c>
      <c r="AJ1731" s="24">
        <f>IF(OR($C1731="",$X1731="Pago",$X1731="Recebido",$X1731="Cancelado"),0,MAX(0,TODAY()-$C1731))</f>
        <v/>
      </c>
      <c r="AK1731" s="24">
        <f>IF($D1731="","",$D1731-$B1731)</f>
        <v/>
      </c>
      <c r="AL1731" s="18">
        <f>IF(OR($D1731="",$B1731=""),"",ROUND(N($R1731)*($D1731-$B1731),2))</f>
        <v/>
      </c>
      <c r="AM1731" s="17">
        <f>IF(AND($E1731="Saída",$W1731&gt;0,$C1731&lt;&gt;""),$C1731+ROW()/1000000,"")</f>
        <v/>
      </c>
      <c r="AN1731" s="17">
        <f>IF(AND($E1731="Entrada",$W1731&gt;0,$C1731&lt;&gt;""),$C1731+ROW()/1000000,"")</f>
        <v/>
      </c>
      <c r="AO1731" s="9">
        <f>IF(COUNTA($B1731:$R1731)=0,"",IF(AND($I1731&lt;&gt;"",COUNTIF(CLIENTES_NOMES,$I1731)+COUNTIF(CLIENTES_FANTASIA,$I1731)+COUNTIF(FORNECEDORES_NOMES,$I1731)+COUNTIF(FORNECEDORES_FANTASIA,$I1731)=0),"⚠ Cliente/Fornecedor não cadastrado",IF(AND($G1731&lt;&gt;"",COUNTIF(SUBCATEGORIAS_PLANO,$G1731)=0),"⚠ Subcategoria fora do plano de contas",IF(OR($Q1731="",N($Q1731)=0),"⚠ Valor previsto não informado",IF(AND(OR($X1731="Pago",$X1731="Recebido"),$D1731=""),"⚠ Status pago/recebido sem data",IF(AND($D1731&lt;&gt;"",N($R1731)=0),"⚠ Data de pagamento sem valor realizado",IF(AND(N($P1731)&gt;1,N($O1731)&gt;N($P1731)),"⚠ Nº da parcela maior que o total",IF(AND($C1731&lt;&gt;"",$B1731&lt;&gt;"",$C1731&lt;$B1731),"⚠ Vencimento anterior à competência","OK"))))))))</f>
        <v/>
      </c>
    </row>
    <row r="1732">
      <c r="A1732" s="14" t="n"/>
      <c r="B1732" s="36" t="n"/>
      <c r="C1732" s="36" t="n"/>
      <c r="D1732" s="36" t="n"/>
      <c r="E1732" s="14" t="n"/>
      <c r="F1732" s="29" t="n"/>
      <c r="G1732" s="29" t="n"/>
      <c r="H1732" s="29" t="n"/>
      <c r="I1732" s="29" t="n"/>
      <c r="J1732" s="29" t="n"/>
      <c r="K1732" s="14" t="n"/>
      <c r="L1732" s="29" t="n"/>
      <c r="M1732" s="14" t="n"/>
      <c r="N1732" s="29" t="n"/>
      <c r="O1732" s="13" t="n"/>
      <c r="P1732" s="13" t="n"/>
      <c r="Q1732" s="35" t="n"/>
      <c r="R1732" s="35" t="n"/>
      <c r="S1732" s="35" t="n"/>
      <c r="T1732" s="35" t="n"/>
      <c r="U1732" s="35" t="n"/>
      <c r="V1732" s="18">
        <f>IF(COUNTA($B1732:$R1732)=0,"",ROUND(N($R1732)+N($S1732)+N($T1732)-N($U1732),2))</f>
        <v/>
      </c>
      <c r="W1732" s="18">
        <f>IF(COUNTA($B1732:$R1732)=0,"",IF(OR($X1732="Pago",$X1732="Recebido",$X1732="Cancelado"),0,ROUND(N($Q1732)+N($S1732)+N($T1732)-N($U1732)-N($R1732),2)))</f>
        <v/>
      </c>
      <c r="X1732" s="14" t="n"/>
      <c r="Y1732" s="17">
        <f>IF(COUNTA($B1732:$R1732)=0,"",IF($X1732="Cancelado","Cancelado",IF(OR($X1732="Pago",$X1732="Recebido"),$X1732,IF(OR($X1732="Parcial",N($R1732)&gt;0),"Parcial",IF($C1732="","Sem vencimento",IF($C1732&lt;TODAY(),"Vencido",IF($C1732=TODAY(),"Vence hoje",IF($C1732&lt;=TODAY()+7,"Vence em 7 dias",IF($C1732&lt;=TODAY()+30,"Vence em 30 dias","Futuro")))))))))</f>
        <v/>
      </c>
      <c r="Z1732" s="24">
        <f>IF($B1732="","",MONTH($B1732))</f>
        <v/>
      </c>
      <c r="AA1732" s="24">
        <f>IF($B1732="","",YEAR($B1732))</f>
        <v/>
      </c>
      <c r="AB1732" s="24">
        <f>IF($B1732="","",ISOWEEKNUM($B1732))</f>
        <v/>
      </c>
      <c r="AC1732" s="17">
        <f>IF($B1732="","",CHOOSE(WEEKDAY($B1732,2),"Segunda","Terça","Quarta","Quinta","Sexta","Sábado","Domingo"))</f>
        <v/>
      </c>
      <c r="AD1732" s="17">
        <f>IF($B1732="","",TEXT($B1732,"MM/AAAA"))</f>
        <v/>
      </c>
      <c r="AE1732" s="18">
        <f>IF(COUNTA($B1732:$R1732)=0,"",IF($X1732="Cancelado",0,ROUND(N($Q1732)+N($S1732)+N($T1732)-N($U1732),2)))</f>
        <v/>
      </c>
      <c r="AF1732" s="9">
        <f>IF($G1732="","",IFERROR(INDEX(LINHAS_DRE_PLANO,MATCH($G1732,SUBCATEGORIAS_PLANO,0)),"Não classificado"))</f>
        <v/>
      </c>
      <c r="AG1732" s="17">
        <f>IF($G1732="","",IFERROR(INDEX(TIPOS_FLUXO_PLANO,MATCH($G1732,SUBCATEGORIAS_PLANO,0)),"Não classificado"))</f>
        <v/>
      </c>
      <c r="AH1732" s="9">
        <f>IF($G1732="","",IFERROR(INDEX(GRUPOS_PLANO,MATCH($G1732,SUBCATEGORIAS_PLANO,0)),"Não classificado"))</f>
        <v/>
      </c>
      <c r="AI1732" s="24">
        <f>IF(OR($C1732="",$X1732="Pago",$X1732="Recebido",$X1732="Cancelado"),"",$C1732-TODAY())</f>
        <v/>
      </c>
      <c r="AJ1732" s="24">
        <f>IF(OR($C1732="",$X1732="Pago",$X1732="Recebido",$X1732="Cancelado"),0,MAX(0,TODAY()-$C1732))</f>
        <v/>
      </c>
      <c r="AK1732" s="24">
        <f>IF($D1732="","",$D1732-$B1732)</f>
        <v/>
      </c>
      <c r="AL1732" s="18">
        <f>IF(OR($D1732="",$B1732=""),"",ROUND(N($R1732)*($D1732-$B1732),2))</f>
        <v/>
      </c>
      <c r="AM1732" s="17">
        <f>IF(AND($E1732="Saída",$W1732&gt;0,$C1732&lt;&gt;""),$C1732+ROW()/1000000,"")</f>
        <v/>
      </c>
      <c r="AN1732" s="17">
        <f>IF(AND($E1732="Entrada",$W1732&gt;0,$C1732&lt;&gt;""),$C1732+ROW()/1000000,"")</f>
        <v/>
      </c>
      <c r="AO1732" s="9">
        <f>IF(COUNTA($B1732:$R1732)=0,"",IF(AND($I1732&lt;&gt;"",COUNTIF(CLIENTES_NOMES,$I1732)+COUNTIF(CLIENTES_FANTASIA,$I1732)+COUNTIF(FORNECEDORES_NOMES,$I1732)+COUNTIF(FORNECEDORES_FANTASIA,$I1732)=0),"⚠ Cliente/Fornecedor não cadastrado",IF(AND($G1732&lt;&gt;"",COUNTIF(SUBCATEGORIAS_PLANO,$G1732)=0),"⚠ Subcategoria fora do plano de contas",IF(OR($Q1732="",N($Q1732)=0),"⚠ Valor previsto não informado",IF(AND(OR($X1732="Pago",$X1732="Recebido"),$D1732=""),"⚠ Status pago/recebido sem data",IF(AND($D1732&lt;&gt;"",N($R1732)=0),"⚠ Data de pagamento sem valor realizado",IF(AND(N($P1732)&gt;1,N($O1732)&gt;N($P1732)),"⚠ Nº da parcela maior que o total",IF(AND($C1732&lt;&gt;"",$B1732&lt;&gt;"",$C1732&lt;$B1732),"⚠ Vencimento anterior à competência","OK"))))))))</f>
        <v/>
      </c>
    </row>
    <row r="1733">
      <c r="A1733" s="14" t="n"/>
      <c r="B1733" s="36" t="n"/>
      <c r="C1733" s="36" t="n"/>
      <c r="D1733" s="36" t="n"/>
      <c r="E1733" s="14" t="n"/>
      <c r="F1733" s="29" t="n"/>
      <c r="G1733" s="29" t="n"/>
      <c r="H1733" s="29" t="n"/>
      <c r="I1733" s="29" t="n"/>
      <c r="J1733" s="29" t="n"/>
      <c r="K1733" s="14" t="n"/>
      <c r="L1733" s="29" t="n"/>
      <c r="M1733" s="14" t="n"/>
      <c r="N1733" s="29" t="n"/>
      <c r="O1733" s="13" t="n"/>
      <c r="P1733" s="13" t="n"/>
      <c r="Q1733" s="35" t="n"/>
      <c r="R1733" s="35" t="n"/>
      <c r="S1733" s="35" t="n"/>
      <c r="T1733" s="35" t="n"/>
      <c r="U1733" s="35" t="n"/>
      <c r="V1733" s="18">
        <f>IF(COUNTA($B1733:$R1733)=0,"",ROUND(N($R1733)+N($S1733)+N($T1733)-N($U1733),2))</f>
        <v/>
      </c>
      <c r="W1733" s="18">
        <f>IF(COUNTA($B1733:$R1733)=0,"",IF(OR($X1733="Pago",$X1733="Recebido",$X1733="Cancelado"),0,ROUND(N($Q1733)+N($S1733)+N($T1733)-N($U1733)-N($R1733),2)))</f>
        <v/>
      </c>
      <c r="X1733" s="14" t="n"/>
      <c r="Y1733" s="17">
        <f>IF(COUNTA($B1733:$R1733)=0,"",IF($X1733="Cancelado","Cancelado",IF(OR($X1733="Pago",$X1733="Recebido"),$X1733,IF(OR($X1733="Parcial",N($R1733)&gt;0),"Parcial",IF($C1733="","Sem vencimento",IF($C1733&lt;TODAY(),"Vencido",IF($C1733=TODAY(),"Vence hoje",IF($C1733&lt;=TODAY()+7,"Vence em 7 dias",IF($C1733&lt;=TODAY()+30,"Vence em 30 dias","Futuro")))))))))</f>
        <v/>
      </c>
      <c r="Z1733" s="24">
        <f>IF($B1733="","",MONTH($B1733))</f>
        <v/>
      </c>
      <c r="AA1733" s="24">
        <f>IF($B1733="","",YEAR($B1733))</f>
        <v/>
      </c>
      <c r="AB1733" s="24">
        <f>IF($B1733="","",ISOWEEKNUM($B1733))</f>
        <v/>
      </c>
      <c r="AC1733" s="17">
        <f>IF($B1733="","",CHOOSE(WEEKDAY($B1733,2),"Segunda","Terça","Quarta","Quinta","Sexta","Sábado","Domingo"))</f>
        <v/>
      </c>
      <c r="AD1733" s="17">
        <f>IF($B1733="","",TEXT($B1733,"MM/AAAA"))</f>
        <v/>
      </c>
      <c r="AE1733" s="18">
        <f>IF(COUNTA($B1733:$R1733)=0,"",IF($X1733="Cancelado",0,ROUND(N($Q1733)+N($S1733)+N($T1733)-N($U1733),2)))</f>
        <v/>
      </c>
      <c r="AF1733" s="9">
        <f>IF($G1733="","",IFERROR(INDEX(LINHAS_DRE_PLANO,MATCH($G1733,SUBCATEGORIAS_PLANO,0)),"Não classificado"))</f>
        <v/>
      </c>
      <c r="AG1733" s="17">
        <f>IF($G1733="","",IFERROR(INDEX(TIPOS_FLUXO_PLANO,MATCH($G1733,SUBCATEGORIAS_PLANO,0)),"Não classificado"))</f>
        <v/>
      </c>
      <c r="AH1733" s="9">
        <f>IF($G1733="","",IFERROR(INDEX(GRUPOS_PLANO,MATCH($G1733,SUBCATEGORIAS_PLANO,0)),"Não classificado"))</f>
        <v/>
      </c>
      <c r="AI1733" s="24">
        <f>IF(OR($C1733="",$X1733="Pago",$X1733="Recebido",$X1733="Cancelado"),"",$C1733-TODAY())</f>
        <v/>
      </c>
      <c r="AJ1733" s="24">
        <f>IF(OR($C1733="",$X1733="Pago",$X1733="Recebido",$X1733="Cancelado"),0,MAX(0,TODAY()-$C1733))</f>
        <v/>
      </c>
      <c r="AK1733" s="24">
        <f>IF($D1733="","",$D1733-$B1733)</f>
        <v/>
      </c>
      <c r="AL1733" s="18">
        <f>IF(OR($D1733="",$B1733=""),"",ROUND(N($R1733)*($D1733-$B1733),2))</f>
        <v/>
      </c>
      <c r="AM1733" s="17">
        <f>IF(AND($E1733="Saída",$W1733&gt;0,$C1733&lt;&gt;""),$C1733+ROW()/1000000,"")</f>
        <v/>
      </c>
      <c r="AN1733" s="17">
        <f>IF(AND($E1733="Entrada",$W1733&gt;0,$C1733&lt;&gt;""),$C1733+ROW()/1000000,"")</f>
        <v/>
      </c>
      <c r="AO1733" s="9">
        <f>IF(COUNTA($B1733:$R1733)=0,"",IF(AND($I1733&lt;&gt;"",COUNTIF(CLIENTES_NOMES,$I1733)+COUNTIF(CLIENTES_FANTASIA,$I1733)+COUNTIF(FORNECEDORES_NOMES,$I1733)+COUNTIF(FORNECEDORES_FANTASIA,$I1733)=0),"⚠ Cliente/Fornecedor não cadastrado",IF(AND($G1733&lt;&gt;"",COUNTIF(SUBCATEGORIAS_PLANO,$G1733)=0),"⚠ Subcategoria fora do plano de contas",IF(OR($Q1733="",N($Q1733)=0),"⚠ Valor previsto não informado",IF(AND(OR($X1733="Pago",$X1733="Recebido"),$D1733=""),"⚠ Status pago/recebido sem data",IF(AND($D1733&lt;&gt;"",N($R1733)=0),"⚠ Data de pagamento sem valor realizado",IF(AND(N($P1733)&gt;1,N($O1733)&gt;N($P1733)),"⚠ Nº da parcela maior que o total",IF(AND($C1733&lt;&gt;"",$B1733&lt;&gt;"",$C1733&lt;$B1733),"⚠ Vencimento anterior à competência","OK"))))))))</f>
        <v/>
      </c>
    </row>
    <row r="1734">
      <c r="A1734" s="14" t="n"/>
      <c r="B1734" s="36" t="n"/>
      <c r="C1734" s="36" t="n"/>
      <c r="D1734" s="36" t="n"/>
      <c r="E1734" s="14" t="n"/>
      <c r="F1734" s="29" t="n"/>
      <c r="G1734" s="29" t="n"/>
      <c r="H1734" s="29" t="n"/>
      <c r="I1734" s="29" t="n"/>
      <c r="J1734" s="29" t="n"/>
      <c r="K1734" s="14" t="n"/>
      <c r="L1734" s="29" t="n"/>
      <c r="M1734" s="14" t="n"/>
      <c r="N1734" s="29" t="n"/>
      <c r="O1734" s="13" t="n"/>
      <c r="P1734" s="13" t="n"/>
      <c r="Q1734" s="35" t="n"/>
      <c r="R1734" s="35" t="n"/>
      <c r="S1734" s="35" t="n"/>
      <c r="T1734" s="35" t="n"/>
      <c r="U1734" s="35" t="n"/>
      <c r="V1734" s="18">
        <f>IF(COUNTA($B1734:$R1734)=0,"",ROUND(N($R1734)+N($S1734)+N($T1734)-N($U1734),2))</f>
        <v/>
      </c>
      <c r="W1734" s="18">
        <f>IF(COUNTA($B1734:$R1734)=0,"",IF(OR($X1734="Pago",$X1734="Recebido",$X1734="Cancelado"),0,ROUND(N($Q1734)+N($S1734)+N($T1734)-N($U1734)-N($R1734),2)))</f>
        <v/>
      </c>
      <c r="X1734" s="14" t="n"/>
      <c r="Y1734" s="17">
        <f>IF(COUNTA($B1734:$R1734)=0,"",IF($X1734="Cancelado","Cancelado",IF(OR($X1734="Pago",$X1734="Recebido"),$X1734,IF(OR($X1734="Parcial",N($R1734)&gt;0),"Parcial",IF($C1734="","Sem vencimento",IF($C1734&lt;TODAY(),"Vencido",IF($C1734=TODAY(),"Vence hoje",IF($C1734&lt;=TODAY()+7,"Vence em 7 dias",IF($C1734&lt;=TODAY()+30,"Vence em 30 dias","Futuro")))))))))</f>
        <v/>
      </c>
      <c r="Z1734" s="24">
        <f>IF($B1734="","",MONTH($B1734))</f>
        <v/>
      </c>
      <c r="AA1734" s="24">
        <f>IF($B1734="","",YEAR($B1734))</f>
        <v/>
      </c>
      <c r="AB1734" s="24">
        <f>IF($B1734="","",ISOWEEKNUM($B1734))</f>
        <v/>
      </c>
      <c r="AC1734" s="17">
        <f>IF($B1734="","",CHOOSE(WEEKDAY($B1734,2),"Segunda","Terça","Quarta","Quinta","Sexta","Sábado","Domingo"))</f>
        <v/>
      </c>
      <c r="AD1734" s="17">
        <f>IF($B1734="","",TEXT($B1734,"MM/AAAA"))</f>
        <v/>
      </c>
      <c r="AE1734" s="18">
        <f>IF(COUNTA($B1734:$R1734)=0,"",IF($X1734="Cancelado",0,ROUND(N($Q1734)+N($S1734)+N($T1734)-N($U1734),2)))</f>
        <v/>
      </c>
      <c r="AF1734" s="9">
        <f>IF($G1734="","",IFERROR(INDEX(LINHAS_DRE_PLANO,MATCH($G1734,SUBCATEGORIAS_PLANO,0)),"Não classificado"))</f>
        <v/>
      </c>
      <c r="AG1734" s="17">
        <f>IF($G1734="","",IFERROR(INDEX(TIPOS_FLUXO_PLANO,MATCH($G1734,SUBCATEGORIAS_PLANO,0)),"Não classificado"))</f>
        <v/>
      </c>
      <c r="AH1734" s="9">
        <f>IF($G1734="","",IFERROR(INDEX(GRUPOS_PLANO,MATCH($G1734,SUBCATEGORIAS_PLANO,0)),"Não classificado"))</f>
        <v/>
      </c>
      <c r="AI1734" s="24">
        <f>IF(OR($C1734="",$X1734="Pago",$X1734="Recebido",$X1734="Cancelado"),"",$C1734-TODAY())</f>
        <v/>
      </c>
      <c r="AJ1734" s="24">
        <f>IF(OR($C1734="",$X1734="Pago",$X1734="Recebido",$X1734="Cancelado"),0,MAX(0,TODAY()-$C1734))</f>
        <v/>
      </c>
      <c r="AK1734" s="24">
        <f>IF($D1734="","",$D1734-$B1734)</f>
        <v/>
      </c>
      <c r="AL1734" s="18">
        <f>IF(OR($D1734="",$B1734=""),"",ROUND(N($R1734)*($D1734-$B1734),2))</f>
        <v/>
      </c>
      <c r="AM1734" s="17">
        <f>IF(AND($E1734="Saída",$W1734&gt;0,$C1734&lt;&gt;""),$C1734+ROW()/1000000,"")</f>
        <v/>
      </c>
      <c r="AN1734" s="17">
        <f>IF(AND($E1734="Entrada",$W1734&gt;0,$C1734&lt;&gt;""),$C1734+ROW()/1000000,"")</f>
        <v/>
      </c>
      <c r="AO1734" s="9">
        <f>IF(COUNTA($B1734:$R1734)=0,"",IF(AND($I1734&lt;&gt;"",COUNTIF(CLIENTES_NOMES,$I1734)+COUNTIF(CLIENTES_FANTASIA,$I1734)+COUNTIF(FORNECEDORES_NOMES,$I1734)+COUNTIF(FORNECEDORES_FANTASIA,$I1734)=0),"⚠ Cliente/Fornecedor não cadastrado",IF(AND($G1734&lt;&gt;"",COUNTIF(SUBCATEGORIAS_PLANO,$G1734)=0),"⚠ Subcategoria fora do plano de contas",IF(OR($Q1734="",N($Q1734)=0),"⚠ Valor previsto não informado",IF(AND(OR($X1734="Pago",$X1734="Recebido"),$D1734=""),"⚠ Status pago/recebido sem data",IF(AND($D1734&lt;&gt;"",N($R1734)=0),"⚠ Data de pagamento sem valor realizado",IF(AND(N($P1734)&gt;1,N($O1734)&gt;N($P1734)),"⚠ Nº da parcela maior que o total",IF(AND($C1734&lt;&gt;"",$B1734&lt;&gt;"",$C1734&lt;$B1734),"⚠ Vencimento anterior à competência","OK"))))))))</f>
        <v/>
      </c>
    </row>
    <row r="1735">
      <c r="A1735" s="14" t="n"/>
      <c r="B1735" s="36" t="n"/>
      <c r="C1735" s="36" t="n"/>
      <c r="D1735" s="36" t="n"/>
      <c r="E1735" s="14" t="n"/>
      <c r="F1735" s="29" t="n"/>
      <c r="G1735" s="29" t="n"/>
      <c r="H1735" s="29" t="n"/>
      <c r="I1735" s="29" t="n"/>
      <c r="J1735" s="29" t="n"/>
      <c r="K1735" s="14" t="n"/>
      <c r="L1735" s="29" t="n"/>
      <c r="M1735" s="14" t="n"/>
      <c r="N1735" s="29" t="n"/>
      <c r="O1735" s="13" t="n"/>
      <c r="P1735" s="13" t="n"/>
      <c r="Q1735" s="35" t="n"/>
      <c r="R1735" s="35" t="n"/>
      <c r="S1735" s="35" t="n"/>
      <c r="T1735" s="35" t="n"/>
      <c r="U1735" s="35" t="n"/>
      <c r="V1735" s="18">
        <f>IF(COUNTA($B1735:$R1735)=0,"",ROUND(N($R1735)+N($S1735)+N($T1735)-N($U1735),2))</f>
        <v/>
      </c>
      <c r="W1735" s="18">
        <f>IF(COUNTA($B1735:$R1735)=0,"",IF(OR($X1735="Pago",$X1735="Recebido",$X1735="Cancelado"),0,ROUND(N($Q1735)+N($S1735)+N($T1735)-N($U1735)-N($R1735),2)))</f>
        <v/>
      </c>
      <c r="X1735" s="14" t="n"/>
      <c r="Y1735" s="17">
        <f>IF(COUNTA($B1735:$R1735)=0,"",IF($X1735="Cancelado","Cancelado",IF(OR($X1735="Pago",$X1735="Recebido"),$X1735,IF(OR($X1735="Parcial",N($R1735)&gt;0),"Parcial",IF($C1735="","Sem vencimento",IF($C1735&lt;TODAY(),"Vencido",IF($C1735=TODAY(),"Vence hoje",IF($C1735&lt;=TODAY()+7,"Vence em 7 dias",IF($C1735&lt;=TODAY()+30,"Vence em 30 dias","Futuro")))))))))</f>
        <v/>
      </c>
      <c r="Z1735" s="24">
        <f>IF($B1735="","",MONTH($B1735))</f>
        <v/>
      </c>
      <c r="AA1735" s="24">
        <f>IF($B1735="","",YEAR($B1735))</f>
        <v/>
      </c>
      <c r="AB1735" s="24">
        <f>IF($B1735="","",ISOWEEKNUM($B1735))</f>
        <v/>
      </c>
      <c r="AC1735" s="17">
        <f>IF($B1735="","",CHOOSE(WEEKDAY($B1735,2),"Segunda","Terça","Quarta","Quinta","Sexta","Sábado","Domingo"))</f>
        <v/>
      </c>
      <c r="AD1735" s="17">
        <f>IF($B1735="","",TEXT($B1735,"MM/AAAA"))</f>
        <v/>
      </c>
      <c r="AE1735" s="18">
        <f>IF(COUNTA($B1735:$R1735)=0,"",IF($X1735="Cancelado",0,ROUND(N($Q1735)+N($S1735)+N($T1735)-N($U1735),2)))</f>
        <v/>
      </c>
      <c r="AF1735" s="9">
        <f>IF($G1735="","",IFERROR(INDEX(LINHAS_DRE_PLANO,MATCH($G1735,SUBCATEGORIAS_PLANO,0)),"Não classificado"))</f>
        <v/>
      </c>
      <c r="AG1735" s="17">
        <f>IF($G1735="","",IFERROR(INDEX(TIPOS_FLUXO_PLANO,MATCH($G1735,SUBCATEGORIAS_PLANO,0)),"Não classificado"))</f>
        <v/>
      </c>
      <c r="AH1735" s="9">
        <f>IF($G1735="","",IFERROR(INDEX(GRUPOS_PLANO,MATCH($G1735,SUBCATEGORIAS_PLANO,0)),"Não classificado"))</f>
        <v/>
      </c>
      <c r="AI1735" s="24">
        <f>IF(OR($C1735="",$X1735="Pago",$X1735="Recebido",$X1735="Cancelado"),"",$C1735-TODAY())</f>
        <v/>
      </c>
      <c r="AJ1735" s="24">
        <f>IF(OR($C1735="",$X1735="Pago",$X1735="Recebido",$X1735="Cancelado"),0,MAX(0,TODAY()-$C1735))</f>
        <v/>
      </c>
      <c r="AK1735" s="24">
        <f>IF($D1735="","",$D1735-$B1735)</f>
        <v/>
      </c>
      <c r="AL1735" s="18">
        <f>IF(OR($D1735="",$B1735=""),"",ROUND(N($R1735)*($D1735-$B1735),2))</f>
        <v/>
      </c>
      <c r="AM1735" s="17">
        <f>IF(AND($E1735="Saída",$W1735&gt;0,$C1735&lt;&gt;""),$C1735+ROW()/1000000,"")</f>
        <v/>
      </c>
      <c r="AN1735" s="17">
        <f>IF(AND($E1735="Entrada",$W1735&gt;0,$C1735&lt;&gt;""),$C1735+ROW()/1000000,"")</f>
        <v/>
      </c>
      <c r="AO1735" s="9">
        <f>IF(COUNTA($B1735:$R1735)=0,"",IF(AND($I1735&lt;&gt;"",COUNTIF(CLIENTES_NOMES,$I1735)+COUNTIF(CLIENTES_FANTASIA,$I1735)+COUNTIF(FORNECEDORES_NOMES,$I1735)+COUNTIF(FORNECEDORES_FANTASIA,$I1735)=0),"⚠ Cliente/Fornecedor não cadastrado",IF(AND($G1735&lt;&gt;"",COUNTIF(SUBCATEGORIAS_PLANO,$G1735)=0),"⚠ Subcategoria fora do plano de contas",IF(OR($Q1735="",N($Q1735)=0),"⚠ Valor previsto não informado",IF(AND(OR($X1735="Pago",$X1735="Recebido"),$D1735=""),"⚠ Status pago/recebido sem data",IF(AND($D1735&lt;&gt;"",N($R1735)=0),"⚠ Data de pagamento sem valor realizado",IF(AND(N($P1735)&gt;1,N($O1735)&gt;N($P1735)),"⚠ Nº da parcela maior que o total",IF(AND($C1735&lt;&gt;"",$B1735&lt;&gt;"",$C1735&lt;$B1735),"⚠ Vencimento anterior à competência","OK"))))))))</f>
        <v/>
      </c>
    </row>
    <row r="1736">
      <c r="A1736" s="14" t="n"/>
      <c r="B1736" s="36" t="n"/>
      <c r="C1736" s="36" t="n"/>
      <c r="D1736" s="36" t="n"/>
      <c r="E1736" s="14" t="n"/>
      <c r="F1736" s="29" t="n"/>
      <c r="G1736" s="29" t="n"/>
      <c r="H1736" s="29" t="n"/>
      <c r="I1736" s="29" t="n"/>
      <c r="J1736" s="29" t="n"/>
      <c r="K1736" s="14" t="n"/>
      <c r="L1736" s="29" t="n"/>
      <c r="M1736" s="14" t="n"/>
      <c r="N1736" s="29" t="n"/>
      <c r="O1736" s="13" t="n"/>
      <c r="P1736" s="13" t="n"/>
      <c r="Q1736" s="35" t="n"/>
      <c r="R1736" s="35" t="n"/>
      <c r="S1736" s="35" t="n"/>
      <c r="T1736" s="35" t="n"/>
      <c r="U1736" s="35" t="n"/>
      <c r="V1736" s="18">
        <f>IF(COUNTA($B1736:$R1736)=0,"",ROUND(N($R1736)+N($S1736)+N($T1736)-N($U1736),2))</f>
        <v/>
      </c>
      <c r="W1736" s="18">
        <f>IF(COUNTA($B1736:$R1736)=0,"",IF(OR($X1736="Pago",$X1736="Recebido",$X1736="Cancelado"),0,ROUND(N($Q1736)+N($S1736)+N($T1736)-N($U1736)-N($R1736),2)))</f>
        <v/>
      </c>
      <c r="X1736" s="14" t="n"/>
      <c r="Y1736" s="17">
        <f>IF(COUNTA($B1736:$R1736)=0,"",IF($X1736="Cancelado","Cancelado",IF(OR($X1736="Pago",$X1736="Recebido"),$X1736,IF(OR($X1736="Parcial",N($R1736)&gt;0),"Parcial",IF($C1736="","Sem vencimento",IF($C1736&lt;TODAY(),"Vencido",IF($C1736=TODAY(),"Vence hoje",IF($C1736&lt;=TODAY()+7,"Vence em 7 dias",IF($C1736&lt;=TODAY()+30,"Vence em 30 dias","Futuro")))))))))</f>
        <v/>
      </c>
      <c r="Z1736" s="24">
        <f>IF($B1736="","",MONTH($B1736))</f>
        <v/>
      </c>
      <c r="AA1736" s="24">
        <f>IF($B1736="","",YEAR($B1736))</f>
        <v/>
      </c>
      <c r="AB1736" s="24">
        <f>IF($B1736="","",ISOWEEKNUM($B1736))</f>
        <v/>
      </c>
      <c r="AC1736" s="17">
        <f>IF($B1736="","",CHOOSE(WEEKDAY($B1736,2),"Segunda","Terça","Quarta","Quinta","Sexta","Sábado","Domingo"))</f>
        <v/>
      </c>
      <c r="AD1736" s="17">
        <f>IF($B1736="","",TEXT($B1736,"MM/AAAA"))</f>
        <v/>
      </c>
      <c r="AE1736" s="18">
        <f>IF(COUNTA($B1736:$R1736)=0,"",IF($X1736="Cancelado",0,ROUND(N($Q1736)+N($S1736)+N($T1736)-N($U1736),2)))</f>
        <v/>
      </c>
      <c r="AF1736" s="9">
        <f>IF($G1736="","",IFERROR(INDEX(LINHAS_DRE_PLANO,MATCH($G1736,SUBCATEGORIAS_PLANO,0)),"Não classificado"))</f>
        <v/>
      </c>
      <c r="AG1736" s="17">
        <f>IF($G1736="","",IFERROR(INDEX(TIPOS_FLUXO_PLANO,MATCH($G1736,SUBCATEGORIAS_PLANO,0)),"Não classificado"))</f>
        <v/>
      </c>
      <c r="AH1736" s="9">
        <f>IF($G1736="","",IFERROR(INDEX(GRUPOS_PLANO,MATCH($G1736,SUBCATEGORIAS_PLANO,0)),"Não classificado"))</f>
        <v/>
      </c>
      <c r="AI1736" s="24">
        <f>IF(OR($C1736="",$X1736="Pago",$X1736="Recebido",$X1736="Cancelado"),"",$C1736-TODAY())</f>
        <v/>
      </c>
      <c r="AJ1736" s="24">
        <f>IF(OR($C1736="",$X1736="Pago",$X1736="Recebido",$X1736="Cancelado"),0,MAX(0,TODAY()-$C1736))</f>
        <v/>
      </c>
      <c r="AK1736" s="24">
        <f>IF($D1736="","",$D1736-$B1736)</f>
        <v/>
      </c>
      <c r="AL1736" s="18">
        <f>IF(OR($D1736="",$B1736=""),"",ROUND(N($R1736)*($D1736-$B1736),2))</f>
        <v/>
      </c>
      <c r="AM1736" s="17">
        <f>IF(AND($E1736="Saída",$W1736&gt;0,$C1736&lt;&gt;""),$C1736+ROW()/1000000,"")</f>
        <v/>
      </c>
      <c r="AN1736" s="17">
        <f>IF(AND($E1736="Entrada",$W1736&gt;0,$C1736&lt;&gt;""),$C1736+ROW()/1000000,"")</f>
        <v/>
      </c>
      <c r="AO1736" s="9">
        <f>IF(COUNTA($B1736:$R1736)=0,"",IF(AND($I1736&lt;&gt;"",COUNTIF(CLIENTES_NOMES,$I1736)+COUNTIF(CLIENTES_FANTASIA,$I1736)+COUNTIF(FORNECEDORES_NOMES,$I1736)+COUNTIF(FORNECEDORES_FANTASIA,$I1736)=0),"⚠ Cliente/Fornecedor não cadastrado",IF(AND($G1736&lt;&gt;"",COUNTIF(SUBCATEGORIAS_PLANO,$G1736)=0),"⚠ Subcategoria fora do plano de contas",IF(OR($Q1736="",N($Q1736)=0),"⚠ Valor previsto não informado",IF(AND(OR($X1736="Pago",$X1736="Recebido"),$D1736=""),"⚠ Status pago/recebido sem data",IF(AND($D1736&lt;&gt;"",N($R1736)=0),"⚠ Data de pagamento sem valor realizado",IF(AND(N($P1736)&gt;1,N($O1736)&gt;N($P1736)),"⚠ Nº da parcela maior que o total",IF(AND($C1736&lt;&gt;"",$B1736&lt;&gt;"",$C1736&lt;$B1736),"⚠ Vencimento anterior à competência","OK"))))))))</f>
        <v/>
      </c>
    </row>
    <row r="1737">
      <c r="A1737" s="14" t="n"/>
      <c r="B1737" s="36" t="n"/>
      <c r="C1737" s="36" t="n"/>
      <c r="D1737" s="36" t="n"/>
      <c r="E1737" s="14" t="n"/>
      <c r="F1737" s="29" t="n"/>
      <c r="G1737" s="29" t="n"/>
      <c r="H1737" s="29" t="n"/>
      <c r="I1737" s="29" t="n"/>
      <c r="J1737" s="29" t="n"/>
      <c r="K1737" s="14" t="n"/>
      <c r="L1737" s="29" t="n"/>
      <c r="M1737" s="14" t="n"/>
      <c r="N1737" s="29" t="n"/>
      <c r="O1737" s="13" t="n"/>
      <c r="P1737" s="13" t="n"/>
      <c r="Q1737" s="35" t="n"/>
      <c r="R1737" s="35" t="n"/>
      <c r="S1737" s="35" t="n"/>
      <c r="T1737" s="35" t="n"/>
      <c r="U1737" s="35" t="n"/>
      <c r="V1737" s="18">
        <f>IF(COUNTA($B1737:$R1737)=0,"",ROUND(N($R1737)+N($S1737)+N($T1737)-N($U1737),2))</f>
        <v/>
      </c>
      <c r="W1737" s="18">
        <f>IF(COUNTA($B1737:$R1737)=0,"",IF(OR($X1737="Pago",$X1737="Recebido",$X1737="Cancelado"),0,ROUND(N($Q1737)+N($S1737)+N($T1737)-N($U1737)-N($R1737),2)))</f>
        <v/>
      </c>
      <c r="X1737" s="14" t="n"/>
      <c r="Y1737" s="17">
        <f>IF(COUNTA($B1737:$R1737)=0,"",IF($X1737="Cancelado","Cancelado",IF(OR($X1737="Pago",$X1737="Recebido"),$X1737,IF(OR($X1737="Parcial",N($R1737)&gt;0),"Parcial",IF($C1737="","Sem vencimento",IF($C1737&lt;TODAY(),"Vencido",IF($C1737=TODAY(),"Vence hoje",IF($C1737&lt;=TODAY()+7,"Vence em 7 dias",IF($C1737&lt;=TODAY()+30,"Vence em 30 dias","Futuro")))))))))</f>
        <v/>
      </c>
      <c r="Z1737" s="24">
        <f>IF($B1737="","",MONTH($B1737))</f>
        <v/>
      </c>
      <c r="AA1737" s="24">
        <f>IF($B1737="","",YEAR($B1737))</f>
        <v/>
      </c>
      <c r="AB1737" s="24">
        <f>IF($B1737="","",ISOWEEKNUM($B1737))</f>
        <v/>
      </c>
      <c r="AC1737" s="17">
        <f>IF($B1737="","",CHOOSE(WEEKDAY($B1737,2),"Segunda","Terça","Quarta","Quinta","Sexta","Sábado","Domingo"))</f>
        <v/>
      </c>
      <c r="AD1737" s="17">
        <f>IF($B1737="","",TEXT($B1737,"MM/AAAA"))</f>
        <v/>
      </c>
      <c r="AE1737" s="18">
        <f>IF(COUNTA($B1737:$R1737)=0,"",IF($X1737="Cancelado",0,ROUND(N($Q1737)+N($S1737)+N($T1737)-N($U1737),2)))</f>
        <v/>
      </c>
      <c r="AF1737" s="9">
        <f>IF($G1737="","",IFERROR(INDEX(LINHAS_DRE_PLANO,MATCH($G1737,SUBCATEGORIAS_PLANO,0)),"Não classificado"))</f>
        <v/>
      </c>
      <c r="AG1737" s="17">
        <f>IF($G1737="","",IFERROR(INDEX(TIPOS_FLUXO_PLANO,MATCH($G1737,SUBCATEGORIAS_PLANO,0)),"Não classificado"))</f>
        <v/>
      </c>
      <c r="AH1737" s="9">
        <f>IF($G1737="","",IFERROR(INDEX(GRUPOS_PLANO,MATCH($G1737,SUBCATEGORIAS_PLANO,0)),"Não classificado"))</f>
        <v/>
      </c>
      <c r="AI1737" s="24">
        <f>IF(OR($C1737="",$X1737="Pago",$X1737="Recebido",$X1737="Cancelado"),"",$C1737-TODAY())</f>
        <v/>
      </c>
      <c r="AJ1737" s="24">
        <f>IF(OR($C1737="",$X1737="Pago",$X1737="Recebido",$X1737="Cancelado"),0,MAX(0,TODAY()-$C1737))</f>
        <v/>
      </c>
      <c r="AK1737" s="24">
        <f>IF($D1737="","",$D1737-$B1737)</f>
        <v/>
      </c>
      <c r="AL1737" s="18">
        <f>IF(OR($D1737="",$B1737=""),"",ROUND(N($R1737)*($D1737-$B1737),2))</f>
        <v/>
      </c>
      <c r="AM1737" s="17">
        <f>IF(AND($E1737="Saída",$W1737&gt;0,$C1737&lt;&gt;""),$C1737+ROW()/1000000,"")</f>
        <v/>
      </c>
      <c r="AN1737" s="17">
        <f>IF(AND($E1737="Entrada",$W1737&gt;0,$C1737&lt;&gt;""),$C1737+ROW()/1000000,"")</f>
        <v/>
      </c>
      <c r="AO1737" s="9">
        <f>IF(COUNTA($B1737:$R1737)=0,"",IF(AND($I1737&lt;&gt;"",COUNTIF(CLIENTES_NOMES,$I1737)+COUNTIF(CLIENTES_FANTASIA,$I1737)+COUNTIF(FORNECEDORES_NOMES,$I1737)+COUNTIF(FORNECEDORES_FANTASIA,$I1737)=0),"⚠ Cliente/Fornecedor não cadastrado",IF(AND($G1737&lt;&gt;"",COUNTIF(SUBCATEGORIAS_PLANO,$G1737)=0),"⚠ Subcategoria fora do plano de contas",IF(OR($Q1737="",N($Q1737)=0),"⚠ Valor previsto não informado",IF(AND(OR($X1737="Pago",$X1737="Recebido"),$D1737=""),"⚠ Status pago/recebido sem data",IF(AND($D1737&lt;&gt;"",N($R1737)=0),"⚠ Data de pagamento sem valor realizado",IF(AND(N($P1737)&gt;1,N($O1737)&gt;N($P1737)),"⚠ Nº da parcela maior que o total",IF(AND($C1737&lt;&gt;"",$B1737&lt;&gt;"",$C1737&lt;$B1737),"⚠ Vencimento anterior à competência","OK"))))))))</f>
        <v/>
      </c>
    </row>
    <row r="1738">
      <c r="A1738" s="14" t="n"/>
      <c r="B1738" s="36" t="n"/>
      <c r="C1738" s="36" t="n"/>
      <c r="D1738" s="36" t="n"/>
      <c r="E1738" s="14" t="n"/>
      <c r="F1738" s="29" t="n"/>
      <c r="G1738" s="29" t="n"/>
      <c r="H1738" s="29" t="n"/>
      <c r="I1738" s="29" t="n"/>
      <c r="J1738" s="29" t="n"/>
      <c r="K1738" s="14" t="n"/>
      <c r="L1738" s="29" t="n"/>
      <c r="M1738" s="14" t="n"/>
      <c r="N1738" s="29" t="n"/>
      <c r="O1738" s="13" t="n"/>
      <c r="P1738" s="13" t="n"/>
      <c r="Q1738" s="35" t="n"/>
      <c r="R1738" s="35" t="n"/>
      <c r="S1738" s="35" t="n"/>
      <c r="T1738" s="35" t="n"/>
      <c r="U1738" s="35" t="n"/>
      <c r="V1738" s="18">
        <f>IF(COUNTA($B1738:$R1738)=0,"",ROUND(N($R1738)+N($S1738)+N($T1738)-N($U1738),2))</f>
        <v/>
      </c>
      <c r="W1738" s="18">
        <f>IF(COUNTA($B1738:$R1738)=0,"",IF(OR($X1738="Pago",$X1738="Recebido",$X1738="Cancelado"),0,ROUND(N($Q1738)+N($S1738)+N($T1738)-N($U1738)-N($R1738),2)))</f>
        <v/>
      </c>
      <c r="X1738" s="14" t="n"/>
      <c r="Y1738" s="17">
        <f>IF(COUNTA($B1738:$R1738)=0,"",IF($X1738="Cancelado","Cancelado",IF(OR($X1738="Pago",$X1738="Recebido"),$X1738,IF(OR($X1738="Parcial",N($R1738)&gt;0),"Parcial",IF($C1738="","Sem vencimento",IF($C1738&lt;TODAY(),"Vencido",IF($C1738=TODAY(),"Vence hoje",IF($C1738&lt;=TODAY()+7,"Vence em 7 dias",IF($C1738&lt;=TODAY()+30,"Vence em 30 dias","Futuro")))))))))</f>
        <v/>
      </c>
      <c r="Z1738" s="24">
        <f>IF($B1738="","",MONTH($B1738))</f>
        <v/>
      </c>
      <c r="AA1738" s="24">
        <f>IF($B1738="","",YEAR($B1738))</f>
        <v/>
      </c>
      <c r="AB1738" s="24">
        <f>IF($B1738="","",ISOWEEKNUM($B1738))</f>
        <v/>
      </c>
      <c r="AC1738" s="17">
        <f>IF($B1738="","",CHOOSE(WEEKDAY($B1738,2),"Segunda","Terça","Quarta","Quinta","Sexta","Sábado","Domingo"))</f>
        <v/>
      </c>
      <c r="AD1738" s="17">
        <f>IF($B1738="","",TEXT($B1738,"MM/AAAA"))</f>
        <v/>
      </c>
      <c r="AE1738" s="18">
        <f>IF(COUNTA($B1738:$R1738)=0,"",IF($X1738="Cancelado",0,ROUND(N($Q1738)+N($S1738)+N($T1738)-N($U1738),2)))</f>
        <v/>
      </c>
      <c r="AF1738" s="9">
        <f>IF($G1738="","",IFERROR(INDEX(LINHAS_DRE_PLANO,MATCH($G1738,SUBCATEGORIAS_PLANO,0)),"Não classificado"))</f>
        <v/>
      </c>
      <c r="AG1738" s="17">
        <f>IF($G1738="","",IFERROR(INDEX(TIPOS_FLUXO_PLANO,MATCH($G1738,SUBCATEGORIAS_PLANO,0)),"Não classificado"))</f>
        <v/>
      </c>
      <c r="AH1738" s="9">
        <f>IF($G1738="","",IFERROR(INDEX(GRUPOS_PLANO,MATCH($G1738,SUBCATEGORIAS_PLANO,0)),"Não classificado"))</f>
        <v/>
      </c>
      <c r="AI1738" s="24">
        <f>IF(OR($C1738="",$X1738="Pago",$X1738="Recebido",$X1738="Cancelado"),"",$C1738-TODAY())</f>
        <v/>
      </c>
      <c r="AJ1738" s="24">
        <f>IF(OR($C1738="",$X1738="Pago",$X1738="Recebido",$X1738="Cancelado"),0,MAX(0,TODAY()-$C1738))</f>
        <v/>
      </c>
      <c r="AK1738" s="24">
        <f>IF($D1738="","",$D1738-$B1738)</f>
        <v/>
      </c>
      <c r="AL1738" s="18">
        <f>IF(OR($D1738="",$B1738=""),"",ROUND(N($R1738)*($D1738-$B1738),2))</f>
        <v/>
      </c>
      <c r="AM1738" s="17">
        <f>IF(AND($E1738="Saída",$W1738&gt;0,$C1738&lt;&gt;""),$C1738+ROW()/1000000,"")</f>
        <v/>
      </c>
      <c r="AN1738" s="17">
        <f>IF(AND($E1738="Entrada",$W1738&gt;0,$C1738&lt;&gt;""),$C1738+ROW()/1000000,"")</f>
        <v/>
      </c>
      <c r="AO1738" s="9">
        <f>IF(COUNTA($B1738:$R1738)=0,"",IF(AND($I1738&lt;&gt;"",COUNTIF(CLIENTES_NOMES,$I1738)+COUNTIF(CLIENTES_FANTASIA,$I1738)+COUNTIF(FORNECEDORES_NOMES,$I1738)+COUNTIF(FORNECEDORES_FANTASIA,$I1738)=0),"⚠ Cliente/Fornecedor não cadastrado",IF(AND($G1738&lt;&gt;"",COUNTIF(SUBCATEGORIAS_PLANO,$G1738)=0),"⚠ Subcategoria fora do plano de contas",IF(OR($Q1738="",N($Q1738)=0),"⚠ Valor previsto não informado",IF(AND(OR($X1738="Pago",$X1738="Recebido"),$D1738=""),"⚠ Status pago/recebido sem data",IF(AND($D1738&lt;&gt;"",N($R1738)=0),"⚠ Data de pagamento sem valor realizado",IF(AND(N($P1738)&gt;1,N($O1738)&gt;N($P1738)),"⚠ Nº da parcela maior que o total",IF(AND($C1738&lt;&gt;"",$B1738&lt;&gt;"",$C1738&lt;$B1738),"⚠ Vencimento anterior à competência","OK"))))))))</f>
        <v/>
      </c>
    </row>
    <row r="1739">
      <c r="A1739" s="14" t="n"/>
      <c r="B1739" s="36" t="n"/>
      <c r="C1739" s="36" t="n"/>
      <c r="D1739" s="36" t="n"/>
      <c r="E1739" s="14" t="n"/>
      <c r="F1739" s="29" t="n"/>
      <c r="G1739" s="29" t="n"/>
      <c r="H1739" s="29" t="n"/>
      <c r="I1739" s="29" t="n"/>
      <c r="J1739" s="29" t="n"/>
      <c r="K1739" s="14" t="n"/>
      <c r="L1739" s="29" t="n"/>
      <c r="M1739" s="14" t="n"/>
      <c r="N1739" s="29" t="n"/>
      <c r="O1739" s="13" t="n"/>
      <c r="P1739" s="13" t="n"/>
      <c r="Q1739" s="35" t="n"/>
      <c r="R1739" s="35" t="n"/>
      <c r="S1739" s="35" t="n"/>
      <c r="T1739" s="35" t="n"/>
      <c r="U1739" s="35" t="n"/>
      <c r="V1739" s="18">
        <f>IF(COUNTA($B1739:$R1739)=0,"",ROUND(N($R1739)+N($S1739)+N($T1739)-N($U1739),2))</f>
        <v/>
      </c>
      <c r="W1739" s="18">
        <f>IF(COUNTA($B1739:$R1739)=0,"",IF(OR($X1739="Pago",$X1739="Recebido",$X1739="Cancelado"),0,ROUND(N($Q1739)+N($S1739)+N($T1739)-N($U1739)-N($R1739),2)))</f>
        <v/>
      </c>
      <c r="X1739" s="14" t="n"/>
      <c r="Y1739" s="17">
        <f>IF(COUNTA($B1739:$R1739)=0,"",IF($X1739="Cancelado","Cancelado",IF(OR($X1739="Pago",$X1739="Recebido"),$X1739,IF(OR($X1739="Parcial",N($R1739)&gt;0),"Parcial",IF($C1739="","Sem vencimento",IF($C1739&lt;TODAY(),"Vencido",IF($C1739=TODAY(),"Vence hoje",IF($C1739&lt;=TODAY()+7,"Vence em 7 dias",IF($C1739&lt;=TODAY()+30,"Vence em 30 dias","Futuro")))))))))</f>
        <v/>
      </c>
      <c r="Z1739" s="24">
        <f>IF($B1739="","",MONTH($B1739))</f>
        <v/>
      </c>
      <c r="AA1739" s="24">
        <f>IF($B1739="","",YEAR($B1739))</f>
        <v/>
      </c>
      <c r="AB1739" s="24">
        <f>IF($B1739="","",ISOWEEKNUM($B1739))</f>
        <v/>
      </c>
      <c r="AC1739" s="17">
        <f>IF($B1739="","",CHOOSE(WEEKDAY($B1739,2),"Segunda","Terça","Quarta","Quinta","Sexta","Sábado","Domingo"))</f>
        <v/>
      </c>
      <c r="AD1739" s="17">
        <f>IF($B1739="","",TEXT($B1739,"MM/AAAA"))</f>
        <v/>
      </c>
      <c r="AE1739" s="18">
        <f>IF(COUNTA($B1739:$R1739)=0,"",IF($X1739="Cancelado",0,ROUND(N($Q1739)+N($S1739)+N($T1739)-N($U1739),2)))</f>
        <v/>
      </c>
      <c r="AF1739" s="9">
        <f>IF($G1739="","",IFERROR(INDEX(LINHAS_DRE_PLANO,MATCH($G1739,SUBCATEGORIAS_PLANO,0)),"Não classificado"))</f>
        <v/>
      </c>
      <c r="AG1739" s="17">
        <f>IF($G1739="","",IFERROR(INDEX(TIPOS_FLUXO_PLANO,MATCH($G1739,SUBCATEGORIAS_PLANO,0)),"Não classificado"))</f>
        <v/>
      </c>
      <c r="AH1739" s="9">
        <f>IF($G1739="","",IFERROR(INDEX(GRUPOS_PLANO,MATCH($G1739,SUBCATEGORIAS_PLANO,0)),"Não classificado"))</f>
        <v/>
      </c>
      <c r="AI1739" s="24">
        <f>IF(OR($C1739="",$X1739="Pago",$X1739="Recebido",$X1739="Cancelado"),"",$C1739-TODAY())</f>
        <v/>
      </c>
      <c r="AJ1739" s="24">
        <f>IF(OR($C1739="",$X1739="Pago",$X1739="Recebido",$X1739="Cancelado"),0,MAX(0,TODAY()-$C1739))</f>
        <v/>
      </c>
      <c r="AK1739" s="24">
        <f>IF($D1739="","",$D1739-$B1739)</f>
        <v/>
      </c>
      <c r="AL1739" s="18">
        <f>IF(OR($D1739="",$B1739=""),"",ROUND(N($R1739)*($D1739-$B1739),2))</f>
        <v/>
      </c>
      <c r="AM1739" s="17">
        <f>IF(AND($E1739="Saída",$W1739&gt;0,$C1739&lt;&gt;""),$C1739+ROW()/1000000,"")</f>
        <v/>
      </c>
      <c r="AN1739" s="17">
        <f>IF(AND($E1739="Entrada",$W1739&gt;0,$C1739&lt;&gt;""),$C1739+ROW()/1000000,"")</f>
        <v/>
      </c>
      <c r="AO1739" s="9">
        <f>IF(COUNTA($B1739:$R1739)=0,"",IF(AND($I1739&lt;&gt;"",COUNTIF(CLIENTES_NOMES,$I1739)+COUNTIF(CLIENTES_FANTASIA,$I1739)+COUNTIF(FORNECEDORES_NOMES,$I1739)+COUNTIF(FORNECEDORES_FANTASIA,$I1739)=0),"⚠ Cliente/Fornecedor não cadastrado",IF(AND($G1739&lt;&gt;"",COUNTIF(SUBCATEGORIAS_PLANO,$G1739)=0),"⚠ Subcategoria fora do plano de contas",IF(OR($Q1739="",N($Q1739)=0),"⚠ Valor previsto não informado",IF(AND(OR($X1739="Pago",$X1739="Recebido"),$D1739=""),"⚠ Status pago/recebido sem data",IF(AND($D1739&lt;&gt;"",N($R1739)=0),"⚠ Data de pagamento sem valor realizado",IF(AND(N($P1739)&gt;1,N($O1739)&gt;N($P1739)),"⚠ Nº da parcela maior que o total",IF(AND($C1739&lt;&gt;"",$B1739&lt;&gt;"",$C1739&lt;$B1739),"⚠ Vencimento anterior à competência","OK"))))))))</f>
        <v/>
      </c>
    </row>
    <row r="1740">
      <c r="A1740" s="14" t="n"/>
      <c r="B1740" s="36" t="n"/>
      <c r="C1740" s="36" t="n"/>
      <c r="D1740" s="36" t="n"/>
      <c r="E1740" s="14" t="n"/>
      <c r="F1740" s="29" t="n"/>
      <c r="G1740" s="29" t="n"/>
      <c r="H1740" s="29" t="n"/>
      <c r="I1740" s="29" t="n"/>
      <c r="J1740" s="29" t="n"/>
      <c r="K1740" s="14" t="n"/>
      <c r="L1740" s="29" t="n"/>
      <c r="M1740" s="14" t="n"/>
      <c r="N1740" s="29" t="n"/>
      <c r="O1740" s="13" t="n"/>
      <c r="P1740" s="13" t="n"/>
      <c r="Q1740" s="35" t="n"/>
      <c r="R1740" s="35" t="n"/>
      <c r="S1740" s="35" t="n"/>
      <c r="T1740" s="35" t="n"/>
      <c r="U1740" s="35" t="n"/>
      <c r="V1740" s="18">
        <f>IF(COUNTA($B1740:$R1740)=0,"",ROUND(N($R1740)+N($S1740)+N($T1740)-N($U1740),2))</f>
        <v/>
      </c>
      <c r="W1740" s="18">
        <f>IF(COUNTA($B1740:$R1740)=0,"",IF(OR($X1740="Pago",$X1740="Recebido",$X1740="Cancelado"),0,ROUND(N($Q1740)+N($S1740)+N($T1740)-N($U1740)-N($R1740),2)))</f>
        <v/>
      </c>
      <c r="X1740" s="14" t="n"/>
      <c r="Y1740" s="17">
        <f>IF(COUNTA($B1740:$R1740)=0,"",IF($X1740="Cancelado","Cancelado",IF(OR($X1740="Pago",$X1740="Recebido"),$X1740,IF(OR($X1740="Parcial",N($R1740)&gt;0),"Parcial",IF($C1740="","Sem vencimento",IF($C1740&lt;TODAY(),"Vencido",IF($C1740=TODAY(),"Vence hoje",IF($C1740&lt;=TODAY()+7,"Vence em 7 dias",IF($C1740&lt;=TODAY()+30,"Vence em 30 dias","Futuro")))))))))</f>
        <v/>
      </c>
      <c r="Z1740" s="24">
        <f>IF($B1740="","",MONTH($B1740))</f>
        <v/>
      </c>
      <c r="AA1740" s="24">
        <f>IF($B1740="","",YEAR($B1740))</f>
        <v/>
      </c>
      <c r="AB1740" s="24">
        <f>IF($B1740="","",ISOWEEKNUM($B1740))</f>
        <v/>
      </c>
      <c r="AC1740" s="17">
        <f>IF($B1740="","",CHOOSE(WEEKDAY($B1740,2),"Segunda","Terça","Quarta","Quinta","Sexta","Sábado","Domingo"))</f>
        <v/>
      </c>
      <c r="AD1740" s="17">
        <f>IF($B1740="","",TEXT($B1740,"MM/AAAA"))</f>
        <v/>
      </c>
      <c r="AE1740" s="18">
        <f>IF(COUNTA($B1740:$R1740)=0,"",IF($X1740="Cancelado",0,ROUND(N($Q1740)+N($S1740)+N($T1740)-N($U1740),2)))</f>
        <v/>
      </c>
      <c r="AF1740" s="9">
        <f>IF($G1740="","",IFERROR(INDEX(LINHAS_DRE_PLANO,MATCH($G1740,SUBCATEGORIAS_PLANO,0)),"Não classificado"))</f>
        <v/>
      </c>
      <c r="AG1740" s="17">
        <f>IF($G1740="","",IFERROR(INDEX(TIPOS_FLUXO_PLANO,MATCH($G1740,SUBCATEGORIAS_PLANO,0)),"Não classificado"))</f>
        <v/>
      </c>
      <c r="AH1740" s="9">
        <f>IF($G1740="","",IFERROR(INDEX(GRUPOS_PLANO,MATCH($G1740,SUBCATEGORIAS_PLANO,0)),"Não classificado"))</f>
        <v/>
      </c>
      <c r="AI1740" s="24">
        <f>IF(OR($C1740="",$X1740="Pago",$X1740="Recebido",$X1740="Cancelado"),"",$C1740-TODAY())</f>
        <v/>
      </c>
      <c r="AJ1740" s="24">
        <f>IF(OR($C1740="",$X1740="Pago",$X1740="Recebido",$X1740="Cancelado"),0,MAX(0,TODAY()-$C1740))</f>
        <v/>
      </c>
      <c r="AK1740" s="24">
        <f>IF($D1740="","",$D1740-$B1740)</f>
        <v/>
      </c>
      <c r="AL1740" s="18">
        <f>IF(OR($D1740="",$B1740=""),"",ROUND(N($R1740)*($D1740-$B1740),2))</f>
        <v/>
      </c>
      <c r="AM1740" s="17">
        <f>IF(AND($E1740="Saída",$W1740&gt;0,$C1740&lt;&gt;""),$C1740+ROW()/1000000,"")</f>
        <v/>
      </c>
      <c r="AN1740" s="17">
        <f>IF(AND($E1740="Entrada",$W1740&gt;0,$C1740&lt;&gt;""),$C1740+ROW()/1000000,"")</f>
        <v/>
      </c>
      <c r="AO1740" s="9">
        <f>IF(COUNTA($B1740:$R1740)=0,"",IF(AND($I1740&lt;&gt;"",COUNTIF(CLIENTES_NOMES,$I1740)+COUNTIF(CLIENTES_FANTASIA,$I1740)+COUNTIF(FORNECEDORES_NOMES,$I1740)+COUNTIF(FORNECEDORES_FANTASIA,$I1740)=0),"⚠ Cliente/Fornecedor não cadastrado",IF(AND($G1740&lt;&gt;"",COUNTIF(SUBCATEGORIAS_PLANO,$G1740)=0),"⚠ Subcategoria fora do plano de contas",IF(OR($Q1740="",N($Q1740)=0),"⚠ Valor previsto não informado",IF(AND(OR($X1740="Pago",$X1740="Recebido"),$D1740=""),"⚠ Status pago/recebido sem data",IF(AND($D1740&lt;&gt;"",N($R1740)=0),"⚠ Data de pagamento sem valor realizado",IF(AND(N($P1740)&gt;1,N($O1740)&gt;N($P1740)),"⚠ Nº da parcela maior que o total",IF(AND($C1740&lt;&gt;"",$B1740&lt;&gt;"",$C1740&lt;$B1740),"⚠ Vencimento anterior à competência","OK"))))))))</f>
        <v/>
      </c>
    </row>
    <row r="1741">
      <c r="A1741" s="14" t="n"/>
      <c r="B1741" s="36" t="n"/>
      <c r="C1741" s="36" t="n"/>
      <c r="D1741" s="36" t="n"/>
      <c r="E1741" s="14" t="n"/>
      <c r="F1741" s="29" t="n"/>
      <c r="G1741" s="29" t="n"/>
      <c r="H1741" s="29" t="n"/>
      <c r="I1741" s="29" t="n"/>
      <c r="J1741" s="29" t="n"/>
      <c r="K1741" s="14" t="n"/>
      <c r="L1741" s="29" t="n"/>
      <c r="M1741" s="14" t="n"/>
      <c r="N1741" s="29" t="n"/>
      <c r="O1741" s="13" t="n"/>
      <c r="P1741" s="13" t="n"/>
      <c r="Q1741" s="35" t="n"/>
      <c r="R1741" s="35" t="n"/>
      <c r="S1741" s="35" t="n"/>
      <c r="T1741" s="35" t="n"/>
      <c r="U1741" s="35" t="n"/>
      <c r="V1741" s="18">
        <f>IF(COUNTA($B1741:$R1741)=0,"",ROUND(N($R1741)+N($S1741)+N($T1741)-N($U1741),2))</f>
        <v/>
      </c>
      <c r="W1741" s="18">
        <f>IF(COUNTA($B1741:$R1741)=0,"",IF(OR($X1741="Pago",$X1741="Recebido",$X1741="Cancelado"),0,ROUND(N($Q1741)+N($S1741)+N($T1741)-N($U1741)-N($R1741),2)))</f>
        <v/>
      </c>
      <c r="X1741" s="14" t="n"/>
      <c r="Y1741" s="17">
        <f>IF(COUNTA($B1741:$R1741)=0,"",IF($X1741="Cancelado","Cancelado",IF(OR($X1741="Pago",$X1741="Recebido"),$X1741,IF(OR($X1741="Parcial",N($R1741)&gt;0),"Parcial",IF($C1741="","Sem vencimento",IF($C1741&lt;TODAY(),"Vencido",IF($C1741=TODAY(),"Vence hoje",IF($C1741&lt;=TODAY()+7,"Vence em 7 dias",IF($C1741&lt;=TODAY()+30,"Vence em 30 dias","Futuro")))))))))</f>
        <v/>
      </c>
      <c r="Z1741" s="24">
        <f>IF($B1741="","",MONTH($B1741))</f>
        <v/>
      </c>
      <c r="AA1741" s="24">
        <f>IF($B1741="","",YEAR($B1741))</f>
        <v/>
      </c>
      <c r="AB1741" s="24">
        <f>IF($B1741="","",ISOWEEKNUM($B1741))</f>
        <v/>
      </c>
      <c r="AC1741" s="17">
        <f>IF($B1741="","",CHOOSE(WEEKDAY($B1741,2),"Segunda","Terça","Quarta","Quinta","Sexta","Sábado","Domingo"))</f>
        <v/>
      </c>
      <c r="AD1741" s="17">
        <f>IF($B1741="","",TEXT($B1741,"MM/AAAA"))</f>
        <v/>
      </c>
      <c r="AE1741" s="18">
        <f>IF(COUNTA($B1741:$R1741)=0,"",IF($X1741="Cancelado",0,ROUND(N($Q1741)+N($S1741)+N($T1741)-N($U1741),2)))</f>
        <v/>
      </c>
      <c r="AF1741" s="9">
        <f>IF($G1741="","",IFERROR(INDEX(LINHAS_DRE_PLANO,MATCH($G1741,SUBCATEGORIAS_PLANO,0)),"Não classificado"))</f>
        <v/>
      </c>
      <c r="AG1741" s="17">
        <f>IF($G1741="","",IFERROR(INDEX(TIPOS_FLUXO_PLANO,MATCH($G1741,SUBCATEGORIAS_PLANO,0)),"Não classificado"))</f>
        <v/>
      </c>
      <c r="AH1741" s="9">
        <f>IF($G1741="","",IFERROR(INDEX(GRUPOS_PLANO,MATCH($G1741,SUBCATEGORIAS_PLANO,0)),"Não classificado"))</f>
        <v/>
      </c>
      <c r="AI1741" s="24">
        <f>IF(OR($C1741="",$X1741="Pago",$X1741="Recebido",$X1741="Cancelado"),"",$C1741-TODAY())</f>
        <v/>
      </c>
      <c r="AJ1741" s="24">
        <f>IF(OR($C1741="",$X1741="Pago",$X1741="Recebido",$X1741="Cancelado"),0,MAX(0,TODAY()-$C1741))</f>
        <v/>
      </c>
      <c r="AK1741" s="24">
        <f>IF($D1741="","",$D1741-$B1741)</f>
        <v/>
      </c>
      <c r="AL1741" s="18">
        <f>IF(OR($D1741="",$B1741=""),"",ROUND(N($R1741)*($D1741-$B1741),2))</f>
        <v/>
      </c>
      <c r="AM1741" s="17">
        <f>IF(AND($E1741="Saída",$W1741&gt;0,$C1741&lt;&gt;""),$C1741+ROW()/1000000,"")</f>
        <v/>
      </c>
      <c r="AN1741" s="17">
        <f>IF(AND($E1741="Entrada",$W1741&gt;0,$C1741&lt;&gt;""),$C1741+ROW()/1000000,"")</f>
        <v/>
      </c>
      <c r="AO1741" s="9">
        <f>IF(COUNTA($B1741:$R1741)=0,"",IF(AND($I1741&lt;&gt;"",COUNTIF(CLIENTES_NOMES,$I1741)+COUNTIF(CLIENTES_FANTASIA,$I1741)+COUNTIF(FORNECEDORES_NOMES,$I1741)+COUNTIF(FORNECEDORES_FANTASIA,$I1741)=0),"⚠ Cliente/Fornecedor não cadastrado",IF(AND($G1741&lt;&gt;"",COUNTIF(SUBCATEGORIAS_PLANO,$G1741)=0),"⚠ Subcategoria fora do plano de contas",IF(OR($Q1741="",N($Q1741)=0),"⚠ Valor previsto não informado",IF(AND(OR($X1741="Pago",$X1741="Recebido"),$D1741=""),"⚠ Status pago/recebido sem data",IF(AND($D1741&lt;&gt;"",N($R1741)=0),"⚠ Data de pagamento sem valor realizado",IF(AND(N($P1741)&gt;1,N($O1741)&gt;N($P1741)),"⚠ Nº da parcela maior que o total",IF(AND($C1741&lt;&gt;"",$B1741&lt;&gt;"",$C1741&lt;$B1741),"⚠ Vencimento anterior à competência","OK"))))))))</f>
        <v/>
      </c>
    </row>
    <row r="1742">
      <c r="A1742" s="14" t="n"/>
      <c r="B1742" s="36" t="n"/>
      <c r="C1742" s="36" t="n"/>
      <c r="D1742" s="36" t="n"/>
      <c r="E1742" s="14" t="n"/>
      <c r="F1742" s="29" t="n"/>
      <c r="G1742" s="29" t="n"/>
      <c r="H1742" s="29" t="n"/>
      <c r="I1742" s="29" t="n"/>
      <c r="J1742" s="29" t="n"/>
      <c r="K1742" s="14" t="n"/>
      <c r="L1742" s="29" t="n"/>
      <c r="M1742" s="14" t="n"/>
      <c r="N1742" s="29" t="n"/>
      <c r="O1742" s="13" t="n"/>
      <c r="P1742" s="13" t="n"/>
      <c r="Q1742" s="35" t="n"/>
      <c r="R1742" s="35" t="n"/>
      <c r="S1742" s="35" t="n"/>
      <c r="T1742" s="35" t="n"/>
      <c r="U1742" s="35" t="n"/>
      <c r="V1742" s="18">
        <f>IF(COUNTA($B1742:$R1742)=0,"",ROUND(N($R1742)+N($S1742)+N($T1742)-N($U1742),2))</f>
        <v/>
      </c>
      <c r="W1742" s="18">
        <f>IF(COUNTA($B1742:$R1742)=0,"",IF(OR($X1742="Pago",$X1742="Recebido",$X1742="Cancelado"),0,ROUND(N($Q1742)+N($S1742)+N($T1742)-N($U1742)-N($R1742),2)))</f>
        <v/>
      </c>
      <c r="X1742" s="14" t="n"/>
      <c r="Y1742" s="17">
        <f>IF(COUNTA($B1742:$R1742)=0,"",IF($X1742="Cancelado","Cancelado",IF(OR($X1742="Pago",$X1742="Recebido"),$X1742,IF(OR($X1742="Parcial",N($R1742)&gt;0),"Parcial",IF($C1742="","Sem vencimento",IF($C1742&lt;TODAY(),"Vencido",IF($C1742=TODAY(),"Vence hoje",IF($C1742&lt;=TODAY()+7,"Vence em 7 dias",IF($C1742&lt;=TODAY()+30,"Vence em 30 dias","Futuro")))))))))</f>
        <v/>
      </c>
      <c r="Z1742" s="24">
        <f>IF($B1742="","",MONTH($B1742))</f>
        <v/>
      </c>
      <c r="AA1742" s="24">
        <f>IF($B1742="","",YEAR($B1742))</f>
        <v/>
      </c>
      <c r="AB1742" s="24">
        <f>IF($B1742="","",ISOWEEKNUM($B1742))</f>
        <v/>
      </c>
      <c r="AC1742" s="17">
        <f>IF($B1742="","",CHOOSE(WEEKDAY($B1742,2),"Segunda","Terça","Quarta","Quinta","Sexta","Sábado","Domingo"))</f>
        <v/>
      </c>
      <c r="AD1742" s="17">
        <f>IF($B1742="","",TEXT($B1742,"MM/AAAA"))</f>
        <v/>
      </c>
      <c r="AE1742" s="18">
        <f>IF(COUNTA($B1742:$R1742)=0,"",IF($X1742="Cancelado",0,ROUND(N($Q1742)+N($S1742)+N($T1742)-N($U1742),2)))</f>
        <v/>
      </c>
      <c r="AF1742" s="9">
        <f>IF($G1742="","",IFERROR(INDEX(LINHAS_DRE_PLANO,MATCH($G1742,SUBCATEGORIAS_PLANO,0)),"Não classificado"))</f>
        <v/>
      </c>
      <c r="AG1742" s="17">
        <f>IF($G1742="","",IFERROR(INDEX(TIPOS_FLUXO_PLANO,MATCH($G1742,SUBCATEGORIAS_PLANO,0)),"Não classificado"))</f>
        <v/>
      </c>
      <c r="AH1742" s="9">
        <f>IF($G1742="","",IFERROR(INDEX(GRUPOS_PLANO,MATCH($G1742,SUBCATEGORIAS_PLANO,0)),"Não classificado"))</f>
        <v/>
      </c>
      <c r="AI1742" s="24">
        <f>IF(OR($C1742="",$X1742="Pago",$X1742="Recebido",$X1742="Cancelado"),"",$C1742-TODAY())</f>
        <v/>
      </c>
      <c r="AJ1742" s="24">
        <f>IF(OR($C1742="",$X1742="Pago",$X1742="Recebido",$X1742="Cancelado"),0,MAX(0,TODAY()-$C1742))</f>
        <v/>
      </c>
      <c r="AK1742" s="24">
        <f>IF($D1742="","",$D1742-$B1742)</f>
        <v/>
      </c>
      <c r="AL1742" s="18">
        <f>IF(OR($D1742="",$B1742=""),"",ROUND(N($R1742)*($D1742-$B1742),2))</f>
        <v/>
      </c>
      <c r="AM1742" s="17">
        <f>IF(AND($E1742="Saída",$W1742&gt;0,$C1742&lt;&gt;""),$C1742+ROW()/1000000,"")</f>
        <v/>
      </c>
      <c r="AN1742" s="17">
        <f>IF(AND($E1742="Entrada",$W1742&gt;0,$C1742&lt;&gt;""),$C1742+ROW()/1000000,"")</f>
        <v/>
      </c>
      <c r="AO1742" s="9">
        <f>IF(COUNTA($B1742:$R1742)=0,"",IF(AND($I1742&lt;&gt;"",COUNTIF(CLIENTES_NOMES,$I1742)+COUNTIF(CLIENTES_FANTASIA,$I1742)+COUNTIF(FORNECEDORES_NOMES,$I1742)+COUNTIF(FORNECEDORES_FANTASIA,$I1742)=0),"⚠ Cliente/Fornecedor não cadastrado",IF(AND($G1742&lt;&gt;"",COUNTIF(SUBCATEGORIAS_PLANO,$G1742)=0),"⚠ Subcategoria fora do plano de contas",IF(OR($Q1742="",N($Q1742)=0),"⚠ Valor previsto não informado",IF(AND(OR($X1742="Pago",$X1742="Recebido"),$D1742=""),"⚠ Status pago/recebido sem data",IF(AND($D1742&lt;&gt;"",N($R1742)=0),"⚠ Data de pagamento sem valor realizado",IF(AND(N($P1742)&gt;1,N($O1742)&gt;N($P1742)),"⚠ Nº da parcela maior que o total",IF(AND($C1742&lt;&gt;"",$B1742&lt;&gt;"",$C1742&lt;$B1742),"⚠ Vencimento anterior à competência","OK"))))))))</f>
        <v/>
      </c>
    </row>
    <row r="1743">
      <c r="A1743" s="14" t="n"/>
      <c r="B1743" s="36" t="n"/>
      <c r="C1743" s="36" t="n"/>
      <c r="D1743" s="36" t="n"/>
      <c r="E1743" s="14" t="n"/>
      <c r="F1743" s="29" t="n"/>
      <c r="G1743" s="29" t="n"/>
      <c r="H1743" s="29" t="n"/>
      <c r="I1743" s="29" t="n"/>
      <c r="J1743" s="29" t="n"/>
      <c r="K1743" s="14" t="n"/>
      <c r="L1743" s="29" t="n"/>
      <c r="M1743" s="14" t="n"/>
      <c r="N1743" s="29" t="n"/>
      <c r="O1743" s="13" t="n"/>
      <c r="P1743" s="13" t="n"/>
      <c r="Q1743" s="35" t="n"/>
      <c r="R1743" s="35" t="n"/>
      <c r="S1743" s="35" t="n"/>
      <c r="T1743" s="35" t="n"/>
      <c r="U1743" s="35" t="n"/>
      <c r="V1743" s="18">
        <f>IF(COUNTA($B1743:$R1743)=0,"",ROUND(N($R1743)+N($S1743)+N($T1743)-N($U1743),2))</f>
        <v/>
      </c>
      <c r="W1743" s="18">
        <f>IF(COUNTA($B1743:$R1743)=0,"",IF(OR($X1743="Pago",$X1743="Recebido",$X1743="Cancelado"),0,ROUND(N($Q1743)+N($S1743)+N($T1743)-N($U1743)-N($R1743),2)))</f>
        <v/>
      </c>
      <c r="X1743" s="14" t="n"/>
      <c r="Y1743" s="17">
        <f>IF(COUNTA($B1743:$R1743)=0,"",IF($X1743="Cancelado","Cancelado",IF(OR($X1743="Pago",$X1743="Recebido"),$X1743,IF(OR($X1743="Parcial",N($R1743)&gt;0),"Parcial",IF($C1743="","Sem vencimento",IF($C1743&lt;TODAY(),"Vencido",IF($C1743=TODAY(),"Vence hoje",IF($C1743&lt;=TODAY()+7,"Vence em 7 dias",IF($C1743&lt;=TODAY()+30,"Vence em 30 dias","Futuro")))))))))</f>
        <v/>
      </c>
      <c r="Z1743" s="24">
        <f>IF($B1743="","",MONTH($B1743))</f>
        <v/>
      </c>
      <c r="AA1743" s="24">
        <f>IF($B1743="","",YEAR($B1743))</f>
        <v/>
      </c>
      <c r="AB1743" s="24">
        <f>IF($B1743="","",ISOWEEKNUM($B1743))</f>
        <v/>
      </c>
      <c r="AC1743" s="17">
        <f>IF($B1743="","",CHOOSE(WEEKDAY($B1743,2),"Segunda","Terça","Quarta","Quinta","Sexta","Sábado","Domingo"))</f>
        <v/>
      </c>
      <c r="AD1743" s="17">
        <f>IF($B1743="","",TEXT($B1743,"MM/AAAA"))</f>
        <v/>
      </c>
      <c r="AE1743" s="18">
        <f>IF(COUNTA($B1743:$R1743)=0,"",IF($X1743="Cancelado",0,ROUND(N($Q1743)+N($S1743)+N($T1743)-N($U1743),2)))</f>
        <v/>
      </c>
      <c r="AF1743" s="9">
        <f>IF($G1743="","",IFERROR(INDEX(LINHAS_DRE_PLANO,MATCH($G1743,SUBCATEGORIAS_PLANO,0)),"Não classificado"))</f>
        <v/>
      </c>
      <c r="AG1743" s="17">
        <f>IF($G1743="","",IFERROR(INDEX(TIPOS_FLUXO_PLANO,MATCH($G1743,SUBCATEGORIAS_PLANO,0)),"Não classificado"))</f>
        <v/>
      </c>
      <c r="AH1743" s="9">
        <f>IF($G1743="","",IFERROR(INDEX(GRUPOS_PLANO,MATCH($G1743,SUBCATEGORIAS_PLANO,0)),"Não classificado"))</f>
        <v/>
      </c>
      <c r="AI1743" s="24">
        <f>IF(OR($C1743="",$X1743="Pago",$X1743="Recebido",$X1743="Cancelado"),"",$C1743-TODAY())</f>
        <v/>
      </c>
      <c r="AJ1743" s="24">
        <f>IF(OR($C1743="",$X1743="Pago",$X1743="Recebido",$X1743="Cancelado"),0,MAX(0,TODAY()-$C1743))</f>
        <v/>
      </c>
      <c r="AK1743" s="24">
        <f>IF($D1743="","",$D1743-$B1743)</f>
        <v/>
      </c>
      <c r="AL1743" s="18">
        <f>IF(OR($D1743="",$B1743=""),"",ROUND(N($R1743)*($D1743-$B1743),2))</f>
        <v/>
      </c>
      <c r="AM1743" s="17">
        <f>IF(AND($E1743="Saída",$W1743&gt;0,$C1743&lt;&gt;""),$C1743+ROW()/1000000,"")</f>
        <v/>
      </c>
      <c r="AN1743" s="17">
        <f>IF(AND($E1743="Entrada",$W1743&gt;0,$C1743&lt;&gt;""),$C1743+ROW()/1000000,"")</f>
        <v/>
      </c>
      <c r="AO1743" s="9">
        <f>IF(COUNTA($B1743:$R1743)=0,"",IF(AND($I1743&lt;&gt;"",COUNTIF(CLIENTES_NOMES,$I1743)+COUNTIF(CLIENTES_FANTASIA,$I1743)+COUNTIF(FORNECEDORES_NOMES,$I1743)+COUNTIF(FORNECEDORES_FANTASIA,$I1743)=0),"⚠ Cliente/Fornecedor não cadastrado",IF(AND($G1743&lt;&gt;"",COUNTIF(SUBCATEGORIAS_PLANO,$G1743)=0),"⚠ Subcategoria fora do plano de contas",IF(OR($Q1743="",N($Q1743)=0),"⚠ Valor previsto não informado",IF(AND(OR($X1743="Pago",$X1743="Recebido"),$D1743=""),"⚠ Status pago/recebido sem data",IF(AND($D1743&lt;&gt;"",N($R1743)=0),"⚠ Data de pagamento sem valor realizado",IF(AND(N($P1743)&gt;1,N($O1743)&gt;N($P1743)),"⚠ Nº da parcela maior que o total",IF(AND($C1743&lt;&gt;"",$B1743&lt;&gt;"",$C1743&lt;$B1743),"⚠ Vencimento anterior à competência","OK"))))))))</f>
        <v/>
      </c>
    </row>
    <row r="1744">
      <c r="A1744" s="14" t="n"/>
      <c r="B1744" s="36" t="n"/>
      <c r="C1744" s="36" t="n"/>
      <c r="D1744" s="36" t="n"/>
      <c r="E1744" s="14" t="n"/>
      <c r="F1744" s="29" t="n"/>
      <c r="G1744" s="29" t="n"/>
      <c r="H1744" s="29" t="n"/>
      <c r="I1744" s="29" t="n"/>
      <c r="J1744" s="29" t="n"/>
      <c r="K1744" s="14" t="n"/>
      <c r="L1744" s="29" t="n"/>
      <c r="M1744" s="14" t="n"/>
      <c r="N1744" s="29" t="n"/>
      <c r="O1744" s="13" t="n"/>
      <c r="P1744" s="13" t="n"/>
      <c r="Q1744" s="35" t="n"/>
      <c r="R1744" s="35" t="n"/>
      <c r="S1744" s="35" t="n"/>
      <c r="T1744" s="35" t="n"/>
      <c r="U1744" s="35" t="n"/>
      <c r="V1744" s="18">
        <f>IF(COUNTA($B1744:$R1744)=0,"",ROUND(N($R1744)+N($S1744)+N($T1744)-N($U1744),2))</f>
        <v/>
      </c>
      <c r="W1744" s="18">
        <f>IF(COUNTA($B1744:$R1744)=0,"",IF(OR($X1744="Pago",$X1744="Recebido",$X1744="Cancelado"),0,ROUND(N($Q1744)+N($S1744)+N($T1744)-N($U1744)-N($R1744),2)))</f>
        <v/>
      </c>
      <c r="X1744" s="14" t="n"/>
      <c r="Y1744" s="17">
        <f>IF(COUNTA($B1744:$R1744)=0,"",IF($X1744="Cancelado","Cancelado",IF(OR($X1744="Pago",$X1744="Recebido"),$X1744,IF(OR($X1744="Parcial",N($R1744)&gt;0),"Parcial",IF($C1744="","Sem vencimento",IF($C1744&lt;TODAY(),"Vencido",IF($C1744=TODAY(),"Vence hoje",IF($C1744&lt;=TODAY()+7,"Vence em 7 dias",IF($C1744&lt;=TODAY()+30,"Vence em 30 dias","Futuro")))))))))</f>
        <v/>
      </c>
      <c r="Z1744" s="24">
        <f>IF($B1744="","",MONTH($B1744))</f>
        <v/>
      </c>
      <c r="AA1744" s="24">
        <f>IF($B1744="","",YEAR($B1744))</f>
        <v/>
      </c>
      <c r="AB1744" s="24">
        <f>IF($B1744="","",ISOWEEKNUM($B1744))</f>
        <v/>
      </c>
      <c r="AC1744" s="17">
        <f>IF($B1744="","",CHOOSE(WEEKDAY($B1744,2),"Segunda","Terça","Quarta","Quinta","Sexta","Sábado","Domingo"))</f>
        <v/>
      </c>
      <c r="AD1744" s="17">
        <f>IF($B1744="","",TEXT($B1744,"MM/AAAA"))</f>
        <v/>
      </c>
      <c r="AE1744" s="18">
        <f>IF(COUNTA($B1744:$R1744)=0,"",IF($X1744="Cancelado",0,ROUND(N($Q1744)+N($S1744)+N($T1744)-N($U1744),2)))</f>
        <v/>
      </c>
      <c r="AF1744" s="9">
        <f>IF($G1744="","",IFERROR(INDEX(LINHAS_DRE_PLANO,MATCH($G1744,SUBCATEGORIAS_PLANO,0)),"Não classificado"))</f>
        <v/>
      </c>
      <c r="AG1744" s="17">
        <f>IF($G1744="","",IFERROR(INDEX(TIPOS_FLUXO_PLANO,MATCH($G1744,SUBCATEGORIAS_PLANO,0)),"Não classificado"))</f>
        <v/>
      </c>
      <c r="AH1744" s="9">
        <f>IF($G1744="","",IFERROR(INDEX(GRUPOS_PLANO,MATCH($G1744,SUBCATEGORIAS_PLANO,0)),"Não classificado"))</f>
        <v/>
      </c>
      <c r="AI1744" s="24">
        <f>IF(OR($C1744="",$X1744="Pago",$X1744="Recebido",$X1744="Cancelado"),"",$C1744-TODAY())</f>
        <v/>
      </c>
      <c r="AJ1744" s="24">
        <f>IF(OR($C1744="",$X1744="Pago",$X1744="Recebido",$X1744="Cancelado"),0,MAX(0,TODAY()-$C1744))</f>
        <v/>
      </c>
      <c r="AK1744" s="24">
        <f>IF($D1744="","",$D1744-$B1744)</f>
        <v/>
      </c>
      <c r="AL1744" s="18">
        <f>IF(OR($D1744="",$B1744=""),"",ROUND(N($R1744)*($D1744-$B1744),2))</f>
        <v/>
      </c>
      <c r="AM1744" s="17">
        <f>IF(AND($E1744="Saída",$W1744&gt;0,$C1744&lt;&gt;""),$C1744+ROW()/1000000,"")</f>
        <v/>
      </c>
      <c r="AN1744" s="17">
        <f>IF(AND($E1744="Entrada",$W1744&gt;0,$C1744&lt;&gt;""),$C1744+ROW()/1000000,"")</f>
        <v/>
      </c>
      <c r="AO1744" s="9">
        <f>IF(COUNTA($B1744:$R1744)=0,"",IF(AND($I1744&lt;&gt;"",COUNTIF(CLIENTES_NOMES,$I1744)+COUNTIF(CLIENTES_FANTASIA,$I1744)+COUNTIF(FORNECEDORES_NOMES,$I1744)+COUNTIF(FORNECEDORES_FANTASIA,$I1744)=0),"⚠ Cliente/Fornecedor não cadastrado",IF(AND($G1744&lt;&gt;"",COUNTIF(SUBCATEGORIAS_PLANO,$G1744)=0),"⚠ Subcategoria fora do plano de contas",IF(OR($Q1744="",N($Q1744)=0),"⚠ Valor previsto não informado",IF(AND(OR($X1744="Pago",$X1744="Recebido"),$D1744=""),"⚠ Status pago/recebido sem data",IF(AND($D1744&lt;&gt;"",N($R1744)=0),"⚠ Data de pagamento sem valor realizado",IF(AND(N($P1744)&gt;1,N($O1744)&gt;N($P1744)),"⚠ Nº da parcela maior que o total",IF(AND($C1744&lt;&gt;"",$B1744&lt;&gt;"",$C1744&lt;$B1744),"⚠ Vencimento anterior à competência","OK"))))))))</f>
        <v/>
      </c>
    </row>
    <row r="1745">
      <c r="A1745" s="14" t="n"/>
      <c r="B1745" s="36" t="n"/>
      <c r="C1745" s="36" t="n"/>
      <c r="D1745" s="36" t="n"/>
      <c r="E1745" s="14" t="n"/>
      <c r="F1745" s="29" t="n"/>
      <c r="G1745" s="29" t="n"/>
      <c r="H1745" s="29" t="n"/>
      <c r="I1745" s="29" t="n"/>
      <c r="J1745" s="29" t="n"/>
      <c r="K1745" s="14" t="n"/>
      <c r="L1745" s="29" t="n"/>
      <c r="M1745" s="14" t="n"/>
      <c r="N1745" s="29" t="n"/>
      <c r="O1745" s="13" t="n"/>
      <c r="P1745" s="13" t="n"/>
      <c r="Q1745" s="35" t="n"/>
      <c r="R1745" s="35" t="n"/>
      <c r="S1745" s="35" t="n"/>
      <c r="T1745" s="35" t="n"/>
      <c r="U1745" s="35" t="n"/>
      <c r="V1745" s="18">
        <f>IF(COUNTA($B1745:$R1745)=0,"",ROUND(N($R1745)+N($S1745)+N($T1745)-N($U1745),2))</f>
        <v/>
      </c>
      <c r="W1745" s="18">
        <f>IF(COUNTA($B1745:$R1745)=0,"",IF(OR($X1745="Pago",$X1745="Recebido",$X1745="Cancelado"),0,ROUND(N($Q1745)+N($S1745)+N($T1745)-N($U1745)-N($R1745),2)))</f>
        <v/>
      </c>
      <c r="X1745" s="14" t="n"/>
      <c r="Y1745" s="17">
        <f>IF(COUNTA($B1745:$R1745)=0,"",IF($X1745="Cancelado","Cancelado",IF(OR($X1745="Pago",$X1745="Recebido"),$X1745,IF(OR($X1745="Parcial",N($R1745)&gt;0),"Parcial",IF($C1745="","Sem vencimento",IF($C1745&lt;TODAY(),"Vencido",IF($C1745=TODAY(),"Vence hoje",IF($C1745&lt;=TODAY()+7,"Vence em 7 dias",IF($C1745&lt;=TODAY()+30,"Vence em 30 dias","Futuro")))))))))</f>
        <v/>
      </c>
      <c r="Z1745" s="24">
        <f>IF($B1745="","",MONTH($B1745))</f>
        <v/>
      </c>
      <c r="AA1745" s="24">
        <f>IF($B1745="","",YEAR($B1745))</f>
        <v/>
      </c>
      <c r="AB1745" s="24">
        <f>IF($B1745="","",ISOWEEKNUM($B1745))</f>
        <v/>
      </c>
      <c r="AC1745" s="17">
        <f>IF($B1745="","",CHOOSE(WEEKDAY($B1745,2),"Segunda","Terça","Quarta","Quinta","Sexta","Sábado","Domingo"))</f>
        <v/>
      </c>
      <c r="AD1745" s="17">
        <f>IF($B1745="","",TEXT($B1745,"MM/AAAA"))</f>
        <v/>
      </c>
      <c r="AE1745" s="18">
        <f>IF(COUNTA($B1745:$R1745)=0,"",IF($X1745="Cancelado",0,ROUND(N($Q1745)+N($S1745)+N($T1745)-N($U1745),2)))</f>
        <v/>
      </c>
      <c r="AF1745" s="9">
        <f>IF($G1745="","",IFERROR(INDEX(LINHAS_DRE_PLANO,MATCH($G1745,SUBCATEGORIAS_PLANO,0)),"Não classificado"))</f>
        <v/>
      </c>
      <c r="AG1745" s="17">
        <f>IF($G1745="","",IFERROR(INDEX(TIPOS_FLUXO_PLANO,MATCH($G1745,SUBCATEGORIAS_PLANO,0)),"Não classificado"))</f>
        <v/>
      </c>
      <c r="AH1745" s="9">
        <f>IF($G1745="","",IFERROR(INDEX(GRUPOS_PLANO,MATCH($G1745,SUBCATEGORIAS_PLANO,0)),"Não classificado"))</f>
        <v/>
      </c>
      <c r="AI1745" s="24">
        <f>IF(OR($C1745="",$X1745="Pago",$X1745="Recebido",$X1745="Cancelado"),"",$C1745-TODAY())</f>
        <v/>
      </c>
      <c r="AJ1745" s="24">
        <f>IF(OR($C1745="",$X1745="Pago",$X1745="Recebido",$X1745="Cancelado"),0,MAX(0,TODAY()-$C1745))</f>
        <v/>
      </c>
      <c r="AK1745" s="24">
        <f>IF($D1745="","",$D1745-$B1745)</f>
        <v/>
      </c>
      <c r="AL1745" s="18">
        <f>IF(OR($D1745="",$B1745=""),"",ROUND(N($R1745)*($D1745-$B1745),2))</f>
        <v/>
      </c>
      <c r="AM1745" s="17">
        <f>IF(AND($E1745="Saída",$W1745&gt;0,$C1745&lt;&gt;""),$C1745+ROW()/1000000,"")</f>
        <v/>
      </c>
      <c r="AN1745" s="17">
        <f>IF(AND($E1745="Entrada",$W1745&gt;0,$C1745&lt;&gt;""),$C1745+ROW()/1000000,"")</f>
        <v/>
      </c>
      <c r="AO1745" s="9">
        <f>IF(COUNTA($B1745:$R1745)=0,"",IF(AND($I1745&lt;&gt;"",COUNTIF(CLIENTES_NOMES,$I1745)+COUNTIF(CLIENTES_FANTASIA,$I1745)+COUNTIF(FORNECEDORES_NOMES,$I1745)+COUNTIF(FORNECEDORES_FANTASIA,$I1745)=0),"⚠ Cliente/Fornecedor não cadastrado",IF(AND($G1745&lt;&gt;"",COUNTIF(SUBCATEGORIAS_PLANO,$G1745)=0),"⚠ Subcategoria fora do plano de contas",IF(OR($Q1745="",N($Q1745)=0),"⚠ Valor previsto não informado",IF(AND(OR($X1745="Pago",$X1745="Recebido"),$D1745=""),"⚠ Status pago/recebido sem data",IF(AND($D1745&lt;&gt;"",N($R1745)=0),"⚠ Data de pagamento sem valor realizado",IF(AND(N($P1745)&gt;1,N($O1745)&gt;N($P1745)),"⚠ Nº da parcela maior que o total",IF(AND($C1745&lt;&gt;"",$B1745&lt;&gt;"",$C1745&lt;$B1745),"⚠ Vencimento anterior à competência","OK"))))))))</f>
        <v/>
      </c>
    </row>
    <row r="1746">
      <c r="A1746" s="14" t="n"/>
      <c r="B1746" s="36" t="n"/>
      <c r="C1746" s="36" t="n"/>
      <c r="D1746" s="36" t="n"/>
      <c r="E1746" s="14" t="n"/>
      <c r="F1746" s="29" t="n"/>
      <c r="G1746" s="29" t="n"/>
      <c r="H1746" s="29" t="n"/>
      <c r="I1746" s="29" t="n"/>
      <c r="J1746" s="29" t="n"/>
      <c r="K1746" s="14" t="n"/>
      <c r="L1746" s="29" t="n"/>
      <c r="M1746" s="14" t="n"/>
      <c r="N1746" s="29" t="n"/>
      <c r="O1746" s="13" t="n"/>
      <c r="P1746" s="13" t="n"/>
      <c r="Q1746" s="35" t="n"/>
      <c r="R1746" s="35" t="n"/>
      <c r="S1746" s="35" t="n"/>
      <c r="T1746" s="35" t="n"/>
      <c r="U1746" s="35" t="n"/>
      <c r="V1746" s="18">
        <f>IF(COUNTA($B1746:$R1746)=0,"",ROUND(N($R1746)+N($S1746)+N($T1746)-N($U1746),2))</f>
        <v/>
      </c>
      <c r="W1746" s="18">
        <f>IF(COUNTA($B1746:$R1746)=0,"",IF(OR($X1746="Pago",$X1746="Recebido",$X1746="Cancelado"),0,ROUND(N($Q1746)+N($S1746)+N($T1746)-N($U1746)-N($R1746),2)))</f>
        <v/>
      </c>
      <c r="X1746" s="14" t="n"/>
      <c r="Y1746" s="17">
        <f>IF(COUNTA($B1746:$R1746)=0,"",IF($X1746="Cancelado","Cancelado",IF(OR($X1746="Pago",$X1746="Recebido"),$X1746,IF(OR($X1746="Parcial",N($R1746)&gt;0),"Parcial",IF($C1746="","Sem vencimento",IF($C1746&lt;TODAY(),"Vencido",IF($C1746=TODAY(),"Vence hoje",IF($C1746&lt;=TODAY()+7,"Vence em 7 dias",IF($C1746&lt;=TODAY()+30,"Vence em 30 dias","Futuro")))))))))</f>
        <v/>
      </c>
      <c r="Z1746" s="24">
        <f>IF($B1746="","",MONTH($B1746))</f>
        <v/>
      </c>
      <c r="AA1746" s="24">
        <f>IF($B1746="","",YEAR($B1746))</f>
        <v/>
      </c>
      <c r="AB1746" s="24">
        <f>IF($B1746="","",ISOWEEKNUM($B1746))</f>
        <v/>
      </c>
      <c r="AC1746" s="17">
        <f>IF($B1746="","",CHOOSE(WEEKDAY($B1746,2),"Segunda","Terça","Quarta","Quinta","Sexta","Sábado","Domingo"))</f>
        <v/>
      </c>
      <c r="AD1746" s="17">
        <f>IF($B1746="","",TEXT($B1746,"MM/AAAA"))</f>
        <v/>
      </c>
      <c r="AE1746" s="18">
        <f>IF(COUNTA($B1746:$R1746)=0,"",IF($X1746="Cancelado",0,ROUND(N($Q1746)+N($S1746)+N($T1746)-N($U1746),2)))</f>
        <v/>
      </c>
      <c r="AF1746" s="9">
        <f>IF($G1746="","",IFERROR(INDEX(LINHAS_DRE_PLANO,MATCH($G1746,SUBCATEGORIAS_PLANO,0)),"Não classificado"))</f>
        <v/>
      </c>
      <c r="AG1746" s="17">
        <f>IF($G1746="","",IFERROR(INDEX(TIPOS_FLUXO_PLANO,MATCH($G1746,SUBCATEGORIAS_PLANO,0)),"Não classificado"))</f>
        <v/>
      </c>
      <c r="AH1746" s="9">
        <f>IF($G1746="","",IFERROR(INDEX(GRUPOS_PLANO,MATCH($G1746,SUBCATEGORIAS_PLANO,0)),"Não classificado"))</f>
        <v/>
      </c>
      <c r="AI1746" s="24">
        <f>IF(OR($C1746="",$X1746="Pago",$X1746="Recebido",$X1746="Cancelado"),"",$C1746-TODAY())</f>
        <v/>
      </c>
      <c r="AJ1746" s="24">
        <f>IF(OR($C1746="",$X1746="Pago",$X1746="Recebido",$X1746="Cancelado"),0,MAX(0,TODAY()-$C1746))</f>
        <v/>
      </c>
      <c r="AK1746" s="24">
        <f>IF($D1746="","",$D1746-$B1746)</f>
        <v/>
      </c>
      <c r="AL1746" s="18">
        <f>IF(OR($D1746="",$B1746=""),"",ROUND(N($R1746)*($D1746-$B1746),2))</f>
        <v/>
      </c>
      <c r="AM1746" s="17">
        <f>IF(AND($E1746="Saída",$W1746&gt;0,$C1746&lt;&gt;""),$C1746+ROW()/1000000,"")</f>
        <v/>
      </c>
      <c r="AN1746" s="17">
        <f>IF(AND($E1746="Entrada",$W1746&gt;0,$C1746&lt;&gt;""),$C1746+ROW()/1000000,"")</f>
        <v/>
      </c>
      <c r="AO1746" s="9">
        <f>IF(COUNTA($B1746:$R1746)=0,"",IF(AND($I1746&lt;&gt;"",COUNTIF(CLIENTES_NOMES,$I1746)+COUNTIF(CLIENTES_FANTASIA,$I1746)+COUNTIF(FORNECEDORES_NOMES,$I1746)+COUNTIF(FORNECEDORES_FANTASIA,$I1746)=0),"⚠ Cliente/Fornecedor não cadastrado",IF(AND($G1746&lt;&gt;"",COUNTIF(SUBCATEGORIAS_PLANO,$G1746)=0),"⚠ Subcategoria fora do plano de contas",IF(OR($Q1746="",N($Q1746)=0),"⚠ Valor previsto não informado",IF(AND(OR($X1746="Pago",$X1746="Recebido"),$D1746=""),"⚠ Status pago/recebido sem data",IF(AND($D1746&lt;&gt;"",N($R1746)=0),"⚠ Data de pagamento sem valor realizado",IF(AND(N($P1746)&gt;1,N($O1746)&gt;N($P1746)),"⚠ Nº da parcela maior que o total",IF(AND($C1746&lt;&gt;"",$B1746&lt;&gt;"",$C1746&lt;$B1746),"⚠ Vencimento anterior à competência","OK"))))))))</f>
        <v/>
      </c>
    </row>
    <row r="1747">
      <c r="A1747" s="14" t="n"/>
      <c r="B1747" s="36" t="n"/>
      <c r="C1747" s="36" t="n"/>
      <c r="D1747" s="36" t="n"/>
      <c r="E1747" s="14" t="n"/>
      <c r="F1747" s="29" t="n"/>
      <c r="G1747" s="29" t="n"/>
      <c r="H1747" s="29" t="n"/>
      <c r="I1747" s="29" t="n"/>
      <c r="J1747" s="29" t="n"/>
      <c r="K1747" s="14" t="n"/>
      <c r="L1747" s="29" t="n"/>
      <c r="M1747" s="14" t="n"/>
      <c r="N1747" s="29" t="n"/>
      <c r="O1747" s="13" t="n"/>
      <c r="P1747" s="13" t="n"/>
      <c r="Q1747" s="35" t="n"/>
      <c r="R1747" s="35" t="n"/>
      <c r="S1747" s="35" t="n"/>
      <c r="T1747" s="35" t="n"/>
      <c r="U1747" s="35" t="n"/>
      <c r="V1747" s="18">
        <f>IF(COUNTA($B1747:$R1747)=0,"",ROUND(N($R1747)+N($S1747)+N($T1747)-N($U1747),2))</f>
        <v/>
      </c>
      <c r="W1747" s="18">
        <f>IF(COUNTA($B1747:$R1747)=0,"",IF(OR($X1747="Pago",$X1747="Recebido",$X1747="Cancelado"),0,ROUND(N($Q1747)+N($S1747)+N($T1747)-N($U1747)-N($R1747),2)))</f>
        <v/>
      </c>
      <c r="X1747" s="14" t="n"/>
      <c r="Y1747" s="17">
        <f>IF(COUNTA($B1747:$R1747)=0,"",IF($X1747="Cancelado","Cancelado",IF(OR($X1747="Pago",$X1747="Recebido"),$X1747,IF(OR($X1747="Parcial",N($R1747)&gt;0),"Parcial",IF($C1747="","Sem vencimento",IF($C1747&lt;TODAY(),"Vencido",IF($C1747=TODAY(),"Vence hoje",IF($C1747&lt;=TODAY()+7,"Vence em 7 dias",IF($C1747&lt;=TODAY()+30,"Vence em 30 dias","Futuro")))))))))</f>
        <v/>
      </c>
      <c r="Z1747" s="24">
        <f>IF($B1747="","",MONTH($B1747))</f>
        <v/>
      </c>
      <c r="AA1747" s="24">
        <f>IF($B1747="","",YEAR($B1747))</f>
        <v/>
      </c>
      <c r="AB1747" s="24">
        <f>IF($B1747="","",ISOWEEKNUM($B1747))</f>
        <v/>
      </c>
      <c r="AC1747" s="17">
        <f>IF($B1747="","",CHOOSE(WEEKDAY($B1747,2),"Segunda","Terça","Quarta","Quinta","Sexta","Sábado","Domingo"))</f>
        <v/>
      </c>
      <c r="AD1747" s="17">
        <f>IF($B1747="","",TEXT($B1747,"MM/AAAA"))</f>
        <v/>
      </c>
      <c r="AE1747" s="18">
        <f>IF(COUNTA($B1747:$R1747)=0,"",IF($X1747="Cancelado",0,ROUND(N($Q1747)+N($S1747)+N($T1747)-N($U1747),2)))</f>
        <v/>
      </c>
      <c r="AF1747" s="9">
        <f>IF($G1747="","",IFERROR(INDEX(LINHAS_DRE_PLANO,MATCH($G1747,SUBCATEGORIAS_PLANO,0)),"Não classificado"))</f>
        <v/>
      </c>
      <c r="AG1747" s="17">
        <f>IF($G1747="","",IFERROR(INDEX(TIPOS_FLUXO_PLANO,MATCH($G1747,SUBCATEGORIAS_PLANO,0)),"Não classificado"))</f>
        <v/>
      </c>
      <c r="AH1747" s="9">
        <f>IF($G1747="","",IFERROR(INDEX(GRUPOS_PLANO,MATCH($G1747,SUBCATEGORIAS_PLANO,0)),"Não classificado"))</f>
        <v/>
      </c>
      <c r="AI1747" s="24">
        <f>IF(OR($C1747="",$X1747="Pago",$X1747="Recebido",$X1747="Cancelado"),"",$C1747-TODAY())</f>
        <v/>
      </c>
      <c r="AJ1747" s="24">
        <f>IF(OR($C1747="",$X1747="Pago",$X1747="Recebido",$X1747="Cancelado"),0,MAX(0,TODAY()-$C1747))</f>
        <v/>
      </c>
      <c r="AK1747" s="24">
        <f>IF($D1747="","",$D1747-$B1747)</f>
        <v/>
      </c>
      <c r="AL1747" s="18">
        <f>IF(OR($D1747="",$B1747=""),"",ROUND(N($R1747)*($D1747-$B1747),2))</f>
        <v/>
      </c>
      <c r="AM1747" s="17">
        <f>IF(AND($E1747="Saída",$W1747&gt;0,$C1747&lt;&gt;""),$C1747+ROW()/1000000,"")</f>
        <v/>
      </c>
      <c r="AN1747" s="17">
        <f>IF(AND($E1747="Entrada",$W1747&gt;0,$C1747&lt;&gt;""),$C1747+ROW()/1000000,"")</f>
        <v/>
      </c>
      <c r="AO1747" s="9">
        <f>IF(COUNTA($B1747:$R1747)=0,"",IF(AND($I1747&lt;&gt;"",COUNTIF(CLIENTES_NOMES,$I1747)+COUNTIF(CLIENTES_FANTASIA,$I1747)+COUNTIF(FORNECEDORES_NOMES,$I1747)+COUNTIF(FORNECEDORES_FANTASIA,$I1747)=0),"⚠ Cliente/Fornecedor não cadastrado",IF(AND($G1747&lt;&gt;"",COUNTIF(SUBCATEGORIAS_PLANO,$G1747)=0),"⚠ Subcategoria fora do plano de contas",IF(OR($Q1747="",N($Q1747)=0),"⚠ Valor previsto não informado",IF(AND(OR($X1747="Pago",$X1747="Recebido"),$D1747=""),"⚠ Status pago/recebido sem data",IF(AND($D1747&lt;&gt;"",N($R1747)=0),"⚠ Data de pagamento sem valor realizado",IF(AND(N($P1747)&gt;1,N($O1747)&gt;N($P1747)),"⚠ Nº da parcela maior que o total",IF(AND($C1747&lt;&gt;"",$B1747&lt;&gt;"",$C1747&lt;$B1747),"⚠ Vencimento anterior à competência","OK"))))))))</f>
        <v/>
      </c>
    </row>
    <row r="1748">
      <c r="A1748" s="14" t="n"/>
      <c r="B1748" s="36" t="n"/>
      <c r="C1748" s="36" t="n"/>
      <c r="D1748" s="36" t="n"/>
      <c r="E1748" s="14" t="n"/>
      <c r="F1748" s="29" t="n"/>
      <c r="G1748" s="29" t="n"/>
      <c r="H1748" s="29" t="n"/>
      <c r="I1748" s="29" t="n"/>
      <c r="J1748" s="29" t="n"/>
      <c r="K1748" s="14" t="n"/>
      <c r="L1748" s="29" t="n"/>
      <c r="M1748" s="14" t="n"/>
      <c r="N1748" s="29" t="n"/>
      <c r="O1748" s="13" t="n"/>
      <c r="P1748" s="13" t="n"/>
      <c r="Q1748" s="35" t="n"/>
      <c r="R1748" s="35" t="n"/>
      <c r="S1748" s="35" t="n"/>
      <c r="T1748" s="35" t="n"/>
      <c r="U1748" s="35" t="n"/>
      <c r="V1748" s="18">
        <f>IF(COUNTA($B1748:$R1748)=0,"",ROUND(N($R1748)+N($S1748)+N($T1748)-N($U1748),2))</f>
        <v/>
      </c>
      <c r="W1748" s="18">
        <f>IF(COUNTA($B1748:$R1748)=0,"",IF(OR($X1748="Pago",$X1748="Recebido",$X1748="Cancelado"),0,ROUND(N($Q1748)+N($S1748)+N($T1748)-N($U1748)-N($R1748),2)))</f>
        <v/>
      </c>
      <c r="X1748" s="14" t="n"/>
      <c r="Y1748" s="17">
        <f>IF(COUNTA($B1748:$R1748)=0,"",IF($X1748="Cancelado","Cancelado",IF(OR($X1748="Pago",$X1748="Recebido"),$X1748,IF(OR($X1748="Parcial",N($R1748)&gt;0),"Parcial",IF($C1748="","Sem vencimento",IF($C1748&lt;TODAY(),"Vencido",IF($C1748=TODAY(),"Vence hoje",IF($C1748&lt;=TODAY()+7,"Vence em 7 dias",IF($C1748&lt;=TODAY()+30,"Vence em 30 dias","Futuro")))))))))</f>
        <v/>
      </c>
      <c r="Z1748" s="24">
        <f>IF($B1748="","",MONTH($B1748))</f>
        <v/>
      </c>
      <c r="AA1748" s="24">
        <f>IF($B1748="","",YEAR($B1748))</f>
        <v/>
      </c>
      <c r="AB1748" s="24">
        <f>IF($B1748="","",ISOWEEKNUM($B1748))</f>
        <v/>
      </c>
      <c r="AC1748" s="17">
        <f>IF($B1748="","",CHOOSE(WEEKDAY($B1748,2),"Segunda","Terça","Quarta","Quinta","Sexta","Sábado","Domingo"))</f>
        <v/>
      </c>
      <c r="AD1748" s="17">
        <f>IF($B1748="","",TEXT($B1748,"MM/AAAA"))</f>
        <v/>
      </c>
      <c r="AE1748" s="18">
        <f>IF(COUNTA($B1748:$R1748)=0,"",IF($X1748="Cancelado",0,ROUND(N($Q1748)+N($S1748)+N($T1748)-N($U1748),2)))</f>
        <v/>
      </c>
      <c r="AF1748" s="9">
        <f>IF($G1748="","",IFERROR(INDEX(LINHAS_DRE_PLANO,MATCH($G1748,SUBCATEGORIAS_PLANO,0)),"Não classificado"))</f>
        <v/>
      </c>
      <c r="AG1748" s="17">
        <f>IF($G1748="","",IFERROR(INDEX(TIPOS_FLUXO_PLANO,MATCH($G1748,SUBCATEGORIAS_PLANO,0)),"Não classificado"))</f>
        <v/>
      </c>
      <c r="AH1748" s="9">
        <f>IF($G1748="","",IFERROR(INDEX(GRUPOS_PLANO,MATCH($G1748,SUBCATEGORIAS_PLANO,0)),"Não classificado"))</f>
        <v/>
      </c>
      <c r="AI1748" s="24">
        <f>IF(OR($C1748="",$X1748="Pago",$X1748="Recebido",$X1748="Cancelado"),"",$C1748-TODAY())</f>
        <v/>
      </c>
      <c r="AJ1748" s="24">
        <f>IF(OR($C1748="",$X1748="Pago",$X1748="Recebido",$X1748="Cancelado"),0,MAX(0,TODAY()-$C1748))</f>
        <v/>
      </c>
      <c r="AK1748" s="24">
        <f>IF($D1748="","",$D1748-$B1748)</f>
        <v/>
      </c>
      <c r="AL1748" s="18">
        <f>IF(OR($D1748="",$B1748=""),"",ROUND(N($R1748)*($D1748-$B1748),2))</f>
        <v/>
      </c>
      <c r="AM1748" s="17">
        <f>IF(AND($E1748="Saída",$W1748&gt;0,$C1748&lt;&gt;""),$C1748+ROW()/1000000,"")</f>
        <v/>
      </c>
      <c r="AN1748" s="17">
        <f>IF(AND($E1748="Entrada",$W1748&gt;0,$C1748&lt;&gt;""),$C1748+ROW()/1000000,"")</f>
        <v/>
      </c>
      <c r="AO1748" s="9">
        <f>IF(COUNTA($B1748:$R1748)=0,"",IF(AND($I1748&lt;&gt;"",COUNTIF(CLIENTES_NOMES,$I1748)+COUNTIF(CLIENTES_FANTASIA,$I1748)+COUNTIF(FORNECEDORES_NOMES,$I1748)+COUNTIF(FORNECEDORES_FANTASIA,$I1748)=0),"⚠ Cliente/Fornecedor não cadastrado",IF(AND($G1748&lt;&gt;"",COUNTIF(SUBCATEGORIAS_PLANO,$G1748)=0),"⚠ Subcategoria fora do plano de contas",IF(OR($Q1748="",N($Q1748)=0),"⚠ Valor previsto não informado",IF(AND(OR($X1748="Pago",$X1748="Recebido"),$D1748=""),"⚠ Status pago/recebido sem data",IF(AND($D1748&lt;&gt;"",N($R1748)=0),"⚠ Data de pagamento sem valor realizado",IF(AND(N($P1748)&gt;1,N($O1748)&gt;N($P1748)),"⚠ Nº da parcela maior que o total",IF(AND($C1748&lt;&gt;"",$B1748&lt;&gt;"",$C1748&lt;$B1748),"⚠ Vencimento anterior à competência","OK"))))))))</f>
        <v/>
      </c>
    </row>
    <row r="1749">
      <c r="A1749" s="14" t="n"/>
      <c r="B1749" s="36" t="n"/>
      <c r="C1749" s="36" t="n"/>
      <c r="D1749" s="36" t="n"/>
      <c r="E1749" s="14" t="n"/>
      <c r="F1749" s="29" t="n"/>
      <c r="G1749" s="29" t="n"/>
      <c r="H1749" s="29" t="n"/>
      <c r="I1749" s="29" t="n"/>
      <c r="J1749" s="29" t="n"/>
      <c r="K1749" s="14" t="n"/>
      <c r="L1749" s="29" t="n"/>
      <c r="M1749" s="14" t="n"/>
      <c r="N1749" s="29" t="n"/>
      <c r="O1749" s="13" t="n"/>
      <c r="P1749" s="13" t="n"/>
      <c r="Q1749" s="35" t="n"/>
      <c r="R1749" s="35" t="n"/>
      <c r="S1749" s="35" t="n"/>
      <c r="T1749" s="35" t="n"/>
      <c r="U1749" s="35" t="n"/>
      <c r="V1749" s="18">
        <f>IF(COUNTA($B1749:$R1749)=0,"",ROUND(N($R1749)+N($S1749)+N($T1749)-N($U1749),2))</f>
        <v/>
      </c>
      <c r="W1749" s="18">
        <f>IF(COUNTA($B1749:$R1749)=0,"",IF(OR($X1749="Pago",$X1749="Recebido",$X1749="Cancelado"),0,ROUND(N($Q1749)+N($S1749)+N($T1749)-N($U1749)-N($R1749),2)))</f>
        <v/>
      </c>
      <c r="X1749" s="14" t="n"/>
      <c r="Y1749" s="17">
        <f>IF(COUNTA($B1749:$R1749)=0,"",IF($X1749="Cancelado","Cancelado",IF(OR($X1749="Pago",$X1749="Recebido"),$X1749,IF(OR($X1749="Parcial",N($R1749)&gt;0),"Parcial",IF($C1749="","Sem vencimento",IF($C1749&lt;TODAY(),"Vencido",IF($C1749=TODAY(),"Vence hoje",IF($C1749&lt;=TODAY()+7,"Vence em 7 dias",IF($C1749&lt;=TODAY()+30,"Vence em 30 dias","Futuro")))))))))</f>
        <v/>
      </c>
      <c r="Z1749" s="24">
        <f>IF($B1749="","",MONTH($B1749))</f>
        <v/>
      </c>
      <c r="AA1749" s="24">
        <f>IF($B1749="","",YEAR($B1749))</f>
        <v/>
      </c>
      <c r="AB1749" s="24">
        <f>IF($B1749="","",ISOWEEKNUM($B1749))</f>
        <v/>
      </c>
      <c r="AC1749" s="17">
        <f>IF($B1749="","",CHOOSE(WEEKDAY($B1749,2),"Segunda","Terça","Quarta","Quinta","Sexta","Sábado","Domingo"))</f>
        <v/>
      </c>
      <c r="AD1749" s="17">
        <f>IF($B1749="","",TEXT($B1749,"MM/AAAA"))</f>
        <v/>
      </c>
      <c r="AE1749" s="18">
        <f>IF(COUNTA($B1749:$R1749)=0,"",IF($X1749="Cancelado",0,ROUND(N($Q1749)+N($S1749)+N($T1749)-N($U1749),2)))</f>
        <v/>
      </c>
      <c r="AF1749" s="9">
        <f>IF($G1749="","",IFERROR(INDEX(LINHAS_DRE_PLANO,MATCH($G1749,SUBCATEGORIAS_PLANO,0)),"Não classificado"))</f>
        <v/>
      </c>
      <c r="AG1749" s="17">
        <f>IF($G1749="","",IFERROR(INDEX(TIPOS_FLUXO_PLANO,MATCH($G1749,SUBCATEGORIAS_PLANO,0)),"Não classificado"))</f>
        <v/>
      </c>
      <c r="AH1749" s="9">
        <f>IF($G1749="","",IFERROR(INDEX(GRUPOS_PLANO,MATCH($G1749,SUBCATEGORIAS_PLANO,0)),"Não classificado"))</f>
        <v/>
      </c>
      <c r="AI1749" s="24">
        <f>IF(OR($C1749="",$X1749="Pago",$X1749="Recebido",$X1749="Cancelado"),"",$C1749-TODAY())</f>
        <v/>
      </c>
      <c r="AJ1749" s="24">
        <f>IF(OR($C1749="",$X1749="Pago",$X1749="Recebido",$X1749="Cancelado"),0,MAX(0,TODAY()-$C1749))</f>
        <v/>
      </c>
      <c r="AK1749" s="24">
        <f>IF($D1749="","",$D1749-$B1749)</f>
        <v/>
      </c>
      <c r="AL1749" s="18">
        <f>IF(OR($D1749="",$B1749=""),"",ROUND(N($R1749)*($D1749-$B1749),2))</f>
        <v/>
      </c>
      <c r="AM1749" s="17">
        <f>IF(AND($E1749="Saída",$W1749&gt;0,$C1749&lt;&gt;""),$C1749+ROW()/1000000,"")</f>
        <v/>
      </c>
      <c r="AN1749" s="17">
        <f>IF(AND($E1749="Entrada",$W1749&gt;0,$C1749&lt;&gt;""),$C1749+ROW()/1000000,"")</f>
        <v/>
      </c>
      <c r="AO1749" s="9">
        <f>IF(COUNTA($B1749:$R1749)=0,"",IF(AND($I1749&lt;&gt;"",COUNTIF(CLIENTES_NOMES,$I1749)+COUNTIF(CLIENTES_FANTASIA,$I1749)+COUNTIF(FORNECEDORES_NOMES,$I1749)+COUNTIF(FORNECEDORES_FANTASIA,$I1749)=0),"⚠ Cliente/Fornecedor não cadastrado",IF(AND($G1749&lt;&gt;"",COUNTIF(SUBCATEGORIAS_PLANO,$G1749)=0),"⚠ Subcategoria fora do plano de contas",IF(OR($Q1749="",N($Q1749)=0),"⚠ Valor previsto não informado",IF(AND(OR($X1749="Pago",$X1749="Recebido"),$D1749=""),"⚠ Status pago/recebido sem data",IF(AND($D1749&lt;&gt;"",N($R1749)=0),"⚠ Data de pagamento sem valor realizado",IF(AND(N($P1749)&gt;1,N($O1749)&gt;N($P1749)),"⚠ Nº da parcela maior que o total",IF(AND($C1749&lt;&gt;"",$B1749&lt;&gt;"",$C1749&lt;$B1749),"⚠ Vencimento anterior à competência","OK"))))))))</f>
        <v/>
      </c>
    </row>
    <row r="1750">
      <c r="A1750" s="14" t="n"/>
      <c r="B1750" s="36" t="n"/>
      <c r="C1750" s="36" t="n"/>
      <c r="D1750" s="36" t="n"/>
      <c r="E1750" s="14" t="n"/>
      <c r="F1750" s="29" t="n"/>
      <c r="G1750" s="29" t="n"/>
      <c r="H1750" s="29" t="n"/>
      <c r="I1750" s="29" t="n"/>
      <c r="J1750" s="29" t="n"/>
      <c r="K1750" s="14" t="n"/>
      <c r="L1750" s="29" t="n"/>
      <c r="M1750" s="14" t="n"/>
      <c r="N1750" s="29" t="n"/>
      <c r="O1750" s="13" t="n"/>
      <c r="P1750" s="13" t="n"/>
      <c r="Q1750" s="35" t="n"/>
      <c r="R1750" s="35" t="n"/>
      <c r="S1750" s="35" t="n"/>
      <c r="T1750" s="35" t="n"/>
      <c r="U1750" s="35" t="n"/>
      <c r="V1750" s="18">
        <f>IF(COUNTA($B1750:$R1750)=0,"",ROUND(N($R1750)+N($S1750)+N($T1750)-N($U1750),2))</f>
        <v/>
      </c>
      <c r="W1750" s="18">
        <f>IF(COUNTA($B1750:$R1750)=0,"",IF(OR($X1750="Pago",$X1750="Recebido",$X1750="Cancelado"),0,ROUND(N($Q1750)+N($S1750)+N($T1750)-N($U1750)-N($R1750),2)))</f>
        <v/>
      </c>
      <c r="X1750" s="14" t="n"/>
      <c r="Y1750" s="17">
        <f>IF(COUNTA($B1750:$R1750)=0,"",IF($X1750="Cancelado","Cancelado",IF(OR($X1750="Pago",$X1750="Recebido"),$X1750,IF(OR($X1750="Parcial",N($R1750)&gt;0),"Parcial",IF($C1750="","Sem vencimento",IF($C1750&lt;TODAY(),"Vencido",IF($C1750=TODAY(),"Vence hoje",IF($C1750&lt;=TODAY()+7,"Vence em 7 dias",IF($C1750&lt;=TODAY()+30,"Vence em 30 dias","Futuro")))))))))</f>
        <v/>
      </c>
      <c r="Z1750" s="24">
        <f>IF($B1750="","",MONTH($B1750))</f>
        <v/>
      </c>
      <c r="AA1750" s="24">
        <f>IF($B1750="","",YEAR($B1750))</f>
        <v/>
      </c>
      <c r="AB1750" s="24">
        <f>IF($B1750="","",ISOWEEKNUM($B1750))</f>
        <v/>
      </c>
      <c r="AC1750" s="17">
        <f>IF($B1750="","",CHOOSE(WEEKDAY($B1750,2),"Segunda","Terça","Quarta","Quinta","Sexta","Sábado","Domingo"))</f>
        <v/>
      </c>
      <c r="AD1750" s="17">
        <f>IF($B1750="","",TEXT($B1750,"MM/AAAA"))</f>
        <v/>
      </c>
      <c r="AE1750" s="18">
        <f>IF(COUNTA($B1750:$R1750)=0,"",IF($X1750="Cancelado",0,ROUND(N($Q1750)+N($S1750)+N($T1750)-N($U1750),2)))</f>
        <v/>
      </c>
      <c r="AF1750" s="9">
        <f>IF($G1750="","",IFERROR(INDEX(LINHAS_DRE_PLANO,MATCH($G1750,SUBCATEGORIAS_PLANO,0)),"Não classificado"))</f>
        <v/>
      </c>
      <c r="AG1750" s="17">
        <f>IF($G1750="","",IFERROR(INDEX(TIPOS_FLUXO_PLANO,MATCH($G1750,SUBCATEGORIAS_PLANO,0)),"Não classificado"))</f>
        <v/>
      </c>
      <c r="AH1750" s="9">
        <f>IF($G1750="","",IFERROR(INDEX(GRUPOS_PLANO,MATCH($G1750,SUBCATEGORIAS_PLANO,0)),"Não classificado"))</f>
        <v/>
      </c>
      <c r="AI1750" s="24">
        <f>IF(OR($C1750="",$X1750="Pago",$X1750="Recebido",$X1750="Cancelado"),"",$C1750-TODAY())</f>
        <v/>
      </c>
      <c r="AJ1750" s="24">
        <f>IF(OR($C1750="",$X1750="Pago",$X1750="Recebido",$X1750="Cancelado"),0,MAX(0,TODAY()-$C1750))</f>
        <v/>
      </c>
      <c r="AK1750" s="24">
        <f>IF($D1750="","",$D1750-$B1750)</f>
        <v/>
      </c>
      <c r="AL1750" s="18">
        <f>IF(OR($D1750="",$B1750=""),"",ROUND(N($R1750)*($D1750-$B1750),2))</f>
        <v/>
      </c>
      <c r="AM1750" s="17">
        <f>IF(AND($E1750="Saída",$W1750&gt;0,$C1750&lt;&gt;""),$C1750+ROW()/1000000,"")</f>
        <v/>
      </c>
      <c r="AN1750" s="17">
        <f>IF(AND($E1750="Entrada",$W1750&gt;0,$C1750&lt;&gt;""),$C1750+ROW()/1000000,"")</f>
        <v/>
      </c>
      <c r="AO1750" s="9">
        <f>IF(COUNTA($B1750:$R1750)=0,"",IF(AND($I1750&lt;&gt;"",COUNTIF(CLIENTES_NOMES,$I1750)+COUNTIF(CLIENTES_FANTASIA,$I1750)+COUNTIF(FORNECEDORES_NOMES,$I1750)+COUNTIF(FORNECEDORES_FANTASIA,$I1750)=0),"⚠ Cliente/Fornecedor não cadastrado",IF(AND($G1750&lt;&gt;"",COUNTIF(SUBCATEGORIAS_PLANO,$G1750)=0),"⚠ Subcategoria fora do plano de contas",IF(OR($Q1750="",N($Q1750)=0),"⚠ Valor previsto não informado",IF(AND(OR($X1750="Pago",$X1750="Recebido"),$D1750=""),"⚠ Status pago/recebido sem data",IF(AND($D1750&lt;&gt;"",N($R1750)=0),"⚠ Data de pagamento sem valor realizado",IF(AND(N($P1750)&gt;1,N($O1750)&gt;N($P1750)),"⚠ Nº da parcela maior que o total",IF(AND($C1750&lt;&gt;"",$B1750&lt;&gt;"",$C1750&lt;$B1750),"⚠ Vencimento anterior à competência","OK"))))))))</f>
        <v/>
      </c>
    </row>
    <row r="1751">
      <c r="A1751" s="14" t="n"/>
      <c r="B1751" s="36" t="n"/>
      <c r="C1751" s="36" t="n"/>
      <c r="D1751" s="36" t="n"/>
      <c r="E1751" s="14" t="n"/>
      <c r="F1751" s="29" t="n"/>
      <c r="G1751" s="29" t="n"/>
      <c r="H1751" s="29" t="n"/>
      <c r="I1751" s="29" t="n"/>
      <c r="J1751" s="29" t="n"/>
      <c r="K1751" s="14" t="n"/>
      <c r="L1751" s="29" t="n"/>
      <c r="M1751" s="14" t="n"/>
      <c r="N1751" s="29" t="n"/>
      <c r="O1751" s="13" t="n"/>
      <c r="P1751" s="13" t="n"/>
      <c r="Q1751" s="35" t="n"/>
      <c r="R1751" s="35" t="n"/>
      <c r="S1751" s="35" t="n"/>
      <c r="T1751" s="35" t="n"/>
      <c r="U1751" s="35" t="n"/>
      <c r="V1751" s="18">
        <f>IF(COUNTA($B1751:$R1751)=0,"",ROUND(N($R1751)+N($S1751)+N($T1751)-N($U1751),2))</f>
        <v/>
      </c>
      <c r="W1751" s="18">
        <f>IF(COUNTA($B1751:$R1751)=0,"",IF(OR($X1751="Pago",$X1751="Recebido",$X1751="Cancelado"),0,ROUND(N($Q1751)+N($S1751)+N($T1751)-N($U1751)-N($R1751),2)))</f>
        <v/>
      </c>
      <c r="X1751" s="14" t="n"/>
      <c r="Y1751" s="17">
        <f>IF(COUNTA($B1751:$R1751)=0,"",IF($X1751="Cancelado","Cancelado",IF(OR($X1751="Pago",$X1751="Recebido"),$X1751,IF(OR($X1751="Parcial",N($R1751)&gt;0),"Parcial",IF($C1751="","Sem vencimento",IF($C1751&lt;TODAY(),"Vencido",IF($C1751=TODAY(),"Vence hoje",IF($C1751&lt;=TODAY()+7,"Vence em 7 dias",IF($C1751&lt;=TODAY()+30,"Vence em 30 dias","Futuro")))))))))</f>
        <v/>
      </c>
      <c r="Z1751" s="24">
        <f>IF($B1751="","",MONTH($B1751))</f>
        <v/>
      </c>
      <c r="AA1751" s="24">
        <f>IF($B1751="","",YEAR($B1751))</f>
        <v/>
      </c>
      <c r="AB1751" s="24">
        <f>IF($B1751="","",ISOWEEKNUM($B1751))</f>
        <v/>
      </c>
      <c r="AC1751" s="17">
        <f>IF($B1751="","",CHOOSE(WEEKDAY($B1751,2),"Segunda","Terça","Quarta","Quinta","Sexta","Sábado","Domingo"))</f>
        <v/>
      </c>
      <c r="AD1751" s="17">
        <f>IF($B1751="","",TEXT($B1751,"MM/AAAA"))</f>
        <v/>
      </c>
      <c r="AE1751" s="18">
        <f>IF(COUNTA($B1751:$R1751)=0,"",IF($X1751="Cancelado",0,ROUND(N($Q1751)+N($S1751)+N($T1751)-N($U1751),2)))</f>
        <v/>
      </c>
      <c r="AF1751" s="9">
        <f>IF($G1751="","",IFERROR(INDEX(LINHAS_DRE_PLANO,MATCH($G1751,SUBCATEGORIAS_PLANO,0)),"Não classificado"))</f>
        <v/>
      </c>
      <c r="AG1751" s="17">
        <f>IF($G1751="","",IFERROR(INDEX(TIPOS_FLUXO_PLANO,MATCH($G1751,SUBCATEGORIAS_PLANO,0)),"Não classificado"))</f>
        <v/>
      </c>
      <c r="AH1751" s="9">
        <f>IF($G1751="","",IFERROR(INDEX(GRUPOS_PLANO,MATCH($G1751,SUBCATEGORIAS_PLANO,0)),"Não classificado"))</f>
        <v/>
      </c>
      <c r="AI1751" s="24">
        <f>IF(OR($C1751="",$X1751="Pago",$X1751="Recebido",$X1751="Cancelado"),"",$C1751-TODAY())</f>
        <v/>
      </c>
      <c r="AJ1751" s="24">
        <f>IF(OR($C1751="",$X1751="Pago",$X1751="Recebido",$X1751="Cancelado"),0,MAX(0,TODAY()-$C1751))</f>
        <v/>
      </c>
      <c r="AK1751" s="24">
        <f>IF($D1751="","",$D1751-$B1751)</f>
        <v/>
      </c>
      <c r="AL1751" s="18">
        <f>IF(OR($D1751="",$B1751=""),"",ROUND(N($R1751)*($D1751-$B1751),2))</f>
        <v/>
      </c>
      <c r="AM1751" s="17">
        <f>IF(AND($E1751="Saída",$W1751&gt;0,$C1751&lt;&gt;""),$C1751+ROW()/1000000,"")</f>
        <v/>
      </c>
      <c r="AN1751" s="17">
        <f>IF(AND($E1751="Entrada",$W1751&gt;0,$C1751&lt;&gt;""),$C1751+ROW()/1000000,"")</f>
        <v/>
      </c>
      <c r="AO1751" s="9">
        <f>IF(COUNTA($B1751:$R1751)=0,"",IF(AND($I1751&lt;&gt;"",COUNTIF(CLIENTES_NOMES,$I1751)+COUNTIF(CLIENTES_FANTASIA,$I1751)+COUNTIF(FORNECEDORES_NOMES,$I1751)+COUNTIF(FORNECEDORES_FANTASIA,$I1751)=0),"⚠ Cliente/Fornecedor não cadastrado",IF(AND($G1751&lt;&gt;"",COUNTIF(SUBCATEGORIAS_PLANO,$G1751)=0),"⚠ Subcategoria fora do plano de contas",IF(OR($Q1751="",N($Q1751)=0),"⚠ Valor previsto não informado",IF(AND(OR($X1751="Pago",$X1751="Recebido"),$D1751=""),"⚠ Status pago/recebido sem data",IF(AND($D1751&lt;&gt;"",N($R1751)=0),"⚠ Data de pagamento sem valor realizado",IF(AND(N($P1751)&gt;1,N($O1751)&gt;N($P1751)),"⚠ Nº da parcela maior que o total",IF(AND($C1751&lt;&gt;"",$B1751&lt;&gt;"",$C1751&lt;$B1751),"⚠ Vencimento anterior à competência","OK"))))))))</f>
        <v/>
      </c>
    </row>
    <row r="1752">
      <c r="A1752" s="14" t="n"/>
      <c r="B1752" s="36" t="n"/>
      <c r="C1752" s="36" t="n"/>
      <c r="D1752" s="36" t="n"/>
      <c r="E1752" s="14" t="n"/>
      <c r="F1752" s="29" t="n"/>
      <c r="G1752" s="29" t="n"/>
      <c r="H1752" s="29" t="n"/>
      <c r="I1752" s="29" t="n"/>
      <c r="J1752" s="29" t="n"/>
      <c r="K1752" s="14" t="n"/>
      <c r="L1752" s="29" t="n"/>
      <c r="M1752" s="14" t="n"/>
      <c r="N1752" s="29" t="n"/>
      <c r="O1752" s="13" t="n"/>
      <c r="P1752" s="13" t="n"/>
      <c r="Q1752" s="35" t="n"/>
      <c r="R1752" s="35" t="n"/>
      <c r="S1752" s="35" t="n"/>
      <c r="T1752" s="35" t="n"/>
      <c r="U1752" s="35" t="n"/>
      <c r="V1752" s="18">
        <f>IF(COUNTA($B1752:$R1752)=0,"",ROUND(N($R1752)+N($S1752)+N($T1752)-N($U1752),2))</f>
        <v/>
      </c>
      <c r="W1752" s="18">
        <f>IF(COUNTA($B1752:$R1752)=0,"",IF(OR($X1752="Pago",$X1752="Recebido",$X1752="Cancelado"),0,ROUND(N($Q1752)+N($S1752)+N($T1752)-N($U1752)-N($R1752),2)))</f>
        <v/>
      </c>
      <c r="X1752" s="14" t="n"/>
      <c r="Y1752" s="17">
        <f>IF(COUNTA($B1752:$R1752)=0,"",IF($X1752="Cancelado","Cancelado",IF(OR($X1752="Pago",$X1752="Recebido"),$X1752,IF(OR($X1752="Parcial",N($R1752)&gt;0),"Parcial",IF($C1752="","Sem vencimento",IF($C1752&lt;TODAY(),"Vencido",IF($C1752=TODAY(),"Vence hoje",IF($C1752&lt;=TODAY()+7,"Vence em 7 dias",IF($C1752&lt;=TODAY()+30,"Vence em 30 dias","Futuro")))))))))</f>
        <v/>
      </c>
      <c r="Z1752" s="24">
        <f>IF($B1752="","",MONTH($B1752))</f>
        <v/>
      </c>
      <c r="AA1752" s="24">
        <f>IF($B1752="","",YEAR($B1752))</f>
        <v/>
      </c>
      <c r="AB1752" s="24">
        <f>IF($B1752="","",ISOWEEKNUM($B1752))</f>
        <v/>
      </c>
      <c r="AC1752" s="17">
        <f>IF($B1752="","",CHOOSE(WEEKDAY($B1752,2),"Segunda","Terça","Quarta","Quinta","Sexta","Sábado","Domingo"))</f>
        <v/>
      </c>
      <c r="AD1752" s="17">
        <f>IF($B1752="","",TEXT($B1752,"MM/AAAA"))</f>
        <v/>
      </c>
      <c r="AE1752" s="18">
        <f>IF(COUNTA($B1752:$R1752)=0,"",IF($X1752="Cancelado",0,ROUND(N($Q1752)+N($S1752)+N($T1752)-N($U1752),2)))</f>
        <v/>
      </c>
      <c r="AF1752" s="9">
        <f>IF($G1752="","",IFERROR(INDEX(LINHAS_DRE_PLANO,MATCH($G1752,SUBCATEGORIAS_PLANO,0)),"Não classificado"))</f>
        <v/>
      </c>
      <c r="AG1752" s="17">
        <f>IF($G1752="","",IFERROR(INDEX(TIPOS_FLUXO_PLANO,MATCH($G1752,SUBCATEGORIAS_PLANO,0)),"Não classificado"))</f>
        <v/>
      </c>
      <c r="AH1752" s="9">
        <f>IF($G1752="","",IFERROR(INDEX(GRUPOS_PLANO,MATCH($G1752,SUBCATEGORIAS_PLANO,0)),"Não classificado"))</f>
        <v/>
      </c>
      <c r="AI1752" s="24">
        <f>IF(OR($C1752="",$X1752="Pago",$X1752="Recebido",$X1752="Cancelado"),"",$C1752-TODAY())</f>
        <v/>
      </c>
      <c r="AJ1752" s="24">
        <f>IF(OR($C1752="",$X1752="Pago",$X1752="Recebido",$X1752="Cancelado"),0,MAX(0,TODAY()-$C1752))</f>
        <v/>
      </c>
      <c r="AK1752" s="24">
        <f>IF($D1752="","",$D1752-$B1752)</f>
        <v/>
      </c>
      <c r="AL1752" s="18">
        <f>IF(OR($D1752="",$B1752=""),"",ROUND(N($R1752)*($D1752-$B1752),2))</f>
        <v/>
      </c>
      <c r="AM1752" s="17">
        <f>IF(AND($E1752="Saída",$W1752&gt;0,$C1752&lt;&gt;""),$C1752+ROW()/1000000,"")</f>
        <v/>
      </c>
      <c r="AN1752" s="17">
        <f>IF(AND($E1752="Entrada",$W1752&gt;0,$C1752&lt;&gt;""),$C1752+ROW()/1000000,"")</f>
        <v/>
      </c>
      <c r="AO1752" s="9">
        <f>IF(COUNTA($B1752:$R1752)=0,"",IF(AND($I1752&lt;&gt;"",COUNTIF(CLIENTES_NOMES,$I1752)+COUNTIF(CLIENTES_FANTASIA,$I1752)+COUNTIF(FORNECEDORES_NOMES,$I1752)+COUNTIF(FORNECEDORES_FANTASIA,$I1752)=0),"⚠ Cliente/Fornecedor não cadastrado",IF(AND($G1752&lt;&gt;"",COUNTIF(SUBCATEGORIAS_PLANO,$G1752)=0),"⚠ Subcategoria fora do plano de contas",IF(OR($Q1752="",N($Q1752)=0),"⚠ Valor previsto não informado",IF(AND(OR($X1752="Pago",$X1752="Recebido"),$D1752=""),"⚠ Status pago/recebido sem data",IF(AND($D1752&lt;&gt;"",N($R1752)=0),"⚠ Data de pagamento sem valor realizado",IF(AND(N($P1752)&gt;1,N($O1752)&gt;N($P1752)),"⚠ Nº da parcela maior que o total",IF(AND($C1752&lt;&gt;"",$B1752&lt;&gt;"",$C1752&lt;$B1752),"⚠ Vencimento anterior à competência","OK"))))))))</f>
        <v/>
      </c>
    </row>
    <row r="1753">
      <c r="A1753" s="14" t="n"/>
      <c r="B1753" s="36" t="n"/>
      <c r="C1753" s="36" t="n"/>
      <c r="D1753" s="36" t="n"/>
      <c r="E1753" s="14" t="n"/>
      <c r="F1753" s="29" t="n"/>
      <c r="G1753" s="29" t="n"/>
      <c r="H1753" s="29" t="n"/>
      <c r="I1753" s="29" t="n"/>
      <c r="J1753" s="29" t="n"/>
      <c r="K1753" s="14" t="n"/>
      <c r="L1753" s="29" t="n"/>
      <c r="M1753" s="14" t="n"/>
      <c r="N1753" s="29" t="n"/>
      <c r="O1753" s="13" t="n"/>
      <c r="P1753" s="13" t="n"/>
      <c r="Q1753" s="35" t="n"/>
      <c r="R1753" s="35" t="n"/>
      <c r="S1753" s="35" t="n"/>
      <c r="T1753" s="35" t="n"/>
      <c r="U1753" s="35" t="n"/>
      <c r="V1753" s="18">
        <f>IF(COUNTA($B1753:$R1753)=0,"",ROUND(N($R1753)+N($S1753)+N($T1753)-N($U1753),2))</f>
        <v/>
      </c>
      <c r="W1753" s="18">
        <f>IF(COUNTA($B1753:$R1753)=0,"",IF(OR($X1753="Pago",$X1753="Recebido",$X1753="Cancelado"),0,ROUND(N($Q1753)+N($S1753)+N($T1753)-N($U1753)-N($R1753),2)))</f>
        <v/>
      </c>
      <c r="X1753" s="14" t="n"/>
      <c r="Y1753" s="17">
        <f>IF(COUNTA($B1753:$R1753)=0,"",IF($X1753="Cancelado","Cancelado",IF(OR($X1753="Pago",$X1753="Recebido"),$X1753,IF(OR($X1753="Parcial",N($R1753)&gt;0),"Parcial",IF($C1753="","Sem vencimento",IF($C1753&lt;TODAY(),"Vencido",IF($C1753=TODAY(),"Vence hoje",IF($C1753&lt;=TODAY()+7,"Vence em 7 dias",IF($C1753&lt;=TODAY()+30,"Vence em 30 dias","Futuro")))))))))</f>
        <v/>
      </c>
      <c r="Z1753" s="24">
        <f>IF($B1753="","",MONTH($B1753))</f>
        <v/>
      </c>
      <c r="AA1753" s="24">
        <f>IF($B1753="","",YEAR($B1753))</f>
        <v/>
      </c>
      <c r="AB1753" s="24">
        <f>IF($B1753="","",ISOWEEKNUM($B1753))</f>
        <v/>
      </c>
      <c r="AC1753" s="17">
        <f>IF($B1753="","",CHOOSE(WEEKDAY($B1753,2),"Segunda","Terça","Quarta","Quinta","Sexta","Sábado","Domingo"))</f>
        <v/>
      </c>
      <c r="AD1753" s="17">
        <f>IF($B1753="","",TEXT($B1753,"MM/AAAA"))</f>
        <v/>
      </c>
      <c r="AE1753" s="18">
        <f>IF(COUNTA($B1753:$R1753)=0,"",IF($X1753="Cancelado",0,ROUND(N($Q1753)+N($S1753)+N($T1753)-N($U1753),2)))</f>
        <v/>
      </c>
      <c r="AF1753" s="9">
        <f>IF($G1753="","",IFERROR(INDEX(LINHAS_DRE_PLANO,MATCH($G1753,SUBCATEGORIAS_PLANO,0)),"Não classificado"))</f>
        <v/>
      </c>
      <c r="AG1753" s="17">
        <f>IF($G1753="","",IFERROR(INDEX(TIPOS_FLUXO_PLANO,MATCH($G1753,SUBCATEGORIAS_PLANO,0)),"Não classificado"))</f>
        <v/>
      </c>
      <c r="AH1753" s="9">
        <f>IF($G1753="","",IFERROR(INDEX(GRUPOS_PLANO,MATCH($G1753,SUBCATEGORIAS_PLANO,0)),"Não classificado"))</f>
        <v/>
      </c>
      <c r="AI1753" s="24">
        <f>IF(OR($C1753="",$X1753="Pago",$X1753="Recebido",$X1753="Cancelado"),"",$C1753-TODAY())</f>
        <v/>
      </c>
      <c r="AJ1753" s="24">
        <f>IF(OR($C1753="",$X1753="Pago",$X1753="Recebido",$X1753="Cancelado"),0,MAX(0,TODAY()-$C1753))</f>
        <v/>
      </c>
      <c r="AK1753" s="24">
        <f>IF($D1753="","",$D1753-$B1753)</f>
        <v/>
      </c>
      <c r="AL1753" s="18">
        <f>IF(OR($D1753="",$B1753=""),"",ROUND(N($R1753)*($D1753-$B1753),2))</f>
        <v/>
      </c>
      <c r="AM1753" s="17">
        <f>IF(AND($E1753="Saída",$W1753&gt;0,$C1753&lt;&gt;""),$C1753+ROW()/1000000,"")</f>
        <v/>
      </c>
      <c r="AN1753" s="17">
        <f>IF(AND($E1753="Entrada",$W1753&gt;0,$C1753&lt;&gt;""),$C1753+ROW()/1000000,"")</f>
        <v/>
      </c>
      <c r="AO1753" s="9">
        <f>IF(COUNTA($B1753:$R1753)=0,"",IF(AND($I1753&lt;&gt;"",COUNTIF(CLIENTES_NOMES,$I1753)+COUNTIF(CLIENTES_FANTASIA,$I1753)+COUNTIF(FORNECEDORES_NOMES,$I1753)+COUNTIF(FORNECEDORES_FANTASIA,$I1753)=0),"⚠ Cliente/Fornecedor não cadastrado",IF(AND($G1753&lt;&gt;"",COUNTIF(SUBCATEGORIAS_PLANO,$G1753)=0),"⚠ Subcategoria fora do plano de contas",IF(OR($Q1753="",N($Q1753)=0),"⚠ Valor previsto não informado",IF(AND(OR($X1753="Pago",$X1753="Recebido"),$D1753=""),"⚠ Status pago/recebido sem data",IF(AND($D1753&lt;&gt;"",N($R1753)=0),"⚠ Data de pagamento sem valor realizado",IF(AND(N($P1753)&gt;1,N($O1753)&gt;N($P1753)),"⚠ Nº da parcela maior que o total",IF(AND($C1753&lt;&gt;"",$B1753&lt;&gt;"",$C1753&lt;$B1753),"⚠ Vencimento anterior à competência","OK"))))))))</f>
        <v/>
      </c>
    </row>
    <row r="1754">
      <c r="A1754" s="14" t="n"/>
      <c r="B1754" s="36" t="n"/>
      <c r="C1754" s="36" t="n"/>
      <c r="D1754" s="36" t="n"/>
      <c r="E1754" s="14" t="n"/>
      <c r="F1754" s="29" t="n"/>
      <c r="G1754" s="29" t="n"/>
      <c r="H1754" s="29" t="n"/>
      <c r="I1754" s="29" t="n"/>
      <c r="J1754" s="29" t="n"/>
      <c r="K1754" s="14" t="n"/>
      <c r="L1754" s="29" t="n"/>
      <c r="M1754" s="14" t="n"/>
      <c r="N1754" s="29" t="n"/>
      <c r="O1754" s="13" t="n"/>
      <c r="P1754" s="13" t="n"/>
      <c r="Q1754" s="35" t="n"/>
      <c r="R1754" s="35" t="n"/>
      <c r="S1754" s="35" t="n"/>
      <c r="T1754" s="35" t="n"/>
      <c r="U1754" s="35" t="n"/>
      <c r="V1754" s="18">
        <f>IF(COUNTA($B1754:$R1754)=0,"",ROUND(N($R1754)+N($S1754)+N($T1754)-N($U1754),2))</f>
        <v/>
      </c>
      <c r="W1754" s="18">
        <f>IF(COUNTA($B1754:$R1754)=0,"",IF(OR($X1754="Pago",$X1754="Recebido",$X1754="Cancelado"),0,ROUND(N($Q1754)+N($S1754)+N($T1754)-N($U1754)-N($R1754),2)))</f>
        <v/>
      </c>
      <c r="X1754" s="14" t="n"/>
      <c r="Y1754" s="17">
        <f>IF(COUNTA($B1754:$R1754)=0,"",IF($X1754="Cancelado","Cancelado",IF(OR($X1754="Pago",$X1754="Recebido"),$X1754,IF(OR($X1754="Parcial",N($R1754)&gt;0),"Parcial",IF($C1754="","Sem vencimento",IF($C1754&lt;TODAY(),"Vencido",IF($C1754=TODAY(),"Vence hoje",IF($C1754&lt;=TODAY()+7,"Vence em 7 dias",IF($C1754&lt;=TODAY()+30,"Vence em 30 dias","Futuro")))))))))</f>
        <v/>
      </c>
      <c r="Z1754" s="24">
        <f>IF($B1754="","",MONTH($B1754))</f>
        <v/>
      </c>
      <c r="AA1754" s="24">
        <f>IF($B1754="","",YEAR($B1754))</f>
        <v/>
      </c>
      <c r="AB1754" s="24">
        <f>IF($B1754="","",ISOWEEKNUM($B1754))</f>
        <v/>
      </c>
      <c r="AC1754" s="17">
        <f>IF($B1754="","",CHOOSE(WEEKDAY($B1754,2),"Segunda","Terça","Quarta","Quinta","Sexta","Sábado","Domingo"))</f>
        <v/>
      </c>
      <c r="AD1754" s="17">
        <f>IF($B1754="","",TEXT($B1754,"MM/AAAA"))</f>
        <v/>
      </c>
      <c r="AE1754" s="18">
        <f>IF(COUNTA($B1754:$R1754)=0,"",IF($X1754="Cancelado",0,ROUND(N($Q1754)+N($S1754)+N($T1754)-N($U1754),2)))</f>
        <v/>
      </c>
      <c r="AF1754" s="9">
        <f>IF($G1754="","",IFERROR(INDEX(LINHAS_DRE_PLANO,MATCH($G1754,SUBCATEGORIAS_PLANO,0)),"Não classificado"))</f>
        <v/>
      </c>
      <c r="AG1754" s="17">
        <f>IF($G1754="","",IFERROR(INDEX(TIPOS_FLUXO_PLANO,MATCH($G1754,SUBCATEGORIAS_PLANO,0)),"Não classificado"))</f>
        <v/>
      </c>
      <c r="AH1754" s="9">
        <f>IF($G1754="","",IFERROR(INDEX(GRUPOS_PLANO,MATCH($G1754,SUBCATEGORIAS_PLANO,0)),"Não classificado"))</f>
        <v/>
      </c>
      <c r="AI1754" s="24">
        <f>IF(OR($C1754="",$X1754="Pago",$X1754="Recebido",$X1754="Cancelado"),"",$C1754-TODAY())</f>
        <v/>
      </c>
      <c r="AJ1754" s="24">
        <f>IF(OR($C1754="",$X1754="Pago",$X1754="Recebido",$X1754="Cancelado"),0,MAX(0,TODAY()-$C1754))</f>
        <v/>
      </c>
      <c r="AK1754" s="24">
        <f>IF($D1754="","",$D1754-$B1754)</f>
        <v/>
      </c>
      <c r="AL1754" s="18">
        <f>IF(OR($D1754="",$B1754=""),"",ROUND(N($R1754)*($D1754-$B1754),2))</f>
        <v/>
      </c>
      <c r="AM1754" s="17">
        <f>IF(AND($E1754="Saída",$W1754&gt;0,$C1754&lt;&gt;""),$C1754+ROW()/1000000,"")</f>
        <v/>
      </c>
      <c r="AN1754" s="17">
        <f>IF(AND($E1754="Entrada",$W1754&gt;0,$C1754&lt;&gt;""),$C1754+ROW()/1000000,"")</f>
        <v/>
      </c>
      <c r="AO1754" s="9">
        <f>IF(COUNTA($B1754:$R1754)=0,"",IF(AND($I1754&lt;&gt;"",COUNTIF(CLIENTES_NOMES,$I1754)+COUNTIF(CLIENTES_FANTASIA,$I1754)+COUNTIF(FORNECEDORES_NOMES,$I1754)+COUNTIF(FORNECEDORES_FANTASIA,$I1754)=0),"⚠ Cliente/Fornecedor não cadastrado",IF(AND($G1754&lt;&gt;"",COUNTIF(SUBCATEGORIAS_PLANO,$G1754)=0),"⚠ Subcategoria fora do plano de contas",IF(OR($Q1754="",N($Q1754)=0),"⚠ Valor previsto não informado",IF(AND(OR($X1754="Pago",$X1754="Recebido"),$D1754=""),"⚠ Status pago/recebido sem data",IF(AND($D1754&lt;&gt;"",N($R1754)=0),"⚠ Data de pagamento sem valor realizado",IF(AND(N($P1754)&gt;1,N($O1754)&gt;N($P1754)),"⚠ Nº da parcela maior que o total",IF(AND($C1754&lt;&gt;"",$B1754&lt;&gt;"",$C1754&lt;$B1754),"⚠ Vencimento anterior à competência","OK"))))))))</f>
        <v/>
      </c>
    </row>
    <row r="1755">
      <c r="A1755" s="14" t="n"/>
      <c r="B1755" s="36" t="n"/>
      <c r="C1755" s="36" t="n"/>
      <c r="D1755" s="36" t="n"/>
      <c r="E1755" s="14" t="n"/>
      <c r="F1755" s="29" t="n"/>
      <c r="G1755" s="29" t="n"/>
      <c r="H1755" s="29" t="n"/>
      <c r="I1755" s="29" t="n"/>
      <c r="J1755" s="29" t="n"/>
      <c r="K1755" s="14" t="n"/>
      <c r="L1755" s="29" t="n"/>
      <c r="M1755" s="14" t="n"/>
      <c r="N1755" s="29" t="n"/>
      <c r="O1755" s="13" t="n"/>
      <c r="P1755" s="13" t="n"/>
      <c r="Q1755" s="35" t="n"/>
      <c r="R1755" s="35" t="n"/>
      <c r="S1755" s="35" t="n"/>
      <c r="T1755" s="35" t="n"/>
      <c r="U1755" s="35" t="n"/>
      <c r="V1755" s="18">
        <f>IF(COUNTA($B1755:$R1755)=0,"",ROUND(N($R1755)+N($S1755)+N($T1755)-N($U1755),2))</f>
        <v/>
      </c>
      <c r="W1755" s="18">
        <f>IF(COUNTA($B1755:$R1755)=0,"",IF(OR($X1755="Pago",$X1755="Recebido",$X1755="Cancelado"),0,ROUND(N($Q1755)+N($S1755)+N($T1755)-N($U1755)-N($R1755),2)))</f>
        <v/>
      </c>
      <c r="X1755" s="14" t="n"/>
      <c r="Y1755" s="17">
        <f>IF(COUNTA($B1755:$R1755)=0,"",IF($X1755="Cancelado","Cancelado",IF(OR($X1755="Pago",$X1755="Recebido"),$X1755,IF(OR($X1755="Parcial",N($R1755)&gt;0),"Parcial",IF($C1755="","Sem vencimento",IF($C1755&lt;TODAY(),"Vencido",IF($C1755=TODAY(),"Vence hoje",IF($C1755&lt;=TODAY()+7,"Vence em 7 dias",IF($C1755&lt;=TODAY()+30,"Vence em 30 dias","Futuro")))))))))</f>
        <v/>
      </c>
      <c r="Z1755" s="24">
        <f>IF($B1755="","",MONTH($B1755))</f>
        <v/>
      </c>
      <c r="AA1755" s="24">
        <f>IF($B1755="","",YEAR($B1755))</f>
        <v/>
      </c>
      <c r="AB1755" s="24">
        <f>IF($B1755="","",ISOWEEKNUM($B1755))</f>
        <v/>
      </c>
      <c r="AC1755" s="17">
        <f>IF($B1755="","",CHOOSE(WEEKDAY($B1755,2),"Segunda","Terça","Quarta","Quinta","Sexta","Sábado","Domingo"))</f>
        <v/>
      </c>
      <c r="AD1755" s="17">
        <f>IF($B1755="","",TEXT($B1755,"MM/AAAA"))</f>
        <v/>
      </c>
      <c r="AE1755" s="18">
        <f>IF(COUNTA($B1755:$R1755)=0,"",IF($X1755="Cancelado",0,ROUND(N($Q1755)+N($S1755)+N($T1755)-N($U1755),2)))</f>
        <v/>
      </c>
      <c r="AF1755" s="9">
        <f>IF($G1755="","",IFERROR(INDEX(LINHAS_DRE_PLANO,MATCH($G1755,SUBCATEGORIAS_PLANO,0)),"Não classificado"))</f>
        <v/>
      </c>
      <c r="AG1755" s="17">
        <f>IF($G1755="","",IFERROR(INDEX(TIPOS_FLUXO_PLANO,MATCH($G1755,SUBCATEGORIAS_PLANO,0)),"Não classificado"))</f>
        <v/>
      </c>
      <c r="AH1755" s="9">
        <f>IF($G1755="","",IFERROR(INDEX(GRUPOS_PLANO,MATCH($G1755,SUBCATEGORIAS_PLANO,0)),"Não classificado"))</f>
        <v/>
      </c>
      <c r="AI1755" s="24">
        <f>IF(OR($C1755="",$X1755="Pago",$X1755="Recebido",$X1755="Cancelado"),"",$C1755-TODAY())</f>
        <v/>
      </c>
      <c r="AJ1755" s="24">
        <f>IF(OR($C1755="",$X1755="Pago",$X1755="Recebido",$X1755="Cancelado"),0,MAX(0,TODAY()-$C1755))</f>
        <v/>
      </c>
      <c r="AK1755" s="24">
        <f>IF($D1755="","",$D1755-$B1755)</f>
        <v/>
      </c>
      <c r="AL1755" s="18">
        <f>IF(OR($D1755="",$B1755=""),"",ROUND(N($R1755)*($D1755-$B1755),2))</f>
        <v/>
      </c>
      <c r="AM1755" s="17">
        <f>IF(AND($E1755="Saída",$W1755&gt;0,$C1755&lt;&gt;""),$C1755+ROW()/1000000,"")</f>
        <v/>
      </c>
      <c r="AN1755" s="17">
        <f>IF(AND($E1755="Entrada",$W1755&gt;0,$C1755&lt;&gt;""),$C1755+ROW()/1000000,"")</f>
        <v/>
      </c>
      <c r="AO1755" s="9">
        <f>IF(COUNTA($B1755:$R1755)=0,"",IF(AND($I1755&lt;&gt;"",COUNTIF(CLIENTES_NOMES,$I1755)+COUNTIF(CLIENTES_FANTASIA,$I1755)+COUNTIF(FORNECEDORES_NOMES,$I1755)+COUNTIF(FORNECEDORES_FANTASIA,$I1755)=0),"⚠ Cliente/Fornecedor não cadastrado",IF(AND($G1755&lt;&gt;"",COUNTIF(SUBCATEGORIAS_PLANO,$G1755)=0),"⚠ Subcategoria fora do plano de contas",IF(OR($Q1755="",N($Q1755)=0),"⚠ Valor previsto não informado",IF(AND(OR($X1755="Pago",$X1755="Recebido"),$D1755=""),"⚠ Status pago/recebido sem data",IF(AND($D1755&lt;&gt;"",N($R1755)=0),"⚠ Data de pagamento sem valor realizado",IF(AND(N($P1755)&gt;1,N($O1755)&gt;N($P1755)),"⚠ Nº da parcela maior que o total",IF(AND($C1755&lt;&gt;"",$B1755&lt;&gt;"",$C1755&lt;$B1755),"⚠ Vencimento anterior à competência","OK"))))))))</f>
        <v/>
      </c>
    </row>
    <row r="1756">
      <c r="A1756" s="14" t="n"/>
      <c r="B1756" s="36" t="n"/>
      <c r="C1756" s="36" t="n"/>
      <c r="D1756" s="36" t="n"/>
      <c r="E1756" s="14" t="n"/>
      <c r="F1756" s="29" t="n"/>
      <c r="G1756" s="29" t="n"/>
      <c r="H1756" s="29" t="n"/>
      <c r="I1756" s="29" t="n"/>
      <c r="J1756" s="29" t="n"/>
      <c r="K1756" s="14" t="n"/>
      <c r="L1756" s="29" t="n"/>
      <c r="M1756" s="14" t="n"/>
      <c r="N1756" s="29" t="n"/>
      <c r="O1756" s="13" t="n"/>
      <c r="P1756" s="13" t="n"/>
      <c r="Q1756" s="35" t="n"/>
      <c r="R1756" s="35" t="n"/>
      <c r="S1756" s="35" t="n"/>
      <c r="T1756" s="35" t="n"/>
      <c r="U1756" s="35" t="n"/>
      <c r="V1756" s="18">
        <f>IF(COUNTA($B1756:$R1756)=0,"",ROUND(N($R1756)+N($S1756)+N($T1756)-N($U1756),2))</f>
        <v/>
      </c>
      <c r="W1756" s="18">
        <f>IF(COUNTA($B1756:$R1756)=0,"",IF(OR($X1756="Pago",$X1756="Recebido",$X1756="Cancelado"),0,ROUND(N($Q1756)+N($S1756)+N($T1756)-N($U1756)-N($R1756),2)))</f>
        <v/>
      </c>
      <c r="X1756" s="14" t="n"/>
      <c r="Y1756" s="17">
        <f>IF(COUNTA($B1756:$R1756)=0,"",IF($X1756="Cancelado","Cancelado",IF(OR($X1756="Pago",$X1756="Recebido"),$X1756,IF(OR($X1756="Parcial",N($R1756)&gt;0),"Parcial",IF($C1756="","Sem vencimento",IF($C1756&lt;TODAY(),"Vencido",IF($C1756=TODAY(),"Vence hoje",IF($C1756&lt;=TODAY()+7,"Vence em 7 dias",IF($C1756&lt;=TODAY()+30,"Vence em 30 dias","Futuro")))))))))</f>
        <v/>
      </c>
      <c r="Z1756" s="24">
        <f>IF($B1756="","",MONTH($B1756))</f>
        <v/>
      </c>
      <c r="AA1756" s="24">
        <f>IF($B1756="","",YEAR($B1756))</f>
        <v/>
      </c>
      <c r="AB1756" s="24">
        <f>IF($B1756="","",ISOWEEKNUM($B1756))</f>
        <v/>
      </c>
      <c r="AC1756" s="17">
        <f>IF($B1756="","",CHOOSE(WEEKDAY($B1756,2),"Segunda","Terça","Quarta","Quinta","Sexta","Sábado","Domingo"))</f>
        <v/>
      </c>
      <c r="AD1756" s="17">
        <f>IF($B1756="","",TEXT($B1756,"MM/AAAA"))</f>
        <v/>
      </c>
      <c r="AE1756" s="18">
        <f>IF(COUNTA($B1756:$R1756)=0,"",IF($X1756="Cancelado",0,ROUND(N($Q1756)+N($S1756)+N($T1756)-N($U1756),2)))</f>
        <v/>
      </c>
      <c r="AF1756" s="9">
        <f>IF($G1756="","",IFERROR(INDEX(LINHAS_DRE_PLANO,MATCH($G1756,SUBCATEGORIAS_PLANO,0)),"Não classificado"))</f>
        <v/>
      </c>
      <c r="AG1756" s="17">
        <f>IF($G1756="","",IFERROR(INDEX(TIPOS_FLUXO_PLANO,MATCH($G1756,SUBCATEGORIAS_PLANO,0)),"Não classificado"))</f>
        <v/>
      </c>
      <c r="AH1756" s="9">
        <f>IF($G1756="","",IFERROR(INDEX(GRUPOS_PLANO,MATCH($G1756,SUBCATEGORIAS_PLANO,0)),"Não classificado"))</f>
        <v/>
      </c>
      <c r="AI1756" s="24">
        <f>IF(OR($C1756="",$X1756="Pago",$X1756="Recebido",$X1756="Cancelado"),"",$C1756-TODAY())</f>
        <v/>
      </c>
      <c r="AJ1756" s="24">
        <f>IF(OR($C1756="",$X1756="Pago",$X1756="Recebido",$X1756="Cancelado"),0,MAX(0,TODAY()-$C1756))</f>
        <v/>
      </c>
      <c r="AK1756" s="24">
        <f>IF($D1756="","",$D1756-$B1756)</f>
        <v/>
      </c>
      <c r="AL1756" s="18">
        <f>IF(OR($D1756="",$B1756=""),"",ROUND(N($R1756)*($D1756-$B1756),2))</f>
        <v/>
      </c>
      <c r="AM1756" s="17">
        <f>IF(AND($E1756="Saída",$W1756&gt;0,$C1756&lt;&gt;""),$C1756+ROW()/1000000,"")</f>
        <v/>
      </c>
      <c r="AN1756" s="17">
        <f>IF(AND($E1756="Entrada",$W1756&gt;0,$C1756&lt;&gt;""),$C1756+ROW()/1000000,"")</f>
        <v/>
      </c>
      <c r="AO1756" s="9">
        <f>IF(COUNTA($B1756:$R1756)=0,"",IF(AND($I1756&lt;&gt;"",COUNTIF(CLIENTES_NOMES,$I1756)+COUNTIF(CLIENTES_FANTASIA,$I1756)+COUNTIF(FORNECEDORES_NOMES,$I1756)+COUNTIF(FORNECEDORES_FANTASIA,$I1756)=0),"⚠ Cliente/Fornecedor não cadastrado",IF(AND($G1756&lt;&gt;"",COUNTIF(SUBCATEGORIAS_PLANO,$G1756)=0),"⚠ Subcategoria fora do plano de contas",IF(OR($Q1756="",N($Q1756)=0),"⚠ Valor previsto não informado",IF(AND(OR($X1756="Pago",$X1756="Recebido"),$D1756=""),"⚠ Status pago/recebido sem data",IF(AND($D1756&lt;&gt;"",N($R1756)=0),"⚠ Data de pagamento sem valor realizado",IF(AND(N($P1756)&gt;1,N($O1756)&gt;N($P1756)),"⚠ Nº da parcela maior que o total",IF(AND($C1756&lt;&gt;"",$B1756&lt;&gt;"",$C1756&lt;$B1756),"⚠ Vencimento anterior à competência","OK"))))))))</f>
        <v/>
      </c>
    </row>
    <row r="1757">
      <c r="A1757" s="14" t="n"/>
      <c r="B1757" s="36" t="n"/>
      <c r="C1757" s="36" t="n"/>
      <c r="D1757" s="36" t="n"/>
      <c r="E1757" s="14" t="n"/>
      <c r="F1757" s="29" t="n"/>
      <c r="G1757" s="29" t="n"/>
      <c r="H1757" s="29" t="n"/>
      <c r="I1757" s="29" t="n"/>
      <c r="J1757" s="29" t="n"/>
      <c r="K1757" s="14" t="n"/>
      <c r="L1757" s="29" t="n"/>
      <c r="M1757" s="14" t="n"/>
      <c r="N1757" s="29" t="n"/>
      <c r="O1757" s="13" t="n"/>
      <c r="P1757" s="13" t="n"/>
      <c r="Q1757" s="35" t="n"/>
      <c r="R1757" s="35" t="n"/>
      <c r="S1757" s="35" t="n"/>
      <c r="T1757" s="35" t="n"/>
      <c r="U1757" s="35" t="n"/>
      <c r="V1757" s="18">
        <f>IF(COUNTA($B1757:$R1757)=0,"",ROUND(N($R1757)+N($S1757)+N($T1757)-N($U1757),2))</f>
        <v/>
      </c>
      <c r="W1757" s="18">
        <f>IF(COUNTA($B1757:$R1757)=0,"",IF(OR($X1757="Pago",$X1757="Recebido",$X1757="Cancelado"),0,ROUND(N($Q1757)+N($S1757)+N($T1757)-N($U1757)-N($R1757),2)))</f>
        <v/>
      </c>
      <c r="X1757" s="14" t="n"/>
      <c r="Y1757" s="17">
        <f>IF(COUNTA($B1757:$R1757)=0,"",IF($X1757="Cancelado","Cancelado",IF(OR($X1757="Pago",$X1757="Recebido"),$X1757,IF(OR($X1757="Parcial",N($R1757)&gt;0),"Parcial",IF($C1757="","Sem vencimento",IF($C1757&lt;TODAY(),"Vencido",IF($C1757=TODAY(),"Vence hoje",IF($C1757&lt;=TODAY()+7,"Vence em 7 dias",IF($C1757&lt;=TODAY()+30,"Vence em 30 dias","Futuro")))))))))</f>
        <v/>
      </c>
      <c r="Z1757" s="24">
        <f>IF($B1757="","",MONTH($B1757))</f>
        <v/>
      </c>
      <c r="AA1757" s="24">
        <f>IF($B1757="","",YEAR($B1757))</f>
        <v/>
      </c>
      <c r="AB1757" s="24">
        <f>IF($B1757="","",ISOWEEKNUM($B1757))</f>
        <v/>
      </c>
      <c r="AC1757" s="17">
        <f>IF($B1757="","",CHOOSE(WEEKDAY($B1757,2),"Segunda","Terça","Quarta","Quinta","Sexta","Sábado","Domingo"))</f>
        <v/>
      </c>
      <c r="AD1757" s="17">
        <f>IF($B1757="","",TEXT($B1757,"MM/AAAA"))</f>
        <v/>
      </c>
      <c r="AE1757" s="18">
        <f>IF(COUNTA($B1757:$R1757)=0,"",IF($X1757="Cancelado",0,ROUND(N($Q1757)+N($S1757)+N($T1757)-N($U1757),2)))</f>
        <v/>
      </c>
      <c r="AF1757" s="9">
        <f>IF($G1757="","",IFERROR(INDEX(LINHAS_DRE_PLANO,MATCH($G1757,SUBCATEGORIAS_PLANO,0)),"Não classificado"))</f>
        <v/>
      </c>
      <c r="AG1757" s="17">
        <f>IF($G1757="","",IFERROR(INDEX(TIPOS_FLUXO_PLANO,MATCH($G1757,SUBCATEGORIAS_PLANO,0)),"Não classificado"))</f>
        <v/>
      </c>
      <c r="AH1757" s="9">
        <f>IF($G1757="","",IFERROR(INDEX(GRUPOS_PLANO,MATCH($G1757,SUBCATEGORIAS_PLANO,0)),"Não classificado"))</f>
        <v/>
      </c>
      <c r="AI1757" s="24">
        <f>IF(OR($C1757="",$X1757="Pago",$X1757="Recebido",$X1757="Cancelado"),"",$C1757-TODAY())</f>
        <v/>
      </c>
      <c r="AJ1757" s="24">
        <f>IF(OR($C1757="",$X1757="Pago",$X1757="Recebido",$X1757="Cancelado"),0,MAX(0,TODAY()-$C1757))</f>
        <v/>
      </c>
      <c r="AK1757" s="24">
        <f>IF($D1757="","",$D1757-$B1757)</f>
        <v/>
      </c>
      <c r="AL1757" s="18">
        <f>IF(OR($D1757="",$B1757=""),"",ROUND(N($R1757)*($D1757-$B1757),2))</f>
        <v/>
      </c>
      <c r="AM1757" s="17">
        <f>IF(AND($E1757="Saída",$W1757&gt;0,$C1757&lt;&gt;""),$C1757+ROW()/1000000,"")</f>
        <v/>
      </c>
      <c r="AN1757" s="17">
        <f>IF(AND($E1757="Entrada",$W1757&gt;0,$C1757&lt;&gt;""),$C1757+ROW()/1000000,"")</f>
        <v/>
      </c>
      <c r="AO1757" s="9">
        <f>IF(COUNTA($B1757:$R1757)=0,"",IF(AND($I1757&lt;&gt;"",COUNTIF(CLIENTES_NOMES,$I1757)+COUNTIF(CLIENTES_FANTASIA,$I1757)+COUNTIF(FORNECEDORES_NOMES,$I1757)+COUNTIF(FORNECEDORES_FANTASIA,$I1757)=0),"⚠ Cliente/Fornecedor não cadastrado",IF(AND($G1757&lt;&gt;"",COUNTIF(SUBCATEGORIAS_PLANO,$G1757)=0),"⚠ Subcategoria fora do plano de contas",IF(OR($Q1757="",N($Q1757)=0),"⚠ Valor previsto não informado",IF(AND(OR($X1757="Pago",$X1757="Recebido"),$D1757=""),"⚠ Status pago/recebido sem data",IF(AND($D1757&lt;&gt;"",N($R1757)=0),"⚠ Data de pagamento sem valor realizado",IF(AND(N($P1757)&gt;1,N($O1757)&gt;N($P1757)),"⚠ Nº da parcela maior que o total",IF(AND($C1757&lt;&gt;"",$B1757&lt;&gt;"",$C1757&lt;$B1757),"⚠ Vencimento anterior à competência","OK"))))))))</f>
        <v/>
      </c>
    </row>
    <row r="1758">
      <c r="A1758" s="14" t="n"/>
      <c r="B1758" s="36" t="n"/>
      <c r="C1758" s="36" t="n"/>
      <c r="D1758" s="36" t="n"/>
      <c r="E1758" s="14" t="n"/>
      <c r="F1758" s="29" t="n"/>
      <c r="G1758" s="29" t="n"/>
      <c r="H1758" s="29" t="n"/>
      <c r="I1758" s="29" t="n"/>
      <c r="J1758" s="29" t="n"/>
      <c r="K1758" s="14" t="n"/>
      <c r="L1758" s="29" t="n"/>
      <c r="M1758" s="14" t="n"/>
      <c r="N1758" s="29" t="n"/>
      <c r="O1758" s="13" t="n"/>
      <c r="P1758" s="13" t="n"/>
      <c r="Q1758" s="35" t="n"/>
      <c r="R1758" s="35" t="n"/>
      <c r="S1758" s="35" t="n"/>
      <c r="T1758" s="35" t="n"/>
      <c r="U1758" s="35" t="n"/>
      <c r="V1758" s="18">
        <f>IF(COUNTA($B1758:$R1758)=0,"",ROUND(N($R1758)+N($S1758)+N($T1758)-N($U1758),2))</f>
        <v/>
      </c>
      <c r="W1758" s="18">
        <f>IF(COUNTA($B1758:$R1758)=0,"",IF(OR($X1758="Pago",$X1758="Recebido",$X1758="Cancelado"),0,ROUND(N($Q1758)+N($S1758)+N($T1758)-N($U1758)-N($R1758),2)))</f>
        <v/>
      </c>
      <c r="X1758" s="14" t="n"/>
      <c r="Y1758" s="17">
        <f>IF(COUNTA($B1758:$R1758)=0,"",IF($X1758="Cancelado","Cancelado",IF(OR($X1758="Pago",$X1758="Recebido"),$X1758,IF(OR($X1758="Parcial",N($R1758)&gt;0),"Parcial",IF($C1758="","Sem vencimento",IF($C1758&lt;TODAY(),"Vencido",IF($C1758=TODAY(),"Vence hoje",IF($C1758&lt;=TODAY()+7,"Vence em 7 dias",IF($C1758&lt;=TODAY()+30,"Vence em 30 dias","Futuro")))))))))</f>
        <v/>
      </c>
      <c r="Z1758" s="24">
        <f>IF($B1758="","",MONTH($B1758))</f>
        <v/>
      </c>
      <c r="AA1758" s="24">
        <f>IF($B1758="","",YEAR($B1758))</f>
        <v/>
      </c>
      <c r="AB1758" s="24">
        <f>IF($B1758="","",ISOWEEKNUM($B1758))</f>
        <v/>
      </c>
      <c r="AC1758" s="17">
        <f>IF($B1758="","",CHOOSE(WEEKDAY($B1758,2),"Segunda","Terça","Quarta","Quinta","Sexta","Sábado","Domingo"))</f>
        <v/>
      </c>
      <c r="AD1758" s="17">
        <f>IF($B1758="","",TEXT($B1758,"MM/AAAA"))</f>
        <v/>
      </c>
      <c r="AE1758" s="18">
        <f>IF(COUNTA($B1758:$R1758)=0,"",IF($X1758="Cancelado",0,ROUND(N($Q1758)+N($S1758)+N($T1758)-N($U1758),2)))</f>
        <v/>
      </c>
      <c r="AF1758" s="9">
        <f>IF($G1758="","",IFERROR(INDEX(LINHAS_DRE_PLANO,MATCH($G1758,SUBCATEGORIAS_PLANO,0)),"Não classificado"))</f>
        <v/>
      </c>
      <c r="AG1758" s="17">
        <f>IF($G1758="","",IFERROR(INDEX(TIPOS_FLUXO_PLANO,MATCH($G1758,SUBCATEGORIAS_PLANO,0)),"Não classificado"))</f>
        <v/>
      </c>
      <c r="AH1758" s="9">
        <f>IF($G1758="","",IFERROR(INDEX(GRUPOS_PLANO,MATCH($G1758,SUBCATEGORIAS_PLANO,0)),"Não classificado"))</f>
        <v/>
      </c>
      <c r="AI1758" s="24">
        <f>IF(OR($C1758="",$X1758="Pago",$X1758="Recebido",$X1758="Cancelado"),"",$C1758-TODAY())</f>
        <v/>
      </c>
      <c r="AJ1758" s="24">
        <f>IF(OR($C1758="",$X1758="Pago",$X1758="Recebido",$X1758="Cancelado"),0,MAX(0,TODAY()-$C1758))</f>
        <v/>
      </c>
      <c r="AK1758" s="24">
        <f>IF($D1758="","",$D1758-$B1758)</f>
        <v/>
      </c>
      <c r="AL1758" s="18">
        <f>IF(OR($D1758="",$B1758=""),"",ROUND(N($R1758)*($D1758-$B1758),2))</f>
        <v/>
      </c>
      <c r="AM1758" s="17">
        <f>IF(AND($E1758="Saída",$W1758&gt;0,$C1758&lt;&gt;""),$C1758+ROW()/1000000,"")</f>
        <v/>
      </c>
      <c r="AN1758" s="17">
        <f>IF(AND($E1758="Entrada",$W1758&gt;0,$C1758&lt;&gt;""),$C1758+ROW()/1000000,"")</f>
        <v/>
      </c>
      <c r="AO1758" s="9">
        <f>IF(COUNTA($B1758:$R1758)=0,"",IF(AND($I1758&lt;&gt;"",COUNTIF(CLIENTES_NOMES,$I1758)+COUNTIF(CLIENTES_FANTASIA,$I1758)+COUNTIF(FORNECEDORES_NOMES,$I1758)+COUNTIF(FORNECEDORES_FANTASIA,$I1758)=0),"⚠ Cliente/Fornecedor não cadastrado",IF(AND($G1758&lt;&gt;"",COUNTIF(SUBCATEGORIAS_PLANO,$G1758)=0),"⚠ Subcategoria fora do plano de contas",IF(OR($Q1758="",N($Q1758)=0),"⚠ Valor previsto não informado",IF(AND(OR($X1758="Pago",$X1758="Recebido"),$D1758=""),"⚠ Status pago/recebido sem data",IF(AND($D1758&lt;&gt;"",N($R1758)=0),"⚠ Data de pagamento sem valor realizado",IF(AND(N($P1758)&gt;1,N($O1758)&gt;N($P1758)),"⚠ Nº da parcela maior que o total",IF(AND($C1758&lt;&gt;"",$B1758&lt;&gt;"",$C1758&lt;$B1758),"⚠ Vencimento anterior à competência","OK"))))))))</f>
        <v/>
      </c>
    </row>
    <row r="1759">
      <c r="A1759" s="14" t="n"/>
      <c r="B1759" s="36" t="n"/>
      <c r="C1759" s="36" t="n"/>
      <c r="D1759" s="36" t="n"/>
      <c r="E1759" s="14" t="n"/>
      <c r="F1759" s="29" t="n"/>
      <c r="G1759" s="29" t="n"/>
      <c r="H1759" s="29" t="n"/>
      <c r="I1759" s="29" t="n"/>
      <c r="J1759" s="29" t="n"/>
      <c r="K1759" s="14" t="n"/>
      <c r="L1759" s="29" t="n"/>
      <c r="M1759" s="14" t="n"/>
      <c r="N1759" s="29" t="n"/>
      <c r="O1759" s="13" t="n"/>
      <c r="P1759" s="13" t="n"/>
      <c r="Q1759" s="35" t="n"/>
      <c r="R1759" s="35" t="n"/>
      <c r="S1759" s="35" t="n"/>
      <c r="T1759" s="35" t="n"/>
      <c r="U1759" s="35" t="n"/>
      <c r="V1759" s="18">
        <f>IF(COUNTA($B1759:$R1759)=0,"",ROUND(N($R1759)+N($S1759)+N($T1759)-N($U1759),2))</f>
        <v/>
      </c>
      <c r="W1759" s="18">
        <f>IF(COUNTA($B1759:$R1759)=0,"",IF(OR($X1759="Pago",$X1759="Recebido",$X1759="Cancelado"),0,ROUND(N($Q1759)+N($S1759)+N($T1759)-N($U1759)-N($R1759),2)))</f>
        <v/>
      </c>
      <c r="X1759" s="14" t="n"/>
      <c r="Y1759" s="17">
        <f>IF(COUNTA($B1759:$R1759)=0,"",IF($X1759="Cancelado","Cancelado",IF(OR($X1759="Pago",$X1759="Recebido"),$X1759,IF(OR($X1759="Parcial",N($R1759)&gt;0),"Parcial",IF($C1759="","Sem vencimento",IF($C1759&lt;TODAY(),"Vencido",IF($C1759=TODAY(),"Vence hoje",IF($C1759&lt;=TODAY()+7,"Vence em 7 dias",IF($C1759&lt;=TODAY()+30,"Vence em 30 dias","Futuro")))))))))</f>
        <v/>
      </c>
      <c r="Z1759" s="24">
        <f>IF($B1759="","",MONTH($B1759))</f>
        <v/>
      </c>
      <c r="AA1759" s="24">
        <f>IF($B1759="","",YEAR($B1759))</f>
        <v/>
      </c>
      <c r="AB1759" s="24">
        <f>IF($B1759="","",ISOWEEKNUM($B1759))</f>
        <v/>
      </c>
      <c r="AC1759" s="17">
        <f>IF($B1759="","",CHOOSE(WEEKDAY($B1759,2),"Segunda","Terça","Quarta","Quinta","Sexta","Sábado","Domingo"))</f>
        <v/>
      </c>
      <c r="AD1759" s="17">
        <f>IF($B1759="","",TEXT($B1759,"MM/AAAA"))</f>
        <v/>
      </c>
      <c r="AE1759" s="18">
        <f>IF(COUNTA($B1759:$R1759)=0,"",IF($X1759="Cancelado",0,ROUND(N($Q1759)+N($S1759)+N($T1759)-N($U1759),2)))</f>
        <v/>
      </c>
      <c r="AF1759" s="9">
        <f>IF($G1759="","",IFERROR(INDEX(LINHAS_DRE_PLANO,MATCH($G1759,SUBCATEGORIAS_PLANO,0)),"Não classificado"))</f>
        <v/>
      </c>
      <c r="AG1759" s="17">
        <f>IF($G1759="","",IFERROR(INDEX(TIPOS_FLUXO_PLANO,MATCH($G1759,SUBCATEGORIAS_PLANO,0)),"Não classificado"))</f>
        <v/>
      </c>
      <c r="AH1759" s="9">
        <f>IF($G1759="","",IFERROR(INDEX(GRUPOS_PLANO,MATCH($G1759,SUBCATEGORIAS_PLANO,0)),"Não classificado"))</f>
        <v/>
      </c>
      <c r="AI1759" s="24">
        <f>IF(OR($C1759="",$X1759="Pago",$X1759="Recebido",$X1759="Cancelado"),"",$C1759-TODAY())</f>
        <v/>
      </c>
      <c r="AJ1759" s="24">
        <f>IF(OR($C1759="",$X1759="Pago",$X1759="Recebido",$X1759="Cancelado"),0,MAX(0,TODAY()-$C1759))</f>
        <v/>
      </c>
      <c r="AK1759" s="24">
        <f>IF($D1759="","",$D1759-$B1759)</f>
        <v/>
      </c>
      <c r="AL1759" s="18">
        <f>IF(OR($D1759="",$B1759=""),"",ROUND(N($R1759)*($D1759-$B1759),2))</f>
        <v/>
      </c>
      <c r="AM1759" s="17">
        <f>IF(AND($E1759="Saída",$W1759&gt;0,$C1759&lt;&gt;""),$C1759+ROW()/1000000,"")</f>
        <v/>
      </c>
      <c r="AN1759" s="17">
        <f>IF(AND($E1759="Entrada",$W1759&gt;0,$C1759&lt;&gt;""),$C1759+ROW()/1000000,"")</f>
        <v/>
      </c>
      <c r="AO1759" s="9">
        <f>IF(COUNTA($B1759:$R1759)=0,"",IF(AND($I1759&lt;&gt;"",COUNTIF(CLIENTES_NOMES,$I1759)+COUNTIF(CLIENTES_FANTASIA,$I1759)+COUNTIF(FORNECEDORES_NOMES,$I1759)+COUNTIF(FORNECEDORES_FANTASIA,$I1759)=0),"⚠ Cliente/Fornecedor não cadastrado",IF(AND($G1759&lt;&gt;"",COUNTIF(SUBCATEGORIAS_PLANO,$G1759)=0),"⚠ Subcategoria fora do plano de contas",IF(OR($Q1759="",N($Q1759)=0),"⚠ Valor previsto não informado",IF(AND(OR($X1759="Pago",$X1759="Recebido"),$D1759=""),"⚠ Status pago/recebido sem data",IF(AND($D1759&lt;&gt;"",N($R1759)=0),"⚠ Data de pagamento sem valor realizado",IF(AND(N($P1759)&gt;1,N($O1759)&gt;N($P1759)),"⚠ Nº da parcela maior que o total",IF(AND($C1759&lt;&gt;"",$B1759&lt;&gt;"",$C1759&lt;$B1759),"⚠ Vencimento anterior à competência","OK"))))))))</f>
        <v/>
      </c>
    </row>
    <row r="1760">
      <c r="A1760" s="14" t="n"/>
      <c r="B1760" s="36" t="n"/>
      <c r="C1760" s="36" t="n"/>
      <c r="D1760" s="36" t="n"/>
      <c r="E1760" s="14" t="n"/>
      <c r="F1760" s="29" t="n"/>
      <c r="G1760" s="29" t="n"/>
      <c r="H1760" s="29" t="n"/>
      <c r="I1760" s="29" t="n"/>
      <c r="J1760" s="29" t="n"/>
      <c r="K1760" s="14" t="n"/>
      <c r="L1760" s="29" t="n"/>
      <c r="M1760" s="14" t="n"/>
      <c r="N1760" s="29" t="n"/>
      <c r="O1760" s="13" t="n"/>
      <c r="P1760" s="13" t="n"/>
      <c r="Q1760" s="35" t="n"/>
      <c r="R1760" s="35" t="n"/>
      <c r="S1760" s="35" t="n"/>
      <c r="T1760" s="35" t="n"/>
      <c r="U1760" s="35" t="n"/>
      <c r="V1760" s="18">
        <f>IF(COUNTA($B1760:$R1760)=0,"",ROUND(N($R1760)+N($S1760)+N($T1760)-N($U1760),2))</f>
        <v/>
      </c>
      <c r="W1760" s="18">
        <f>IF(COUNTA($B1760:$R1760)=0,"",IF(OR($X1760="Pago",$X1760="Recebido",$X1760="Cancelado"),0,ROUND(N($Q1760)+N($S1760)+N($T1760)-N($U1760)-N($R1760),2)))</f>
        <v/>
      </c>
      <c r="X1760" s="14" t="n"/>
      <c r="Y1760" s="17">
        <f>IF(COUNTA($B1760:$R1760)=0,"",IF($X1760="Cancelado","Cancelado",IF(OR($X1760="Pago",$X1760="Recebido"),$X1760,IF(OR($X1760="Parcial",N($R1760)&gt;0),"Parcial",IF($C1760="","Sem vencimento",IF($C1760&lt;TODAY(),"Vencido",IF($C1760=TODAY(),"Vence hoje",IF($C1760&lt;=TODAY()+7,"Vence em 7 dias",IF($C1760&lt;=TODAY()+30,"Vence em 30 dias","Futuro")))))))))</f>
        <v/>
      </c>
      <c r="Z1760" s="24">
        <f>IF($B1760="","",MONTH($B1760))</f>
        <v/>
      </c>
      <c r="AA1760" s="24">
        <f>IF($B1760="","",YEAR($B1760))</f>
        <v/>
      </c>
      <c r="AB1760" s="24">
        <f>IF($B1760="","",ISOWEEKNUM($B1760))</f>
        <v/>
      </c>
      <c r="AC1760" s="17">
        <f>IF($B1760="","",CHOOSE(WEEKDAY($B1760,2),"Segunda","Terça","Quarta","Quinta","Sexta","Sábado","Domingo"))</f>
        <v/>
      </c>
      <c r="AD1760" s="17">
        <f>IF($B1760="","",TEXT($B1760,"MM/AAAA"))</f>
        <v/>
      </c>
      <c r="AE1760" s="18">
        <f>IF(COUNTA($B1760:$R1760)=0,"",IF($X1760="Cancelado",0,ROUND(N($Q1760)+N($S1760)+N($T1760)-N($U1760),2)))</f>
        <v/>
      </c>
      <c r="AF1760" s="9">
        <f>IF($G1760="","",IFERROR(INDEX(LINHAS_DRE_PLANO,MATCH($G1760,SUBCATEGORIAS_PLANO,0)),"Não classificado"))</f>
        <v/>
      </c>
      <c r="AG1760" s="17">
        <f>IF($G1760="","",IFERROR(INDEX(TIPOS_FLUXO_PLANO,MATCH($G1760,SUBCATEGORIAS_PLANO,0)),"Não classificado"))</f>
        <v/>
      </c>
      <c r="AH1760" s="9">
        <f>IF($G1760="","",IFERROR(INDEX(GRUPOS_PLANO,MATCH($G1760,SUBCATEGORIAS_PLANO,0)),"Não classificado"))</f>
        <v/>
      </c>
      <c r="AI1760" s="24">
        <f>IF(OR($C1760="",$X1760="Pago",$X1760="Recebido",$X1760="Cancelado"),"",$C1760-TODAY())</f>
        <v/>
      </c>
      <c r="AJ1760" s="24">
        <f>IF(OR($C1760="",$X1760="Pago",$X1760="Recebido",$X1760="Cancelado"),0,MAX(0,TODAY()-$C1760))</f>
        <v/>
      </c>
      <c r="AK1760" s="24">
        <f>IF($D1760="","",$D1760-$B1760)</f>
        <v/>
      </c>
      <c r="AL1760" s="18">
        <f>IF(OR($D1760="",$B1760=""),"",ROUND(N($R1760)*($D1760-$B1760),2))</f>
        <v/>
      </c>
      <c r="AM1760" s="17">
        <f>IF(AND($E1760="Saída",$W1760&gt;0,$C1760&lt;&gt;""),$C1760+ROW()/1000000,"")</f>
        <v/>
      </c>
      <c r="AN1760" s="17">
        <f>IF(AND($E1760="Entrada",$W1760&gt;0,$C1760&lt;&gt;""),$C1760+ROW()/1000000,"")</f>
        <v/>
      </c>
      <c r="AO1760" s="9">
        <f>IF(COUNTA($B1760:$R1760)=0,"",IF(AND($I1760&lt;&gt;"",COUNTIF(CLIENTES_NOMES,$I1760)+COUNTIF(CLIENTES_FANTASIA,$I1760)+COUNTIF(FORNECEDORES_NOMES,$I1760)+COUNTIF(FORNECEDORES_FANTASIA,$I1760)=0),"⚠ Cliente/Fornecedor não cadastrado",IF(AND($G1760&lt;&gt;"",COUNTIF(SUBCATEGORIAS_PLANO,$G1760)=0),"⚠ Subcategoria fora do plano de contas",IF(OR($Q1760="",N($Q1760)=0),"⚠ Valor previsto não informado",IF(AND(OR($X1760="Pago",$X1760="Recebido"),$D1760=""),"⚠ Status pago/recebido sem data",IF(AND($D1760&lt;&gt;"",N($R1760)=0),"⚠ Data de pagamento sem valor realizado",IF(AND(N($P1760)&gt;1,N($O1760)&gt;N($P1760)),"⚠ Nº da parcela maior que o total",IF(AND($C1760&lt;&gt;"",$B1760&lt;&gt;"",$C1760&lt;$B1760),"⚠ Vencimento anterior à competência","OK"))))))))</f>
        <v/>
      </c>
    </row>
    <row r="1761">
      <c r="A1761" s="14" t="n"/>
      <c r="B1761" s="36" t="n"/>
      <c r="C1761" s="36" t="n"/>
      <c r="D1761" s="36" t="n"/>
      <c r="E1761" s="14" t="n"/>
      <c r="F1761" s="29" t="n"/>
      <c r="G1761" s="29" t="n"/>
      <c r="H1761" s="29" t="n"/>
      <c r="I1761" s="29" t="n"/>
      <c r="J1761" s="29" t="n"/>
      <c r="K1761" s="14" t="n"/>
      <c r="L1761" s="29" t="n"/>
      <c r="M1761" s="14" t="n"/>
      <c r="N1761" s="29" t="n"/>
      <c r="O1761" s="13" t="n"/>
      <c r="P1761" s="13" t="n"/>
      <c r="Q1761" s="35" t="n"/>
      <c r="R1761" s="35" t="n"/>
      <c r="S1761" s="35" t="n"/>
      <c r="T1761" s="35" t="n"/>
      <c r="U1761" s="35" t="n"/>
      <c r="V1761" s="18">
        <f>IF(COUNTA($B1761:$R1761)=0,"",ROUND(N($R1761)+N($S1761)+N($T1761)-N($U1761),2))</f>
        <v/>
      </c>
      <c r="W1761" s="18">
        <f>IF(COUNTA($B1761:$R1761)=0,"",IF(OR($X1761="Pago",$X1761="Recebido",$X1761="Cancelado"),0,ROUND(N($Q1761)+N($S1761)+N($T1761)-N($U1761)-N($R1761),2)))</f>
        <v/>
      </c>
      <c r="X1761" s="14" t="n"/>
      <c r="Y1761" s="17">
        <f>IF(COUNTA($B1761:$R1761)=0,"",IF($X1761="Cancelado","Cancelado",IF(OR($X1761="Pago",$X1761="Recebido"),$X1761,IF(OR($X1761="Parcial",N($R1761)&gt;0),"Parcial",IF($C1761="","Sem vencimento",IF($C1761&lt;TODAY(),"Vencido",IF($C1761=TODAY(),"Vence hoje",IF($C1761&lt;=TODAY()+7,"Vence em 7 dias",IF($C1761&lt;=TODAY()+30,"Vence em 30 dias","Futuro")))))))))</f>
        <v/>
      </c>
      <c r="Z1761" s="24">
        <f>IF($B1761="","",MONTH($B1761))</f>
        <v/>
      </c>
      <c r="AA1761" s="24">
        <f>IF($B1761="","",YEAR($B1761))</f>
        <v/>
      </c>
      <c r="AB1761" s="24">
        <f>IF($B1761="","",ISOWEEKNUM($B1761))</f>
        <v/>
      </c>
      <c r="AC1761" s="17">
        <f>IF($B1761="","",CHOOSE(WEEKDAY($B1761,2),"Segunda","Terça","Quarta","Quinta","Sexta","Sábado","Domingo"))</f>
        <v/>
      </c>
      <c r="AD1761" s="17">
        <f>IF($B1761="","",TEXT($B1761,"MM/AAAA"))</f>
        <v/>
      </c>
      <c r="AE1761" s="18">
        <f>IF(COUNTA($B1761:$R1761)=0,"",IF($X1761="Cancelado",0,ROUND(N($Q1761)+N($S1761)+N($T1761)-N($U1761),2)))</f>
        <v/>
      </c>
      <c r="AF1761" s="9">
        <f>IF($G1761="","",IFERROR(INDEX(LINHAS_DRE_PLANO,MATCH($G1761,SUBCATEGORIAS_PLANO,0)),"Não classificado"))</f>
        <v/>
      </c>
      <c r="AG1761" s="17">
        <f>IF($G1761="","",IFERROR(INDEX(TIPOS_FLUXO_PLANO,MATCH($G1761,SUBCATEGORIAS_PLANO,0)),"Não classificado"))</f>
        <v/>
      </c>
      <c r="AH1761" s="9">
        <f>IF($G1761="","",IFERROR(INDEX(GRUPOS_PLANO,MATCH($G1761,SUBCATEGORIAS_PLANO,0)),"Não classificado"))</f>
        <v/>
      </c>
      <c r="AI1761" s="24">
        <f>IF(OR($C1761="",$X1761="Pago",$X1761="Recebido",$X1761="Cancelado"),"",$C1761-TODAY())</f>
        <v/>
      </c>
      <c r="AJ1761" s="24">
        <f>IF(OR($C1761="",$X1761="Pago",$X1761="Recebido",$X1761="Cancelado"),0,MAX(0,TODAY()-$C1761))</f>
        <v/>
      </c>
      <c r="AK1761" s="24">
        <f>IF($D1761="","",$D1761-$B1761)</f>
        <v/>
      </c>
      <c r="AL1761" s="18">
        <f>IF(OR($D1761="",$B1761=""),"",ROUND(N($R1761)*($D1761-$B1761),2))</f>
        <v/>
      </c>
      <c r="AM1761" s="17">
        <f>IF(AND($E1761="Saída",$W1761&gt;0,$C1761&lt;&gt;""),$C1761+ROW()/1000000,"")</f>
        <v/>
      </c>
      <c r="AN1761" s="17">
        <f>IF(AND($E1761="Entrada",$W1761&gt;0,$C1761&lt;&gt;""),$C1761+ROW()/1000000,"")</f>
        <v/>
      </c>
      <c r="AO1761" s="9">
        <f>IF(COUNTA($B1761:$R1761)=0,"",IF(AND($I1761&lt;&gt;"",COUNTIF(CLIENTES_NOMES,$I1761)+COUNTIF(CLIENTES_FANTASIA,$I1761)+COUNTIF(FORNECEDORES_NOMES,$I1761)+COUNTIF(FORNECEDORES_FANTASIA,$I1761)=0),"⚠ Cliente/Fornecedor não cadastrado",IF(AND($G1761&lt;&gt;"",COUNTIF(SUBCATEGORIAS_PLANO,$G1761)=0),"⚠ Subcategoria fora do plano de contas",IF(OR($Q1761="",N($Q1761)=0),"⚠ Valor previsto não informado",IF(AND(OR($X1761="Pago",$X1761="Recebido"),$D1761=""),"⚠ Status pago/recebido sem data",IF(AND($D1761&lt;&gt;"",N($R1761)=0),"⚠ Data de pagamento sem valor realizado",IF(AND(N($P1761)&gt;1,N($O1761)&gt;N($P1761)),"⚠ Nº da parcela maior que o total",IF(AND($C1761&lt;&gt;"",$B1761&lt;&gt;"",$C1761&lt;$B1761),"⚠ Vencimento anterior à competência","OK"))))))))</f>
        <v/>
      </c>
    </row>
    <row r="1762">
      <c r="A1762" s="14" t="n"/>
      <c r="B1762" s="36" t="n"/>
      <c r="C1762" s="36" t="n"/>
      <c r="D1762" s="36" t="n"/>
      <c r="E1762" s="14" t="n"/>
      <c r="F1762" s="29" t="n"/>
      <c r="G1762" s="29" t="n"/>
      <c r="H1762" s="29" t="n"/>
      <c r="I1762" s="29" t="n"/>
      <c r="J1762" s="29" t="n"/>
      <c r="K1762" s="14" t="n"/>
      <c r="L1762" s="29" t="n"/>
      <c r="M1762" s="14" t="n"/>
      <c r="N1762" s="29" t="n"/>
      <c r="O1762" s="13" t="n"/>
      <c r="P1762" s="13" t="n"/>
      <c r="Q1762" s="35" t="n"/>
      <c r="R1762" s="35" t="n"/>
      <c r="S1762" s="35" t="n"/>
      <c r="T1762" s="35" t="n"/>
      <c r="U1762" s="35" t="n"/>
      <c r="V1762" s="18">
        <f>IF(COUNTA($B1762:$R1762)=0,"",ROUND(N($R1762)+N($S1762)+N($T1762)-N($U1762),2))</f>
        <v/>
      </c>
      <c r="W1762" s="18">
        <f>IF(COUNTA($B1762:$R1762)=0,"",IF(OR($X1762="Pago",$X1762="Recebido",$X1762="Cancelado"),0,ROUND(N($Q1762)+N($S1762)+N($T1762)-N($U1762)-N($R1762),2)))</f>
        <v/>
      </c>
      <c r="X1762" s="14" t="n"/>
      <c r="Y1762" s="17">
        <f>IF(COUNTA($B1762:$R1762)=0,"",IF($X1762="Cancelado","Cancelado",IF(OR($X1762="Pago",$X1762="Recebido"),$X1762,IF(OR($X1762="Parcial",N($R1762)&gt;0),"Parcial",IF($C1762="","Sem vencimento",IF($C1762&lt;TODAY(),"Vencido",IF($C1762=TODAY(),"Vence hoje",IF($C1762&lt;=TODAY()+7,"Vence em 7 dias",IF($C1762&lt;=TODAY()+30,"Vence em 30 dias","Futuro")))))))))</f>
        <v/>
      </c>
      <c r="Z1762" s="24">
        <f>IF($B1762="","",MONTH($B1762))</f>
        <v/>
      </c>
      <c r="AA1762" s="24">
        <f>IF($B1762="","",YEAR($B1762))</f>
        <v/>
      </c>
      <c r="AB1762" s="24">
        <f>IF($B1762="","",ISOWEEKNUM($B1762))</f>
        <v/>
      </c>
      <c r="AC1762" s="17">
        <f>IF($B1762="","",CHOOSE(WEEKDAY($B1762,2),"Segunda","Terça","Quarta","Quinta","Sexta","Sábado","Domingo"))</f>
        <v/>
      </c>
      <c r="AD1762" s="17">
        <f>IF($B1762="","",TEXT($B1762,"MM/AAAA"))</f>
        <v/>
      </c>
      <c r="AE1762" s="18">
        <f>IF(COUNTA($B1762:$R1762)=0,"",IF($X1762="Cancelado",0,ROUND(N($Q1762)+N($S1762)+N($T1762)-N($U1762),2)))</f>
        <v/>
      </c>
      <c r="AF1762" s="9">
        <f>IF($G1762="","",IFERROR(INDEX(LINHAS_DRE_PLANO,MATCH($G1762,SUBCATEGORIAS_PLANO,0)),"Não classificado"))</f>
        <v/>
      </c>
      <c r="AG1762" s="17">
        <f>IF($G1762="","",IFERROR(INDEX(TIPOS_FLUXO_PLANO,MATCH($G1762,SUBCATEGORIAS_PLANO,0)),"Não classificado"))</f>
        <v/>
      </c>
      <c r="AH1762" s="9">
        <f>IF($G1762="","",IFERROR(INDEX(GRUPOS_PLANO,MATCH($G1762,SUBCATEGORIAS_PLANO,0)),"Não classificado"))</f>
        <v/>
      </c>
      <c r="AI1762" s="24">
        <f>IF(OR($C1762="",$X1762="Pago",$X1762="Recebido",$X1762="Cancelado"),"",$C1762-TODAY())</f>
        <v/>
      </c>
      <c r="AJ1762" s="24">
        <f>IF(OR($C1762="",$X1762="Pago",$X1762="Recebido",$X1762="Cancelado"),0,MAX(0,TODAY()-$C1762))</f>
        <v/>
      </c>
      <c r="AK1762" s="24">
        <f>IF($D1762="","",$D1762-$B1762)</f>
        <v/>
      </c>
      <c r="AL1762" s="18">
        <f>IF(OR($D1762="",$B1762=""),"",ROUND(N($R1762)*($D1762-$B1762),2))</f>
        <v/>
      </c>
      <c r="AM1762" s="17">
        <f>IF(AND($E1762="Saída",$W1762&gt;0,$C1762&lt;&gt;""),$C1762+ROW()/1000000,"")</f>
        <v/>
      </c>
      <c r="AN1762" s="17">
        <f>IF(AND($E1762="Entrada",$W1762&gt;0,$C1762&lt;&gt;""),$C1762+ROW()/1000000,"")</f>
        <v/>
      </c>
      <c r="AO1762" s="9">
        <f>IF(COUNTA($B1762:$R1762)=0,"",IF(AND($I1762&lt;&gt;"",COUNTIF(CLIENTES_NOMES,$I1762)+COUNTIF(CLIENTES_FANTASIA,$I1762)+COUNTIF(FORNECEDORES_NOMES,$I1762)+COUNTIF(FORNECEDORES_FANTASIA,$I1762)=0),"⚠ Cliente/Fornecedor não cadastrado",IF(AND($G1762&lt;&gt;"",COUNTIF(SUBCATEGORIAS_PLANO,$G1762)=0),"⚠ Subcategoria fora do plano de contas",IF(OR($Q1762="",N($Q1762)=0),"⚠ Valor previsto não informado",IF(AND(OR($X1762="Pago",$X1762="Recebido"),$D1762=""),"⚠ Status pago/recebido sem data",IF(AND($D1762&lt;&gt;"",N($R1762)=0),"⚠ Data de pagamento sem valor realizado",IF(AND(N($P1762)&gt;1,N($O1762)&gt;N($P1762)),"⚠ Nº da parcela maior que o total",IF(AND($C1762&lt;&gt;"",$B1762&lt;&gt;"",$C1762&lt;$B1762),"⚠ Vencimento anterior à competência","OK"))))))))</f>
        <v/>
      </c>
    </row>
    <row r="1763">
      <c r="A1763" s="14" t="n"/>
      <c r="B1763" s="36" t="n"/>
      <c r="C1763" s="36" t="n"/>
      <c r="D1763" s="36" t="n"/>
      <c r="E1763" s="14" t="n"/>
      <c r="F1763" s="29" t="n"/>
      <c r="G1763" s="29" t="n"/>
      <c r="H1763" s="29" t="n"/>
      <c r="I1763" s="29" t="n"/>
      <c r="J1763" s="29" t="n"/>
      <c r="K1763" s="14" t="n"/>
      <c r="L1763" s="29" t="n"/>
      <c r="M1763" s="14" t="n"/>
      <c r="N1763" s="29" t="n"/>
      <c r="O1763" s="13" t="n"/>
      <c r="P1763" s="13" t="n"/>
      <c r="Q1763" s="35" t="n"/>
      <c r="R1763" s="35" t="n"/>
      <c r="S1763" s="35" t="n"/>
      <c r="T1763" s="35" t="n"/>
      <c r="U1763" s="35" t="n"/>
      <c r="V1763" s="18">
        <f>IF(COUNTA($B1763:$R1763)=0,"",ROUND(N($R1763)+N($S1763)+N($T1763)-N($U1763),2))</f>
        <v/>
      </c>
      <c r="W1763" s="18">
        <f>IF(COUNTA($B1763:$R1763)=0,"",IF(OR($X1763="Pago",$X1763="Recebido",$X1763="Cancelado"),0,ROUND(N($Q1763)+N($S1763)+N($T1763)-N($U1763)-N($R1763),2)))</f>
        <v/>
      </c>
      <c r="X1763" s="14" t="n"/>
      <c r="Y1763" s="17">
        <f>IF(COUNTA($B1763:$R1763)=0,"",IF($X1763="Cancelado","Cancelado",IF(OR($X1763="Pago",$X1763="Recebido"),$X1763,IF(OR($X1763="Parcial",N($R1763)&gt;0),"Parcial",IF($C1763="","Sem vencimento",IF($C1763&lt;TODAY(),"Vencido",IF($C1763=TODAY(),"Vence hoje",IF($C1763&lt;=TODAY()+7,"Vence em 7 dias",IF($C1763&lt;=TODAY()+30,"Vence em 30 dias","Futuro")))))))))</f>
        <v/>
      </c>
      <c r="Z1763" s="24">
        <f>IF($B1763="","",MONTH($B1763))</f>
        <v/>
      </c>
      <c r="AA1763" s="24">
        <f>IF($B1763="","",YEAR($B1763))</f>
        <v/>
      </c>
      <c r="AB1763" s="24">
        <f>IF($B1763="","",ISOWEEKNUM($B1763))</f>
        <v/>
      </c>
      <c r="AC1763" s="17">
        <f>IF($B1763="","",CHOOSE(WEEKDAY($B1763,2),"Segunda","Terça","Quarta","Quinta","Sexta","Sábado","Domingo"))</f>
        <v/>
      </c>
      <c r="AD1763" s="17">
        <f>IF($B1763="","",TEXT($B1763,"MM/AAAA"))</f>
        <v/>
      </c>
      <c r="AE1763" s="18">
        <f>IF(COUNTA($B1763:$R1763)=0,"",IF($X1763="Cancelado",0,ROUND(N($Q1763)+N($S1763)+N($T1763)-N($U1763),2)))</f>
        <v/>
      </c>
      <c r="AF1763" s="9">
        <f>IF($G1763="","",IFERROR(INDEX(LINHAS_DRE_PLANO,MATCH($G1763,SUBCATEGORIAS_PLANO,0)),"Não classificado"))</f>
        <v/>
      </c>
      <c r="AG1763" s="17">
        <f>IF($G1763="","",IFERROR(INDEX(TIPOS_FLUXO_PLANO,MATCH($G1763,SUBCATEGORIAS_PLANO,0)),"Não classificado"))</f>
        <v/>
      </c>
      <c r="AH1763" s="9">
        <f>IF($G1763="","",IFERROR(INDEX(GRUPOS_PLANO,MATCH($G1763,SUBCATEGORIAS_PLANO,0)),"Não classificado"))</f>
        <v/>
      </c>
      <c r="AI1763" s="24">
        <f>IF(OR($C1763="",$X1763="Pago",$X1763="Recebido",$X1763="Cancelado"),"",$C1763-TODAY())</f>
        <v/>
      </c>
      <c r="AJ1763" s="24">
        <f>IF(OR($C1763="",$X1763="Pago",$X1763="Recebido",$X1763="Cancelado"),0,MAX(0,TODAY()-$C1763))</f>
        <v/>
      </c>
      <c r="AK1763" s="24">
        <f>IF($D1763="","",$D1763-$B1763)</f>
        <v/>
      </c>
      <c r="AL1763" s="18">
        <f>IF(OR($D1763="",$B1763=""),"",ROUND(N($R1763)*($D1763-$B1763),2))</f>
        <v/>
      </c>
      <c r="AM1763" s="17">
        <f>IF(AND($E1763="Saída",$W1763&gt;0,$C1763&lt;&gt;""),$C1763+ROW()/1000000,"")</f>
        <v/>
      </c>
      <c r="AN1763" s="17">
        <f>IF(AND($E1763="Entrada",$W1763&gt;0,$C1763&lt;&gt;""),$C1763+ROW()/1000000,"")</f>
        <v/>
      </c>
      <c r="AO1763" s="9">
        <f>IF(COUNTA($B1763:$R1763)=0,"",IF(AND($I1763&lt;&gt;"",COUNTIF(CLIENTES_NOMES,$I1763)+COUNTIF(CLIENTES_FANTASIA,$I1763)+COUNTIF(FORNECEDORES_NOMES,$I1763)+COUNTIF(FORNECEDORES_FANTASIA,$I1763)=0),"⚠ Cliente/Fornecedor não cadastrado",IF(AND($G1763&lt;&gt;"",COUNTIF(SUBCATEGORIAS_PLANO,$G1763)=0),"⚠ Subcategoria fora do plano de contas",IF(OR($Q1763="",N($Q1763)=0),"⚠ Valor previsto não informado",IF(AND(OR($X1763="Pago",$X1763="Recebido"),$D1763=""),"⚠ Status pago/recebido sem data",IF(AND($D1763&lt;&gt;"",N($R1763)=0),"⚠ Data de pagamento sem valor realizado",IF(AND(N($P1763)&gt;1,N($O1763)&gt;N($P1763)),"⚠ Nº da parcela maior que o total",IF(AND($C1763&lt;&gt;"",$B1763&lt;&gt;"",$C1763&lt;$B1763),"⚠ Vencimento anterior à competência","OK"))))))))</f>
        <v/>
      </c>
    </row>
    <row r="1764">
      <c r="A1764" s="14" t="n"/>
      <c r="B1764" s="36" t="n"/>
      <c r="C1764" s="36" t="n"/>
      <c r="D1764" s="36" t="n"/>
      <c r="E1764" s="14" t="n"/>
      <c r="F1764" s="29" t="n"/>
      <c r="G1764" s="29" t="n"/>
      <c r="H1764" s="29" t="n"/>
      <c r="I1764" s="29" t="n"/>
      <c r="J1764" s="29" t="n"/>
      <c r="K1764" s="14" t="n"/>
      <c r="L1764" s="29" t="n"/>
      <c r="M1764" s="14" t="n"/>
      <c r="N1764" s="29" t="n"/>
      <c r="O1764" s="13" t="n"/>
      <c r="P1764" s="13" t="n"/>
      <c r="Q1764" s="35" t="n"/>
      <c r="R1764" s="35" t="n"/>
      <c r="S1764" s="35" t="n"/>
      <c r="T1764" s="35" t="n"/>
      <c r="U1764" s="35" t="n"/>
      <c r="V1764" s="18">
        <f>IF(COUNTA($B1764:$R1764)=0,"",ROUND(N($R1764)+N($S1764)+N($T1764)-N($U1764),2))</f>
        <v/>
      </c>
      <c r="W1764" s="18">
        <f>IF(COUNTA($B1764:$R1764)=0,"",IF(OR($X1764="Pago",$X1764="Recebido",$X1764="Cancelado"),0,ROUND(N($Q1764)+N($S1764)+N($T1764)-N($U1764)-N($R1764),2)))</f>
        <v/>
      </c>
      <c r="X1764" s="14" t="n"/>
      <c r="Y1764" s="17">
        <f>IF(COUNTA($B1764:$R1764)=0,"",IF($X1764="Cancelado","Cancelado",IF(OR($X1764="Pago",$X1764="Recebido"),$X1764,IF(OR($X1764="Parcial",N($R1764)&gt;0),"Parcial",IF($C1764="","Sem vencimento",IF($C1764&lt;TODAY(),"Vencido",IF($C1764=TODAY(),"Vence hoje",IF($C1764&lt;=TODAY()+7,"Vence em 7 dias",IF($C1764&lt;=TODAY()+30,"Vence em 30 dias","Futuro")))))))))</f>
        <v/>
      </c>
      <c r="Z1764" s="24">
        <f>IF($B1764="","",MONTH($B1764))</f>
        <v/>
      </c>
      <c r="AA1764" s="24">
        <f>IF($B1764="","",YEAR($B1764))</f>
        <v/>
      </c>
      <c r="AB1764" s="24">
        <f>IF($B1764="","",ISOWEEKNUM($B1764))</f>
        <v/>
      </c>
      <c r="AC1764" s="17">
        <f>IF($B1764="","",CHOOSE(WEEKDAY($B1764,2),"Segunda","Terça","Quarta","Quinta","Sexta","Sábado","Domingo"))</f>
        <v/>
      </c>
      <c r="AD1764" s="17">
        <f>IF($B1764="","",TEXT($B1764,"MM/AAAA"))</f>
        <v/>
      </c>
      <c r="AE1764" s="18">
        <f>IF(COUNTA($B1764:$R1764)=0,"",IF($X1764="Cancelado",0,ROUND(N($Q1764)+N($S1764)+N($T1764)-N($U1764),2)))</f>
        <v/>
      </c>
      <c r="AF1764" s="9">
        <f>IF($G1764="","",IFERROR(INDEX(LINHAS_DRE_PLANO,MATCH($G1764,SUBCATEGORIAS_PLANO,0)),"Não classificado"))</f>
        <v/>
      </c>
      <c r="AG1764" s="17">
        <f>IF($G1764="","",IFERROR(INDEX(TIPOS_FLUXO_PLANO,MATCH($G1764,SUBCATEGORIAS_PLANO,0)),"Não classificado"))</f>
        <v/>
      </c>
      <c r="AH1764" s="9">
        <f>IF($G1764="","",IFERROR(INDEX(GRUPOS_PLANO,MATCH($G1764,SUBCATEGORIAS_PLANO,0)),"Não classificado"))</f>
        <v/>
      </c>
      <c r="AI1764" s="24">
        <f>IF(OR($C1764="",$X1764="Pago",$X1764="Recebido",$X1764="Cancelado"),"",$C1764-TODAY())</f>
        <v/>
      </c>
      <c r="AJ1764" s="24">
        <f>IF(OR($C1764="",$X1764="Pago",$X1764="Recebido",$X1764="Cancelado"),0,MAX(0,TODAY()-$C1764))</f>
        <v/>
      </c>
      <c r="AK1764" s="24">
        <f>IF($D1764="","",$D1764-$B1764)</f>
        <v/>
      </c>
      <c r="AL1764" s="18">
        <f>IF(OR($D1764="",$B1764=""),"",ROUND(N($R1764)*($D1764-$B1764),2))</f>
        <v/>
      </c>
      <c r="AM1764" s="17">
        <f>IF(AND($E1764="Saída",$W1764&gt;0,$C1764&lt;&gt;""),$C1764+ROW()/1000000,"")</f>
        <v/>
      </c>
      <c r="AN1764" s="17">
        <f>IF(AND($E1764="Entrada",$W1764&gt;0,$C1764&lt;&gt;""),$C1764+ROW()/1000000,"")</f>
        <v/>
      </c>
      <c r="AO1764" s="9">
        <f>IF(COUNTA($B1764:$R1764)=0,"",IF(AND($I1764&lt;&gt;"",COUNTIF(CLIENTES_NOMES,$I1764)+COUNTIF(CLIENTES_FANTASIA,$I1764)+COUNTIF(FORNECEDORES_NOMES,$I1764)+COUNTIF(FORNECEDORES_FANTASIA,$I1764)=0),"⚠ Cliente/Fornecedor não cadastrado",IF(AND($G1764&lt;&gt;"",COUNTIF(SUBCATEGORIAS_PLANO,$G1764)=0),"⚠ Subcategoria fora do plano de contas",IF(OR($Q1764="",N($Q1764)=0),"⚠ Valor previsto não informado",IF(AND(OR($X1764="Pago",$X1764="Recebido"),$D1764=""),"⚠ Status pago/recebido sem data",IF(AND($D1764&lt;&gt;"",N($R1764)=0),"⚠ Data de pagamento sem valor realizado",IF(AND(N($P1764)&gt;1,N($O1764)&gt;N($P1764)),"⚠ Nº da parcela maior que o total",IF(AND($C1764&lt;&gt;"",$B1764&lt;&gt;"",$C1764&lt;$B1764),"⚠ Vencimento anterior à competência","OK"))))))))</f>
        <v/>
      </c>
    </row>
    <row r="1765">
      <c r="A1765" s="14" t="n"/>
      <c r="B1765" s="36" t="n"/>
      <c r="C1765" s="36" t="n"/>
      <c r="D1765" s="36" t="n"/>
      <c r="E1765" s="14" t="n"/>
      <c r="F1765" s="29" t="n"/>
      <c r="G1765" s="29" t="n"/>
      <c r="H1765" s="29" t="n"/>
      <c r="I1765" s="29" t="n"/>
      <c r="J1765" s="29" t="n"/>
      <c r="K1765" s="14" t="n"/>
      <c r="L1765" s="29" t="n"/>
      <c r="M1765" s="14" t="n"/>
      <c r="N1765" s="29" t="n"/>
      <c r="O1765" s="13" t="n"/>
      <c r="P1765" s="13" t="n"/>
      <c r="Q1765" s="35" t="n"/>
      <c r="R1765" s="35" t="n"/>
      <c r="S1765" s="35" t="n"/>
      <c r="T1765" s="35" t="n"/>
      <c r="U1765" s="35" t="n"/>
      <c r="V1765" s="18">
        <f>IF(COUNTA($B1765:$R1765)=0,"",ROUND(N($R1765)+N($S1765)+N($T1765)-N($U1765),2))</f>
        <v/>
      </c>
      <c r="W1765" s="18">
        <f>IF(COUNTA($B1765:$R1765)=0,"",IF(OR($X1765="Pago",$X1765="Recebido",$X1765="Cancelado"),0,ROUND(N($Q1765)+N($S1765)+N($T1765)-N($U1765)-N($R1765),2)))</f>
        <v/>
      </c>
      <c r="X1765" s="14" t="n"/>
      <c r="Y1765" s="17">
        <f>IF(COUNTA($B1765:$R1765)=0,"",IF($X1765="Cancelado","Cancelado",IF(OR($X1765="Pago",$X1765="Recebido"),$X1765,IF(OR($X1765="Parcial",N($R1765)&gt;0),"Parcial",IF($C1765="","Sem vencimento",IF($C1765&lt;TODAY(),"Vencido",IF($C1765=TODAY(),"Vence hoje",IF($C1765&lt;=TODAY()+7,"Vence em 7 dias",IF($C1765&lt;=TODAY()+30,"Vence em 30 dias","Futuro")))))))))</f>
        <v/>
      </c>
      <c r="Z1765" s="24">
        <f>IF($B1765="","",MONTH($B1765))</f>
        <v/>
      </c>
      <c r="AA1765" s="24">
        <f>IF($B1765="","",YEAR($B1765))</f>
        <v/>
      </c>
      <c r="AB1765" s="24">
        <f>IF($B1765="","",ISOWEEKNUM($B1765))</f>
        <v/>
      </c>
      <c r="AC1765" s="17">
        <f>IF($B1765="","",CHOOSE(WEEKDAY($B1765,2),"Segunda","Terça","Quarta","Quinta","Sexta","Sábado","Domingo"))</f>
        <v/>
      </c>
      <c r="AD1765" s="17">
        <f>IF($B1765="","",TEXT($B1765,"MM/AAAA"))</f>
        <v/>
      </c>
      <c r="AE1765" s="18">
        <f>IF(COUNTA($B1765:$R1765)=0,"",IF($X1765="Cancelado",0,ROUND(N($Q1765)+N($S1765)+N($T1765)-N($U1765),2)))</f>
        <v/>
      </c>
      <c r="AF1765" s="9">
        <f>IF($G1765="","",IFERROR(INDEX(LINHAS_DRE_PLANO,MATCH($G1765,SUBCATEGORIAS_PLANO,0)),"Não classificado"))</f>
        <v/>
      </c>
      <c r="AG1765" s="17">
        <f>IF($G1765="","",IFERROR(INDEX(TIPOS_FLUXO_PLANO,MATCH($G1765,SUBCATEGORIAS_PLANO,0)),"Não classificado"))</f>
        <v/>
      </c>
      <c r="AH1765" s="9">
        <f>IF($G1765="","",IFERROR(INDEX(GRUPOS_PLANO,MATCH($G1765,SUBCATEGORIAS_PLANO,0)),"Não classificado"))</f>
        <v/>
      </c>
      <c r="AI1765" s="24">
        <f>IF(OR($C1765="",$X1765="Pago",$X1765="Recebido",$X1765="Cancelado"),"",$C1765-TODAY())</f>
        <v/>
      </c>
      <c r="AJ1765" s="24">
        <f>IF(OR($C1765="",$X1765="Pago",$X1765="Recebido",$X1765="Cancelado"),0,MAX(0,TODAY()-$C1765))</f>
        <v/>
      </c>
      <c r="AK1765" s="24">
        <f>IF($D1765="","",$D1765-$B1765)</f>
        <v/>
      </c>
      <c r="AL1765" s="18">
        <f>IF(OR($D1765="",$B1765=""),"",ROUND(N($R1765)*($D1765-$B1765),2))</f>
        <v/>
      </c>
      <c r="AM1765" s="17">
        <f>IF(AND($E1765="Saída",$W1765&gt;0,$C1765&lt;&gt;""),$C1765+ROW()/1000000,"")</f>
        <v/>
      </c>
      <c r="AN1765" s="17">
        <f>IF(AND($E1765="Entrada",$W1765&gt;0,$C1765&lt;&gt;""),$C1765+ROW()/1000000,"")</f>
        <v/>
      </c>
      <c r="AO1765" s="9">
        <f>IF(COUNTA($B1765:$R1765)=0,"",IF(AND($I1765&lt;&gt;"",COUNTIF(CLIENTES_NOMES,$I1765)+COUNTIF(CLIENTES_FANTASIA,$I1765)+COUNTIF(FORNECEDORES_NOMES,$I1765)+COUNTIF(FORNECEDORES_FANTASIA,$I1765)=0),"⚠ Cliente/Fornecedor não cadastrado",IF(AND($G1765&lt;&gt;"",COUNTIF(SUBCATEGORIAS_PLANO,$G1765)=0),"⚠ Subcategoria fora do plano de contas",IF(OR($Q1765="",N($Q1765)=0),"⚠ Valor previsto não informado",IF(AND(OR($X1765="Pago",$X1765="Recebido"),$D1765=""),"⚠ Status pago/recebido sem data",IF(AND($D1765&lt;&gt;"",N($R1765)=0),"⚠ Data de pagamento sem valor realizado",IF(AND(N($P1765)&gt;1,N($O1765)&gt;N($P1765)),"⚠ Nº da parcela maior que o total",IF(AND($C1765&lt;&gt;"",$B1765&lt;&gt;"",$C1765&lt;$B1765),"⚠ Vencimento anterior à competência","OK"))))))))</f>
        <v/>
      </c>
    </row>
    <row r="1766">
      <c r="A1766" s="14" t="n"/>
      <c r="B1766" s="36" t="n"/>
      <c r="C1766" s="36" t="n"/>
      <c r="D1766" s="36" t="n"/>
      <c r="E1766" s="14" t="n"/>
      <c r="F1766" s="29" t="n"/>
      <c r="G1766" s="29" t="n"/>
      <c r="H1766" s="29" t="n"/>
      <c r="I1766" s="29" t="n"/>
      <c r="J1766" s="29" t="n"/>
      <c r="K1766" s="14" t="n"/>
      <c r="L1766" s="29" t="n"/>
      <c r="M1766" s="14" t="n"/>
      <c r="N1766" s="29" t="n"/>
      <c r="O1766" s="13" t="n"/>
      <c r="P1766" s="13" t="n"/>
      <c r="Q1766" s="35" t="n"/>
      <c r="R1766" s="35" t="n"/>
      <c r="S1766" s="35" t="n"/>
      <c r="T1766" s="35" t="n"/>
      <c r="U1766" s="35" t="n"/>
      <c r="V1766" s="18">
        <f>IF(COUNTA($B1766:$R1766)=0,"",ROUND(N($R1766)+N($S1766)+N($T1766)-N($U1766),2))</f>
        <v/>
      </c>
      <c r="W1766" s="18">
        <f>IF(COUNTA($B1766:$R1766)=0,"",IF(OR($X1766="Pago",$X1766="Recebido",$X1766="Cancelado"),0,ROUND(N($Q1766)+N($S1766)+N($T1766)-N($U1766)-N($R1766),2)))</f>
        <v/>
      </c>
      <c r="X1766" s="14" t="n"/>
      <c r="Y1766" s="17">
        <f>IF(COUNTA($B1766:$R1766)=0,"",IF($X1766="Cancelado","Cancelado",IF(OR($X1766="Pago",$X1766="Recebido"),$X1766,IF(OR($X1766="Parcial",N($R1766)&gt;0),"Parcial",IF($C1766="","Sem vencimento",IF($C1766&lt;TODAY(),"Vencido",IF($C1766=TODAY(),"Vence hoje",IF($C1766&lt;=TODAY()+7,"Vence em 7 dias",IF($C1766&lt;=TODAY()+30,"Vence em 30 dias","Futuro")))))))))</f>
        <v/>
      </c>
      <c r="Z1766" s="24">
        <f>IF($B1766="","",MONTH($B1766))</f>
        <v/>
      </c>
      <c r="AA1766" s="24">
        <f>IF($B1766="","",YEAR($B1766))</f>
        <v/>
      </c>
      <c r="AB1766" s="24">
        <f>IF($B1766="","",ISOWEEKNUM($B1766))</f>
        <v/>
      </c>
      <c r="AC1766" s="17">
        <f>IF($B1766="","",CHOOSE(WEEKDAY($B1766,2),"Segunda","Terça","Quarta","Quinta","Sexta","Sábado","Domingo"))</f>
        <v/>
      </c>
      <c r="AD1766" s="17">
        <f>IF($B1766="","",TEXT($B1766,"MM/AAAA"))</f>
        <v/>
      </c>
      <c r="AE1766" s="18">
        <f>IF(COUNTA($B1766:$R1766)=0,"",IF($X1766="Cancelado",0,ROUND(N($Q1766)+N($S1766)+N($T1766)-N($U1766),2)))</f>
        <v/>
      </c>
      <c r="AF1766" s="9">
        <f>IF($G1766="","",IFERROR(INDEX(LINHAS_DRE_PLANO,MATCH($G1766,SUBCATEGORIAS_PLANO,0)),"Não classificado"))</f>
        <v/>
      </c>
      <c r="AG1766" s="17">
        <f>IF($G1766="","",IFERROR(INDEX(TIPOS_FLUXO_PLANO,MATCH($G1766,SUBCATEGORIAS_PLANO,0)),"Não classificado"))</f>
        <v/>
      </c>
      <c r="AH1766" s="9">
        <f>IF($G1766="","",IFERROR(INDEX(GRUPOS_PLANO,MATCH($G1766,SUBCATEGORIAS_PLANO,0)),"Não classificado"))</f>
        <v/>
      </c>
      <c r="AI1766" s="24">
        <f>IF(OR($C1766="",$X1766="Pago",$X1766="Recebido",$X1766="Cancelado"),"",$C1766-TODAY())</f>
        <v/>
      </c>
      <c r="AJ1766" s="24">
        <f>IF(OR($C1766="",$X1766="Pago",$X1766="Recebido",$X1766="Cancelado"),0,MAX(0,TODAY()-$C1766))</f>
        <v/>
      </c>
      <c r="AK1766" s="24">
        <f>IF($D1766="","",$D1766-$B1766)</f>
        <v/>
      </c>
      <c r="AL1766" s="18">
        <f>IF(OR($D1766="",$B1766=""),"",ROUND(N($R1766)*($D1766-$B1766),2))</f>
        <v/>
      </c>
      <c r="AM1766" s="17">
        <f>IF(AND($E1766="Saída",$W1766&gt;0,$C1766&lt;&gt;""),$C1766+ROW()/1000000,"")</f>
        <v/>
      </c>
      <c r="AN1766" s="17">
        <f>IF(AND($E1766="Entrada",$W1766&gt;0,$C1766&lt;&gt;""),$C1766+ROW()/1000000,"")</f>
        <v/>
      </c>
      <c r="AO1766" s="9">
        <f>IF(COUNTA($B1766:$R1766)=0,"",IF(AND($I1766&lt;&gt;"",COUNTIF(CLIENTES_NOMES,$I1766)+COUNTIF(CLIENTES_FANTASIA,$I1766)+COUNTIF(FORNECEDORES_NOMES,$I1766)+COUNTIF(FORNECEDORES_FANTASIA,$I1766)=0),"⚠ Cliente/Fornecedor não cadastrado",IF(AND($G1766&lt;&gt;"",COUNTIF(SUBCATEGORIAS_PLANO,$G1766)=0),"⚠ Subcategoria fora do plano de contas",IF(OR($Q1766="",N($Q1766)=0),"⚠ Valor previsto não informado",IF(AND(OR($X1766="Pago",$X1766="Recebido"),$D1766=""),"⚠ Status pago/recebido sem data",IF(AND($D1766&lt;&gt;"",N($R1766)=0),"⚠ Data de pagamento sem valor realizado",IF(AND(N($P1766)&gt;1,N($O1766)&gt;N($P1766)),"⚠ Nº da parcela maior que o total",IF(AND($C1766&lt;&gt;"",$B1766&lt;&gt;"",$C1766&lt;$B1766),"⚠ Vencimento anterior à competência","OK"))))))))</f>
        <v/>
      </c>
    </row>
    <row r="1767">
      <c r="A1767" s="14" t="n"/>
      <c r="B1767" s="36" t="n"/>
      <c r="C1767" s="36" t="n"/>
      <c r="D1767" s="36" t="n"/>
      <c r="E1767" s="14" t="n"/>
      <c r="F1767" s="29" t="n"/>
      <c r="G1767" s="29" t="n"/>
      <c r="H1767" s="29" t="n"/>
      <c r="I1767" s="29" t="n"/>
      <c r="J1767" s="29" t="n"/>
      <c r="K1767" s="14" t="n"/>
      <c r="L1767" s="29" t="n"/>
      <c r="M1767" s="14" t="n"/>
      <c r="N1767" s="29" t="n"/>
      <c r="O1767" s="13" t="n"/>
      <c r="P1767" s="13" t="n"/>
      <c r="Q1767" s="35" t="n"/>
      <c r="R1767" s="35" t="n"/>
      <c r="S1767" s="35" t="n"/>
      <c r="T1767" s="35" t="n"/>
      <c r="U1767" s="35" t="n"/>
      <c r="V1767" s="18">
        <f>IF(COUNTA($B1767:$R1767)=0,"",ROUND(N($R1767)+N($S1767)+N($T1767)-N($U1767),2))</f>
        <v/>
      </c>
      <c r="W1767" s="18">
        <f>IF(COUNTA($B1767:$R1767)=0,"",IF(OR($X1767="Pago",$X1767="Recebido",$X1767="Cancelado"),0,ROUND(N($Q1767)+N($S1767)+N($T1767)-N($U1767)-N($R1767),2)))</f>
        <v/>
      </c>
      <c r="X1767" s="14" t="n"/>
      <c r="Y1767" s="17">
        <f>IF(COUNTA($B1767:$R1767)=0,"",IF($X1767="Cancelado","Cancelado",IF(OR($X1767="Pago",$X1767="Recebido"),$X1767,IF(OR($X1767="Parcial",N($R1767)&gt;0),"Parcial",IF($C1767="","Sem vencimento",IF($C1767&lt;TODAY(),"Vencido",IF($C1767=TODAY(),"Vence hoje",IF($C1767&lt;=TODAY()+7,"Vence em 7 dias",IF($C1767&lt;=TODAY()+30,"Vence em 30 dias","Futuro")))))))))</f>
        <v/>
      </c>
      <c r="Z1767" s="24">
        <f>IF($B1767="","",MONTH($B1767))</f>
        <v/>
      </c>
      <c r="AA1767" s="24">
        <f>IF($B1767="","",YEAR($B1767))</f>
        <v/>
      </c>
      <c r="AB1767" s="24">
        <f>IF($B1767="","",ISOWEEKNUM($B1767))</f>
        <v/>
      </c>
      <c r="AC1767" s="17">
        <f>IF($B1767="","",CHOOSE(WEEKDAY($B1767,2),"Segunda","Terça","Quarta","Quinta","Sexta","Sábado","Domingo"))</f>
        <v/>
      </c>
      <c r="AD1767" s="17">
        <f>IF($B1767="","",TEXT($B1767,"MM/AAAA"))</f>
        <v/>
      </c>
      <c r="AE1767" s="18">
        <f>IF(COUNTA($B1767:$R1767)=0,"",IF($X1767="Cancelado",0,ROUND(N($Q1767)+N($S1767)+N($T1767)-N($U1767),2)))</f>
        <v/>
      </c>
      <c r="AF1767" s="9">
        <f>IF($G1767="","",IFERROR(INDEX(LINHAS_DRE_PLANO,MATCH($G1767,SUBCATEGORIAS_PLANO,0)),"Não classificado"))</f>
        <v/>
      </c>
      <c r="AG1767" s="17">
        <f>IF($G1767="","",IFERROR(INDEX(TIPOS_FLUXO_PLANO,MATCH($G1767,SUBCATEGORIAS_PLANO,0)),"Não classificado"))</f>
        <v/>
      </c>
      <c r="AH1767" s="9">
        <f>IF($G1767="","",IFERROR(INDEX(GRUPOS_PLANO,MATCH($G1767,SUBCATEGORIAS_PLANO,0)),"Não classificado"))</f>
        <v/>
      </c>
      <c r="AI1767" s="24">
        <f>IF(OR($C1767="",$X1767="Pago",$X1767="Recebido",$X1767="Cancelado"),"",$C1767-TODAY())</f>
        <v/>
      </c>
      <c r="AJ1767" s="24">
        <f>IF(OR($C1767="",$X1767="Pago",$X1767="Recebido",$X1767="Cancelado"),0,MAX(0,TODAY()-$C1767))</f>
        <v/>
      </c>
      <c r="AK1767" s="24">
        <f>IF($D1767="","",$D1767-$B1767)</f>
        <v/>
      </c>
      <c r="AL1767" s="18">
        <f>IF(OR($D1767="",$B1767=""),"",ROUND(N($R1767)*($D1767-$B1767),2))</f>
        <v/>
      </c>
      <c r="AM1767" s="17">
        <f>IF(AND($E1767="Saída",$W1767&gt;0,$C1767&lt;&gt;""),$C1767+ROW()/1000000,"")</f>
        <v/>
      </c>
      <c r="AN1767" s="17">
        <f>IF(AND($E1767="Entrada",$W1767&gt;0,$C1767&lt;&gt;""),$C1767+ROW()/1000000,"")</f>
        <v/>
      </c>
      <c r="AO1767" s="9">
        <f>IF(COUNTA($B1767:$R1767)=0,"",IF(AND($I1767&lt;&gt;"",COUNTIF(CLIENTES_NOMES,$I1767)+COUNTIF(CLIENTES_FANTASIA,$I1767)+COUNTIF(FORNECEDORES_NOMES,$I1767)+COUNTIF(FORNECEDORES_FANTASIA,$I1767)=0),"⚠ Cliente/Fornecedor não cadastrado",IF(AND($G1767&lt;&gt;"",COUNTIF(SUBCATEGORIAS_PLANO,$G1767)=0),"⚠ Subcategoria fora do plano de contas",IF(OR($Q1767="",N($Q1767)=0),"⚠ Valor previsto não informado",IF(AND(OR($X1767="Pago",$X1767="Recebido"),$D1767=""),"⚠ Status pago/recebido sem data",IF(AND($D1767&lt;&gt;"",N($R1767)=0),"⚠ Data de pagamento sem valor realizado",IF(AND(N($P1767)&gt;1,N($O1767)&gt;N($P1767)),"⚠ Nº da parcela maior que o total",IF(AND($C1767&lt;&gt;"",$B1767&lt;&gt;"",$C1767&lt;$B1767),"⚠ Vencimento anterior à competência","OK"))))))))</f>
        <v/>
      </c>
    </row>
    <row r="1768">
      <c r="A1768" s="14" t="n"/>
      <c r="B1768" s="36" t="n"/>
      <c r="C1768" s="36" t="n"/>
      <c r="D1768" s="36" t="n"/>
      <c r="E1768" s="14" t="n"/>
      <c r="F1768" s="29" t="n"/>
      <c r="G1768" s="29" t="n"/>
      <c r="H1768" s="29" t="n"/>
      <c r="I1768" s="29" t="n"/>
      <c r="J1768" s="29" t="n"/>
      <c r="K1768" s="14" t="n"/>
      <c r="L1768" s="29" t="n"/>
      <c r="M1768" s="14" t="n"/>
      <c r="N1768" s="29" t="n"/>
      <c r="O1768" s="13" t="n"/>
      <c r="P1768" s="13" t="n"/>
      <c r="Q1768" s="35" t="n"/>
      <c r="R1768" s="35" t="n"/>
      <c r="S1768" s="35" t="n"/>
      <c r="T1768" s="35" t="n"/>
      <c r="U1768" s="35" t="n"/>
      <c r="V1768" s="18">
        <f>IF(COUNTA($B1768:$R1768)=0,"",ROUND(N($R1768)+N($S1768)+N($T1768)-N($U1768),2))</f>
        <v/>
      </c>
      <c r="W1768" s="18">
        <f>IF(COUNTA($B1768:$R1768)=0,"",IF(OR($X1768="Pago",$X1768="Recebido",$X1768="Cancelado"),0,ROUND(N($Q1768)+N($S1768)+N($T1768)-N($U1768)-N($R1768),2)))</f>
        <v/>
      </c>
      <c r="X1768" s="14" t="n"/>
      <c r="Y1768" s="17">
        <f>IF(COUNTA($B1768:$R1768)=0,"",IF($X1768="Cancelado","Cancelado",IF(OR($X1768="Pago",$X1768="Recebido"),$X1768,IF(OR($X1768="Parcial",N($R1768)&gt;0),"Parcial",IF($C1768="","Sem vencimento",IF($C1768&lt;TODAY(),"Vencido",IF($C1768=TODAY(),"Vence hoje",IF($C1768&lt;=TODAY()+7,"Vence em 7 dias",IF($C1768&lt;=TODAY()+30,"Vence em 30 dias","Futuro")))))))))</f>
        <v/>
      </c>
      <c r="Z1768" s="24">
        <f>IF($B1768="","",MONTH($B1768))</f>
        <v/>
      </c>
      <c r="AA1768" s="24">
        <f>IF($B1768="","",YEAR($B1768))</f>
        <v/>
      </c>
      <c r="AB1768" s="24">
        <f>IF($B1768="","",ISOWEEKNUM($B1768))</f>
        <v/>
      </c>
      <c r="AC1768" s="17">
        <f>IF($B1768="","",CHOOSE(WEEKDAY($B1768,2),"Segunda","Terça","Quarta","Quinta","Sexta","Sábado","Domingo"))</f>
        <v/>
      </c>
      <c r="AD1768" s="17">
        <f>IF($B1768="","",TEXT($B1768,"MM/AAAA"))</f>
        <v/>
      </c>
      <c r="AE1768" s="18">
        <f>IF(COUNTA($B1768:$R1768)=0,"",IF($X1768="Cancelado",0,ROUND(N($Q1768)+N($S1768)+N($T1768)-N($U1768),2)))</f>
        <v/>
      </c>
      <c r="AF1768" s="9">
        <f>IF($G1768="","",IFERROR(INDEX(LINHAS_DRE_PLANO,MATCH($G1768,SUBCATEGORIAS_PLANO,0)),"Não classificado"))</f>
        <v/>
      </c>
      <c r="AG1768" s="17">
        <f>IF($G1768="","",IFERROR(INDEX(TIPOS_FLUXO_PLANO,MATCH($G1768,SUBCATEGORIAS_PLANO,0)),"Não classificado"))</f>
        <v/>
      </c>
      <c r="AH1768" s="9">
        <f>IF($G1768="","",IFERROR(INDEX(GRUPOS_PLANO,MATCH($G1768,SUBCATEGORIAS_PLANO,0)),"Não classificado"))</f>
        <v/>
      </c>
      <c r="AI1768" s="24">
        <f>IF(OR($C1768="",$X1768="Pago",$X1768="Recebido",$X1768="Cancelado"),"",$C1768-TODAY())</f>
        <v/>
      </c>
      <c r="AJ1768" s="24">
        <f>IF(OR($C1768="",$X1768="Pago",$X1768="Recebido",$X1768="Cancelado"),0,MAX(0,TODAY()-$C1768))</f>
        <v/>
      </c>
      <c r="AK1768" s="24">
        <f>IF($D1768="","",$D1768-$B1768)</f>
        <v/>
      </c>
      <c r="AL1768" s="18">
        <f>IF(OR($D1768="",$B1768=""),"",ROUND(N($R1768)*($D1768-$B1768),2))</f>
        <v/>
      </c>
      <c r="AM1768" s="17">
        <f>IF(AND($E1768="Saída",$W1768&gt;0,$C1768&lt;&gt;""),$C1768+ROW()/1000000,"")</f>
        <v/>
      </c>
      <c r="AN1768" s="17">
        <f>IF(AND($E1768="Entrada",$W1768&gt;0,$C1768&lt;&gt;""),$C1768+ROW()/1000000,"")</f>
        <v/>
      </c>
      <c r="AO1768" s="9">
        <f>IF(COUNTA($B1768:$R1768)=0,"",IF(AND($I1768&lt;&gt;"",COUNTIF(CLIENTES_NOMES,$I1768)+COUNTIF(CLIENTES_FANTASIA,$I1768)+COUNTIF(FORNECEDORES_NOMES,$I1768)+COUNTIF(FORNECEDORES_FANTASIA,$I1768)=0),"⚠ Cliente/Fornecedor não cadastrado",IF(AND($G1768&lt;&gt;"",COUNTIF(SUBCATEGORIAS_PLANO,$G1768)=0),"⚠ Subcategoria fora do plano de contas",IF(OR($Q1768="",N($Q1768)=0),"⚠ Valor previsto não informado",IF(AND(OR($X1768="Pago",$X1768="Recebido"),$D1768=""),"⚠ Status pago/recebido sem data",IF(AND($D1768&lt;&gt;"",N($R1768)=0),"⚠ Data de pagamento sem valor realizado",IF(AND(N($P1768)&gt;1,N($O1768)&gt;N($P1768)),"⚠ Nº da parcela maior que o total",IF(AND($C1768&lt;&gt;"",$B1768&lt;&gt;"",$C1768&lt;$B1768),"⚠ Vencimento anterior à competência","OK"))))))))</f>
        <v/>
      </c>
    </row>
    <row r="1769">
      <c r="A1769" s="14" t="n"/>
      <c r="B1769" s="36" t="n"/>
      <c r="C1769" s="36" t="n"/>
      <c r="D1769" s="36" t="n"/>
      <c r="E1769" s="14" t="n"/>
      <c r="F1769" s="29" t="n"/>
      <c r="G1769" s="29" t="n"/>
      <c r="H1769" s="29" t="n"/>
      <c r="I1769" s="29" t="n"/>
      <c r="J1769" s="29" t="n"/>
      <c r="K1769" s="14" t="n"/>
      <c r="L1769" s="29" t="n"/>
      <c r="M1769" s="14" t="n"/>
      <c r="N1769" s="29" t="n"/>
      <c r="O1769" s="13" t="n"/>
      <c r="P1769" s="13" t="n"/>
      <c r="Q1769" s="35" t="n"/>
      <c r="R1769" s="35" t="n"/>
      <c r="S1769" s="35" t="n"/>
      <c r="T1769" s="35" t="n"/>
      <c r="U1769" s="35" t="n"/>
      <c r="V1769" s="18">
        <f>IF(COUNTA($B1769:$R1769)=0,"",ROUND(N($R1769)+N($S1769)+N($T1769)-N($U1769),2))</f>
        <v/>
      </c>
      <c r="W1769" s="18">
        <f>IF(COUNTA($B1769:$R1769)=0,"",IF(OR($X1769="Pago",$X1769="Recebido",$X1769="Cancelado"),0,ROUND(N($Q1769)+N($S1769)+N($T1769)-N($U1769)-N($R1769),2)))</f>
        <v/>
      </c>
      <c r="X1769" s="14" t="n"/>
      <c r="Y1769" s="17">
        <f>IF(COUNTA($B1769:$R1769)=0,"",IF($X1769="Cancelado","Cancelado",IF(OR($X1769="Pago",$X1769="Recebido"),$X1769,IF(OR($X1769="Parcial",N($R1769)&gt;0),"Parcial",IF($C1769="","Sem vencimento",IF($C1769&lt;TODAY(),"Vencido",IF($C1769=TODAY(),"Vence hoje",IF($C1769&lt;=TODAY()+7,"Vence em 7 dias",IF($C1769&lt;=TODAY()+30,"Vence em 30 dias","Futuro")))))))))</f>
        <v/>
      </c>
      <c r="Z1769" s="24">
        <f>IF($B1769="","",MONTH($B1769))</f>
        <v/>
      </c>
      <c r="AA1769" s="24">
        <f>IF($B1769="","",YEAR($B1769))</f>
        <v/>
      </c>
      <c r="AB1769" s="24">
        <f>IF($B1769="","",ISOWEEKNUM($B1769))</f>
        <v/>
      </c>
      <c r="AC1769" s="17">
        <f>IF($B1769="","",CHOOSE(WEEKDAY($B1769,2),"Segunda","Terça","Quarta","Quinta","Sexta","Sábado","Domingo"))</f>
        <v/>
      </c>
      <c r="AD1769" s="17">
        <f>IF($B1769="","",TEXT($B1769,"MM/AAAA"))</f>
        <v/>
      </c>
      <c r="AE1769" s="18">
        <f>IF(COUNTA($B1769:$R1769)=0,"",IF($X1769="Cancelado",0,ROUND(N($Q1769)+N($S1769)+N($T1769)-N($U1769),2)))</f>
        <v/>
      </c>
      <c r="AF1769" s="9">
        <f>IF($G1769="","",IFERROR(INDEX(LINHAS_DRE_PLANO,MATCH($G1769,SUBCATEGORIAS_PLANO,0)),"Não classificado"))</f>
        <v/>
      </c>
      <c r="AG1769" s="17">
        <f>IF($G1769="","",IFERROR(INDEX(TIPOS_FLUXO_PLANO,MATCH($G1769,SUBCATEGORIAS_PLANO,0)),"Não classificado"))</f>
        <v/>
      </c>
      <c r="AH1769" s="9">
        <f>IF($G1769="","",IFERROR(INDEX(GRUPOS_PLANO,MATCH($G1769,SUBCATEGORIAS_PLANO,0)),"Não classificado"))</f>
        <v/>
      </c>
      <c r="AI1769" s="24">
        <f>IF(OR($C1769="",$X1769="Pago",$X1769="Recebido",$X1769="Cancelado"),"",$C1769-TODAY())</f>
        <v/>
      </c>
      <c r="AJ1769" s="24">
        <f>IF(OR($C1769="",$X1769="Pago",$X1769="Recebido",$X1769="Cancelado"),0,MAX(0,TODAY()-$C1769))</f>
        <v/>
      </c>
      <c r="AK1769" s="24">
        <f>IF($D1769="","",$D1769-$B1769)</f>
        <v/>
      </c>
      <c r="AL1769" s="18">
        <f>IF(OR($D1769="",$B1769=""),"",ROUND(N($R1769)*($D1769-$B1769),2))</f>
        <v/>
      </c>
      <c r="AM1769" s="17">
        <f>IF(AND($E1769="Saída",$W1769&gt;0,$C1769&lt;&gt;""),$C1769+ROW()/1000000,"")</f>
        <v/>
      </c>
      <c r="AN1769" s="17">
        <f>IF(AND($E1769="Entrada",$W1769&gt;0,$C1769&lt;&gt;""),$C1769+ROW()/1000000,"")</f>
        <v/>
      </c>
      <c r="AO1769" s="9">
        <f>IF(COUNTA($B1769:$R1769)=0,"",IF(AND($I1769&lt;&gt;"",COUNTIF(CLIENTES_NOMES,$I1769)+COUNTIF(CLIENTES_FANTASIA,$I1769)+COUNTIF(FORNECEDORES_NOMES,$I1769)+COUNTIF(FORNECEDORES_FANTASIA,$I1769)=0),"⚠ Cliente/Fornecedor não cadastrado",IF(AND($G1769&lt;&gt;"",COUNTIF(SUBCATEGORIAS_PLANO,$G1769)=0),"⚠ Subcategoria fora do plano de contas",IF(OR($Q1769="",N($Q1769)=0),"⚠ Valor previsto não informado",IF(AND(OR($X1769="Pago",$X1769="Recebido"),$D1769=""),"⚠ Status pago/recebido sem data",IF(AND($D1769&lt;&gt;"",N($R1769)=0),"⚠ Data de pagamento sem valor realizado",IF(AND(N($P1769)&gt;1,N($O1769)&gt;N($P1769)),"⚠ Nº da parcela maior que o total",IF(AND($C1769&lt;&gt;"",$B1769&lt;&gt;"",$C1769&lt;$B1769),"⚠ Vencimento anterior à competência","OK"))))))))</f>
        <v/>
      </c>
    </row>
    <row r="1770">
      <c r="A1770" s="14" t="n"/>
      <c r="B1770" s="36" t="n"/>
      <c r="C1770" s="36" t="n"/>
      <c r="D1770" s="36" t="n"/>
      <c r="E1770" s="14" t="n"/>
      <c r="F1770" s="29" t="n"/>
      <c r="G1770" s="29" t="n"/>
      <c r="H1770" s="29" t="n"/>
      <c r="I1770" s="29" t="n"/>
      <c r="J1770" s="29" t="n"/>
      <c r="K1770" s="14" t="n"/>
      <c r="L1770" s="29" t="n"/>
      <c r="M1770" s="14" t="n"/>
      <c r="N1770" s="29" t="n"/>
      <c r="O1770" s="13" t="n"/>
      <c r="P1770" s="13" t="n"/>
      <c r="Q1770" s="35" t="n"/>
      <c r="R1770" s="35" t="n"/>
      <c r="S1770" s="35" t="n"/>
      <c r="T1770" s="35" t="n"/>
      <c r="U1770" s="35" t="n"/>
      <c r="V1770" s="18">
        <f>IF(COUNTA($B1770:$R1770)=0,"",ROUND(N($R1770)+N($S1770)+N($T1770)-N($U1770),2))</f>
        <v/>
      </c>
      <c r="W1770" s="18">
        <f>IF(COUNTA($B1770:$R1770)=0,"",IF(OR($X1770="Pago",$X1770="Recebido",$X1770="Cancelado"),0,ROUND(N($Q1770)+N($S1770)+N($T1770)-N($U1770)-N($R1770),2)))</f>
        <v/>
      </c>
      <c r="X1770" s="14" t="n"/>
      <c r="Y1770" s="17">
        <f>IF(COUNTA($B1770:$R1770)=0,"",IF($X1770="Cancelado","Cancelado",IF(OR($X1770="Pago",$X1770="Recebido"),$X1770,IF(OR($X1770="Parcial",N($R1770)&gt;0),"Parcial",IF($C1770="","Sem vencimento",IF($C1770&lt;TODAY(),"Vencido",IF($C1770=TODAY(),"Vence hoje",IF($C1770&lt;=TODAY()+7,"Vence em 7 dias",IF($C1770&lt;=TODAY()+30,"Vence em 30 dias","Futuro")))))))))</f>
        <v/>
      </c>
      <c r="Z1770" s="24">
        <f>IF($B1770="","",MONTH($B1770))</f>
        <v/>
      </c>
      <c r="AA1770" s="24">
        <f>IF($B1770="","",YEAR($B1770))</f>
        <v/>
      </c>
      <c r="AB1770" s="24">
        <f>IF($B1770="","",ISOWEEKNUM($B1770))</f>
        <v/>
      </c>
      <c r="AC1770" s="17">
        <f>IF($B1770="","",CHOOSE(WEEKDAY($B1770,2),"Segunda","Terça","Quarta","Quinta","Sexta","Sábado","Domingo"))</f>
        <v/>
      </c>
      <c r="AD1770" s="17">
        <f>IF($B1770="","",TEXT($B1770,"MM/AAAA"))</f>
        <v/>
      </c>
      <c r="AE1770" s="18">
        <f>IF(COUNTA($B1770:$R1770)=0,"",IF($X1770="Cancelado",0,ROUND(N($Q1770)+N($S1770)+N($T1770)-N($U1770),2)))</f>
        <v/>
      </c>
      <c r="AF1770" s="9">
        <f>IF($G1770="","",IFERROR(INDEX(LINHAS_DRE_PLANO,MATCH($G1770,SUBCATEGORIAS_PLANO,0)),"Não classificado"))</f>
        <v/>
      </c>
      <c r="AG1770" s="17">
        <f>IF($G1770="","",IFERROR(INDEX(TIPOS_FLUXO_PLANO,MATCH($G1770,SUBCATEGORIAS_PLANO,0)),"Não classificado"))</f>
        <v/>
      </c>
      <c r="AH1770" s="9">
        <f>IF($G1770="","",IFERROR(INDEX(GRUPOS_PLANO,MATCH($G1770,SUBCATEGORIAS_PLANO,0)),"Não classificado"))</f>
        <v/>
      </c>
      <c r="AI1770" s="24">
        <f>IF(OR($C1770="",$X1770="Pago",$X1770="Recebido",$X1770="Cancelado"),"",$C1770-TODAY())</f>
        <v/>
      </c>
      <c r="AJ1770" s="24">
        <f>IF(OR($C1770="",$X1770="Pago",$X1770="Recebido",$X1770="Cancelado"),0,MAX(0,TODAY()-$C1770))</f>
        <v/>
      </c>
      <c r="AK1770" s="24">
        <f>IF($D1770="","",$D1770-$B1770)</f>
        <v/>
      </c>
      <c r="AL1770" s="18">
        <f>IF(OR($D1770="",$B1770=""),"",ROUND(N($R1770)*($D1770-$B1770),2))</f>
        <v/>
      </c>
      <c r="AM1770" s="17">
        <f>IF(AND($E1770="Saída",$W1770&gt;0,$C1770&lt;&gt;""),$C1770+ROW()/1000000,"")</f>
        <v/>
      </c>
      <c r="AN1770" s="17">
        <f>IF(AND($E1770="Entrada",$W1770&gt;0,$C1770&lt;&gt;""),$C1770+ROW()/1000000,"")</f>
        <v/>
      </c>
      <c r="AO1770" s="9">
        <f>IF(COUNTA($B1770:$R1770)=0,"",IF(AND($I1770&lt;&gt;"",COUNTIF(CLIENTES_NOMES,$I1770)+COUNTIF(CLIENTES_FANTASIA,$I1770)+COUNTIF(FORNECEDORES_NOMES,$I1770)+COUNTIF(FORNECEDORES_FANTASIA,$I1770)=0),"⚠ Cliente/Fornecedor não cadastrado",IF(AND($G1770&lt;&gt;"",COUNTIF(SUBCATEGORIAS_PLANO,$G1770)=0),"⚠ Subcategoria fora do plano de contas",IF(OR($Q1770="",N($Q1770)=0),"⚠ Valor previsto não informado",IF(AND(OR($X1770="Pago",$X1770="Recebido"),$D1770=""),"⚠ Status pago/recebido sem data",IF(AND($D1770&lt;&gt;"",N($R1770)=0),"⚠ Data de pagamento sem valor realizado",IF(AND(N($P1770)&gt;1,N($O1770)&gt;N($P1770)),"⚠ Nº da parcela maior que o total",IF(AND($C1770&lt;&gt;"",$B1770&lt;&gt;"",$C1770&lt;$B1770),"⚠ Vencimento anterior à competência","OK"))))))))</f>
        <v/>
      </c>
    </row>
    <row r="1771">
      <c r="A1771" s="14" t="n"/>
      <c r="B1771" s="36" t="n"/>
      <c r="C1771" s="36" t="n"/>
      <c r="D1771" s="36" t="n"/>
      <c r="E1771" s="14" t="n"/>
      <c r="F1771" s="29" t="n"/>
      <c r="G1771" s="29" t="n"/>
      <c r="H1771" s="29" t="n"/>
      <c r="I1771" s="29" t="n"/>
      <c r="J1771" s="29" t="n"/>
      <c r="K1771" s="14" t="n"/>
      <c r="L1771" s="29" t="n"/>
      <c r="M1771" s="14" t="n"/>
      <c r="N1771" s="29" t="n"/>
      <c r="O1771" s="13" t="n"/>
      <c r="P1771" s="13" t="n"/>
      <c r="Q1771" s="35" t="n"/>
      <c r="R1771" s="35" t="n"/>
      <c r="S1771" s="35" t="n"/>
      <c r="T1771" s="35" t="n"/>
      <c r="U1771" s="35" t="n"/>
      <c r="V1771" s="18">
        <f>IF(COUNTA($B1771:$R1771)=0,"",ROUND(N($R1771)+N($S1771)+N($T1771)-N($U1771),2))</f>
        <v/>
      </c>
      <c r="W1771" s="18">
        <f>IF(COUNTA($B1771:$R1771)=0,"",IF(OR($X1771="Pago",$X1771="Recebido",$X1771="Cancelado"),0,ROUND(N($Q1771)+N($S1771)+N($T1771)-N($U1771)-N($R1771),2)))</f>
        <v/>
      </c>
      <c r="X1771" s="14" t="n"/>
      <c r="Y1771" s="17">
        <f>IF(COUNTA($B1771:$R1771)=0,"",IF($X1771="Cancelado","Cancelado",IF(OR($X1771="Pago",$X1771="Recebido"),$X1771,IF(OR($X1771="Parcial",N($R1771)&gt;0),"Parcial",IF($C1771="","Sem vencimento",IF($C1771&lt;TODAY(),"Vencido",IF($C1771=TODAY(),"Vence hoje",IF($C1771&lt;=TODAY()+7,"Vence em 7 dias",IF($C1771&lt;=TODAY()+30,"Vence em 30 dias","Futuro")))))))))</f>
        <v/>
      </c>
      <c r="Z1771" s="24">
        <f>IF($B1771="","",MONTH($B1771))</f>
        <v/>
      </c>
      <c r="AA1771" s="24">
        <f>IF($B1771="","",YEAR($B1771))</f>
        <v/>
      </c>
      <c r="AB1771" s="24">
        <f>IF($B1771="","",ISOWEEKNUM($B1771))</f>
        <v/>
      </c>
      <c r="AC1771" s="17">
        <f>IF($B1771="","",CHOOSE(WEEKDAY($B1771,2),"Segunda","Terça","Quarta","Quinta","Sexta","Sábado","Domingo"))</f>
        <v/>
      </c>
      <c r="AD1771" s="17">
        <f>IF($B1771="","",TEXT($B1771,"MM/AAAA"))</f>
        <v/>
      </c>
      <c r="AE1771" s="18">
        <f>IF(COUNTA($B1771:$R1771)=0,"",IF($X1771="Cancelado",0,ROUND(N($Q1771)+N($S1771)+N($T1771)-N($U1771),2)))</f>
        <v/>
      </c>
      <c r="AF1771" s="9">
        <f>IF($G1771="","",IFERROR(INDEX(LINHAS_DRE_PLANO,MATCH($G1771,SUBCATEGORIAS_PLANO,0)),"Não classificado"))</f>
        <v/>
      </c>
      <c r="AG1771" s="17">
        <f>IF($G1771="","",IFERROR(INDEX(TIPOS_FLUXO_PLANO,MATCH($G1771,SUBCATEGORIAS_PLANO,0)),"Não classificado"))</f>
        <v/>
      </c>
      <c r="AH1771" s="9">
        <f>IF($G1771="","",IFERROR(INDEX(GRUPOS_PLANO,MATCH($G1771,SUBCATEGORIAS_PLANO,0)),"Não classificado"))</f>
        <v/>
      </c>
      <c r="AI1771" s="24">
        <f>IF(OR($C1771="",$X1771="Pago",$X1771="Recebido",$X1771="Cancelado"),"",$C1771-TODAY())</f>
        <v/>
      </c>
      <c r="AJ1771" s="24">
        <f>IF(OR($C1771="",$X1771="Pago",$X1771="Recebido",$X1771="Cancelado"),0,MAX(0,TODAY()-$C1771))</f>
        <v/>
      </c>
      <c r="AK1771" s="24">
        <f>IF($D1771="","",$D1771-$B1771)</f>
        <v/>
      </c>
      <c r="AL1771" s="18">
        <f>IF(OR($D1771="",$B1771=""),"",ROUND(N($R1771)*($D1771-$B1771),2))</f>
        <v/>
      </c>
      <c r="AM1771" s="17">
        <f>IF(AND($E1771="Saída",$W1771&gt;0,$C1771&lt;&gt;""),$C1771+ROW()/1000000,"")</f>
        <v/>
      </c>
      <c r="AN1771" s="17">
        <f>IF(AND($E1771="Entrada",$W1771&gt;0,$C1771&lt;&gt;""),$C1771+ROW()/1000000,"")</f>
        <v/>
      </c>
      <c r="AO1771" s="9">
        <f>IF(COUNTA($B1771:$R1771)=0,"",IF(AND($I1771&lt;&gt;"",COUNTIF(CLIENTES_NOMES,$I1771)+COUNTIF(CLIENTES_FANTASIA,$I1771)+COUNTIF(FORNECEDORES_NOMES,$I1771)+COUNTIF(FORNECEDORES_FANTASIA,$I1771)=0),"⚠ Cliente/Fornecedor não cadastrado",IF(AND($G1771&lt;&gt;"",COUNTIF(SUBCATEGORIAS_PLANO,$G1771)=0),"⚠ Subcategoria fora do plano de contas",IF(OR($Q1771="",N($Q1771)=0),"⚠ Valor previsto não informado",IF(AND(OR($X1771="Pago",$X1771="Recebido"),$D1771=""),"⚠ Status pago/recebido sem data",IF(AND($D1771&lt;&gt;"",N($R1771)=0),"⚠ Data de pagamento sem valor realizado",IF(AND(N($P1771)&gt;1,N($O1771)&gt;N($P1771)),"⚠ Nº da parcela maior que o total",IF(AND($C1771&lt;&gt;"",$B1771&lt;&gt;"",$C1771&lt;$B1771),"⚠ Vencimento anterior à competência","OK"))))))))</f>
        <v/>
      </c>
    </row>
    <row r="1772">
      <c r="A1772" s="14" t="n"/>
      <c r="B1772" s="36" t="n"/>
      <c r="C1772" s="36" t="n"/>
      <c r="D1772" s="36" t="n"/>
      <c r="E1772" s="14" t="n"/>
      <c r="F1772" s="29" t="n"/>
      <c r="G1772" s="29" t="n"/>
      <c r="H1772" s="29" t="n"/>
      <c r="I1772" s="29" t="n"/>
      <c r="J1772" s="29" t="n"/>
      <c r="K1772" s="14" t="n"/>
      <c r="L1772" s="29" t="n"/>
      <c r="M1772" s="14" t="n"/>
      <c r="N1772" s="29" t="n"/>
      <c r="O1772" s="13" t="n"/>
      <c r="P1772" s="13" t="n"/>
      <c r="Q1772" s="35" t="n"/>
      <c r="R1772" s="35" t="n"/>
      <c r="S1772" s="35" t="n"/>
      <c r="T1772" s="35" t="n"/>
      <c r="U1772" s="35" t="n"/>
      <c r="V1772" s="18">
        <f>IF(COUNTA($B1772:$R1772)=0,"",ROUND(N($R1772)+N($S1772)+N($T1772)-N($U1772),2))</f>
        <v/>
      </c>
      <c r="W1772" s="18">
        <f>IF(COUNTA($B1772:$R1772)=0,"",IF(OR($X1772="Pago",$X1772="Recebido",$X1772="Cancelado"),0,ROUND(N($Q1772)+N($S1772)+N($T1772)-N($U1772)-N($R1772),2)))</f>
        <v/>
      </c>
      <c r="X1772" s="14" t="n"/>
      <c r="Y1772" s="17">
        <f>IF(COUNTA($B1772:$R1772)=0,"",IF($X1772="Cancelado","Cancelado",IF(OR($X1772="Pago",$X1772="Recebido"),$X1772,IF(OR($X1772="Parcial",N($R1772)&gt;0),"Parcial",IF($C1772="","Sem vencimento",IF($C1772&lt;TODAY(),"Vencido",IF($C1772=TODAY(),"Vence hoje",IF($C1772&lt;=TODAY()+7,"Vence em 7 dias",IF($C1772&lt;=TODAY()+30,"Vence em 30 dias","Futuro")))))))))</f>
        <v/>
      </c>
      <c r="Z1772" s="24">
        <f>IF($B1772="","",MONTH($B1772))</f>
        <v/>
      </c>
      <c r="AA1772" s="24">
        <f>IF($B1772="","",YEAR($B1772))</f>
        <v/>
      </c>
      <c r="AB1772" s="24">
        <f>IF($B1772="","",ISOWEEKNUM($B1772))</f>
        <v/>
      </c>
      <c r="AC1772" s="17">
        <f>IF($B1772="","",CHOOSE(WEEKDAY($B1772,2),"Segunda","Terça","Quarta","Quinta","Sexta","Sábado","Domingo"))</f>
        <v/>
      </c>
      <c r="AD1772" s="17">
        <f>IF($B1772="","",TEXT($B1772,"MM/AAAA"))</f>
        <v/>
      </c>
      <c r="AE1772" s="18">
        <f>IF(COUNTA($B1772:$R1772)=0,"",IF($X1772="Cancelado",0,ROUND(N($Q1772)+N($S1772)+N($T1772)-N($U1772),2)))</f>
        <v/>
      </c>
      <c r="AF1772" s="9">
        <f>IF($G1772="","",IFERROR(INDEX(LINHAS_DRE_PLANO,MATCH($G1772,SUBCATEGORIAS_PLANO,0)),"Não classificado"))</f>
        <v/>
      </c>
      <c r="AG1772" s="17">
        <f>IF($G1772="","",IFERROR(INDEX(TIPOS_FLUXO_PLANO,MATCH($G1772,SUBCATEGORIAS_PLANO,0)),"Não classificado"))</f>
        <v/>
      </c>
      <c r="AH1772" s="9">
        <f>IF($G1772="","",IFERROR(INDEX(GRUPOS_PLANO,MATCH($G1772,SUBCATEGORIAS_PLANO,0)),"Não classificado"))</f>
        <v/>
      </c>
      <c r="AI1772" s="24">
        <f>IF(OR($C1772="",$X1772="Pago",$X1772="Recebido",$X1772="Cancelado"),"",$C1772-TODAY())</f>
        <v/>
      </c>
      <c r="AJ1772" s="24">
        <f>IF(OR($C1772="",$X1772="Pago",$X1772="Recebido",$X1772="Cancelado"),0,MAX(0,TODAY()-$C1772))</f>
        <v/>
      </c>
      <c r="AK1772" s="24">
        <f>IF($D1772="","",$D1772-$B1772)</f>
        <v/>
      </c>
      <c r="AL1772" s="18">
        <f>IF(OR($D1772="",$B1772=""),"",ROUND(N($R1772)*($D1772-$B1772),2))</f>
        <v/>
      </c>
      <c r="AM1772" s="17">
        <f>IF(AND($E1772="Saída",$W1772&gt;0,$C1772&lt;&gt;""),$C1772+ROW()/1000000,"")</f>
        <v/>
      </c>
      <c r="AN1772" s="17">
        <f>IF(AND($E1772="Entrada",$W1772&gt;0,$C1772&lt;&gt;""),$C1772+ROW()/1000000,"")</f>
        <v/>
      </c>
      <c r="AO1772" s="9">
        <f>IF(COUNTA($B1772:$R1772)=0,"",IF(AND($I1772&lt;&gt;"",COUNTIF(CLIENTES_NOMES,$I1772)+COUNTIF(CLIENTES_FANTASIA,$I1772)+COUNTIF(FORNECEDORES_NOMES,$I1772)+COUNTIF(FORNECEDORES_FANTASIA,$I1772)=0),"⚠ Cliente/Fornecedor não cadastrado",IF(AND($G1772&lt;&gt;"",COUNTIF(SUBCATEGORIAS_PLANO,$G1772)=0),"⚠ Subcategoria fora do plano de contas",IF(OR($Q1772="",N($Q1772)=0),"⚠ Valor previsto não informado",IF(AND(OR($X1772="Pago",$X1772="Recebido"),$D1772=""),"⚠ Status pago/recebido sem data",IF(AND($D1772&lt;&gt;"",N($R1772)=0),"⚠ Data de pagamento sem valor realizado",IF(AND(N($P1772)&gt;1,N($O1772)&gt;N($P1772)),"⚠ Nº da parcela maior que o total",IF(AND($C1772&lt;&gt;"",$B1772&lt;&gt;"",$C1772&lt;$B1772),"⚠ Vencimento anterior à competência","OK"))))))))</f>
        <v/>
      </c>
    </row>
    <row r="1773">
      <c r="A1773" s="14" t="n"/>
      <c r="B1773" s="36" t="n"/>
      <c r="C1773" s="36" t="n"/>
      <c r="D1773" s="36" t="n"/>
      <c r="E1773" s="14" t="n"/>
      <c r="F1773" s="29" t="n"/>
      <c r="G1773" s="29" t="n"/>
      <c r="H1773" s="29" t="n"/>
      <c r="I1773" s="29" t="n"/>
      <c r="J1773" s="29" t="n"/>
      <c r="K1773" s="14" t="n"/>
      <c r="L1773" s="29" t="n"/>
      <c r="M1773" s="14" t="n"/>
      <c r="N1773" s="29" t="n"/>
      <c r="O1773" s="13" t="n"/>
      <c r="P1773" s="13" t="n"/>
      <c r="Q1773" s="35" t="n"/>
      <c r="R1773" s="35" t="n"/>
      <c r="S1773" s="35" t="n"/>
      <c r="T1773" s="35" t="n"/>
      <c r="U1773" s="35" t="n"/>
      <c r="V1773" s="18">
        <f>IF(COUNTA($B1773:$R1773)=0,"",ROUND(N($R1773)+N($S1773)+N($T1773)-N($U1773),2))</f>
        <v/>
      </c>
      <c r="W1773" s="18">
        <f>IF(COUNTA($B1773:$R1773)=0,"",IF(OR($X1773="Pago",$X1773="Recebido",$X1773="Cancelado"),0,ROUND(N($Q1773)+N($S1773)+N($T1773)-N($U1773)-N($R1773),2)))</f>
        <v/>
      </c>
      <c r="X1773" s="14" t="n"/>
      <c r="Y1773" s="17">
        <f>IF(COUNTA($B1773:$R1773)=0,"",IF($X1773="Cancelado","Cancelado",IF(OR($X1773="Pago",$X1773="Recebido"),$X1773,IF(OR($X1773="Parcial",N($R1773)&gt;0),"Parcial",IF($C1773="","Sem vencimento",IF($C1773&lt;TODAY(),"Vencido",IF($C1773=TODAY(),"Vence hoje",IF($C1773&lt;=TODAY()+7,"Vence em 7 dias",IF($C1773&lt;=TODAY()+30,"Vence em 30 dias","Futuro")))))))))</f>
        <v/>
      </c>
      <c r="Z1773" s="24">
        <f>IF($B1773="","",MONTH($B1773))</f>
        <v/>
      </c>
      <c r="AA1773" s="24">
        <f>IF($B1773="","",YEAR($B1773))</f>
        <v/>
      </c>
      <c r="AB1773" s="24">
        <f>IF($B1773="","",ISOWEEKNUM($B1773))</f>
        <v/>
      </c>
      <c r="AC1773" s="17">
        <f>IF($B1773="","",CHOOSE(WEEKDAY($B1773,2),"Segunda","Terça","Quarta","Quinta","Sexta","Sábado","Domingo"))</f>
        <v/>
      </c>
      <c r="AD1773" s="17">
        <f>IF($B1773="","",TEXT($B1773,"MM/AAAA"))</f>
        <v/>
      </c>
      <c r="AE1773" s="18">
        <f>IF(COUNTA($B1773:$R1773)=0,"",IF($X1773="Cancelado",0,ROUND(N($Q1773)+N($S1773)+N($T1773)-N($U1773),2)))</f>
        <v/>
      </c>
      <c r="AF1773" s="9">
        <f>IF($G1773="","",IFERROR(INDEX(LINHAS_DRE_PLANO,MATCH($G1773,SUBCATEGORIAS_PLANO,0)),"Não classificado"))</f>
        <v/>
      </c>
      <c r="AG1773" s="17">
        <f>IF($G1773="","",IFERROR(INDEX(TIPOS_FLUXO_PLANO,MATCH($G1773,SUBCATEGORIAS_PLANO,0)),"Não classificado"))</f>
        <v/>
      </c>
      <c r="AH1773" s="9">
        <f>IF($G1773="","",IFERROR(INDEX(GRUPOS_PLANO,MATCH($G1773,SUBCATEGORIAS_PLANO,0)),"Não classificado"))</f>
        <v/>
      </c>
      <c r="AI1773" s="24">
        <f>IF(OR($C1773="",$X1773="Pago",$X1773="Recebido",$X1773="Cancelado"),"",$C1773-TODAY())</f>
        <v/>
      </c>
      <c r="AJ1773" s="24">
        <f>IF(OR($C1773="",$X1773="Pago",$X1773="Recebido",$X1773="Cancelado"),0,MAX(0,TODAY()-$C1773))</f>
        <v/>
      </c>
      <c r="AK1773" s="24">
        <f>IF($D1773="","",$D1773-$B1773)</f>
        <v/>
      </c>
      <c r="AL1773" s="18">
        <f>IF(OR($D1773="",$B1773=""),"",ROUND(N($R1773)*($D1773-$B1773),2))</f>
        <v/>
      </c>
      <c r="AM1773" s="17">
        <f>IF(AND($E1773="Saída",$W1773&gt;0,$C1773&lt;&gt;""),$C1773+ROW()/1000000,"")</f>
        <v/>
      </c>
      <c r="AN1773" s="17">
        <f>IF(AND($E1773="Entrada",$W1773&gt;0,$C1773&lt;&gt;""),$C1773+ROW()/1000000,"")</f>
        <v/>
      </c>
      <c r="AO1773" s="9">
        <f>IF(COUNTA($B1773:$R1773)=0,"",IF(AND($I1773&lt;&gt;"",COUNTIF(CLIENTES_NOMES,$I1773)+COUNTIF(CLIENTES_FANTASIA,$I1773)+COUNTIF(FORNECEDORES_NOMES,$I1773)+COUNTIF(FORNECEDORES_FANTASIA,$I1773)=0),"⚠ Cliente/Fornecedor não cadastrado",IF(AND($G1773&lt;&gt;"",COUNTIF(SUBCATEGORIAS_PLANO,$G1773)=0),"⚠ Subcategoria fora do plano de contas",IF(OR($Q1773="",N($Q1773)=0),"⚠ Valor previsto não informado",IF(AND(OR($X1773="Pago",$X1773="Recebido"),$D1773=""),"⚠ Status pago/recebido sem data",IF(AND($D1773&lt;&gt;"",N($R1773)=0),"⚠ Data de pagamento sem valor realizado",IF(AND(N($P1773)&gt;1,N($O1773)&gt;N($P1773)),"⚠ Nº da parcela maior que o total",IF(AND($C1773&lt;&gt;"",$B1773&lt;&gt;"",$C1773&lt;$B1773),"⚠ Vencimento anterior à competência","OK"))))))))</f>
        <v/>
      </c>
    </row>
    <row r="1774">
      <c r="A1774" s="14" t="n"/>
      <c r="B1774" s="36" t="n"/>
      <c r="C1774" s="36" t="n"/>
      <c r="D1774" s="36" t="n"/>
      <c r="E1774" s="14" t="n"/>
      <c r="F1774" s="29" t="n"/>
      <c r="G1774" s="29" t="n"/>
      <c r="H1774" s="29" t="n"/>
      <c r="I1774" s="29" t="n"/>
      <c r="J1774" s="29" t="n"/>
      <c r="K1774" s="14" t="n"/>
      <c r="L1774" s="29" t="n"/>
      <c r="M1774" s="14" t="n"/>
      <c r="N1774" s="29" t="n"/>
      <c r="O1774" s="13" t="n"/>
      <c r="P1774" s="13" t="n"/>
      <c r="Q1774" s="35" t="n"/>
      <c r="R1774" s="35" t="n"/>
      <c r="S1774" s="35" t="n"/>
      <c r="T1774" s="35" t="n"/>
      <c r="U1774" s="35" t="n"/>
      <c r="V1774" s="18">
        <f>IF(COUNTA($B1774:$R1774)=0,"",ROUND(N($R1774)+N($S1774)+N($T1774)-N($U1774),2))</f>
        <v/>
      </c>
      <c r="W1774" s="18">
        <f>IF(COUNTA($B1774:$R1774)=0,"",IF(OR($X1774="Pago",$X1774="Recebido",$X1774="Cancelado"),0,ROUND(N($Q1774)+N($S1774)+N($T1774)-N($U1774)-N($R1774),2)))</f>
        <v/>
      </c>
      <c r="X1774" s="14" t="n"/>
      <c r="Y1774" s="17">
        <f>IF(COUNTA($B1774:$R1774)=0,"",IF($X1774="Cancelado","Cancelado",IF(OR($X1774="Pago",$X1774="Recebido"),$X1774,IF(OR($X1774="Parcial",N($R1774)&gt;0),"Parcial",IF($C1774="","Sem vencimento",IF($C1774&lt;TODAY(),"Vencido",IF($C1774=TODAY(),"Vence hoje",IF($C1774&lt;=TODAY()+7,"Vence em 7 dias",IF($C1774&lt;=TODAY()+30,"Vence em 30 dias","Futuro")))))))))</f>
        <v/>
      </c>
      <c r="Z1774" s="24">
        <f>IF($B1774="","",MONTH($B1774))</f>
        <v/>
      </c>
      <c r="AA1774" s="24">
        <f>IF($B1774="","",YEAR($B1774))</f>
        <v/>
      </c>
      <c r="AB1774" s="24">
        <f>IF($B1774="","",ISOWEEKNUM($B1774))</f>
        <v/>
      </c>
      <c r="AC1774" s="17">
        <f>IF($B1774="","",CHOOSE(WEEKDAY($B1774,2),"Segunda","Terça","Quarta","Quinta","Sexta","Sábado","Domingo"))</f>
        <v/>
      </c>
      <c r="AD1774" s="17">
        <f>IF($B1774="","",TEXT($B1774,"MM/AAAA"))</f>
        <v/>
      </c>
      <c r="AE1774" s="18">
        <f>IF(COUNTA($B1774:$R1774)=0,"",IF($X1774="Cancelado",0,ROUND(N($Q1774)+N($S1774)+N($T1774)-N($U1774),2)))</f>
        <v/>
      </c>
      <c r="AF1774" s="9">
        <f>IF($G1774="","",IFERROR(INDEX(LINHAS_DRE_PLANO,MATCH($G1774,SUBCATEGORIAS_PLANO,0)),"Não classificado"))</f>
        <v/>
      </c>
      <c r="AG1774" s="17">
        <f>IF($G1774="","",IFERROR(INDEX(TIPOS_FLUXO_PLANO,MATCH($G1774,SUBCATEGORIAS_PLANO,0)),"Não classificado"))</f>
        <v/>
      </c>
      <c r="AH1774" s="9">
        <f>IF($G1774="","",IFERROR(INDEX(GRUPOS_PLANO,MATCH($G1774,SUBCATEGORIAS_PLANO,0)),"Não classificado"))</f>
        <v/>
      </c>
      <c r="AI1774" s="24">
        <f>IF(OR($C1774="",$X1774="Pago",$X1774="Recebido",$X1774="Cancelado"),"",$C1774-TODAY())</f>
        <v/>
      </c>
      <c r="AJ1774" s="24">
        <f>IF(OR($C1774="",$X1774="Pago",$X1774="Recebido",$X1774="Cancelado"),0,MAX(0,TODAY()-$C1774))</f>
        <v/>
      </c>
      <c r="AK1774" s="24">
        <f>IF($D1774="","",$D1774-$B1774)</f>
        <v/>
      </c>
      <c r="AL1774" s="18">
        <f>IF(OR($D1774="",$B1774=""),"",ROUND(N($R1774)*($D1774-$B1774),2))</f>
        <v/>
      </c>
      <c r="AM1774" s="17">
        <f>IF(AND($E1774="Saída",$W1774&gt;0,$C1774&lt;&gt;""),$C1774+ROW()/1000000,"")</f>
        <v/>
      </c>
      <c r="AN1774" s="17">
        <f>IF(AND($E1774="Entrada",$W1774&gt;0,$C1774&lt;&gt;""),$C1774+ROW()/1000000,"")</f>
        <v/>
      </c>
      <c r="AO1774" s="9">
        <f>IF(COUNTA($B1774:$R1774)=0,"",IF(AND($I1774&lt;&gt;"",COUNTIF(CLIENTES_NOMES,$I1774)+COUNTIF(CLIENTES_FANTASIA,$I1774)+COUNTIF(FORNECEDORES_NOMES,$I1774)+COUNTIF(FORNECEDORES_FANTASIA,$I1774)=0),"⚠ Cliente/Fornecedor não cadastrado",IF(AND($G1774&lt;&gt;"",COUNTIF(SUBCATEGORIAS_PLANO,$G1774)=0),"⚠ Subcategoria fora do plano de contas",IF(OR($Q1774="",N($Q1774)=0),"⚠ Valor previsto não informado",IF(AND(OR($X1774="Pago",$X1774="Recebido"),$D1774=""),"⚠ Status pago/recebido sem data",IF(AND($D1774&lt;&gt;"",N($R1774)=0),"⚠ Data de pagamento sem valor realizado",IF(AND(N($P1774)&gt;1,N($O1774)&gt;N($P1774)),"⚠ Nº da parcela maior que o total",IF(AND($C1774&lt;&gt;"",$B1774&lt;&gt;"",$C1774&lt;$B1774),"⚠ Vencimento anterior à competência","OK"))))))))</f>
        <v/>
      </c>
    </row>
    <row r="1775">
      <c r="A1775" s="14" t="n"/>
      <c r="B1775" s="36" t="n"/>
      <c r="C1775" s="36" t="n"/>
      <c r="D1775" s="36" t="n"/>
      <c r="E1775" s="14" t="n"/>
      <c r="F1775" s="29" t="n"/>
      <c r="G1775" s="29" t="n"/>
      <c r="H1775" s="29" t="n"/>
      <c r="I1775" s="29" t="n"/>
      <c r="J1775" s="29" t="n"/>
      <c r="K1775" s="14" t="n"/>
      <c r="L1775" s="29" t="n"/>
      <c r="M1775" s="14" t="n"/>
      <c r="N1775" s="29" t="n"/>
      <c r="O1775" s="13" t="n"/>
      <c r="P1775" s="13" t="n"/>
      <c r="Q1775" s="35" t="n"/>
      <c r="R1775" s="35" t="n"/>
      <c r="S1775" s="35" t="n"/>
      <c r="T1775" s="35" t="n"/>
      <c r="U1775" s="35" t="n"/>
      <c r="V1775" s="18">
        <f>IF(COUNTA($B1775:$R1775)=0,"",ROUND(N($R1775)+N($S1775)+N($T1775)-N($U1775),2))</f>
        <v/>
      </c>
      <c r="W1775" s="18">
        <f>IF(COUNTA($B1775:$R1775)=0,"",IF(OR($X1775="Pago",$X1775="Recebido",$X1775="Cancelado"),0,ROUND(N($Q1775)+N($S1775)+N($T1775)-N($U1775)-N($R1775),2)))</f>
        <v/>
      </c>
      <c r="X1775" s="14" t="n"/>
      <c r="Y1775" s="17">
        <f>IF(COUNTA($B1775:$R1775)=0,"",IF($X1775="Cancelado","Cancelado",IF(OR($X1775="Pago",$X1775="Recebido"),$X1775,IF(OR($X1775="Parcial",N($R1775)&gt;0),"Parcial",IF($C1775="","Sem vencimento",IF($C1775&lt;TODAY(),"Vencido",IF($C1775=TODAY(),"Vence hoje",IF($C1775&lt;=TODAY()+7,"Vence em 7 dias",IF($C1775&lt;=TODAY()+30,"Vence em 30 dias","Futuro")))))))))</f>
        <v/>
      </c>
      <c r="Z1775" s="24">
        <f>IF($B1775="","",MONTH($B1775))</f>
        <v/>
      </c>
      <c r="AA1775" s="24">
        <f>IF($B1775="","",YEAR($B1775))</f>
        <v/>
      </c>
      <c r="AB1775" s="24">
        <f>IF($B1775="","",ISOWEEKNUM($B1775))</f>
        <v/>
      </c>
      <c r="AC1775" s="17">
        <f>IF($B1775="","",CHOOSE(WEEKDAY($B1775,2),"Segunda","Terça","Quarta","Quinta","Sexta","Sábado","Domingo"))</f>
        <v/>
      </c>
      <c r="AD1775" s="17">
        <f>IF($B1775="","",TEXT($B1775,"MM/AAAA"))</f>
        <v/>
      </c>
      <c r="AE1775" s="18">
        <f>IF(COUNTA($B1775:$R1775)=0,"",IF($X1775="Cancelado",0,ROUND(N($Q1775)+N($S1775)+N($T1775)-N($U1775),2)))</f>
        <v/>
      </c>
      <c r="AF1775" s="9">
        <f>IF($G1775="","",IFERROR(INDEX(LINHAS_DRE_PLANO,MATCH($G1775,SUBCATEGORIAS_PLANO,0)),"Não classificado"))</f>
        <v/>
      </c>
      <c r="AG1775" s="17">
        <f>IF($G1775="","",IFERROR(INDEX(TIPOS_FLUXO_PLANO,MATCH($G1775,SUBCATEGORIAS_PLANO,0)),"Não classificado"))</f>
        <v/>
      </c>
      <c r="AH1775" s="9">
        <f>IF($G1775="","",IFERROR(INDEX(GRUPOS_PLANO,MATCH($G1775,SUBCATEGORIAS_PLANO,0)),"Não classificado"))</f>
        <v/>
      </c>
      <c r="AI1775" s="24">
        <f>IF(OR($C1775="",$X1775="Pago",$X1775="Recebido",$X1775="Cancelado"),"",$C1775-TODAY())</f>
        <v/>
      </c>
      <c r="AJ1775" s="24">
        <f>IF(OR($C1775="",$X1775="Pago",$X1775="Recebido",$X1775="Cancelado"),0,MAX(0,TODAY()-$C1775))</f>
        <v/>
      </c>
      <c r="AK1775" s="24">
        <f>IF($D1775="","",$D1775-$B1775)</f>
        <v/>
      </c>
      <c r="AL1775" s="18">
        <f>IF(OR($D1775="",$B1775=""),"",ROUND(N($R1775)*($D1775-$B1775),2))</f>
        <v/>
      </c>
      <c r="AM1775" s="17">
        <f>IF(AND($E1775="Saída",$W1775&gt;0,$C1775&lt;&gt;""),$C1775+ROW()/1000000,"")</f>
        <v/>
      </c>
      <c r="AN1775" s="17">
        <f>IF(AND($E1775="Entrada",$W1775&gt;0,$C1775&lt;&gt;""),$C1775+ROW()/1000000,"")</f>
        <v/>
      </c>
      <c r="AO1775" s="9">
        <f>IF(COUNTA($B1775:$R1775)=0,"",IF(AND($I1775&lt;&gt;"",COUNTIF(CLIENTES_NOMES,$I1775)+COUNTIF(CLIENTES_FANTASIA,$I1775)+COUNTIF(FORNECEDORES_NOMES,$I1775)+COUNTIF(FORNECEDORES_FANTASIA,$I1775)=0),"⚠ Cliente/Fornecedor não cadastrado",IF(AND($G1775&lt;&gt;"",COUNTIF(SUBCATEGORIAS_PLANO,$G1775)=0),"⚠ Subcategoria fora do plano de contas",IF(OR($Q1775="",N($Q1775)=0),"⚠ Valor previsto não informado",IF(AND(OR($X1775="Pago",$X1775="Recebido"),$D1775=""),"⚠ Status pago/recebido sem data",IF(AND($D1775&lt;&gt;"",N($R1775)=0),"⚠ Data de pagamento sem valor realizado",IF(AND(N($P1775)&gt;1,N($O1775)&gt;N($P1775)),"⚠ Nº da parcela maior que o total",IF(AND($C1775&lt;&gt;"",$B1775&lt;&gt;"",$C1775&lt;$B1775),"⚠ Vencimento anterior à competência","OK"))))))))</f>
        <v/>
      </c>
    </row>
    <row r="1776">
      <c r="A1776" s="14" t="n"/>
      <c r="B1776" s="36" t="n"/>
      <c r="C1776" s="36" t="n"/>
      <c r="D1776" s="36" t="n"/>
      <c r="E1776" s="14" t="n"/>
      <c r="F1776" s="29" t="n"/>
      <c r="G1776" s="29" t="n"/>
      <c r="H1776" s="29" t="n"/>
      <c r="I1776" s="29" t="n"/>
      <c r="J1776" s="29" t="n"/>
      <c r="K1776" s="14" t="n"/>
      <c r="L1776" s="29" t="n"/>
      <c r="M1776" s="14" t="n"/>
      <c r="N1776" s="29" t="n"/>
      <c r="O1776" s="13" t="n"/>
      <c r="P1776" s="13" t="n"/>
      <c r="Q1776" s="35" t="n"/>
      <c r="R1776" s="35" t="n"/>
      <c r="S1776" s="35" t="n"/>
      <c r="T1776" s="35" t="n"/>
      <c r="U1776" s="35" t="n"/>
      <c r="V1776" s="18">
        <f>IF(COUNTA($B1776:$R1776)=0,"",ROUND(N($R1776)+N($S1776)+N($T1776)-N($U1776),2))</f>
        <v/>
      </c>
      <c r="W1776" s="18">
        <f>IF(COUNTA($B1776:$R1776)=0,"",IF(OR($X1776="Pago",$X1776="Recebido",$X1776="Cancelado"),0,ROUND(N($Q1776)+N($S1776)+N($T1776)-N($U1776)-N($R1776),2)))</f>
        <v/>
      </c>
      <c r="X1776" s="14" t="n"/>
      <c r="Y1776" s="17">
        <f>IF(COUNTA($B1776:$R1776)=0,"",IF($X1776="Cancelado","Cancelado",IF(OR($X1776="Pago",$X1776="Recebido"),$X1776,IF(OR($X1776="Parcial",N($R1776)&gt;0),"Parcial",IF($C1776="","Sem vencimento",IF($C1776&lt;TODAY(),"Vencido",IF($C1776=TODAY(),"Vence hoje",IF($C1776&lt;=TODAY()+7,"Vence em 7 dias",IF($C1776&lt;=TODAY()+30,"Vence em 30 dias","Futuro")))))))))</f>
        <v/>
      </c>
      <c r="Z1776" s="24">
        <f>IF($B1776="","",MONTH($B1776))</f>
        <v/>
      </c>
      <c r="AA1776" s="24">
        <f>IF($B1776="","",YEAR($B1776))</f>
        <v/>
      </c>
      <c r="AB1776" s="24">
        <f>IF($B1776="","",ISOWEEKNUM($B1776))</f>
        <v/>
      </c>
      <c r="AC1776" s="17">
        <f>IF($B1776="","",CHOOSE(WEEKDAY($B1776,2),"Segunda","Terça","Quarta","Quinta","Sexta","Sábado","Domingo"))</f>
        <v/>
      </c>
      <c r="AD1776" s="17">
        <f>IF($B1776="","",TEXT($B1776,"MM/AAAA"))</f>
        <v/>
      </c>
      <c r="AE1776" s="18">
        <f>IF(COUNTA($B1776:$R1776)=0,"",IF($X1776="Cancelado",0,ROUND(N($Q1776)+N($S1776)+N($T1776)-N($U1776),2)))</f>
        <v/>
      </c>
      <c r="AF1776" s="9">
        <f>IF($G1776="","",IFERROR(INDEX(LINHAS_DRE_PLANO,MATCH($G1776,SUBCATEGORIAS_PLANO,0)),"Não classificado"))</f>
        <v/>
      </c>
      <c r="AG1776" s="17">
        <f>IF($G1776="","",IFERROR(INDEX(TIPOS_FLUXO_PLANO,MATCH($G1776,SUBCATEGORIAS_PLANO,0)),"Não classificado"))</f>
        <v/>
      </c>
      <c r="AH1776" s="9">
        <f>IF($G1776="","",IFERROR(INDEX(GRUPOS_PLANO,MATCH($G1776,SUBCATEGORIAS_PLANO,0)),"Não classificado"))</f>
        <v/>
      </c>
      <c r="AI1776" s="24">
        <f>IF(OR($C1776="",$X1776="Pago",$X1776="Recebido",$X1776="Cancelado"),"",$C1776-TODAY())</f>
        <v/>
      </c>
      <c r="AJ1776" s="24">
        <f>IF(OR($C1776="",$X1776="Pago",$X1776="Recebido",$X1776="Cancelado"),0,MAX(0,TODAY()-$C1776))</f>
        <v/>
      </c>
      <c r="AK1776" s="24">
        <f>IF($D1776="","",$D1776-$B1776)</f>
        <v/>
      </c>
      <c r="AL1776" s="18">
        <f>IF(OR($D1776="",$B1776=""),"",ROUND(N($R1776)*($D1776-$B1776),2))</f>
        <v/>
      </c>
      <c r="AM1776" s="17">
        <f>IF(AND($E1776="Saída",$W1776&gt;0,$C1776&lt;&gt;""),$C1776+ROW()/1000000,"")</f>
        <v/>
      </c>
      <c r="AN1776" s="17">
        <f>IF(AND($E1776="Entrada",$W1776&gt;0,$C1776&lt;&gt;""),$C1776+ROW()/1000000,"")</f>
        <v/>
      </c>
      <c r="AO1776" s="9">
        <f>IF(COUNTA($B1776:$R1776)=0,"",IF(AND($I1776&lt;&gt;"",COUNTIF(CLIENTES_NOMES,$I1776)+COUNTIF(CLIENTES_FANTASIA,$I1776)+COUNTIF(FORNECEDORES_NOMES,$I1776)+COUNTIF(FORNECEDORES_FANTASIA,$I1776)=0),"⚠ Cliente/Fornecedor não cadastrado",IF(AND($G1776&lt;&gt;"",COUNTIF(SUBCATEGORIAS_PLANO,$G1776)=0),"⚠ Subcategoria fora do plano de contas",IF(OR($Q1776="",N($Q1776)=0),"⚠ Valor previsto não informado",IF(AND(OR($X1776="Pago",$X1776="Recebido"),$D1776=""),"⚠ Status pago/recebido sem data",IF(AND($D1776&lt;&gt;"",N($R1776)=0),"⚠ Data de pagamento sem valor realizado",IF(AND(N($P1776)&gt;1,N($O1776)&gt;N($P1776)),"⚠ Nº da parcela maior que o total",IF(AND($C1776&lt;&gt;"",$B1776&lt;&gt;"",$C1776&lt;$B1776),"⚠ Vencimento anterior à competência","OK"))))))))</f>
        <v/>
      </c>
    </row>
    <row r="1777">
      <c r="A1777" s="14" t="n"/>
      <c r="B1777" s="36" t="n"/>
      <c r="C1777" s="36" t="n"/>
      <c r="D1777" s="36" t="n"/>
      <c r="E1777" s="14" t="n"/>
      <c r="F1777" s="29" t="n"/>
      <c r="G1777" s="29" t="n"/>
      <c r="H1777" s="29" t="n"/>
      <c r="I1777" s="29" t="n"/>
      <c r="J1777" s="29" t="n"/>
      <c r="K1777" s="14" t="n"/>
      <c r="L1777" s="29" t="n"/>
      <c r="M1777" s="14" t="n"/>
      <c r="N1777" s="29" t="n"/>
      <c r="O1777" s="13" t="n"/>
      <c r="P1777" s="13" t="n"/>
      <c r="Q1777" s="35" t="n"/>
      <c r="R1777" s="35" t="n"/>
      <c r="S1777" s="35" t="n"/>
      <c r="T1777" s="35" t="n"/>
      <c r="U1777" s="35" t="n"/>
      <c r="V1777" s="18">
        <f>IF(COUNTA($B1777:$R1777)=0,"",ROUND(N($R1777)+N($S1777)+N($T1777)-N($U1777),2))</f>
        <v/>
      </c>
      <c r="W1777" s="18">
        <f>IF(COUNTA($B1777:$R1777)=0,"",IF(OR($X1777="Pago",$X1777="Recebido",$X1777="Cancelado"),0,ROUND(N($Q1777)+N($S1777)+N($T1777)-N($U1777)-N($R1777),2)))</f>
        <v/>
      </c>
      <c r="X1777" s="14" t="n"/>
      <c r="Y1777" s="17">
        <f>IF(COUNTA($B1777:$R1777)=0,"",IF($X1777="Cancelado","Cancelado",IF(OR($X1777="Pago",$X1777="Recebido"),$X1777,IF(OR($X1777="Parcial",N($R1777)&gt;0),"Parcial",IF($C1777="","Sem vencimento",IF($C1777&lt;TODAY(),"Vencido",IF($C1777=TODAY(),"Vence hoje",IF($C1777&lt;=TODAY()+7,"Vence em 7 dias",IF($C1777&lt;=TODAY()+30,"Vence em 30 dias","Futuro")))))))))</f>
        <v/>
      </c>
      <c r="Z1777" s="24">
        <f>IF($B1777="","",MONTH($B1777))</f>
        <v/>
      </c>
      <c r="AA1777" s="24">
        <f>IF($B1777="","",YEAR($B1777))</f>
        <v/>
      </c>
      <c r="AB1777" s="24">
        <f>IF($B1777="","",ISOWEEKNUM($B1777))</f>
        <v/>
      </c>
      <c r="AC1777" s="17">
        <f>IF($B1777="","",CHOOSE(WEEKDAY($B1777,2),"Segunda","Terça","Quarta","Quinta","Sexta","Sábado","Domingo"))</f>
        <v/>
      </c>
      <c r="AD1777" s="17">
        <f>IF($B1777="","",TEXT($B1777,"MM/AAAA"))</f>
        <v/>
      </c>
      <c r="AE1777" s="18">
        <f>IF(COUNTA($B1777:$R1777)=0,"",IF($X1777="Cancelado",0,ROUND(N($Q1777)+N($S1777)+N($T1777)-N($U1777),2)))</f>
        <v/>
      </c>
      <c r="AF1777" s="9">
        <f>IF($G1777="","",IFERROR(INDEX(LINHAS_DRE_PLANO,MATCH($G1777,SUBCATEGORIAS_PLANO,0)),"Não classificado"))</f>
        <v/>
      </c>
      <c r="AG1777" s="17">
        <f>IF($G1777="","",IFERROR(INDEX(TIPOS_FLUXO_PLANO,MATCH($G1777,SUBCATEGORIAS_PLANO,0)),"Não classificado"))</f>
        <v/>
      </c>
      <c r="AH1777" s="9">
        <f>IF($G1777="","",IFERROR(INDEX(GRUPOS_PLANO,MATCH($G1777,SUBCATEGORIAS_PLANO,0)),"Não classificado"))</f>
        <v/>
      </c>
      <c r="AI1777" s="24">
        <f>IF(OR($C1777="",$X1777="Pago",$X1777="Recebido",$X1777="Cancelado"),"",$C1777-TODAY())</f>
        <v/>
      </c>
      <c r="AJ1777" s="24">
        <f>IF(OR($C1777="",$X1777="Pago",$X1777="Recebido",$X1777="Cancelado"),0,MAX(0,TODAY()-$C1777))</f>
        <v/>
      </c>
      <c r="AK1777" s="24">
        <f>IF($D1777="","",$D1777-$B1777)</f>
        <v/>
      </c>
      <c r="AL1777" s="18">
        <f>IF(OR($D1777="",$B1777=""),"",ROUND(N($R1777)*($D1777-$B1777),2))</f>
        <v/>
      </c>
      <c r="AM1777" s="17">
        <f>IF(AND($E1777="Saída",$W1777&gt;0,$C1777&lt;&gt;""),$C1777+ROW()/1000000,"")</f>
        <v/>
      </c>
      <c r="AN1777" s="17">
        <f>IF(AND($E1777="Entrada",$W1777&gt;0,$C1777&lt;&gt;""),$C1777+ROW()/1000000,"")</f>
        <v/>
      </c>
      <c r="AO1777" s="9">
        <f>IF(COUNTA($B1777:$R1777)=0,"",IF(AND($I1777&lt;&gt;"",COUNTIF(CLIENTES_NOMES,$I1777)+COUNTIF(CLIENTES_FANTASIA,$I1777)+COUNTIF(FORNECEDORES_NOMES,$I1777)+COUNTIF(FORNECEDORES_FANTASIA,$I1777)=0),"⚠ Cliente/Fornecedor não cadastrado",IF(AND($G1777&lt;&gt;"",COUNTIF(SUBCATEGORIAS_PLANO,$G1777)=0),"⚠ Subcategoria fora do plano de contas",IF(OR($Q1777="",N($Q1777)=0),"⚠ Valor previsto não informado",IF(AND(OR($X1777="Pago",$X1777="Recebido"),$D1777=""),"⚠ Status pago/recebido sem data",IF(AND($D1777&lt;&gt;"",N($R1777)=0),"⚠ Data de pagamento sem valor realizado",IF(AND(N($P1777)&gt;1,N($O1777)&gt;N($P1777)),"⚠ Nº da parcela maior que o total",IF(AND($C1777&lt;&gt;"",$B1777&lt;&gt;"",$C1777&lt;$B1777),"⚠ Vencimento anterior à competência","OK"))))))))</f>
        <v/>
      </c>
    </row>
    <row r="1778">
      <c r="A1778" s="14" t="n"/>
      <c r="B1778" s="36" t="n"/>
      <c r="C1778" s="36" t="n"/>
      <c r="D1778" s="36" t="n"/>
      <c r="E1778" s="14" t="n"/>
      <c r="F1778" s="29" t="n"/>
      <c r="G1778" s="29" t="n"/>
      <c r="H1778" s="29" t="n"/>
      <c r="I1778" s="29" t="n"/>
      <c r="J1778" s="29" t="n"/>
      <c r="K1778" s="14" t="n"/>
      <c r="L1778" s="29" t="n"/>
      <c r="M1778" s="14" t="n"/>
      <c r="N1778" s="29" t="n"/>
      <c r="O1778" s="13" t="n"/>
      <c r="P1778" s="13" t="n"/>
      <c r="Q1778" s="35" t="n"/>
      <c r="R1778" s="35" t="n"/>
      <c r="S1778" s="35" t="n"/>
      <c r="T1778" s="35" t="n"/>
      <c r="U1778" s="35" t="n"/>
      <c r="V1778" s="18">
        <f>IF(COUNTA($B1778:$R1778)=0,"",ROUND(N($R1778)+N($S1778)+N($T1778)-N($U1778),2))</f>
        <v/>
      </c>
      <c r="W1778" s="18">
        <f>IF(COUNTA($B1778:$R1778)=0,"",IF(OR($X1778="Pago",$X1778="Recebido",$X1778="Cancelado"),0,ROUND(N($Q1778)+N($S1778)+N($T1778)-N($U1778)-N($R1778),2)))</f>
        <v/>
      </c>
      <c r="X1778" s="14" t="n"/>
      <c r="Y1778" s="17">
        <f>IF(COUNTA($B1778:$R1778)=0,"",IF($X1778="Cancelado","Cancelado",IF(OR($X1778="Pago",$X1778="Recebido"),$X1778,IF(OR($X1778="Parcial",N($R1778)&gt;0),"Parcial",IF($C1778="","Sem vencimento",IF($C1778&lt;TODAY(),"Vencido",IF($C1778=TODAY(),"Vence hoje",IF($C1778&lt;=TODAY()+7,"Vence em 7 dias",IF($C1778&lt;=TODAY()+30,"Vence em 30 dias","Futuro")))))))))</f>
        <v/>
      </c>
      <c r="Z1778" s="24">
        <f>IF($B1778="","",MONTH($B1778))</f>
        <v/>
      </c>
      <c r="AA1778" s="24">
        <f>IF($B1778="","",YEAR($B1778))</f>
        <v/>
      </c>
      <c r="AB1778" s="24">
        <f>IF($B1778="","",ISOWEEKNUM($B1778))</f>
        <v/>
      </c>
      <c r="AC1778" s="17">
        <f>IF($B1778="","",CHOOSE(WEEKDAY($B1778,2),"Segunda","Terça","Quarta","Quinta","Sexta","Sábado","Domingo"))</f>
        <v/>
      </c>
      <c r="AD1778" s="17">
        <f>IF($B1778="","",TEXT($B1778,"MM/AAAA"))</f>
        <v/>
      </c>
      <c r="AE1778" s="18">
        <f>IF(COUNTA($B1778:$R1778)=0,"",IF($X1778="Cancelado",0,ROUND(N($Q1778)+N($S1778)+N($T1778)-N($U1778),2)))</f>
        <v/>
      </c>
      <c r="AF1778" s="9">
        <f>IF($G1778="","",IFERROR(INDEX(LINHAS_DRE_PLANO,MATCH($G1778,SUBCATEGORIAS_PLANO,0)),"Não classificado"))</f>
        <v/>
      </c>
      <c r="AG1778" s="17">
        <f>IF($G1778="","",IFERROR(INDEX(TIPOS_FLUXO_PLANO,MATCH($G1778,SUBCATEGORIAS_PLANO,0)),"Não classificado"))</f>
        <v/>
      </c>
      <c r="AH1778" s="9">
        <f>IF($G1778="","",IFERROR(INDEX(GRUPOS_PLANO,MATCH($G1778,SUBCATEGORIAS_PLANO,0)),"Não classificado"))</f>
        <v/>
      </c>
      <c r="AI1778" s="24">
        <f>IF(OR($C1778="",$X1778="Pago",$X1778="Recebido",$X1778="Cancelado"),"",$C1778-TODAY())</f>
        <v/>
      </c>
      <c r="AJ1778" s="24">
        <f>IF(OR($C1778="",$X1778="Pago",$X1778="Recebido",$X1778="Cancelado"),0,MAX(0,TODAY()-$C1778))</f>
        <v/>
      </c>
      <c r="AK1778" s="24">
        <f>IF($D1778="","",$D1778-$B1778)</f>
        <v/>
      </c>
      <c r="AL1778" s="18">
        <f>IF(OR($D1778="",$B1778=""),"",ROUND(N($R1778)*($D1778-$B1778),2))</f>
        <v/>
      </c>
      <c r="AM1778" s="17">
        <f>IF(AND($E1778="Saída",$W1778&gt;0,$C1778&lt;&gt;""),$C1778+ROW()/1000000,"")</f>
        <v/>
      </c>
      <c r="AN1778" s="17">
        <f>IF(AND($E1778="Entrada",$W1778&gt;0,$C1778&lt;&gt;""),$C1778+ROW()/1000000,"")</f>
        <v/>
      </c>
      <c r="AO1778" s="9">
        <f>IF(COUNTA($B1778:$R1778)=0,"",IF(AND($I1778&lt;&gt;"",COUNTIF(CLIENTES_NOMES,$I1778)+COUNTIF(CLIENTES_FANTASIA,$I1778)+COUNTIF(FORNECEDORES_NOMES,$I1778)+COUNTIF(FORNECEDORES_FANTASIA,$I1778)=0),"⚠ Cliente/Fornecedor não cadastrado",IF(AND($G1778&lt;&gt;"",COUNTIF(SUBCATEGORIAS_PLANO,$G1778)=0),"⚠ Subcategoria fora do plano de contas",IF(OR($Q1778="",N($Q1778)=0),"⚠ Valor previsto não informado",IF(AND(OR($X1778="Pago",$X1778="Recebido"),$D1778=""),"⚠ Status pago/recebido sem data",IF(AND($D1778&lt;&gt;"",N($R1778)=0),"⚠ Data de pagamento sem valor realizado",IF(AND(N($P1778)&gt;1,N($O1778)&gt;N($P1778)),"⚠ Nº da parcela maior que o total",IF(AND($C1778&lt;&gt;"",$B1778&lt;&gt;"",$C1778&lt;$B1778),"⚠ Vencimento anterior à competência","OK"))))))))</f>
        <v/>
      </c>
    </row>
    <row r="1779">
      <c r="A1779" s="14" t="n"/>
      <c r="B1779" s="36" t="n"/>
      <c r="C1779" s="36" t="n"/>
      <c r="D1779" s="36" t="n"/>
      <c r="E1779" s="14" t="n"/>
      <c r="F1779" s="29" t="n"/>
      <c r="G1779" s="29" t="n"/>
      <c r="H1779" s="29" t="n"/>
      <c r="I1779" s="29" t="n"/>
      <c r="J1779" s="29" t="n"/>
      <c r="K1779" s="14" t="n"/>
      <c r="L1779" s="29" t="n"/>
      <c r="M1779" s="14" t="n"/>
      <c r="N1779" s="29" t="n"/>
      <c r="O1779" s="13" t="n"/>
      <c r="P1779" s="13" t="n"/>
      <c r="Q1779" s="35" t="n"/>
      <c r="R1779" s="35" t="n"/>
      <c r="S1779" s="35" t="n"/>
      <c r="T1779" s="35" t="n"/>
      <c r="U1779" s="35" t="n"/>
      <c r="V1779" s="18">
        <f>IF(COUNTA($B1779:$R1779)=0,"",ROUND(N($R1779)+N($S1779)+N($T1779)-N($U1779),2))</f>
        <v/>
      </c>
      <c r="W1779" s="18">
        <f>IF(COUNTA($B1779:$R1779)=0,"",IF(OR($X1779="Pago",$X1779="Recebido",$X1779="Cancelado"),0,ROUND(N($Q1779)+N($S1779)+N($T1779)-N($U1779)-N($R1779),2)))</f>
        <v/>
      </c>
      <c r="X1779" s="14" t="n"/>
      <c r="Y1779" s="17">
        <f>IF(COUNTA($B1779:$R1779)=0,"",IF($X1779="Cancelado","Cancelado",IF(OR($X1779="Pago",$X1779="Recebido"),$X1779,IF(OR($X1779="Parcial",N($R1779)&gt;0),"Parcial",IF($C1779="","Sem vencimento",IF($C1779&lt;TODAY(),"Vencido",IF($C1779=TODAY(),"Vence hoje",IF($C1779&lt;=TODAY()+7,"Vence em 7 dias",IF($C1779&lt;=TODAY()+30,"Vence em 30 dias","Futuro")))))))))</f>
        <v/>
      </c>
      <c r="Z1779" s="24">
        <f>IF($B1779="","",MONTH($B1779))</f>
        <v/>
      </c>
      <c r="AA1779" s="24">
        <f>IF($B1779="","",YEAR($B1779))</f>
        <v/>
      </c>
      <c r="AB1779" s="24">
        <f>IF($B1779="","",ISOWEEKNUM($B1779))</f>
        <v/>
      </c>
      <c r="AC1779" s="17">
        <f>IF($B1779="","",CHOOSE(WEEKDAY($B1779,2),"Segunda","Terça","Quarta","Quinta","Sexta","Sábado","Domingo"))</f>
        <v/>
      </c>
      <c r="AD1779" s="17">
        <f>IF($B1779="","",TEXT($B1779,"MM/AAAA"))</f>
        <v/>
      </c>
      <c r="AE1779" s="18">
        <f>IF(COUNTA($B1779:$R1779)=0,"",IF($X1779="Cancelado",0,ROUND(N($Q1779)+N($S1779)+N($T1779)-N($U1779),2)))</f>
        <v/>
      </c>
      <c r="AF1779" s="9">
        <f>IF($G1779="","",IFERROR(INDEX(LINHAS_DRE_PLANO,MATCH($G1779,SUBCATEGORIAS_PLANO,0)),"Não classificado"))</f>
        <v/>
      </c>
      <c r="AG1779" s="17">
        <f>IF($G1779="","",IFERROR(INDEX(TIPOS_FLUXO_PLANO,MATCH($G1779,SUBCATEGORIAS_PLANO,0)),"Não classificado"))</f>
        <v/>
      </c>
      <c r="AH1779" s="9">
        <f>IF($G1779="","",IFERROR(INDEX(GRUPOS_PLANO,MATCH($G1779,SUBCATEGORIAS_PLANO,0)),"Não classificado"))</f>
        <v/>
      </c>
      <c r="AI1779" s="24">
        <f>IF(OR($C1779="",$X1779="Pago",$X1779="Recebido",$X1779="Cancelado"),"",$C1779-TODAY())</f>
        <v/>
      </c>
      <c r="AJ1779" s="24">
        <f>IF(OR($C1779="",$X1779="Pago",$X1779="Recebido",$X1779="Cancelado"),0,MAX(0,TODAY()-$C1779))</f>
        <v/>
      </c>
      <c r="AK1779" s="24">
        <f>IF($D1779="","",$D1779-$B1779)</f>
        <v/>
      </c>
      <c r="AL1779" s="18">
        <f>IF(OR($D1779="",$B1779=""),"",ROUND(N($R1779)*($D1779-$B1779),2))</f>
        <v/>
      </c>
      <c r="AM1779" s="17">
        <f>IF(AND($E1779="Saída",$W1779&gt;0,$C1779&lt;&gt;""),$C1779+ROW()/1000000,"")</f>
        <v/>
      </c>
      <c r="AN1779" s="17">
        <f>IF(AND($E1779="Entrada",$W1779&gt;0,$C1779&lt;&gt;""),$C1779+ROW()/1000000,"")</f>
        <v/>
      </c>
      <c r="AO1779" s="9">
        <f>IF(COUNTA($B1779:$R1779)=0,"",IF(AND($I1779&lt;&gt;"",COUNTIF(CLIENTES_NOMES,$I1779)+COUNTIF(CLIENTES_FANTASIA,$I1779)+COUNTIF(FORNECEDORES_NOMES,$I1779)+COUNTIF(FORNECEDORES_FANTASIA,$I1779)=0),"⚠ Cliente/Fornecedor não cadastrado",IF(AND($G1779&lt;&gt;"",COUNTIF(SUBCATEGORIAS_PLANO,$G1779)=0),"⚠ Subcategoria fora do plano de contas",IF(OR($Q1779="",N($Q1779)=0),"⚠ Valor previsto não informado",IF(AND(OR($X1779="Pago",$X1779="Recebido"),$D1779=""),"⚠ Status pago/recebido sem data",IF(AND($D1779&lt;&gt;"",N($R1779)=0),"⚠ Data de pagamento sem valor realizado",IF(AND(N($P1779)&gt;1,N($O1779)&gt;N($P1779)),"⚠ Nº da parcela maior que o total",IF(AND($C1779&lt;&gt;"",$B1779&lt;&gt;"",$C1779&lt;$B1779),"⚠ Vencimento anterior à competência","OK"))))))))</f>
        <v/>
      </c>
    </row>
    <row r="1780">
      <c r="A1780" s="14" t="n"/>
      <c r="B1780" s="36" t="n"/>
      <c r="C1780" s="36" t="n"/>
      <c r="D1780" s="36" t="n"/>
      <c r="E1780" s="14" t="n"/>
      <c r="F1780" s="29" t="n"/>
      <c r="G1780" s="29" t="n"/>
      <c r="H1780" s="29" t="n"/>
      <c r="I1780" s="29" t="n"/>
      <c r="J1780" s="29" t="n"/>
      <c r="K1780" s="14" t="n"/>
      <c r="L1780" s="29" t="n"/>
      <c r="M1780" s="14" t="n"/>
      <c r="N1780" s="29" t="n"/>
      <c r="O1780" s="13" t="n"/>
      <c r="P1780" s="13" t="n"/>
      <c r="Q1780" s="35" t="n"/>
      <c r="R1780" s="35" t="n"/>
      <c r="S1780" s="35" t="n"/>
      <c r="T1780" s="35" t="n"/>
      <c r="U1780" s="35" t="n"/>
      <c r="V1780" s="18">
        <f>IF(COUNTA($B1780:$R1780)=0,"",ROUND(N($R1780)+N($S1780)+N($T1780)-N($U1780),2))</f>
        <v/>
      </c>
      <c r="W1780" s="18">
        <f>IF(COUNTA($B1780:$R1780)=0,"",IF(OR($X1780="Pago",$X1780="Recebido",$X1780="Cancelado"),0,ROUND(N($Q1780)+N($S1780)+N($T1780)-N($U1780)-N($R1780),2)))</f>
        <v/>
      </c>
      <c r="X1780" s="14" t="n"/>
      <c r="Y1780" s="17">
        <f>IF(COUNTA($B1780:$R1780)=0,"",IF($X1780="Cancelado","Cancelado",IF(OR($X1780="Pago",$X1780="Recebido"),$X1780,IF(OR($X1780="Parcial",N($R1780)&gt;0),"Parcial",IF($C1780="","Sem vencimento",IF($C1780&lt;TODAY(),"Vencido",IF($C1780=TODAY(),"Vence hoje",IF($C1780&lt;=TODAY()+7,"Vence em 7 dias",IF($C1780&lt;=TODAY()+30,"Vence em 30 dias","Futuro")))))))))</f>
        <v/>
      </c>
      <c r="Z1780" s="24">
        <f>IF($B1780="","",MONTH($B1780))</f>
        <v/>
      </c>
      <c r="AA1780" s="24">
        <f>IF($B1780="","",YEAR($B1780))</f>
        <v/>
      </c>
      <c r="AB1780" s="24">
        <f>IF($B1780="","",ISOWEEKNUM($B1780))</f>
        <v/>
      </c>
      <c r="AC1780" s="17">
        <f>IF($B1780="","",CHOOSE(WEEKDAY($B1780,2),"Segunda","Terça","Quarta","Quinta","Sexta","Sábado","Domingo"))</f>
        <v/>
      </c>
      <c r="AD1780" s="17">
        <f>IF($B1780="","",TEXT($B1780,"MM/AAAA"))</f>
        <v/>
      </c>
      <c r="AE1780" s="18">
        <f>IF(COUNTA($B1780:$R1780)=0,"",IF($X1780="Cancelado",0,ROUND(N($Q1780)+N($S1780)+N($T1780)-N($U1780),2)))</f>
        <v/>
      </c>
      <c r="AF1780" s="9">
        <f>IF($G1780="","",IFERROR(INDEX(LINHAS_DRE_PLANO,MATCH($G1780,SUBCATEGORIAS_PLANO,0)),"Não classificado"))</f>
        <v/>
      </c>
      <c r="AG1780" s="17">
        <f>IF($G1780="","",IFERROR(INDEX(TIPOS_FLUXO_PLANO,MATCH($G1780,SUBCATEGORIAS_PLANO,0)),"Não classificado"))</f>
        <v/>
      </c>
      <c r="AH1780" s="9">
        <f>IF($G1780="","",IFERROR(INDEX(GRUPOS_PLANO,MATCH($G1780,SUBCATEGORIAS_PLANO,0)),"Não classificado"))</f>
        <v/>
      </c>
      <c r="AI1780" s="24">
        <f>IF(OR($C1780="",$X1780="Pago",$X1780="Recebido",$X1780="Cancelado"),"",$C1780-TODAY())</f>
        <v/>
      </c>
      <c r="AJ1780" s="24">
        <f>IF(OR($C1780="",$X1780="Pago",$X1780="Recebido",$X1780="Cancelado"),0,MAX(0,TODAY()-$C1780))</f>
        <v/>
      </c>
      <c r="AK1780" s="24">
        <f>IF($D1780="","",$D1780-$B1780)</f>
        <v/>
      </c>
      <c r="AL1780" s="18">
        <f>IF(OR($D1780="",$B1780=""),"",ROUND(N($R1780)*($D1780-$B1780),2))</f>
        <v/>
      </c>
      <c r="AM1780" s="17">
        <f>IF(AND($E1780="Saída",$W1780&gt;0,$C1780&lt;&gt;""),$C1780+ROW()/1000000,"")</f>
        <v/>
      </c>
      <c r="AN1780" s="17">
        <f>IF(AND($E1780="Entrada",$W1780&gt;0,$C1780&lt;&gt;""),$C1780+ROW()/1000000,"")</f>
        <v/>
      </c>
      <c r="AO1780" s="9">
        <f>IF(COUNTA($B1780:$R1780)=0,"",IF(AND($I1780&lt;&gt;"",COUNTIF(CLIENTES_NOMES,$I1780)+COUNTIF(CLIENTES_FANTASIA,$I1780)+COUNTIF(FORNECEDORES_NOMES,$I1780)+COUNTIF(FORNECEDORES_FANTASIA,$I1780)=0),"⚠ Cliente/Fornecedor não cadastrado",IF(AND($G1780&lt;&gt;"",COUNTIF(SUBCATEGORIAS_PLANO,$G1780)=0),"⚠ Subcategoria fora do plano de contas",IF(OR($Q1780="",N($Q1780)=0),"⚠ Valor previsto não informado",IF(AND(OR($X1780="Pago",$X1780="Recebido"),$D1780=""),"⚠ Status pago/recebido sem data",IF(AND($D1780&lt;&gt;"",N($R1780)=0),"⚠ Data de pagamento sem valor realizado",IF(AND(N($P1780)&gt;1,N($O1780)&gt;N($P1780)),"⚠ Nº da parcela maior que o total",IF(AND($C1780&lt;&gt;"",$B1780&lt;&gt;"",$C1780&lt;$B1780),"⚠ Vencimento anterior à competência","OK"))))))))</f>
        <v/>
      </c>
    </row>
    <row r="1781">
      <c r="A1781" s="14" t="n"/>
      <c r="B1781" s="36" t="n"/>
      <c r="C1781" s="36" t="n"/>
      <c r="D1781" s="36" t="n"/>
      <c r="E1781" s="14" t="n"/>
      <c r="F1781" s="29" t="n"/>
      <c r="G1781" s="29" t="n"/>
      <c r="H1781" s="29" t="n"/>
      <c r="I1781" s="29" t="n"/>
      <c r="J1781" s="29" t="n"/>
      <c r="K1781" s="14" t="n"/>
      <c r="L1781" s="29" t="n"/>
      <c r="M1781" s="14" t="n"/>
      <c r="N1781" s="29" t="n"/>
      <c r="O1781" s="13" t="n"/>
      <c r="P1781" s="13" t="n"/>
      <c r="Q1781" s="35" t="n"/>
      <c r="R1781" s="35" t="n"/>
      <c r="S1781" s="35" t="n"/>
      <c r="T1781" s="35" t="n"/>
      <c r="U1781" s="35" t="n"/>
      <c r="V1781" s="18">
        <f>IF(COUNTA($B1781:$R1781)=0,"",ROUND(N($R1781)+N($S1781)+N($T1781)-N($U1781),2))</f>
        <v/>
      </c>
      <c r="W1781" s="18">
        <f>IF(COUNTA($B1781:$R1781)=0,"",IF(OR($X1781="Pago",$X1781="Recebido",$X1781="Cancelado"),0,ROUND(N($Q1781)+N($S1781)+N($T1781)-N($U1781)-N($R1781),2)))</f>
        <v/>
      </c>
      <c r="X1781" s="14" t="n"/>
      <c r="Y1781" s="17">
        <f>IF(COUNTA($B1781:$R1781)=0,"",IF($X1781="Cancelado","Cancelado",IF(OR($X1781="Pago",$X1781="Recebido"),$X1781,IF(OR($X1781="Parcial",N($R1781)&gt;0),"Parcial",IF($C1781="","Sem vencimento",IF($C1781&lt;TODAY(),"Vencido",IF($C1781=TODAY(),"Vence hoje",IF($C1781&lt;=TODAY()+7,"Vence em 7 dias",IF($C1781&lt;=TODAY()+30,"Vence em 30 dias","Futuro")))))))))</f>
        <v/>
      </c>
      <c r="Z1781" s="24">
        <f>IF($B1781="","",MONTH($B1781))</f>
        <v/>
      </c>
      <c r="AA1781" s="24">
        <f>IF($B1781="","",YEAR($B1781))</f>
        <v/>
      </c>
      <c r="AB1781" s="24">
        <f>IF($B1781="","",ISOWEEKNUM($B1781))</f>
        <v/>
      </c>
      <c r="AC1781" s="17">
        <f>IF($B1781="","",CHOOSE(WEEKDAY($B1781,2),"Segunda","Terça","Quarta","Quinta","Sexta","Sábado","Domingo"))</f>
        <v/>
      </c>
      <c r="AD1781" s="17">
        <f>IF($B1781="","",TEXT($B1781,"MM/AAAA"))</f>
        <v/>
      </c>
      <c r="AE1781" s="18">
        <f>IF(COUNTA($B1781:$R1781)=0,"",IF($X1781="Cancelado",0,ROUND(N($Q1781)+N($S1781)+N($T1781)-N($U1781),2)))</f>
        <v/>
      </c>
      <c r="AF1781" s="9">
        <f>IF($G1781="","",IFERROR(INDEX(LINHAS_DRE_PLANO,MATCH($G1781,SUBCATEGORIAS_PLANO,0)),"Não classificado"))</f>
        <v/>
      </c>
      <c r="AG1781" s="17">
        <f>IF($G1781="","",IFERROR(INDEX(TIPOS_FLUXO_PLANO,MATCH($G1781,SUBCATEGORIAS_PLANO,0)),"Não classificado"))</f>
        <v/>
      </c>
      <c r="AH1781" s="9">
        <f>IF($G1781="","",IFERROR(INDEX(GRUPOS_PLANO,MATCH($G1781,SUBCATEGORIAS_PLANO,0)),"Não classificado"))</f>
        <v/>
      </c>
      <c r="AI1781" s="24">
        <f>IF(OR($C1781="",$X1781="Pago",$X1781="Recebido",$X1781="Cancelado"),"",$C1781-TODAY())</f>
        <v/>
      </c>
      <c r="AJ1781" s="24">
        <f>IF(OR($C1781="",$X1781="Pago",$X1781="Recebido",$X1781="Cancelado"),0,MAX(0,TODAY()-$C1781))</f>
        <v/>
      </c>
      <c r="AK1781" s="24">
        <f>IF($D1781="","",$D1781-$B1781)</f>
        <v/>
      </c>
      <c r="AL1781" s="18">
        <f>IF(OR($D1781="",$B1781=""),"",ROUND(N($R1781)*($D1781-$B1781),2))</f>
        <v/>
      </c>
      <c r="AM1781" s="17">
        <f>IF(AND($E1781="Saída",$W1781&gt;0,$C1781&lt;&gt;""),$C1781+ROW()/1000000,"")</f>
        <v/>
      </c>
      <c r="AN1781" s="17">
        <f>IF(AND($E1781="Entrada",$W1781&gt;0,$C1781&lt;&gt;""),$C1781+ROW()/1000000,"")</f>
        <v/>
      </c>
      <c r="AO1781" s="9">
        <f>IF(COUNTA($B1781:$R1781)=0,"",IF(AND($I1781&lt;&gt;"",COUNTIF(CLIENTES_NOMES,$I1781)+COUNTIF(CLIENTES_FANTASIA,$I1781)+COUNTIF(FORNECEDORES_NOMES,$I1781)+COUNTIF(FORNECEDORES_FANTASIA,$I1781)=0),"⚠ Cliente/Fornecedor não cadastrado",IF(AND($G1781&lt;&gt;"",COUNTIF(SUBCATEGORIAS_PLANO,$G1781)=0),"⚠ Subcategoria fora do plano de contas",IF(OR($Q1781="",N($Q1781)=0),"⚠ Valor previsto não informado",IF(AND(OR($X1781="Pago",$X1781="Recebido"),$D1781=""),"⚠ Status pago/recebido sem data",IF(AND($D1781&lt;&gt;"",N($R1781)=0),"⚠ Data de pagamento sem valor realizado",IF(AND(N($P1781)&gt;1,N($O1781)&gt;N($P1781)),"⚠ Nº da parcela maior que o total",IF(AND($C1781&lt;&gt;"",$B1781&lt;&gt;"",$C1781&lt;$B1781),"⚠ Vencimento anterior à competência","OK"))))))))</f>
        <v/>
      </c>
    </row>
    <row r="1782">
      <c r="A1782" s="14" t="n"/>
      <c r="B1782" s="36" t="n"/>
      <c r="C1782" s="36" t="n"/>
      <c r="D1782" s="36" t="n"/>
      <c r="E1782" s="14" t="n"/>
      <c r="F1782" s="29" t="n"/>
      <c r="G1782" s="29" t="n"/>
      <c r="H1782" s="29" t="n"/>
      <c r="I1782" s="29" t="n"/>
      <c r="J1782" s="29" t="n"/>
      <c r="K1782" s="14" t="n"/>
      <c r="L1782" s="29" t="n"/>
      <c r="M1782" s="14" t="n"/>
      <c r="N1782" s="29" t="n"/>
      <c r="O1782" s="13" t="n"/>
      <c r="P1782" s="13" t="n"/>
      <c r="Q1782" s="35" t="n"/>
      <c r="R1782" s="35" t="n"/>
      <c r="S1782" s="35" t="n"/>
      <c r="T1782" s="35" t="n"/>
      <c r="U1782" s="35" t="n"/>
      <c r="V1782" s="18">
        <f>IF(COUNTA($B1782:$R1782)=0,"",ROUND(N($R1782)+N($S1782)+N($T1782)-N($U1782),2))</f>
        <v/>
      </c>
      <c r="W1782" s="18">
        <f>IF(COUNTA($B1782:$R1782)=0,"",IF(OR($X1782="Pago",$X1782="Recebido",$X1782="Cancelado"),0,ROUND(N($Q1782)+N($S1782)+N($T1782)-N($U1782)-N($R1782),2)))</f>
        <v/>
      </c>
      <c r="X1782" s="14" t="n"/>
      <c r="Y1782" s="17">
        <f>IF(COUNTA($B1782:$R1782)=0,"",IF($X1782="Cancelado","Cancelado",IF(OR($X1782="Pago",$X1782="Recebido"),$X1782,IF(OR($X1782="Parcial",N($R1782)&gt;0),"Parcial",IF($C1782="","Sem vencimento",IF($C1782&lt;TODAY(),"Vencido",IF($C1782=TODAY(),"Vence hoje",IF($C1782&lt;=TODAY()+7,"Vence em 7 dias",IF($C1782&lt;=TODAY()+30,"Vence em 30 dias","Futuro")))))))))</f>
        <v/>
      </c>
      <c r="Z1782" s="24">
        <f>IF($B1782="","",MONTH($B1782))</f>
        <v/>
      </c>
      <c r="AA1782" s="24">
        <f>IF($B1782="","",YEAR($B1782))</f>
        <v/>
      </c>
      <c r="AB1782" s="24">
        <f>IF($B1782="","",ISOWEEKNUM($B1782))</f>
        <v/>
      </c>
      <c r="AC1782" s="17">
        <f>IF($B1782="","",CHOOSE(WEEKDAY($B1782,2),"Segunda","Terça","Quarta","Quinta","Sexta","Sábado","Domingo"))</f>
        <v/>
      </c>
      <c r="AD1782" s="17">
        <f>IF($B1782="","",TEXT($B1782,"MM/AAAA"))</f>
        <v/>
      </c>
      <c r="AE1782" s="18">
        <f>IF(COUNTA($B1782:$R1782)=0,"",IF($X1782="Cancelado",0,ROUND(N($Q1782)+N($S1782)+N($T1782)-N($U1782),2)))</f>
        <v/>
      </c>
      <c r="AF1782" s="9">
        <f>IF($G1782="","",IFERROR(INDEX(LINHAS_DRE_PLANO,MATCH($G1782,SUBCATEGORIAS_PLANO,0)),"Não classificado"))</f>
        <v/>
      </c>
      <c r="AG1782" s="17">
        <f>IF($G1782="","",IFERROR(INDEX(TIPOS_FLUXO_PLANO,MATCH($G1782,SUBCATEGORIAS_PLANO,0)),"Não classificado"))</f>
        <v/>
      </c>
      <c r="AH1782" s="9">
        <f>IF($G1782="","",IFERROR(INDEX(GRUPOS_PLANO,MATCH($G1782,SUBCATEGORIAS_PLANO,0)),"Não classificado"))</f>
        <v/>
      </c>
      <c r="AI1782" s="24">
        <f>IF(OR($C1782="",$X1782="Pago",$X1782="Recebido",$X1782="Cancelado"),"",$C1782-TODAY())</f>
        <v/>
      </c>
      <c r="AJ1782" s="24">
        <f>IF(OR($C1782="",$X1782="Pago",$X1782="Recebido",$X1782="Cancelado"),0,MAX(0,TODAY()-$C1782))</f>
        <v/>
      </c>
      <c r="AK1782" s="24">
        <f>IF($D1782="","",$D1782-$B1782)</f>
        <v/>
      </c>
      <c r="AL1782" s="18">
        <f>IF(OR($D1782="",$B1782=""),"",ROUND(N($R1782)*($D1782-$B1782),2))</f>
        <v/>
      </c>
      <c r="AM1782" s="17">
        <f>IF(AND($E1782="Saída",$W1782&gt;0,$C1782&lt;&gt;""),$C1782+ROW()/1000000,"")</f>
        <v/>
      </c>
      <c r="AN1782" s="17">
        <f>IF(AND($E1782="Entrada",$W1782&gt;0,$C1782&lt;&gt;""),$C1782+ROW()/1000000,"")</f>
        <v/>
      </c>
      <c r="AO1782" s="9">
        <f>IF(COUNTA($B1782:$R1782)=0,"",IF(AND($I1782&lt;&gt;"",COUNTIF(CLIENTES_NOMES,$I1782)+COUNTIF(CLIENTES_FANTASIA,$I1782)+COUNTIF(FORNECEDORES_NOMES,$I1782)+COUNTIF(FORNECEDORES_FANTASIA,$I1782)=0),"⚠ Cliente/Fornecedor não cadastrado",IF(AND($G1782&lt;&gt;"",COUNTIF(SUBCATEGORIAS_PLANO,$G1782)=0),"⚠ Subcategoria fora do plano de contas",IF(OR($Q1782="",N($Q1782)=0),"⚠ Valor previsto não informado",IF(AND(OR($X1782="Pago",$X1782="Recebido"),$D1782=""),"⚠ Status pago/recebido sem data",IF(AND($D1782&lt;&gt;"",N($R1782)=0),"⚠ Data de pagamento sem valor realizado",IF(AND(N($P1782)&gt;1,N($O1782)&gt;N($P1782)),"⚠ Nº da parcela maior que o total",IF(AND($C1782&lt;&gt;"",$B1782&lt;&gt;"",$C1782&lt;$B1782),"⚠ Vencimento anterior à competência","OK"))))))))</f>
        <v/>
      </c>
    </row>
    <row r="1783">
      <c r="A1783" s="14" t="n"/>
      <c r="B1783" s="36" t="n"/>
      <c r="C1783" s="36" t="n"/>
      <c r="D1783" s="36" t="n"/>
      <c r="E1783" s="14" t="n"/>
      <c r="F1783" s="29" t="n"/>
      <c r="G1783" s="29" t="n"/>
      <c r="H1783" s="29" t="n"/>
      <c r="I1783" s="29" t="n"/>
      <c r="J1783" s="29" t="n"/>
      <c r="K1783" s="14" t="n"/>
      <c r="L1783" s="29" t="n"/>
      <c r="M1783" s="14" t="n"/>
      <c r="N1783" s="29" t="n"/>
      <c r="O1783" s="13" t="n"/>
      <c r="P1783" s="13" t="n"/>
      <c r="Q1783" s="35" t="n"/>
      <c r="R1783" s="35" t="n"/>
      <c r="S1783" s="35" t="n"/>
      <c r="T1783" s="35" t="n"/>
      <c r="U1783" s="35" t="n"/>
      <c r="V1783" s="18">
        <f>IF(COUNTA($B1783:$R1783)=0,"",ROUND(N($R1783)+N($S1783)+N($T1783)-N($U1783),2))</f>
        <v/>
      </c>
      <c r="W1783" s="18">
        <f>IF(COUNTA($B1783:$R1783)=0,"",IF(OR($X1783="Pago",$X1783="Recebido",$X1783="Cancelado"),0,ROUND(N($Q1783)+N($S1783)+N($T1783)-N($U1783)-N($R1783),2)))</f>
        <v/>
      </c>
      <c r="X1783" s="14" t="n"/>
      <c r="Y1783" s="17">
        <f>IF(COUNTA($B1783:$R1783)=0,"",IF($X1783="Cancelado","Cancelado",IF(OR($X1783="Pago",$X1783="Recebido"),$X1783,IF(OR($X1783="Parcial",N($R1783)&gt;0),"Parcial",IF($C1783="","Sem vencimento",IF($C1783&lt;TODAY(),"Vencido",IF($C1783=TODAY(),"Vence hoje",IF($C1783&lt;=TODAY()+7,"Vence em 7 dias",IF($C1783&lt;=TODAY()+30,"Vence em 30 dias","Futuro")))))))))</f>
        <v/>
      </c>
      <c r="Z1783" s="24">
        <f>IF($B1783="","",MONTH($B1783))</f>
        <v/>
      </c>
      <c r="AA1783" s="24">
        <f>IF($B1783="","",YEAR($B1783))</f>
        <v/>
      </c>
      <c r="AB1783" s="24">
        <f>IF($B1783="","",ISOWEEKNUM($B1783))</f>
        <v/>
      </c>
      <c r="AC1783" s="17">
        <f>IF($B1783="","",CHOOSE(WEEKDAY($B1783,2),"Segunda","Terça","Quarta","Quinta","Sexta","Sábado","Domingo"))</f>
        <v/>
      </c>
      <c r="AD1783" s="17">
        <f>IF($B1783="","",TEXT($B1783,"MM/AAAA"))</f>
        <v/>
      </c>
      <c r="AE1783" s="18">
        <f>IF(COUNTA($B1783:$R1783)=0,"",IF($X1783="Cancelado",0,ROUND(N($Q1783)+N($S1783)+N($T1783)-N($U1783),2)))</f>
        <v/>
      </c>
      <c r="AF1783" s="9">
        <f>IF($G1783="","",IFERROR(INDEX(LINHAS_DRE_PLANO,MATCH($G1783,SUBCATEGORIAS_PLANO,0)),"Não classificado"))</f>
        <v/>
      </c>
      <c r="AG1783" s="17">
        <f>IF($G1783="","",IFERROR(INDEX(TIPOS_FLUXO_PLANO,MATCH($G1783,SUBCATEGORIAS_PLANO,0)),"Não classificado"))</f>
        <v/>
      </c>
      <c r="AH1783" s="9">
        <f>IF($G1783="","",IFERROR(INDEX(GRUPOS_PLANO,MATCH($G1783,SUBCATEGORIAS_PLANO,0)),"Não classificado"))</f>
        <v/>
      </c>
      <c r="AI1783" s="24">
        <f>IF(OR($C1783="",$X1783="Pago",$X1783="Recebido",$X1783="Cancelado"),"",$C1783-TODAY())</f>
        <v/>
      </c>
      <c r="AJ1783" s="24">
        <f>IF(OR($C1783="",$X1783="Pago",$X1783="Recebido",$X1783="Cancelado"),0,MAX(0,TODAY()-$C1783))</f>
        <v/>
      </c>
      <c r="AK1783" s="24">
        <f>IF($D1783="","",$D1783-$B1783)</f>
        <v/>
      </c>
      <c r="AL1783" s="18">
        <f>IF(OR($D1783="",$B1783=""),"",ROUND(N($R1783)*($D1783-$B1783),2))</f>
        <v/>
      </c>
      <c r="AM1783" s="17">
        <f>IF(AND($E1783="Saída",$W1783&gt;0,$C1783&lt;&gt;""),$C1783+ROW()/1000000,"")</f>
        <v/>
      </c>
      <c r="AN1783" s="17">
        <f>IF(AND($E1783="Entrada",$W1783&gt;0,$C1783&lt;&gt;""),$C1783+ROW()/1000000,"")</f>
        <v/>
      </c>
      <c r="AO1783" s="9">
        <f>IF(COUNTA($B1783:$R1783)=0,"",IF(AND($I1783&lt;&gt;"",COUNTIF(CLIENTES_NOMES,$I1783)+COUNTIF(CLIENTES_FANTASIA,$I1783)+COUNTIF(FORNECEDORES_NOMES,$I1783)+COUNTIF(FORNECEDORES_FANTASIA,$I1783)=0),"⚠ Cliente/Fornecedor não cadastrado",IF(AND($G1783&lt;&gt;"",COUNTIF(SUBCATEGORIAS_PLANO,$G1783)=0),"⚠ Subcategoria fora do plano de contas",IF(OR($Q1783="",N($Q1783)=0),"⚠ Valor previsto não informado",IF(AND(OR($X1783="Pago",$X1783="Recebido"),$D1783=""),"⚠ Status pago/recebido sem data",IF(AND($D1783&lt;&gt;"",N($R1783)=0),"⚠ Data de pagamento sem valor realizado",IF(AND(N($P1783)&gt;1,N($O1783)&gt;N($P1783)),"⚠ Nº da parcela maior que o total",IF(AND($C1783&lt;&gt;"",$B1783&lt;&gt;"",$C1783&lt;$B1783),"⚠ Vencimento anterior à competência","OK"))))))))</f>
        <v/>
      </c>
    </row>
    <row r="1784">
      <c r="A1784" s="14" t="n"/>
      <c r="B1784" s="36" t="n"/>
      <c r="C1784" s="36" t="n"/>
      <c r="D1784" s="36" t="n"/>
      <c r="E1784" s="14" t="n"/>
      <c r="F1784" s="29" t="n"/>
      <c r="G1784" s="29" t="n"/>
      <c r="H1784" s="29" t="n"/>
      <c r="I1784" s="29" t="n"/>
      <c r="J1784" s="29" t="n"/>
      <c r="K1784" s="14" t="n"/>
      <c r="L1784" s="29" t="n"/>
      <c r="M1784" s="14" t="n"/>
      <c r="N1784" s="29" t="n"/>
      <c r="O1784" s="13" t="n"/>
      <c r="P1784" s="13" t="n"/>
      <c r="Q1784" s="35" t="n"/>
      <c r="R1784" s="35" t="n"/>
      <c r="S1784" s="35" t="n"/>
      <c r="T1784" s="35" t="n"/>
      <c r="U1784" s="35" t="n"/>
      <c r="V1784" s="18">
        <f>IF(COUNTA($B1784:$R1784)=0,"",ROUND(N($R1784)+N($S1784)+N($T1784)-N($U1784),2))</f>
        <v/>
      </c>
      <c r="W1784" s="18">
        <f>IF(COUNTA($B1784:$R1784)=0,"",IF(OR($X1784="Pago",$X1784="Recebido",$X1784="Cancelado"),0,ROUND(N($Q1784)+N($S1784)+N($T1784)-N($U1784)-N($R1784),2)))</f>
        <v/>
      </c>
      <c r="X1784" s="14" t="n"/>
      <c r="Y1784" s="17">
        <f>IF(COUNTA($B1784:$R1784)=0,"",IF($X1784="Cancelado","Cancelado",IF(OR($X1784="Pago",$X1784="Recebido"),$X1784,IF(OR($X1784="Parcial",N($R1784)&gt;0),"Parcial",IF($C1784="","Sem vencimento",IF($C1784&lt;TODAY(),"Vencido",IF($C1784=TODAY(),"Vence hoje",IF($C1784&lt;=TODAY()+7,"Vence em 7 dias",IF($C1784&lt;=TODAY()+30,"Vence em 30 dias","Futuro")))))))))</f>
        <v/>
      </c>
      <c r="Z1784" s="24">
        <f>IF($B1784="","",MONTH($B1784))</f>
        <v/>
      </c>
      <c r="AA1784" s="24">
        <f>IF($B1784="","",YEAR($B1784))</f>
        <v/>
      </c>
      <c r="AB1784" s="24">
        <f>IF($B1784="","",ISOWEEKNUM($B1784))</f>
        <v/>
      </c>
      <c r="AC1784" s="17">
        <f>IF($B1784="","",CHOOSE(WEEKDAY($B1784,2),"Segunda","Terça","Quarta","Quinta","Sexta","Sábado","Domingo"))</f>
        <v/>
      </c>
      <c r="AD1784" s="17">
        <f>IF($B1784="","",TEXT($B1784,"MM/AAAA"))</f>
        <v/>
      </c>
      <c r="AE1784" s="18">
        <f>IF(COUNTA($B1784:$R1784)=0,"",IF($X1784="Cancelado",0,ROUND(N($Q1784)+N($S1784)+N($T1784)-N($U1784),2)))</f>
        <v/>
      </c>
      <c r="AF1784" s="9">
        <f>IF($G1784="","",IFERROR(INDEX(LINHAS_DRE_PLANO,MATCH($G1784,SUBCATEGORIAS_PLANO,0)),"Não classificado"))</f>
        <v/>
      </c>
      <c r="AG1784" s="17">
        <f>IF($G1784="","",IFERROR(INDEX(TIPOS_FLUXO_PLANO,MATCH($G1784,SUBCATEGORIAS_PLANO,0)),"Não classificado"))</f>
        <v/>
      </c>
      <c r="AH1784" s="9">
        <f>IF($G1784="","",IFERROR(INDEX(GRUPOS_PLANO,MATCH($G1784,SUBCATEGORIAS_PLANO,0)),"Não classificado"))</f>
        <v/>
      </c>
      <c r="AI1784" s="24">
        <f>IF(OR($C1784="",$X1784="Pago",$X1784="Recebido",$X1784="Cancelado"),"",$C1784-TODAY())</f>
        <v/>
      </c>
      <c r="AJ1784" s="24">
        <f>IF(OR($C1784="",$X1784="Pago",$X1784="Recebido",$X1784="Cancelado"),0,MAX(0,TODAY()-$C1784))</f>
        <v/>
      </c>
      <c r="AK1784" s="24">
        <f>IF($D1784="","",$D1784-$B1784)</f>
        <v/>
      </c>
      <c r="AL1784" s="18">
        <f>IF(OR($D1784="",$B1784=""),"",ROUND(N($R1784)*($D1784-$B1784),2))</f>
        <v/>
      </c>
      <c r="AM1784" s="17">
        <f>IF(AND($E1784="Saída",$W1784&gt;0,$C1784&lt;&gt;""),$C1784+ROW()/1000000,"")</f>
        <v/>
      </c>
      <c r="AN1784" s="17">
        <f>IF(AND($E1784="Entrada",$W1784&gt;0,$C1784&lt;&gt;""),$C1784+ROW()/1000000,"")</f>
        <v/>
      </c>
      <c r="AO1784" s="9">
        <f>IF(COUNTA($B1784:$R1784)=0,"",IF(AND($I1784&lt;&gt;"",COUNTIF(CLIENTES_NOMES,$I1784)+COUNTIF(CLIENTES_FANTASIA,$I1784)+COUNTIF(FORNECEDORES_NOMES,$I1784)+COUNTIF(FORNECEDORES_FANTASIA,$I1784)=0),"⚠ Cliente/Fornecedor não cadastrado",IF(AND($G1784&lt;&gt;"",COUNTIF(SUBCATEGORIAS_PLANO,$G1784)=0),"⚠ Subcategoria fora do plano de contas",IF(OR($Q1784="",N($Q1784)=0),"⚠ Valor previsto não informado",IF(AND(OR($X1784="Pago",$X1784="Recebido"),$D1784=""),"⚠ Status pago/recebido sem data",IF(AND($D1784&lt;&gt;"",N($R1784)=0),"⚠ Data de pagamento sem valor realizado",IF(AND(N($P1784)&gt;1,N($O1784)&gt;N($P1784)),"⚠ Nº da parcela maior que o total",IF(AND($C1784&lt;&gt;"",$B1784&lt;&gt;"",$C1784&lt;$B1784),"⚠ Vencimento anterior à competência","OK"))))))))</f>
        <v/>
      </c>
    </row>
    <row r="1785">
      <c r="A1785" s="14" t="n"/>
      <c r="B1785" s="36" t="n"/>
      <c r="C1785" s="36" t="n"/>
      <c r="D1785" s="36" t="n"/>
      <c r="E1785" s="14" t="n"/>
      <c r="F1785" s="29" t="n"/>
      <c r="G1785" s="29" t="n"/>
      <c r="H1785" s="29" t="n"/>
      <c r="I1785" s="29" t="n"/>
      <c r="J1785" s="29" t="n"/>
      <c r="K1785" s="14" t="n"/>
      <c r="L1785" s="29" t="n"/>
      <c r="M1785" s="14" t="n"/>
      <c r="N1785" s="29" t="n"/>
      <c r="O1785" s="13" t="n"/>
      <c r="P1785" s="13" t="n"/>
      <c r="Q1785" s="35" t="n"/>
      <c r="R1785" s="35" t="n"/>
      <c r="S1785" s="35" t="n"/>
      <c r="T1785" s="35" t="n"/>
      <c r="U1785" s="35" t="n"/>
      <c r="V1785" s="18">
        <f>IF(COUNTA($B1785:$R1785)=0,"",ROUND(N($R1785)+N($S1785)+N($T1785)-N($U1785),2))</f>
        <v/>
      </c>
      <c r="W1785" s="18">
        <f>IF(COUNTA($B1785:$R1785)=0,"",IF(OR($X1785="Pago",$X1785="Recebido",$X1785="Cancelado"),0,ROUND(N($Q1785)+N($S1785)+N($T1785)-N($U1785)-N($R1785),2)))</f>
        <v/>
      </c>
      <c r="X1785" s="14" t="n"/>
      <c r="Y1785" s="17">
        <f>IF(COUNTA($B1785:$R1785)=0,"",IF($X1785="Cancelado","Cancelado",IF(OR($X1785="Pago",$X1785="Recebido"),$X1785,IF(OR($X1785="Parcial",N($R1785)&gt;0),"Parcial",IF($C1785="","Sem vencimento",IF($C1785&lt;TODAY(),"Vencido",IF($C1785=TODAY(),"Vence hoje",IF($C1785&lt;=TODAY()+7,"Vence em 7 dias",IF($C1785&lt;=TODAY()+30,"Vence em 30 dias","Futuro")))))))))</f>
        <v/>
      </c>
      <c r="Z1785" s="24">
        <f>IF($B1785="","",MONTH($B1785))</f>
        <v/>
      </c>
      <c r="AA1785" s="24">
        <f>IF($B1785="","",YEAR($B1785))</f>
        <v/>
      </c>
      <c r="AB1785" s="24">
        <f>IF($B1785="","",ISOWEEKNUM($B1785))</f>
        <v/>
      </c>
      <c r="AC1785" s="17">
        <f>IF($B1785="","",CHOOSE(WEEKDAY($B1785,2),"Segunda","Terça","Quarta","Quinta","Sexta","Sábado","Domingo"))</f>
        <v/>
      </c>
      <c r="AD1785" s="17">
        <f>IF($B1785="","",TEXT($B1785,"MM/AAAA"))</f>
        <v/>
      </c>
      <c r="AE1785" s="18">
        <f>IF(COUNTA($B1785:$R1785)=0,"",IF($X1785="Cancelado",0,ROUND(N($Q1785)+N($S1785)+N($T1785)-N($U1785),2)))</f>
        <v/>
      </c>
      <c r="AF1785" s="9">
        <f>IF($G1785="","",IFERROR(INDEX(LINHAS_DRE_PLANO,MATCH($G1785,SUBCATEGORIAS_PLANO,0)),"Não classificado"))</f>
        <v/>
      </c>
      <c r="AG1785" s="17">
        <f>IF($G1785="","",IFERROR(INDEX(TIPOS_FLUXO_PLANO,MATCH($G1785,SUBCATEGORIAS_PLANO,0)),"Não classificado"))</f>
        <v/>
      </c>
      <c r="AH1785" s="9">
        <f>IF($G1785="","",IFERROR(INDEX(GRUPOS_PLANO,MATCH($G1785,SUBCATEGORIAS_PLANO,0)),"Não classificado"))</f>
        <v/>
      </c>
      <c r="AI1785" s="24">
        <f>IF(OR($C1785="",$X1785="Pago",$X1785="Recebido",$X1785="Cancelado"),"",$C1785-TODAY())</f>
        <v/>
      </c>
      <c r="AJ1785" s="24">
        <f>IF(OR($C1785="",$X1785="Pago",$X1785="Recebido",$X1785="Cancelado"),0,MAX(0,TODAY()-$C1785))</f>
        <v/>
      </c>
      <c r="AK1785" s="24">
        <f>IF($D1785="","",$D1785-$B1785)</f>
        <v/>
      </c>
      <c r="AL1785" s="18">
        <f>IF(OR($D1785="",$B1785=""),"",ROUND(N($R1785)*($D1785-$B1785),2))</f>
        <v/>
      </c>
      <c r="AM1785" s="17">
        <f>IF(AND($E1785="Saída",$W1785&gt;0,$C1785&lt;&gt;""),$C1785+ROW()/1000000,"")</f>
        <v/>
      </c>
      <c r="AN1785" s="17">
        <f>IF(AND($E1785="Entrada",$W1785&gt;0,$C1785&lt;&gt;""),$C1785+ROW()/1000000,"")</f>
        <v/>
      </c>
      <c r="AO1785" s="9">
        <f>IF(COUNTA($B1785:$R1785)=0,"",IF(AND($I1785&lt;&gt;"",COUNTIF(CLIENTES_NOMES,$I1785)+COUNTIF(CLIENTES_FANTASIA,$I1785)+COUNTIF(FORNECEDORES_NOMES,$I1785)+COUNTIF(FORNECEDORES_FANTASIA,$I1785)=0),"⚠ Cliente/Fornecedor não cadastrado",IF(AND($G1785&lt;&gt;"",COUNTIF(SUBCATEGORIAS_PLANO,$G1785)=0),"⚠ Subcategoria fora do plano de contas",IF(OR($Q1785="",N($Q1785)=0),"⚠ Valor previsto não informado",IF(AND(OR($X1785="Pago",$X1785="Recebido"),$D1785=""),"⚠ Status pago/recebido sem data",IF(AND($D1785&lt;&gt;"",N($R1785)=0),"⚠ Data de pagamento sem valor realizado",IF(AND(N($P1785)&gt;1,N($O1785)&gt;N($P1785)),"⚠ Nº da parcela maior que o total",IF(AND($C1785&lt;&gt;"",$B1785&lt;&gt;"",$C1785&lt;$B1785),"⚠ Vencimento anterior à competência","OK"))))))))</f>
        <v/>
      </c>
    </row>
    <row r="1786">
      <c r="A1786" s="14" t="n"/>
      <c r="B1786" s="36" t="n"/>
      <c r="C1786" s="36" t="n"/>
      <c r="D1786" s="36" t="n"/>
      <c r="E1786" s="14" t="n"/>
      <c r="F1786" s="29" t="n"/>
      <c r="G1786" s="29" t="n"/>
      <c r="H1786" s="29" t="n"/>
      <c r="I1786" s="29" t="n"/>
      <c r="J1786" s="29" t="n"/>
      <c r="K1786" s="14" t="n"/>
      <c r="L1786" s="29" t="n"/>
      <c r="M1786" s="14" t="n"/>
      <c r="N1786" s="29" t="n"/>
      <c r="O1786" s="13" t="n"/>
      <c r="P1786" s="13" t="n"/>
      <c r="Q1786" s="35" t="n"/>
      <c r="R1786" s="35" t="n"/>
      <c r="S1786" s="35" t="n"/>
      <c r="T1786" s="35" t="n"/>
      <c r="U1786" s="35" t="n"/>
      <c r="V1786" s="18">
        <f>IF(COUNTA($B1786:$R1786)=0,"",ROUND(N($R1786)+N($S1786)+N($T1786)-N($U1786),2))</f>
        <v/>
      </c>
      <c r="W1786" s="18">
        <f>IF(COUNTA($B1786:$R1786)=0,"",IF(OR($X1786="Pago",$X1786="Recebido",$X1786="Cancelado"),0,ROUND(N($Q1786)+N($S1786)+N($T1786)-N($U1786)-N($R1786),2)))</f>
        <v/>
      </c>
      <c r="X1786" s="14" t="n"/>
      <c r="Y1786" s="17">
        <f>IF(COUNTA($B1786:$R1786)=0,"",IF($X1786="Cancelado","Cancelado",IF(OR($X1786="Pago",$X1786="Recebido"),$X1786,IF(OR($X1786="Parcial",N($R1786)&gt;0),"Parcial",IF($C1786="","Sem vencimento",IF($C1786&lt;TODAY(),"Vencido",IF($C1786=TODAY(),"Vence hoje",IF($C1786&lt;=TODAY()+7,"Vence em 7 dias",IF($C1786&lt;=TODAY()+30,"Vence em 30 dias","Futuro")))))))))</f>
        <v/>
      </c>
      <c r="Z1786" s="24">
        <f>IF($B1786="","",MONTH($B1786))</f>
        <v/>
      </c>
      <c r="AA1786" s="24">
        <f>IF($B1786="","",YEAR($B1786))</f>
        <v/>
      </c>
      <c r="AB1786" s="24">
        <f>IF($B1786="","",ISOWEEKNUM($B1786))</f>
        <v/>
      </c>
      <c r="AC1786" s="17">
        <f>IF($B1786="","",CHOOSE(WEEKDAY($B1786,2),"Segunda","Terça","Quarta","Quinta","Sexta","Sábado","Domingo"))</f>
        <v/>
      </c>
      <c r="AD1786" s="17">
        <f>IF($B1786="","",TEXT($B1786,"MM/AAAA"))</f>
        <v/>
      </c>
      <c r="AE1786" s="18">
        <f>IF(COUNTA($B1786:$R1786)=0,"",IF($X1786="Cancelado",0,ROUND(N($Q1786)+N($S1786)+N($T1786)-N($U1786),2)))</f>
        <v/>
      </c>
      <c r="AF1786" s="9">
        <f>IF($G1786="","",IFERROR(INDEX(LINHAS_DRE_PLANO,MATCH($G1786,SUBCATEGORIAS_PLANO,0)),"Não classificado"))</f>
        <v/>
      </c>
      <c r="AG1786" s="17">
        <f>IF($G1786="","",IFERROR(INDEX(TIPOS_FLUXO_PLANO,MATCH($G1786,SUBCATEGORIAS_PLANO,0)),"Não classificado"))</f>
        <v/>
      </c>
      <c r="AH1786" s="9">
        <f>IF($G1786="","",IFERROR(INDEX(GRUPOS_PLANO,MATCH($G1786,SUBCATEGORIAS_PLANO,0)),"Não classificado"))</f>
        <v/>
      </c>
      <c r="AI1786" s="24">
        <f>IF(OR($C1786="",$X1786="Pago",$X1786="Recebido",$X1786="Cancelado"),"",$C1786-TODAY())</f>
        <v/>
      </c>
      <c r="AJ1786" s="24">
        <f>IF(OR($C1786="",$X1786="Pago",$X1786="Recebido",$X1786="Cancelado"),0,MAX(0,TODAY()-$C1786))</f>
        <v/>
      </c>
      <c r="AK1786" s="24">
        <f>IF($D1786="","",$D1786-$B1786)</f>
        <v/>
      </c>
      <c r="AL1786" s="18">
        <f>IF(OR($D1786="",$B1786=""),"",ROUND(N($R1786)*($D1786-$B1786),2))</f>
        <v/>
      </c>
      <c r="AM1786" s="17">
        <f>IF(AND($E1786="Saída",$W1786&gt;0,$C1786&lt;&gt;""),$C1786+ROW()/1000000,"")</f>
        <v/>
      </c>
      <c r="AN1786" s="17">
        <f>IF(AND($E1786="Entrada",$W1786&gt;0,$C1786&lt;&gt;""),$C1786+ROW()/1000000,"")</f>
        <v/>
      </c>
      <c r="AO1786" s="9">
        <f>IF(COUNTA($B1786:$R1786)=0,"",IF(AND($I1786&lt;&gt;"",COUNTIF(CLIENTES_NOMES,$I1786)+COUNTIF(CLIENTES_FANTASIA,$I1786)+COUNTIF(FORNECEDORES_NOMES,$I1786)+COUNTIF(FORNECEDORES_FANTASIA,$I1786)=0),"⚠ Cliente/Fornecedor não cadastrado",IF(AND($G1786&lt;&gt;"",COUNTIF(SUBCATEGORIAS_PLANO,$G1786)=0),"⚠ Subcategoria fora do plano de contas",IF(OR($Q1786="",N($Q1786)=0),"⚠ Valor previsto não informado",IF(AND(OR($X1786="Pago",$X1786="Recebido"),$D1786=""),"⚠ Status pago/recebido sem data",IF(AND($D1786&lt;&gt;"",N($R1786)=0),"⚠ Data de pagamento sem valor realizado",IF(AND(N($P1786)&gt;1,N($O1786)&gt;N($P1786)),"⚠ Nº da parcela maior que o total",IF(AND($C1786&lt;&gt;"",$B1786&lt;&gt;"",$C1786&lt;$B1786),"⚠ Vencimento anterior à competência","OK"))))))))</f>
        <v/>
      </c>
    </row>
    <row r="1787">
      <c r="A1787" s="14" t="n"/>
      <c r="B1787" s="36" t="n"/>
      <c r="C1787" s="36" t="n"/>
      <c r="D1787" s="36" t="n"/>
      <c r="E1787" s="14" t="n"/>
      <c r="F1787" s="29" t="n"/>
      <c r="G1787" s="29" t="n"/>
      <c r="H1787" s="29" t="n"/>
      <c r="I1787" s="29" t="n"/>
      <c r="J1787" s="29" t="n"/>
      <c r="K1787" s="14" t="n"/>
      <c r="L1787" s="29" t="n"/>
      <c r="M1787" s="14" t="n"/>
      <c r="N1787" s="29" t="n"/>
      <c r="O1787" s="13" t="n"/>
      <c r="P1787" s="13" t="n"/>
      <c r="Q1787" s="35" t="n"/>
      <c r="R1787" s="35" t="n"/>
      <c r="S1787" s="35" t="n"/>
      <c r="T1787" s="35" t="n"/>
      <c r="U1787" s="35" t="n"/>
      <c r="V1787" s="18">
        <f>IF(COUNTA($B1787:$R1787)=0,"",ROUND(N($R1787)+N($S1787)+N($T1787)-N($U1787),2))</f>
        <v/>
      </c>
      <c r="W1787" s="18">
        <f>IF(COUNTA($B1787:$R1787)=0,"",IF(OR($X1787="Pago",$X1787="Recebido",$X1787="Cancelado"),0,ROUND(N($Q1787)+N($S1787)+N($T1787)-N($U1787)-N($R1787),2)))</f>
        <v/>
      </c>
      <c r="X1787" s="14" t="n"/>
      <c r="Y1787" s="17">
        <f>IF(COUNTA($B1787:$R1787)=0,"",IF($X1787="Cancelado","Cancelado",IF(OR($X1787="Pago",$X1787="Recebido"),$X1787,IF(OR($X1787="Parcial",N($R1787)&gt;0),"Parcial",IF($C1787="","Sem vencimento",IF($C1787&lt;TODAY(),"Vencido",IF($C1787=TODAY(),"Vence hoje",IF($C1787&lt;=TODAY()+7,"Vence em 7 dias",IF($C1787&lt;=TODAY()+30,"Vence em 30 dias","Futuro")))))))))</f>
        <v/>
      </c>
      <c r="Z1787" s="24">
        <f>IF($B1787="","",MONTH($B1787))</f>
        <v/>
      </c>
      <c r="AA1787" s="24">
        <f>IF($B1787="","",YEAR($B1787))</f>
        <v/>
      </c>
      <c r="AB1787" s="24">
        <f>IF($B1787="","",ISOWEEKNUM($B1787))</f>
        <v/>
      </c>
      <c r="AC1787" s="17">
        <f>IF($B1787="","",CHOOSE(WEEKDAY($B1787,2),"Segunda","Terça","Quarta","Quinta","Sexta","Sábado","Domingo"))</f>
        <v/>
      </c>
      <c r="AD1787" s="17">
        <f>IF($B1787="","",TEXT($B1787,"MM/AAAA"))</f>
        <v/>
      </c>
      <c r="AE1787" s="18">
        <f>IF(COUNTA($B1787:$R1787)=0,"",IF($X1787="Cancelado",0,ROUND(N($Q1787)+N($S1787)+N($T1787)-N($U1787),2)))</f>
        <v/>
      </c>
      <c r="AF1787" s="9">
        <f>IF($G1787="","",IFERROR(INDEX(LINHAS_DRE_PLANO,MATCH($G1787,SUBCATEGORIAS_PLANO,0)),"Não classificado"))</f>
        <v/>
      </c>
      <c r="AG1787" s="17">
        <f>IF($G1787="","",IFERROR(INDEX(TIPOS_FLUXO_PLANO,MATCH($G1787,SUBCATEGORIAS_PLANO,0)),"Não classificado"))</f>
        <v/>
      </c>
      <c r="AH1787" s="9">
        <f>IF($G1787="","",IFERROR(INDEX(GRUPOS_PLANO,MATCH($G1787,SUBCATEGORIAS_PLANO,0)),"Não classificado"))</f>
        <v/>
      </c>
      <c r="AI1787" s="24">
        <f>IF(OR($C1787="",$X1787="Pago",$X1787="Recebido",$X1787="Cancelado"),"",$C1787-TODAY())</f>
        <v/>
      </c>
      <c r="AJ1787" s="24">
        <f>IF(OR($C1787="",$X1787="Pago",$X1787="Recebido",$X1787="Cancelado"),0,MAX(0,TODAY()-$C1787))</f>
        <v/>
      </c>
      <c r="AK1787" s="24">
        <f>IF($D1787="","",$D1787-$B1787)</f>
        <v/>
      </c>
      <c r="AL1787" s="18">
        <f>IF(OR($D1787="",$B1787=""),"",ROUND(N($R1787)*($D1787-$B1787),2))</f>
        <v/>
      </c>
      <c r="AM1787" s="17">
        <f>IF(AND($E1787="Saída",$W1787&gt;0,$C1787&lt;&gt;""),$C1787+ROW()/1000000,"")</f>
        <v/>
      </c>
      <c r="AN1787" s="17">
        <f>IF(AND($E1787="Entrada",$W1787&gt;0,$C1787&lt;&gt;""),$C1787+ROW()/1000000,"")</f>
        <v/>
      </c>
      <c r="AO1787" s="9">
        <f>IF(COUNTA($B1787:$R1787)=0,"",IF(AND($I1787&lt;&gt;"",COUNTIF(CLIENTES_NOMES,$I1787)+COUNTIF(CLIENTES_FANTASIA,$I1787)+COUNTIF(FORNECEDORES_NOMES,$I1787)+COUNTIF(FORNECEDORES_FANTASIA,$I1787)=0),"⚠ Cliente/Fornecedor não cadastrado",IF(AND($G1787&lt;&gt;"",COUNTIF(SUBCATEGORIAS_PLANO,$G1787)=0),"⚠ Subcategoria fora do plano de contas",IF(OR($Q1787="",N($Q1787)=0),"⚠ Valor previsto não informado",IF(AND(OR($X1787="Pago",$X1787="Recebido"),$D1787=""),"⚠ Status pago/recebido sem data",IF(AND($D1787&lt;&gt;"",N($R1787)=0),"⚠ Data de pagamento sem valor realizado",IF(AND(N($P1787)&gt;1,N($O1787)&gt;N($P1787)),"⚠ Nº da parcela maior que o total",IF(AND($C1787&lt;&gt;"",$B1787&lt;&gt;"",$C1787&lt;$B1787),"⚠ Vencimento anterior à competência","OK"))))))))</f>
        <v/>
      </c>
    </row>
    <row r="1788">
      <c r="A1788" s="14" t="n"/>
      <c r="B1788" s="36" t="n"/>
      <c r="C1788" s="36" t="n"/>
      <c r="D1788" s="36" t="n"/>
      <c r="E1788" s="14" t="n"/>
      <c r="F1788" s="29" t="n"/>
      <c r="G1788" s="29" t="n"/>
      <c r="H1788" s="29" t="n"/>
      <c r="I1788" s="29" t="n"/>
      <c r="J1788" s="29" t="n"/>
      <c r="K1788" s="14" t="n"/>
      <c r="L1788" s="29" t="n"/>
      <c r="M1788" s="14" t="n"/>
      <c r="N1788" s="29" t="n"/>
      <c r="O1788" s="13" t="n"/>
      <c r="P1788" s="13" t="n"/>
      <c r="Q1788" s="35" t="n"/>
      <c r="R1788" s="35" t="n"/>
      <c r="S1788" s="35" t="n"/>
      <c r="T1788" s="35" t="n"/>
      <c r="U1788" s="35" t="n"/>
      <c r="V1788" s="18">
        <f>IF(COUNTA($B1788:$R1788)=0,"",ROUND(N($R1788)+N($S1788)+N($T1788)-N($U1788),2))</f>
        <v/>
      </c>
      <c r="W1788" s="18">
        <f>IF(COUNTA($B1788:$R1788)=0,"",IF(OR($X1788="Pago",$X1788="Recebido",$X1788="Cancelado"),0,ROUND(N($Q1788)+N($S1788)+N($T1788)-N($U1788)-N($R1788),2)))</f>
        <v/>
      </c>
      <c r="X1788" s="14" t="n"/>
      <c r="Y1788" s="17">
        <f>IF(COUNTA($B1788:$R1788)=0,"",IF($X1788="Cancelado","Cancelado",IF(OR($X1788="Pago",$X1788="Recebido"),$X1788,IF(OR($X1788="Parcial",N($R1788)&gt;0),"Parcial",IF($C1788="","Sem vencimento",IF($C1788&lt;TODAY(),"Vencido",IF($C1788=TODAY(),"Vence hoje",IF($C1788&lt;=TODAY()+7,"Vence em 7 dias",IF($C1788&lt;=TODAY()+30,"Vence em 30 dias","Futuro")))))))))</f>
        <v/>
      </c>
      <c r="Z1788" s="24">
        <f>IF($B1788="","",MONTH($B1788))</f>
        <v/>
      </c>
      <c r="AA1788" s="24">
        <f>IF($B1788="","",YEAR($B1788))</f>
        <v/>
      </c>
      <c r="AB1788" s="24">
        <f>IF($B1788="","",ISOWEEKNUM($B1788))</f>
        <v/>
      </c>
      <c r="AC1788" s="17">
        <f>IF($B1788="","",CHOOSE(WEEKDAY($B1788,2),"Segunda","Terça","Quarta","Quinta","Sexta","Sábado","Domingo"))</f>
        <v/>
      </c>
      <c r="AD1788" s="17">
        <f>IF($B1788="","",TEXT($B1788,"MM/AAAA"))</f>
        <v/>
      </c>
      <c r="AE1788" s="18">
        <f>IF(COUNTA($B1788:$R1788)=0,"",IF($X1788="Cancelado",0,ROUND(N($Q1788)+N($S1788)+N($T1788)-N($U1788),2)))</f>
        <v/>
      </c>
      <c r="AF1788" s="9">
        <f>IF($G1788="","",IFERROR(INDEX(LINHAS_DRE_PLANO,MATCH($G1788,SUBCATEGORIAS_PLANO,0)),"Não classificado"))</f>
        <v/>
      </c>
      <c r="AG1788" s="17">
        <f>IF($G1788="","",IFERROR(INDEX(TIPOS_FLUXO_PLANO,MATCH($G1788,SUBCATEGORIAS_PLANO,0)),"Não classificado"))</f>
        <v/>
      </c>
      <c r="AH1788" s="9">
        <f>IF($G1788="","",IFERROR(INDEX(GRUPOS_PLANO,MATCH($G1788,SUBCATEGORIAS_PLANO,0)),"Não classificado"))</f>
        <v/>
      </c>
      <c r="AI1788" s="24">
        <f>IF(OR($C1788="",$X1788="Pago",$X1788="Recebido",$X1788="Cancelado"),"",$C1788-TODAY())</f>
        <v/>
      </c>
      <c r="AJ1788" s="24">
        <f>IF(OR($C1788="",$X1788="Pago",$X1788="Recebido",$X1788="Cancelado"),0,MAX(0,TODAY()-$C1788))</f>
        <v/>
      </c>
      <c r="AK1788" s="24">
        <f>IF($D1788="","",$D1788-$B1788)</f>
        <v/>
      </c>
      <c r="AL1788" s="18">
        <f>IF(OR($D1788="",$B1788=""),"",ROUND(N($R1788)*($D1788-$B1788),2))</f>
        <v/>
      </c>
      <c r="AM1788" s="17">
        <f>IF(AND($E1788="Saída",$W1788&gt;0,$C1788&lt;&gt;""),$C1788+ROW()/1000000,"")</f>
        <v/>
      </c>
      <c r="AN1788" s="17">
        <f>IF(AND($E1788="Entrada",$W1788&gt;0,$C1788&lt;&gt;""),$C1788+ROW()/1000000,"")</f>
        <v/>
      </c>
      <c r="AO1788" s="9">
        <f>IF(COUNTA($B1788:$R1788)=0,"",IF(AND($I1788&lt;&gt;"",COUNTIF(CLIENTES_NOMES,$I1788)+COUNTIF(CLIENTES_FANTASIA,$I1788)+COUNTIF(FORNECEDORES_NOMES,$I1788)+COUNTIF(FORNECEDORES_FANTASIA,$I1788)=0),"⚠ Cliente/Fornecedor não cadastrado",IF(AND($G1788&lt;&gt;"",COUNTIF(SUBCATEGORIAS_PLANO,$G1788)=0),"⚠ Subcategoria fora do plano de contas",IF(OR($Q1788="",N($Q1788)=0),"⚠ Valor previsto não informado",IF(AND(OR($X1788="Pago",$X1788="Recebido"),$D1788=""),"⚠ Status pago/recebido sem data",IF(AND($D1788&lt;&gt;"",N($R1788)=0),"⚠ Data de pagamento sem valor realizado",IF(AND(N($P1788)&gt;1,N($O1788)&gt;N($P1788)),"⚠ Nº da parcela maior que o total",IF(AND($C1788&lt;&gt;"",$B1788&lt;&gt;"",$C1788&lt;$B1788),"⚠ Vencimento anterior à competência","OK"))))))))</f>
        <v/>
      </c>
    </row>
    <row r="1789">
      <c r="A1789" s="14" t="n"/>
      <c r="B1789" s="36" t="n"/>
      <c r="C1789" s="36" t="n"/>
      <c r="D1789" s="36" t="n"/>
      <c r="E1789" s="14" t="n"/>
      <c r="F1789" s="29" t="n"/>
      <c r="G1789" s="29" t="n"/>
      <c r="H1789" s="29" t="n"/>
      <c r="I1789" s="29" t="n"/>
      <c r="J1789" s="29" t="n"/>
      <c r="K1789" s="14" t="n"/>
      <c r="L1789" s="29" t="n"/>
      <c r="M1789" s="14" t="n"/>
      <c r="N1789" s="29" t="n"/>
      <c r="O1789" s="13" t="n"/>
      <c r="P1789" s="13" t="n"/>
      <c r="Q1789" s="35" t="n"/>
      <c r="R1789" s="35" t="n"/>
      <c r="S1789" s="35" t="n"/>
      <c r="T1789" s="35" t="n"/>
      <c r="U1789" s="35" t="n"/>
      <c r="V1789" s="18">
        <f>IF(COUNTA($B1789:$R1789)=0,"",ROUND(N($R1789)+N($S1789)+N($T1789)-N($U1789),2))</f>
        <v/>
      </c>
      <c r="W1789" s="18">
        <f>IF(COUNTA($B1789:$R1789)=0,"",IF(OR($X1789="Pago",$X1789="Recebido",$X1789="Cancelado"),0,ROUND(N($Q1789)+N($S1789)+N($T1789)-N($U1789)-N($R1789),2)))</f>
        <v/>
      </c>
      <c r="X1789" s="14" t="n"/>
      <c r="Y1789" s="17">
        <f>IF(COUNTA($B1789:$R1789)=0,"",IF($X1789="Cancelado","Cancelado",IF(OR($X1789="Pago",$X1789="Recebido"),$X1789,IF(OR($X1789="Parcial",N($R1789)&gt;0),"Parcial",IF($C1789="","Sem vencimento",IF($C1789&lt;TODAY(),"Vencido",IF($C1789=TODAY(),"Vence hoje",IF($C1789&lt;=TODAY()+7,"Vence em 7 dias",IF($C1789&lt;=TODAY()+30,"Vence em 30 dias","Futuro")))))))))</f>
        <v/>
      </c>
      <c r="Z1789" s="24">
        <f>IF($B1789="","",MONTH($B1789))</f>
        <v/>
      </c>
      <c r="AA1789" s="24">
        <f>IF($B1789="","",YEAR($B1789))</f>
        <v/>
      </c>
      <c r="AB1789" s="24">
        <f>IF($B1789="","",ISOWEEKNUM($B1789))</f>
        <v/>
      </c>
      <c r="AC1789" s="17">
        <f>IF($B1789="","",CHOOSE(WEEKDAY($B1789,2),"Segunda","Terça","Quarta","Quinta","Sexta","Sábado","Domingo"))</f>
        <v/>
      </c>
      <c r="AD1789" s="17">
        <f>IF($B1789="","",TEXT($B1789,"MM/AAAA"))</f>
        <v/>
      </c>
      <c r="AE1789" s="18">
        <f>IF(COUNTA($B1789:$R1789)=0,"",IF($X1789="Cancelado",0,ROUND(N($Q1789)+N($S1789)+N($T1789)-N($U1789),2)))</f>
        <v/>
      </c>
      <c r="AF1789" s="9">
        <f>IF($G1789="","",IFERROR(INDEX(LINHAS_DRE_PLANO,MATCH($G1789,SUBCATEGORIAS_PLANO,0)),"Não classificado"))</f>
        <v/>
      </c>
      <c r="AG1789" s="17">
        <f>IF($G1789="","",IFERROR(INDEX(TIPOS_FLUXO_PLANO,MATCH($G1789,SUBCATEGORIAS_PLANO,0)),"Não classificado"))</f>
        <v/>
      </c>
      <c r="AH1789" s="9">
        <f>IF($G1789="","",IFERROR(INDEX(GRUPOS_PLANO,MATCH($G1789,SUBCATEGORIAS_PLANO,0)),"Não classificado"))</f>
        <v/>
      </c>
      <c r="AI1789" s="24">
        <f>IF(OR($C1789="",$X1789="Pago",$X1789="Recebido",$X1789="Cancelado"),"",$C1789-TODAY())</f>
        <v/>
      </c>
      <c r="AJ1789" s="24">
        <f>IF(OR($C1789="",$X1789="Pago",$X1789="Recebido",$X1789="Cancelado"),0,MAX(0,TODAY()-$C1789))</f>
        <v/>
      </c>
      <c r="AK1789" s="24">
        <f>IF($D1789="","",$D1789-$B1789)</f>
        <v/>
      </c>
      <c r="AL1789" s="18">
        <f>IF(OR($D1789="",$B1789=""),"",ROUND(N($R1789)*($D1789-$B1789),2))</f>
        <v/>
      </c>
      <c r="AM1789" s="17">
        <f>IF(AND($E1789="Saída",$W1789&gt;0,$C1789&lt;&gt;""),$C1789+ROW()/1000000,"")</f>
        <v/>
      </c>
      <c r="AN1789" s="17">
        <f>IF(AND($E1789="Entrada",$W1789&gt;0,$C1789&lt;&gt;""),$C1789+ROW()/1000000,"")</f>
        <v/>
      </c>
      <c r="AO1789" s="9">
        <f>IF(COUNTA($B1789:$R1789)=0,"",IF(AND($I1789&lt;&gt;"",COUNTIF(CLIENTES_NOMES,$I1789)+COUNTIF(CLIENTES_FANTASIA,$I1789)+COUNTIF(FORNECEDORES_NOMES,$I1789)+COUNTIF(FORNECEDORES_FANTASIA,$I1789)=0),"⚠ Cliente/Fornecedor não cadastrado",IF(AND($G1789&lt;&gt;"",COUNTIF(SUBCATEGORIAS_PLANO,$G1789)=0),"⚠ Subcategoria fora do plano de contas",IF(OR($Q1789="",N($Q1789)=0),"⚠ Valor previsto não informado",IF(AND(OR($X1789="Pago",$X1789="Recebido"),$D1789=""),"⚠ Status pago/recebido sem data",IF(AND($D1789&lt;&gt;"",N($R1789)=0),"⚠ Data de pagamento sem valor realizado",IF(AND(N($P1789)&gt;1,N($O1789)&gt;N($P1789)),"⚠ Nº da parcela maior que o total",IF(AND($C1789&lt;&gt;"",$B1789&lt;&gt;"",$C1789&lt;$B1789),"⚠ Vencimento anterior à competência","OK"))))))))</f>
        <v/>
      </c>
    </row>
    <row r="1790">
      <c r="A1790" s="14" t="n"/>
      <c r="B1790" s="36" t="n"/>
      <c r="C1790" s="36" t="n"/>
      <c r="D1790" s="36" t="n"/>
      <c r="E1790" s="14" t="n"/>
      <c r="F1790" s="29" t="n"/>
      <c r="G1790" s="29" t="n"/>
      <c r="H1790" s="29" t="n"/>
      <c r="I1790" s="29" t="n"/>
      <c r="J1790" s="29" t="n"/>
      <c r="K1790" s="14" t="n"/>
      <c r="L1790" s="29" t="n"/>
      <c r="M1790" s="14" t="n"/>
      <c r="N1790" s="29" t="n"/>
      <c r="O1790" s="13" t="n"/>
      <c r="P1790" s="13" t="n"/>
      <c r="Q1790" s="35" t="n"/>
      <c r="R1790" s="35" t="n"/>
      <c r="S1790" s="35" t="n"/>
      <c r="T1790" s="35" t="n"/>
      <c r="U1790" s="35" t="n"/>
      <c r="V1790" s="18">
        <f>IF(COUNTA($B1790:$R1790)=0,"",ROUND(N($R1790)+N($S1790)+N($T1790)-N($U1790),2))</f>
        <v/>
      </c>
      <c r="W1790" s="18">
        <f>IF(COUNTA($B1790:$R1790)=0,"",IF(OR($X1790="Pago",$X1790="Recebido",$X1790="Cancelado"),0,ROUND(N($Q1790)+N($S1790)+N($T1790)-N($U1790)-N($R1790),2)))</f>
        <v/>
      </c>
      <c r="X1790" s="14" t="n"/>
      <c r="Y1790" s="17">
        <f>IF(COUNTA($B1790:$R1790)=0,"",IF($X1790="Cancelado","Cancelado",IF(OR($X1790="Pago",$X1790="Recebido"),$X1790,IF(OR($X1790="Parcial",N($R1790)&gt;0),"Parcial",IF($C1790="","Sem vencimento",IF($C1790&lt;TODAY(),"Vencido",IF($C1790=TODAY(),"Vence hoje",IF($C1790&lt;=TODAY()+7,"Vence em 7 dias",IF($C1790&lt;=TODAY()+30,"Vence em 30 dias","Futuro")))))))))</f>
        <v/>
      </c>
      <c r="Z1790" s="24">
        <f>IF($B1790="","",MONTH($B1790))</f>
        <v/>
      </c>
      <c r="AA1790" s="24">
        <f>IF($B1790="","",YEAR($B1790))</f>
        <v/>
      </c>
      <c r="AB1790" s="24">
        <f>IF($B1790="","",ISOWEEKNUM($B1790))</f>
        <v/>
      </c>
      <c r="AC1790" s="17">
        <f>IF($B1790="","",CHOOSE(WEEKDAY($B1790,2),"Segunda","Terça","Quarta","Quinta","Sexta","Sábado","Domingo"))</f>
        <v/>
      </c>
      <c r="AD1790" s="17">
        <f>IF($B1790="","",TEXT($B1790,"MM/AAAA"))</f>
        <v/>
      </c>
      <c r="AE1790" s="18">
        <f>IF(COUNTA($B1790:$R1790)=0,"",IF($X1790="Cancelado",0,ROUND(N($Q1790)+N($S1790)+N($T1790)-N($U1790),2)))</f>
        <v/>
      </c>
      <c r="AF1790" s="9">
        <f>IF($G1790="","",IFERROR(INDEX(LINHAS_DRE_PLANO,MATCH($G1790,SUBCATEGORIAS_PLANO,0)),"Não classificado"))</f>
        <v/>
      </c>
      <c r="AG1790" s="17">
        <f>IF($G1790="","",IFERROR(INDEX(TIPOS_FLUXO_PLANO,MATCH($G1790,SUBCATEGORIAS_PLANO,0)),"Não classificado"))</f>
        <v/>
      </c>
      <c r="AH1790" s="9">
        <f>IF($G1790="","",IFERROR(INDEX(GRUPOS_PLANO,MATCH($G1790,SUBCATEGORIAS_PLANO,0)),"Não classificado"))</f>
        <v/>
      </c>
      <c r="AI1790" s="24">
        <f>IF(OR($C1790="",$X1790="Pago",$X1790="Recebido",$X1790="Cancelado"),"",$C1790-TODAY())</f>
        <v/>
      </c>
      <c r="AJ1790" s="24">
        <f>IF(OR($C1790="",$X1790="Pago",$X1790="Recebido",$X1790="Cancelado"),0,MAX(0,TODAY()-$C1790))</f>
        <v/>
      </c>
      <c r="AK1790" s="24">
        <f>IF($D1790="","",$D1790-$B1790)</f>
        <v/>
      </c>
      <c r="AL1790" s="18">
        <f>IF(OR($D1790="",$B1790=""),"",ROUND(N($R1790)*($D1790-$B1790),2))</f>
        <v/>
      </c>
      <c r="AM1790" s="17">
        <f>IF(AND($E1790="Saída",$W1790&gt;0,$C1790&lt;&gt;""),$C1790+ROW()/1000000,"")</f>
        <v/>
      </c>
      <c r="AN1790" s="17">
        <f>IF(AND($E1790="Entrada",$W1790&gt;0,$C1790&lt;&gt;""),$C1790+ROW()/1000000,"")</f>
        <v/>
      </c>
      <c r="AO1790" s="9">
        <f>IF(COUNTA($B1790:$R1790)=0,"",IF(AND($I1790&lt;&gt;"",COUNTIF(CLIENTES_NOMES,$I1790)+COUNTIF(CLIENTES_FANTASIA,$I1790)+COUNTIF(FORNECEDORES_NOMES,$I1790)+COUNTIF(FORNECEDORES_FANTASIA,$I1790)=0),"⚠ Cliente/Fornecedor não cadastrado",IF(AND($G1790&lt;&gt;"",COUNTIF(SUBCATEGORIAS_PLANO,$G1790)=0),"⚠ Subcategoria fora do plano de contas",IF(OR($Q1790="",N($Q1790)=0),"⚠ Valor previsto não informado",IF(AND(OR($X1790="Pago",$X1790="Recebido"),$D1790=""),"⚠ Status pago/recebido sem data",IF(AND($D1790&lt;&gt;"",N($R1790)=0),"⚠ Data de pagamento sem valor realizado",IF(AND(N($P1790)&gt;1,N($O1790)&gt;N($P1790)),"⚠ Nº da parcela maior que o total",IF(AND($C1790&lt;&gt;"",$B1790&lt;&gt;"",$C1790&lt;$B1790),"⚠ Vencimento anterior à competência","OK"))))))))</f>
        <v/>
      </c>
    </row>
    <row r="1791">
      <c r="A1791" s="14" t="n"/>
      <c r="B1791" s="36" t="n"/>
      <c r="C1791" s="36" t="n"/>
      <c r="D1791" s="36" t="n"/>
      <c r="E1791" s="14" t="n"/>
      <c r="F1791" s="29" t="n"/>
      <c r="G1791" s="29" t="n"/>
      <c r="H1791" s="29" t="n"/>
      <c r="I1791" s="29" t="n"/>
      <c r="J1791" s="29" t="n"/>
      <c r="K1791" s="14" t="n"/>
      <c r="L1791" s="29" t="n"/>
      <c r="M1791" s="14" t="n"/>
      <c r="N1791" s="29" t="n"/>
      <c r="O1791" s="13" t="n"/>
      <c r="P1791" s="13" t="n"/>
      <c r="Q1791" s="35" t="n"/>
      <c r="R1791" s="35" t="n"/>
      <c r="S1791" s="35" t="n"/>
      <c r="T1791" s="35" t="n"/>
      <c r="U1791" s="35" t="n"/>
      <c r="V1791" s="18">
        <f>IF(COUNTA($B1791:$R1791)=0,"",ROUND(N($R1791)+N($S1791)+N($T1791)-N($U1791),2))</f>
        <v/>
      </c>
      <c r="W1791" s="18">
        <f>IF(COUNTA($B1791:$R1791)=0,"",IF(OR($X1791="Pago",$X1791="Recebido",$X1791="Cancelado"),0,ROUND(N($Q1791)+N($S1791)+N($T1791)-N($U1791)-N($R1791),2)))</f>
        <v/>
      </c>
      <c r="X1791" s="14" t="n"/>
      <c r="Y1791" s="17">
        <f>IF(COUNTA($B1791:$R1791)=0,"",IF($X1791="Cancelado","Cancelado",IF(OR($X1791="Pago",$X1791="Recebido"),$X1791,IF(OR($X1791="Parcial",N($R1791)&gt;0),"Parcial",IF($C1791="","Sem vencimento",IF($C1791&lt;TODAY(),"Vencido",IF($C1791=TODAY(),"Vence hoje",IF($C1791&lt;=TODAY()+7,"Vence em 7 dias",IF($C1791&lt;=TODAY()+30,"Vence em 30 dias","Futuro")))))))))</f>
        <v/>
      </c>
      <c r="Z1791" s="24">
        <f>IF($B1791="","",MONTH($B1791))</f>
        <v/>
      </c>
      <c r="AA1791" s="24">
        <f>IF($B1791="","",YEAR($B1791))</f>
        <v/>
      </c>
      <c r="AB1791" s="24">
        <f>IF($B1791="","",ISOWEEKNUM($B1791))</f>
        <v/>
      </c>
      <c r="AC1791" s="17">
        <f>IF($B1791="","",CHOOSE(WEEKDAY($B1791,2),"Segunda","Terça","Quarta","Quinta","Sexta","Sábado","Domingo"))</f>
        <v/>
      </c>
      <c r="AD1791" s="17">
        <f>IF($B1791="","",TEXT($B1791,"MM/AAAA"))</f>
        <v/>
      </c>
      <c r="AE1791" s="18">
        <f>IF(COUNTA($B1791:$R1791)=0,"",IF($X1791="Cancelado",0,ROUND(N($Q1791)+N($S1791)+N($T1791)-N($U1791),2)))</f>
        <v/>
      </c>
      <c r="AF1791" s="9">
        <f>IF($G1791="","",IFERROR(INDEX(LINHAS_DRE_PLANO,MATCH($G1791,SUBCATEGORIAS_PLANO,0)),"Não classificado"))</f>
        <v/>
      </c>
      <c r="AG1791" s="17">
        <f>IF($G1791="","",IFERROR(INDEX(TIPOS_FLUXO_PLANO,MATCH($G1791,SUBCATEGORIAS_PLANO,0)),"Não classificado"))</f>
        <v/>
      </c>
      <c r="AH1791" s="9">
        <f>IF($G1791="","",IFERROR(INDEX(GRUPOS_PLANO,MATCH($G1791,SUBCATEGORIAS_PLANO,0)),"Não classificado"))</f>
        <v/>
      </c>
      <c r="AI1791" s="24">
        <f>IF(OR($C1791="",$X1791="Pago",$X1791="Recebido",$X1791="Cancelado"),"",$C1791-TODAY())</f>
        <v/>
      </c>
      <c r="AJ1791" s="24">
        <f>IF(OR($C1791="",$X1791="Pago",$X1791="Recebido",$X1791="Cancelado"),0,MAX(0,TODAY()-$C1791))</f>
        <v/>
      </c>
      <c r="AK1791" s="24">
        <f>IF($D1791="","",$D1791-$B1791)</f>
        <v/>
      </c>
      <c r="AL1791" s="18">
        <f>IF(OR($D1791="",$B1791=""),"",ROUND(N($R1791)*($D1791-$B1791),2))</f>
        <v/>
      </c>
      <c r="AM1791" s="17">
        <f>IF(AND($E1791="Saída",$W1791&gt;0,$C1791&lt;&gt;""),$C1791+ROW()/1000000,"")</f>
        <v/>
      </c>
      <c r="AN1791" s="17">
        <f>IF(AND($E1791="Entrada",$W1791&gt;0,$C1791&lt;&gt;""),$C1791+ROW()/1000000,"")</f>
        <v/>
      </c>
      <c r="AO1791" s="9">
        <f>IF(COUNTA($B1791:$R1791)=0,"",IF(AND($I1791&lt;&gt;"",COUNTIF(CLIENTES_NOMES,$I1791)+COUNTIF(CLIENTES_FANTASIA,$I1791)+COUNTIF(FORNECEDORES_NOMES,$I1791)+COUNTIF(FORNECEDORES_FANTASIA,$I1791)=0),"⚠ Cliente/Fornecedor não cadastrado",IF(AND($G1791&lt;&gt;"",COUNTIF(SUBCATEGORIAS_PLANO,$G1791)=0),"⚠ Subcategoria fora do plano de contas",IF(OR($Q1791="",N($Q1791)=0),"⚠ Valor previsto não informado",IF(AND(OR($X1791="Pago",$X1791="Recebido"),$D1791=""),"⚠ Status pago/recebido sem data",IF(AND($D1791&lt;&gt;"",N($R1791)=0),"⚠ Data de pagamento sem valor realizado",IF(AND(N($P1791)&gt;1,N($O1791)&gt;N($P1791)),"⚠ Nº da parcela maior que o total",IF(AND($C1791&lt;&gt;"",$B1791&lt;&gt;"",$C1791&lt;$B1791),"⚠ Vencimento anterior à competência","OK"))))))))</f>
        <v/>
      </c>
    </row>
    <row r="1792">
      <c r="A1792" s="14" t="n"/>
      <c r="B1792" s="36" t="n"/>
      <c r="C1792" s="36" t="n"/>
      <c r="D1792" s="36" t="n"/>
      <c r="E1792" s="14" t="n"/>
      <c r="F1792" s="29" t="n"/>
      <c r="G1792" s="29" t="n"/>
      <c r="H1792" s="29" t="n"/>
      <c r="I1792" s="29" t="n"/>
      <c r="J1792" s="29" t="n"/>
      <c r="K1792" s="14" t="n"/>
      <c r="L1792" s="29" t="n"/>
      <c r="M1792" s="14" t="n"/>
      <c r="N1792" s="29" t="n"/>
      <c r="O1792" s="13" t="n"/>
      <c r="P1792" s="13" t="n"/>
      <c r="Q1792" s="35" t="n"/>
      <c r="R1792" s="35" t="n"/>
      <c r="S1792" s="35" t="n"/>
      <c r="T1792" s="35" t="n"/>
      <c r="U1792" s="35" t="n"/>
      <c r="V1792" s="18">
        <f>IF(COUNTA($B1792:$R1792)=0,"",ROUND(N($R1792)+N($S1792)+N($T1792)-N($U1792),2))</f>
        <v/>
      </c>
      <c r="W1792" s="18">
        <f>IF(COUNTA($B1792:$R1792)=0,"",IF(OR($X1792="Pago",$X1792="Recebido",$X1792="Cancelado"),0,ROUND(N($Q1792)+N($S1792)+N($T1792)-N($U1792)-N($R1792),2)))</f>
        <v/>
      </c>
      <c r="X1792" s="14" t="n"/>
      <c r="Y1792" s="17">
        <f>IF(COUNTA($B1792:$R1792)=0,"",IF($X1792="Cancelado","Cancelado",IF(OR($X1792="Pago",$X1792="Recebido"),$X1792,IF(OR($X1792="Parcial",N($R1792)&gt;0),"Parcial",IF($C1792="","Sem vencimento",IF($C1792&lt;TODAY(),"Vencido",IF($C1792=TODAY(),"Vence hoje",IF($C1792&lt;=TODAY()+7,"Vence em 7 dias",IF($C1792&lt;=TODAY()+30,"Vence em 30 dias","Futuro")))))))))</f>
        <v/>
      </c>
      <c r="Z1792" s="24">
        <f>IF($B1792="","",MONTH($B1792))</f>
        <v/>
      </c>
      <c r="AA1792" s="24">
        <f>IF($B1792="","",YEAR($B1792))</f>
        <v/>
      </c>
      <c r="AB1792" s="24">
        <f>IF($B1792="","",ISOWEEKNUM($B1792))</f>
        <v/>
      </c>
      <c r="AC1792" s="17">
        <f>IF($B1792="","",CHOOSE(WEEKDAY($B1792,2),"Segunda","Terça","Quarta","Quinta","Sexta","Sábado","Domingo"))</f>
        <v/>
      </c>
      <c r="AD1792" s="17">
        <f>IF($B1792="","",TEXT($B1792,"MM/AAAA"))</f>
        <v/>
      </c>
      <c r="AE1792" s="18">
        <f>IF(COUNTA($B1792:$R1792)=0,"",IF($X1792="Cancelado",0,ROUND(N($Q1792)+N($S1792)+N($T1792)-N($U1792),2)))</f>
        <v/>
      </c>
      <c r="AF1792" s="9">
        <f>IF($G1792="","",IFERROR(INDEX(LINHAS_DRE_PLANO,MATCH($G1792,SUBCATEGORIAS_PLANO,0)),"Não classificado"))</f>
        <v/>
      </c>
      <c r="AG1792" s="17">
        <f>IF($G1792="","",IFERROR(INDEX(TIPOS_FLUXO_PLANO,MATCH($G1792,SUBCATEGORIAS_PLANO,0)),"Não classificado"))</f>
        <v/>
      </c>
      <c r="AH1792" s="9">
        <f>IF($G1792="","",IFERROR(INDEX(GRUPOS_PLANO,MATCH($G1792,SUBCATEGORIAS_PLANO,0)),"Não classificado"))</f>
        <v/>
      </c>
      <c r="AI1792" s="24">
        <f>IF(OR($C1792="",$X1792="Pago",$X1792="Recebido",$X1792="Cancelado"),"",$C1792-TODAY())</f>
        <v/>
      </c>
      <c r="AJ1792" s="24">
        <f>IF(OR($C1792="",$X1792="Pago",$X1792="Recebido",$X1792="Cancelado"),0,MAX(0,TODAY()-$C1792))</f>
        <v/>
      </c>
      <c r="AK1792" s="24">
        <f>IF($D1792="","",$D1792-$B1792)</f>
        <v/>
      </c>
      <c r="AL1792" s="18">
        <f>IF(OR($D1792="",$B1792=""),"",ROUND(N($R1792)*($D1792-$B1792),2))</f>
        <v/>
      </c>
      <c r="AM1792" s="17">
        <f>IF(AND($E1792="Saída",$W1792&gt;0,$C1792&lt;&gt;""),$C1792+ROW()/1000000,"")</f>
        <v/>
      </c>
      <c r="AN1792" s="17">
        <f>IF(AND($E1792="Entrada",$W1792&gt;0,$C1792&lt;&gt;""),$C1792+ROW()/1000000,"")</f>
        <v/>
      </c>
      <c r="AO1792" s="9">
        <f>IF(COUNTA($B1792:$R1792)=0,"",IF(AND($I1792&lt;&gt;"",COUNTIF(CLIENTES_NOMES,$I1792)+COUNTIF(CLIENTES_FANTASIA,$I1792)+COUNTIF(FORNECEDORES_NOMES,$I1792)+COUNTIF(FORNECEDORES_FANTASIA,$I1792)=0),"⚠ Cliente/Fornecedor não cadastrado",IF(AND($G1792&lt;&gt;"",COUNTIF(SUBCATEGORIAS_PLANO,$G1792)=0),"⚠ Subcategoria fora do plano de contas",IF(OR($Q1792="",N($Q1792)=0),"⚠ Valor previsto não informado",IF(AND(OR($X1792="Pago",$X1792="Recebido"),$D1792=""),"⚠ Status pago/recebido sem data",IF(AND($D1792&lt;&gt;"",N($R1792)=0),"⚠ Data de pagamento sem valor realizado",IF(AND(N($P1792)&gt;1,N($O1792)&gt;N($P1792)),"⚠ Nº da parcela maior que o total",IF(AND($C1792&lt;&gt;"",$B1792&lt;&gt;"",$C1792&lt;$B1792),"⚠ Vencimento anterior à competência","OK"))))))))</f>
        <v/>
      </c>
    </row>
    <row r="1793">
      <c r="A1793" s="14" t="n"/>
      <c r="B1793" s="36" t="n"/>
      <c r="C1793" s="36" t="n"/>
      <c r="D1793" s="36" t="n"/>
      <c r="E1793" s="14" t="n"/>
      <c r="F1793" s="29" t="n"/>
      <c r="G1793" s="29" t="n"/>
      <c r="H1793" s="29" t="n"/>
      <c r="I1793" s="29" t="n"/>
      <c r="J1793" s="29" t="n"/>
      <c r="K1793" s="14" t="n"/>
      <c r="L1793" s="29" t="n"/>
      <c r="M1793" s="14" t="n"/>
      <c r="N1793" s="29" t="n"/>
      <c r="O1793" s="13" t="n"/>
      <c r="P1793" s="13" t="n"/>
      <c r="Q1793" s="35" t="n"/>
      <c r="R1793" s="35" t="n"/>
      <c r="S1793" s="35" t="n"/>
      <c r="T1793" s="35" t="n"/>
      <c r="U1793" s="35" t="n"/>
      <c r="V1793" s="18">
        <f>IF(COUNTA($B1793:$R1793)=0,"",ROUND(N($R1793)+N($S1793)+N($T1793)-N($U1793),2))</f>
        <v/>
      </c>
      <c r="W1793" s="18">
        <f>IF(COUNTA($B1793:$R1793)=0,"",IF(OR($X1793="Pago",$X1793="Recebido",$X1793="Cancelado"),0,ROUND(N($Q1793)+N($S1793)+N($T1793)-N($U1793)-N($R1793),2)))</f>
        <v/>
      </c>
      <c r="X1793" s="14" t="n"/>
      <c r="Y1793" s="17">
        <f>IF(COUNTA($B1793:$R1793)=0,"",IF($X1793="Cancelado","Cancelado",IF(OR($X1793="Pago",$X1793="Recebido"),$X1793,IF(OR($X1793="Parcial",N($R1793)&gt;0),"Parcial",IF($C1793="","Sem vencimento",IF($C1793&lt;TODAY(),"Vencido",IF($C1793=TODAY(),"Vence hoje",IF($C1793&lt;=TODAY()+7,"Vence em 7 dias",IF($C1793&lt;=TODAY()+30,"Vence em 30 dias","Futuro")))))))))</f>
        <v/>
      </c>
      <c r="Z1793" s="24">
        <f>IF($B1793="","",MONTH($B1793))</f>
        <v/>
      </c>
      <c r="AA1793" s="24">
        <f>IF($B1793="","",YEAR($B1793))</f>
        <v/>
      </c>
      <c r="AB1793" s="24">
        <f>IF($B1793="","",ISOWEEKNUM($B1793))</f>
        <v/>
      </c>
      <c r="AC1793" s="17">
        <f>IF($B1793="","",CHOOSE(WEEKDAY($B1793,2),"Segunda","Terça","Quarta","Quinta","Sexta","Sábado","Domingo"))</f>
        <v/>
      </c>
      <c r="AD1793" s="17">
        <f>IF($B1793="","",TEXT($B1793,"MM/AAAA"))</f>
        <v/>
      </c>
      <c r="AE1793" s="18">
        <f>IF(COUNTA($B1793:$R1793)=0,"",IF($X1793="Cancelado",0,ROUND(N($Q1793)+N($S1793)+N($T1793)-N($U1793),2)))</f>
        <v/>
      </c>
      <c r="AF1793" s="9">
        <f>IF($G1793="","",IFERROR(INDEX(LINHAS_DRE_PLANO,MATCH($G1793,SUBCATEGORIAS_PLANO,0)),"Não classificado"))</f>
        <v/>
      </c>
      <c r="AG1793" s="17">
        <f>IF($G1793="","",IFERROR(INDEX(TIPOS_FLUXO_PLANO,MATCH($G1793,SUBCATEGORIAS_PLANO,0)),"Não classificado"))</f>
        <v/>
      </c>
      <c r="AH1793" s="9">
        <f>IF($G1793="","",IFERROR(INDEX(GRUPOS_PLANO,MATCH($G1793,SUBCATEGORIAS_PLANO,0)),"Não classificado"))</f>
        <v/>
      </c>
      <c r="AI1793" s="24">
        <f>IF(OR($C1793="",$X1793="Pago",$X1793="Recebido",$X1793="Cancelado"),"",$C1793-TODAY())</f>
        <v/>
      </c>
      <c r="AJ1793" s="24">
        <f>IF(OR($C1793="",$X1793="Pago",$X1793="Recebido",$X1793="Cancelado"),0,MAX(0,TODAY()-$C1793))</f>
        <v/>
      </c>
      <c r="AK1793" s="24">
        <f>IF($D1793="","",$D1793-$B1793)</f>
        <v/>
      </c>
      <c r="AL1793" s="18">
        <f>IF(OR($D1793="",$B1793=""),"",ROUND(N($R1793)*($D1793-$B1793),2))</f>
        <v/>
      </c>
      <c r="AM1793" s="17">
        <f>IF(AND($E1793="Saída",$W1793&gt;0,$C1793&lt;&gt;""),$C1793+ROW()/1000000,"")</f>
        <v/>
      </c>
      <c r="AN1793" s="17">
        <f>IF(AND($E1793="Entrada",$W1793&gt;0,$C1793&lt;&gt;""),$C1793+ROW()/1000000,"")</f>
        <v/>
      </c>
      <c r="AO1793" s="9">
        <f>IF(COUNTA($B1793:$R1793)=0,"",IF(AND($I1793&lt;&gt;"",COUNTIF(CLIENTES_NOMES,$I1793)+COUNTIF(CLIENTES_FANTASIA,$I1793)+COUNTIF(FORNECEDORES_NOMES,$I1793)+COUNTIF(FORNECEDORES_FANTASIA,$I1793)=0),"⚠ Cliente/Fornecedor não cadastrado",IF(AND($G1793&lt;&gt;"",COUNTIF(SUBCATEGORIAS_PLANO,$G1793)=0),"⚠ Subcategoria fora do plano de contas",IF(OR($Q1793="",N($Q1793)=0),"⚠ Valor previsto não informado",IF(AND(OR($X1793="Pago",$X1793="Recebido"),$D1793=""),"⚠ Status pago/recebido sem data",IF(AND($D1793&lt;&gt;"",N($R1793)=0),"⚠ Data de pagamento sem valor realizado",IF(AND(N($P1793)&gt;1,N($O1793)&gt;N($P1793)),"⚠ Nº da parcela maior que o total",IF(AND($C1793&lt;&gt;"",$B1793&lt;&gt;"",$C1793&lt;$B1793),"⚠ Vencimento anterior à competência","OK"))))))))</f>
        <v/>
      </c>
    </row>
    <row r="1794">
      <c r="A1794" s="14" t="n"/>
      <c r="B1794" s="36" t="n"/>
      <c r="C1794" s="36" t="n"/>
      <c r="D1794" s="36" t="n"/>
      <c r="E1794" s="14" t="n"/>
      <c r="F1794" s="29" t="n"/>
      <c r="G1794" s="29" t="n"/>
      <c r="H1794" s="29" t="n"/>
      <c r="I1794" s="29" t="n"/>
      <c r="J1794" s="29" t="n"/>
      <c r="K1794" s="14" t="n"/>
      <c r="L1794" s="29" t="n"/>
      <c r="M1794" s="14" t="n"/>
      <c r="N1794" s="29" t="n"/>
      <c r="O1794" s="13" t="n"/>
      <c r="P1794" s="13" t="n"/>
      <c r="Q1794" s="35" t="n"/>
      <c r="R1794" s="35" t="n"/>
      <c r="S1794" s="35" t="n"/>
      <c r="T1794" s="35" t="n"/>
      <c r="U1794" s="35" t="n"/>
      <c r="V1794" s="18">
        <f>IF(COUNTA($B1794:$R1794)=0,"",ROUND(N($R1794)+N($S1794)+N($T1794)-N($U1794),2))</f>
        <v/>
      </c>
      <c r="W1794" s="18">
        <f>IF(COUNTA($B1794:$R1794)=0,"",IF(OR($X1794="Pago",$X1794="Recebido",$X1794="Cancelado"),0,ROUND(N($Q1794)+N($S1794)+N($T1794)-N($U1794)-N($R1794),2)))</f>
        <v/>
      </c>
      <c r="X1794" s="14" t="n"/>
      <c r="Y1794" s="17">
        <f>IF(COUNTA($B1794:$R1794)=0,"",IF($X1794="Cancelado","Cancelado",IF(OR($X1794="Pago",$X1794="Recebido"),$X1794,IF(OR($X1794="Parcial",N($R1794)&gt;0),"Parcial",IF($C1794="","Sem vencimento",IF($C1794&lt;TODAY(),"Vencido",IF($C1794=TODAY(),"Vence hoje",IF($C1794&lt;=TODAY()+7,"Vence em 7 dias",IF($C1794&lt;=TODAY()+30,"Vence em 30 dias","Futuro")))))))))</f>
        <v/>
      </c>
      <c r="Z1794" s="24">
        <f>IF($B1794="","",MONTH($B1794))</f>
        <v/>
      </c>
      <c r="AA1794" s="24">
        <f>IF($B1794="","",YEAR($B1794))</f>
        <v/>
      </c>
      <c r="AB1794" s="24">
        <f>IF($B1794="","",ISOWEEKNUM($B1794))</f>
        <v/>
      </c>
      <c r="AC1794" s="17">
        <f>IF($B1794="","",CHOOSE(WEEKDAY($B1794,2),"Segunda","Terça","Quarta","Quinta","Sexta","Sábado","Domingo"))</f>
        <v/>
      </c>
      <c r="AD1794" s="17">
        <f>IF($B1794="","",TEXT($B1794,"MM/AAAA"))</f>
        <v/>
      </c>
      <c r="AE1794" s="18">
        <f>IF(COUNTA($B1794:$R1794)=0,"",IF($X1794="Cancelado",0,ROUND(N($Q1794)+N($S1794)+N($T1794)-N($U1794),2)))</f>
        <v/>
      </c>
      <c r="AF1794" s="9">
        <f>IF($G1794="","",IFERROR(INDEX(LINHAS_DRE_PLANO,MATCH($G1794,SUBCATEGORIAS_PLANO,0)),"Não classificado"))</f>
        <v/>
      </c>
      <c r="AG1794" s="17">
        <f>IF($G1794="","",IFERROR(INDEX(TIPOS_FLUXO_PLANO,MATCH($G1794,SUBCATEGORIAS_PLANO,0)),"Não classificado"))</f>
        <v/>
      </c>
      <c r="AH1794" s="9">
        <f>IF($G1794="","",IFERROR(INDEX(GRUPOS_PLANO,MATCH($G1794,SUBCATEGORIAS_PLANO,0)),"Não classificado"))</f>
        <v/>
      </c>
      <c r="AI1794" s="24">
        <f>IF(OR($C1794="",$X1794="Pago",$X1794="Recebido",$X1794="Cancelado"),"",$C1794-TODAY())</f>
        <v/>
      </c>
      <c r="AJ1794" s="24">
        <f>IF(OR($C1794="",$X1794="Pago",$X1794="Recebido",$X1794="Cancelado"),0,MAX(0,TODAY()-$C1794))</f>
        <v/>
      </c>
      <c r="AK1794" s="24">
        <f>IF($D1794="","",$D1794-$B1794)</f>
        <v/>
      </c>
      <c r="AL1794" s="18">
        <f>IF(OR($D1794="",$B1794=""),"",ROUND(N($R1794)*($D1794-$B1794),2))</f>
        <v/>
      </c>
      <c r="AM1794" s="17">
        <f>IF(AND($E1794="Saída",$W1794&gt;0,$C1794&lt;&gt;""),$C1794+ROW()/1000000,"")</f>
        <v/>
      </c>
      <c r="AN1794" s="17">
        <f>IF(AND($E1794="Entrada",$W1794&gt;0,$C1794&lt;&gt;""),$C1794+ROW()/1000000,"")</f>
        <v/>
      </c>
      <c r="AO1794" s="9">
        <f>IF(COUNTA($B1794:$R1794)=0,"",IF(AND($I1794&lt;&gt;"",COUNTIF(CLIENTES_NOMES,$I1794)+COUNTIF(CLIENTES_FANTASIA,$I1794)+COUNTIF(FORNECEDORES_NOMES,$I1794)+COUNTIF(FORNECEDORES_FANTASIA,$I1794)=0),"⚠ Cliente/Fornecedor não cadastrado",IF(AND($G1794&lt;&gt;"",COUNTIF(SUBCATEGORIAS_PLANO,$G1794)=0),"⚠ Subcategoria fora do plano de contas",IF(OR($Q1794="",N($Q1794)=0),"⚠ Valor previsto não informado",IF(AND(OR($X1794="Pago",$X1794="Recebido"),$D1794=""),"⚠ Status pago/recebido sem data",IF(AND($D1794&lt;&gt;"",N($R1794)=0),"⚠ Data de pagamento sem valor realizado",IF(AND(N($P1794)&gt;1,N($O1794)&gt;N($P1794)),"⚠ Nº da parcela maior que o total",IF(AND($C1794&lt;&gt;"",$B1794&lt;&gt;"",$C1794&lt;$B1794),"⚠ Vencimento anterior à competência","OK"))))))))</f>
        <v/>
      </c>
    </row>
    <row r="1795">
      <c r="A1795" s="14" t="n"/>
      <c r="B1795" s="36" t="n"/>
      <c r="C1795" s="36" t="n"/>
      <c r="D1795" s="36" t="n"/>
      <c r="E1795" s="14" t="n"/>
      <c r="F1795" s="29" t="n"/>
      <c r="G1795" s="29" t="n"/>
      <c r="H1795" s="29" t="n"/>
      <c r="I1795" s="29" t="n"/>
      <c r="J1795" s="29" t="n"/>
      <c r="K1795" s="14" t="n"/>
      <c r="L1795" s="29" t="n"/>
      <c r="M1795" s="14" t="n"/>
      <c r="N1795" s="29" t="n"/>
      <c r="O1795" s="13" t="n"/>
      <c r="P1795" s="13" t="n"/>
      <c r="Q1795" s="35" t="n"/>
      <c r="R1795" s="35" t="n"/>
      <c r="S1795" s="35" t="n"/>
      <c r="T1795" s="35" t="n"/>
      <c r="U1795" s="35" t="n"/>
      <c r="V1795" s="18">
        <f>IF(COUNTA($B1795:$R1795)=0,"",ROUND(N($R1795)+N($S1795)+N($T1795)-N($U1795),2))</f>
        <v/>
      </c>
      <c r="W1795" s="18">
        <f>IF(COUNTA($B1795:$R1795)=0,"",IF(OR($X1795="Pago",$X1795="Recebido",$X1795="Cancelado"),0,ROUND(N($Q1795)+N($S1795)+N($T1795)-N($U1795)-N($R1795),2)))</f>
        <v/>
      </c>
      <c r="X1795" s="14" t="n"/>
      <c r="Y1795" s="17">
        <f>IF(COUNTA($B1795:$R1795)=0,"",IF($X1795="Cancelado","Cancelado",IF(OR($X1795="Pago",$X1795="Recebido"),$X1795,IF(OR($X1795="Parcial",N($R1795)&gt;0),"Parcial",IF($C1795="","Sem vencimento",IF($C1795&lt;TODAY(),"Vencido",IF($C1795=TODAY(),"Vence hoje",IF($C1795&lt;=TODAY()+7,"Vence em 7 dias",IF($C1795&lt;=TODAY()+30,"Vence em 30 dias","Futuro")))))))))</f>
        <v/>
      </c>
      <c r="Z1795" s="24">
        <f>IF($B1795="","",MONTH($B1795))</f>
        <v/>
      </c>
      <c r="AA1795" s="24">
        <f>IF($B1795="","",YEAR($B1795))</f>
        <v/>
      </c>
      <c r="AB1795" s="24">
        <f>IF($B1795="","",ISOWEEKNUM($B1795))</f>
        <v/>
      </c>
      <c r="AC1795" s="17">
        <f>IF($B1795="","",CHOOSE(WEEKDAY($B1795,2),"Segunda","Terça","Quarta","Quinta","Sexta","Sábado","Domingo"))</f>
        <v/>
      </c>
      <c r="AD1795" s="17">
        <f>IF($B1795="","",TEXT($B1795,"MM/AAAA"))</f>
        <v/>
      </c>
      <c r="AE1795" s="18">
        <f>IF(COUNTA($B1795:$R1795)=0,"",IF($X1795="Cancelado",0,ROUND(N($Q1795)+N($S1795)+N($T1795)-N($U1795),2)))</f>
        <v/>
      </c>
      <c r="AF1795" s="9">
        <f>IF($G1795="","",IFERROR(INDEX(LINHAS_DRE_PLANO,MATCH($G1795,SUBCATEGORIAS_PLANO,0)),"Não classificado"))</f>
        <v/>
      </c>
      <c r="AG1795" s="17">
        <f>IF($G1795="","",IFERROR(INDEX(TIPOS_FLUXO_PLANO,MATCH($G1795,SUBCATEGORIAS_PLANO,0)),"Não classificado"))</f>
        <v/>
      </c>
      <c r="AH1795" s="9">
        <f>IF($G1795="","",IFERROR(INDEX(GRUPOS_PLANO,MATCH($G1795,SUBCATEGORIAS_PLANO,0)),"Não classificado"))</f>
        <v/>
      </c>
      <c r="AI1795" s="24">
        <f>IF(OR($C1795="",$X1795="Pago",$X1795="Recebido",$X1795="Cancelado"),"",$C1795-TODAY())</f>
        <v/>
      </c>
      <c r="AJ1795" s="24">
        <f>IF(OR($C1795="",$X1795="Pago",$X1795="Recebido",$X1795="Cancelado"),0,MAX(0,TODAY()-$C1795))</f>
        <v/>
      </c>
      <c r="AK1795" s="24">
        <f>IF($D1795="","",$D1795-$B1795)</f>
        <v/>
      </c>
      <c r="AL1795" s="18">
        <f>IF(OR($D1795="",$B1795=""),"",ROUND(N($R1795)*($D1795-$B1795),2))</f>
        <v/>
      </c>
      <c r="AM1795" s="17">
        <f>IF(AND($E1795="Saída",$W1795&gt;0,$C1795&lt;&gt;""),$C1795+ROW()/1000000,"")</f>
        <v/>
      </c>
      <c r="AN1795" s="17">
        <f>IF(AND($E1795="Entrada",$W1795&gt;0,$C1795&lt;&gt;""),$C1795+ROW()/1000000,"")</f>
        <v/>
      </c>
      <c r="AO1795" s="9">
        <f>IF(COUNTA($B1795:$R1795)=0,"",IF(AND($I1795&lt;&gt;"",COUNTIF(CLIENTES_NOMES,$I1795)+COUNTIF(CLIENTES_FANTASIA,$I1795)+COUNTIF(FORNECEDORES_NOMES,$I1795)+COUNTIF(FORNECEDORES_FANTASIA,$I1795)=0),"⚠ Cliente/Fornecedor não cadastrado",IF(AND($G1795&lt;&gt;"",COUNTIF(SUBCATEGORIAS_PLANO,$G1795)=0),"⚠ Subcategoria fora do plano de contas",IF(OR($Q1795="",N($Q1795)=0),"⚠ Valor previsto não informado",IF(AND(OR($X1795="Pago",$X1795="Recebido"),$D1795=""),"⚠ Status pago/recebido sem data",IF(AND($D1795&lt;&gt;"",N($R1795)=0),"⚠ Data de pagamento sem valor realizado",IF(AND(N($P1795)&gt;1,N($O1795)&gt;N($P1795)),"⚠ Nº da parcela maior que o total",IF(AND($C1795&lt;&gt;"",$B1795&lt;&gt;"",$C1795&lt;$B1795),"⚠ Vencimento anterior à competência","OK"))))))))</f>
        <v/>
      </c>
    </row>
    <row r="1796">
      <c r="A1796" s="14" t="n"/>
      <c r="B1796" s="36" t="n"/>
      <c r="C1796" s="36" t="n"/>
      <c r="D1796" s="36" t="n"/>
      <c r="E1796" s="14" t="n"/>
      <c r="F1796" s="29" t="n"/>
      <c r="G1796" s="29" t="n"/>
      <c r="H1796" s="29" t="n"/>
      <c r="I1796" s="29" t="n"/>
      <c r="J1796" s="29" t="n"/>
      <c r="K1796" s="14" t="n"/>
      <c r="L1796" s="29" t="n"/>
      <c r="M1796" s="14" t="n"/>
      <c r="N1796" s="29" t="n"/>
      <c r="O1796" s="13" t="n"/>
      <c r="P1796" s="13" t="n"/>
      <c r="Q1796" s="35" t="n"/>
      <c r="R1796" s="35" t="n"/>
      <c r="S1796" s="35" t="n"/>
      <c r="T1796" s="35" t="n"/>
      <c r="U1796" s="35" t="n"/>
      <c r="V1796" s="18">
        <f>IF(COUNTA($B1796:$R1796)=0,"",ROUND(N($R1796)+N($S1796)+N($T1796)-N($U1796),2))</f>
        <v/>
      </c>
      <c r="W1796" s="18">
        <f>IF(COUNTA($B1796:$R1796)=0,"",IF(OR($X1796="Pago",$X1796="Recebido",$X1796="Cancelado"),0,ROUND(N($Q1796)+N($S1796)+N($T1796)-N($U1796)-N($R1796),2)))</f>
        <v/>
      </c>
      <c r="X1796" s="14" t="n"/>
      <c r="Y1796" s="17">
        <f>IF(COUNTA($B1796:$R1796)=0,"",IF($X1796="Cancelado","Cancelado",IF(OR($X1796="Pago",$X1796="Recebido"),$X1796,IF(OR($X1796="Parcial",N($R1796)&gt;0),"Parcial",IF($C1796="","Sem vencimento",IF($C1796&lt;TODAY(),"Vencido",IF($C1796=TODAY(),"Vence hoje",IF($C1796&lt;=TODAY()+7,"Vence em 7 dias",IF($C1796&lt;=TODAY()+30,"Vence em 30 dias","Futuro")))))))))</f>
        <v/>
      </c>
      <c r="Z1796" s="24">
        <f>IF($B1796="","",MONTH($B1796))</f>
        <v/>
      </c>
      <c r="AA1796" s="24">
        <f>IF($B1796="","",YEAR($B1796))</f>
        <v/>
      </c>
      <c r="AB1796" s="24">
        <f>IF($B1796="","",ISOWEEKNUM($B1796))</f>
        <v/>
      </c>
      <c r="AC1796" s="17">
        <f>IF($B1796="","",CHOOSE(WEEKDAY($B1796,2),"Segunda","Terça","Quarta","Quinta","Sexta","Sábado","Domingo"))</f>
        <v/>
      </c>
      <c r="AD1796" s="17">
        <f>IF($B1796="","",TEXT($B1796,"MM/AAAA"))</f>
        <v/>
      </c>
      <c r="AE1796" s="18">
        <f>IF(COUNTA($B1796:$R1796)=0,"",IF($X1796="Cancelado",0,ROUND(N($Q1796)+N($S1796)+N($T1796)-N($U1796),2)))</f>
        <v/>
      </c>
      <c r="AF1796" s="9">
        <f>IF($G1796="","",IFERROR(INDEX(LINHAS_DRE_PLANO,MATCH($G1796,SUBCATEGORIAS_PLANO,0)),"Não classificado"))</f>
        <v/>
      </c>
      <c r="AG1796" s="17">
        <f>IF($G1796="","",IFERROR(INDEX(TIPOS_FLUXO_PLANO,MATCH($G1796,SUBCATEGORIAS_PLANO,0)),"Não classificado"))</f>
        <v/>
      </c>
      <c r="AH1796" s="9">
        <f>IF($G1796="","",IFERROR(INDEX(GRUPOS_PLANO,MATCH($G1796,SUBCATEGORIAS_PLANO,0)),"Não classificado"))</f>
        <v/>
      </c>
      <c r="AI1796" s="24">
        <f>IF(OR($C1796="",$X1796="Pago",$X1796="Recebido",$X1796="Cancelado"),"",$C1796-TODAY())</f>
        <v/>
      </c>
      <c r="AJ1796" s="24">
        <f>IF(OR($C1796="",$X1796="Pago",$X1796="Recebido",$X1796="Cancelado"),0,MAX(0,TODAY()-$C1796))</f>
        <v/>
      </c>
      <c r="AK1796" s="24">
        <f>IF($D1796="","",$D1796-$B1796)</f>
        <v/>
      </c>
      <c r="AL1796" s="18">
        <f>IF(OR($D1796="",$B1796=""),"",ROUND(N($R1796)*($D1796-$B1796),2))</f>
        <v/>
      </c>
      <c r="AM1796" s="17">
        <f>IF(AND($E1796="Saída",$W1796&gt;0,$C1796&lt;&gt;""),$C1796+ROW()/1000000,"")</f>
        <v/>
      </c>
      <c r="AN1796" s="17">
        <f>IF(AND($E1796="Entrada",$W1796&gt;0,$C1796&lt;&gt;""),$C1796+ROW()/1000000,"")</f>
        <v/>
      </c>
      <c r="AO1796" s="9">
        <f>IF(COUNTA($B1796:$R1796)=0,"",IF(AND($I1796&lt;&gt;"",COUNTIF(CLIENTES_NOMES,$I1796)+COUNTIF(CLIENTES_FANTASIA,$I1796)+COUNTIF(FORNECEDORES_NOMES,$I1796)+COUNTIF(FORNECEDORES_FANTASIA,$I1796)=0),"⚠ Cliente/Fornecedor não cadastrado",IF(AND($G1796&lt;&gt;"",COUNTIF(SUBCATEGORIAS_PLANO,$G1796)=0),"⚠ Subcategoria fora do plano de contas",IF(OR($Q1796="",N($Q1796)=0),"⚠ Valor previsto não informado",IF(AND(OR($X1796="Pago",$X1796="Recebido"),$D1796=""),"⚠ Status pago/recebido sem data",IF(AND($D1796&lt;&gt;"",N($R1796)=0),"⚠ Data de pagamento sem valor realizado",IF(AND(N($P1796)&gt;1,N($O1796)&gt;N($P1796)),"⚠ Nº da parcela maior que o total",IF(AND($C1796&lt;&gt;"",$B1796&lt;&gt;"",$C1796&lt;$B1796),"⚠ Vencimento anterior à competência","OK"))))))))</f>
        <v/>
      </c>
    </row>
    <row r="1797">
      <c r="A1797" s="14" t="n"/>
      <c r="B1797" s="36" t="n"/>
      <c r="C1797" s="36" t="n"/>
      <c r="D1797" s="36" t="n"/>
      <c r="E1797" s="14" t="n"/>
      <c r="F1797" s="29" t="n"/>
      <c r="G1797" s="29" t="n"/>
      <c r="H1797" s="29" t="n"/>
      <c r="I1797" s="29" t="n"/>
      <c r="J1797" s="29" t="n"/>
      <c r="K1797" s="14" t="n"/>
      <c r="L1797" s="29" t="n"/>
      <c r="M1797" s="14" t="n"/>
      <c r="N1797" s="29" t="n"/>
      <c r="O1797" s="13" t="n"/>
      <c r="P1797" s="13" t="n"/>
      <c r="Q1797" s="35" t="n"/>
      <c r="R1797" s="35" t="n"/>
      <c r="S1797" s="35" t="n"/>
      <c r="T1797" s="35" t="n"/>
      <c r="U1797" s="35" t="n"/>
      <c r="V1797" s="18">
        <f>IF(COUNTA($B1797:$R1797)=0,"",ROUND(N($R1797)+N($S1797)+N($T1797)-N($U1797),2))</f>
        <v/>
      </c>
      <c r="W1797" s="18">
        <f>IF(COUNTA($B1797:$R1797)=0,"",IF(OR($X1797="Pago",$X1797="Recebido",$X1797="Cancelado"),0,ROUND(N($Q1797)+N($S1797)+N($T1797)-N($U1797)-N($R1797),2)))</f>
        <v/>
      </c>
      <c r="X1797" s="14" t="n"/>
      <c r="Y1797" s="17">
        <f>IF(COUNTA($B1797:$R1797)=0,"",IF($X1797="Cancelado","Cancelado",IF(OR($X1797="Pago",$X1797="Recebido"),$X1797,IF(OR($X1797="Parcial",N($R1797)&gt;0),"Parcial",IF($C1797="","Sem vencimento",IF($C1797&lt;TODAY(),"Vencido",IF($C1797=TODAY(),"Vence hoje",IF($C1797&lt;=TODAY()+7,"Vence em 7 dias",IF($C1797&lt;=TODAY()+30,"Vence em 30 dias","Futuro")))))))))</f>
        <v/>
      </c>
      <c r="Z1797" s="24">
        <f>IF($B1797="","",MONTH($B1797))</f>
        <v/>
      </c>
      <c r="AA1797" s="24">
        <f>IF($B1797="","",YEAR($B1797))</f>
        <v/>
      </c>
      <c r="AB1797" s="24">
        <f>IF($B1797="","",ISOWEEKNUM($B1797))</f>
        <v/>
      </c>
      <c r="AC1797" s="17">
        <f>IF($B1797="","",CHOOSE(WEEKDAY($B1797,2),"Segunda","Terça","Quarta","Quinta","Sexta","Sábado","Domingo"))</f>
        <v/>
      </c>
      <c r="AD1797" s="17">
        <f>IF($B1797="","",TEXT($B1797,"MM/AAAA"))</f>
        <v/>
      </c>
      <c r="AE1797" s="18">
        <f>IF(COUNTA($B1797:$R1797)=0,"",IF($X1797="Cancelado",0,ROUND(N($Q1797)+N($S1797)+N($T1797)-N($U1797),2)))</f>
        <v/>
      </c>
      <c r="AF1797" s="9">
        <f>IF($G1797="","",IFERROR(INDEX(LINHAS_DRE_PLANO,MATCH($G1797,SUBCATEGORIAS_PLANO,0)),"Não classificado"))</f>
        <v/>
      </c>
      <c r="AG1797" s="17">
        <f>IF($G1797="","",IFERROR(INDEX(TIPOS_FLUXO_PLANO,MATCH($G1797,SUBCATEGORIAS_PLANO,0)),"Não classificado"))</f>
        <v/>
      </c>
      <c r="AH1797" s="9">
        <f>IF($G1797="","",IFERROR(INDEX(GRUPOS_PLANO,MATCH($G1797,SUBCATEGORIAS_PLANO,0)),"Não classificado"))</f>
        <v/>
      </c>
      <c r="AI1797" s="24">
        <f>IF(OR($C1797="",$X1797="Pago",$X1797="Recebido",$X1797="Cancelado"),"",$C1797-TODAY())</f>
        <v/>
      </c>
      <c r="AJ1797" s="24">
        <f>IF(OR($C1797="",$X1797="Pago",$X1797="Recebido",$X1797="Cancelado"),0,MAX(0,TODAY()-$C1797))</f>
        <v/>
      </c>
      <c r="AK1797" s="24">
        <f>IF($D1797="","",$D1797-$B1797)</f>
        <v/>
      </c>
      <c r="AL1797" s="18">
        <f>IF(OR($D1797="",$B1797=""),"",ROUND(N($R1797)*($D1797-$B1797),2))</f>
        <v/>
      </c>
      <c r="AM1797" s="17">
        <f>IF(AND($E1797="Saída",$W1797&gt;0,$C1797&lt;&gt;""),$C1797+ROW()/1000000,"")</f>
        <v/>
      </c>
      <c r="AN1797" s="17">
        <f>IF(AND($E1797="Entrada",$W1797&gt;0,$C1797&lt;&gt;""),$C1797+ROW()/1000000,"")</f>
        <v/>
      </c>
      <c r="AO1797" s="9">
        <f>IF(COUNTA($B1797:$R1797)=0,"",IF(AND($I1797&lt;&gt;"",COUNTIF(CLIENTES_NOMES,$I1797)+COUNTIF(CLIENTES_FANTASIA,$I1797)+COUNTIF(FORNECEDORES_NOMES,$I1797)+COUNTIF(FORNECEDORES_FANTASIA,$I1797)=0),"⚠ Cliente/Fornecedor não cadastrado",IF(AND($G1797&lt;&gt;"",COUNTIF(SUBCATEGORIAS_PLANO,$G1797)=0),"⚠ Subcategoria fora do plano de contas",IF(OR($Q1797="",N($Q1797)=0),"⚠ Valor previsto não informado",IF(AND(OR($X1797="Pago",$X1797="Recebido"),$D1797=""),"⚠ Status pago/recebido sem data",IF(AND($D1797&lt;&gt;"",N($R1797)=0),"⚠ Data de pagamento sem valor realizado",IF(AND(N($P1797)&gt;1,N($O1797)&gt;N($P1797)),"⚠ Nº da parcela maior que o total",IF(AND($C1797&lt;&gt;"",$B1797&lt;&gt;"",$C1797&lt;$B1797),"⚠ Vencimento anterior à competência","OK"))))))))</f>
        <v/>
      </c>
    </row>
    <row r="1798">
      <c r="A1798" s="14" t="n"/>
      <c r="B1798" s="36" t="n"/>
      <c r="C1798" s="36" t="n"/>
      <c r="D1798" s="36" t="n"/>
      <c r="E1798" s="14" t="n"/>
      <c r="F1798" s="29" t="n"/>
      <c r="G1798" s="29" t="n"/>
      <c r="H1798" s="29" t="n"/>
      <c r="I1798" s="29" t="n"/>
      <c r="J1798" s="29" t="n"/>
      <c r="K1798" s="14" t="n"/>
      <c r="L1798" s="29" t="n"/>
      <c r="M1798" s="14" t="n"/>
      <c r="N1798" s="29" t="n"/>
      <c r="O1798" s="13" t="n"/>
      <c r="P1798" s="13" t="n"/>
      <c r="Q1798" s="35" t="n"/>
      <c r="R1798" s="35" t="n"/>
      <c r="S1798" s="35" t="n"/>
      <c r="T1798" s="35" t="n"/>
      <c r="U1798" s="35" t="n"/>
      <c r="V1798" s="18">
        <f>IF(COUNTA($B1798:$R1798)=0,"",ROUND(N($R1798)+N($S1798)+N($T1798)-N($U1798),2))</f>
        <v/>
      </c>
      <c r="W1798" s="18">
        <f>IF(COUNTA($B1798:$R1798)=0,"",IF(OR($X1798="Pago",$X1798="Recebido",$X1798="Cancelado"),0,ROUND(N($Q1798)+N($S1798)+N($T1798)-N($U1798)-N($R1798),2)))</f>
        <v/>
      </c>
      <c r="X1798" s="14" t="n"/>
      <c r="Y1798" s="17">
        <f>IF(COUNTA($B1798:$R1798)=0,"",IF($X1798="Cancelado","Cancelado",IF(OR($X1798="Pago",$X1798="Recebido"),$X1798,IF(OR($X1798="Parcial",N($R1798)&gt;0),"Parcial",IF($C1798="","Sem vencimento",IF($C1798&lt;TODAY(),"Vencido",IF($C1798=TODAY(),"Vence hoje",IF($C1798&lt;=TODAY()+7,"Vence em 7 dias",IF($C1798&lt;=TODAY()+30,"Vence em 30 dias","Futuro")))))))))</f>
        <v/>
      </c>
      <c r="Z1798" s="24">
        <f>IF($B1798="","",MONTH($B1798))</f>
        <v/>
      </c>
      <c r="AA1798" s="24">
        <f>IF($B1798="","",YEAR($B1798))</f>
        <v/>
      </c>
      <c r="AB1798" s="24">
        <f>IF($B1798="","",ISOWEEKNUM($B1798))</f>
        <v/>
      </c>
      <c r="AC1798" s="17">
        <f>IF($B1798="","",CHOOSE(WEEKDAY($B1798,2),"Segunda","Terça","Quarta","Quinta","Sexta","Sábado","Domingo"))</f>
        <v/>
      </c>
      <c r="AD1798" s="17">
        <f>IF($B1798="","",TEXT($B1798,"MM/AAAA"))</f>
        <v/>
      </c>
      <c r="AE1798" s="18">
        <f>IF(COUNTA($B1798:$R1798)=0,"",IF($X1798="Cancelado",0,ROUND(N($Q1798)+N($S1798)+N($T1798)-N($U1798),2)))</f>
        <v/>
      </c>
      <c r="AF1798" s="9">
        <f>IF($G1798="","",IFERROR(INDEX(LINHAS_DRE_PLANO,MATCH($G1798,SUBCATEGORIAS_PLANO,0)),"Não classificado"))</f>
        <v/>
      </c>
      <c r="AG1798" s="17">
        <f>IF($G1798="","",IFERROR(INDEX(TIPOS_FLUXO_PLANO,MATCH($G1798,SUBCATEGORIAS_PLANO,0)),"Não classificado"))</f>
        <v/>
      </c>
      <c r="AH1798" s="9">
        <f>IF($G1798="","",IFERROR(INDEX(GRUPOS_PLANO,MATCH($G1798,SUBCATEGORIAS_PLANO,0)),"Não classificado"))</f>
        <v/>
      </c>
      <c r="AI1798" s="24">
        <f>IF(OR($C1798="",$X1798="Pago",$X1798="Recebido",$X1798="Cancelado"),"",$C1798-TODAY())</f>
        <v/>
      </c>
      <c r="AJ1798" s="24">
        <f>IF(OR($C1798="",$X1798="Pago",$X1798="Recebido",$X1798="Cancelado"),0,MAX(0,TODAY()-$C1798))</f>
        <v/>
      </c>
      <c r="AK1798" s="24">
        <f>IF($D1798="","",$D1798-$B1798)</f>
        <v/>
      </c>
      <c r="AL1798" s="18">
        <f>IF(OR($D1798="",$B1798=""),"",ROUND(N($R1798)*($D1798-$B1798),2))</f>
        <v/>
      </c>
      <c r="AM1798" s="17">
        <f>IF(AND($E1798="Saída",$W1798&gt;0,$C1798&lt;&gt;""),$C1798+ROW()/1000000,"")</f>
        <v/>
      </c>
      <c r="AN1798" s="17">
        <f>IF(AND($E1798="Entrada",$W1798&gt;0,$C1798&lt;&gt;""),$C1798+ROW()/1000000,"")</f>
        <v/>
      </c>
      <c r="AO1798" s="9">
        <f>IF(COUNTA($B1798:$R1798)=0,"",IF(AND($I1798&lt;&gt;"",COUNTIF(CLIENTES_NOMES,$I1798)+COUNTIF(CLIENTES_FANTASIA,$I1798)+COUNTIF(FORNECEDORES_NOMES,$I1798)+COUNTIF(FORNECEDORES_FANTASIA,$I1798)=0),"⚠ Cliente/Fornecedor não cadastrado",IF(AND($G1798&lt;&gt;"",COUNTIF(SUBCATEGORIAS_PLANO,$G1798)=0),"⚠ Subcategoria fora do plano de contas",IF(OR($Q1798="",N($Q1798)=0),"⚠ Valor previsto não informado",IF(AND(OR($X1798="Pago",$X1798="Recebido"),$D1798=""),"⚠ Status pago/recebido sem data",IF(AND($D1798&lt;&gt;"",N($R1798)=0),"⚠ Data de pagamento sem valor realizado",IF(AND(N($P1798)&gt;1,N($O1798)&gt;N($P1798)),"⚠ Nº da parcela maior que o total",IF(AND($C1798&lt;&gt;"",$B1798&lt;&gt;"",$C1798&lt;$B1798),"⚠ Vencimento anterior à competência","OK"))))))))</f>
        <v/>
      </c>
    </row>
    <row r="1799">
      <c r="A1799" s="14" t="n"/>
      <c r="B1799" s="36" t="n"/>
      <c r="C1799" s="36" t="n"/>
      <c r="D1799" s="36" t="n"/>
      <c r="E1799" s="14" t="n"/>
      <c r="F1799" s="29" t="n"/>
      <c r="G1799" s="29" t="n"/>
      <c r="H1799" s="29" t="n"/>
      <c r="I1799" s="29" t="n"/>
      <c r="J1799" s="29" t="n"/>
      <c r="K1799" s="14" t="n"/>
      <c r="L1799" s="29" t="n"/>
      <c r="M1799" s="14" t="n"/>
      <c r="N1799" s="29" t="n"/>
      <c r="O1799" s="13" t="n"/>
      <c r="P1799" s="13" t="n"/>
      <c r="Q1799" s="35" t="n"/>
      <c r="R1799" s="35" t="n"/>
      <c r="S1799" s="35" t="n"/>
      <c r="T1799" s="35" t="n"/>
      <c r="U1799" s="35" t="n"/>
      <c r="V1799" s="18">
        <f>IF(COUNTA($B1799:$R1799)=0,"",ROUND(N($R1799)+N($S1799)+N($T1799)-N($U1799),2))</f>
        <v/>
      </c>
      <c r="W1799" s="18">
        <f>IF(COUNTA($B1799:$R1799)=0,"",IF(OR($X1799="Pago",$X1799="Recebido",$X1799="Cancelado"),0,ROUND(N($Q1799)+N($S1799)+N($T1799)-N($U1799)-N($R1799),2)))</f>
        <v/>
      </c>
      <c r="X1799" s="14" t="n"/>
      <c r="Y1799" s="17">
        <f>IF(COUNTA($B1799:$R1799)=0,"",IF($X1799="Cancelado","Cancelado",IF(OR($X1799="Pago",$X1799="Recebido"),$X1799,IF(OR($X1799="Parcial",N($R1799)&gt;0),"Parcial",IF($C1799="","Sem vencimento",IF($C1799&lt;TODAY(),"Vencido",IF($C1799=TODAY(),"Vence hoje",IF($C1799&lt;=TODAY()+7,"Vence em 7 dias",IF($C1799&lt;=TODAY()+30,"Vence em 30 dias","Futuro")))))))))</f>
        <v/>
      </c>
      <c r="Z1799" s="24">
        <f>IF($B1799="","",MONTH($B1799))</f>
        <v/>
      </c>
      <c r="AA1799" s="24">
        <f>IF($B1799="","",YEAR($B1799))</f>
        <v/>
      </c>
      <c r="AB1799" s="24">
        <f>IF($B1799="","",ISOWEEKNUM($B1799))</f>
        <v/>
      </c>
      <c r="AC1799" s="17">
        <f>IF($B1799="","",CHOOSE(WEEKDAY($B1799,2),"Segunda","Terça","Quarta","Quinta","Sexta","Sábado","Domingo"))</f>
        <v/>
      </c>
      <c r="AD1799" s="17">
        <f>IF($B1799="","",TEXT($B1799,"MM/AAAA"))</f>
        <v/>
      </c>
      <c r="AE1799" s="18">
        <f>IF(COUNTA($B1799:$R1799)=0,"",IF($X1799="Cancelado",0,ROUND(N($Q1799)+N($S1799)+N($T1799)-N($U1799),2)))</f>
        <v/>
      </c>
      <c r="AF1799" s="9">
        <f>IF($G1799="","",IFERROR(INDEX(LINHAS_DRE_PLANO,MATCH($G1799,SUBCATEGORIAS_PLANO,0)),"Não classificado"))</f>
        <v/>
      </c>
      <c r="AG1799" s="17">
        <f>IF($G1799="","",IFERROR(INDEX(TIPOS_FLUXO_PLANO,MATCH($G1799,SUBCATEGORIAS_PLANO,0)),"Não classificado"))</f>
        <v/>
      </c>
      <c r="AH1799" s="9">
        <f>IF($G1799="","",IFERROR(INDEX(GRUPOS_PLANO,MATCH($G1799,SUBCATEGORIAS_PLANO,0)),"Não classificado"))</f>
        <v/>
      </c>
      <c r="AI1799" s="24">
        <f>IF(OR($C1799="",$X1799="Pago",$X1799="Recebido",$X1799="Cancelado"),"",$C1799-TODAY())</f>
        <v/>
      </c>
      <c r="AJ1799" s="24">
        <f>IF(OR($C1799="",$X1799="Pago",$X1799="Recebido",$X1799="Cancelado"),0,MAX(0,TODAY()-$C1799))</f>
        <v/>
      </c>
      <c r="AK1799" s="24">
        <f>IF($D1799="","",$D1799-$B1799)</f>
        <v/>
      </c>
      <c r="AL1799" s="18">
        <f>IF(OR($D1799="",$B1799=""),"",ROUND(N($R1799)*($D1799-$B1799),2))</f>
        <v/>
      </c>
      <c r="AM1799" s="17">
        <f>IF(AND($E1799="Saída",$W1799&gt;0,$C1799&lt;&gt;""),$C1799+ROW()/1000000,"")</f>
        <v/>
      </c>
      <c r="AN1799" s="17">
        <f>IF(AND($E1799="Entrada",$W1799&gt;0,$C1799&lt;&gt;""),$C1799+ROW()/1000000,"")</f>
        <v/>
      </c>
      <c r="AO1799" s="9">
        <f>IF(COUNTA($B1799:$R1799)=0,"",IF(AND($I1799&lt;&gt;"",COUNTIF(CLIENTES_NOMES,$I1799)+COUNTIF(CLIENTES_FANTASIA,$I1799)+COUNTIF(FORNECEDORES_NOMES,$I1799)+COUNTIF(FORNECEDORES_FANTASIA,$I1799)=0),"⚠ Cliente/Fornecedor não cadastrado",IF(AND($G1799&lt;&gt;"",COUNTIF(SUBCATEGORIAS_PLANO,$G1799)=0),"⚠ Subcategoria fora do plano de contas",IF(OR($Q1799="",N($Q1799)=0),"⚠ Valor previsto não informado",IF(AND(OR($X1799="Pago",$X1799="Recebido"),$D1799=""),"⚠ Status pago/recebido sem data",IF(AND($D1799&lt;&gt;"",N($R1799)=0),"⚠ Data de pagamento sem valor realizado",IF(AND(N($P1799)&gt;1,N($O1799)&gt;N($P1799)),"⚠ Nº da parcela maior que o total",IF(AND($C1799&lt;&gt;"",$B1799&lt;&gt;"",$C1799&lt;$B1799),"⚠ Vencimento anterior à competência","OK"))))))))</f>
        <v/>
      </c>
    </row>
    <row r="1800">
      <c r="A1800" s="14" t="n"/>
      <c r="B1800" s="36" t="n"/>
      <c r="C1800" s="36" t="n"/>
      <c r="D1800" s="36" t="n"/>
      <c r="E1800" s="14" t="n"/>
      <c r="F1800" s="29" t="n"/>
      <c r="G1800" s="29" t="n"/>
      <c r="H1800" s="29" t="n"/>
      <c r="I1800" s="29" t="n"/>
      <c r="J1800" s="29" t="n"/>
      <c r="K1800" s="14" t="n"/>
      <c r="L1800" s="29" t="n"/>
      <c r="M1800" s="14" t="n"/>
      <c r="N1800" s="29" t="n"/>
      <c r="O1800" s="13" t="n"/>
      <c r="P1800" s="13" t="n"/>
      <c r="Q1800" s="35" t="n"/>
      <c r="R1800" s="35" t="n"/>
      <c r="S1800" s="35" t="n"/>
      <c r="T1800" s="35" t="n"/>
      <c r="U1800" s="35" t="n"/>
      <c r="V1800" s="18">
        <f>IF(COUNTA($B1800:$R1800)=0,"",ROUND(N($R1800)+N($S1800)+N($T1800)-N($U1800),2))</f>
        <v/>
      </c>
      <c r="W1800" s="18">
        <f>IF(COUNTA($B1800:$R1800)=0,"",IF(OR($X1800="Pago",$X1800="Recebido",$X1800="Cancelado"),0,ROUND(N($Q1800)+N($S1800)+N($T1800)-N($U1800)-N($R1800),2)))</f>
        <v/>
      </c>
      <c r="X1800" s="14" t="n"/>
      <c r="Y1800" s="17">
        <f>IF(COUNTA($B1800:$R1800)=0,"",IF($X1800="Cancelado","Cancelado",IF(OR($X1800="Pago",$X1800="Recebido"),$X1800,IF(OR($X1800="Parcial",N($R1800)&gt;0),"Parcial",IF($C1800="","Sem vencimento",IF($C1800&lt;TODAY(),"Vencido",IF($C1800=TODAY(),"Vence hoje",IF($C1800&lt;=TODAY()+7,"Vence em 7 dias",IF($C1800&lt;=TODAY()+30,"Vence em 30 dias","Futuro")))))))))</f>
        <v/>
      </c>
      <c r="Z1800" s="24">
        <f>IF($B1800="","",MONTH($B1800))</f>
        <v/>
      </c>
      <c r="AA1800" s="24">
        <f>IF($B1800="","",YEAR($B1800))</f>
        <v/>
      </c>
      <c r="AB1800" s="24">
        <f>IF($B1800="","",ISOWEEKNUM($B1800))</f>
        <v/>
      </c>
      <c r="AC1800" s="17">
        <f>IF($B1800="","",CHOOSE(WEEKDAY($B1800,2),"Segunda","Terça","Quarta","Quinta","Sexta","Sábado","Domingo"))</f>
        <v/>
      </c>
      <c r="AD1800" s="17">
        <f>IF($B1800="","",TEXT($B1800,"MM/AAAA"))</f>
        <v/>
      </c>
      <c r="AE1800" s="18">
        <f>IF(COUNTA($B1800:$R1800)=0,"",IF($X1800="Cancelado",0,ROUND(N($Q1800)+N($S1800)+N($T1800)-N($U1800),2)))</f>
        <v/>
      </c>
      <c r="AF1800" s="9">
        <f>IF($G1800="","",IFERROR(INDEX(LINHAS_DRE_PLANO,MATCH($G1800,SUBCATEGORIAS_PLANO,0)),"Não classificado"))</f>
        <v/>
      </c>
      <c r="AG1800" s="17">
        <f>IF($G1800="","",IFERROR(INDEX(TIPOS_FLUXO_PLANO,MATCH($G1800,SUBCATEGORIAS_PLANO,0)),"Não classificado"))</f>
        <v/>
      </c>
      <c r="AH1800" s="9">
        <f>IF($G1800="","",IFERROR(INDEX(GRUPOS_PLANO,MATCH($G1800,SUBCATEGORIAS_PLANO,0)),"Não classificado"))</f>
        <v/>
      </c>
      <c r="AI1800" s="24">
        <f>IF(OR($C1800="",$X1800="Pago",$X1800="Recebido",$X1800="Cancelado"),"",$C1800-TODAY())</f>
        <v/>
      </c>
      <c r="AJ1800" s="24">
        <f>IF(OR($C1800="",$X1800="Pago",$X1800="Recebido",$X1800="Cancelado"),0,MAX(0,TODAY()-$C1800))</f>
        <v/>
      </c>
      <c r="AK1800" s="24">
        <f>IF($D1800="","",$D1800-$B1800)</f>
        <v/>
      </c>
      <c r="AL1800" s="18">
        <f>IF(OR($D1800="",$B1800=""),"",ROUND(N($R1800)*($D1800-$B1800),2))</f>
        <v/>
      </c>
      <c r="AM1800" s="17">
        <f>IF(AND($E1800="Saída",$W1800&gt;0,$C1800&lt;&gt;""),$C1800+ROW()/1000000,"")</f>
        <v/>
      </c>
      <c r="AN1800" s="17">
        <f>IF(AND($E1800="Entrada",$W1800&gt;0,$C1800&lt;&gt;""),$C1800+ROW()/1000000,"")</f>
        <v/>
      </c>
      <c r="AO1800" s="9">
        <f>IF(COUNTA($B1800:$R1800)=0,"",IF(AND($I1800&lt;&gt;"",COUNTIF(CLIENTES_NOMES,$I1800)+COUNTIF(CLIENTES_FANTASIA,$I1800)+COUNTIF(FORNECEDORES_NOMES,$I1800)+COUNTIF(FORNECEDORES_FANTASIA,$I1800)=0),"⚠ Cliente/Fornecedor não cadastrado",IF(AND($G1800&lt;&gt;"",COUNTIF(SUBCATEGORIAS_PLANO,$G1800)=0),"⚠ Subcategoria fora do plano de contas",IF(OR($Q1800="",N($Q1800)=0),"⚠ Valor previsto não informado",IF(AND(OR($X1800="Pago",$X1800="Recebido"),$D1800=""),"⚠ Status pago/recebido sem data",IF(AND($D1800&lt;&gt;"",N($R1800)=0),"⚠ Data de pagamento sem valor realizado",IF(AND(N($P1800)&gt;1,N($O1800)&gt;N($P1800)),"⚠ Nº da parcela maior que o total",IF(AND($C1800&lt;&gt;"",$B1800&lt;&gt;"",$C1800&lt;$B1800),"⚠ Vencimento anterior à competência","OK"))))))))</f>
        <v/>
      </c>
    </row>
    <row r="1801">
      <c r="A1801" s="14" t="n"/>
      <c r="B1801" s="36" t="n"/>
      <c r="C1801" s="36" t="n"/>
      <c r="D1801" s="36" t="n"/>
      <c r="E1801" s="14" t="n"/>
      <c r="F1801" s="29" t="n"/>
      <c r="G1801" s="29" t="n"/>
      <c r="H1801" s="29" t="n"/>
      <c r="I1801" s="29" t="n"/>
      <c r="J1801" s="29" t="n"/>
      <c r="K1801" s="14" t="n"/>
      <c r="L1801" s="29" t="n"/>
      <c r="M1801" s="14" t="n"/>
      <c r="N1801" s="29" t="n"/>
      <c r="O1801" s="13" t="n"/>
      <c r="P1801" s="13" t="n"/>
      <c r="Q1801" s="35" t="n"/>
      <c r="R1801" s="35" t="n"/>
      <c r="S1801" s="35" t="n"/>
      <c r="T1801" s="35" t="n"/>
      <c r="U1801" s="35" t="n"/>
      <c r="V1801" s="18">
        <f>IF(COUNTA($B1801:$R1801)=0,"",ROUND(N($R1801)+N($S1801)+N($T1801)-N($U1801),2))</f>
        <v/>
      </c>
      <c r="W1801" s="18">
        <f>IF(COUNTA($B1801:$R1801)=0,"",IF(OR($X1801="Pago",$X1801="Recebido",$X1801="Cancelado"),0,ROUND(N($Q1801)+N($S1801)+N($T1801)-N($U1801)-N($R1801),2)))</f>
        <v/>
      </c>
      <c r="X1801" s="14" t="n"/>
      <c r="Y1801" s="17">
        <f>IF(COUNTA($B1801:$R1801)=0,"",IF($X1801="Cancelado","Cancelado",IF(OR($X1801="Pago",$X1801="Recebido"),$X1801,IF(OR($X1801="Parcial",N($R1801)&gt;0),"Parcial",IF($C1801="","Sem vencimento",IF($C1801&lt;TODAY(),"Vencido",IF($C1801=TODAY(),"Vence hoje",IF($C1801&lt;=TODAY()+7,"Vence em 7 dias",IF($C1801&lt;=TODAY()+30,"Vence em 30 dias","Futuro")))))))))</f>
        <v/>
      </c>
      <c r="Z1801" s="24">
        <f>IF($B1801="","",MONTH($B1801))</f>
        <v/>
      </c>
      <c r="AA1801" s="24">
        <f>IF($B1801="","",YEAR($B1801))</f>
        <v/>
      </c>
      <c r="AB1801" s="24">
        <f>IF($B1801="","",ISOWEEKNUM($B1801))</f>
        <v/>
      </c>
      <c r="AC1801" s="17">
        <f>IF($B1801="","",CHOOSE(WEEKDAY($B1801,2),"Segunda","Terça","Quarta","Quinta","Sexta","Sábado","Domingo"))</f>
        <v/>
      </c>
      <c r="AD1801" s="17">
        <f>IF($B1801="","",TEXT($B1801,"MM/AAAA"))</f>
        <v/>
      </c>
      <c r="AE1801" s="18">
        <f>IF(COUNTA($B1801:$R1801)=0,"",IF($X1801="Cancelado",0,ROUND(N($Q1801)+N($S1801)+N($T1801)-N($U1801),2)))</f>
        <v/>
      </c>
      <c r="AF1801" s="9">
        <f>IF($G1801="","",IFERROR(INDEX(LINHAS_DRE_PLANO,MATCH($G1801,SUBCATEGORIAS_PLANO,0)),"Não classificado"))</f>
        <v/>
      </c>
      <c r="AG1801" s="17">
        <f>IF($G1801="","",IFERROR(INDEX(TIPOS_FLUXO_PLANO,MATCH($G1801,SUBCATEGORIAS_PLANO,0)),"Não classificado"))</f>
        <v/>
      </c>
      <c r="AH1801" s="9">
        <f>IF($G1801="","",IFERROR(INDEX(GRUPOS_PLANO,MATCH($G1801,SUBCATEGORIAS_PLANO,0)),"Não classificado"))</f>
        <v/>
      </c>
      <c r="AI1801" s="24">
        <f>IF(OR($C1801="",$X1801="Pago",$X1801="Recebido",$X1801="Cancelado"),"",$C1801-TODAY())</f>
        <v/>
      </c>
      <c r="AJ1801" s="24">
        <f>IF(OR($C1801="",$X1801="Pago",$X1801="Recebido",$X1801="Cancelado"),0,MAX(0,TODAY()-$C1801))</f>
        <v/>
      </c>
      <c r="AK1801" s="24">
        <f>IF($D1801="","",$D1801-$B1801)</f>
        <v/>
      </c>
      <c r="AL1801" s="18">
        <f>IF(OR($D1801="",$B1801=""),"",ROUND(N($R1801)*($D1801-$B1801),2))</f>
        <v/>
      </c>
      <c r="AM1801" s="17">
        <f>IF(AND($E1801="Saída",$W1801&gt;0,$C1801&lt;&gt;""),$C1801+ROW()/1000000,"")</f>
        <v/>
      </c>
      <c r="AN1801" s="17">
        <f>IF(AND($E1801="Entrada",$W1801&gt;0,$C1801&lt;&gt;""),$C1801+ROW()/1000000,"")</f>
        <v/>
      </c>
      <c r="AO1801" s="9">
        <f>IF(COUNTA($B1801:$R1801)=0,"",IF(AND($I1801&lt;&gt;"",COUNTIF(CLIENTES_NOMES,$I1801)+COUNTIF(CLIENTES_FANTASIA,$I1801)+COUNTIF(FORNECEDORES_NOMES,$I1801)+COUNTIF(FORNECEDORES_FANTASIA,$I1801)=0),"⚠ Cliente/Fornecedor não cadastrado",IF(AND($G1801&lt;&gt;"",COUNTIF(SUBCATEGORIAS_PLANO,$G1801)=0),"⚠ Subcategoria fora do plano de contas",IF(OR($Q1801="",N($Q1801)=0),"⚠ Valor previsto não informado",IF(AND(OR($X1801="Pago",$X1801="Recebido"),$D1801=""),"⚠ Status pago/recebido sem data",IF(AND($D1801&lt;&gt;"",N($R1801)=0),"⚠ Data de pagamento sem valor realizado",IF(AND(N($P1801)&gt;1,N($O1801)&gt;N($P1801)),"⚠ Nº da parcela maior que o total",IF(AND($C1801&lt;&gt;"",$B1801&lt;&gt;"",$C1801&lt;$B1801),"⚠ Vencimento anterior à competência","OK"))))))))</f>
        <v/>
      </c>
    </row>
    <row r="1802">
      <c r="A1802" s="14" t="n"/>
      <c r="B1802" s="36" t="n"/>
      <c r="C1802" s="36" t="n"/>
      <c r="D1802" s="36" t="n"/>
      <c r="E1802" s="14" t="n"/>
      <c r="F1802" s="29" t="n"/>
      <c r="G1802" s="29" t="n"/>
      <c r="H1802" s="29" t="n"/>
      <c r="I1802" s="29" t="n"/>
      <c r="J1802" s="29" t="n"/>
      <c r="K1802" s="14" t="n"/>
      <c r="L1802" s="29" t="n"/>
      <c r="M1802" s="14" t="n"/>
      <c r="N1802" s="29" t="n"/>
      <c r="O1802" s="13" t="n"/>
      <c r="P1802" s="13" t="n"/>
      <c r="Q1802" s="35" t="n"/>
      <c r="R1802" s="35" t="n"/>
      <c r="S1802" s="35" t="n"/>
      <c r="T1802" s="35" t="n"/>
      <c r="U1802" s="35" t="n"/>
      <c r="V1802" s="18">
        <f>IF(COUNTA($B1802:$R1802)=0,"",ROUND(N($R1802)+N($S1802)+N($T1802)-N($U1802),2))</f>
        <v/>
      </c>
      <c r="W1802" s="18">
        <f>IF(COUNTA($B1802:$R1802)=0,"",IF(OR($X1802="Pago",$X1802="Recebido",$X1802="Cancelado"),0,ROUND(N($Q1802)+N($S1802)+N($T1802)-N($U1802)-N($R1802),2)))</f>
        <v/>
      </c>
      <c r="X1802" s="14" t="n"/>
      <c r="Y1802" s="17">
        <f>IF(COUNTA($B1802:$R1802)=0,"",IF($X1802="Cancelado","Cancelado",IF(OR($X1802="Pago",$X1802="Recebido"),$X1802,IF(OR($X1802="Parcial",N($R1802)&gt;0),"Parcial",IF($C1802="","Sem vencimento",IF($C1802&lt;TODAY(),"Vencido",IF($C1802=TODAY(),"Vence hoje",IF($C1802&lt;=TODAY()+7,"Vence em 7 dias",IF($C1802&lt;=TODAY()+30,"Vence em 30 dias","Futuro")))))))))</f>
        <v/>
      </c>
      <c r="Z1802" s="24">
        <f>IF($B1802="","",MONTH($B1802))</f>
        <v/>
      </c>
      <c r="AA1802" s="24">
        <f>IF($B1802="","",YEAR($B1802))</f>
        <v/>
      </c>
      <c r="AB1802" s="24">
        <f>IF($B1802="","",ISOWEEKNUM($B1802))</f>
        <v/>
      </c>
      <c r="AC1802" s="17">
        <f>IF($B1802="","",CHOOSE(WEEKDAY($B1802,2),"Segunda","Terça","Quarta","Quinta","Sexta","Sábado","Domingo"))</f>
        <v/>
      </c>
      <c r="AD1802" s="17">
        <f>IF($B1802="","",TEXT($B1802,"MM/AAAA"))</f>
        <v/>
      </c>
      <c r="AE1802" s="18">
        <f>IF(COUNTA($B1802:$R1802)=0,"",IF($X1802="Cancelado",0,ROUND(N($Q1802)+N($S1802)+N($T1802)-N($U1802),2)))</f>
        <v/>
      </c>
      <c r="AF1802" s="9">
        <f>IF($G1802="","",IFERROR(INDEX(LINHAS_DRE_PLANO,MATCH($G1802,SUBCATEGORIAS_PLANO,0)),"Não classificado"))</f>
        <v/>
      </c>
      <c r="AG1802" s="17">
        <f>IF($G1802="","",IFERROR(INDEX(TIPOS_FLUXO_PLANO,MATCH($G1802,SUBCATEGORIAS_PLANO,0)),"Não classificado"))</f>
        <v/>
      </c>
      <c r="AH1802" s="9">
        <f>IF($G1802="","",IFERROR(INDEX(GRUPOS_PLANO,MATCH($G1802,SUBCATEGORIAS_PLANO,0)),"Não classificado"))</f>
        <v/>
      </c>
      <c r="AI1802" s="24">
        <f>IF(OR($C1802="",$X1802="Pago",$X1802="Recebido",$X1802="Cancelado"),"",$C1802-TODAY())</f>
        <v/>
      </c>
      <c r="AJ1802" s="24">
        <f>IF(OR($C1802="",$X1802="Pago",$X1802="Recebido",$X1802="Cancelado"),0,MAX(0,TODAY()-$C1802))</f>
        <v/>
      </c>
      <c r="AK1802" s="24">
        <f>IF($D1802="","",$D1802-$B1802)</f>
        <v/>
      </c>
      <c r="AL1802" s="18">
        <f>IF(OR($D1802="",$B1802=""),"",ROUND(N($R1802)*($D1802-$B1802),2))</f>
        <v/>
      </c>
      <c r="AM1802" s="17">
        <f>IF(AND($E1802="Saída",$W1802&gt;0,$C1802&lt;&gt;""),$C1802+ROW()/1000000,"")</f>
        <v/>
      </c>
      <c r="AN1802" s="17">
        <f>IF(AND($E1802="Entrada",$W1802&gt;0,$C1802&lt;&gt;""),$C1802+ROW()/1000000,"")</f>
        <v/>
      </c>
      <c r="AO1802" s="9">
        <f>IF(COUNTA($B1802:$R1802)=0,"",IF(AND($I1802&lt;&gt;"",COUNTIF(CLIENTES_NOMES,$I1802)+COUNTIF(CLIENTES_FANTASIA,$I1802)+COUNTIF(FORNECEDORES_NOMES,$I1802)+COUNTIF(FORNECEDORES_FANTASIA,$I1802)=0),"⚠ Cliente/Fornecedor não cadastrado",IF(AND($G1802&lt;&gt;"",COUNTIF(SUBCATEGORIAS_PLANO,$G1802)=0),"⚠ Subcategoria fora do plano de contas",IF(OR($Q1802="",N($Q1802)=0),"⚠ Valor previsto não informado",IF(AND(OR($X1802="Pago",$X1802="Recebido"),$D1802=""),"⚠ Status pago/recebido sem data",IF(AND($D1802&lt;&gt;"",N($R1802)=0),"⚠ Data de pagamento sem valor realizado",IF(AND(N($P1802)&gt;1,N($O1802)&gt;N($P1802)),"⚠ Nº da parcela maior que o total",IF(AND($C1802&lt;&gt;"",$B1802&lt;&gt;"",$C1802&lt;$B1802),"⚠ Vencimento anterior à competência","OK"))))))))</f>
        <v/>
      </c>
    </row>
    <row r="1803">
      <c r="A1803" s="14" t="n"/>
      <c r="B1803" s="36" t="n"/>
      <c r="C1803" s="36" t="n"/>
      <c r="D1803" s="36" t="n"/>
      <c r="E1803" s="14" t="n"/>
      <c r="F1803" s="29" t="n"/>
      <c r="G1803" s="29" t="n"/>
      <c r="H1803" s="29" t="n"/>
      <c r="I1803" s="29" t="n"/>
      <c r="J1803" s="29" t="n"/>
      <c r="K1803" s="14" t="n"/>
      <c r="L1803" s="29" t="n"/>
      <c r="M1803" s="14" t="n"/>
      <c r="N1803" s="29" t="n"/>
      <c r="O1803" s="13" t="n"/>
      <c r="P1803" s="13" t="n"/>
      <c r="Q1803" s="35" t="n"/>
      <c r="R1803" s="35" t="n"/>
      <c r="S1803" s="35" t="n"/>
      <c r="T1803" s="35" t="n"/>
      <c r="U1803" s="35" t="n"/>
      <c r="V1803" s="18">
        <f>IF(COUNTA($B1803:$R1803)=0,"",ROUND(N($R1803)+N($S1803)+N($T1803)-N($U1803),2))</f>
        <v/>
      </c>
      <c r="W1803" s="18">
        <f>IF(COUNTA($B1803:$R1803)=0,"",IF(OR($X1803="Pago",$X1803="Recebido",$X1803="Cancelado"),0,ROUND(N($Q1803)+N($S1803)+N($T1803)-N($U1803)-N($R1803),2)))</f>
        <v/>
      </c>
      <c r="X1803" s="14" t="n"/>
      <c r="Y1803" s="17">
        <f>IF(COUNTA($B1803:$R1803)=0,"",IF($X1803="Cancelado","Cancelado",IF(OR($X1803="Pago",$X1803="Recebido"),$X1803,IF(OR($X1803="Parcial",N($R1803)&gt;0),"Parcial",IF($C1803="","Sem vencimento",IF($C1803&lt;TODAY(),"Vencido",IF($C1803=TODAY(),"Vence hoje",IF($C1803&lt;=TODAY()+7,"Vence em 7 dias",IF($C1803&lt;=TODAY()+30,"Vence em 30 dias","Futuro")))))))))</f>
        <v/>
      </c>
      <c r="Z1803" s="24">
        <f>IF($B1803="","",MONTH($B1803))</f>
        <v/>
      </c>
      <c r="AA1803" s="24">
        <f>IF($B1803="","",YEAR($B1803))</f>
        <v/>
      </c>
      <c r="AB1803" s="24">
        <f>IF($B1803="","",ISOWEEKNUM($B1803))</f>
        <v/>
      </c>
      <c r="AC1803" s="17">
        <f>IF($B1803="","",CHOOSE(WEEKDAY($B1803,2),"Segunda","Terça","Quarta","Quinta","Sexta","Sábado","Domingo"))</f>
        <v/>
      </c>
      <c r="AD1803" s="17">
        <f>IF($B1803="","",TEXT($B1803,"MM/AAAA"))</f>
        <v/>
      </c>
      <c r="AE1803" s="18">
        <f>IF(COUNTA($B1803:$R1803)=0,"",IF($X1803="Cancelado",0,ROUND(N($Q1803)+N($S1803)+N($T1803)-N($U1803),2)))</f>
        <v/>
      </c>
      <c r="AF1803" s="9">
        <f>IF($G1803="","",IFERROR(INDEX(LINHAS_DRE_PLANO,MATCH($G1803,SUBCATEGORIAS_PLANO,0)),"Não classificado"))</f>
        <v/>
      </c>
      <c r="AG1803" s="17">
        <f>IF($G1803="","",IFERROR(INDEX(TIPOS_FLUXO_PLANO,MATCH($G1803,SUBCATEGORIAS_PLANO,0)),"Não classificado"))</f>
        <v/>
      </c>
      <c r="AH1803" s="9">
        <f>IF($G1803="","",IFERROR(INDEX(GRUPOS_PLANO,MATCH($G1803,SUBCATEGORIAS_PLANO,0)),"Não classificado"))</f>
        <v/>
      </c>
      <c r="AI1803" s="24">
        <f>IF(OR($C1803="",$X1803="Pago",$X1803="Recebido",$X1803="Cancelado"),"",$C1803-TODAY())</f>
        <v/>
      </c>
      <c r="AJ1803" s="24">
        <f>IF(OR($C1803="",$X1803="Pago",$X1803="Recebido",$X1803="Cancelado"),0,MAX(0,TODAY()-$C1803))</f>
        <v/>
      </c>
      <c r="AK1803" s="24">
        <f>IF($D1803="","",$D1803-$B1803)</f>
        <v/>
      </c>
      <c r="AL1803" s="18">
        <f>IF(OR($D1803="",$B1803=""),"",ROUND(N($R1803)*($D1803-$B1803),2))</f>
        <v/>
      </c>
      <c r="AM1803" s="17">
        <f>IF(AND($E1803="Saída",$W1803&gt;0,$C1803&lt;&gt;""),$C1803+ROW()/1000000,"")</f>
        <v/>
      </c>
      <c r="AN1803" s="17">
        <f>IF(AND($E1803="Entrada",$W1803&gt;0,$C1803&lt;&gt;""),$C1803+ROW()/1000000,"")</f>
        <v/>
      </c>
      <c r="AO1803" s="9">
        <f>IF(COUNTA($B1803:$R1803)=0,"",IF(AND($I1803&lt;&gt;"",COUNTIF(CLIENTES_NOMES,$I1803)+COUNTIF(CLIENTES_FANTASIA,$I1803)+COUNTIF(FORNECEDORES_NOMES,$I1803)+COUNTIF(FORNECEDORES_FANTASIA,$I1803)=0),"⚠ Cliente/Fornecedor não cadastrado",IF(AND($G1803&lt;&gt;"",COUNTIF(SUBCATEGORIAS_PLANO,$G1803)=0),"⚠ Subcategoria fora do plano de contas",IF(OR($Q1803="",N($Q1803)=0),"⚠ Valor previsto não informado",IF(AND(OR($X1803="Pago",$X1803="Recebido"),$D1803=""),"⚠ Status pago/recebido sem data",IF(AND($D1803&lt;&gt;"",N($R1803)=0),"⚠ Data de pagamento sem valor realizado",IF(AND(N($P1803)&gt;1,N($O1803)&gt;N($P1803)),"⚠ Nº da parcela maior que o total",IF(AND($C1803&lt;&gt;"",$B1803&lt;&gt;"",$C1803&lt;$B1803),"⚠ Vencimento anterior à competência","OK"))))))))</f>
        <v/>
      </c>
    </row>
    <row r="1804">
      <c r="A1804" s="14" t="n"/>
      <c r="B1804" s="36" t="n"/>
      <c r="C1804" s="36" t="n"/>
      <c r="D1804" s="36" t="n"/>
      <c r="E1804" s="14" t="n"/>
      <c r="F1804" s="29" t="n"/>
      <c r="G1804" s="29" t="n"/>
      <c r="H1804" s="29" t="n"/>
      <c r="I1804" s="29" t="n"/>
      <c r="J1804" s="29" t="n"/>
      <c r="K1804" s="14" t="n"/>
      <c r="L1804" s="29" t="n"/>
      <c r="M1804" s="14" t="n"/>
      <c r="N1804" s="29" t="n"/>
      <c r="O1804" s="13" t="n"/>
      <c r="P1804" s="13" t="n"/>
      <c r="Q1804" s="35" t="n"/>
      <c r="R1804" s="35" t="n"/>
      <c r="S1804" s="35" t="n"/>
      <c r="T1804" s="35" t="n"/>
      <c r="U1804" s="35" t="n"/>
      <c r="V1804" s="18">
        <f>IF(COUNTA($B1804:$R1804)=0,"",ROUND(N($R1804)+N($S1804)+N($T1804)-N($U1804),2))</f>
        <v/>
      </c>
      <c r="W1804" s="18">
        <f>IF(COUNTA($B1804:$R1804)=0,"",IF(OR($X1804="Pago",$X1804="Recebido",$X1804="Cancelado"),0,ROUND(N($Q1804)+N($S1804)+N($T1804)-N($U1804)-N($R1804),2)))</f>
        <v/>
      </c>
      <c r="X1804" s="14" t="n"/>
      <c r="Y1804" s="17">
        <f>IF(COUNTA($B1804:$R1804)=0,"",IF($X1804="Cancelado","Cancelado",IF(OR($X1804="Pago",$X1804="Recebido"),$X1804,IF(OR($X1804="Parcial",N($R1804)&gt;0),"Parcial",IF($C1804="","Sem vencimento",IF($C1804&lt;TODAY(),"Vencido",IF($C1804=TODAY(),"Vence hoje",IF($C1804&lt;=TODAY()+7,"Vence em 7 dias",IF($C1804&lt;=TODAY()+30,"Vence em 30 dias","Futuro")))))))))</f>
        <v/>
      </c>
      <c r="Z1804" s="24">
        <f>IF($B1804="","",MONTH($B1804))</f>
        <v/>
      </c>
      <c r="AA1804" s="24">
        <f>IF($B1804="","",YEAR($B1804))</f>
        <v/>
      </c>
      <c r="AB1804" s="24">
        <f>IF($B1804="","",ISOWEEKNUM($B1804))</f>
        <v/>
      </c>
      <c r="AC1804" s="17">
        <f>IF($B1804="","",CHOOSE(WEEKDAY($B1804,2),"Segunda","Terça","Quarta","Quinta","Sexta","Sábado","Domingo"))</f>
        <v/>
      </c>
      <c r="AD1804" s="17">
        <f>IF($B1804="","",TEXT($B1804,"MM/AAAA"))</f>
        <v/>
      </c>
      <c r="AE1804" s="18">
        <f>IF(COUNTA($B1804:$R1804)=0,"",IF($X1804="Cancelado",0,ROUND(N($Q1804)+N($S1804)+N($T1804)-N($U1804),2)))</f>
        <v/>
      </c>
      <c r="AF1804" s="9">
        <f>IF($G1804="","",IFERROR(INDEX(LINHAS_DRE_PLANO,MATCH($G1804,SUBCATEGORIAS_PLANO,0)),"Não classificado"))</f>
        <v/>
      </c>
      <c r="AG1804" s="17">
        <f>IF($G1804="","",IFERROR(INDEX(TIPOS_FLUXO_PLANO,MATCH($G1804,SUBCATEGORIAS_PLANO,0)),"Não classificado"))</f>
        <v/>
      </c>
      <c r="AH1804" s="9">
        <f>IF($G1804="","",IFERROR(INDEX(GRUPOS_PLANO,MATCH($G1804,SUBCATEGORIAS_PLANO,0)),"Não classificado"))</f>
        <v/>
      </c>
      <c r="AI1804" s="24">
        <f>IF(OR($C1804="",$X1804="Pago",$X1804="Recebido",$X1804="Cancelado"),"",$C1804-TODAY())</f>
        <v/>
      </c>
      <c r="AJ1804" s="24">
        <f>IF(OR($C1804="",$X1804="Pago",$X1804="Recebido",$X1804="Cancelado"),0,MAX(0,TODAY()-$C1804))</f>
        <v/>
      </c>
      <c r="AK1804" s="24">
        <f>IF($D1804="","",$D1804-$B1804)</f>
        <v/>
      </c>
      <c r="AL1804" s="18">
        <f>IF(OR($D1804="",$B1804=""),"",ROUND(N($R1804)*($D1804-$B1804),2))</f>
        <v/>
      </c>
      <c r="AM1804" s="17">
        <f>IF(AND($E1804="Saída",$W1804&gt;0,$C1804&lt;&gt;""),$C1804+ROW()/1000000,"")</f>
        <v/>
      </c>
      <c r="AN1804" s="17">
        <f>IF(AND($E1804="Entrada",$W1804&gt;0,$C1804&lt;&gt;""),$C1804+ROW()/1000000,"")</f>
        <v/>
      </c>
      <c r="AO1804" s="9">
        <f>IF(COUNTA($B1804:$R1804)=0,"",IF(AND($I1804&lt;&gt;"",COUNTIF(CLIENTES_NOMES,$I1804)+COUNTIF(CLIENTES_FANTASIA,$I1804)+COUNTIF(FORNECEDORES_NOMES,$I1804)+COUNTIF(FORNECEDORES_FANTASIA,$I1804)=0),"⚠ Cliente/Fornecedor não cadastrado",IF(AND($G1804&lt;&gt;"",COUNTIF(SUBCATEGORIAS_PLANO,$G1804)=0),"⚠ Subcategoria fora do plano de contas",IF(OR($Q1804="",N($Q1804)=0),"⚠ Valor previsto não informado",IF(AND(OR($X1804="Pago",$X1804="Recebido"),$D1804=""),"⚠ Status pago/recebido sem data",IF(AND($D1804&lt;&gt;"",N($R1804)=0),"⚠ Data de pagamento sem valor realizado",IF(AND(N($P1804)&gt;1,N($O1804)&gt;N($P1804)),"⚠ Nº da parcela maior que o total",IF(AND($C1804&lt;&gt;"",$B1804&lt;&gt;"",$C1804&lt;$B1804),"⚠ Vencimento anterior à competência","OK"))))))))</f>
        <v/>
      </c>
    </row>
    <row r="1805">
      <c r="A1805" s="14" t="n"/>
      <c r="B1805" s="36" t="n"/>
      <c r="C1805" s="36" t="n"/>
      <c r="D1805" s="36" t="n"/>
      <c r="E1805" s="14" t="n"/>
      <c r="F1805" s="29" t="n"/>
      <c r="G1805" s="29" t="n"/>
      <c r="H1805" s="29" t="n"/>
      <c r="I1805" s="29" t="n"/>
      <c r="J1805" s="29" t="n"/>
      <c r="K1805" s="14" t="n"/>
      <c r="L1805" s="29" t="n"/>
      <c r="M1805" s="14" t="n"/>
      <c r="N1805" s="29" t="n"/>
      <c r="O1805" s="13" t="n"/>
      <c r="P1805" s="13" t="n"/>
      <c r="Q1805" s="35" t="n"/>
      <c r="R1805" s="35" t="n"/>
      <c r="S1805" s="35" t="n"/>
      <c r="T1805" s="35" t="n"/>
      <c r="U1805" s="35" t="n"/>
      <c r="V1805" s="18">
        <f>IF(COUNTA($B1805:$R1805)=0,"",ROUND(N($R1805)+N($S1805)+N($T1805)-N($U1805),2))</f>
        <v/>
      </c>
      <c r="W1805" s="18">
        <f>IF(COUNTA($B1805:$R1805)=0,"",IF(OR($X1805="Pago",$X1805="Recebido",$X1805="Cancelado"),0,ROUND(N($Q1805)+N($S1805)+N($T1805)-N($U1805)-N($R1805),2)))</f>
        <v/>
      </c>
      <c r="X1805" s="14" t="n"/>
      <c r="Y1805" s="17">
        <f>IF(COUNTA($B1805:$R1805)=0,"",IF($X1805="Cancelado","Cancelado",IF(OR($X1805="Pago",$X1805="Recebido"),$X1805,IF(OR($X1805="Parcial",N($R1805)&gt;0),"Parcial",IF($C1805="","Sem vencimento",IF($C1805&lt;TODAY(),"Vencido",IF($C1805=TODAY(),"Vence hoje",IF($C1805&lt;=TODAY()+7,"Vence em 7 dias",IF($C1805&lt;=TODAY()+30,"Vence em 30 dias","Futuro")))))))))</f>
        <v/>
      </c>
      <c r="Z1805" s="24">
        <f>IF($B1805="","",MONTH($B1805))</f>
        <v/>
      </c>
      <c r="AA1805" s="24">
        <f>IF($B1805="","",YEAR($B1805))</f>
        <v/>
      </c>
      <c r="AB1805" s="24">
        <f>IF($B1805="","",ISOWEEKNUM($B1805))</f>
        <v/>
      </c>
      <c r="AC1805" s="17">
        <f>IF($B1805="","",CHOOSE(WEEKDAY($B1805,2),"Segunda","Terça","Quarta","Quinta","Sexta","Sábado","Domingo"))</f>
        <v/>
      </c>
      <c r="AD1805" s="17">
        <f>IF($B1805="","",TEXT($B1805,"MM/AAAA"))</f>
        <v/>
      </c>
      <c r="AE1805" s="18">
        <f>IF(COUNTA($B1805:$R1805)=0,"",IF($X1805="Cancelado",0,ROUND(N($Q1805)+N($S1805)+N($T1805)-N($U1805),2)))</f>
        <v/>
      </c>
      <c r="AF1805" s="9">
        <f>IF($G1805="","",IFERROR(INDEX(LINHAS_DRE_PLANO,MATCH($G1805,SUBCATEGORIAS_PLANO,0)),"Não classificado"))</f>
        <v/>
      </c>
      <c r="AG1805" s="17">
        <f>IF($G1805="","",IFERROR(INDEX(TIPOS_FLUXO_PLANO,MATCH($G1805,SUBCATEGORIAS_PLANO,0)),"Não classificado"))</f>
        <v/>
      </c>
      <c r="AH1805" s="9">
        <f>IF($G1805="","",IFERROR(INDEX(GRUPOS_PLANO,MATCH($G1805,SUBCATEGORIAS_PLANO,0)),"Não classificado"))</f>
        <v/>
      </c>
      <c r="AI1805" s="24">
        <f>IF(OR($C1805="",$X1805="Pago",$X1805="Recebido",$X1805="Cancelado"),"",$C1805-TODAY())</f>
        <v/>
      </c>
      <c r="AJ1805" s="24">
        <f>IF(OR($C1805="",$X1805="Pago",$X1805="Recebido",$X1805="Cancelado"),0,MAX(0,TODAY()-$C1805))</f>
        <v/>
      </c>
      <c r="AK1805" s="24">
        <f>IF($D1805="","",$D1805-$B1805)</f>
        <v/>
      </c>
      <c r="AL1805" s="18">
        <f>IF(OR($D1805="",$B1805=""),"",ROUND(N($R1805)*($D1805-$B1805),2))</f>
        <v/>
      </c>
      <c r="AM1805" s="17">
        <f>IF(AND($E1805="Saída",$W1805&gt;0,$C1805&lt;&gt;""),$C1805+ROW()/1000000,"")</f>
        <v/>
      </c>
      <c r="AN1805" s="17">
        <f>IF(AND($E1805="Entrada",$W1805&gt;0,$C1805&lt;&gt;""),$C1805+ROW()/1000000,"")</f>
        <v/>
      </c>
      <c r="AO1805" s="9">
        <f>IF(COUNTA($B1805:$R1805)=0,"",IF(AND($I1805&lt;&gt;"",COUNTIF(CLIENTES_NOMES,$I1805)+COUNTIF(CLIENTES_FANTASIA,$I1805)+COUNTIF(FORNECEDORES_NOMES,$I1805)+COUNTIF(FORNECEDORES_FANTASIA,$I1805)=0),"⚠ Cliente/Fornecedor não cadastrado",IF(AND($G1805&lt;&gt;"",COUNTIF(SUBCATEGORIAS_PLANO,$G1805)=0),"⚠ Subcategoria fora do plano de contas",IF(OR($Q1805="",N($Q1805)=0),"⚠ Valor previsto não informado",IF(AND(OR($X1805="Pago",$X1805="Recebido"),$D1805=""),"⚠ Status pago/recebido sem data",IF(AND($D1805&lt;&gt;"",N($R1805)=0),"⚠ Data de pagamento sem valor realizado",IF(AND(N($P1805)&gt;1,N($O1805)&gt;N($P1805)),"⚠ Nº da parcela maior que o total",IF(AND($C1805&lt;&gt;"",$B1805&lt;&gt;"",$C1805&lt;$B1805),"⚠ Vencimento anterior à competência","OK"))))))))</f>
        <v/>
      </c>
    </row>
    <row r="1806">
      <c r="A1806" s="14" t="n"/>
      <c r="B1806" s="36" t="n"/>
      <c r="C1806" s="36" t="n"/>
      <c r="D1806" s="36" t="n"/>
      <c r="E1806" s="14" t="n"/>
      <c r="F1806" s="29" t="n"/>
      <c r="G1806" s="29" t="n"/>
      <c r="H1806" s="29" t="n"/>
      <c r="I1806" s="29" t="n"/>
      <c r="J1806" s="29" t="n"/>
      <c r="K1806" s="14" t="n"/>
      <c r="L1806" s="29" t="n"/>
      <c r="M1806" s="14" t="n"/>
      <c r="N1806" s="29" t="n"/>
      <c r="O1806" s="13" t="n"/>
      <c r="P1806" s="13" t="n"/>
      <c r="Q1806" s="35" t="n"/>
      <c r="R1806" s="35" t="n"/>
      <c r="S1806" s="35" t="n"/>
      <c r="T1806" s="35" t="n"/>
      <c r="U1806" s="35" t="n"/>
      <c r="V1806" s="18">
        <f>IF(COUNTA($B1806:$R1806)=0,"",ROUND(N($R1806)+N($S1806)+N($T1806)-N($U1806),2))</f>
        <v/>
      </c>
      <c r="W1806" s="18">
        <f>IF(COUNTA($B1806:$R1806)=0,"",IF(OR($X1806="Pago",$X1806="Recebido",$X1806="Cancelado"),0,ROUND(N($Q1806)+N($S1806)+N($T1806)-N($U1806)-N($R1806),2)))</f>
        <v/>
      </c>
      <c r="X1806" s="14" t="n"/>
      <c r="Y1806" s="17">
        <f>IF(COUNTA($B1806:$R1806)=0,"",IF($X1806="Cancelado","Cancelado",IF(OR($X1806="Pago",$X1806="Recebido"),$X1806,IF(OR($X1806="Parcial",N($R1806)&gt;0),"Parcial",IF($C1806="","Sem vencimento",IF($C1806&lt;TODAY(),"Vencido",IF($C1806=TODAY(),"Vence hoje",IF($C1806&lt;=TODAY()+7,"Vence em 7 dias",IF($C1806&lt;=TODAY()+30,"Vence em 30 dias","Futuro")))))))))</f>
        <v/>
      </c>
      <c r="Z1806" s="24">
        <f>IF($B1806="","",MONTH($B1806))</f>
        <v/>
      </c>
      <c r="AA1806" s="24">
        <f>IF($B1806="","",YEAR($B1806))</f>
        <v/>
      </c>
      <c r="AB1806" s="24">
        <f>IF($B1806="","",ISOWEEKNUM($B1806))</f>
        <v/>
      </c>
      <c r="AC1806" s="17">
        <f>IF($B1806="","",CHOOSE(WEEKDAY($B1806,2),"Segunda","Terça","Quarta","Quinta","Sexta","Sábado","Domingo"))</f>
        <v/>
      </c>
      <c r="AD1806" s="17">
        <f>IF($B1806="","",TEXT($B1806,"MM/AAAA"))</f>
        <v/>
      </c>
      <c r="AE1806" s="18">
        <f>IF(COUNTA($B1806:$R1806)=0,"",IF($X1806="Cancelado",0,ROUND(N($Q1806)+N($S1806)+N($T1806)-N($U1806),2)))</f>
        <v/>
      </c>
      <c r="AF1806" s="9">
        <f>IF($G1806="","",IFERROR(INDEX(LINHAS_DRE_PLANO,MATCH($G1806,SUBCATEGORIAS_PLANO,0)),"Não classificado"))</f>
        <v/>
      </c>
      <c r="AG1806" s="17">
        <f>IF($G1806="","",IFERROR(INDEX(TIPOS_FLUXO_PLANO,MATCH($G1806,SUBCATEGORIAS_PLANO,0)),"Não classificado"))</f>
        <v/>
      </c>
      <c r="AH1806" s="9">
        <f>IF($G1806="","",IFERROR(INDEX(GRUPOS_PLANO,MATCH($G1806,SUBCATEGORIAS_PLANO,0)),"Não classificado"))</f>
        <v/>
      </c>
      <c r="AI1806" s="24">
        <f>IF(OR($C1806="",$X1806="Pago",$X1806="Recebido",$X1806="Cancelado"),"",$C1806-TODAY())</f>
        <v/>
      </c>
      <c r="AJ1806" s="24">
        <f>IF(OR($C1806="",$X1806="Pago",$X1806="Recebido",$X1806="Cancelado"),0,MAX(0,TODAY()-$C1806))</f>
        <v/>
      </c>
      <c r="AK1806" s="24">
        <f>IF($D1806="","",$D1806-$B1806)</f>
        <v/>
      </c>
      <c r="AL1806" s="18">
        <f>IF(OR($D1806="",$B1806=""),"",ROUND(N($R1806)*($D1806-$B1806),2))</f>
        <v/>
      </c>
      <c r="AM1806" s="17">
        <f>IF(AND($E1806="Saída",$W1806&gt;0,$C1806&lt;&gt;""),$C1806+ROW()/1000000,"")</f>
        <v/>
      </c>
      <c r="AN1806" s="17">
        <f>IF(AND($E1806="Entrada",$W1806&gt;0,$C1806&lt;&gt;""),$C1806+ROW()/1000000,"")</f>
        <v/>
      </c>
      <c r="AO1806" s="9">
        <f>IF(COUNTA($B1806:$R1806)=0,"",IF(AND($I1806&lt;&gt;"",COUNTIF(CLIENTES_NOMES,$I1806)+COUNTIF(CLIENTES_FANTASIA,$I1806)+COUNTIF(FORNECEDORES_NOMES,$I1806)+COUNTIF(FORNECEDORES_FANTASIA,$I1806)=0),"⚠ Cliente/Fornecedor não cadastrado",IF(AND($G1806&lt;&gt;"",COUNTIF(SUBCATEGORIAS_PLANO,$G1806)=0),"⚠ Subcategoria fora do plano de contas",IF(OR($Q1806="",N($Q1806)=0),"⚠ Valor previsto não informado",IF(AND(OR($X1806="Pago",$X1806="Recebido"),$D1806=""),"⚠ Status pago/recebido sem data",IF(AND($D1806&lt;&gt;"",N($R1806)=0),"⚠ Data de pagamento sem valor realizado",IF(AND(N($P1806)&gt;1,N($O1806)&gt;N($P1806)),"⚠ Nº da parcela maior que o total",IF(AND($C1806&lt;&gt;"",$B1806&lt;&gt;"",$C1806&lt;$B1806),"⚠ Vencimento anterior à competência","OK"))))))))</f>
        <v/>
      </c>
    </row>
    <row r="1807">
      <c r="A1807" s="14" t="n"/>
      <c r="B1807" s="36" t="n"/>
      <c r="C1807" s="36" t="n"/>
      <c r="D1807" s="36" t="n"/>
      <c r="E1807" s="14" t="n"/>
      <c r="F1807" s="29" t="n"/>
      <c r="G1807" s="29" t="n"/>
      <c r="H1807" s="29" t="n"/>
      <c r="I1807" s="29" t="n"/>
      <c r="J1807" s="29" t="n"/>
      <c r="K1807" s="14" t="n"/>
      <c r="L1807" s="29" t="n"/>
      <c r="M1807" s="14" t="n"/>
      <c r="N1807" s="29" t="n"/>
      <c r="O1807" s="13" t="n"/>
      <c r="P1807" s="13" t="n"/>
      <c r="Q1807" s="35" t="n"/>
      <c r="R1807" s="35" t="n"/>
      <c r="S1807" s="35" t="n"/>
      <c r="T1807" s="35" t="n"/>
      <c r="U1807" s="35" t="n"/>
      <c r="V1807" s="18">
        <f>IF(COUNTA($B1807:$R1807)=0,"",ROUND(N($R1807)+N($S1807)+N($T1807)-N($U1807),2))</f>
        <v/>
      </c>
      <c r="W1807" s="18">
        <f>IF(COUNTA($B1807:$R1807)=0,"",IF(OR($X1807="Pago",$X1807="Recebido",$X1807="Cancelado"),0,ROUND(N($Q1807)+N($S1807)+N($T1807)-N($U1807)-N($R1807),2)))</f>
        <v/>
      </c>
      <c r="X1807" s="14" t="n"/>
      <c r="Y1807" s="17">
        <f>IF(COUNTA($B1807:$R1807)=0,"",IF($X1807="Cancelado","Cancelado",IF(OR($X1807="Pago",$X1807="Recebido"),$X1807,IF(OR($X1807="Parcial",N($R1807)&gt;0),"Parcial",IF($C1807="","Sem vencimento",IF($C1807&lt;TODAY(),"Vencido",IF($C1807=TODAY(),"Vence hoje",IF($C1807&lt;=TODAY()+7,"Vence em 7 dias",IF($C1807&lt;=TODAY()+30,"Vence em 30 dias","Futuro")))))))))</f>
        <v/>
      </c>
      <c r="Z1807" s="24">
        <f>IF($B1807="","",MONTH($B1807))</f>
        <v/>
      </c>
      <c r="AA1807" s="24">
        <f>IF($B1807="","",YEAR($B1807))</f>
        <v/>
      </c>
      <c r="AB1807" s="24">
        <f>IF($B1807="","",ISOWEEKNUM($B1807))</f>
        <v/>
      </c>
      <c r="AC1807" s="17">
        <f>IF($B1807="","",CHOOSE(WEEKDAY($B1807,2),"Segunda","Terça","Quarta","Quinta","Sexta","Sábado","Domingo"))</f>
        <v/>
      </c>
      <c r="AD1807" s="17">
        <f>IF($B1807="","",TEXT($B1807,"MM/AAAA"))</f>
        <v/>
      </c>
      <c r="AE1807" s="18">
        <f>IF(COUNTA($B1807:$R1807)=0,"",IF($X1807="Cancelado",0,ROUND(N($Q1807)+N($S1807)+N($T1807)-N($U1807),2)))</f>
        <v/>
      </c>
      <c r="AF1807" s="9">
        <f>IF($G1807="","",IFERROR(INDEX(LINHAS_DRE_PLANO,MATCH($G1807,SUBCATEGORIAS_PLANO,0)),"Não classificado"))</f>
        <v/>
      </c>
      <c r="AG1807" s="17">
        <f>IF($G1807="","",IFERROR(INDEX(TIPOS_FLUXO_PLANO,MATCH($G1807,SUBCATEGORIAS_PLANO,0)),"Não classificado"))</f>
        <v/>
      </c>
      <c r="AH1807" s="9">
        <f>IF($G1807="","",IFERROR(INDEX(GRUPOS_PLANO,MATCH($G1807,SUBCATEGORIAS_PLANO,0)),"Não classificado"))</f>
        <v/>
      </c>
      <c r="AI1807" s="24">
        <f>IF(OR($C1807="",$X1807="Pago",$X1807="Recebido",$X1807="Cancelado"),"",$C1807-TODAY())</f>
        <v/>
      </c>
      <c r="AJ1807" s="24">
        <f>IF(OR($C1807="",$X1807="Pago",$X1807="Recebido",$X1807="Cancelado"),0,MAX(0,TODAY()-$C1807))</f>
        <v/>
      </c>
      <c r="AK1807" s="24">
        <f>IF($D1807="","",$D1807-$B1807)</f>
        <v/>
      </c>
      <c r="AL1807" s="18">
        <f>IF(OR($D1807="",$B1807=""),"",ROUND(N($R1807)*($D1807-$B1807),2))</f>
        <v/>
      </c>
      <c r="AM1807" s="17">
        <f>IF(AND($E1807="Saída",$W1807&gt;0,$C1807&lt;&gt;""),$C1807+ROW()/1000000,"")</f>
        <v/>
      </c>
      <c r="AN1807" s="17">
        <f>IF(AND($E1807="Entrada",$W1807&gt;0,$C1807&lt;&gt;""),$C1807+ROW()/1000000,"")</f>
        <v/>
      </c>
      <c r="AO1807" s="9">
        <f>IF(COUNTA($B1807:$R1807)=0,"",IF(AND($I1807&lt;&gt;"",COUNTIF(CLIENTES_NOMES,$I1807)+COUNTIF(CLIENTES_FANTASIA,$I1807)+COUNTIF(FORNECEDORES_NOMES,$I1807)+COUNTIF(FORNECEDORES_FANTASIA,$I1807)=0),"⚠ Cliente/Fornecedor não cadastrado",IF(AND($G1807&lt;&gt;"",COUNTIF(SUBCATEGORIAS_PLANO,$G1807)=0),"⚠ Subcategoria fora do plano de contas",IF(OR($Q1807="",N($Q1807)=0),"⚠ Valor previsto não informado",IF(AND(OR($X1807="Pago",$X1807="Recebido"),$D1807=""),"⚠ Status pago/recebido sem data",IF(AND($D1807&lt;&gt;"",N($R1807)=0),"⚠ Data de pagamento sem valor realizado",IF(AND(N($P1807)&gt;1,N($O1807)&gt;N($P1807)),"⚠ Nº da parcela maior que o total",IF(AND($C1807&lt;&gt;"",$B1807&lt;&gt;"",$C1807&lt;$B1807),"⚠ Vencimento anterior à competência","OK"))))))))</f>
        <v/>
      </c>
    </row>
    <row r="1808">
      <c r="A1808" s="14" t="n"/>
      <c r="B1808" s="36" t="n"/>
      <c r="C1808" s="36" t="n"/>
      <c r="D1808" s="36" t="n"/>
      <c r="E1808" s="14" t="n"/>
      <c r="F1808" s="29" t="n"/>
      <c r="G1808" s="29" t="n"/>
      <c r="H1808" s="29" t="n"/>
      <c r="I1808" s="29" t="n"/>
      <c r="J1808" s="29" t="n"/>
      <c r="K1808" s="14" t="n"/>
      <c r="L1808" s="29" t="n"/>
      <c r="M1808" s="14" t="n"/>
      <c r="N1808" s="29" t="n"/>
      <c r="O1808" s="13" t="n"/>
      <c r="P1808" s="13" t="n"/>
      <c r="Q1808" s="35" t="n"/>
      <c r="R1808" s="35" t="n"/>
      <c r="S1808" s="35" t="n"/>
      <c r="T1808" s="35" t="n"/>
      <c r="U1808" s="35" t="n"/>
      <c r="V1808" s="18">
        <f>IF(COUNTA($B1808:$R1808)=0,"",ROUND(N($R1808)+N($S1808)+N($T1808)-N($U1808),2))</f>
        <v/>
      </c>
      <c r="W1808" s="18">
        <f>IF(COUNTA($B1808:$R1808)=0,"",IF(OR($X1808="Pago",$X1808="Recebido",$X1808="Cancelado"),0,ROUND(N($Q1808)+N($S1808)+N($T1808)-N($U1808)-N($R1808),2)))</f>
        <v/>
      </c>
      <c r="X1808" s="14" t="n"/>
      <c r="Y1808" s="17">
        <f>IF(COUNTA($B1808:$R1808)=0,"",IF($X1808="Cancelado","Cancelado",IF(OR($X1808="Pago",$X1808="Recebido"),$X1808,IF(OR($X1808="Parcial",N($R1808)&gt;0),"Parcial",IF($C1808="","Sem vencimento",IF($C1808&lt;TODAY(),"Vencido",IF($C1808=TODAY(),"Vence hoje",IF($C1808&lt;=TODAY()+7,"Vence em 7 dias",IF($C1808&lt;=TODAY()+30,"Vence em 30 dias","Futuro")))))))))</f>
        <v/>
      </c>
      <c r="Z1808" s="24">
        <f>IF($B1808="","",MONTH($B1808))</f>
        <v/>
      </c>
      <c r="AA1808" s="24">
        <f>IF($B1808="","",YEAR($B1808))</f>
        <v/>
      </c>
      <c r="AB1808" s="24">
        <f>IF($B1808="","",ISOWEEKNUM($B1808))</f>
        <v/>
      </c>
      <c r="AC1808" s="17">
        <f>IF($B1808="","",CHOOSE(WEEKDAY($B1808,2),"Segunda","Terça","Quarta","Quinta","Sexta","Sábado","Domingo"))</f>
        <v/>
      </c>
      <c r="AD1808" s="17">
        <f>IF($B1808="","",TEXT($B1808,"MM/AAAA"))</f>
        <v/>
      </c>
      <c r="AE1808" s="18">
        <f>IF(COUNTA($B1808:$R1808)=0,"",IF($X1808="Cancelado",0,ROUND(N($Q1808)+N($S1808)+N($T1808)-N($U1808),2)))</f>
        <v/>
      </c>
      <c r="AF1808" s="9">
        <f>IF($G1808="","",IFERROR(INDEX(LINHAS_DRE_PLANO,MATCH($G1808,SUBCATEGORIAS_PLANO,0)),"Não classificado"))</f>
        <v/>
      </c>
      <c r="AG1808" s="17">
        <f>IF($G1808="","",IFERROR(INDEX(TIPOS_FLUXO_PLANO,MATCH($G1808,SUBCATEGORIAS_PLANO,0)),"Não classificado"))</f>
        <v/>
      </c>
      <c r="AH1808" s="9">
        <f>IF($G1808="","",IFERROR(INDEX(GRUPOS_PLANO,MATCH($G1808,SUBCATEGORIAS_PLANO,0)),"Não classificado"))</f>
        <v/>
      </c>
      <c r="AI1808" s="24">
        <f>IF(OR($C1808="",$X1808="Pago",$X1808="Recebido",$X1808="Cancelado"),"",$C1808-TODAY())</f>
        <v/>
      </c>
      <c r="AJ1808" s="24">
        <f>IF(OR($C1808="",$X1808="Pago",$X1808="Recebido",$X1808="Cancelado"),0,MAX(0,TODAY()-$C1808))</f>
        <v/>
      </c>
      <c r="AK1808" s="24">
        <f>IF($D1808="","",$D1808-$B1808)</f>
        <v/>
      </c>
      <c r="AL1808" s="18">
        <f>IF(OR($D1808="",$B1808=""),"",ROUND(N($R1808)*($D1808-$B1808),2))</f>
        <v/>
      </c>
      <c r="AM1808" s="17">
        <f>IF(AND($E1808="Saída",$W1808&gt;0,$C1808&lt;&gt;""),$C1808+ROW()/1000000,"")</f>
        <v/>
      </c>
      <c r="AN1808" s="17">
        <f>IF(AND($E1808="Entrada",$W1808&gt;0,$C1808&lt;&gt;""),$C1808+ROW()/1000000,"")</f>
        <v/>
      </c>
      <c r="AO1808" s="9">
        <f>IF(COUNTA($B1808:$R1808)=0,"",IF(AND($I1808&lt;&gt;"",COUNTIF(CLIENTES_NOMES,$I1808)+COUNTIF(CLIENTES_FANTASIA,$I1808)+COUNTIF(FORNECEDORES_NOMES,$I1808)+COUNTIF(FORNECEDORES_FANTASIA,$I1808)=0),"⚠ Cliente/Fornecedor não cadastrado",IF(AND($G1808&lt;&gt;"",COUNTIF(SUBCATEGORIAS_PLANO,$G1808)=0),"⚠ Subcategoria fora do plano de contas",IF(OR($Q1808="",N($Q1808)=0),"⚠ Valor previsto não informado",IF(AND(OR($X1808="Pago",$X1808="Recebido"),$D1808=""),"⚠ Status pago/recebido sem data",IF(AND($D1808&lt;&gt;"",N($R1808)=0),"⚠ Data de pagamento sem valor realizado",IF(AND(N($P1808)&gt;1,N($O1808)&gt;N($P1808)),"⚠ Nº da parcela maior que o total",IF(AND($C1808&lt;&gt;"",$B1808&lt;&gt;"",$C1808&lt;$B1808),"⚠ Vencimento anterior à competência","OK"))))))))</f>
        <v/>
      </c>
    </row>
    <row r="1809">
      <c r="A1809" s="14" t="n"/>
      <c r="B1809" s="36" t="n"/>
      <c r="C1809" s="36" t="n"/>
      <c r="D1809" s="36" t="n"/>
      <c r="E1809" s="14" t="n"/>
      <c r="F1809" s="29" t="n"/>
      <c r="G1809" s="29" t="n"/>
      <c r="H1809" s="29" t="n"/>
      <c r="I1809" s="29" t="n"/>
      <c r="J1809" s="29" t="n"/>
      <c r="K1809" s="14" t="n"/>
      <c r="L1809" s="29" t="n"/>
      <c r="M1809" s="14" t="n"/>
      <c r="N1809" s="29" t="n"/>
      <c r="O1809" s="13" t="n"/>
      <c r="P1809" s="13" t="n"/>
      <c r="Q1809" s="35" t="n"/>
      <c r="R1809" s="35" t="n"/>
      <c r="S1809" s="35" t="n"/>
      <c r="T1809" s="35" t="n"/>
      <c r="U1809" s="35" t="n"/>
      <c r="V1809" s="18">
        <f>IF(COUNTA($B1809:$R1809)=0,"",ROUND(N($R1809)+N($S1809)+N($T1809)-N($U1809),2))</f>
        <v/>
      </c>
      <c r="W1809" s="18">
        <f>IF(COUNTA($B1809:$R1809)=0,"",IF(OR($X1809="Pago",$X1809="Recebido",$X1809="Cancelado"),0,ROUND(N($Q1809)+N($S1809)+N($T1809)-N($U1809)-N($R1809),2)))</f>
        <v/>
      </c>
      <c r="X1809" s="14" t="n"/>
      <c r="Y1809" s="17">
        <f>IF(COUNTA($B1809:$R1809)=0,"",IF($X1809="Cancelado","Cancelado",IF(OR($X1809="Pago",$X1809="Recebido"),$X1809,IF(OR($X1809="Parcial",N($R1809)&gt;0),"Parcial",IF($C1809="","Sem vencimento",IF($C1809&lt;TODAY(),"Vencido",IF($C1809=TODAY(),"Vence hoje",IF($C1809&lt;=TODAY()+7,"Vence em 7 dias",IF($C1809&lt;=TODAY()+30,"Vence em 30 dias","Futuro")))))))))</f>
        <v/>
      </c>
      <c r="Z1809" s="24">
        <f>IF($B1809="","",MONTH($B1809))</f>
        <v/>
      </c>
      <c r="AA1809" s="24">
        <f>IF($B1809="","",YEAR($B1809))</f>
        <v/>
      </c>
      <c r="AB1809" s="24">
        <f>IF($B1809="","",ISOWEEKNUM($B1809))</f>
        <v/>
      </c>
      <c r="AC1809" s="17">
        <f>IF($B1809="","",CHOOSE(WEEKDAY($B1809,2),"Segunda","Terça","Quarta","Quinta","Sexta","Sábado","Domingo"))</f>
        <v/>
      </c>
      <c r="AD1809" s="17">
        <f>IF($B1809="","",TEXT($B1809,"MM/AAAA"))</f>
        <v/>
      </c>
      <c r="AE1809" s="18">
        <f>IF(COUNTA($B1809:$R1809)=0,"",IF($X1809="Cancelado",0,ROUND(N($Q1809)+N($S1809)+N($T1809)-N($U1809),2)))</f>
        <v/>
      </c>
      <c r="AF1809" s="9">
        <f>IF($G1809="","",IFERROR(INDEX(LINHAS_DRE_PLANO,MATCH($G1809,SUBCATEGORIAS_PLANO,0)),"Não classificado"))</f>
        <v/>
      </c>
      <c r="AG1809" s="17">
        <f>IF($G1809="","",IFERROR(INDEX(TIPOS_FLUXO_PLANO,MATCH($G1809,SUBCATEGORIAS_PLANO,0)),"Não classificado"))</f>
        <v/>
      </c>
      <c r="AH1809" s="9">
        <f>IF($G1809="","",IFERROR(INDEX(GRUPOS_PLANO,MATCH($G1809,SUBCATEGORIAS_PLANO,0)),"Não classificado"))</f>
        <v/>
      </c>
      <c r="AI1809" s="24">
        <f>IF(OR($C1809="",$X1809="Pago",$X1809="Recebido",$X1809="Cancelado"),"",$C1809-TODAY())</f>
        <v/>
      </c>
      <c r="AJ1809" s="24">
        <f>IF(OR($C1809="",$X1809="Pago",$X1809="Recebido",$X1809="Cancelado"),0,MAX(0,TODAY()-$C1809))</f>
        <v/>
      </c>
      <c r="AK1809" s="24">
        <f>IF($D1809="","",$D1809-$B1809)</f>
        <v/>
      </c>
      <c r="AL1809" s="18">
        <f>IF(OR($D1809="",$B1809=""),"",ROUND(N($R1809)*($D1809-$B1809),2))</f>
        <v/>
      </c>
      <c r="AM1809" s="17">
        <f>IF(AND($E1809="Saída",$W1809&gt;0,$C1809&lt;&gt;""),$C1809+ROW()/1000000,"")</f>
        <v/>
      </c>
      <c r="AN1809" s="17">
        <f>IF(AND($E1809="Entrada",$W1809&gt;0,$C1809&lt;&gt;""),$C1809+ROW()/1000000,"")</f>
        <v/>
      </c>
      <c r="AO1809" s="9">
        <f>IF(COUNTA($B1809:$R1809)=0,"",IF(AND($I1809&lt;&gt;"",COUNTIF(CLIENTES_NOMES,$I1809)+COUNTIF(CLIENTES_FANTASIA,$I1809)+COUNTIF(FORNECEDORES_NOMES,$I1809)+COUNTIF(FORNECEDORES_FANTASIA,$I1809)=0),"⚠ Cliente/Fornecedor não cadastrado",IF(AND($G1809&lt;&gt;"",COUNTIF(SUBCATEGORIAS_PLANO,$G1809)=0),"⚠ Subcategoria fora do plano de contas",IF(OR($Q1809="",N($Q1809)=0),"⚠ Valor previsto não informado",IF(AND(OR($X1809="Pago",$X1809="Recebido"),$D1809=""),"⚠ Status pago/recebido sem data",IF(AND($D1809&lt;&gt;"",N($R1809)=0),"⚠ Data de pagamento sem valor realizado",IF(AND(N($P1809)&gt;1,N($O1809)&gt;N($P1809)),"⚠ Nº da parcela maior que o total",IF(AND($C1809&lt;&gt;"",$B1809&lt;&gt;"",$C1809&lt;$B1809),"⚠ Vencimento anterior à competência","OK"))))))))</f>
        <v/>
      </c>
    </row>
    <row r="1810">
      <c r="A1810" s="14" t="n"/>
      <c r="B1810" s="36" t="n"/>
      <c r="C1810" s="36" t="n"/>
      <c r="D1810" s="36" t="n"/>
      <c r="E1810" s="14" t="n"/>
      <c r="F1810" s="29" t="n"/>
      <c r="G1810" s="29" t="n"/>
      <c r="H1810" s="29" t="n"/>
      <c r="I1810" s="29" t="n"/>
      <c r="J1810" s="29" t="n"/>
      <c r="K1810" s="14" t="n"/>
      <c r="L1810" s="29" t="n"/>
      <c r="M1810" s="14" t="n"/>
      <c r="N1810" s="29" t="n"/>
      <c r="O1810" s="13" t="n"/>
      <c r="P1810" s="13" t="n"/>
      <c r="Q1810" s="35" t="n"/>
      <c r="R1810" s="35" t="n"/>
      <c r="S1810" s="35" t="n"/>
      <c r="T1810" s="35" t="n"/>
      <c r="U1810" s="35" t="n"/>
      <c r="V1810" s="18">
        <f>IF(COUNTA($B1810:$R1810)=0,"",ROUND(N($R1810)+N($S1810)+N($T1810)-N($U1810),2))</f>
        <v/>
      </c>
      <c r="W1810" s="18">
        <f>IF(COUNTA($B1810:$R1810)=0,"",IF(OR($X1810="Pago",$X1810="Recebido",$X1810="Cancelado"),0,ROUND(N($Q1810)+N($S1810)+N($T1810)-N($U1810)-N($R1810),2)))</f>
        <v/>
      </c>
      <c r="X1810" s="14" t="n"/>
      <c r="Y1810" s="17">
        <f>IF(COUNTA($B1810:$R1810)=0,"",IF($X1810="Cancelado","Cancelado",IF(OR($X1810="Pago",$X1810="Recebido"),$X1810,IF(OR($X1810="Parcial",N($R1810)&gt;0),"Parcial",IF($C1810="","Sem vencimento",IF($C1810&lt;TODAY(),"Vencido",IF($C1810=TODAY(),"Vence hoje",IF($C1810&lt;=TODAY()+7,"Vence em 7 dias",IF($C1810&lt;=TODAY()+30,"Vence em 30 dias","Futuro")))))))))</f>
        <v/>
      </c>
      <c r="Z1810" s="24">
        <f>IF($B1810="","",MONTH($B1810))</f>
        <v/>
      </c>
      <c r="AA1810" s="24">
        <f>IF($B1810="","",YEAR($B1810))</f>
        <v/>
      </c>
      <c r="AB1810" s="24">
        <f>IF($B1810="","",ISOWEEKNUM($B1810))</f>
        <v/>
      </c>
      <c r="AC1810" s="17">
        <f>IF($B1810="","",CHOOSE(WEEKDAY($B1810,2),"Segunda","Terça","Quarta","Quinta","Sexta","Sábado","Domingo"))</f>
        <v/>
      </c>
      <c r="AD1810" s="17">
        <f>IF($B1810="","",TEXT($B1810,"MM/AAAA"))</f>
        <v/>
      </c>
      <c r="AE1810" s="18">
        <f>IF(COUNTA($B1810:$R1810)=0,"",IF($X1810="Cancelado",0,ROUND(N($Q1810)+N($S1810)+N($T1810)-N($U1810),2)))</f>
        <v/>
      </c>
      <c r="AF1810" s="9">
        <f>IF($G1810="","",IFERROR(INDEX(LINHAS_DRE_PLANO,MATCH($G1810,SUBCATEGORIAS_PLANO,0)),"Não classificado"))</f>
        <v/>
      </c>
      <c r="AG1810" s="17">
        <f>IF($G1810="","",IFERROR(INDEX(TIPOS_FLUXO_PLANO,MATCH($G1810,SUBCATEGORIAS_PLANO,0)),"Não classificado"))</f>
        <v/>
      </c>
      <c r="AH1810" s="9">
        <f>IF($G1810="","",IFERROR(INDEX(GRUPOS_PLANO,MATCH($G1810,SUBCATEGORIAS_PLANO,0)),"Não classificado"))</f>
        <v/>
      </c>
      <c r="AI1810" s="24">
        <f>IF(OR($C1810="",$X1810="Pago",$X1810="Recebido",$X1810="Cancelado"),"",$C1810-TODAY())</f>
        <v/>
      </c>
      <c r="AJ1810" s="24">
        <f>IF(OR($C1810="",$X1810="Pago",$X1810="Recebido",$X1810="Cancelado"),0,MAX(0,TODAY()-$C1810))</f>
        <v/>
      </c>
      <c r="AK1810" s="24">
        <f>IF($D1810="","",$D1810-$B1810)</f>
        <v/>
      </c>
      <c r="AL1810" s="18">
        <f>IF(OR($D1810="",$B1810=""),"",ROUND(N($R1810)*($D1810-$B1810),2))</f>
        <v/>
      </c>
      <c r="AM1810" s="17">
        <f>IF(AND($E1810="Saída",$W1810&gt;0,$C1810&lt;&gt;""),$C1810+ROW()/1000000,"")</f>
        <v/>
      </c>
      <c r="AN1810" s="17">
        <f>IF(AND($E1810="Entrada",$W1810&gt;0,$C1810&lt;&gt;""),$C1810+ROW()/1000000,"")</f>
        <v/>
      </c>
      <c r="AO1810" s="9">
        <f>IF(COUNTA($B1810:$R1810)=0,"",IF(AND($I1810&lt;&gt;"",COUNTIF(CLIENTES_NOMES,$I1810)+COUNTIF(CLIENTES_FANTASIA,$I1810)+COUNTIF(FORNECEDORES_NOMES,$I1810)+COUNTIF(FORNECEDORES_FANTASIA,$I1810)=0),"⚠ Cliente/Fornecedor não cadastrado",IF(AND($G1810&lt;&gt;"",COUNTIF(SUBCATEGORIAS_PLANO,$G1810)=0),"⚠ Subcategoria fora do plano de contas",IF(OR($Q1810="",N($Q1810)=0),"⚠ Valor previsto não informado",IF(AND(OR($X1810="Pago",$X1810="Recebido"),$D1810=""),"⚠ Status pago/recebido sem data",IF(AND($D1810&lt;&gt;"",N($R1810)=0),"⚠ Data de pagamento sem valor realizado",IF(AND(N($P1810)&gt;1,N($O1810)&gt;N($P1810)),"⚠ Nº da parcela maior que o total",IF(AND($C1810&lt;&gt;"",$B1810&lt;&gt;"",$C1810&lt;$B1810),"⚠ Vencimento anterior à competência","OK"))))))))</f>
        <v/>
      </c>
    </row>
    <row r="1811">
      <c r="A1811" s="14" t="n"/>
      <c r="B1811" s="36" t="n"/>
      <c r="C1811" s="36" t="n"/>
      <c r="D1811" s="36" t="n"/>
      <c r="E1811" s="14" t="n"/>
      <c r="F1811" s="29" t="n"/>
      <c r="G1811" s="29" t="n"/>
      <c r="H1811" s="29" t="n"/>
      <c r="I1811" s="29" t="n"/>
      <c r="J1811" s="29" t="n"/>
      <c r="K1811" s="14" t="n"/>
      <c r="L1811" s="29" t="n"/>
      <c r="M1811" s="14" t="n"/>
      <c r="N1811" s="29" t="n"/>
      <c r="O1811" s="13" t="n"/>
      <c r="P1811" s="13" t="n"/>
      <c r="Q1811" s="35" t="n"/>
      <c r="R1811" s="35" t="n"/>
      <c r="S1811" s="35" t="n"/>
      <c r="T1811" s="35" t="n"/>
      <c r="U1811" s="35" t="n"/>
      <c r="V1811" s="18">
        <f>IF(COUNTA($B1811:$R1811)=0,"",ROUND(N($R1811)+N($S1811)+N($T1811)-N($U1811),2))</f>
        <v/>
      </c>
      <c r="W1811" s="18">
        <f>IF(COUNTA($B1811:$R1811)=0,"",IF(OR($X1811="Pago",$X1811="Recebido",$X1811="Cancelado"),0,ROUND(N($Q1811)+N($S1811)+N($T1811)-N($U1811)-N($R1811),2)))</f>
        <v/>
      </c>
      <c r="X1811" s="14" t="n"/>
      <c r="Y1811" s="17">
        <f>IF(COUNTA($B1811:$R1811)=0,"",IF($X1811="Cancelado","Cancelado",IF(OR($X1811="Pago",$X1811="Recebido"),$X1811,IF(OR($X1811="Parcial",N($R1811)&gt;0),"Parcial",IF($C1811="","Sem vencimento",IF($C1811&lt;TODAY(),"Vencido",IF($C1811=TODAY(),"Vence hoje",IF($C1811&lt;=TODAY()+7,"Vence em 7 dias",IF($C1811&lt;=TODAY()+30,"Vence em 30 dias","Futuro")))))))))</f>
        <v/>
      </c>
      <c r="Z1811" s="24">
        <f>IF($B1811="","",MONTH($B1811))</f>
        <v/>
      </c>
      <c r="AA1811" s="24">
        <f>IF($B1811="","",YEAR($B1811))</f>
        <v/>
      </c>
      <c r="AB1811" s="24">
        <f>IF($B1811="","",ISOWEEKNUM($B1811))</f>
        <v/>
      </c>
      <c r="AC1811" s="17">
        <f>IF($B1811="","",CHOOSE(WEEKDAY($B1811,2),"Segunda","Terça","Quarta","Quinta","Sexta","Sábado","Domingo"))</f>
        <v/>
      </c>
      <c r="AD1811" s="17">
        <f>IF($B1811="","",TEXT($B1811,"MM/AAAA"))</f>
        <v/>
      </c>
      <c r="AE1811" s="18">
        <f>IF(COUNTA($B1811:$R1811)=0,"",IF($X1811="Cancelado",0,ROUND(N($Q1811)+N($S1811)+N($T1811)-N($U1811),2)))</f>
        <v/>
      </c>
      <c r="AF1811" s="9">
        <f>IF($G1811="","",IFERROR(INDEX(LINHAS_DRE_PLANO,MATCH($G1811,SUBCATEGORIAS_PLANO,0)),"Não classificado"))</f>
        <v/>
      </c>
      <c r="AG1811" s="17">
        <f>IF($G1811="","",IFERROR(INDEX(TIPOS_FLUXO_PLANO,MATCH($G1811,SUBCATEGORIAS_PLANO,0)),"Não classificado"))</f>
        <v/>
      </c>
      <c r="AH1811" s="9">
        <f>IF($G1811="","",IFERROR(INDEX(GRUPOS_PLANO,MATCH($G1811,SUBCATEGORIAS_PLANO,0)),"Não classificado"))</f>
        <v/>
      </c>
      <c r="AI1811" s="24">
        <f>IF(OR($C1811="",$X1811="Pago",$X1811="Recebido",$X1811="Cancelado"),"",$C1811-TODAY())</f>
        <v/>
      </c>
      <c r="AJ1811" s="24">
        <f>IF(OR($C1811="",$X1811="Pago",$X1811="Recebido",$X1811="Cancelado"),0,MAX(0,TODAY()-$C1811))</f>
        <v/>
      </c>
      <c r="AK1811" s="24">
        <f>IF($D1811="","",$D1811-$B1811)</f>
        <v/>
      </c>
      <c r="AL1811" s="18">
        <f>IF(OR($D1811="",$B1811=""),"",ROUND(N($R1811)*($D1811-$B1811),2))</f>
        <v/>
      </c>
      <c r="AM1811" s="17">
        <f>IF(AND($E1811="Saída",$W1811&gt;0,$C1811&lt;&gt;""),$C1811+ROW()/1000000,"")</f>
        <v/>
      </c>
      <c r="AN1811" s="17">
        <f>IF(AND($E1811="Entrada",$W1811&gt;0,$C1811&lt;&gt;""),$C1811+ROW()/1000000,"")</f>
        <v/>
      </c>
      <c r="AO1811" s="9">
        <f>IF(COUNTA($B1811:$R1811)=0,"",IF(AND($I1811&lt;&gt;"",COUNTIF(CLIENTES_NOMES,$I1811)+COUNTIF(CLIENTES_FANTASIA,$I1811)+COUNTIF(FORNECEDORES_NOMES,$I1811)+COUNTIF(FORNECEDORES_FANTASIA,$I1811)=0),"⚠ Cliente/Fornecedor não cadastrado",IF(AND($G1811&lt;&gt;"",COUNTIF(SUBCATEGORIAS_PLANO,$G1811)=0),"⚠ Subcategoria fora do plano de contas",IF(OR($Q1811="",N($Q1811)=0),"⚠ Valor previsto não informado",IF(AND(OR($X1811="Pago",$X1811="Recebido"),$D1811=""),"⚠ Status pago/recebido sem data",IF(AND($D1811&lt;&gt;"",N($R1811)=0),"⚠ Data de pagamento sem valor realizado",IF(AND(N($P1811)&gt;1,N($O1811)&gt;N($P1811)),"⚠ Nº da parcela maior que o total",IF(AND($C1811&lt;&gt;"",$B1811&lt;&gt;"",$C1811&lt;$B1811),"⚠ Vencimento anterior à competência","OK"))))))))</f>
        <v/>
      </c>
    </row>
    <row r="1812">
      <c r="A1812" s="14" t="n"/>
      <c r="B1812" s="36" t="n"/>
      <c r="C1812" s="36" t="n"/>
      <c r="D1812" s="36" t="n"/>
      <c r="E1812" s="14" t="n"/>
      <c r="F1812" s="29" t="n"/>
      <c r="G1812" s="29" t="n"/>
      <c r="H1812" s="29" t="n"/>
      <c r="I1812" s="29" t="n"/>
      <c r="J1812" s="29" t="n"/>
      <c r="K1812" s="14" t="n"/>
      <c r="L1812" s="29" t="n"/>
      <c r="M1812" s="14" t="n"/>
      <c r="N1812" s="29" t="n"/>
      <c r="O1812" s="13" t="n"/>
      <c r="P1812" s="13" t="n"/>
      <c r="Q1812" s="35" t="n"/>
      <c r="R1812" s="35" t="n"/>
      <c r="S1812" s="35" t="n"/>
      <c r="T1812" s="35" t="n"/>
      <c r="U1812" s="35" t="n"/>
      <c r="V1812" s="18">
        <f>IF(COUNTA($B1812:$R1812)=0,"",ROUND(N($R1812)+N($S1812)+N($T1812)-N($U1812),2))</f>
        <v/>
      </c>
      <c r="W1812" s="18">
        <f>IF(COUNTA($B1812:$R1812)=0,"",IF(OR($X1812="Pago",$X1812="Recebido",$X1812="Cancelado"),0,ROUND(N($Q1812)+N($S1812)+N($T1812)-N($U1812)-N($R1812),2)))</f>
        <v/>
      </c>
      <c r="X1812" s="14" t="n"/>
      <c r="Y1812" s="17">
        <f>IF(COUNTA($B1812:$R1812)=0,"",IF($X1812="Cancelado","Cancelado",IF(OR($X1812="Pago",$X1812="Recebido"),$X1812,IF(OR($X1812="Parcial",N($R1812)&gt;0),"Parcial",IF($C1812="","Sem vencimento",IF($C1812&lt;TODAY(),"Vencido",IF($C1812=TODAY(),"Vence hoje",IF($C1812&lt;=TODAY()+7,"Vence em 7 dias",IF($C1812&lt;=TODAY()+30,"Vence em 30 dias","Futuro")))))))))</f>
        <v/>
      </c>
      <c r="Z1812" s="24">
        <f>IF($B1812="","",MONTH($B1812))</f>
        <v/>
      </c>
      <c r="AA1812" s="24">
        <f>IF($B1812="","",YEAR($B1812))</f>
        <v/>
      </c>
      <c r="AB1812" s="24">
        <f>IF($B1812="","",ISOWEEKNUM($B1812))</f>
        <v/>
      </c>
      <c r="AC1812" s="17">
        <f>IF($B1812="","",CHOOSE(WEEKDAY($B1812,2),"Segunda","Terça","Quarta","Quinta","Sexta","Sábado","Domingo"))</f>
        <v/>
      </c>
      <c r="AD1812" s="17">
        <f>IF($B1812="","",TEXT($B1812,"MM/AAAA"))</f>
        <v/>
      </c>
      <c r="AE1812" s="18">
        <f>IF(COUNTA($B1812:$R1812)=0,"",IF($X1812="Cancelado",0,ROUND(N($Q1812)+N($S1812)+N($T1812)-N($U1812),2)))</f>
        <v/>
      </c>
      <c r="AF1812" s="9">
        <f>IF($G1812="","",IFERROR(INDEX(LINHAS_DRE_PLANO,MATCH($G1812,SUBCATEGORIAS_PLANO,0)),"Não classificado"))</f>
        <v/>
      </c>
      <c r="AG1812" s="17">
        <f>IF($G1812="","",IFERROR(INDEX(TIPOS_FLUXO_PLANO,MATCH($G1812,SUBCATEGORIAS_PLANO,0)),"Não classificado"))</f>
        <v/>
      </c>
      <c r="AH1812" s="9">
        <f>IF($G1812="","",IFERROR(INDEX(GRUPOS_PLANO,MATCH($G1812,SUBCATEGORIAS_PLANO,0)),"Não classificado"))</f>
        <v/>
      </c>
      <c r="AI1812" s="24">
        <f>IF(OR($C1812="",$X1812="Pago",$X1812="Recebido",$X1812="Cancelado"),"",$C1812-TODAY())</f>
        <v/>
      </c>
      <c r="AJ1812" s="24">
        <f>IF(OR($C1812="",$X1812="Pago",$X1812="Recebido",$X1812="Cancelado"),0,MAX(0,TODAY()-$C1812))</f>
        <v/>
      </c>
      <c r="AK1812" s="24">
        <f>IF($D1812="","",$D1812-$B1812)</f>
        <v/>
      </c>
      <c r="AL1812" s="18">
        <f>IF(OR($D1812="",$B1812=""),"",ROUND(N($R1812)*($D1812-$B1812),2))</f>
        <v/>
      </c>
      <c r="AM1812" s="17">
        <f>IF(AND($E1812="Saída",$W1812&gt;0,$C1812&lt;&gt;""),$C1812+ROW()/1000000,"")</f>
        <v/>
      </c>
      <c r="AN1812" s="17">
        <f>IF(AND($E1812="Entrada",$W1812&gt;0,$C1812&lt;&gt;""),$C1812+ROW()/1000000,"")</f>
        <v/>
      </c>
      <c r="AO1812" s="9">
        <f>IF(COUNTA($B1812:$R1812)=0,"",IF(AND($I1812&lt;&gt;"",COUNTIF(CLIENTES_NOMES,$I1812)+COUNTIF(CLIENTES_FANTASIA,$I1812)+COUNTIF(FORNECEDORES_NOMES,$I1812)+COUNTIF(FORNECEDORES_FANTASIA,$I1812)=0),"⚠ Cliente/Fornecedor não cadastrado",IF(AND($G1812&lt;&gt;"",COUNTIF(SUBCATEGORIAS_PLANO,$G1812)=0),"⚠ Subcategoria fora do plano de contas",IF(OR($Q1812="",N($Q1812)=0),"⚠ Valor previsto não informado",IF(AND(OR($X1812="Pago",$X1812="Recebido"),$D1812=""),"⚠ Status pago/recebido sem data",IF(AND($D1812&lt;&gt;"",N($R1812)=0),"⚠ Data de pagamento sem valor realizado",IF(AND(N($P1812)&gt;1,N($O1812)&gt;N($P1812)),"⚠ Nº da parcela maior que o total",IF(AND($C1812&lt;&gt;"",$B1812&lt;&gt;"",$C1812&lt;$B1812),"⚠ Vencimento anterior à competência","OK"))))))))</f>
        <v/>
      </c>
    </row>
    <row r="1813">
      <c r="A1813" s="14" t="n"/>
      <c r="B1813" s="36" t="n"/>
      <c r="C1813" s="36" t="n"/>
      <c r="D1813" s="36" t="n"/>
      <c r="E1813" s="14" t="n"/>
      <c r="F1813" s="29" t="n"/>
      <c r="G1813" s="29" t="n"/>
      <c r="H1813" s="29" t="n"/>
      <c r="I1813" s="29" t="n"/>
      <c r="J1813" s="29" t="n"/>
      <c r="K1813" s="14" t="n"/>
      <c r="L1813" s="29" t="n"/>
      <c r="M1813" s="14" t="n"/>
      <c r="N1813" s="29" t="n"/>
      <c r="O1813" s="13" t="n"/>
      <c r="P1813" s="13" t="n"/>
      <c r="Q1813" s="35" t="n"/>
      <c r="R1813" s="35" t="n"/>
      <c r="S1813" s="35" t="n"/>
      <c r="T1813" s="35" t="n"/>
      <c r="U1813" s="35" t="n"/>
      <c r="V1813" s="18">
        <f>IF(COUNTA($B1813:$R1813)=0,"",ROUND(N($R1813)+N($S1813)+N($T1813)-N($U1813),2))</f>
        <v/>
      </c>
      <c r="W1813" s="18">
        <f>IF(COUNTA($B1813:$R1813)=0,"",IF(OR($X1813="Pago",$X1813="Recebido",$X1813="Cancelado"),0,ROUND(N($Q1813)+N($S1813)+N($T1813)-N($U1813)-N($R1813),2)))</f>
        <v/>
      </c>
      <c r="X1813" s="14" t="n"/>
      <c r="Y1813" s="17">
        <f>IF(COUNTA($B1813:$R1813)=0,"",IF($X1813="Cancelado","Cancelado",IF(OR($X1813="Pago",$X1813="Recebido"),$X1813,IF(OR($X1813="Parcial",N($R1813)&gt;0),"Parcial",IF($C1813="","Sem vencimento",IF($C1813&lt;TODAY(),"Vencido",IF($C1813=TODAY(),"Vence hoje",IF($C1813&lt;=TODAY()+7,"Vence em 7 dias",IF($C1813&lt;=TODAY()+30,"Vence em 30 dias","Futuro")))))))))</f>
        <v/>
      </c>
      <c r="Z1813" s="24">
        <f>IF($B1813="","",MONTH($B1813))</f>
        <v/>
      </c>
      <c r="AA1813" s="24">
        <f>IF($B1813="","",YEAR($B1813))</f>
        <v/>
      </c>
      <c r="AB1813" s="24">
        <f>IF($B1813="","",ISOWEEKNUM($B1813))</f>
        <v/>
      </c>
      <c r="AC1813" s="17">
        <f>IF($B1813="","",CHOOSE(WEEKDAY($B1813,2),"Segunda","Terça","Quarta","Quinta","Sexta","Sábado","Domingo"))</f>
        <v/>
      </c>
      <c r="AD1813" s="17">
        <f>IF($B1813="","",TEXT($B1813,"MM/AAAA"))</f>
        <v/>
      </c>
      <c r="AE1813" s="18">
        <f>IF(COUNTA($B1813:$R1813)=0,"",IF($X1813="Cancelado",0,ROUND(N($Q1813)+N($S1813)+N($T1813)-N($U1813),2)))</f>
        <v/>
      </c>
      <c r="AF1813" s="9">
        <f>IF($G1813="","",IFERROR(INDEX(LINHAS_DRE_PLANO,MATCH($G1813,SUBCATEGORIAS_PLANO,0)),"Não classificado"))</f>
        <v/>
      </c>
      <c r="AG1813" s="17">
        <f>IF($G1813="","",IFERROR(INDEX(TIPOS_FLUXO_PLANO,MATCH($G1813,SUBCATEGORIAS_PLANO,0)),"Não classificado"))</f>
        <v/>
      </c>
      <c r="AH1813" s="9">
        <f>IF($G1813="","",IFERROR(INDEX(GRUPOS_PLANO,MATCH($G1813,SUBCATEGORIAS_PLANO,0)),"Não classificado"))</f>
        <v/>
      </c>
      <c r="AI1813" s="24">
        <f>IF(OR($C1813="",$X1813="Pago",$X1813="Recebido",$X1813="Cancelado"),"",$C1813-TODAY())</f>
        <v/>
      </c>
      <c r="AJ1813" s="24">
        <f>IF(OR($C1813="",$X1813="Pago",$X1813="Recebido",$X1813="Cancelado"),0,MAX(0,TODAY()-$C1813))</f>
        <v/>
      </c>
      <c r="AK1813" s="24">
        <f>IF($D1813="","",$D1813-$B1813)</f>
        <v/>
      </c>
      <c r="AL1813" s="18">
        <f>IF(OR($D1813="",$B1813=""),"",ROUND(N($R1813)*($D1813-$B1813),2))</f>
        <v/>
      </c>
      <c r="AM1813" s="17">
        <f>IF(AND($E1813="Saída",$W1813&gt;0,$C1813&lt;&gt;""),$C1813+ROW()/1000000,"")</f>
        <v/>
      </c>
      <c r="AN1813" s="17">
        <f>IF(AND($E1813="Entrada",$W1813&gt;0,$C1813&lt;&gt;""),$C1813+ROW()/1000000,"")</f>
        <v/>
      </c>
      <c r="AO1813" s="9">
        <f>IF(COUNTA($B1813:$R1813)=0,"",IF(AND($I1813&lt;&gt;"",COUNTIF(CLIENTES_NOMES,$I1813)+COUNTIF(CLIENTES_FANTASIA,$I1813)+COUNTIF(FORNECEDORES_NOMES,$I1813)+COUNTIF(FORNECEDORES_FANTASIA,$I1813)=0),"⚠ Cliente/Fornecedor não cadastrado",IF(AND($G1813&lt;&gt;"",COUNTIF(SUBCATEGORIAS_PLANO,$G1813)=0),"⚠ Subcategoria fora do plano de contas",IF(OR($Q1813="",N($Q1813)=0),"⚠ Valor previsto não informado",IF(AND(OR($X1813="Pago",$X1813="Recebido"),$D1813=""),"⚠ Status pago/recebido sem data",IF(AND($D1813&lt;&gt;"",N($R1813)=0),"⚠ Data de pagamento sem valor realizado",IF(AND(N($P1813)&gt;1,N($O1813)&gt;N($P1813)),"⚠ Nº da parcela maior que o total",IF(AND($C1813&lt;&gt;"",$B1813&lt;&gt;"",$C1813&lt;$B1813),"⚠ Vencimento anterior à competência","OK"))))))))</f>
        <v/>
      </c>
    </row>
    <row r="1814">
      <c r="A1814" s="14" t="n"/>
      <c r="B1814" s="36" t="n"/>
      <c r="C1814" s="36" t="n"/>
      <c r="D1814" s="36" t="n"/>
      <c r="E1814" s="14" t="n"/>
      <c r="F1814" s="29" t="n"/>
      <c r="G1814" s="29" t="n"/>
      <c r="H1814" s="29" t="n"/>
      <c r="I1814" s="29" t="n"/>
      <c r="J1814" s="29" t="n"/>
      <c r="K1814" s="14" t="n"/>
      <c r="L1814" s="29" t="n"/>
      <c r="M1814" s="14" t="n"/>
      <c r="N1814" s="29" t="n"/>
      <c r="O1814" s="13" t="n"/>
      <c r="P1814" s="13" t="n"/>
      <c r="Q1814" s="35" t="n"/>
      <c r="R1814" s="35" t="n"/>
      <c r="S1814" s="35" t="n"/>
      <c r="T1814" s="35" t="n"/>
      <c r="U1814" s="35" t="n"/>
      <c r="V1814" s="18">
        <f>IF(COUNTA($B1814:$R1814)=0,"",ROUND(N($R1814)+N($S1814)+N($T1814)-N($U1814),2))</f>
        <v/>
      </c>
      <c r="W1814" s="18">
        <f>IF(COUNTA($B1814:$R1814)=0,"",IF(OR($X1814="Pago",$X1814="Recebido",$X1814="Cancelado"),0,ROUND(N($Q1814)+N($S1814)+N($T1814)-N($U1814)-N($R1814),2)))</f>
        <v/>
      </c>
      <c r="X1814" s="14" t="n"/>
      <c r="Y1814" s="17">
        <f>IF(COUNTA($B1814:$R1814)=0,"",IF($X1814="Cancelado","Cancelado",IF(OR($X1814="Pago",$X1814="Recebido"),$X1814,IF(OR($X1814="Parcial",N($R1814)&gt;0),"Parcial",IF($C1814="","Sem vencimento",IF($C1814&lt;TODAY(),"Vencido",IF($C1814=TODAY(),"Vence hoje",IF($C1814&lt;=TODAY()+7,"Vence em 7 dias",IF($C1814&lt;=TODAY()+30,"Vence em 30 dias","Futuro")))))))))</f>
        <v/>
      </c>
      <c r="Z1814" s="24">
        <f>IF($B1814="","",MONTH($B1814))</f>
        <v/>
      </c>
      <c r="AA1814" s="24">
        <f>IF($B1814="","",YEAR($B1814))</f>
        <v/>
      </c>
      <c r="AB1814" s="24">
        <f>IF($B1814="","",ISOWEEKNUM($B1814))</f>
        <v/>
      </c>
      <c r="AC1814" s="17">
        <f>IF($B1814="","",CHOOSE(WEEKDAY($B1814,2),"Segunda","Terça","Quarta","Quinta","Sexta","Sábado","Domingo"))</f>
        <v/>
      </c>
      <c r="AD1814" s="17">
        <f>IF($B1814="","",TEXT($B1814,"MM/AAAA"))</f>
        <v/>
      </c>
      <c r="AE1814" s="18">
        <f>IF(COUNTA($B1814:$R1814)=0,"",IF($X1814="Cancelado",0,ROUND(N($Q1814)+N($S1814)+N($T1814)-N($U1814),2)))</f>
        <v/>
      </c>
      <c r="AF1814" s="9">
        <f>IF($G1814="","",IFERROR(INDEX(LINHAS_DRE_PLANO,MATCH($G1814,SUBCATEGORIAS_PLANO,0)),"Não classificado"))</f>
        <v/>
      </c>
      <c r="AG1814" s="17">
        <f>IF($G1814="","",IFERROR(INDEX(TIPOS_FLUXO_PLANO,MATCH($G1814,SUBCATEGORIAS_PLANO,0)),"Não classificado"))</f>
        <v/>
      </c>
      <c r="AH1814" s="9">
        <f>IF($G1814="","",IFERROR(INDEX(GRUPOS_PLANO,MATCH($G1814,SUBCATEGORIAS_PLANO,0)),"Não classificado"))</f>
        <v/>
      </c>
      <c r="AI1814" s="24">
        <f>IF(OR($C1814="",$X1814="Pago",$X1814="Recebido",$X1814="Cancelado"),"",$C1814-TODAY())</f>
        <v/>
      </c>
      <c r="AJ1814" s="24">
        <f>IF(OR($C1814="",$X1814="Pago",$X1814="Recebido",$X1814="Cancelado"),0,MAX(0,TODAY()-$C1814))</f>
        <v/>
      </c>
      <c r="AK1814" s="24">
        <f>IF($D1814="","",$D1814-$B1814)</f>
        <v/>
      </c>
      <c r="AL1814" s="18">
        <f>IF(OR($D1814="",$B1814=""),"",ROUND(N($R1814)*($D1814-$B1814),2))</f>
        <v/>
      </c>
      <c r="AM1814" s="17">
        <f>IF(AND($E1814="Saída",$W1814&gt;0,$C1814&lt;&gt;""),$C1814+ROW()/1000000,"")</f>
        <v/>
      </c>
      <c r="AN1814" s="17">
        <f>IF(AND($E1814="Entrada",$W1814&gt;0,$C1814&lt;&gt;""),$C1814+ROW()/1000000,"")</f>
        <v/>
      </c>
      <c r="AO1814" s="9">
        <f>IF(COUNTA($B1814:$R1814)=0,"",IF(AND($I1814&lt;&gt;"",COUNTIF(CLIENTES_NOMES,$I1814)+COUNTIF(CLIENTES_FANTASIA,$I1814)+COUNTIF(FORNECEDORES_NOMES,$I1814)+COUNTIF(FORNECEDORES_FANTASIA,$I1814)=0),"⚠ Cliente/Fornecedor não cadastrado",IF(AND($G1814&lt;&gt;"",COUNTIF(SUBCATEGORIAS_PLANO,$G1814)=0),"⚠ Subcategoria fora do plano de contas",IF(OR($Q1814="",N($Q1814)=0),"⚠ Valor previsto não informado",IF(AND(OR($X1814="Pago",$X1814="Recebido"),$D1814=""),"⚠ Status pago/recebido sem data",IF(AND($D1814&lt;&gt;"",N($R1814)=0),"⚠ Data de pagamento sem valor realizado",IF(AND(N($P1814)&gt;1,N($O1814)&gt;N($P1814)),"⚠ Nº da parcela maior que o total",IF(AND($C1814&lt;&gt;"",$B1814&lt;&gt;"",$C1814&lt;$B1814),"⚠ Vencimento anterior à competência","OK"))))))))</f>
        <v/>
      </c>
    </row>
    <row r="1815">
      <c r="A1815" s="14" t="n"/>
      <c r="B1815" s="36" t="n"/>
      <c r="C1815" s="36" t="n"/>
      <c r="D1815" s="36" t="n"/>
      <c r="E1815" s="14" t="n"/>
      <c r="F1815" s="29" t="n"/>
      <c r="G1815" s="29" t="n"/>
      <c r="H1815" s="29" t="n"/>
      <c r="I1815" s="29" t="n"/>
      <c r="J1815" s="29" t="n"/>
      <c r="K1815" s="14" t="n"/>
      <c r="L1815" s="29" t="n"/>
      <c r="M1815" s="14" t="n"/>
      <c r="N1815" s="29" t="n"/>
      <c r="O1815" s="13" t="n"/>
      <c r="P1815" s="13" t="n"/>
      <c r="Q1815" s="35" t="n"/>
      <c r="R1815" s="35" t="n"/>
      <c r="S1815" s="35" t="n"/>
      <c r="T1815" s="35" t="n"/>
      <c r="U1815" s="35" t="n"/>
      <c r="V1815" s="18">
        <f>IF(COUNTA($B1815:$R1815)=0,"",ROUND(N($R1815)+N($S1815)+N($T1815)-N($U1815),2))</f>
        <v/>
      </c>
      <c r="W1815" s="18">
        <f>IF(COUNTA($B1815:$R1815)=0,"",IF(OR($X1815="Pago",$X1815="Recebido",$X1815="Cancelado"),0,ROUND(N($Q1815)+N($S1815)+N($T1815)-N($U1815)-N($R1815),2)))</f>
        <v/>
      </c>
      <c r="X1815" s="14" t="n"/>
      <c r="Y1815" s="17">
        <f>IF(COUNTA($B1815:$R1815)=0,"",IF($X1815="Cancelado","Cancelado",IF(OR($X1815="Pago",$X1815="Recebido"),$X1815,IF(OR($X1815="Parcial",N($R1815)&gt;0),"Parcial",IF($C1815="","Sem vencimento",IF($C1815&lt;TODAY(),"Vencido",IF($C1815=TODAY(),"Vence hoje",IF($C1815&lt;=TODAY()+7,"Vence em 7 dias",IF($C1815&lt;=TODAY()+30,"Vence em 30 dias","Futuro")))))))))</f>
        <v/>
      </c>
      <c r="Z1815" s="24">
        <f>IF($B1815="","",MONTH($B1815))</f>
        <v/>
      </c>
      <c r="AA1815" s="24">
        <f>IF($B1815="","",YEAR($B1815))</f>
        <v/>
      </c>
      <c r="AB1815" s="24">
        <f>IF($B1815="","",ISOWEEKNUM($B1815))</f>
        <v/>
      </c>
      <c r="AC1815" s="17">
        <f>IF($B1815="","",CHOOSE(WEEKDAY($B1815,2),"Segunda","Terça","Quarta","Quinta","Sexta","Sábado","Domingo"))</f>
        <v/>
      </c>
      <c r="AD1815" s="17">
        <f>IF($B1815="","",TEXT($B1815,"MM/AAAA"))</f>
        <v/>
      </c>
      <c r="AE1815" s="18">
        <f>IF(COUNTA($B1815:$R1815)=0,"",IF($X1815="Cancelado",0,ROUND(N($Q1815)+N($S1815)+N($T1815)-N($U1815),2)))</f>
        <v/>
      </c>
      <c r="AF1815" s="9">
        <f>IF($G1815="","",IFERROR(INDEX(LINHAS_DRE_PLANO,MATCH($G1815,SUBCATEGORIAS_PLANO,0)),"Não classificado"))</f>
        <v/>
      </c>
      <c r="AG1815" s="17">
        <f>IF($G1815="","",IFERROR(INDEX(TIPOS_FLUXO_PLANO,MATCH($G1815,SUBCATEGORIAS_PLANO,0)),"Não classificado"))</f>
        <v/>
      </c>
      <c r="AH1815" s="9">
        <f>IF($G1815="","",IFERROR(INDEX(GRUPOS_PLANO,MATCH($G1815,SUBCATEGORIAS_PLANO,0)),"Não classificado"))</f>
        <v/>
      </c>
      <c r="AI1815" s="24">
        <f>IF(OR($C1815="",$X1815="Pago",$X1815="Recebido",$X1815="Cancelado"),"",$C1815-TODAY())</f>
        <v/>
      </c>
      <c r="AJ1815" s="24">
        <f>IF(OR($C1815="",$X1815="Pago",$X1815="Recebido",$X1815="Cancelado"),0,MAX(0,TODAY()-$C1815))</f>
        <v/>
      </c>
      <c r="AK1815" s="24">
        <f>IF($D1815="","",$D1815-$B1815)</f>
        <v/>
      </c>
      <c r="AL1815" s="18">
        <f>IF(OR($D1815="",$B1815=""),"",ROUND(N($R1815)*($D1815-$B1815),2))</f>
        <v/>
      </c>
      <c r="AM1815" s="17">
        <f>IF(AND($E1815="Saída",$W1815&gt;0,$C1815&lt;&gt;""),$C1815+ROW()/1000000,"")</f>
        <v/>
      </c>
      <c r="AN1815" s="17">
        <f>IF(AND($E1815="Entrada",$W1815&gt;0,$C1815&lt;&gt;""),$C1815+ROW()/1000000,"")</f>
        <v/>
      </c>
      <c r="AO1815" s="9">
        <f>IF(COUNTA($B1815:$R1815)=0,"",IF(AND($I1815&lt;&gt;"",COUNTIF(CLIENTES_NOMES,$I1815)+COUNTIF(CLIENTES_FANTASIA,$I1815)+COUNTIF(FORNECEDORES_NOMES,$I1815)+COUNTIF(FORNECEDORES_FANTASIA,$I1815)=0),"⚠ Cliente/Fornecedor não cadastrado",IF(AND($G1815&lt;&gt;"",COUNTIF(SUBCATEGORIAS_PLANO,$G1815)=0),"⚠ Subcategoria fora do plano de contas",IF(OR($Q1815="",N($Q1815)=0),"⚠ Valor previsto não informado",IF(AND(OR($X1815="Pago",$X1815="Recebido"),$D1815=""),"⚠ Status pago/recebido sem data",IF(AND($D1815&lt;&gt;"",N($R1815)=0),"⚠ Data de pagamento sem valor realizado",IF(AND(N($P1815)&gt;1,N($O1815)&gt;N($P1815)),"⚠ Nº da parcela maior que o total",IF(AND($C1815&lt;&gt;"",$B1815&lt;&gt;"",$C1815&lt;$B1815),"⚠ Vencimento anterior à competência","OK"))))))))</f>
        <v/>
      </c>
    </row>
    <row r="1816">
      <c r="A1816" s="14" t="n"/>
      <c r="B1816" s="36" t="n"/>
      <c r="C1816" s="36" t="n"/>
      <c r="D1816" s="36" t="n"/>
      <c r="E1816" s="14" t="n"/>
      <c r="F1816" s="29" t="n"/>
      <c r="G1816" s="29" t="n"/>
      <c r="H1816" s="29" t="n"/>
      <c r="I1816" s="29" t="n"/>
      <c r="J1816" s="29" t="n"/>
      <c r="K1816" s="14" t="n"/>
      <c r="L1816" s="29" t="n"/>
      <c r="M1816" s="14" t="n"/>
      <c r="N1816" s="29" t="n"/>
      <c r="O1816" s="13" t="n"/>
      <c r="P1816" s="13" t="n"/>
      <c r="Q1816" s="35" t="n"/>
      <c r="R1816" s="35" t="n"/>
      <c r="S1816" s="35" t="n"/>
      <c r="T1816" s="35" t="n"/>
      <c r="U1816" s="35" t="n"/>
      <c r="V1816" s="18">
        <f>IF(COUNTA($B1816:$R1816)=0,"",ROUND(N($R1816)+N($S1816)+N($T1816)-N($U1816),2))</f>
        <v/>
      </c>
      <c r="W1816" s="18">
        <f>IF(COUNTA($B1816:$R1816)=0,"",IF(OR($X1816="Pago",$X1816="Recebido",$X1816="Cancelado"),0,ROUND(N($Q1816)+N($S1816)+N($T1816)-N($U1816)-N($R1816),2)))</f>
        <v/>
      </c>
      <c r="X1816" s="14" t="n"/>
      <c r="Y1816" s="17">
        <f>IF(COUNTA($B1816:$R1816)=0,"",IF($X1816="Cancelado","Cancelado",IF(OR($X1816="Pago",$X1816="Recebido"),$X1816,IF(OR($X1816="Parcial",N($R1816)&gt;0),"Parcial",IF($C1816="","Sem vencimento",IF($C1816&lt;TODAY(),"Vencido",IF($C1816=TODAY(),"Vence hoje",IF($C1816&lt;=TODAY()+7,"Vence em 7 dias",IF($C1816&lt;=TODAY()+30,"Vence em 30 dias","Futuro")))))))))</f>
        <v/>
      </c>
      <c r="Z1816" s="24">
        <f>IF($B1816="","",MONTH($B1816))</f>
        <v/>
      </c>
      <c r="AA1816" s="24">
        <f>IF($B1816="","",YEAR($B1816))</f>
        <v/>
      </c>
      <c r="AB1816" s="24">
        <f>IF($B1816="","",ISOWEEKNUM($B1816))</f>
        <v/>
      </c>
      <c r="AC1816" s="17">
        <f>IF($B1816="","",CHOOSE(WEEKDAY($B1816,2),"Segunda","Terça","Quarta","Quinta","Sexta","Sábado","Domingo"))</f>
        <v/>
      </c>
      <c r="AD1816" s="17">
        <f>IF($B1816="","",TEXT($B1816,"MM/AAAA"))</f>
        <v/>
      </c>
      <c r="AE1816" s="18">
        <f>IF(COUNTA($B1816:$R1816)=0,"",IF($X1816="Cancelado",0,ROUND(N($Q1816)+N($S1816)+N($T1816)-N($U1816),2)))</f>
        <v/>
      </c>
      <c r="AF1816" s="9">
        <f>IF($G1816="","",IFERROR(INDEX(LINHAS_DRE_PLANO,MATCH($G1816,SUBCATEGORIAS_PLANO,0)),"Não classificado"))</f>
        <v/>
      </c>
      <c r="AG1816" s="17">
        <f>IF($G1816="","",IFERROR(INDEX(TIPOS_FLUXO_PLANO,MATCH($G1816,SUBCATEGORIAS_PLANO,0)),"Não classificado"))</f>
        <v/>
      </c>
      <c r="AH1816" s="9">
        <f>IF($G1816="","",IFERROR(INDEX(GRUPOS_PLANO,MATCH($G1816,SUBCATEGORIAS_PLANO,0)),"Não classificado"))</f>
        <v/>
      </c>
      <c r="AI1816" s="24">
        <f>IF(OR($C1816="",$X1816="Pago",$X1816="Recebido",$X1816="Cancelado"),"",$C1816-TODAY())</f>
        <v/>
      </c>
      <c r="AJ1816" s="24">
        <f>IF(OR($C1816="",$X1816="Pago",$X1816="Recebido",$X1816="Cancelado"),0,MAX(0,TODAY()-$C1816))</f>
        <v/>
      </c>
      <c r="AK1816" s="24">
        <f>IF($D1816="","",$D1816-$B1816)</f>
        <v/>
      </c>
      <c r="AL1816" s="18">
        <f>IF(OR($D1816="",$B1816=""),"",ROUND(N($R1816)*($D1816-$B1816),2))</f>
        <v/>
      </c>
      <c r="AM1816" s="17">
        <f>IF(AND($E1816="Saída",$W1816&gt;0,$C1816&lt;&gt;""),$C1816+ROW()/1000000,"")</f>
        <v/>
      </c>
      <c r="AN1816" s="17">
        <f>IF(AND($E1816="Entrada",$W1816&gt;0,$C1816&lt;&gt;""),$C1816+ROW()/1000000,"")</f>
        <v/>
      </c>
      <c r="AO1816" s="9">
        <f>IF(COUNTA($B1816:$R1816)=0,"",IF(AND($I1816&lt;&gt;"",COUNTIF(CLIENTES_NOMES,$I1816)+COUNTIF(CLIENTES_FANTASIA,$I1816)+COUNTIF(FORNECEDORES_NOMES,$I1816)+COUNTIF(FORNECEDORES_FANTASIA,$I1816)=0),"⚠ Cliente/Fornecedor não cadastrado",IF(AND($G1816&lt;&gt;"",COUNTIF(SUBCATEGORIAS_PLANO,$G1816)=0),"⚠ Subcategoria fora do plano de contas",IF(OR($Q1816="",N($Q1816)=0),"⚠ Valor previsto não informado",IF(AND(OR($X1816="Pago",$X1816="Recebido"),$D1816=""),"⚠ Status pago/recebido sem data",IF(AND($D1816&lt;&gt;"",N($R1816)=0),"⚠ Data de pagamento sem valor realizado",IF(AND(N($P1816)&gt;1,N($O1816)&gt;N($P1816)),"⚠ Nº da parcela maior que o total",IF(AND($C1816&lt;&gt;"",$B1816&lt;&gt;"",$C1816&lt;$B1816),"⚠ Vencimento anterior à competência","OK"))))))))</f>
        <v/>
      </c>
    </row>
    <row r="1817">
      <c r="A1817" s="14" t="n"/>
      <c r="B1817" s="36" t="n"/>
      <c r="C1817" s="36" t="n"/>
      <c r="D1817" s="36" t="n"/>
      <c r="E1817" s="14" t="n"/>
      <c r="F1817" s="29" t="n"/>
      <c r="G1817" s="29" t="n"/>
      <c r="H1817" s="29" t="n"/>
      <c r="I1817" s="29" t="n"/>
      <c r="J1817" s="29" t="n"/>
      <c r="K1817" s="14" t="n"/>
      <c r="L1817" s="29" t="n"/>
      <c r="M1817" s="14" t="n"/>
      <c r="N1817" s="29" t="n"/>
      <c r="O1817" s="13" t="n"/>
      <c r="P1817" s="13" t="n"/>
      <c r="Q1817" s="35" t="n"/>
      <c r="R1817" s="35" t="n"/>
      <c r="S1817" s="35" t="n"/>
      <c r="T1817" s="35" t="n"/>
      <c r="U1817" s="35" t="n"/>
      <c r="V1817" s="18">
        <f>IF(COUNTA($B1817:$R1817)=0,"",ROUND(N($R1817)+N($S1817)+N($T1817)-N($U1817),2))</f>
        <v/>
      </c>
      <c r="W1817" s="18">
        <f>IF(COUNTA($B1817:$R1817)=0,"",IF(OR($X1817="Pago",$X1817="Recebido",$X1817="Cancelado"),0,ROUND(N($Q1817)+N($S1817)+N($T1817)-N($U1817)-N($R1817),2)))</f>
        <v/>
      </c>
      <c r="X1817" s="14" t="n"/>
      <c r="Y1817" s="17">
        <f>IF(COUNTA($B1817:$R1817)=0,"",IF($X1817="Cancelado","Cancelado",IF(OR($X1817="Pago",$X1817="Recebido"),$X1817,IF(OR($X1817="Parcial",N($R1817)&gt;0),"Parcial",IF($C1817="","Sem vencimento",IF($C1817&lt;TODAY(),"Vencido",IF($C1817=TODAY(),"Vence hoje",IF($C1817&lt;=TODAY()+7,"Vence em 7 dias",IF($C1817&lt;=TODAY()+30,"Vence em 30 dias","Futuro")))))))))</f>
        <v/>
      </c>
      <c r="Z1817" s="24">
        <f>IF($B1817="","",MONTH($B1817))</f>
        <v/>
      </c>
      <c r="AA1817" s="24">
        <f>IF($B1817="","",YEAR($B1817))</f>
        <v/>
      </c>
      <c r="AB1817" s="24">
        <f>IF($B1817="","",ISOWEEKNUM($B1817))</f>
        <v/>
      </c>
      <c r="AC1817" s="17">
        <f>IF($B1817="","",CHOOSE(WEEKDAY($B1817,2),"Segunda","Terça","Quarta","Quinta","Sexta","Sábado","Domingo"))</f>
        <v/>
      </c>
      <c r="AD1817" s="17">
        <f>IF($B1817="","",TEXT($B1817,"MM/AAAA"))</f>
        <v/>
      </c>
      <c r="AE1817" s="18">
        <f>IF(COUNTA($B1817:$R1817)=0,"",IF($X1817="Cancelado",0,ROUND(N($Q1817)+N($S1817)+N($T1817)-N($U1817),2)))</f>
        <v/>
      </c>
      <c r="AF1817" s="9">
        <f>IF($G1817="","",IFERROR(INDEX(LINHAS_DRE_PLANO,MATCH($G1817,SUBCATEGORIAS_PLANO,0)),"Não classificado"))</f>
        <v/>
      </c>
      <c r="AG1817" s="17">
        <f>IF($G1817="","",IFERROR(INDEX(TIPOS_FLUXO_PLANO,MATCH($G1817,SUBCATEGORIAS_PLANO,0)),"Não classificado"))</f>
        <v/>
      </c>
      <c r="AH1817" s="9">
        <f>IF($G1817="","",IFERROR(INDEX(GRUPOS_PLANO,MATCH($G1817,SUBCATEGORIAS_PLANO,0)),"Não classificado"))</f>
        <v/>
      </c>
      <c r="AI1817" s="24">
        <f>IF(OR($C1817="",$X1817="Pago",$X1817="Recebido",$X1817="Cancelado"),"",$C1817-TODAY())</f>
        <v/>
      </c>
      <c r="AJ1817" s="24">
        <f>IF(OR($C1817="",$X1817="Pago",$X1817="Recebido",$X1817="Cancelado"),0,MAX(0,TODAY()-$C1817))</f>
        <v/>
      </c>
      <c r="AK1817" s="24">
        <f>IF($D1817="","",$D1817-$B1817)</f>
        <v/>
      </c>
      <c r="AL1817" s="18">
        <f>IF(OR($D1817="",$B1817=""),"",ROUND(N($R1817)*($D1817-$B1817),2))</f>
        <v/>
      </c>
      <c r="AM1817" s="17">
        <f>IF(AND($E1817="Saída",$W1817&gt;0,$C1817&lt;&gt;""),$C1817+ROW()/1000000,"")</f>
        <v/>
      </c>
      <c r="AN1817" s="17">
        <f>IF(AND($E1817="Entrada",$W1817&gt;0,$C1817&lt;&gt;""),$C1817+ROW()/1000000,"")</f>
        <v/>
      </c>
      <c r="AO1817" s="9">
        <f>IF(COUNTA($B1817:$R1817)=0,"",IF(AND($I1817&lt;&gt;"",COUNTIF(CLIENTES_NOMES,$I1817)+COUNTIF(CLIENTES_FANTASIA,$I1817)+COUNTIF(FORNECEDORES_NOMES,$I1817)+COUNTIF(FORNECEDORES_FANTASIA,$I1817)=0),"⚠ Cliente/Fornecedor não cadastrado",IF(AND($G1817&lt;&gt;"",COUNTIF(SUBCATEGORIAS_PLANO,$G1817)=0),"⚠ Subcategoria fora do plano de contas",IF(OR($Q1817="",N($Q1817)=0),"⚠ Valor previsto não informado",IF(AND(OR($X1817="Pago",$X1817="Recebido"),$D1817=""),"⚠ Status pago/recebido sem data",IF(AND($D1817&lt;&gt;"",N($R1817)=0),"⚠ Data de pagamento sem valor realizado",IF(AND(N($P1817)&gt;1,N($O1817)&gt;N($P1817)),"⚠ Nº da parcela maior que o total",IF(AND($C1817&lt;&gt;"",$B1817&lt;&gt;"",$C1817&lt;$B1817),"⚠ Vencimento anterior à competência","OK"))))))))</f>
        <v/>
      </c>
    </row>
    <row r="1818">
      <c r="A1818" s="14" t="n"/>
      <c r="B1818" s="36" t="n"/>
      <c r="C1818" s="36" t="n"/>
      <c r="D1818" s="36" t="n"/>
      <c r="E1818" s="14" t="n"/>
      <c r="F1818" s="29" t="n"/>
      <c r="G1818" s="29" t="n"/>
      <c r="H1818" s="29" t="n"/>
      <c r="I1818" s="29" t="n"/>
      <c r="J1818" s="29" t="n"/>
      <c r="K1818" s="14" t="n"/>
      <c r="L1818" s="29" t="n"/>
      <c r="M1818" s="14" t="n"/>
      <c r="N1818" s="29" t="n"/>
      <c r="O1818" s="13" t="n"/>
      <c r="P1818" s="13" t="n"/>
      <c r="Q1818" s="35" t="n"/>
      <c r="R1818" s="35" t="n"/>
      <c r="S1818" s="35" t="n"/>
      <c r="T1818" s="35" t="n"/>
      <c r="U1818" s="35" t="n"/>
      <c r="V1818" s="18">
        <f>IF(COUNTA($B1818:$R1818)=0,"",ROUND(N($R1818)+N($S1818)+N($T1818)-N($U1818),2))</f>
        <v/>
      </c>
      <c r="W1818" s="18">
        <f>IF(COUNTA($B1818:$R1818)=0,"",IF(OR($X1818="Pago",$X1818="Recebido",$X1818="Cancelado"),0,ROUND(N($Q1818)+N($S1818)+N($T1818)-N($U1818)-N($R1818),2)))</f>
        <v/>
      </c>
      <c r="X1818" s="14" t="n"/>
      <c r="Y1818" s="17">
        <f>IF(COUNTA($B1818:$R1818)=0,"",IF($X1818="Cancelado","Cancelado",IF(OR($X1818="Pago",$X1818="Recebido"),$X1818,IF(OR($X1818="Parcial",N($R1818)&gt;0),"Parcial",IF($C1818="","Sem vencimento",IF($C1818&lt;TODAY(),"Vencido",IF($C1818=TODAY(),"Vence hoje",IF($C1818&lt;=TODAY()+7,"Vence em 7 dias",IF($C1818&lt;=TODAY()+30,"Vence em 30 dias","Futuro")))))))))</f>
        <v/>
      </c>
      <c r="Z1818" s="24">
        <f>IF($B1818="","",MONTH($B1818))</f>
        <v/>
      </c>
      <c r="AA1818" s="24">
        <f>IF($B1818="","",YEAR($B1818))</f>
        <v/>
      </c>
      <c r="AB1818" s="24">
        <f>IF($B1818="","",ISOWEEKNUM($B1818))</f>
        <v/>
      </c>
      <c r="AC1818" s="17">
        <f>IF($B1818="","",CHOOSE(WEEKDAY($B1818,2),"Segunda","Terça","Quarta","Quinta","Sexta","Sábado","Domingo"))</f>
        <v/>
      </c>
      <c r="AD1818" s="17">
        <f>IF($B1818="","",TEXT($B1818,"MM/AAAA"))</f>
        <v/>
      </c>
      <c r="AE1818" s="18">
        <f>IF(COUNTA($B1818:$R1818)=0,"",IF($X1818="Cancelado",0,ROUND(N($Q1818)+N($S1818)+N($T1818)-N($U1818),2)))</f>
        <v/>
      </c>
      <c r="AF1818" s="9">
        <f>IF($G1818="","",IFERROR(INDEX(LINHAS_DRE_PLANO,MATCH($G1818,SUBCATEGORIAS_PLANO,0)),"Não classificado"))</f>
        <v/>
      </c>
      <c r="AG1818" s="17">
        <f>IF($G1818="","",IFERROR(INDEX(TIPOS_FLUXO_PLANO,MATCH($G1818,SUBCATEGORIAS_PLANO,0)),"Não classificado"))</f>
        <v/>
      </c>
      <c r="AH1818" s="9">
        <f>IF($G1818="","",IFERROR(INDEX(GRUPOS_PLANO,MATCH($G1818,SUBCATEGORIAS_PLANO,0)),"Não classificado"))</f>
        <v/>
      </c>
      <c r="AI1818" s="24">
        <f>IF(OR($C1818="",$X1818="Pago",$X1818="Recebido",$X1818="Cancelado"),"",$C1818-TODAY())</f>
        <v/>
      </c>
      <c r="AJ1818" s="24">
        <f>IF(OR($C1818="",$X1818="Pago",$X1818="Recebido",$X1818="Cancelado"),0,MAX(0,TODAY()-$C1818))</f>
        <v/>
      </c>
      <c r="AK1818" s="24">
        <f>IF($D1818="","",$D1818-$B1818)</f>
        <v/>
      </c>
      <c r="AL1818" s="18">
        <f>IF(OR($D1818="",$B1818=""),"",ROUND(N($R1818)*($D1818-$B1818),2))</f>
        <v/>
      </c>
      <c r="AM1818" s="17">
        <f>IF(AND($E1818="Saída",$W1818&gt;0,$C1818&lt;&gt;""),$C1818+ROW()/1000000,"")</f>
        <v/>
      </c>
      <c r="AN1818" s="17">
        <f>IF(AND($E1818="Entrada",$W1818&gt;0,$C1818&lt;&gt;""),$C1818+ROW()/1000000,"")</f>
        <v/>
      </c>
      <c r="AO1818" s="9">
        <f>IF(COUNTA($B1818:$R1818)=0,"",IF(AND($I1818&lt;&gt;"",COUNTIF(CLIENTES_NOMES,$I1818)+COUNTIF(CLIENTES_FANTASIA,$I1818)+COUNTIF(FORNECEDORES_NOMES,$I1818)+COUNTIF(FORNECEDORES_FANTASIA,$I1818)=0),"⚠ Cliente/Fornecedor não cadastrado",IF(AND($G1818&lt;&gt;"",COUNTIF(SUBCATEGORIAS_PLANO,$G1818)=0),"⚠ Subcategoria fora do plano de contas",IF(OR($Q1818="",N($Q1818)=0),"⚠ Valor previsto não informado",IF(AND(OR($X1818="Pago",$X1818="Recebido"),$D1818=""),"⚠ Status pago/recebido sem data",IF(AND($D1818&lt;&gt;"",N($R1818)=0),"⚠ Data de pagamento sem valor realizado",IF(AND(N($P1818)&gt;1,N($O1818)&gt;N($P1818)),"⚠ Nº da parcela maior que o total",IF(AND($C1818&lt;&gt;"",$B1818&lt;&gt;"",$C1818&lt;$B1818),"⚠ Vencimento anterior à competência","OK"))))))))</f>
        <v/>
      </c>
    </row>
    <row r="1819">
      <c r="A1819" s="14" t="n"/>
      <c r="B1819" s="36" t="n"/>
      <c r="C1819" s="36" t="n"/>
      <c r="D1819" s="36" t="n"/>
      <c r="E1819" s="14" t="n"/>
      <c r="F1819" s="29" t="n"/>
      <c r="G1819" s="29" t="n"/>
      <c r="H1819" s="29" t="n"/>
      <c r="I1819" s="29" t="n"/>
      <c r="J1819" s="29" t="n"/>
      <c r="K1819" s="14" t="n"/>
      <c r="L1819" s="29" t="n"/>
      <c r="M1819" s="14" t="n"/>
      <c r="N1819" s="29" t="n"/>
      <c r="O1819" s="13" t="n"/>
      <c r="P1819" s="13" t="n"/>
      <c r="Q1819" s="35" t="n"/>
      <c r="R1819" s="35" t="n"/>
      <c r="S1819" s="35" t="n"/>
      <c r="T1819" s="35" t="n"/>
      <c r="U1819" s="35" t="n"/>
      <c r="V1819" s="18">
        <f>IF(COUNTA($B1819:$R1819)=0,"",ROUND(N($R1819)+N($S1819)+N($T1819)-N($U1819),2))</f>
        <v/>
      </c>
      <c r="W1819" s="18">
        <f>IF(COUNTA($B1819:$R1819)=0,"",IF(OR($X1819="Pago",$X1819="Recebido",$X1819="Cancelado"),0,ROUND(N($Q1819)+N($S1819)+N($T1819)-N($U1819)-N($R1819),2)))</f>
        <v/>
      </c>
      <c r="X1819" s="14" t="n"/>
      <c r="Y1819" s="17">
        <f>IF(COUNTA($B1819:$R1819)=0,"",IF($X1819="Cancelado","Cancelado",IF(OR($X1819="Pago",$X1819="Recebido"),$X1819,IF(OR($X1819="Parcial",N($R1819)&gt;0),"Parcial",IF($C1819="","Sem vencimento",IF($C1819&lt;TODAY(),"Vencido",IF($C1819=TODAY(),"Vence hoje",IF($C1819&lt;=TODAY()+7,"Vence em 7 dias",IF($C1819&lt;=TODAY()+30,"Vence em 30 dias","Futuro")))))))))</f>
        <v/>
      </c>
      <c r="Z1819" s="24">
        <f>IF($B1819="","",MONTH($B1819))</f>
        <v/>
      </c>
      <c r="AA1819" s="24">
        <f>IF($B1819="","",YEAR($B1819))</f>
        <v/>
      </c>
      <c r="AB1819" s="24">
        <f>IF($B1819="","",ISOWEEKNUM($B1819))</f>
        <v/>
      </c>
      <c r="AC1819" s="17">
        <f>IF($B1819="","",CHOOSE(WEEKDAY($B1819,2),"Segunda","Terça","Quarta","Quinta","Sexta","Sábado","Domingo"))</f>
        <v/>
      </c>
      <c r="AD1819" s="17">
        <f>IF($B1819="","",TEXT($B1819,"MM/AAAA"))</f>
        <v/>
      </c>
      <c r="AE1819" s="18">
        <f>IF(COUNTA($B1819:$R1819)=0,"",IF($X1819="Cancelado",0,ROUND(N($Q1819)+N($S1819)+N($T1819)-N($U1819),2)))</f>
        <v/>
      </c>
      <c r="AF1819" s="9">
        <f>IF($G1819="","",IFERROR(INDEX(LINHAS_DRE_PLANO,MATCH($G1819,SUBCATEGORIAS_PLANO,0)),"Não classificado"))</f>
        <v/>
      </c>
      <c r="AG1819" s="17">
        <f>IF($G1819="","",IFERROR(INDEX(TIPOS_FLUXO_PLANO,MATCH($G1819,SUBCATEGORIAS_PLANO,0)),"Não classificado"))</f>
        <v/>
      </c>
      <c r="AH1819" s="9">
        <f>IF($G1819="","",IFERROR(INDEX(GRUPOS_PLANO,MATCH($G1819,SUBCATEGORIAS_PLANO,0)),"Não classificado"))</f>
        <v/>
      </c>
      <c r="AI1819" s="24">
        <f>IF(OR($C1819="",$X1819="Pago",$X1819="Recebido",$X1819="Cancelado"),"",$C1819-TODAY())</f>
        <v/>
      </c>
      <c r="AJ1819" s="24">
        <f>IF(OR($C1819="",$X1819="Pago",$X1819="Recebido",$X1819="Cancelado"),0,MAX(0,TODAY()-$C1819))</f>
        <v/>
      </c>
      <c r="AK1819" s="24">
        <f>IF($D1819="","",$D1819-$B1819)</f>
        <v/>
      </c>
      <c r="AL1819" s="18">
        <f>IF(OR($D1819="",$B1819=""),"",ROUND(N($R1819)*($D1819-$B1819),2))</f>
        <v/>
      </c>
      <c r="AM1819" s="17">
        <f>IF(AND($E1819="Saída",$W1819&gt;0,$C1819&lt;&gt;""),$C1819+ROW()/1000000,"")</f>
        <v/>
      </c>
      <c r="AN1819" s="17">
        <f>IF(AND($E1819="Entrada",$W1819&gt;0,$C1819&lt;&gt;""),$C1819+ROW()/1000000,"")</f>
        <v/>
      </c>
      <c r="AO1819" s="9">
        <f>IF(COUNTA($B1819:$R1819)=0,"",IF(AND($I1819&lt;&gt;"",COUNTIF(CLIENTES_NOMES,$I1819)+COUNTIF(CLIENTES_FANTASIA,$I1819)+COUNTIF(FORNECEDORES_NOMES,$I1819)+COUNTIF(FORNECEDORES_FANTASIA,$I1819)=0),"⚠ Cliente/Fornecedor não cadastrado",IF(AND($G1819&lt;&gt;"",COUNTIF(SUBCATEGORIAS_PLANO,$G1819)=0),"⚠ Subcategoria fora do plano de contas",IF(OR($Q1819="",N($Q1819)=0),"⚠ Valor previsto não informado",IF(AND(OR($X1819="Pago",$X1819="Recebido"),$D1819=""),"⚠ Status pago/recebido sem data",IF(AND($D1819&lt;&gt;"",N($R1819)=0),"⚠ Data de pagamento sem valor realizado",IF(AND(N($P1819)&gt;1,N($O1819)&gt;N($P1819)),"⚠ Nº da parcela maior que o total",IF(AND($C1819&lt;&gt;"",$B1819&lt;&gt;"",$C1819&lt;$B1819),"⚠ Vencimento anterior à competência","OK"))))))))</f>
        <v/>
      </c>
    </row>
    <row r="1820">
      <c r="A1820" s="14" t="n"/>
      <c r="B1820" s="36" t="n"/>
      <c r="C1820" s="36" t="n"/>
      <c r="D1820" s="36" t="n"/>
      <c r="E1820" s="14" t="n"/>
      <c r="F1820" s="29" t="n"/>
      <c r="G1820" s="29" t="n"/>
      <c r="H1820" s="29" t="n"/>
      <c r="I1820" s="29" t="n"/>
      <c r="J1820" s="29" t="n"/>
      <c r="K1820" s="14" t="n"/>
      <c r="L1820" s="29" t="n"/>
      <c r="M1820" s="14" t="n"/>
      <c r="N1820" s="29" t="n"/>
      <c r="O1820" s="13" t="n"/>
      <c r="P1820" s="13" t="n"/>
      <c r="Q1820" s="35" t="n"/>
      <c r="R1820" s="35" t="n"/>
      <c r="S1820" s="35" t="n"/>
      <c r="T1820" s="35" t="n"/>
      <c r="U1820" s="35" t="n"/>
      <c r="V1820" s="18">
        <f>IF(COUNTA($B1820:$R1820)=0,"",ROUND(N($R1820)+N($S1820)+N($T1820)-N($U1820),2))</f>
        <v/>
      </c>
      <c r="W1820" s="18">
        <f>IF(COUNTA($B1820:$R1820)=0,"",IF(OR($X1820="Pago",$X1820="Recebido",$X1820="Cancelado"),0,ROUND(N($Q1820)+N($S1820)+N($T1820)-N($U1820)-N($R1820),2)))</f>
        <v/>
      </c>
      <c r="X1820" s="14" t="n"/>
      <c r="Y1820" s="17">
        <f>IF(COUNTA($B1820:$R1820)=0,"",IF($X1820="Cancelado","Cancelado",IF(OR($X1820="Pago",$X1820="Recebido"),$X1820,IF(OR($X1820="Parcial",N($R1820)&gt;0),"Parcial",IF($C1820="","Sem vencimento",IF($C1820&lt;TODAY(),"Vencido",IF($C1820=TODAY(),"Vence hoje",IF($C1820&lt;=TODAY()+7,"Vence em 7 dias",IF($C1820&lt;=TODAY()+30,"Vence em 30 dias","Futuro")))))))))</f>
        <v/>
      </c>
      <c r="Z1820" s="24">
        <f>IF($B1820="","",MONTH($B1820))</f>
        <v/>
      </c>
      <c r="AA1820" s="24">
        <f>IF($B1820="","",YEAR($B1820))</f>
        <v/>
      </c>
      <c r="AB1820" s="24">
        <f>IF($B1820="","",ISOWEEKNUM($B1820))</f>
        <v/>
      </c>
      <c r="AC1820" s="17">
        <f>IF($B1820="","",CHOOSE(WEEKDAY($B1820,2),"Segunda","Terça","Quarta","Quinta","Sexta","Sábado","Domingo"))</f>
        <v/>
      </c>
      <c r="AD1820" s="17">
        <f>IF($B1820="","",TEXT($B1820,"MM/AAAA"))</f>
        <v/>
      </c>
      <c r="AE1820" s="18">
        <f>IF(COUNTA($B1820:$R1820)=0,"",IF($X1820="Cancelado",0,ROUND(N($Q1820)+N($S1820)+N($T1820)-N($U1820),2)))</f>
        <v/>
      </c>
      <c r="AF1820" s="9">
        <f>IF($G1820="","",IFERROR(INDEX(LINHAS_DRE_PLANO,MATCH($G1820,SUBCATEGORIAS_PLANO,0)),"Não classificado"))</f>
        <v/>
      </c>
      <c r="AG1820" s="17">
        <f>IF($G1820="","",IFERROR(INDEX(TIPOS_FLUXO_PLANO,MATCH($G1820,SUBCATEGORIAS_PLANO,0)),"Não classificado"))</f>
        <v/>
      </c>
      <c r="AH1820" s="9">
        <f>IF($G1820="","",IFERROR(INDEX(GRUPOS_PLANO,MATCH($G1820,SUBCATEGORIAS_PLANO,0)),"Não classificado"))</f>
        <v/>
      </c>
      <c r="AI1820" s="24">
        <f>IF(OR($C1820="",$X1820="Pago",$X1820="Recebido",$X1820="Cancelado"),"",$C1820-TODAY())</f>
        <v/>
      </c>
      <c r="AJ1820" s="24">
        <f>IF(OR($C1820="",$X1820="Pago",$X1820="Recebido",$X1820="Cancelado"),0,MAX(0,TODAY()-$C1820))</f>
        <v/>
      </c>
      <c r="AK1820" s="24">
        <f>IF($D1820="","",$D1820-$B1820)</f>
        <v/>
      </c>
      <c r="AL1820" s="18">
        <f>IF(OR($D1820="",$B1820=""),"",ROUND(N($R1820)*($D1820-$B1820),2))</f>
        <v/>
      </c>
      <c r="AM1820" s="17">
        <f>IF(AND($E1820="Saída",$W1820&gt;0,$C1820&lt;&gt;""),$C1820+ROW()/1000000,"")</f>
        <v/>
      </c>
      <c r="AN1820" s="17">
        <f>IF(AND($E1820="Entrada",$W1820&gt;0,$C1820&lt;&gt;""),$C1820+ROW()/1000000,"")</f>
        <v/>
      </c>
      <c r="AO1820" s="9">
        <f>IF(COUNTA($B1820:$R1820)=0,"",IF(AND($I1820&lt;&gt;"",COUNTIF(CLIENTES_NOMES,$I1820)+COUNTIF(CLIENTES_FANTASIA,$I1820)+COUNTIF(FORNECEDORES_NOMES,$I1820)+COUNTIF(FORNECEDORES_FANTASIA,$I1820)=0),"⚠ Cliente/Fornecedor não cadastrado",IF(AND($G1820&lt;&gt;"",COUNTIF(SUBCATEGORIAS_PLANO,$G1820)=0),"⚠ Subcategoria fora do plano de contas",IF(OR($Q1820="",N($Q1820)=0),"⚠ Valor previsto não informado",IF(AND(OR($X1820="Pago",$X1820="Recebido"),$D1820=""),"⚠ Status pago/recebido sem data",IF(AND($D1820&lt;&gt;"",N($R1820)=0),"⚠ Data de pagamento sem valor realizado",IF(AND(N($P1820)&gt;1,N($O1820)&gt;N($P1820)),"⚠ Nº da parcela maior que o total",IF(AND($C1820&lt;&gt;"",$B1820&lt;&gt;"",$C1820&lt;$B1820),"⚠ Vencimento anterior à competência","OK"))))))))</f>
        <v/>
      </c>
    </row>
    <row r="1821">
      <c r="A1821" s="14" t="n"/>
      <c r="B1821" s="36" t="n"/>
      <c r="C1821" s="36" t="n"/>
      <c r="D1821" s="36" t="n"/>
      <c r="E1821" s="14" t="n"/>
      <c r="F1821" s="29" t="n"/>
      <c r="G1821" s="29" t="n"/>
      <c r="H1821" s="29" t="n"/>
      <c r="I1821" s="29" t="n"/>
      <c r="J1821" s="29" t="n"/>
      <c r="K1821" s="14" t="n"/>
      <c r="L1821" s="29" t="n"/>
      <c r="M1821" s="14" t="n"/>
      <c r="N1821" s="29" t="n"/>
      <c r="O1821" s="13" t="n"/>
      <c r="P1821" s="13" t="n"/>
      <c r="Q1821" s="35" t="n"/>
      <c r="R1821" s="35" t="n"/>
      <c r="S1821" s="35" t="n"/>
      <c r="T1821" s="35" t="n"/>
      <c r="U1821" s="35" t="n"/>
      <c r="V1821" s="18">
        <f>IF(COUNTA($B1821:$R1821)=0,"",ROUND(N($R1821)+N($S1821)+N($T1821)-N($U1821),2))</f>
        <v/>
      </c>
      <c r="W1821" s="18">
        <f>IF(COUNTA($B1821:$R1821)=0,"",IF(OR($X1821="Pago",$X1821="Recebido",$X1821="Cancelado"),0,ROUND(N($Q1821)+N($S1821)+N($T1821)-N($U1821)-N($R1821),2)))</f>
        <v/>
      </c>
      <c r="X1821" s="14" t="n"/>
      <c r="Y1821" s="17">
        <f>IF(COUNTA($B1821:$R1821)=0,"",IF($X1821="Cancelado","Cancelado",IF(OR($X1821="Pago",$X1821="Recebido"),$X1821,IF(OR($X1821="Parcial",N($R1821)&gt;0),"Parcial",IF($C1821="","Sem vencimento",IF($C1821&lt;TODAY(),"Vencido",IF($C1821=TODAY(),"Vence hoje",IF($C1821&lt;=TODAY()+7,"Vence em 7 dias",IF($C1821&lt;=TODAY()+30,"Vence em 30 dias","Futuro")))))))))</f>
        <v/>
      </c>
      <c r="Z1821" s="24">
        <f>IF($B1821="","",MONTH($B1821))</f>
        <v/>
      </c>
      <c r="AA1821" s="24">
        <f>IF($B1821="","",YEAR($B1821))</f>
        <v/>
      </c>
      <c r="AB1821" s="24">
        <f>IF($B1821="","",ISOWEEKNUM($B1821))</f>
        <v/>
      </c>
      <c r="AC1821" s="17">
        <f>IF($B1821="","",CHOOSE(WEEKDAY($B1821,2),"Segunda","Terça","Quarta","Quinta","Sexta","Sábado","Domingo"))</f>
        <v/>
      </c>
      <c r="AD1821" s="17">
        <f>IF($B1821="","",TEXT($B1821,"MM/AAAA"))</f>
        <v/>
      </c>
      <c r="AE1821" s="18">
        <f>IF(COUNTA($B1821:$R1821)=0,"",IF($X1821="Cancelado",0,ROUND(N($Q1821)+N($S1821)+N($T1821)-N($U1821),2)))</f>
        <v/>
      </c>
      <c r="AF1821" s="9">
        <f>IF($G1821="","",IFERROR(INDEX(LINHAS_DRE_PLANO,MATCH($G1821,SUBCATEGORIAS_PLANO,0)),"Não classificado"))</f>
        <v/>
      </c>
      <c r="AG1821" s="17">
        <f>IF($G1821="","",IFERROR(INDEX(TIPOS_FLUXO_PLANO,MATCH($G1821,SUBCATEGORIAS_PLANO,0)),"Não classificado"))</f>
        <v/>
      </c>
      <c r="AH1821" s="9">
        <f>IF($G1821="","",IFERROR(INDEX(GRUPOS_PLANO,MATCH($G1821,SUBCATEGORIAS_PLANO,0)),"Não classificado"))</f>
        <v/>
      </c>
      <c r="AI1821" s="24">
        <f>IF(OR($C1821="",$X1821="Pago",$X1821="Recebido",$X1821="Cancelado"),"",$C1821-TODAY())</f>
        <v/>
      </c>
      <c r="AJ1821" s="24">
        <f>IF(OR($C1821="",$X1821="Pago",$X1821="Recebido",$X1821="Cancelado"),0,MAX(0,TODAY()-$C1821))</f>
        <v/>
      </c>
      <c r="AK1821" s="24">
        <f>IF($D1821="","",$D1821-$B1821)</f>
        <v/>
      </c>
      <c r="AL1821" s="18">
        <f>IF(OR($D1821="",$B1821=""),"",ROUND(N($R1821)*($D1821-$B1821),2))</f>
        <v/>
      </c>
      <c r="AM1821" s="17">
        <f>IF(AND($E1821="Saída",$W1821&gt;0,$C1821&lt;&gt;""),$C1821+ROW()/1000000,"")</f>
        <v/>
      </c>
      <c r="AN1821" s="17">
        <f>IF(AND($E1821="Entrada",$W1821&gt;0,$C1821&lt;&gt;""),$C1821+ROW()/1000000,"")</f>
        <v/>
      </c>
      <c r="AO1821" s="9">
        <f>IF(COUNTA($B1821:$R1821)=0,"",IF(AND($I1821&lt;&gt;"",COUNTIF(CLIENTES_NOMES,$I1821)+COUNTIF(CLIENTES_FANTASIA,$I1821)+COUNTIF(FORNECEDORES_NOMES,$I1821)+COUNTIF(FORNECEDORES_FANTASIA,$I1821)=0),"⚠ Cliente/Fornecedor não cadastrado",IF(AND($G1821&lt;&gt;"",COUNTIF(SUBCATEGORIAS_PLANO,$G1821)=0),"⚠ Subcategoria fora do plano de contas",IF(OR($Q1821="",N($Q1821)=0),"⚠ Valor previsto não informado",IF(AND(OR($X1821="Pago",$X1821="Recebido"),$D1821=""),"⚠ Status pago/recebido sem data",IF(AND($D1821&lt;&gt;"",N($R1821)=0),"⚠ Data de pagamento sem valor realizado",IF(AND(N($P1821)&gt;1,N($O1821)&gt;N($P1821)),"⚠ Nº da parcela maior que o total",IF(AND($C1821&lt;&gt;"",$B1821&lt;&gt;"",$C1821&lt;$B1821),"⚠ Vencimento anterior à competência","OK"))))))))</f>
        <v/>
      </c>
    </row>
    <row r="1822">
      <c r="A1822" s="14" t="n"/>
      <c r="B1822" s="36" t="n"/>
      <c r="C1822" s="36" t="n"/>
      <c r="D1822" s="36" t="n"/>
      <c r="E1822" s="14" t="n"/>
      <c r="F1822" s="29" t="n"/>
      <c r="G1822" s="29" t="n"/>
      <c r="H1822" s="29" t="n"/>
      <c r="I1822" s="29" t="n"/>
      <c r="J1822" s="29" t="n"/>
      <c r="K1822" s="14" t="n"/>
      <c r="L1822" s="29" t="n"/>
      <c r="M1822" s="14" t="n"/>
      <c r="N1822" s="29" t="n"/>
      <c r="O1822" s="13" t="n"/>
      <c r="P1822" s="13" t="n"/>
      <c r="Q1822" s="35" t="n"/>
      <c r="R1822" s="35" t="n"/>
      <c r="S1822" s="35" t="n"/>
      <c r="T1822" s="35" t="n"/>
      <c r="U1822" s="35" t="n"/>
      <c r="V1822" s="18">
        <f>IF(COUNTA($B1822:$R1822)=0,"",ROUND(N($R1822)+N($S1822)+N($T1822)-N($U1822),2))</f>
        <v/>
      </c>
      <c r="W1822" s="18">
        <f>IF(COUNTA($B1822:$R1822)=0,"",IF(OR($X1822="Pago",$X1822="Recebido",$X1822="Cancelado"),0,ROUND(N($Q1822)+N($S1822)+N($T1822)-N($U1822)-N($R1822),2)))</f>
        <v/>
      </c>
      <c r="X1822" s="14" t="n"/>
      <c r="Y1822" s="17">
        <f>IF(COUNTA($B1822:$R1822)=0,"",IF($X1822="Cancelado","Cancelado",IF(OR($X1822="Pago",$X1822="Recebido"),$X1822,IF(OR($X1822="Parcial",N($R1822)&gt;0),"Parcial",IF($C1822="","Sem vencimento",IF($C1822&lt;TODAY(),"Vencido",IF($C1822=TODAY(),"Vence hoje",IF($C1822&lt;=TODAY()+7,"Vence em 7 dias",IF($C1822&lt;=TODAY()+30,"Vence em 30 dias","Futuro")))))))))</f>
        <v/>
      </c>
      <c r="Z1822" s="24">
        <f>IF($B1822="","",MONTH($B1822))</f>
        <v/>
      </c>
      <c r="AA1822" s="24">
        <f>IF($B1822="","",YEAR($B1822))</f>
        <v/>
      </c>
      <c r="AB1822" s="24">
        <f>IF($B1822="","",ISOWEEKNUM($B1822))</f>
        <v/>
      </c>
      <c r="AC1822" s="17">
        <f>IF($B1822="","",CHOOSE(WEEKDAY($B1822,2),"Segunda","Terça","Quarta","Quinta","Sexta","Sábado","Domingo"))</f>
        <v/>
      </c>
      <c r="AD1822" s="17">
        <f>IF($B1822="","",TEXT($B1822,"MM/AAAA"))</f>
        <v/>
      </c>
      <c r="AE1822" s="18">
        <f>IF(COUNTA($B1822:$R1822)=0,"",IF($X1822="Cancelado",0,ROUND(N($Q1822)+N($S1822)+N($T1822)-N($U1822),2)))</f>
        <v/>
      </c>
      <c r="AF1822" s="9">
        <f>IF($G1822="","",IFERROR(INDEX(LINHAS_DRE_PLANO,MATCH($G1822,SUBCATEGORIAS_PLANO,0)),"Não classificado"))</f>
        <v/>
      </c>
      <c r="AG1822" s="17">
        <f>IF($G1822="","",IFERROR(INDEX(TIPOS_FLUXO_PLANO,MATCH($G1822,SUBCATEGORIAS_PLANO,0)),"Não classificado"))</f>
        <v/>
      </c>
      <c r="AH1822" s="9">
        <f>IF($G1822="","",IFERROR(INDEX(GRUPOS_PLANO,MATCH($G1822,SUBCATEGORIAS_PLANO,0)),"Não classificado"))</f>
        <v/>
      </c>
      <c r="AI1822" s="24">
        <f>IF(OR($C1822="",$X1822="Pago",$X1822="Recebido",$X1822="Cancelado"),"",$C1822-TODAY())</f>
        <v/>
      </c>
      <c r="AJ1822" s="24">
        <f>IF(OR($C1822="",$X1822="Pago",$X1822="Recebido",$X1822="Cancelado"),0,MAX(0,TODAY()-$C1822))</f>
        <v/>
      </c>
      <c r="AK1822" s="24">
        <f>IF($D1822="","",$D1822-$B1822)</f>
        <v/>
      </c>
      <c r="AL1822" s="18">
        <f>IF(OR($D1822="",$B1822=""),"",ROUND(N($R1822)*($D1822-$B1822),2))</f>
        <v/>
      </c>
      <c r="AM1822" s="17">
        <f>IF(AND($E1822="Saída",$W1822&gt;0,$C1822&lt;&gt;""),$C1822+ROW()/1000000,"")</f>
        <v/>
      </c>
      <c r="AN1822" s="17">
        <f>IF(AND($E1822="Entrada",$W1822&gt;0,$C1822&lt;&gt;""),$C1822+ROW()/1000000,"")</f>
        <v/>
      </c>
      <c r="AO1822" s="9">
        <f>IF(COUNTA($B1822:$R1822)=0,"",IF(AND($I1822&lt;&gt;"",COUNTIF(CLIENTES_NOMES,$I1822)+COUNTIF(CLIENTES_FANTASIA,$I1822)+COUNTIF(FORNECEDORES_NOMES,$I1822)+COUNTIF(FORNECEDORES_FANTASIA,$I1822)=0),"⚠ Cliente/Fornecedor não cadastrado",IF(AND($G1822&lt;&gt;"",COUNTIF(SUBCATEGORIAS_PLANO,$G1822)=0),"⚠ Subcategoria fora do plano de contas",IF(OR($Q1822="",N($Q1822)=0),"⚠ Valor previsto não informado",IF(AND(OR($X1822="Pago",$X1822="Recebido"),$D1822=""),"⚠ Status pago/recebido sem data",IF(AND($D1822&lt;&gt;"",N($R1822)=0),"⚠ Data de pagamento sem valor realizado",IF(AND(N($P1822)&gt;1,N($O1822)&gt;N($P1822)),"⚠ Nº da parcela maior que o total",IF(AND($C1822&lt;&gt;"",$B1822&lt;&gt;"",$C1822&lt;$B1822),"⚠ Vencimento anterior à competência","OK"))))))))</f>
        <v/>
      </c>
    </row>
    <row r="1823">
      <c r="A1823" s="14" t="n"/>
      <c r="B1823" s="36" t="n"/>
      <c r="C1823" s="36" t="n"/>
      <c r="D1823" s="36" t="n"/>
      <c r="E1823" s="14" t="n"/>
      <c r="F1823" s="29" t="n"/>
      <c r="G1823" s="29" t="n"/>
      <c r="H1823" s="29" t="n"/>
      <c r="I1823" s="29" t="n"/>
      <c r="J1823" s="29" t="n"/>
      <c r="K1823" s="14" t="n"/>
      <c r="L1823" s="29" t="n"/>
      <c r="M1823" s="14" t="n"/>
      <c r="N1823" s="29" t="n"/>
      <c r="O1823" s="13" t="n"/>
      <c r="P1823" s="13" t="n"/>
      <c r="Q1823" s="35" t="n"/>
      <c r="R1823" s="35" t="n"/>
      <c r="S1823" s="35" t="n"/>
      <c r="T1823" s="35" t="n"/>
      <c r="U1823" s="35" t="n"/>
      <c r="V1823" s="18">
        <f>IF(COUNTA($B1823:$R1823)=0,"",ROUND(N($R1823)+N($S1823)+N($T1823)-N($U1823),2))</f>
        <v/>
      </c>
      <c r="W1823" s="18">
        <f>IF(COUNTA($B1823:$R1823)=0,"",IF(OR($X1823="Pago",$X1823="Recebido",$X1823="Cancelado"),0,ROUND(N($Q1823)+N($S1823)+N($T1823)-N($U1823)-N($R1823),2)))</f>
        <v/>
      </c>
      <c r="X1823" s="14" t="n"/>
      <c r="Y1823" s="17">
        <f>IF(COUNTA($B1823:$R1823)=0,"",IF($X1823="Cancelado","Cancelado",IF(OR($X1823="Pago",$X1823="Recebido"),$X1823,IF(OR($X1823="Parcial",N($R1823)&gt;0),"Parcial",IF($C1823="","Sem vencimento",IF($C1823&lt;TODAY(),"Vencido",IF($C1823=TODAY(),"Vence hoje",IF($C1823&lt;=TODAY()+7,"Vence em 7 dias",IF($C1823&lt;=TODAY()+30,"Vence em 30 dias","Futuro")))))))))</f>
        <v/>
      </c>
      <c r="Z1823" s="24">
        <f>IF($B1823="","",MONTH($B1823))</f>
        <v/>
      </c>
      <c r="AA1823" s="24">
        <f>IF($B1823="","",YEAR($B1823))</f>
        <v/>
      </c>
      <c r="AB1823" s="24">
        <f>IF($B1823="","",ISOWEEKNUM($B1823))</f>
        <v/>
      </c>
      <c r="AC1823" s="17">
        <f>IF($B1823="","",CHOOSE(WEEKDAY($B1823,2),"Segunda","Terça","Quarta","Quinta","Sexta","Sábado","Domingo"))</f>
        <v/>
      </c>
      <c r="AD1823" s="17">
        <f>IF($B1823="","",TEXT($B1823,"MM/AAAA"))</f>
        <v/>
      </c>
      <c r="AE1823" s="18">
        <f>IF(COUNTA($B1823:$R1823)=0,"",IF($X1823="Cancelado",0,ROUND(N($Q1823)+N($S1823)+N($T1823)-N($U1823),2)))</f>
        <v/>
      </c>
      <c r="AF1823" s="9">
        <f>IF($G1823="","",IFERROR(INDEX(LINHAS_DRE_PLANO,MATCH($G1823,SUBCATEGORIAS_PLANO,0)),"Não classificado"))</f>
        <v/>
      </c>
      <c r="AG1823" s="17">
        <f>IF($G1823="","",IFERROR(INDEX(TIPOS_FLUXO_PLANO,MATCH($G1823,SUBCATEGORIAS_PLANO,0)),"Não classificado"))</f>
        <v/>
      </c>
      <c r="AH1823" s="9">
        <f>IF($G1823="","",IFERROR(INDEX(GRUPOS_PLANO,MATCH($G1823,SUBCATEGORIAS_PLANO,0)),"Não classificado"))</f>
        <v/>
      </c>
      <c r="AI1823" s="24">
        <f>IF(OR($C1823="",$X1823="Pago",$X1823="Recebido",$X1823="Cancelado"),"",$C1823-TODAY())</f>
        <v/>
      </c>
      <c r="AJ1823" s="24">
        <f>IF(OR($C1823="",$X1823="Pago",$X1823="Recebido",$X1823="Cancelado"),0,MAX(0,TODAY()-$C1823))</f>
        <v/>
      </c>
      <c r="AK1823" s="24">
        <f>IF($D1823="","",$D1823-$B1823)</f>
        <v/>
      </c>
      <c r="AL1823" s="18">
        <f>IF(OR($D1823="",$B1823=""),"",ROUND(N($R1823)*($D1823-$B1823),2))</f>
        <v/>
      </c>
      <c r="AM1823" s="17">
        <f>IF(AND($E1823="Saída",$W1823&gt;0,$C1823&lt;&gt;""),$C1823+ROW()/1000000,"")</f>
        <v/>
      </c>
      <c r="AN1823" s="17">
        <f>IF(AND($E1823="Entrada",$W1823&gt;0,$C1823&lt;&gt;""),$C1823+ROW()/1000000,"")</f>
        <v/>
      </c>
      <c r="AO1823" s="9">
        <f>IF(COUNTA($B1823:$R1823)=0,"",IF(AND($I1823&lt;&gt;"",COUNTIF(CLIENTES_NOMES,$I1823)+COUNTIF(CLIENTES_FANTASIA,$I1823)+COUNTIF(FORNECEDORES_NOMES,$I1823)+COUNTIF(FORNECEDORES_FANTASIA,$I1823)=0),"⚠ Cliente/Fornecedor não cadastrado",IF(AND($G1823&lt;&gt;"",COUNTIF(SUBCATEGORIAS_PLANO,$G1823)=0),"⚠ Subcategoria fora do plano de contas",IF(OR($Q1823="",N($Q1823)=0),"⚠ Valor previsto não informado",IF(AND(OR($X1823="Pago",$X1823="Recebido"),$D1823=""),"⚠ Status pago/recebido sem data",IF(AND($D1823&lt;&gt;"",N($R1823)=0),"⚠ Data de pagamento sem valor realizado",IF(AND(N($P1823)&gt;1,N($O1823)&gt;N($P1823)),"⚠ Nº da parcela maior que o total",IF(AND($C1823&lt;&gt;"",$B1823&lt;&gt;"",$C1823&lt;$B1823),"⚠ Vencimento anterior à competência","OK"))))))))</f>
        <v/>
      </c>
    </row>
    <row r="1824">
      <c r="A1824" s="14" t="n"/>
      <c r="B1824" s="36" t="n"/>
      <c r="C1824" s="36" t="n"/>
      <c r="D1824" s="36" t="n"/>
      <c r="E1824" s="14" t="n"/>
      <c r="F1824" s="29" t="n"/>
      <c r="G1824" s="29" t="n"/>
      <c r="H1824" s="29" t="n"/>
      <c r="I1824" s="29" t="n"/>
      <c r="J1824" s="29" t="n"/>
      <c r="K1824" s="14" t="n"/>
      <c r="L1824" s="29" t="n"/>
      <c r="M1824" s="14" t="n"/>
      <c r="N1824" s="29" t="n"/>
      <c r="O1824" s="13" t="n"/>
      <c r="P1824" s="13" t="n"/>
      <c r="Q1824" s="35" t="n"/>
      <c r="R1824" s="35" t="n"/>
      <c r="S1824" s="35" t="n"/>
      <c r="T1824" s="35" t="n"/>
      <c r="U1824" s="35" t="n"/>
      <c r="V1824" s="18">
        <f>IF(COUNTA($B1824:$R1824)=0,"",ROUND(N($R1824)+N($S1824)+N($T1824)-N($U1824),2))</f>
        <v/>
      </c>
      <c r="W1824" s="18">
        <f>IF(COUNTA($B1824:$R1824)=0,"",IF(OR($X1824="Pago",$X1824="Recebido",$X1824="Cancelado"),0,ROUND(N($Q1824)+N($S1824)+N($T1824)-N($U1824)-N($R1824),2)))</f>
        <v/>
      </c>
      <c r="X1824" s="14" t="n"/>
      <c r="Y1824" s="17">
        <f>IF(COUNTA($B1824:$R1824)=0,"",IF($X1824="Cancelado","Cancelado",IF(OR($X1824="Pago",$X1824="Recebido"),$X1824,IF(OR($X1824="Parcial",N($R1824)&gt;0),"Parcial",IF($C1824="","Sem vencimento",IF($C1824&lt;TODAY(),"Vencido",IF($C1824=TODAY(),"Vence hoje",IF($C1824&lt;=TODAY()+7,"Vence em 7 dias",IF($C1824&lt;=TODAY()+30,"Vence em 30 dias","Futuro")))))))))</f>
        <v/>
      </c>
      <c r="Z1824" s="24">
        <f>IF($B1824="","",MONTH($B1824))</f>
        <v/>
      </c>
      <c r="AA1824" s="24">
        <f>IF($B1824="","",YEAR($B1824))</f>
        <v/>
      </c>
      <c r="AB1824" s="24">
        <f>IF($B1824="","",ISOWEEKNUM($B1824))</f>
        <v/>
      </c>
      <c r="AC1824" s="17">
        <f>IF($B1824="","",CHOOSE(WEEKDAY($B1824,2),"Segunda","Terça","Quarta","Quinta","Sexta","Sábado","Domingo"))</f>
        <v/>
      </c>
      <c r="AD1824" s="17">
        <f>IF($B1824="","",TEXT($B1824,"MM/AAAA"))</f>
        <v/>
      </c>
      <c r="AE1824" s="18">
        <f>IF(COUNTA($B1824:$R1824)=0,"",IF($X1824="Cancelado",0,ROUND(N($Q1824)+N($S1824)+N($T1824)-N($U1824),2)))</f>
        <v/>
      </c>
      <c r="AF1824" s="9">
        <f>IF($G1824="","",IFERROR(INDEX(LINHAS_DRE_PLANO,MATCH($G1824,SUBCATEGORIAS_PLANO,0)),"Não classificado"))</f>
        <v/>
      </c>
      <c r="AG1824" s="17">
        <f>IF($G1824="","",IFERROR(INDEX(TIPOS_FLUXO_PLANO,MATCH($G1824,SUBCATEGORIAS_PLANO,0)),"Não classificado"))</f>
        <v/>
      </c>
      <c r="AH1824" s="9">
        <f>IF($G1824="","",IFERROR(INDEX(GRUPOS_PLANO,MATCH($G1824,SUBCATEGORIAS_PLANO,0)),"Não classificado"))</f>
        <v/>
      </c>
      <c r="AI1824" s="24">
        <f>IF(OR($C1824="",$X1824="Pago",$X1824="Recebido",$X1824="Cancelado"),"",$C1824-TODAY())</f>
        <v/>
      </c>
      <c r="AJ1824" s="24">
        <f>IF(OR($C1824="",$X1824="Pago",$X1824="Recebido",$X1824="Cancelado"),0,MAX(0,TODAY()-$C1824))</f>
        <v/>
      </c>
      <c r="AK1824" s="24">
        <f>IF($D1824="","",$D1824-$B1824)</f>
        <v/>
      </c>
      <c r="AL1824" s="18">
        <f>IF(OR($D1824="",$B1824=""),"",ROUND(N($R1824)*($D1824-$B1824),2))</f>
        <v/>
      </c>
      <c r="AM1824" s="17">
        <f>IF(AND($E1824="Saída",$W1824&gt;0,$C1824&lt;&gt;""),$C1824+ROW()/1000000,"")</f>
        <v/>
      </c>
      <c r="AN1824" s="17">
        <f>IF(AND($E1824="Entrada",$W1824&gt;0,$C1824&lt;&gt;""),$C1824+ROW()/1000000,"")</f>
        <v/>
      </c>
      <c r="AO1824" s="9">
        <f>IF(COUNTA($B1824:$R1824)=0,"",IF(AND($I1824&lt;&gt;"",COUNTIF(CLIENTES_NOMES,$I1824)+COUNTIF(CLIENTES_FANTASIA,$I1824)+COUNTIF(FORNECEDORES_NOMES,$I1824)+COUNTIF(FORNECEDORES_FANTASIA,$I1824)=0),"⚠ Cliente/Fornecedor não cadastrado",IF(AND($G1824&lt;&gt;"",COUNTIF(SUBCATEGORIAS_PLANO,$G1824)=0),"⚠ Subcategoria fora do plano de contas",IF(OR($Q1824="",N($Q1824)=0),"⚠ Valor previsto não informado",IF(AND(OR($X1824="Pago",$X1824="Recebido"),$D1824=""),"⚠ Status pago/recebido sem data",IF(AND($D1824&lt;&gt;"",N($R1824)=0),"⚠ Data de pagamento sem valor realizado",IF(AND(N($P1824)&gt;1,N($O1824)&gt;N($P1824)),"⚠ Nº da parcela maior que o total",IF(AND($C1824&lt;&gt;"",$B1824&lt;&gt;"",$C1824&lt;$B1824),"⚠ Vencimento anterior à competência","OK"))))))))</f>
        <v/>
      </c>
    </row>
    <row r="1825">
      <c r="A1825" s="14" t="n"/>
      <c r="B1825" s="36" t="n"/>
      <c r="C1825" s="36" t="n"/>
      <c r="D1825" s="36" t="n"/>
      <c r="E1825" s="14" t="n"/>
      <c r="F1825" s="29" t="n"/>
      <c r="G1825" s="29" t="n"/>
      <c r="H1825" s="29" t="n"/>
      <c r="I1825" s="29" t="n"/>
      <c r="J1825" s="29" t="n"/>
      <c r="K1825" s="14" t="n"/>
      <c r="L1825" s="29" t="n"/>
      <c r="M1825" s="14" t="n"/>
      <c r="N1825" s="29" t="n"/>
      <c r="O1825" s="13" t="n"/>
      <c r="P1825" s="13" t="n"/>
      <c r="Q1825" s="35" t="n"/>
      <c r="R1825" s="35" t="n"/>
      <c r="S1825" s="35" t="n"/>
      <c r="T1825" s="35" t="n"/>
      <c r="U1825" s="35" t="n"/>
      <c r="V1825" s="18">
        <f>IF(COUNTA($B1825:$R1825)=0,"",ROUND(N($R1825)+N($S1825)+N($T1825)-N($U1825),2))</f>
        <v/>
      </c>
      <c r="W1825" s="18">
        <f>IF(COUNTA($B1825:$R1825)=0,"",IF(OR($X1825="Pago",$X1825="Recebido",$X1825="Cancelado"),0,ROUND(N($Q1825)+N($S1825)+N($T1825)-N($U1825)-N($R1825),2)))</f>
        <v/>
      </c>
      <c r="X1825" s="14" t="n"/>
      <c r="Y1825" s="17">
        <f>IF(COUNTA($B1825:$R1825)=0,"",IF($X1825="Cancelado","Cancelado",IF(OR($X1825="Pago",$X1825="Recebido"),$X1825,IF(OR($X1825="Parcial",N($R1825)&gt;0),"Parcial",IF($C1825="","Sem vencimento",IF($C1825&lt;TODAY(),"Vencido",IF($C1825=TODAY(),"Vence hoje",IF($C1825&lt;=TODAY()+7,"Vence em 7 dias",IF($C1825&lt;=TODAY()+30,"Vence em 30 dias","Futuro")))))))))</f>
        <v/>
      </c>
      <c r="Z1825" s="24">
        <f>IF($B1825="","",MONTH($B1825))</f>
        <v/>
      </c>
      <c r="AA1825" s="24">
        <f>IF($B1825="","",YEAR($B1825))</f>
        <v/>
      </c>
      <c r="AB1825" s="24">
        <f>IF($B1825="","",ISOWEEKNUM($B1825))</f>
        <v/>
      </c>
      <c r="AC1825" s="17">
        <f>IF($B1825="","",CHOOSE(WEEKDAY($B1825,2),"Segunda","Terça","Quarta","Quinta","Sexta","Sábado","Domingo"))</f>
        <v/>
      </c>
      <c r="AD1825" s="17">
        <f>IF($B1825="","",TEXT($B1825,"MM/AAAA"))</f>
        <v/>
      </c>
      <c r="AE1825" s="18">
        <f>IF(COUNTA($B1825:$R1825)=0,"",IF($X1825="Cancelado",0,ROUND(N($Q1825)+N($S1825)+N($T1825)-N($U1825),2)))</f>
        <v/>
      </c>
      <c r="AF1825" s="9">
        <f>IF($G1825="","",IFERROR(INDEX(LINHAS_DRE_PLANO,MATCH($G1825,SUBCATEGORIAS_PLANO,0)),"Não classificado"))</f>
        <v/>
      </c>
      <c r="AG1825" s="17">
        <f>IF($G1825="","",IFERROR(INDEX(TIPOS_FLUXO_PLANO,MATCH($G1825,SUBCATEGORIAS_PLANO,0)),"Não classificado"))</f>
        <v/>
      </c>
      <c r="AH1825" s="9">
        <f>IF($G1825="","",IFERROR(INDEX(GRUPOS_PLANO,MATCH($G1825,SUBCATEGORIAS_PLANO,0)),"Não classificado"))</f>
        <v/>
      </c>
      <c r="AI1825" s="24">
        <f>IF(OR($C1825="",$X1825="Pago",$X1825="Recebido",$X1825="Cancelado"),"",$C1825-TODAY())</f>
        <v/>
      </c>
      <c r="AJ1825" s="24">
        <f>IF(OR($C1825="",$X1825="Pago",$X1825="Recebido",$X1825="Cancelado"),0,MAX(0,TODAY()-$C1825))</f>
        <v/>
      </c>
      <c r="AK1825" s="24">
        <f>IF($D1825="","",$D1825-$B1825)</f>
        <v/>
      </c>
      <c r="AL1825" s="18">
        <f>IF(OR($D1825="",$B1825=""),"",ROUND(N($R1825)*($D1825-$B1825),2))</f>
        <v/>
      </c>
      <c r="AM1825" s="17">
        <f>IF(AND($E1825="Saída",$W1825&gt;0,$C1825&lt;&gt;""),$C1825+ROW()/1000000,"")</f>
        <v/>
      </c>
      <c r="AN1825" s="17">
        <f>IF(AND($E1825="Entrada",$W1825&gt;0,$C1825&lt;&gt;""),$C1825+ROW()/1000000,"")</f>
        <v/>
      </c>
      <c r="AO1825" s="9">
        <f>IF(COUNTA($B1825:$R1825)=0,"",IF(AND($I1825&lt;&gt;"",COUNTIF(CLIENTES_NOMES,$I1825)+COUNTIF(CLIENTES_FANTASIA,$I1825)+COUNTIF(FORNECEDORES_NOMES,$I1825)+COUNTIF(FORNECEDORES_FANTASIA,$I1825)=0),"⚠ Cliente/Fornecedor não cadastrado",IF(AND($G1825&lt;&gt;"",COUNTIF(SUBCATEGORIAS_PLANO,$G1825)=0),"⚠ Subcategoria fora do plano de contas",IF(OR($Q1825="",N($Q1825)=0),"⚠ Valor previsto não informado",IF(AND(OR($X1825="Pago",$X1825="Recebido"),$D1825=""),"⚠ Status pago/recebido sem data",IF(AND($D1825&lt;&gt;"",N($R1825)=0),"⚠ Data de pagamento sem valor realizado",IF(AND(N($P1825)&gt;1,N($O1825)&gt;N($P1825)),"⚠ Nº da parcela maior que o total",IF(AND($C1825&lt;&gt;"",$B1825&lt;&gt;"",$C1825&lt;$B1825),"⚠ Vencimento anterior à competência","OK"))))))))</f>
        <v/>
      </c>
    </row>
    <row r="1826">
      <c r="A1826" s="14" t="n"/>
      <c r="B1826" s="36" t="n"/>
      <c r="C1826" s="36" t="n"/>
      <c r="D1826" s="36" t="n"/>
      <c r="E1826" s="14" t="n"/>
      <c r="F1826" s="29" t="n"/>
      <c r="G1826" s="29" t="n"/>
      <c r="H1826" s="29" t="n"/>
      <c r="I1826" s="29" t="n"/>
      <c r="J1826" s="29" t="n"/>
      <c r="K1826" s="14" t="n"/>
      <c r="L1826" s="29" t="n"/>
      <c r="M1826" s="14" t="n"/>
      <c r="N1826" s="29" t="n"/>
      <c r="O1826" s="13" t="n"/>
      <c r="P1826" s="13" t="n"/>
      <c r="Q1826" s="35" t="n"/>
      <c r="R1826" s="35" t="n"/>
      <c r="S1826" s="35" t="n"/>
      <c r="T1826" s="35" t="n"/>
      <c r="U1826" s="35" t="n"/>
      <c r="V1826" s="18">
        <f>IF(COUNTA($B1826:$R1826)=0,"",ROUND(N($R1826)+N($S1826)+N($T1826)-N($U1826),2))</f>
        <v/>
      </c>
      <c r="W1826" s="18">
        <f>IF(COUNTA($B1826:$R1826)=0,"",IF(OR($X1826="Pago",$X1826="Recebido",$X1826="Cancelado"),0,ROUND(N($Q1826)+N($S1826)+N($T1826)-N($U1826)-N($R1826),2)))</f>
        <v/>
      </c>
      <c r="X1826" s="14" t="n"/>
      <c r="Y1826" s="17">
        <f>IF(COUNTA($B1826:$R1826)=0,"",IF($X1826="Cancelado","Cancelado",IF(OR($X1826="Pago",$X1826="Recebido"),$X1826,IF(OR($X1826="Parcial",N($R1826)&gt;0),"Parcial",IF($C1826="","Sem vencimento",IF($C1826&lt;TODAY(),"Vencido",IF($C1826=TODAY(),"Vence hoje",IF($C1826&lt;=TODAY()+7,"Vence em 7 dias",IF($C1826&lt;=TODAY()+30,"Vence em 30 dias","Futuro")))))))))</f>
        <v/>
      </c>
      <c r="Z1826" s="24">
        <f>IF($B1826="","",MONTH($B1826))</f>
        <v/>
      </c>
      <c r="AA1826" s="24">
        <f>IF($B1826="","",YEAR($B1826))</f>
        <v/>
      </c>
      <c r="AB1826" s="24">
        <f>IF($B1826="","",ISOWEEKNUM($B1826))</f>
        <v/>
      </c>
      <c r="AC1826" s="17">
        <f>IF($B1826="","",CHOOSE(WEEKDAY($B1826,2),"Segunda","Terça","Quarta","Quinta","Sexta","Sábado","Domingo"))</f>
        <v/>
      </c>
      <c r="AD1826" s="17">
        <f>IF($B1826="","",TEXT($B1826,"MM/AAAA"))</f>
        <v/>
      </c>
      <c r="AE1826" s="18">
        <f>IF(COUNTA($B1826:$R1826)=0,"",IF($X1826="Cancelado",0,ROUND(N($Q1826)+N($S1826)+N($T1826)-N($U1826),2)))</f>
        <v/>
      </c>
      <c r="AF1826" s="9">
        <f>IF($G1826="","",IFERROR(INDEX(LINHAS_DRE_PLANO,MATCH($G1826,SUBCATEGORIAS_PLANO,0)),"Não classificado"))</f>
        <v/>
      </c>
      <c r="AG1826" s="17">
        <f>IF($G1826="","",IFERROR(INDEX(TIPOS_FLUXO_PLANO,MATCH($G1826,SUBCATEGORIAS_PLANO,0)),"Não classificado"))</f>
        <v/>
      </c>
      <c r="AH1826" s="9">
        <f>IF($G1826="","",IFERROR(INDEX(GRUPOS_PLANO,MATCH($G1826,SUBCATEGORIAS_PLANO,0)),"Não classificado"))</f>
        <v/>
      </c>
      <c r="AI1826" s="24">
        <f>IF(OR($C1826="",$X1826="Pago",$X1826="Recebido",$X1826="Cancelado"),"",$C1826-TODAY())</f>
        <v/>
      </c>
      <c r="AJ1826" s="24">
        <f>IF(OR($C1826="",$X1826="Pago",$X1826="Recebido",$X1826="Cancelado"),0,MAX(0,TODAY()-$C1826))</f>
        <v/>
      </c>
      <c r="AK1826" s="24">
        <f>IF($D1826="","",$D1826-$B1826)</f>
        <v/>
      </c>
      <c r="AL1826" s="18">
        <f>IF(OR($D1826="",$B1826=""),"",ROUND(N($R1826)*($D1826-$B1826),2))</f>
        <v/>
      </c>
      <c r="AM1826" s="17">
        <f>IF(AND($E1826="Saída",$W1826&gt;0,$C1826&lt;&gt;""),$C1826+ROW()/1000000,"")</f>
        <v/>
      </c>
      <c r="AN1826" s="17">
        <f>IF(AND($E1826="Entrada",$W1826&gt;0,$C1826&lt;&gt;""),$C1826+ROW()/1000000,"")</f>
        <v/>
      </c>
      <c r="AO1826" s="9">
        <f>IF(COUNTA($B1826:$R1826)=0,"",IF(AND($I1826&lt;&gt;"",COUNTIF(CLIENTES_NOMES,$I1826)+COUNTIF(CLIENTES_FANTASIA,$I1826)+COUNTIF(FORNECEDORES_NOMES,$I1826)+COUNTIF(FORNECEDORES_FANTASIA,$I1826)=0),"⚠ Cliente/Fornecedor não cadastrado",IF(AND($G1826&lt;&gt;"",COUNTIF(SUBCATEGORIAS_PLANO,$G1826)=0),"⚠ Subcategoria fora do plano de contas",IF(OR($Q1826="",N($Q1826)=0),"⚠ Valor previsto não informado",IF(AND(OR($X1826="Pago",$X1826="Recebido"),$D1826=""),"⚠ Status pago/recebido sem data",IF(AND($D1826&lt;&gt;"",N($R1826)=0),"⚠ Data de pagamento sem valor realizado",IF(AND(N($P1826)&gt;1,N($O1826)&gt;N($P1826)),"⚠ Nº da parcela maior que o total",IF(AND($C1826&lt;&gt;"",$B1826&lt;&gt;"",$C1826&lt;$B1826),"⚠ Vencimento anterior à competência","OK"))))))))</f>
        <v/>
      </c>
    </row>
    <row r="1827">
      <c r="A1827" s="14" t="n"/>
      <c r="B1827" s="36" t="n"/>
      <c r="C1827" s="36" t="n"/>
      <c r="D1827" s="36" t="n"/>
      <c r="E1827" s="14" t="n"/>
      <c r="F1827" s="29" t="n"/>
      <c r="G1827" s="29" t="n"/>
      <c r="H1827" s="29" t="n"/>
      <c r="I1827" s="29" t="n"/>
      <c r="J1827" s="29" t="n"/>
      <c r="K1827" s="14" t="n"/>
      <c r="L1827" s="29" t="n"/>
      <c r="M1827" s="14" t="n"/>
      <c r="N1827" s="29" t="n"/>
      <c r="O1827" s="13" t="n"/>
      <c r="P1827" s="13" t="n"/>
      <c r="Q1827" s="35" t="n"/>
      <c r="R1827" s="35" t="n"/>
      <c r="S1827" s="35" t="n"/>
      <c r="T1827" s="35" t="n"/>
      <c r="U1827" s="35" t="n"/>
      <c r="V1827" s="18">
        <f>IF(COUNTA($B1827:$R1827)=0,"",ROUND(N($R1827)+N($S1827)+N($T1827)-N($U1827),2))</f>
        <v/>
      </c>
      <c r="W1827" s="18">
        <f>IF(COUNTA($B1827:$R1827)=0,"",IF(OR($X1827="Pago",$X1827="Recebido",$X1827="Cancelado"),0,ROUND(N($Q1827)+N($S1827)+N($T1827)-N($U1827)-N($R1827),2)))</f>
        <v/>
      </c>
      <c r="X1827" s="14" t="n"/>
      <c r="Y1827" s="17">
        <f>IF(COUNTA($B1827:$R1827)=0,"",IF($X1827="Cancelado","Cancelado",IF(OR($X1827="Pago",$X1827="Recebido"),$X1827,IF(OR($X1827="Parcial",N($R1827)&gt;0),"Parcial",IF($C1827="","Sem vencimento",IF($C1827&lt;TODAY(),"Vencido",IF($C1827=TODAY(),"Vence hoje",IF($C1827&lt;=TODAY()+7,"Vence em 7 dias",IF($C1827&lt;=TODAY()+30,"Vence em 30 dias","Futuro")))))))))</f>
        <v/>
      </c>
      <c r="Z1827" s="24">
        <f>IF($B1827="","",MONTH($B1827))</f>
        <v/>
      </c>
      <c r="AA1827" s="24">
        <f>IF($B1827="","",YEAR($B1827))</f>
        <v/>
      </c>
      <c r="AB1827" s="24">
        <f>IF($B1827="","",ISOWEEKNUM($B1827))</f>
        <v/>
      </c>
      <c r="AC1827" s="17">
        <f>IF($B1827="","",CHOOSE(WEEKDAY($B1827,2),"Segunda","Terça","Quarta","Quinta","Sexta","Sábado","Domingo"))</f>
        <v/>
      </c>
      <c r="AD1827" s="17">
        <f>IF($B1827="","",TEXT($B1827,"MM/AAAA"))</f>
        <v/>
      </c>
      <c r="AE1827" s="18">
        <f>IF(COUNTA($B1827:$R1827)=0,"",IF($X1827="Cancelado",0,ROUND(N($Q1827)+N($S1827)+N($T1827)-N($U1827),2)))</f>
        <v/>
      </c>
      <c r="AF1827" s="9">
        <f>IF($G1827="","",IFERROR(INDEX(LINHAS_DRE_PLANO,MATCH($G1827,SUBCATEGORIAS_PLANO,0)),"Não classificado"))</f>
        <v/>
      </c>
      <c r="AG1827" s="17">
        <f>IF($G1827="","",IFERROR(INDEX(TIPOS_FLUXO_PLANO,MATCH($G1827,SUBCATEGORIAS_PLANO,0)),"Não classificado"))</f>
        <v/>
      </c>
      <c r="AH1827" s="9">
        <f>IF($G1827="","",IFERROR(INDEX(GRUPOS_PLANO,MATCH($G1827,SUBCATEGORIAS_PLANO,0)),"Não classificado"))</f>
        <v/>
      </c>
      <c r="AI1827" s="24">
        <f>IF(OR($C1827="",$X1827="Pago",$X1827="Recebido",$X1827="Cancelado"),"",$C1827-TODAY())</f>
        <v/>
      </c>
      <c r="AJ1827" s="24">
        <f>IF(OR($C1827="",$X1827="Pago",$X1827="Recebido",$X1827="Cancelado"),0,MAX(0,TODAY()-$C1827))</f>
        <v/>
      </c>
      <c r="AK1827" s="24">
        <f>IF($D1827="","",$D1827-$B1827)</f>
        <v/>
      </c>
      <c r="AL1827" s="18">
        <f>IF(OR($D1827="",$B1827=""),"",ROUND(N($R1827)*($D1827-$B1827),2))</f>
        <v/>
      </c>
      <c r="AM1827" s="17">
        <f>IF(AND($E1827="Saída",$W1827&gt;0,$C1827&lt;&gt;""),$C1827+ROW()/1000000,"")</f>
        <v/>
      </c>
      <c r="AN1827" s="17">
        <f>IF(AND($E1827="Entrada",$W1827&gt;0,$C1827&lt;&gt;""),$C1827+ROW()/1000000,"")</f>
        <v/>
      </c>
      <c r="AO1827" s="9">
        <f>IF(COUNTA($B1827:$R1827)=0,"",IF(AND($I1827&lt;&gt;"",COUNTIF(CLIENTES_NOMES,$I1827)+COUNTIF(CLIENTES_FANTASIA,$I1827)+COUNTIF(FORNECEDORES_NOMES,$I1827)+COUNTIF(FORNECEDORES_FANTASIA,$I1827)=0),"⚠ Cliente/Fornecedor não cadastrado",IF(AND($G1827&lt;&gt;"",COUNTIF(SUBCATEGORIAS_PLANO,$G1827)=0),"⚠ Subcategoria fora do plano de contas",IF(OR($Q1827="",N($Q1827)=0),"⚠ Valor previsto não informado",IF(AND(OR($X1827="Pago",$X1827="Recebido"),$D1827=""),"⚠ Status pago/recebido sem data",IF(AND($D1827&lt;&gt;"",N($R1827)=0),"⚠ Data de pagamento sem valor realizado",IF(AND(N($P1827)&gt;1,N($O1827)&gt;N($P1827)),"⚠ Nº da parcela maior que o total",IF(AND($C1827&lt;&gt;"",$B1827&lt;&gt;"",$C1827&lt;$B1827),"⚠ Vencimento anterior à competência","OK"))))))))</f>
        <v/>
      </c>
    </row>
    <row r="1828">
      <c r="A1828" s="14" t="n"/>
      <c r="B1828" s="36" t="n"/>
      <c r="C1828" s="36" t="n"/>
      <c r="D1828" s="36" t="n"/>
      <c r="E1828" s="14" t="n"/>
      <c r="F1828" s="29" t="n"/>
      <c r="G1828" s="29" t="n"/>
      <c r="H1828" s="29" t="n"/>
      <c r="I1828" s="29" t="n"/>
      <c r="J1828" s="29" t="n"/>
      <c r="K1828" s="14" t="n"/>
      <c r="L1828" s="29" t="n"/>
      <c r="M1828" s="14" t="n"/>
      <c r="N1828" s="29" t="n"/>
      <c r="O1828" s="13" t="n"/>
      <c r="P1828" s="13" t="n"/>
      <c r="Q1828" s="35" t="n"/>
      <c r="R1828" s="35" t="n"/>
      <c r="S1828" s="35" t="n"/>
      <c r="T1828" s="35" t="n"/>
      <c r="U1828" s="35" t="n"/>
      <c r="V1828" s="18">
        <f>IF(COUNTA($B1828:$R1828)=0,"",ROUND(N($R1828)+N($S1828)+N($T1828)-N($U1828),2))</f>
        <v/>
      </c>
      <c r="W1828" s="18">
        <f>IF(COUNTA($B1828:$R1828)=0,"",IF(OR($X1828="Pago",$X1828="Recebido",$X1828="Cancelado"),0,ROUND(N($Q1828)+N($S1828)+N($T1828)-N($U1828)-N($R1828),2)))</f>
        <v/>
      </c>
      <c r="X1828" s="14" t="n"/>
      <c r="Y1828" s="17">
        <f>IF(COUNTA($B1828:$R1828)=0,"",IF($X1828="Cancelado","Cancelado",IF(OR($X1828="Pago",$X1828="Recebido"),$X1828,IF(OR($X1828="Parcial",N($R1828)&gt;0),"Parcial",IF($C1828="","Sem vencimento",IF($C1828&lt;TODAY(),"Vencido",IF($C1828=TODAY(),"Vence hoje",IF($C1828&lt;=TODAY()+7,"Vence em 7 dias",IF($C1828&lt;=TODAY()+30,"Vence em 30 dias","Futuro")))))))))</f>
        <v/>
      </c>
      <c r="Z1828" s="24">
        <f>IF($B1828="","",MONTH($B1828))</f>
        <v/>
      </c>
      <c r="AA1828" s="24">
        <f>IF($B1828="","",YEAR($B1828))</f>
        <v/>
      </c>
      <c r="AB1828" s="24">
        <f>IF($B1828="","",ISOWEEKNUM($B1828))</f>
        <v/>
      </c>
      <c r="AC1828" s="17">
        <f>IF($B1828="","",CHOOSE(WEEKDAY($B1828,2),"Segunda","Terça","Quarta","Quinta","Sexta","Sábado","Domingo"))</f>
        <v/>
      </c>
      <c r="AD1828" s="17">
        <f>IF($B1828="","",TEXT($B1828,"MM/AAAA"))</f>
        <v/>
      </c>
      <c r="AE1828" s="18">
        <f>IF(COUNTA($B1828:$R1828)=0,"",IF($X1828="Cancelado",0,ROUND(N($Q1828)+N($S1828)+N($T1828)-N($U1828),2)))</f>
        <v/>
      </c>
      <c r="AF1828" s="9">
        <f>IF($G1828="","",IFERROR(INDEX(LINHAS_DRE_PLANO,MATCH($G1828,SUBCATEGORIAS_PLANO,0)),"Não classificado"))</f>
        <v/>
      </c>
      <c r="AG1828" s="17">
        <f>IF($G1828="","",IFERROR(INDEX(TIPOS_FLUXO_PLANO,MATCH($G1828,SUBCATEGORIAS_PLANO,0)),"Não classificado"))</f>
        <v/>
      </c>
      <c r="AH1828" s="9">
        <f>IF($G1828="","",IFERROR(INDEX(GRUPOS_PLANO,MATCH($G1828,SUBCATEGORIAS_PLANO,0)),"Não classificado"))</f>
        <v/>
      </c>
      <c r="AI1828" s="24">
        <f>IF(OR($C1828="",$X1828="Pago",$X1828="Recebido",$X1828="Cancelado"),"",$C1828-TODAY())</f>
        <v/>
      </c>
      <c r="AJ1828" s="24">
        <f>IF(OR($C1828="",$X1828="Pago",$X1828="Recebido",$X1828="Cancelado"),0,MAX(0,TODAY()-$C1828))</f>
        <v/>
      </c>
      <c r="AK1828" s="24">
        <f>IF($D1828="","",$D1828-$B1828)</f>
        <v/>
      </c>
      <c r="AL1828" s="18">
        <f>IF(OR($D1828="",$B1828=""),"",ROUND(N($R1828)*($D1828-$B1828),2))</f>
        <v/>
      </c>
      <c r="AM1828" s="17">
        <f>IF(AND($E1828="Saída",$W1828&gt;0,$C1828&lt;&gt;""),$C1828+ROW()/1000000,"")</f>
        <v/>
      </c>
      <c r="AN1828" s="17">
        <f>IF(AND($E1828="Entrada",$W1828&gt;0,$C1828&lt;&gt;""),$C1828+ROW()/1000000,"")</f>
        <v/>
      </c>
      <c r="AO1828" s="9">
        <f>IF(COUNTA($B1828:$R1828)=0,"",IF(AND($I1828&lt;&gt;"",COUNTIF(CLIENTES_NOMES,$I1828)+COUNTIF(CLIENTES_FANTASIA,$I1828)+COUNTIF(FORNECEDORES_NOMES,$I1828)+COUNTIF(FORNECEDORES_FANTASIA,$I1828)=0),"⚠ Cliente/Fornecedor não cadastrado",IF(AND($G1828&lt;&gt;"",COUNTIF(SUBCATEGORIAS_PLANO,$G1828)=0),"⚠ Subcategoria fora do plano de contas",IF(OR($Q1828="",N($Q1828)=0),"⚠ Valor previsto não informado",IF(AND(OR($X1828="Pago",$X1828="Recebido"),$D1828=""),"⚠ Status pago/recebido sem data",IF(AND($D1828&lt;&gt;"",N($R1828)=0),"⚠ Data de pagamento sem valor realizado",IF(AND(N($P1828)&gt;1,N($O1828)&gt;N($P1828)),"⚠ Nº da parcela maior que o total",IF(AND($C1828&lt;&gt;"",$B1828&lt;&gt;"",$C1828&lt;$B1828),"⚠ Vencimento anterior à competência","OK"))))))))</f>
        <v/>
      </c>
    </row>
    <row r="1829">
      <c r="A1829" s="14" t="n"/>
      <c r="B1829" s="36" t="n"/>
      <c r="C1829" s="36" t="n"/>
      <c r="D1829" s="36" t="n"/>
      <c r="E1829" s="14" t="n"/>
      <c r="F1829" s="29" t="n"/>
      <c r="G1829" s="29" t="n"/>
      <c r="H1829" s="29" t="n"/>
      <c r="I1829" s="29" t="n"/>
      <c r="J1829" s="29" t="n"/>
      <c r="K1829" s="14" t="n"/>
      <c r="L1829" s="29" t="n"/>
      <c r="M1829" s="14" t="n"/>
      <c r="N1829" s="29" t="n"/>
      <c r="O1829" s="13" t="n"/>
      <c r="P1829" s="13" t="n"/>
      <c r="Q1829" s="35" t="n"/>
      <c r="R1829" s="35" t="n"/>
      <c r="S1829" s="35" t="n"/>
      <c r="T1829" s="35" t="n"/>
      <c r="U1829" s="35" t="n"/>
      <c r="V1829" s="18">
        <f>IF(COUNTA($B1829:$R1829)=0,"",ROUND(N($R1829)+N($S1829)+N($T1829)-N($U1829),2))</f>
        <v/>
      </c>
      <c r="W1829" s="18">
        <f>IF(COUNTA($B1829:$R1829)=0,"",IF(OR($X1829="Pago",$X1829="Recebido",$X1829="Cancelado"),0,ROUND(N($Q1829)+N($S1829)+N($T1829)-N($U1829)-N($R1829),2)))</f>
        <v/>
      </c>
      <c r="X1829" s="14" t="n"/>
      <c r="Y1829" s="17">
        <f>IF(COUNTA($B1829:$R1829)=0,"",IF($X1829="Cancelado","Cancelado",IF(OR($X1829="Pago",$X1829="Recebido"),$X1829,IF(OR($X1829="Parcial",N($R1829)&gt;0),"Parcial",IF($C1829="","Sem vencimento",IF($C1829&lt;TODAY(),"Vencido",IF($C1829=TODAY(),"Vence hoje",IF($C1829&lt;=TODAY()+7,"Vence em 7 dias",IF($C1829&lt;=TODAY()+30,"Vence em 30 dias","Futuro")))))))))</f>
        <v/>
      </c>
      <c r="Z1829" s="24">
        <f>IF($B1829="","",MONTH($B1829))</f>
        <v/>
      </c>
      <c r="AA1829" s="24">
        <f>IF($B1829="","",YEAR($B1829))</f>
        <v/>
      </c>
      <c r="AB1829" s="24">
        <f>IF($B1829="","",ISOWEEKNUM($B1829))</f>
        <v/>
      </c>
      <c r="AC1829" s="17">
        <f>IF($B1829="","",CHOOSE(WEEKDAY($B1829,2),"Segunda","Terça","Quarta","Quinta","Sexta","Sábado","Domingo"))</f>
        <v/>
      </c>
      <c r="AD1829" s="17">
        <f>IF($B1829="","",TEXT($B1829,"MM/AAAA"))</f>
        <v/>
      </c>
      <c r="AE1829" s="18">
        <f>IF(COUNTA($B1829:$R1829)=0,"",IF($X1829="Cancelado",0,ROUND(N($Q1829)+N($S1829)+N($T1829)-N($U1829),2)))</f>
        <v/>
      </c>
      <c r="AF1829" s="9">
        <f>IF($G1829="","",IFERROR(INDEX(LINHAS_DRE_PLANO,MATCH($G1829,SUBCATEGORIAS_PLANO,0)),"Não classificado"))</f>
        <v/>
      </c>
      <c r="AG1829" s="17">
        <f>IF($G1829="","",IFERROR(INDEX(TIPOS_FLUXO_PLANO,MATCH($G1829,SUBCATEGORIAS_PLANO,0)),"Não classificado"))</f>
        <v/>
      </c>
      <c r="AH1829" s="9">
        <f>IF($G1829="","",IFERROR(INDEX(GRUPOS_PLANO,MATCH($G1829,SUBCATEGORIAS_PLANO,0)),"Não classificado"))</f>
        <v/>
      </c>
      <c r="AI1829" s="24">
        <f>IF(OR($C1829="",$X1829="Pago",$X1829="Recebido",$X1829="Cancelado"),"",$C1829-TODAY())</f>
        <v/>
      </c>
      <c r="AJ1829" s="24">
        <f>IF(OR($C1829="",$X1829="Pago",$X1829="Recebido",$X1829="Cancelado"),0,MAX(0,TODAY()-$C1829))</f>
        <v/>
      </c>
      <c r="AK1829" s="24">
        <f>IF($D1829="","",$D1829-$B1829)</f>
        <v/>
      </c>
      <c r="AL1829" s="18">
        <f>IF(OR($D1829="",$B1829=""),"",ROUND(N($R1829)*($D1829-$B1829),2))</f>
        <v/>
      </c>
      <c r="AM1829" s="17">
        <f>IF(AND($E1829="Saída",$W1829&gt;0,$C1829&lt;&gt;""),$C1829+ROW()/1000000,"")</f>
        <v/>
      </c>
      <c r="AN1829" s="17">
        <f>IF(AND($E1829="Entrada",$W1829&gt;0,$C1829&lt;&gt;""),$C1829+ROW()/1000000,"")</f>
        <v/>
      </c>
      <c r="AO1829" s="9">
        <f>IF(COUNTA($B1829:$R1829)=0,"",IF(AND($I1829&lt;&gt;"",COUNTIF(CLIENTES_NOMES,$I1829)+COUNTIF(CLIENTES_FANTASIA,$I1829)+COUNTIF(FORNECEDORES_NOMES,$I1829)+COUNTIF(FORNECEDORES_FANTASIA,$I1829)=0),"⚠ Cliente/Fornecedor não cadastrado",IF(AND($G1829&lt;&gt;"",COUNTIF(SUBCATEGORIAS_PLANO,$G1829)=0),"⚠ Subcategoria fora do plano de contas",IF(OR($Q1829="",N($Q1829)=0),"⚠ Valor previsto não informado",IF(AND(OR($X1829="Pago",$X1829="Recebido"),$D1829=""),"⚠ Status pago/recebido sem data",IF(AND($D1829&lt;&gt;"",N($R1829)=0),"⚠ Data de pagamento sem valor realizado",IF(AND(N($P1829)&gt;1,N($O1829)&gt;N($P1829)),"⚠ Nº da parcela maior que o total",IF(AND($C1829&lt;&gt;"",$B1829&lt;&gt;"",$C1829&lt;$B1829),"⚠ Vencimento anterior à competência","OK"))))))))</f>
        <v/>
      </c>
    </row>
    <row r="1830">
      <c r="A1830" s="14" t="n"/>
      <c r="B1830" s="36" t="n"/>
      <c r="C1830" s="36" t="n"/>
      <c r="D1830" s="36" t="n"/>
      <c r="E1830" s="14" t="n"/>
      <c r="F1830" s="29" t="n"/>
      <c r="G1830" s="29" t="n"/>
      <c r="H1830" s="29" t="n"/>
      <c r="I1830" s="29" t="n"/>
      <c r="J1830" s="29" t="n"/>
      <c r="K1830" s="14" t="n"/>
      <c r="L1830" s="29" t="n"/>
      <c r="M1830" s="14" t="n"/>
      <c r="N1830" s="29" t="n"/>
      <c r="O1830" s="13" t="n"/>
      <c r="P1830" s="13" t="n"/>
      <c r="Q1830" s="35" t="n"/>
      <c r="R1830" s="35" t="n"/>
      <c r="S1830" s="35" t="n"/>
      <c r="T1830" s="35" t="n"/>
      <c r="U1830" s="35" t="n"/>
      <c r="V1830" s="18">
        <f>IF(COUNTA($B1830:$R1830)=0,"",ROUND(N($R1830)+N($S1830)+N($T1830)-N($U1830),2))</f>
        <v/>
      </c>
      <c r="W1830" s="18">
        <f>IF(COUNTA($B1830:$R1830)=0,"",IF(OR($X1830="Pago",$X1830="Recebido",$X1830="Cancelado"),0,ROUND(N($Q1830)+N($S1830)+N($T1830)-N($U1830)-N($R1830),2)))</f>
        <v/>
      </c>
      <c r="X1830" s="14" t="n"/>
      <c r="Y1830" s="17">
        <f>IF(COUNTA($B1830:$R1830)=0,"",IF($X1830="Cancelado","Cancelado",IF(OR($X1830="Pago",$X1830="Recebido"),$X1830,IF(OR($X1830="Parcial",N($R1830)&gt;0),"Parcial",IF($C1830="","Sem vencimento",IF($C1830&lt;TODAY(),"Vencido",IF($C1830=TODAY(),"Vence hoje",IF($C1830&lt;=TODAY()+7,"Vence em 7 dias",IF($C1830&lt;=TODAY()+30,"Vence em 30 dias","Futuro")))))))))</f>
        <v/>
      </c>
      <c r="Z1830" s="24">
        <f>IF($B1830="","",MONTH($B1830))</f>
        <v/>
      </c>
      <c r="AA1830" s="24">
        <f>IF($B1830="","",YEAR($B1830))</f>
        <v/>
      </c>
      <c r="AB1830" s="24">
        <f>IF($B1830="","",ISOWEEKNUM($B1830))</f>
        <v/>
      </c>
      <c r="AC1830" s="17">
        <f>IF($B1830="","",CHOOSE(WEEKDAY($B1830,2),"Segunda","Terça","Quarta","Quinta","Sexta","Sábado","Domingo"))</f>
        <v/>
      </c>
      <c r="AD1830" s="17">
        <f>IF($B1830="","",TEXT($B1830,"MM/AAAA"))</f>
        <v/>
      </c>
      <c r="AE1830" s="18">
        <f>IF(COUNTA($B1830:$R1830)=0,"",IF($X1830="Cancelado",0,ROUND(N($Q1830)+N($S1830)+N($T1830)-N($U1830),2)))</f>
        <v/>
      </c>
      <c r="AF1830" s="9">
        <f>IF($G1830="","",IFERROR(INDEX(LINHAS_DRE_PLANO,MATCH($G1830,SUBCATEGORIAS_PLANO,0)),"Não classificado"))</f>
        <v/>
      </c>
      <c r="AG1830" s="17">
        <f>IF($G1830="","",IFERROR(INDEX(TIPOS_FLUXO_PLANO,MATCH($G1830,SUBCATEGORIAS_PLANO,0)),"Não classificado"))</f>
        <v/>
      </c>
      <c r="AH1830" s="9">
        <f>IF($G1830="","",IFERROR(INDEX(GRUPOS_PLANO,MATCH($G1830,SUBCATEGORIAS_PLANO,0)),"Não classificado"))</f>
        <v/>
      </c>
      <c r="AI1830" s="24">
        <f>IF(OR($C1830="",$X1830="Pago",$X1830="Recebido",$X1830="Cancelado"),"",$C1830-TODAY())</f>
        <v/>
      </c>
      <c r="AJ1830" s="24">
        <f>IF(OR($C1830="",$X1830="Pago",$X1830="Recebido",$X1830="Cancelado"),0,MAX(0,TODAY()-$C1830))</f>
        <v/>
      </c>
      <c r="AK1830" s="24">
        <f>IF($D1830="","",$D1830-$B1830)</f>
        <v/>
      </c>
      <c r="AL1830" s="18">
        <f>IF(OR($D1830="",$B1830=""),"",ROUND(N($R1830)*($D1830-$B1830),2))</f>
        <v/>
      </c>
      <c r="AM1830" s="17">
        <f>IF(AND($E1830="Saída",$W1830&gt;0,$C1830&lt;&gt;""),$C1830+ROW()/1000000,"")</f>
        <v/>
      </c>
      <c r="AN1830" s="17">
        <f>IF(AND($E1830="Entrada",$W1830&gt;0,$C1830&lt;&gt;""),$C1830+ROW()/1000000,"")</f>
        <v/>
      </c>
      <c r="AO1830" s="9">
        <f>IF(COUNTA($B1830:$R1830)=0,"",IF(AND($I1830&lt;&gt;"",COUNTIF(CLIENTES_NOMES,$I1830)+COUNTIF(CLIENTES_FANTASIA,$I1830)+COUNTIF(FORNECEDORES_NOMES,$I1830)+COUNTIF(FORNECEDORES_FANTASIA,$I1830)=0),"⚠ Cliente/Fornecedor não cadastrado",IF(AND($G1830&lt;&gt;"",COUNTIF(SUBCATEGORIAS_PLANO,$G1830)=0),"⚠ Subcategoria fora do plano de contas",IF(OR($Q1830="",N($Q1830)=0),"⚠ Valor previsto não informado",IF(AND(OR($X1830="Pago",$X1830="Recebido"),$D1830=""),"⚠ Status pago/recebido sem data",IF(AND($D1830&lt;&gt;"",N($R1830)=0),"⚠ Data de pagamento sem valor realizado",IF(AND(N($P1830)&gt;1,N($O1830)&gt;N($P1830)),"⚠ Nº da parcela maior que o total",IF(AND($C1830&lt;&gt;"",$B1830&lt;&gt;"",$C1830&lt;$B1830),"⚠ Vencimento anterior à competência","OK"))))))))</f>
        <v/>
      </c>
    </row>
    <row r="1831">
      <c r="A1831" s="14" t="n"/>
      <c r="B1831" s="36" t="n"/>
      <c r="C1831" s="36" t="n"/>
      <c r="D1831" s="36" t="n"/>
      <c r="E1831" s="14" t="n"/>
      <c r="F1831" s="29" t="n"/>
      <c r="G1831" s="29" t="n"/>
      <c r="H1831" s="29" t="n"/>
      <c r="I1831" s="29" t="n"/>
      <c r="J1831" s="29" t="n"/>
      <c r="K1831" s="14" t="n"/>
      <c r="L1831" s="29" t="n"/>
      <c r="M1831" s="14" t="n"/>
      <c r="N1831" s="29" t="n"/>
      <c r="O1831" s="13" t="n"/>
      <c r="P1831" s="13" t="n"/>
      <c r="Q1831" s="35" t="n"/>
      <c r="R1831" s="35" t="n"/>
      <c r="S1831" s="35" t="n"/>
      <c r="T1831" s="35" t="n"/>
      <c r="U1831" s="35" t="n"/>
      <c r="V1831" s="18">
        <f>IF(COUNTA($B1831:$R1831)=0,"",ROUND(N($R1831)+N($S1831)+N($T1831)-N($U1831),2))</f>
        <v/>
      </c>
      <c r="W1831" s="18">
        <f>IF(COUNTA($B1831:$R1831)=0,"",IF(OR($X1831="Pago",$X1831="Recebido",$X1831="Cancelado"),0,ROUND(N($Q1831)+N($S1831)+N($T1831)-N($U1831)-N($R1831),2)))</f>
        <v/>
      </c>
      <c r="X1831" s="14" t="n"/>
      <c r="Y1831" s="17">
        <f>IF(COUNTA($B1831:$R1831)=0,"",IF($X1831="Cancelado","Cancelado",IF(OR($X1831="Pago",$X1831="Recebido"),$X1831,IF(OR($X1831="Parcial",N($R1831)&gt;0),"Parcial",IF($C1831="","Sem vencimento",IF($C1831&lt;TODAY(),"Vencido",IF($C1831=TODAY(),"Vence hoje",IF($C1831&lt;=TODAY()+7,"Vence em 7 dias",IF($C1831&lt;=TODAY()+30,"Vence em 30 dias","Futuro")))))))))</f>
        <v/>
      </c>
      <c r="Z1831" s="24">
        <f>IF($B1831="","",MONTH($B1831))</f>
        <v/>
      </c>
      <c r="AA1831" s="24">
        <f>IF($B1831="","",YEAR($B1831))</f>
        <v/>
      </c>
      <c r="AB1831" s="24">
        <f>IF($B1831="","",ISOWEEKNUM($B1831))</f>
        <v/>
      </c>
      <c r="AC1831" s="17">
        <f>IF($B1831="","",CHOOSE(WEEKDAY($B1831,2),"Segunda","Terça","Quarta","Quinta","Sexta","Sábado","Domingo"))</f>
        <v/>
      </c>
      <c r="AD1831" s="17">
        <f>IF($B1831="","",TEXT($B1831,"MM/AAAA"))</f>
        <v/>
      </c>
      <c r="AE1831" s="18">
        <f>IF(COUNTA($B1831:$R1831)=0,"",IF($X1831="Cancelado",0,ROUND(N($Q1831)+N($S1831)+N($T1831)-N($U1831),2)))</f>
        <v/>
      </c>
      <c r="AF1831" s="9">
        <f>IF($G1831="","",IFERROR(INDEX(LINHAS_DRE_PLANO,MATCH($G1831,SUBCATEGORIAS_PLANO,0)),"Não classificado"))</f>
        <v/>
      </c>
      <c r="AG1831" s="17">
        <f>IF($G1831="","",IFERROR(INDEX(TIPOS_FLUXO_PLANO,MATCH($G1831,SUBCATEGORIAS_PLANO,0)),"Não classificado"))</f>
        <v/>
      </c>
      <c r="AH1831" s="9">
        <f>IF($G1831="","",IFERROR(INDEX(GRUPOS_PLANO,MATCH($G1831,SUBCATEGORIAS_PLANO,0)),"Não classificado"))</f>
        <v/>
      </c>
      <c r="AI1831" s="24">
        <f>IF(OR($C1831="",$X1831="Pago",$X1831="Recebido",$X1831="Cancelado"),"",$C1831-TODAY())</f>
        <v/>
      </c>
      <c r="AJ1831" s="24">
        <f>IF(OR($C1831="",$X1831="Pago",$X1831="Recebido",$X1831="Cancelado"),0,MAX(0,TODAY()-$C1831))</f>
        <v/>
      </c>
      <c r="AK1831" s="24">
        <f>IF($D1831="","",$D1831-$B1831)</f>
        <v/>
      </c>
      <c r="AL1831" s="18">
        <f>IF(OR($D1831="",$B1831=""),"",ROUND(N($R1831)*($D1831-$B1831),2))</f>
        <v/>
      </c>
      <c r="AM1831" s="17">
        <f>IF(AND($E1831="Saída",$W1831&gt;0,$C1831&lt;&gt;""),$C1831+ROW()/1000000,"")</f>
        <v/>
      </c>
      <c r="AN1831" s="17">
        <f>IF(AND($E1831="Entrada",$W1831&gt;0,$C1831&lt;&gt;""),$C1831+ROW()/1000000,"")</f>
        <v/>
      </c>
      <c r="AO1831" s="9">
        <f>IF(COUNTA($B1831:$R1831)=0,"",IF(AND($I1831&lt;&gt;"",COUNTIF(CLIENTES_NOMES,$I1831)+COUNTIF(CLIENTES_FANTASIA,$I1831)+COUNTIF(FORNECEDORES_NOMES,$I1831)+COUNTIF(FORNECEDORES_FANTASIA,$I1831)=0),"⚠ Cliente/Fornecedor não cadastrado",IF(AND($G1831&lt;&gt;"",COUNTIF(SUBCATEGORIAS_PLANO,$G1831)=0),"⚠ Subcategoria fora do plano de contas",IF(OR($Q1831="",N($Q1831)=0),"⚠ Valor previsto não informado",IF(AND(OR($X1831="Pago",$X1831="Recebido"),$D1831=""),"⚠ Status pago/recebido sem data",IF(AND($D1831&lt;&gt;"",N($R1831)=0),"⚠ Data de pagamento sem valor realizado",IF(AND(N($P1831)&gt;1,N($O1831)&gt;N($P1831)),"⚠ Nº da parcela maior que o total",IF(AND($C1831&lt;&gt;"",$B1831&lt;&gt;"",$C1831&lt;$B1831),"⚠ Vencimento anterior à competência","OK"))))))))</f>
        <v/>
      </c>
    </row>
    <row r="1832">
      <c r="A1832" s="14" t="n"/>
      <c r="B1832" s="36" t="n"/>
      <c r="C1832" s="36" t="n"/>
      <c r="D1832" s="36" t="n"/>
      <c r="E1832" s="14" t="n"/>
      <c r="F1832" s="29" t="n"/>
      <c r="G1832" s="29" t="n"/>
      <c r="H1832" s="29" t="n"/>
      <c r="I1832" s="29" t="n"/>
      <c r="J1832" s="29" t="n"/>
      <c r="K1832" s="14" t="n"/>
      <c r="L1832" s="29" t="n"/>
      <c r="M1832" s="14" t="n"/>
      <c r="N1832" s="29" t="n"/>
      <c r="O1832" s="13" t="n"/>
      <c r="P1832" s="13" t="n"/>
      <c r="Q1832" s="35" t="n"/>
      <c r="R1832" s="35" t="n"/>
      <c r="S1832" s="35" t="n"/>
      <c r="T1832" s="35" t="n"/>
      <c r="U1832" s="35" t="n"/>
      <c r="V1832" s="18">
        <f>IF(COUNTA($B1832:$R1832)=0,"",ROUND(N($R1832)+N($S1832)+N($T1832)-N($U1832),2))</f>
        <v/>
      </c>
      <c r="W1832" s="18">
        <f>IF(COUNTA($B1832:$R1832)=0,"",IF(OR($X1832="Pago",$X1832="Recebido",$X1832="Cancelado"),0,ROUND(N($Q1832)+N($S1832)+N($T1832)-N($U1832)-N($R1832),2)))</f>
        <v/>
      </c>
      <c r="X1832" s="14" t="n"/>
      <c r="Y1832" s="17">
        <f>IF(COUNTA($B1832:$R1832)=0,"",IF($X1832="Cancelado","Cancelado",IF(OR($X1832="Pago",$X1832="Recebido"),$X1832,IF(OR($X1832="Parcial",N($R1832)&gt;0),"Parcial",IF($C1832="","Sem vencimento",IF($C1832&lt;TODAY(),"Vencido",IF($C1832=TODAY(),"Vence hoje",IF($C1832&lt;=TODAY()+7,"Vence em 7 dias",IF($C1832&lt;=TODAY()+30,"Vence em 30 dias","Futuro")))))))))</f>
        <v/>
      </c>
      <c r="Z1832" s="24">
        <f>IF($B1832="","",MONTH($B1832))</f>
        <v/>
      </c>
      <c r="AA1832" s="24">
        <f>IF($B1832="","",YEAR($B1832))</f>
        <v/>
      </c>
      <c r="AB1832" s="24">
        <f>IF($B1832="","",ISOWEEKNUM($B1832))</f>
        <v/>
      </c>
      <c r="AC1832" s="17">
        <f>IF($B1832="","",CHOOSE(WEEKDAY($B1832,2),"Segunda","Terça","Quarta","Quinta","Sexta","Sábado","Domingo"))</f>
        <v/>
      </c>
      <c r="AD1832" s="17">
        <f>IF($B1832="","",TEXT($B1832,"MM/AAAA"))</f>
        <v/>
      </c>
      <c r="AE1832" s="18">
        <f>IF(COUNTA($B1832:$R1832)=0,"",IF($X1832="Cancelado",0,ROUND(N($Q1832)+N($S1832)+N($T1832)-N($U1832),2)))</f>
        <v/>
      </c>
      <c r="AF1832" s="9">
        <f>IF($G1832="","",IFERROR(INDEX(LINHAS_DRE_PLANO,MATCH($G1832,SUBCATEGORIAS_PLANO,0)),"Não classificado"))</f>
        <v/>
      </c>
      <c r="AG1832" s="17">
        <f>IF($G1832="","",IFERROR(INDEX(TIPOS_FLUXO_PLANO,MATCH($G1832,SUBCATEGORIAS_PLANO,0)),"Não classificado"))</f>
        <v/>
      </c>
      <c r="AH1832" s="9">
        <f>IF($G1832="","",IFERROR(INDEX(GRUPOS_PLANO,MATCH($G1832,SUBCATEGORIAS_PLANO,0)),"Não classificado"))</f>
        <v/>
      </c>
      <c r="AI1832" s="24">
        <f>IF(OR($C1832="",$X1832="Pago",$X1832="Recebido",$X1832="Cancelado"),"",$C1832-TODAY())</f>
        <v/>
      </c>
      <c r="AJ1832" s="24">
        <f>IF(OR($C1832="",$X1832="Pago",$X1832="Recebido",$X1832="Cancelado"),0,MAX(0,TODAY()-$C1832))</f>
        <v/>
      </c>
      <c r="AK1832" s="24">
        <f>IF($D1832="","",$D1832-$B1832)</f>
        <v/>
      </c>
      <c r="AL1832" s="18">
        <f>IF(OR($D1832="",$B1832=""),"",ROUND(N($R1832)*($D1832-$B1832),2))</f>
        <v/>
      </c>
      <c r="AM1832" s="17">
        <f>IF(AND($E1832="Saída",$W1832&gt;0,$C1832&lt;&gt;""),$C1832+ROW()/1000000,"")</f>
        <v/>
      </c>
      <c r="AN1832" s="17">
        <f>IF(AND($E1832="Entrada",$W1832&gt;0,$C1832&lt;&gt;""),$C1832+ROW()/1000000,"")</f>
        <v/>
      </c>
      <c r="AO1832" s="9">
        <f>IF(COUNTA($B1832:$R1832)=0,"",IF(AND($I1832&lt;&gt;"",COUNTIF(CLIENTES_NOMES,$I1832)+COUNTIF(CLIENTES_FANTASIA,$I1832)+COUNTIF(FORNECEDORES_NOMES,$I1832)+COUNTIF(FORNECEDORES_FANTASIA,$I1832)=0),"⚠ Cliente/Fornecedor não cadastrado",IF(AND($G1832&lt;&gt;"",COUNTIF(SUBCATEGORIAS_PLANO,$G1832)=0),"⚠ Subcategoria fora do plano de contas",IF(OR($Q1832="",N($Q1832)=0),"⚠ Valor previsto não informado",IF(AND(OR($X1832="Pago",$X1832="Recebido"),$D1832=""),"⚠ Status pago/recebido sem data",IF(AND($D1832&lt;&gt;"",N($R1832)=0),"⚠ Data de pagamento sem valor realizado",IF(AND(N($P1832)&gt;1,N($O1832)&gt;N($P1832)),"⚠ Nº da parcela maior que o total",IF(AND($C1832&lt;&gt;"",$B1832&lt;&gt;"",$C1832&lt;$B1832),"⚠ Vencimento anterior à competência","OK"))))))))</f>
        <v/>
      </c>
    </row>
    <row r="1833">
      <c r="A1833" s="14" t="n"/>
      <c r="B1833" s="36" t="n"/>
      <c r="C1833" s="36" t="n"/>
      <c r="D1833" s="36" t="n"/>
      <c r="E1833" s="14" t="n"/>
      <c r="F1833" s="29" t="n"/>
      <c r="G1833" s="29" t="n"/>
      <c r="H1833" s="29" t="n"/>
      <c r="I1833" s="29" t="n"/>
      <c r="J1833" s="29" t="n"/>
      <c r="K1833" s="14" t="n"/>
      <c r="L1833" s="29" t="n"/>
      <c r="M1833" s="14" t="n"/>
      <c r="N1833" s="29" t="n"/>
      <c r="O1833" s="13" t="n"/>
      <c r="P1833" s="13" t="n"/>
      <c r="Q1833" s="35" t="n"/>
      <c r="R1833" s="35" t="n"/>
      <c r="S1833" s="35" t="n"/>
      <c r="T1833" s="35" t="n"/>
      <c r="U1833" s="35" t="n"/>
      <c r="V1833" s="18">
        <f>IF(COUNTA($B1833:$R1833)=0,"",ROUND(N($R1833)+N($S1833)+N($T1833)-N($U1833),2))</f>
        <v/>
      </c>
      <c r="W1833" s="18">
        <f>IF(COUNTA($B1833:$R1833)=0,"",IF(OR($X1833="Pago",$X1833="Recebido",$X1833="Cancelado"),0,ROUND(N($Q1833)+N($S1833)+N($T1833)-N($U1833)-N($R1833),2)))</f>
        <v/>
      </c>
      <c r="X1833" s="14" t="n"/>
      <c r="Y1833" s="17">
        <f>IF(COUNTA($B1833:$R1833)=0,"",IF($X1833="Cancelado","Cancelado",IF(OR($X1833="Pago",$X1833="Recebido"),$X1833,IF(OR($X1833="Parcial",N($R1833)&gt;0),"Parcial",IF($C1833="","Sem vencimento",IF($C1833&lt;TODAY(),"Vencido",IF($C1833=TODAY(),"Vence hoje",IF($C1833&lt;=TODAY()+7,"Vence em 7 dias",IF($C1833&lt;=TODAY()+30,"Vence em 30 dias","Futuro")))))))))</f>
        <v/>
      </c>
      <c r="Z1833" s="24">
        <f>IF($B1833="","",MONTH($B1833))</f>
        <v/>
      </c>
      <c r="AA1833" s="24">
        <f>IF($B1833="","",YEAR($B1833))</f>
        <v/>
      </c>
      <c r="AB1833" s="24">
        <f>IF($B1833="","",ISOWEEKNUM($B1833))</f>
        <v/>
      </c>
      <c r="AC1833" s="17">
        <f>IF($B1833="","",CHOOSE(WEEKDAY($B1833,2),"Segunda","Terça","Quarta","Quinta","Sexta","Sábado","Domingo"))</f>
        <v/>
      </c>
      <c r="AD1833" s="17">
        <f>IF($B1833="","",TEXT($B1833,"MM/AAAA"))</f>
        <v/>
      </c>
      <c r="AE1833" s="18">
        <f>IF(COUNTA($B1833:$R1833)=0,"",IF($X1833="Cancelado",0,ROUND(N($Q1833)+N($S1833)+N($T1833)-N($U1833),2)))</f>
        <v/>
      </c>
      <c r="AF1833" s="9">
        <f>IF($G1833="","",IFERROR(INDEX(LINHAS_DRE_PLANO,MATCH($G1833,SUBCATEGORIAS_PLANO,0)),"Não classificado"))</f>
        <v/>
      </c>
      <c r="AG1833" s="17">
        <f>IF($G1833="","",IFERROR(INDEX(TIPOS_FLUXO_PLANO,MATCH($G1833,SUBCATEGORIAS_PLANO,0)),"Não classificado"))</f>
        <v/>
      </c>
      <c r="AH1833" s="9">
        <f>IF($G1833="","",IFERROR(INDEX(GRUPOS_PLANO,MATCH($G1833,SUBCATEGORIAS_PLANO,0)),"Não classificado"))</f>
        <v/>
      </c>
      <c r="AI1833" s="24">
        <f>IF(OR($C1833="",$X1833="Pago",$X1833="Recebido",$X1833="Cancelado"),"",$C1833-TODAY())</f>
        <v/>
      </c>
      <c r="AJ1833" s="24">
        <f>IF(OR($C1833="",$X1833="Pago",$X1833="Recebido",$X1833="Cancelado"),0,MAX(0,TODAY()-$C1833))</f>
        <v/>
      </c>
      <c r="AK1833" s="24">
        <f>IF($D1833="","",$D1833-$B1833)</f>
        <v/>
      </c>
      <c r="AL1833" s="18">
        <f>IF(OR($D1833="",$B1833=""),"",ROUND(N($R1833)*($D1833-$B1833),2))</f>
        <v/>
      </c>
      <c r="AM1833" s="17">
        <f>IF(AND($E1833="Saída",$W1833&gt;0,$C1833&lt;&gt;""),$C1833+ROW()/1000000,"")</f>
        <v/>
      </c>
      <c r="AN1833" s="17">
        <f>IF(AND($E1833="Entrada",$W1833&gt;0,$C1833&lt;&gt;""),$C1833+ROW()/1000000,"")</f>
        <v/>
      </c>
      <c r="AO1833" s="9">
        <f>IF(COUNTA($B1833:$R1833)=0,"",IF(AND($I1833&lt;&gt;"",COUNTIF(CLIENTES_NOMES,$I1833)+COUNTIF(CLIENTES_FANTASIA,$I1833)+COUNTIF(FORNECEDORES_NOMES,$I1833)+COUNTIF(FORNECEDORES_FANTASIA,$I1833)=0),"⚠ Cliente/Fornecedor não cadastrado",IF(AND($G1833&lt;&gt;"",COUNTIF(SUBCATEGORIAS_PLANO,$G1833)=0),"⚠ Subcategoria fora do plano de contas",IF(OR($Q1833="",N($Q1833)=0),"⚠ Valor previsto não informado",IF(AND(OR($X1833="Pago",$X1833="Recebido"),$D1833=""),"⚠ Status pago/recebido sem data",IF(AND($D1833&lt;&gt;"",N($R1833)=0),"⚠ Data de pagamento sem valor realizado",IF(AND(N($P1833)&gt;1,N($O1833)&gt;N($P1833)),"⚠ Nº da parcela maior que o total",IF(AND($C1833&lt;&gt;"",$B1833&lt;&gt;"",$C1833&lt;$B1833),"⚠ Vencimento anterior à competência","OK"))))))))</f>
        <v/>
      </c>
    </row>
    <row r="1834">
      <c r="A1834" s="14" t="n"/>
      <c r="B1834" s="36" t="n"/>
      <c r="C1834" s="36" t="n"/>
      <c r="D1834" s="36" t="n"/>
      <c r="E1834" s="14" t="n"/>
      <c r="F1834" s="29" t="n"/>
      <c r="G1834" s="29" t="n"/>
      <c r="H1834" s="29" t="n"/>
      <c r="I1834" s="29" t="n"/>
      <c r="J1834" s="29" t="n"/>
      <c r="K1834" s="14" t="n"/>
      <c r="L1834" s="29" t="n"/>
      <c r="M1834" s="14" t="n"/>
      <c r="N1834" s="29" t="n"/>
      <c r="O1834" s="13" t="n"/>
      <c r="P1834" s="13" t="n"/>
      <c r="Q1834" s="35" t="n"/>
      <c r="R1834" s="35" t="n"/>
      <c r="S1834" s="35" t="n"/>
      <c r="T1834" s="35" t="n"/>
      <c r="U1834" s="35" t="n"/>
      <c r="V1834" s="18">
        <f>IF(COUNTA($B1834:$R1834)=0,"",ROUND(N($R1834)+N($S1834)+N($T1834)-N($U1834),2))</f>
        <v/>
      </c>
      <c r="W1834" s="18">
        <f>IF(COUNTA($B1834:$R1834)=0,"",IF(OR($X1834="Pago",$X1834="Recebido",$X1834="Cancelado"),0,ROUND(N($Q1834)+N($S1834)+N($T1834)-N($U1834)-N($R1834),2)))</f>
        <v/>
      </c>
      <c r="X1834" s="14" t="n"/>
      <c r="Y1834" s="17">
        <f>IF(COUNTA($B1834:$R1834)=0,"",IF($X1834="Cancelado","Cancelado",IF(OR($X1834="Pago",$X1834="Recebido"),$X1834,IF(OR($X1834="Parcial",N($R1834)&gt;0),"Parcial",IF($C1834="","Sem vencimento",IF($C1834&lt;TODAY(),"Vencido",IF($C1834=TODAY(),"Vence hoje",IF($C1834&lt;=TODAY()+7,"Vence em 7 dias",IF($C1834&lt;=TODAY()+30,"Vence em 30 dias","Futuro")))))))))</f>
        <v/>
      </c>
      <c r="Z1834" s="24">
        <f>IF($B1834="","",MONTH($B1834))</f>
        <v/>
      </c>
      <c r="AA1834" s="24">
        <f>IF($B1834="","",YEAR($B1834))</f>
        <v/>
      </c>
      <c r="AB1834" s="24">
        <f>IF($B1834="","",ISOWEEKNUM($B1834))</f>
        <v/>
      </c>
      <c r="AC1834" s="17">
        <f>IF($B1834="","",CHOOSE(WEEKDAY($B1834,2),"Segunda","Terça","Quarta","Quinta","Sexta","Sábado","Domingo"))</f>
        <v/>
      </c>
      <c r="AD1834" s="17">
        <f>IF($B1834="","",TEXT($B1834,"MM/AAAA"))</f>
        <v/>
      </c>
      <c r="AE1834" s="18">
        <f>IF(COUNTA($B1834:$R1834)=0,"",IF($X1834="Cancelado",0,ROUND(N($Q1834)+N($S1834)+N($T1834)-N($U1834),2)))</f>
        <v/>
      </c>
      <c r="AF1834" s="9">
        <f>IF($G1834="","",IFERROR(INDEX(LINHAS_DRE_PLANO,MATCH($G1834,SUBCATEGORIAS_PLANO,0)),"Não classificado"))</f>
        <v/>
      </c>
      <c r="AG1834" s="17">
        <f>IF($G1834="","",IFERROR(INDEX(TIPOS_FLUXO_PLANO,MATCH($G1834,SUBCATEGORIAS_PLANO,0)),"Não classificado"))</f>
        <v/>
      </c>
      <c r="AH1834" s="9">
        <f>IF($G1834="","",IFERROR(INDEX(GRUPOS_PLANO,MATCH($G1834,SUBCATEGORIAS_PLANO,0)),"Não classificado"))</f>
        <v/>
      </c>
      <c r="AI1834" s="24">
        <f>IF(OR($C1834="",$X1834="Pago",$X1834="Recebido",$X1834="Cancelado"),"",$C1834-TODAY())</f>
        <v/>
      </c>
      <c r="AJ1834" s="24">
        <f>IF(OR($C1834="",$X1834="Pago",$X1834="Recebido",$X1834="Cancelado"),0,MAX(0,TODAY()-$C1834))</f>
        <v/>
      </c>
      <c r="AK1834" s="24">
        <f>IF($D1834="","",$D1834-$B1834)</f>
        <v/>
      </c>
      <c r="AL1834" s="18">
        <f>IF(OR($D1834="",$B1834=""),"",ROUND(N($R1834)*($D1834-$B1834),2))</f>
        <v/>
      </c>
      <c r="AM1834" s="17">
        <f>IF(AND($E1834="Saída",$W1834&gt;0,$C1834&lt;&gt;""),$C1834+ROW()/1000000,"")</f>
        <v/>
      </c>
      <c r="AN1834" s="17">
        <f>IF(AND($E1834="Entrada",$W1834&gt;0,$C1834&lt;&gt;""),$C1834+ROW()/1000000,"")</f>
        <v/>
      </c>
      <c r="AO1834" s="9">
        <f>IF(COUNTA($B1834:$R1834)=0,"",IF(AND($I1834&lt;&gt;"",COUNTIF(CLIENTES_NOMES,$I1834)+COUNTIF(CLIENTES_FANTASIA,$I1834)+COUNTIF(FORNECEDORES_NOMES,$I1834)+COUNTIF(FORNECEDORES_FANTASIA,$I1834)=0),"⚠ Cliente/Fornecedor não cadastrado",IF(AND($G1834&lt;&gt;"",COUNTIF(SUBCATEGORIAS_PLANO,$G1834)=0),"⚠ Subcategoria fora do plano de contas",IF(OR($Q1834="",N($Q1834)=0),"⚠ Valor previsto não informado",IF(AND(OR($X1834="Pago",$X1834="Recebido"),$D1834=""),"⚠ Status pago/recebido sem data",IF(AND($D1834&lt;&gt;"",N($R1834)=0),"⚠ Data de pagamento sem valor realizado",IF(AND(N($P1834)&gt;1,N($O1834)&gt;N($P1834)),"⚠ Nº da parcela maior que o total",IF(AND($C1834&lt;&gt;"",$B1834&lt;&gt;"",$C1834&lt;$B1834),"⚠ Vencimento anterior à competência","OK"))))))))</f>
        <v/>
      </c>
    </row>
    <row r="1835">
      <c r="A1835" s="14" t="n"/>
      <c r="B1835" s="36" t="n"/>
      <c r="C1835" s="36" t="n"/>
      <c r="D1835" s="36" t="n"/>
      <c r="E1835" s="14" t="n"/>
      <c r="F1835" s="29" t="n"/>
      <c r="G1835" s="29" t="n"/>
      <c r="H1835" s="29" t="n"/>
      <c r="I1835" s="29" t="n"/>
      <c r="J1835" s="29" t="n"/>
      <c r="K1835" s="14" t="n"/>
      <c r="L1835" s="29" t="n"/>
      <c r="M1835" s="14" t="n"/>
      <c r="N1835" s="29" t="n"/>
      <c r="O1835" s="13" t="n"/>
      <c r="P1835" s="13" t="n"/>
      <c r="Q1835" s="35" t="n"/>
      <c r="R1835" s="35" t="n"/>
      <c r="S1835" s="35" t="n"/>
      <c r="T1835" s="35" t="n"/>
      <c r="U1835" s="35" t="n"/>
      <c r="V1835" s="18">
        <f>IF(COUNTA($B1835:$R1835)=0,"",ROUND(N($R1835)+N($S1835)+N($T1835)-N($U1835),2))</f>
        <v/>
      </c>
      <c r="W1835" s="18">
        <f>IF(COUNTA($B1835:$R1835)=0,"",IF(OR($X1835="Pago",$X1835="Recebido",$X1835="Cancelado"),0,ROUND(N($Q1835)+N($S1835)+N($T1835)-N($U1835)-N($R1835),2)))</f>
        <v/>
      </c>
      <c r="X1835" s="14" t="n"/>
      <c r="Y1835" s="17">
        <f>IF(COUNTA($B1835:$R1835)=0,"",IF($X1835="Cancelado","Cancelado",IF(OR($X1835="Pago",$X1835="Recebido"),$X1835,IF(OR($X1835="Parcial",N($R1835)&gt;0),"Parcial",IF($C1835="","Sem vencimento",IF($C1835&lt;TODAY(),"Vencido",IF($C1835=TODAY(),"Vence hoje",IF($C1835&lt;=TODAY()+7,"Vence em 7 dias",IF($C1835&lt;=TODAY()+30,"Vence em 30 dias","Futuro")))))))))</f>
        <v/>
      </c>
      <c r="Z1835" s="24">
        <f>IF($B1835="","",MONTH($B1835))</f>
        <v/>
      </c>
      <c r="AA1835" s="24">
        <f>IF($B1835="","",YEAR($B1835))</f>
        <v/>
      </c>
      <c r="AB1835" s="24">
        <f>IF($B1835="","",ISOWEEKNUM($B1835))</f>
        <v/>
      </c>
      <c r="AC1835" s="17">
        <f>IF($B1835="","",CHOOSE(WEEKDAY($B1835,2),"Segunda","Terça","Quarta","Quinta","Sexta","Sábado","Domingo"))</f>
        <v/>
      </c>
      <c r="AD1835" s="17">
        <f>IF($B1835="","",TEXT($B1835,"MM/AAAA"))</f>
        <v/>
      </c>
      <c r="AE1835" s="18">
        <f>IF(COUNTA($B1835:$R1835)=0,"",IF($X1835="Cancelado",0,ROUND(N($Q1835)+N($S1835)+N($T1835)-N($U1835),2)))</f>
        <v/>
      </c>
      <c r="AF1835" s="9">
        <f>IF($G1835="","",IFERROR(INDEX(LINHAS_DRE_PLANO,MATCH($G1835,SUBCATEGORIAS_PLANO,0)),"Não classificado"))</f>
        <v/>
      </c>
      <c r="AG1835" s="17">
        <f>IF($G1835="","",IFERROR(INDEX(TIPOS_FLUXO_PLANO,MATCH($G1835,SUBCATEGORIAS_PLANO,0)),"Não classificado"))</f>
        <v/>
      </c>
      <c r="AH1835" s="9">
        <f>IF($G1835="","",IFERROR(INDEX(GRUPOS_PLANO,MATCH($G1835,SUBCATEGORIAS_PLANO,0)),"Não classificado"))</f>
        <v/>
      </c>
      <c r="AI1835" s="24">
        <f>IF(OR($C1835="",$X1835="Pago",$X1835="Recebido",$X1835="Cancelado"),"",$C1835-TODAY())</f>
        <v/>
      </c>
      <c r="AJ1835" s="24">
        <f>IF(OR($C1835="",$X1835="Pago",$X1835="Recebido",$X1835="Cancelado"),0,MAX(0,TODAY()-$C1835))</f>
        <v/>
      </c>
      <c r="AK1835" s="24">
        <f>IF($D1835="","",$D1835-$B1835)</f>
        <v/>
      </c>
      <c r="AL1835" s="18">
        <f>IF(OR($D1835="",$B1835=""),"",ROUND(N($R1835)*($D1835-$B1835),2))</f>
        <v/>
      </c>
      <c r="AM1835" s="17">
        <f>IF(AND($E1835="Saída",$W1835&gt;0,$C1835&lt;&gt;""),$C1835+ROW()/1000000,"")</f>
        <v/>
      </c>
      <c r="AN1835" s="17">
        <f>IF(AND($E1835="Entrada",$W1835&gt;0,$C1835&lt;&gt;""),$C1835+ROW()/1000000,"")</f>
        <v/>
      </c>
      <c r="AO1835" s="9">
        <f>IF(COUNTA($B1835:$R1835)=0,"",IF(AND($I1835&lt;&gt;"",COUNTIF(CLIENTES_NOMES,$I1835)+COUNTIF(CLIENTES_FANTASIA,$I1835)+COUNTIF(FORNECEDORES_NOMES,$I1835)+COUNTIF(FORNECEDORES_FANTASIA,$I1835)=0),"⚠ Cliente/Fornecedor não cadastrado",IF(AND($G1835&lt;&gt;"",COUNTIF(SUBCATEGORIAS_PLANO,$G1835)=0),"⚠ Subcategoria fora do plano de contas",IF(OR($Q1835="",N($Q1835)=0),"⚠ Valor previsto não informado",IF(AND(OR($X1835="Pago",$X1835="Recebido"),$D1835=""),"⚠ Status pago/recebido sem data",IF(AND($D1835&lt;&gt;"",N($R1835)=0),"⚠ Data de pagamento sem valor realizado",IF(AND(N($P1835)&gt;1,N($O1835)&gt;N($P1835)),"⚠ Nº da parcela maior que o total",IF(AND($C1835&lt;&gt;"",$B1835&lt;&gt;"",$C1835&lt;$B1835),"⚠ Vencimento anterior à competência","OK"))))))))</f>
        <v/>
      </c>
    </row>
    <row r="1836">
      <c r="A1836" s="14" t="n"/>
      <c r="B1836" s="36" t="n"/>
      <c r="C1836" s="36" t="n"/>
      <c r="D1836" s="36" t="n"/>
      <c r="E1836" s="14" t="n"/>
      <c r="F1836" s="29" t="n"/>
      <c r="G1836" s="29" t="n"/>
      <c r="H1836" s="29" t="n"/>
      <c r="I1836" s="29" t="n"/>
      <c r="J1836" s="29" t="n"/>
      <c r="K1836" s="14" t="n"/>
      <c r="L1836" s="29" t="n"/>
      <c r="M1836" s="14" t="n"/>
      <c r="N1836" s="29" t="n"/>
      <c r="O1836" s="13" t="n"/>
      <c r="P1836" s="13" t="n"/>
      <c r="Q1836" s="35" t="n"/>
      <c r="R1836" s="35" t="n"/>
      <c r="S1836" s="35" t="n"/>
      <c r="T1836" s="35" t="n"/>
      <c r="U1836" s="35" t="n"/>
      <c r="V1836" s="18">
        <f>IF(COUNTA($B1836:$R1836)=0,"",ROUND(N($R1836)+N($S1836)+N($T1836)-N($U1836),2))</f>
        <v/>
      </c>
      <c r="W1836" s="18">
        <f>IF(COUNTA($B1836:$R1836)=0,"",IF(OR($X1836="Pago",$X1836="Recebido",$X1836="Cancelado"),0,ROUND(N($Q1836)+N($S1836)+N($T1836)-N($U1836)-N($R1836),2)))</f>
        <v/>
      </c>
      <c r="X1836" s="14" t="n"/>
      <c r="Y1836" s="17">
        <f>IF(COUNTA($B1836:$R1836)=0,"",IF($X1836="Cancelado","Cancelado",IF(OR($X1836="Pago",$X1836="Recebido"),$X1836,IF(OR($X1836="Parcial",N($R1836)&gt;0),"Parcial",IF($C1836="","Sem vencimento",IF($C1836&lt;TODAY(),"Vencido",IF($C1836=TODAY(),"Vence hoje",IF($C1836&lt;=TODAY()+7,"Vence em 7 dias",IF($C1836&lt;=TODAY()+30,"Vence em 30 dias","Futuro")))))))))</f>
        <v/>
      </c>
      <c r="Z1836" s="24">
        <f>IF($B1836="","",MONTH($B1836))</f>
        <v/>
      </c>
      <c r="AA1836" s="24">
        <f>IF($B1836="","",YEAR($B1836))</f>
        <v/>
      </c>
      <c r="AB1836" s="24">
        <f>IF($B1836="","",ISOWEEKNUM($B1836))</f>
        <v/>
      </c>
      <c r="AC1836" s="17">
        <f>IF($B1836="","",CHOOSE(WEEKDAY($B1836,2),"Segunda","Terça","Quarta","Quinta","Sexta","Sábado","Domingo"))</f>
        <v/>
      </c>
      <c r="AD1836" s="17">
        <f>IF($B1836="","",TEXT($B1836,"MM/AAAA"))</f>
        <v/>
      </c>
      <c r="AE1836" s="18">
        <f>IF(COUNTA($B1836:$R1836)=0,"",IF($X1836="Cancelado",0,ROUND(N($Q1836)+N($S1836)+N($T1836)-N($U1836),2)))</f>
        <v/>
      </c>
      <c r="AF1836" s="9">
        <f>IF($G1836="","",IFERROR(INDEX(LINHAS_DRE_PLANO,MATCH($G1836,SUBCATEGORIAS_PLANO,0)),"Não classificado"))</f>
        <v/>
      </c>
      <c r="AG1836" s="17">
        <f>IF($G1836="","",IFERROR(INDEX(TIPOS_FLUXO_PLANO,MATCH($G1836,SUBCATEGORIAS_PLANO,0)),"Não classificado"))</f>
        <v/>
      </c>
      <c r="AH1836" s="9">
        <f>IF($G1836="","",IFERROR(INDEX(GRUPOS_PLANO,MATCH($G1836,SUBCATEGORIAS_PLANO,0)),"Não classificado"))</f>
        <v/>
      </c>
      <c r="AI1836" s="24">
        <f>IF(OR($C1836="",$X1836="Pago",$X1836="Recebido",$X1836="Cancelado"),"",$C1836-TODAY())</f>
        <v/>
      </c>
      <c r="AJ1836" s="24">
        <f>IF(OR($C1836="",$X1836="Pago",$X1836="Recebido",$X1836="Cancelado"),0,MAX(0,TODAY()-$C1836))</f>
        <v/>
      </c>
      <c r="AK1836" s="24">
        <f>IF($D1836="","",$D1836-$B1836)</f>
        <v/>
      </c>
      <c r="AL1836" s="18">
        <f>IF(OR($D1836="",$B1836=""),"",ROUND(N($R1836)*($D1836-$B1836),2))</f>
        <v/>
      </c>
      <c r="AM1836" s="17">
        <f>IF(AND($E1836="Saída",$W1836&gt;0,$C1836&lt;&gt;""),$C1836+ROW()/1000000,"")</f>
        <v/>
      </c>
      <c r="AN1836" s="17">
        <f>IF(AND($E1836="Entrada",$W1836&gt;0,$C1836&lt;&gt;""),$C1836+ROW()/1000000,"")</f>
        <v/>
      </c>
      <c r="AO1836" s="9">
        <f>IF(COUNTA($B1836:$R1836)=0,"",IF(AND($I1836&lt;&gt;"",COUNTIF(CLIENTES_NOMES,$I1836)+COUNTIF(CLIENTES_FANTASIA,$I1836)+COUNTIF(FORNECEDORES_NOMES,$I1836)+COUNTIF(FORNECEDORES_FANTASIA,$I1836)=0),"⚠ Cliente/Fornecedor não cadastrado",IF(AND($G1836&lt;&gt;"",COUNTIF(SUBCATEGORIAS_PLANO,$G1836)=0),"⚠ Subcategoria fora do plano de contas",IF(OR($Q1836="",N($Q1836)=0),"⚠ Valor previsto não informado",IF(AND(OR($X1836="Pago",$X1836="Recebido"),$D1836=""),"⚠ Status pago/recebido sem data",IF(AND($D1836&lt;&gt;"",N($R1836)=0),"⚠ Data de pagamento sem valor realizado",IF(AND(N($P1836)&gt;1,N($O1836)&gt;N($P1836)),"⚠ Nº da parcela maior que o total",IF(AND($C1836&lt;&gt;"",$B1836&lt;&gt;"",$C1836&lt;$B1836),"⚠ Vencimento anterior à competência","OK"))))))))</f>
        <v/>
      </c>
    </row>
    <row r="1837">
      <c r="A1837" s="14" t="n"/>
      <c r="B1837" s="36" t="n"/>
      <c r="C1837" s="36" t="n"/>
      <c r="D1837" s="36" t="n"/>
      <c r="E1837" s="14" t="n"/>
      <c r="F1837" s="29" t="n"/>
      <c r="G1837" s="29" t="n"/>
      <c r="H1837" s="29" t="n"/>
      <c r="I1837" s="29" t="n"/>
      <c r="J1837" s="29" t="n"/>
      <c r="K1837" s="14" t="n"/>
      <c r="L1837" s="29" t="n"/>
      <c r="M1837" s="14" t="n"/>
      <c r="N1837" s="29" t="n"/>
      <c r="O1837" s="13" t="n"/>
      <c r="P1837" s="13" t="n"/>
      <c r="Q1837" s="35" t="n"/>
      <c r="R1837" s="35" t="n"/>
      <c r="S1837" s="35" t="n"/>
      <c r="T1837" s="35" t="n"/>
      <c r="U1837" s="35" t="n"/>
      <c r="V1837" s="18">
        <f>IF(COUNTA($B1837:$R1837)=0,"",ROUND(N($R1837)+N($S1837)+N($T1837)-N($U1837),2))</f>
        <v/>
      </c>
      <c r="W1837" s="18">
        <f>IF(COUNTA($B1837:$R1837)=0,"",IF(OR($X1837="Pago",$X1837="Recebido",$X1837="Cancelado"),0,ROUND(N($Q1837)+N($S1837)+N($T1837)-N($U1837)-N($R1837),2)))</f>
        <v/>
      </c>
      <c r="X1837" s="14" t="n"/>
      <c r="Y1837" s="17">
        <f>IF(COUNTA($B1837:$R1837)=0,"",IF($X1837="Cancelado","Cancelado",IF(OR($X1837="Pago",$X1837="Recebido"),$X1837,IF(OR($X1837="Parcial",N($R1837)&gt;0),"Parcial",IF($C1837="","Sem vencimento",IF($C1837&lt;TODAY(),"Vencido",IF($C1837=TODAY(),"Vence hoje",IF($C1837&lt;=TODAY()+7,"Vence em 7 dias",IF($C1837&lt;=TODAY()+30,"Vence em 30 dias","Futuro")))))))))</f>
        <v/>
      </c>
      <c r="Z1837" s="24">
        <f>IF($B1837="","",MONTH($B1837))</f>
        <v/>
      </c>
      <c r="AA1837" s="24">
        <f>IF($B1837="","",YEAR($B1837))</f>
        <v/>
      </c>
      <c r="AB1837" s="24">
        <f>IF($B1837="","",ISOWEEKNUM($B1837))</f>
        <v/>
      </c>
      <c r="AC1837" s="17">
        <f>IF($B1837="","",CHOOSE(WEEKDAY($B1837,2),"Segunda","Terça","Quarta","Quinta","Sexta","Sábado","Domingo"))</f>
        <v/>
      </c>
      <c r="AD1837" s="17">
        <f>IF($B1837="","",TEXT($B1837,"MM/AAAA"))</f>
        <v/>
      </c>
      <c r="AE1837" s="18">
        <f>IF(COUNTA($B1837:$R1837)=0,"",IF($X1837="Cancelado",0,ROUND(N($Q1837)+N($S1837)+N($T1837)-N($U1837),2)))</f>
        <v/>
      </c>
      <c r="AF1837" s="9">
        <f>IF($G1837="","",IFERROR(INDEX(LINHAS_DRE_PLANO,MATCH($G1837,SUBCATEGORIAS_PLANO,0)),"Não classificado"))</f>
        <v/>
      </c>
      <c r="AG1837" s="17">
        <f>IF($G1837="","",IFERROR(INDEX(TIPOS_FLUXO_PLANO,MATCH($G1837,SUBCATEGORIAS_PLANO,0)),"Não classificado"))</f>
        <v/>
      </c>
      <c r="AH1837" s="9">
        <f>IF($G1837="","",IFERROR(INDEX(GRUPOS_PLANO,MATCH($G1837,SUBCATEGORIAS_PLANO,0)),"Não classificado"))</f>
        <v/>
      </c>
      <c r="AI1837" s="24">
        <f>IF(OR($C1837="",$X1837="Pago",$X1837="Recebido",$X1837="Cancelado"),"",$C1837-TODAY())</f>
        <v/>
      </c>
      <c r="AJ1837" s="24">
        <f>IF(OR($C1837="",$X1837="Pago",$X1837="Recebido",$X1837="Cancelado"),0,MAX(0,TODAY()-$C1837))</f>
        <v/>
      </c>
      <c r="AK1837" s="24">
        <f>IF($D1837="","",$D1837-$B1837)</f>
        <v/>
      </c>
      <c r="AL1837" s="18">
        <f>IF(OR($D1837="",$B1837=""),"",ROUND(N($R1837)*($D1837-$B1837),2))</f>
        <v/>
      </c>
      <c r="AM1837" s="17">
        <f>IF(AND($E1837="Saída",$W1837&gt;0,$C1837&lt;&gt;""),$C1837+ROW()/1000000,"")</f>
        <v/>
      </c>
      <c r="AN1837" s="17">
        <f>IF(AND($E1837="Entrada",$W1837&gt;0,$C1837&lt;&gt;""),$C1837+ROW()/1000000,"")</f>
        <v/>
      </c>
      <c r="AO1837" s="9">
        <f>IF(COUNTA($B1837:$R1837)=0,"",IF(AND($I1837&lt;&gt;"",COUNTIF(CLIENTES_NOMES,$I1837)+COUNTIF(CLIENTES_FANTASIA,$I1837)+COUNTIF(FORNECEDORES_NOMES,$I1837)+COUNTIF(FORNECEDORES_FANTASIA,$I1837)=0),"⚠ Cliente/Fornecedor não cadastrado",IF(AND($G1837&lt;&gt;"",COUNTIF(SUBCATEGORIAS_PLANO,$G1837)=0),"⚠ Subcategoria fora do plano de contas",IF(OR($Q1837="",N($Q1837)=0),"⚠ Valor previsto não informado",IF(AND(OR($X1837="Pago",$X1837="Recebido"),$D1837=""),"⚠ Status pago/recebido sem data",IF(AND($D1837&lt;&gt;"",N($R1837)=0),"⚠ Data de pagamento sem valor realizado",IF(AND(N($P1837)&gt;1,N($O1837)&gt;N($P1837)),"⚠ Nº da parcela maior que o total",IF(AND($C1837&lt;&gt;"",$B1837&lt;&gt;"",$C1837&lt;$B1837),"⚠ Vencimento anterior à competência","OK"))))))))</f>
        <v/>
      </c>
    </row>
    <row r="1838">
      <c r="A1838" s="14" t="n"/>
      <c r="B1838" s="36" t="n"/>
      <c r="C1838" s="36" t="n"/>
      <c r="D1838" s="36" t="n"/>
      <c r="E1838" s="14" t="n"/>
      <c r="F1838" s="29" t="n"/>
      <c r="G1838" s="29" t="n"/>
      <c r="H1838" s="29" t="n"/>
      <c r="I1838" s="29" t="n"/>
      <c r="J1838" s="29" t="n"/>
      <c r="K1838" s="14" t="n"/>
      <c r="L1838" s="29" t="n"/>
      <c r="M1838" s="14" t="n"/>
      <c r="N1838" s="29" t="n"/>
      <c r="O1838" s="13" t="n"/>
      <c r="P1838" s="13" t="n"/>
      <c r="Q1838" s="35" t="n"/>
      <c r="R1838" s="35" t="n"/>
      <c r="S1838" s="35" t="n"/>
      <c r="T1838" s="35" t="n"/>
      <c r="U1838" s="35" t="n"/>
      <c r="V1838" s="18">
        <f>IF(COUNTA($B1838:$R1838)=0,"",ROUND(N($R1838)+N($S1838)+N($T1838)-N($U1838),2))</f>
        <v/>
      </c>
      <c r="W1838" s="18">
        <f>IF(COUNTA($B1838:$R1838)=0,"",IF(OR($X1838="Pago",$X1838="Recebido",$X1838="Cancelado"),0,ROUND(N($Q1838)+N($S1838)+N($T1838)-N($U1838)-N($R1838),2)))</f>
        <v/>
      </c>
      <c r="X1838" s="14" t="n"/>
      <c r="Y1838" s="17">
        <f>IF(COUNTA($B1838:$R1838)=0,"",IF($X1838="Cancelado","Cancelado",IF(OR($X1838="Pago",$X1838="Recebido"),$X1838,IF(OR($X1838="Parcial",N($R1838)&gt;0),"Parcial",IF($C1838="","Sem vencimento",IF($C1838&lt;TODAY(),"Vencido",IF($C1838=TODAY(),"Vence hoje",IF($C1838&lt;=TODAY()+7,"Vence em 7 dias",IF($C1838&lt;=TODAY()+30,"Vence em 30 dias","Futuro")))))))))</f>
        <v/>
      </c>
      <c r="Z1838" s="24">
        <f>IF($B1838="","",MONTH($B1838))</f>
        <v/>
      </c>
      <c r="AA1838" s="24">
        <f>IF($B1838="","",YEAR($B1838))</f>
        <v/>
      </c>
      <c r="AB1838" s="24">
        <f>IF($B1838="","",ISOWEEKNUM($B1838))</f>
        <v/>
      </c>
      <c r="AC1838" s="17">
        <f>IF($B1838="","",CHOOSE(WEEKDAY($B1838,2),"Segunda","Terça","Quarta","Quinta","Sexta","Sábado","Domingo"))</f>
        <v/>
      </c>
      <c r="AD1838" s="17">
        <f>IF($B1838="","",TEXT($B1838,"MM/AAAA"))</f>
        <v/>
      </c>
      <c r="AE1838" s="18">
        <f>IF(COUNTA($B1838:$R1838)=0,"",IF($X1838="Cancelado",0,ROUND(N($Q1838)+N($S1838)+N($T1838)-N($U1838),2)))</f>
        <v/>
      </c>
      <c r="AF1838" s="9">
        <f>IF($G1838="","",IFERROR(INDEX(LINHAS_DRE_PLANO,MATCH($G1838,SUBCATEGORIAS_PLANO,0)),"Não classificado"))</f>
        <v/>
      </c>
      <c r="AG1838" s="17">
        <f>IF($G1838="","",IFERROR(INDEX(TIPOS_FLUXO_PLANO,MATCH($G1838,SUBCATEGORIAS_PLANO,0)),"Não classificado"))</f>
        <v/>
      </c>
      <c r="AH1838" s="9">
        <f>IF($G1838="","",IFERROR(INDEX(GRUPOS_PLANO,MATCH($G1838,SUBCATEGORIAS_PLANO,0)),"Não classificado"))</f>
        <v/>
      </c>
      <c r="AI1838" s="24">
        <f>IF(OR($C1838="",$X1838="Pago",$X1838="Recebido",$X1838="Cancelado"),"",$C1838-TODAY())</f>
        <v/>
      </c>
      <c r="AJ1838" s="24">
        <f>IF(OR($C1838="",$X1838="Pago",$X1838="Recebido",$X1838="Cancelado"),0,MAX(0,TODAY()-$C1838))</f>
        <v/>
      </c>
      <c r="AK1838" s="24">
        <f>IF($D1838="","",$D1838-$B1838)</f>
        <v/>
      </c>
      <c r="AL1838" s="18">
        <f>IF(OR($D1838="",$B1838=""),"",ROUND(N($R1838)*($D1838-$B1838),2))</f>
        <v/>
      </c>
      <c r="AM1838" s="17">
        <f>IF(AND($E1838="Saída",$W1838&gt;0,$C1838&lt;&gt;""),$C1838+ROW()/1000000,"")</f>
        <v/>
      </c>
      <c r="AN1838" s="17">
        <f>IF(AND($E1838="Entrada",$W1838&gt;0,$C1838&lt;&gt;""),$C1838+ROW()/1000000,"")</f>
        <v/>
      </c>
      <c r="AO1838" s="9">
        <f>IF(COUNTA($B1838:$R1838)=0,"",IF(AND($I1838&lt;&gt;"",COUNTIF(CLIENTES_NOMES,$I1838)+COUNTIF(CLIENTES_FANTASIA,$I1838)+COUNTIF(FORNECEDORES_NOMES,$I1838)+COUNTIF(FORNECEDORES_FANTASIA,$I1838)=0),"⚠ Cliente/Fornecedor não cadastrado",IF(AND($G1838&lt;&gt;"",COUNTIF(SUBCATEGORIAS_PLANO,$G1838)=0),"⚠ Subcategoria fora do plano de contas",IF(OR($Q1838="",N($Q1838)=0),"⚠ Valor previsto não informado",IF(AND(OR($X1838="Pago",$X1838="Recebido"),$D1838=""),"⚠ Status pago/recebido sem data",IF(AND($D1838&lt;&gt;"",N($R1838)=0),"⚠ Data de pagamento sem valor realizado",IF(AND(N($P1838)&gt;1,N($O1838)&gt;N($P1838)),"⚠ Nº da parcela maior que o total",IF(AND($C1838&lt;&gt;"",$B1838&lt;&gt;"",$C1838&lt;$B1838),"⚠ Vencimento anterior à competência","OK"))))))))</f>
        <v/>
      </c>
    </row>
    <row r="1839">
      <c r="A1839" s="14" t="n"/>
      <c r="B1839" s="36" t="n"/>
      <c r="C1839" s="36" t="n"/>
      <c r="D1839" s="36" t="n"/>
      <c r="E1839" s="14" t="n"/>
      <c r="F1839" s="29" t="n"/>
      <c r="G1839" s="29" t="n"/>
      <c r="H1839" s="29" t="n"/>
      <c r="I1839" s="29" t="n"/>
      <c r="J1839" s="29" t="n"/>
      <c r="K1839" s="14" t="n"/>
      <c r="L1839" s="29" t="n"/>
      <c r="M1839" s="14" t="n"/>
      <c r="N1839" s="29" t="n"/>
      <c r="O1839" s="13" t="n"/>
      <c r="P1839" s="13" t="n"/>
      <c r="Q1839" s="35" t="n"/>
      <c r="R1839" s="35" t="n"/>
      <c r="S1839" s="35" t="n"/>
      <c r="T1839" s="35" t="n"/>
      <c r="U1839" s="35" t="n"/>
      <c r="V1839" s="18">
        <f>IF(COUNTA($B1839:$R1839)=0,"",ROUND(N($R1839)+N($S1839)+N($T1839)-N($U1839),2))</f>
        <v/>
      </c>
      <c r="W1839" s="18">
        <f>IF(COUNTA($B1839:$R1839)=0,"",IF(OR($X1839="Pago",$X1839="Recebido",$X1839="Cancelado"),0,ROUND(N($Q1839)+N($S1839)+N($T1839)-N($U1839)-N($R1839),2)))</f>
        <v/>
      </c>
      <c r="X1839" s="14" t="n"/>
      <c r="Y1839" s="17">
        <f>IF(COUNTA($B1839:$R1839)=0,"",IF($X1839="Cancelado","Cancelado",IF(OR($X1839="Pago",$X1839="Recebido"),$X1839,IF(OR($X1839="Parcial",N($R1839)&gt;0),"Parcial",IF($C1839="","Sem vencimento",IF($C1839&lt;TODAY(),"Vencido",IF($C1839=TODAY(),"Vence hoje",IF($C1839&lt;=TODAY()+7,"Vence em 7 dias",IF($C1839&lt;=TODAY()+30,"Vence em 30 dias","Futuro")))))))))</f>
        <v/>
      </c>
      <c r="Z1839" s="24">
        <f>IF($B1839="","",MONTH($B1839))</f>
        <v/>
      </c>
      <c r="AA1839" s="24">
        <f>IF($B1839="","",YEAR($B1839))</f>
        <v/>
      </c>
      <c r="AB1839" s="24">
        <f>IF($B1839="","",ISOWEEKNUM($B1839))</f>
        <v/>
      </c>
      <c r="AC1839" s="17">
        <f>IF($B1839="","",CHOOSE(WEEKDAY($B1839,2),"Segunda","Terça","Quarta","Quinta","Sexta","Sábado","Domingo"))</f>
        <v/>
      </c>
      <c r="AD1839" s="17">
        <f>IF($B1839="","",TEXT($B1839,"MM/AAAA"))</f>
        <v/>
      </c>
      <c r="AE1839" s="18">
        <f>IF(COUNTA($B1839:$R1839)=0,"",IF($X1839="Cancelado",0,ROUND(N($Q1839)+N($S1839)+N($T1839)-N($U1839),2)))</f>
        <v/>
      </c>
      <c r="AF1839" s="9">
        <f>IF($G1839="","",IFERROR(INDEX(LINHAS_DRE_PLANO,MATCH($G1839,SUBCATEGORIAS_PLANO,0)),"Não classificado"))</f>
        <v/>
      </c>
      <c r="AG1839" s="17">
        <f>IF($G1839="","",IFERROR(INDEX(TIPOS_FLUXO_PLANO,MATCH($G1839,SUBCATEGORIAS_PLANO,0)),"Não classificado"))</f>
        <v/>
      </c>
      <c r="AH1839" s="9">
        <f>IF($G1839="","",IFERROR(INDEX(GRUPOS_PLANO,MATCH($G1839,SUBCATEGORIAS_PLANO,0)),"Não classificado"))</f>
        <v/>
      </c>
      <c r="AI1839" s="24">
        <f>IF(OR($C1839="",$X1839="Pago",$X1839="Recebido",$X1839="Cancelado"),"",$C1839-TODAY())</f>
        <v/>
      </c>
      <c r="AJ1839" s="24">
        <f>IF(OR($C1839="",$X1839="Pago",$X1839="Recebido",$X1839="Cancelado"),0,MAX(0,TODAY()-$C1839))</f>
        <v/>
      </c>
      <c r="AK1839" s="24">
        <f>IF($D1839="","",$D1839-$B1839)</f>
        <v/>
      </c>
      <c r="AL1839" s="18">
        <f>IF(OR($D1839="",$B1839=""),"",ROUND(N($R1839)*($D1839-$B1839),2))</f>
        <v/>
      </c>
      <c r="AM1839" s="17">
        <f>IF(AND($E1839="Saída",$W1839&gt;0,$C1839&lt;&gt;""),$C1839+ROW()/1000000,"")</f>
        <v/>
      </c>
      <c r="AN1839" s="17">
        <f>IF(AND($E1839="Entrada",$W1839&gt;0,$C1839&lt;&gt;""),$C1839+ROW()/1000000,"")</f>
        <v/>
      </c>
      <c r="AO1839" s="9">
        <f>IF(COUNTA($B1839:$R1839)=0,"",IF(AND($I1839&lt;&gt;"",COUNTIF(CLIENTES_NOMES,$I1839)+COUNTIF(CLIENTES_FANTASIA,$I1839)+COUNTIF(FORNECEDORES_NOMES,$I1839)+COUNTIF(FORNECEDORES_FANTASIA,$I1839)=0),"⚠ Cliente/Fornecedor não cadastrado",IF(AND($G1839&lt;&gt;"",COUNTIF(SUBCATEGORIAS_PLANO,$G1839)=0),"⚠ Subcategoria fora do plano de contas",IF(OR($Q1839="",N($Q1839)=0),"⚠ Valor previsto não informado",IF(AND(OR($X1839="Pago",$X1839="Recebido"),$D1839=""),"⚠ Status pago/recebido sem data",IF(AND($D1839&lt;&gt;"",N($R1839)=0),"⚠ Data de pagamento sem valor realizado",IF(AND(N($P1839)&gt;1,N($O1839)&gt;N($P1839)),"⚠ Nº da parcela maior que o total",IF(AND($C1839&lt;&gt;"",$B1839&lt;&gt;"",$C1839&lt;$B1839),"⚠ Vencimento anterior à competência","OK"))))))))</f>
        <v/>
      </c>
    </row>
    <row r="1840">
      <c r="A1840" s="14" t="n"/>
      <c r="B1840" s="36" t="n"/>
      <c r="C1840" s="36" t="n"/>
      <c r="D1840" s="36" t="n"/>
      <c r="E1840" s="14" t="n"/>
      <c r="F1840" s="29" t="n"/>
      <c r="G1840" s="29" t="n"/>
      <c r="H1840" s="29" t="n"/>
      <c r="I1840" s="29" t="n"/>
      <c r="J1840" s="29" t="n"/>
      <c r="K1840" s="14" t="n"/>
      <c r="L1840" s="29" t="n"/>
      <c r="M1840" s="14" t="n"/>
      <c r="N1840" s="29" t="n"/>
      <c r="O1840" s="13" t="n"/>
      <c r="P1840" s="13" t="n"/>
      <c r="Q1840" s="35" t="n"/>
      <c r="R1840" s="35" t="n"/>
      <c r="S1840" s="35" t="n"/>
      <c r="T1840" s="35" t="n"/>
      <c r="U1840" s="35" t="n"/>
      <c r="V1840" s="18">
        <f>IF(COUNTA($B1840:$R1840)=0,"",ROUND(N($R1840)+N($S1840)+N($T1840)-N($U1840),2))</f>
        <v/>
      </c>
      <c r="W1840" s="18">
        <f>IF(COUNTA($B1840:$R1840)=0,"",IF(OR($X1840="Pago",$X1840="Recebido",$X1840="Cancelado"),0,ROUND(N($Q1840)+N($S1840)+N($T1840)-N($U1840)-N($R1840),2)))</f>
        <v/>
      </c>
      <c r="X1840" s="14" t="n"/>
      <c r="Y1840" s="17">
        <f>IF(COUNTA($B1840:$R1840)=0,"",IF($X1840="Cancelado","Cancelado",IF(OR($X1840="Pago",$X1840="Recebido"),$X1840,IF(OR($X1840="Parcial",N($R1840)&gt;0),"Parcial",IF($C1840="","Sem vencimento",IF($C1840&lt;TODAY(),"Vencido",IF($C1840=TODAY(),"Vence hoje",IF($C1840&lt;=TODAY()+7,"Vence em 7 dias",IF($C1840&lt;=TODAY()+30,"Vence em 30 dias","Futuro")))))))))</f>
        <v/>
      </c>
      <c r="Z1840" s="24">
        <f>IF($B1840="","",MONTH($B1840))</f>
        <v/>
      </c>
      <c r="AA1840" s="24">
        <f>IF($B1840="","",YEAR($B1840))</f>
        <v/>
      </c>
      <c r="AB1840" s="24">
        <f>IF($B1840="","",ISOWEEKNUM($B1840))</f>
        <v/>
      </c>
      <c r="AC1840" s="17">
        <f>IF($B1840="","",CHOOSE(WEEKDAY($B1840,2),"Segunda","Terça","Quarta","Quinta","Sexta","Sábado","Domingo"))</f>
        <v/>
      </c>
      <c r="AD1840" s="17">
        <f>IF($B1840="","",TEXT($B1840,"MM/AAAA"))</f>
        <v/>
      </c>
      <c r="AE1840" s="18">
        <f>IF(COUNTA($B1840:$R1840)=0,"",IF($X1840="Cancelado",0,ROUND(N($Q1840)+N($S1840)+N($T1840)-N($U1840),2)))</f>
        <v/>
      </c>
      <c r="AF1840" s="9">
        <f>IF($G1840="","",IFERROR(INDEX(LINHAS_DRE_PLANO,MATCH($G1840,SUBCATEGORIAS_PLANO,0)),"Não classificado"))</f>
        <v/>
      </c>
      <c r="AG1840" s="17">
        <f>IF($G1840="","",IFERROR(INDEX(TIPOS_FLUXO_PLANO,MATCH($G1840,SUBCATEGORIAS_PLANO,0)),"Não classificado"))</f>
        <v/>
      </c>
      <c r="AH1840" s="9">
        <f>IF($G1840="","",IFERROR(INDEX(GRUPOS_PLANO,MATCH($G1840,SUBCATEGORIAS_PLANO,0)),"Não classificado"))</f>
        <v/>
      </c>
      <c r="AI1840" s="24">
        <f>IF(OR($C1840="",$X1840="Pago",$X1840="Recebido",$X1840="Cancelado"),"",$C1840-TODAY())</f>
        <v/>
      </c>
      <c r="AJ1840" s="24">
        <f>IF(OR($C1840="",$X1840="Pago",$X1840="Recebido",$X1840="Cancelado"),0,MAX(0,TODAY()-$C1840))</f>
        <v/>
      </c>
      <c r="AK1840" s="24">
        <f>IF($D1840="","",$D1840-$B1840)</f>
        <v/>
      </c>
      <c r="AL1840" s="18">
        <f>IF(OR($D1840="",$B1840=""),"",ROUND(N($R1840)*($D1840-$B1840),2))</f>
        <v/>
      </c>
      <c r="AM1840" s="17">
        <f>IF(AND($E1840="Saída",$W1840&gt;0,$C1840&lt;&gt;""),$C1840+ROW()/1000000,"")</f>
        <v/>
      </c>
      <c r="AN1840" s="17">
        <f>IF(AND($E1840="Entrada",$W1840&gt;0,$C1840&lt;&gt;""),$C1840+ROW()/1000000,"")</f>
        <v/>
      </c>
      <c r="AO1840" s="9">
        <f>IF(COUNTA($B1840:$R1840)=0,"",IF(AND($I1840&lt;&gt;"",COUNTIF(CLIENTES_NOMES,$I1840)+COUNTIF(CLIENTES_FANTASIA,$I1840)+COUNTIF(FORNECEDORES_NOMES,$I1840)+COUNTIF(FORNECEDORES_FANTASIA,$I1840)=0),"⚠ Cliente/Fornecedor não cadastrado",IF(AND($G1840&lt;&gt;"",COUNTIF(SUBCATEGORIAS_PLANO,$G1840)=0),"⚠ Subcategoria fora do plano de contas",IF(OR($Q1840="",N($Q1840)=0),"⚠ Valor previsto não informado",IF(AND(OR($X1840="Pago",$X1840="Recebido"),$D1840=""),"⚠ Status pago/recebido sem data",IF(AND($D1840&lt;&gt;"",N($R1840)=0),"⚠ Data de pagamento sem valor realizado",IF(AND(N($P1840)&gt;1,N($O1840)&gt;N($P1840)),"⚠ Nº da parcela maior que o total",IF(AND($C1840&lt;&gt;"",$B1840&lt;&gt;"",$C1840&lt;$B1840),"⚠ Vencimento anterior à competência","OK"))))))))</f>
        <v/>
      </c>
    </row>
    <row r="1841">
      <c r="A1841" s="14" t="n"/>
      <c r="B1841" s="36" t="n"/>
      <c r="C1841" s="36" t="n"/>
      <c r="D1841" s="36" t="n"/>
      <c r="E1841" s="14" t="n"/>
      <c r="F1841" s="29" t="n"/>
      <c r="G1841" s="29" t="n"/>
      <c r="H1841" s="29" t="n"/>
      <c r="I1841" s="29" t="n"/>
      <c r="J1841" s="29" t="n"/>
      <c r="K1841" s="14" t="n"/>
      <c r="L1841" s="29" t="n"/>
      <c r="M1841" s="14" t="n"/>
      <c r="N1841" s="29" t="n"/>
      <c r="O1841" s="13" t="n"/>
      <c r="P1841" s="13" t="n"/>
      <c r="Q1841" s="35" t="n"/>
      <c r="R1841" s="35" t="n"/>
      <c r="S1841" s="35" t="n"/>
      <c r="T1841" s="35" t="n"/>
      <c r="U1841" s="35" t="n"/>
      <c r="V1841" s="18">
        <f>IF(COUNTA($B1841:$R1841)=0,"",ROUND(N($R1841)+N($S1841)+N($T1841)-N($U1841),2))</f>
        <v/>
      </c>
      <c r="W1841" s="18">
        <f>IF(COUNTA($B1841:$R1841)=0,"",IF(OR($X1841="Pago",$X1841="Recebido",$X1841="Cancelado"),0,ROUND(N($Q1841)+N($S1841)+N($T1841)-N($U1841)-N($R1841),2)))</f>
        <v/>
      </c>
      <c r="X1841" s="14" t="n"/>
      <c r="Y1841" s="17">
        <f>IF(COUNTA($B1841:$R1841)=0,"",IF($X1841="Cancelado","Cancelado",IF(OR($X1841="Pago",$X1841="Recebido"),$X1841,IF(OR($X1841="Parcial",N($R1841)&gt;0),"Parcial",IF($C1841="","Sem vencimento",IF($C1841&lt;TODAY(),"Vencido",IF($C1841=TODAY(),"Vence hoje",IF($C1841&lt;=TODAY()+7,"Vence em 7 dias",IF($C1841&lt;=TODAY()+30,"Vence em 30 dias","Futuro")))))))))</f>
        <v/>
      </c>
      <c r="Z1841" s="24">
        <f>IF($B1841="","",MONTH($B1841))</f>
        <v/>
      </c>
      <c r="AA1841" s="24">
        <f>IF($B1841="","",YEAR($B1841))</f>
        <v/>
      </c>
      <c r="AB1841" s="24">
        <f>IF($B1841="","",ISOWEEKNUM($B1841))</f>
        <v/>
      </c>
      <c r="AC1841" s="17">
        <f>IF($B1841="","",CHOOSE(WEEKDAY($B1841,2),"Segunda","Terça","Quarta","Quinta","Sexta","Sábado","Domingo"))</f>
        <v/>
      </c>
      <c r="AD1841" s="17">
        <f>IF($B1841="","",TEXT($B1841,"MM/AAAA"))</f>
        <v/>
      </c>
      <c r="AE1841" s="18">
        <f>IF(COUNTA($B1841:$R1841)=0,"",IF($X1841="Cancelado",0,ROUND(N($Q1841)+N($S1841)+N($T1841)-N($U1841),2)))</f>
        <v/>
      </c>
      <c r="AF1841" s="9">
        <f>IF($G1841="","",IFERROR(INDEX(LINHAS_DRE_PLANO,MATCH($G1841,SUBCATEGORIAS_PLANO,0)),"Não classificado"))</f>
        <v/>
      </c>
      <c r="AG1841" s="17">
        <f>IF($G1841="","",IFERROR(INDEX(TIPOS_FLUXO_PLANO,MATCH($G1841,SUBCATEGORIAS_PLANO,0)),"Não classificado"))</f>
        <v/>
      </c>
      <c r="AH1841" s="9">
        <f>IF($G1841="","",IFERROR(INDEX(GRUPOS_PLANO,MATCH($G1841,SUBCATEGORIAS_PLANO,0)),"Não classificado"))</f>
        <v/>
      </c>
      <c r="AI1841" s="24">
        <f>IF(OR($C1841="",$X1841="Pago",$X1841="Recebido",$X1841="Cancelado"),"",$C1841-TODAY())</f>
        <v/>
      </c>
      <c r="AJ1841" s="24">
        <f>IF(OR($C1841="",$X1841="Pago",$X1841="Recebido",$X1841="Cancelado"),0,MAX(0,TODAY()-$C1841))</f>
        <v/>
      </c>
      <c r="AK1841" s="24">
        <f>IF($D1841="","",$D1841-$B1841)</f>
        <v/>
      </c>
      <c r="AL1841" s="18">
        <f>IF(OR($D1841="",$B1841=""),"",ROUND(N($R1841)*($D1841-$B1841),2))</f>
        <v/>
      </c>
      <c r="AM1841" s="17">
        <f>IF(AND($E1841="Saída",$W1841&gt;0,$C1841&lt;&gt;""),$C1841+ROW()/1000000,"")</f>
        <v/>
      </c>
      <c r="AN1841" s="17">
        <f>IF(AND($E1841="Entrada",$W1841&gt;0,$C1841&lt;&gt;""),$C1841+ROW()/1000000,"")</f>
        <v/>
      </c>
      <c r="AO1841" s="9">
        <f>IF(COUNTA($B1841:$R1841)=0,"",IF(AND($I1841&lt;&gt;"",COUNTIF(CLIENTES_NOMES,$I1841)+COUNTIF(CLIENTES_FANTASIA,$I1841)+COUNTIF(FORNECEDORES_NOMES,$I1841)+COUNTIF(FORNECEDORES_FANTASIA,$I1841)=0),"⚠ Cliente/Fornecedor não cadastrado",IF(AND($G1841&lt;&gt;"",COUNTIF(SUBCATEGORIAS_PLANO,$G1841)=0),"⚠ Subcategoria fora do plano de contas",IF(OR($Q1841="",N($Q1841)=0),"⚠ Valor previsto não informado",IF(AND(OR($X1841="Pago",$X1841="Recebido"),$D1841=""),"⚠ Status pago/recebido sem data",IF(AND($D1841&lt;&gt;"",N($R1841)=0),"⚠ Data de pagamento sem valor realizado",IF(AND(N($P1841)&gt;1,N($O1841)&gt;N($P1841)),"⚠ Nº da parcela maior que o total",IF(AND($C1841&lt;&gt;"",$B1841&lt;&gt;"",$C1841&lt;$B1841),"⚠ Vencimento anterior à competência","OK"))))))))</f>
        <v/>
      </c>
    </row>
    <row r="1842">
      <c r="A1842" s="14" t="n"/>
      <c r="B1842" s="36" t="n"/>
      <c r="C1842" s="36" t="n"/>
      <c r="D1842" s="36" t="n"/>
      <c r="E1842" s="14" t="n"/>
      <c r="F1842" s="29" t="n"/>
      <c r="G1842" s="29" t="n"/>
      <c r="H1842" s="29" t="n"/>
      <c r="I1842" s="29" t="n"/>
      <c r="J1842" s="29" t="n"/>
      <c r="K1842" s="14" t="n"/>
      <c r="L1842" s="29" t="n"/>
      <c r="M1842" s="14" t="n"/>
      <c r="N1842" s="29" t="n"/>
      <c r="O1842" s="13" t="n"/>
      <c r="P1842" s="13" t="n"/>
      <c r="Q1842" s="35" t="n"/>
      <c r="R1842" s="35" t="n"/>
      <c r="S1842" s="35" t="n"/>
      <c r="T1842" s="35" t="n"/>
      <c r="U1842" s="35" t="n"/>
      <c r="V1842" s="18">
        <f>IF(COUNTA($B1842:$R1842)=0,"",ROUND(N($R1842)+N($S1842)+N($T1842)-N($U1842),2))</f>
        <v/>
      </c>
      <c r="W1842" s="18">
        <f>IF(COUNTA($B1842:$R1842)=0,"",IF(OR($X1842="Pago",$X1842="Recebido",$X1842="Cancelado"),0,ROUND(N($Q1842)+N($S1842)+N($T1842)-N($U1842)-N($R1842),2)))</f>
        <v/>
      </c>
      <c r="X1842" s="14" t="n"/>
      <c r="Y1842" s="17">
        <f>IF(COUNTA($B1842:$R1842)=0,"",IF($X1842="Cancelado","Cancelado",IF(OR($X1842="Pago",$X1842="Recebido"),$X1842,IF(OR($X1842="Parcial",N($R1842)&gt;0),"Parcial",IF($C1842="","Sem vencimento",IF($C1842&lt;TODAY(),"Vencido",IF($C1842=TODAY(),"Vence hoje",IF($C1842&lt;=TODAY()+7,"Vence em 7 dias",IF($C1842&lt;=TODAY()+30,"Vence em 30 dias","Futuro")))))))))</f>
        <v/>
      </c>
      <c r="Z1842" s="24">
        <f>IF($B1842="","",MONTH($B1842))</f>
        <v/>
      </c>
      <c r="AA1842" s="24">
        <f>IF($B1842="","",YEAR($B1842))</f>
        <v/>
      </c>
      <c r="AB1842" s="24">
        <f>IF($B1842="","",ISOWEEKNUM($B1842))</f>
        <v/>
      </c>
      <c r="AC1842" s="17">
        <f>IF($B1842="","",CHOOSE(WEEKDAY($B1842,2),"Segunda","Terça","Quarta","Quinta","Sexta","Sábado","Domingo"))</f>
        <v/>
      </c>
      <c r="AD1842" s="17">
        <f>IF($B1842="","",TEXT($B1842,"MM/AAAA"))</f>
        <v/>
      </c>
      <c r="AE1842" s="18">
        <f>IF(COUNTA($B1842:$R1842)=0,"",IF($X1842="Cancelado",0,ROUND(N($Q1842)+N($S1842)+N($T1842)-N($U1842),2)))</f>
        <v/>
      </c>
      <c r="AF1842" s="9">
        <f>IF($G1842="","",IFERROR(INDEX(LINHAS_DRE_PLANO,MATCH($G1842,SUBCATEGORIAS_PLANO,0)),"Não classificado"))</f>
        <v/>
      </c>
      <c r="AG1842" s="17">
        <f>IF($G1842="","",IFERROR(INDEX(TIPOS_FLUXO_PLANO,MATCH($G1842,SUBCATEGORIAS_PLANO,0)),"Não classificado"))</f>
        <v/>
      </c>
      <c r="AH1842" s="9">
        <f>IF($G1842="","",IFERROR(INDEX(GRUPOS_PLANO,MATCH($G1842,SUBCATEGORIAS_PLANO,0)),"Não classificado"))</f>
        <v/>
      </c>
      <c r="AI1842" s="24">
        <f>IF(OR($C1842="",$X1842="Pago",$X1842="Recebido",$X1842="Cancelado"),"",$C1842-TODAY())</f>
        <v/>
      </c>
      <c r="AJ1842" s="24">
        <f>IF(OR($C1842="",$X1842="Pago",$X1842="Recebido",$X1842="Cancelado"),0,MAX(0,TODAY()-$C1842))</f>
        <v/>
      </c>
      <c r="AK1842" s="24">
        <f>IF($D1842="","",$D1842-$B1842)</f>
        <v/>
      </c>
      <c r="AL1842" s="18">
        <f>IF(OR($D1842="",$B1842=""),"",ROUND(N($R1842)*($D1842-$B1842),2))</f>
        <v/>
      </c>
      <c r="AM1842" s="17">
        <f>IF(AND($E1842="Saída",$W1842&gt;0,$C1842&lt;&gt;""),$C1842+ROW()/1000000,"")</f>
        <v/>
      </c>
      <c r="AN1842" s="17">
        <f>IF(AND($E1842="Entrada",$W1842&gt;0,$C1842&lt;&gt;""),$C1842+ROW()/1000000,"")</f>
        <v/>
      </c>
      <c r="AO1842" s="9">
        <f>IF(COUNTA($B1842:$R1842)=0,"",IF(AND($I1842&lt;&gt;"",COUNTIF(CLIENTES_NOMES,$I1842)+COUNTIF(CLIENTES_FANTASIA,$I1842)+COUNTIF(FORNECEDORES_NOMES,$I1842)+COUNTIF(FORNECEDORES_FANTASIA,$I1842)=0),"⚠ Cliente/Fornecedor não cadastrado",IF(AND($G1842&lt;&gt;"",COUNTIF(SUBCATEGORIAS_PLANO,$G1842)=0),"⚠ Subcategoria fora do plano de contas",IF(OR($Q1842="",N($Q1842)=0),"⚠ Valor previsto não informado",IF(AND(OR($X1842="Pago",$X1842="Recebido"),$D1842=""),"⚠ Status pago/recebido sem data",IF(AND($D1842&lt;&gt;"",N($R1842)=0),"⚠ Data de pagamento sem valor realizado",IF(AND(N($P1842)&gt;1,N($O1842)&gt;N($P1842)),"⚠ Nº da parcela maior que o total",IF(AND($C1842&lt;&gt;"",$B1842&lt;&gt;"",$C1842&lt;$B1842),"⚠ Vencimento anterior à competência","OK"))))))))</f>
        <v/>
      </c>
    </row>
    <row r="1843">
      <c r="A1843" s="14" t="n"/>
      <c r="B1843" s="36" t="n"/>
      <c r="C1843" s="36" t="n"/>
      <c r="D1843" s="36" t="n"/>
      <c r="E1843" s="14" t="n"/>
      <c r="F1843" s="29" t="n"/>
      <c r="G1843" s="29" t="n"/>
      <c r="H1843" s="29" t="n"/>
      <c r="I1843" s="29" t="n"/>
      <c r="J1843" s="29" t="n"/>
      <c r="K1843" s="14" t="n"/>
      <c r="L1843" s="29" t="n"/>
      <c r="M1843" s="14" t="n"/>
      <c r="N1843" s="29" t="n"/>
      <c r="O1843" s="13" t="n"/>
      <c r="P1843" s="13" t="n"/>
      <c r="Q1843" s="35" t="n"/>
      <c r="R1843" s="35" t="n"/>
      <c r="S1843" s="35" t="n"/>
      <c r="T1843" s="35" t="n"/>
      <c r="U1843" s="35" t="n"/>
      <c r="V1843" s="18">
        <f>IF(COUNTA($B1843:$R1843)=0,"",ROUND(N($R1843)+N($S1843)+N($T1843)-N($U1843),2))</f>
        <v/>
      </c>
      <c r="W1843" s="18">
        <f>IF(COUNTA($B1843:$R1843)=0,"",IF(OR($X1843="Pago",$X1843="Recebido",$X1843="Cancelado"),0,ROUND(N($Q1843)+N($S1843)+N($T1843)-N($U1843)-N($R1843),2)))</f>
        <v/>
      </c>
      <c r="X1843" s="14" t="n"/>
      <c r="Y1843" s="17">
        <f>IF(COUNTA($B1843:$R1843)=0,"",IF($X1843="Cancelado","Cancelado",IF(OR($X1843="Pago",$X1843="Recebido"),$X1843,IF(OR($X1843="Parcial",N($R1843)&gt;0),"Parcial",IF($C1843="","Sem vencimento",IF($C1843&lt;TODAY(),"Vencido",IF($C1843=TODAY(),"Vence hoje",IF($C1843&lt;=TODAY()+7,"Vence em 7 dias",IF($C1843&lt;=TODAY()+30,"Vence em 30 dias","Futuro")))))))))</f>
        <v/>
      </c>
      <c r="Z1843" s="24">
        <f>IF($B1843="","",MONTH($B1843))</f>
        <v/>
      </c>
      <c r="AA1843" s="24">
        <f>IF($B1843="","",YEAR($B1843))</f>
        <v/>
      </c>
      <c r="AB1843" s="24">
        <f>IF($B1843="","",ISOWEEKNUM($B1843))</f>
        <v/>
      </c>
      <c r="AC1843" s="17">
        <f>IF($B1843="","",CHOOSE(WEEKDAY($B1843,2),"Segunda","Terça","Quarta","Quinta","Sexta","Sábado","Domingo"))</f>
        <v/>
      </c>
      <c r="AD1843" s="17">
        <f>IF($B1843="","",TEXT($B1843,"MM/AAAA"))</f>
        <v/>
      </c>
      <c r="AE1843" s="18">
        <f>IF(COUNTA($B1843:$R1843)=0,"",IF($X1843="Cancelado",0,ROUND(N($Q1843)+N($S1843)+N($T1843)-N($U1843),2)))</f>
        <v/>
      </c>
      <c r="AF1843" s="9">
        <f>IF($G1843="","",IFERROR(INDEX(LINHAS_DRE_PLANO,MATCH($G1843,SUBCATEGORIAS_PLANO,0)),"Não classificado"))</f>
        <v/>
      </c>
      <c r="AG1843" s="17">
        <f>IF($G1843="","",IFERROR(INDEX(TIPOS_FLUXO_PLANO,MATCH($G1843,SUBCATEGORIAS_PLANO,0)),"Não classificado"))</f>
        <v/>
      </c>
      <c r="AH1843" s="9">
        <f>IF($G1843="","",IFERROR(INDEX(GRUPOS_PLANO,MATCH($G1843,SUBCATEGORIAS_PLANO,0)),"Não classificado"))</f>
        <v/>
      </c>
      <c r="AI1843" s="24">
        <f>IF(OR($C1843="",$X1843="Pago",$X1843="Recebido",$X1843="Cancelado"),"",$C1843-TODAY())</f>
        <v/>
      </c>
      <c r="AJ1843" s="24">
        <f>IF(OR($C1843="",$X1843="Pago",$X1843="Recebido",$X1843="Cancelado"),0,MAX(0,TODAY()-$C1843))</f>
        <v/>
      </c>
      <c r="AK1843" s="24">
        <f>IF($D1843="","",$D1843-$B1843)</f>
        <v/>
      </c>
      <c r="AL1843" s="18">
        <f>IF(OR($D1843="",$B1843=""),"",ROUND(N($R1843)*($D1843-$B1843),2))</f>
        <v/>
      </c>
      <c r="AM1843" s="17">
        <f>IF(AND($E1843="Saída",$W1843&gt;0,$C1843&lt;&gt;""),$C1843+ROW()/1000000,"")</f>
        <v/>
      </c>
      <c r="AN1843" s="17">
        <f>IF(AND($E1843="Entrada",$W1843&gt;0,$C1843&lt;&gt;""),$C1843+ROW()/1000000,"")</f>
        <v/>
      </c>
      <c r="AO1843" s="9">
        <f>IF(COUNTA($B1843:$R1843)=0,"",IF(AND($I1843&lt;&gt;"",COUNTIF(CLIENTES_NOMES,$I1843)+COUNTIF(CLIENTES_FANTASIA,$I1843)+COUNTIF(FORNECEDORES_NOMES,$I1843)+COUNTIF(FORNECEDORES_FANTASIA,$I1843)=0),"⚠ Cliente/Fornecedor não cadastrado",IF(AND($G1843&lt;&gt;"",COUNTIF(SUBCATEGORIAS_PLANO,$G1843)=0),"⚠ Subcategoria fora do plano de contas",IF(OR($Q1843="",N($Q1843)=0),"⚠ Valor previsto não informado",IF(AND(OR($X1843="Pago",$X1843="Recebido"),$D1843=""),"⚠ Status pago/recebido sem data",IF(AND($D1843&lt;&gt;"",N($R1843)=0),"⚠ Data de pagamento sem valor realizado",IF(AND(N($P1843)&gt;1,N($O1843)&gt;N($P1843)),"⚠ Nº da parcela maior que o total",IF(AND($C1843&lt;&gt;"",$B1843&lt;&gt;"",$C1843&lt;$B1843),"⚠ Vencimento anterior à competência","OK"))))))))</f>
        <v/>
      </c>
    </row>
    <row r="1844">
      <c r="A1844" s="14" t="n"/>
      <c r="B1844" s="36" t="n"/>
      <c r="C1844" s="36" t="n"/>
      <c r="D1844" s="36" t="n"/>
      <c r="E1844" s="14" t="n"/>
      <c r="F1844" s="29" t="n"/>
      <c r="G1844" s="29" t="n"/>
      <c r="H1844" s="29" t="n"/>
      <c r="I1844" s="29" t="n"/>
      <c r="J1844" s="29" t="n"/>
      <c r="K1844" s="14" t="n"/>
      <c r="L1844" s="29" t="n"/>
      <c r="M1844" s="14" t="n"/>
      <c r="N1844" s="29" t="n"/>
      <c r="O1844" s="13" t="n"/>
      <c r="P1844" s="13" t="n"/>
      <c r="Q1844" s="35" t="n"/>
      <c r="R1844" s="35" t="n"/>
      <c r="S1844" s="35" t="n"/>
      <c r="T1844" s="35" t="n"/>
      <c r="U1844" s="35" t="n"/>
      <c r="V1844" s="18">
        <f>IF(COUNTA($B1844:$R1844)=0,"",ROUND(N($R1844)+N($S1844)+N($T1844)-N($U1844),2))</f>
        <v/>
      </c>
      <c r="W1844" s="18">
        <f>IF(COUNTA($B1844:$R1844)=0,"",IF(OR($X1844="Pago",$X1844="Recebido",$X1844="Cancelado"),0,ROUND(N($Q1844)+N($S1844)+N($T1844)-N($U1844)-N($R1844),2)))</f>
        <v/>
      </c>
      <c r="X1844" s="14" t="n"/>
      <c r="Y1844" s="17">
        <f>IF(COUNTA($B1844:$R1844)=0,"",IF($X1844="Cancelado","Cancelado",IF(OR($X1844="Pago",$X1844="Recebido"),$X1844,IF(OR($X1844="Parcial",N($R1844)&gt;0),"Parcial",IF($C1844="","Sem vencimento",IF($C1844&lt;TODAY(),"Vencido",IF($C1844=TODAY(),"Vence hoje",IF($C1844&lt;=TODAY()+7,"Vence em 7 dias",IF($C1844&lt;=TODAY()+30,"Vence em 30 dias","Futuro")))))))))</f>
        <v/>
      </c>
      <c r="Z1844" s="24">
        <f>IF($B1844="","",MONTH($B1844))</f>
        <v/>
      </c>
      <c r="AA1844" s="24">
        <f>IF($B1844="","",YEAR($B1844))</f>
        <v/>
      </c>
      <c r="AB1844" s="24">
        <f>IF($B1844="","",ISOWEEKNUM($B1844))</f>
        <v/>
      </c>
      <c r="AC1844" s="17">
        <f>IF($B1844="","",CHOOSE(WEEKDAY($B1844,2),"Segunda","Terça","Quarta","Quinta","Sexta","Sábado","Domingo"))</f>
        <v/>
      </c>
      <c r="AD1844" s="17">
        <f>IF($B1844="","",TEXT($B1844,"MM/AAAA"))</f>
        <v/>
      </c>
      <c r="AE1844" s="18">
        <f>IF(COUNTA($B1844:$R1844)=0,"",IF($X1844="Cancelado",0,ROUND(N($Q1844)+N($S1844)+N($T1844)-N($U1844),2)))</f>
        <v/>
      </c>
      <c r="AF1844" s="9">
        <f>IF($G1844="","",IFERROR(INDEX(LINHAS_DRE_PLANO,MATCH($G1844,SUBCATEGORIAS_PLANO,0)),"Não classificado"))</f>
        <v/>
      </c>
      <c r="AG1844" s="17">
        <f>IF($G1844="","",IFERROR(INDEX(TIPOS_FLUXO_PLANO,MATCH($G1844,SUBCATEGORIAS_PLANO,0)),"Não classificado"))</f>
        <v/>
      </c>
      <c r="AH1844" s="9">
        <f>IF($G1844="","",IFERROR(INDEX(GRUPOS_PLANO,MATCH($G1844,SUBCATEGORIAS_PLANO,0)),"Não classificado"))</f>
        <v/>
      </c>
      <c r="AI1844" s="24">
        <f>IF(OR($C1844="",$X1844="Pago",$X1844="Recebido",$X1844="Cancelado"),"",$C1844-TODAY())</f>
        <v/>
      </c>
      <c r="AJ1844" s="24">
        <f>IF(OR($C1844="",$X1844="Pago",$X1844="Recebido",$X1844="Cancelado"),0,MAX(0,TODAY()-$C1844))</f>
        <v/>
      </c>
      <c r="AK1844" s="24">
        <f>IF($D1844="","",$D1844-$B1844)</f>
        <v/>
      </c>
      <c r="AL1844" s="18">
        <f>IF(OR($D1844="",$B1844=""),"",ROUND(N($R1844)*($D1844-$B1844),2))</f>
        <v/>
      </c>
      <c r="AM1844" s="17">
        <f>IF(AND($E1844="Saída",$W1844&gt;0,$C1844&lt;&gt;""),$C1844+ROW()/1000000,"")</f>
        <v/>
      </c>
      <c r="AN1844" s="17">
        <f>IF(AND($E1844="Entrada",$W1844&gt;0,$C1844&lt;&gt;""),$C1844+ROW()/1000000,"")</f>
        <v/>
      </c>
      <c r="AO1844" s="9">
        <f>IF(COUNTA($B1844:$R1844)=0,"",IF(AND($I1844&lt;&gt;"",COUNTIF(CLIENTES_NOMES,$I1844)+COUNTIF(CLIENTES_FANTASIA,$I1844)+COUNTIF(FORNECEDORES_NOMES,$I1844)+COUNTIF(FORNECEDORES_FANTASIA,$I1844)=0),"⚠ Cliente/Fornecedor não cadastrado",IF(AND($G1844&lt;&gt;"",COUNTIF(SUBCATEGORIAS_PLANO,$G1844)=0),"⚠ Subcategoria fora do plano de contas",IF(OR($Q1844="",N($Q1844)=0),"⚠ Valor previsto não informado",IF(AND(OR($X1844="Pago",$X1844="Recebido"),$D1844=""),"⚠ Status pago/recebido sem data",IF(AND($D1844&lt;&gt;"",N($R1844)=0),"⚠ Data de pagamento sem valor realizado",IF(AND(N($P1844)&gt;1,N($O1844)&gt;N($P1844)),"⚠ Nº da parcela maior que o total",IF(AND($C1844&lt;&gt;"",$B1844&lt;&gt;"",$C1844&lt;$B1844),"⚠ Vencimento anterior à competência","OK"))))))))</f>
        <v/>
      </c>
    </row>
    <row r="1845">
      <c r="A1845" s="14" t="n"/>
      <c r="B1845" s="36" t="n"/>
      <c r="C1845" s="36" t="n"/>
      <c r="D1845" s="36" t="n"/>
      <c r="E1845" s="14" t="n"/>
      <c r="F1845" s="29" t="n"/>
      <c r="G1845" s="29" t="n"/>
      <c r="H1845" s="29" t="n"/>
      <c r="I1845" s="29" t="n"/>
      <c r="J1845" s="29" t="n"/>
      <c r="K1845" s="14" t="n"/>
      <c r="L1845" s="29" t="n"/>
      <c r="M1845" s="14" t="n"/>
      <c r="N1845" s="29" t="n"/>
      <c r="O1845" s="13" t="n"/>
      <c r="P1845" s="13" t="n"/>
      <c r="Q1845" s="35" t="n"/>
      <c r="R1845" s="35" t="n"/>
      <c r="S1845" s="35" t="n"/>
      <c r="T1845" s="35" t="n"/>
      <c r="U1845" s="35" t="n"/>
      <c r="V1845" s="18">
        <f>IF(COUNTA($B1845:$R1845)=0,"",ROUND(N($R1845)+N($S1845)+N($T1845)-N($U1845),2))</f>
        <v/>
      </c>
      <c r="W1845" s="18">
        <f>IF(COUNTA($B1845:$R1845)=0,"",IF(OR($X1845="Pago",$X1845="Recebido",$X1845="Cancelado"),0,ROUND(N($Q1845)+N($S1845)+N($T1845)-N($U1845)-N($R1845),2)))</f>
        <v/>
      </c>
      <c r="X1845" s="14" t="n"/>
      <c r="Y1845" s="17">
        <f>IF(COUNTA($B1845:$R1845)=0,"",IF($X1845="Cancelado","Cancelado",IF(OR($X1845="Pago",$X1845="Recebido"),$X1845,IF(OR($X1845="Parcial",N($R1845)&gt;0),"Parcial",IF($C1845="","Sem vencimento",IF($C1845&lt;TODAY(),"Vencido",IF($C1845=TODAY(),"Vence hoje",IF($C1845&lt;=TODAY()+7,"Vence em 7 dias",IF($C1845&lt;=TODAY()+30,"Vence em 30 dias","Futuro")))))))))</f>
        <v/>
      </c>
      <c r="Z1845" s="24">
        <f>IF($B1845="","",MONTH($B1845))</f>
        <v/>
      </c>
      <c r="AA1845" s="24">
        <f>IF($B1845="","",YEAR($B1845))</f>
        <v/>
      </c>
      <c r="AB1845" s="24">
        <f>IF($B1845="","",ISOWEEKNUM($B1845))</f>
        <v/>
      </c>
      <c r="AC1845" s="17">
        <f>IF($B1845="","",CHOOSE(WEEKDAY($B1845,2),"Segunda","Terça","Quarta","Quinta","Sexta","Sábado","Domingo"))</f>
        <v/>
      </c>
      <c r="AD1845" s="17">
        <f>IF($B1845="","",TEXT($B1845,"MM/AAAA"))</f>
        <v/>
      </c>
      <c r="AE1845" s="18">
        <f>IF(COUNTA($B1845:$R1845)=0,"",IF($X1845="Cancelado",0,ROUND(N($Q1845)+N($S1845)+N($T1845)-N($U1845),2)))</f>
        <v/>
      </c>
      <c r="AF1845" s="9">
        <f>IF($G1845="","",IFERROR(INDEX(LINHAS_DRE_PLANO,MATCH($G1845,SUBCATEGORIAS_PLANO,0)),"Não classificado"))</f>
        <v/>
      </c>
      <c r="AG1845" s="17">
        <f>IF($G1845="","",IFERROR(INDEX(TIPOS_FLUXO_PLANO,MATCH($G1845,SUBCATEGORIAS_PLANO,0)),"Não classificado"))</f>
        <v/>
      </c>
      <c r="AH1845" s="9">
        <f>IF($G1845="","",IFERROR(INDEX(GRUPOS_PLANO,MATCH($G1845,SUBCATEGORIAS_PLANO,0)),"Não classificado"))</f>
        <v/>
      </c>
      <c r="AI1845" s="24">
        <f>IF(OR($C1845="",$X1845="Pago",$X1845="Recebido",$X1845="Cancelado"),"",$C1845-TODAY())</f>
        <v/>
      </c>
      <c r="AJ1845" s="24">
        <f>IF(OR($C1845="",$X1845="Pago",$X1845="Recebido",$X1845="Cancelado"),0,MAX(0,TODAY()-$C1845))</f>
        <v/>
      </c>
      <c r="AK1845" s="24">
        <f>IF($D1845="","",$D1845-$B1845)</f>
        <v/>
      </c>
      <c r="AL1845" s="18">
        <f>IF(OR($D1845="",$B1845=""),"",ROUND(N($R1845)*($D1845-$B1845),2))</f>
        <v/>
      </c>
      <c r="AM1845" s="17">
        <f>IF(AND($E1845="Saída",$W1845&gt;0,$C1845&lt;&gt;""),$C1845+ROW()/1000000,"")</f>
        <v/>
      </c>
      <c r="AN1845" s="17">
        <f>IF(AND($E1845="Entrada",$W1845&gt;0,$C1845&lt;&gt;""),$C1845+ROW()/1000000,"")</f>
        <v/>
      </c>
      <c r="AO1845" s="9">
        <f>IF(COUNTA($B1845:$R1845)=0,"",IF(AND($I1845&lt;&gt;"",COUNTIF(CLIENTES_NOMES,$I1845)+COUNTIF(CLIENTES_FANTASIA,$I1845)+COUNTIF(FORNECEDORES_NOMES,$I1845)+COUNTIF(FORNECEDORES_FANTASIA,$I1845)=0),"⚠ Cliente/Fornecedor não cadastrado",IF(AND($G1845&lt;&gt;"",COUNTIF(SUBCATEGORIAS_PLANO,$G1845)=0),"⚠ Subcategoria fora do plano de contas",IF(OR($Q1845="",N($Q1845)=0),"⚠ Valor previsto não informado",IF(AND(OR($X1845="Pago",$X1845="Recebido"),$D1845=""),"⚠ Status pago/recebido sem data",IF(AND($D1845&lt;&gt;"",N($R1845)=0),"⚠ Data de pagamento sem valor realizado",IF(AND(N($P1845)&gt;1,N($O1845)&gt;N($P1845)),"⚠ Nº da parcela maior que o total",IF(AND($C1845&lt;&gt;"",$B1845&lt;&gt;"",$C1845&lt;$B1845),"⚠ Vencimento anterior à competência","OK"))))))))</f>
        <v/>
      </c>
    </row>
    <row r="1846">
      <c r="A1846" s="14" t="n"/>
      <c r="B1846" s="36" t="n"/>
      <c r="C1846" s="36" t="n"/>
      <c r="D1846" s="36" t="n"/>
      <c r="E1846" s="14" t="n"/>
      <c r="F1846" s="29" t="n"/>
      <c r="G1846" s="29" t="n"/>
      <c r="H1846" s="29" t="n"/>
      <c r="I1846" s="29" t="n"/>
      <c r="J1846" s="29" t="n"/>
      <c r="K1846" s="14" t="n"/>
      <c r="L1846" s="29" t="n"/>
      <c r="M1846" s="14" t="n"/>
      <c r="N1846" s="29" t="n"/>
      <c r="O1846" s="13" t="n"/>
      <c r="P1846" s="13" t="n"/>
      <c r="Q1846" s="35" t="n"/>
      <c r="R1846" s="35" t="n"/>
      <c r="S1846" s="35" t="n"/>
      <c r="T1846" s="35" t="n"/>
      <c r="U1846" s="35" t="n"/>
      <c r="V1846" s="18">
        <f>IF(COUNTA($B1846:$R1846)=0,"",ROUND(N($R1846)+N($S1846)+N($T1846)-N($U1846),2))</f>
        <v/>
      </c>
      <c r="W1846" s="18">
        <f>IF(COUNTA($B1846:$R1846)=0,"",IF(OR($X1846="Pago",$X1846="Recebido",$X1846="Cancelado"),0,ROUND(N($Q1846)+N($S1846)+N($T1846)-N($U1846)-N($R1846),2)))</f>
        <v/>
      </c>
      <c r="X1846" s="14" t="n"/>
      <c r="Y1846" s="17">
        <f>IF(COUNTA($B1846:$R1846)=0,"",IF($X1846="Cancelado","Cancelado",IF(OR($X1846="Pago",$X1846="Recebido"),$X1846,IF(OR($X1846="Parcial",N($R1846)&gt;0),"Parcial",IF($C1846="","Sem vencimento",IF($C1846&lt;TODAY(),"Vencido",IF($C1846=TODAY(),"Vence hoje",IF($C1846&lt;=TODAY()+7,"Vence em 7 dias",IF($C1846&lt;=TODAY()+30,"Vence em 30 dias","Futuro")))))))))</f>
        <v/>
      </c>
      <c r="Z1846" s="24">
        <f>IF($B1846="","",MONTH($B1846))</f>
        <v/>
      </c>
      <c r="AA1846" s="24">
        <f>IF($B1846="","",YEAR($B1846))</f>
        <v/>
      </c>
      <c r="AB1846" s="24">
        <f>IF($B1846="","",ISOWEEKNUM($B1846))</f>
        <v/>
      </c>
      <c r="AC1846" s="17">
        <f>IF($B1846="","",CHOOSE(WEEKDAY($B1846,2),"Segunda","Terça","Quarta","Quinta","Sexta","Sábado","Domingo"))</f>
        <v/>
      </c>
      <c r="AD1846" s="17">
        <f>IF($B1846="","",TEXT($B1846,"MM/AAAA"))</f>
        <v/>
      </c>
      <c r="AE1846" s="18">
        <f>IF(COUNTA($B1846:$R1846)=0,"",IF($X1846="Cancelado",0,ROUND(N($Q1846)+N($S1846)+N($T1846)-N($U1846),2)))</f>
        <v/>
      </c>
      <c r="AF1846" s="9">
        <f>IF($G1846="","",IFERROR(INDEX(LINHAS_DRE_PLANO,MATCH($G1846,SUBCATEGORIAS_PLANO,0)),"Não classificado"))</f>
        <v/>
      </c>
      <c r="AG1846" s="17">
        <f>IF($G1846="","",IFERROR(INDEX(TIPOS_FLUXO_PLANO,MATCH($G1846,SUBCATEGORIAS_PLANO,0)),"Não classificado"))</f>
        <v/>
      </c>
      <c r="AH1846" s="9">
        <f>IF($G1846="","",IFERROR(INDEX(GRUPOS_PLANO,MATCH($G1846,SUBCATEGORIAS_PLANO,0)),"Não classificado"))</f>
        <v/>
      </c>
      <c r="AI1846" s="24">
        <f>IF(OR($C1846="",$X1846="Pago",$X1846="Recebido",$X1846="Cancelado"),"",$C1846-TODAY())</f>
        <v/>
      </c>
      <c r="AJ1846" s="24">
        <f>IF(OR($C1846="",$X1846="Pago",$X1846="Recebido",$X1846="Cancelado"),0,MAX(0,TODAY()-$C1846))</f>
        <v/>
      </c>
      <c r="AK1846" s="24">
        <f>IF($D1846="","",$D1846-$B1846)</f>
        <v/>
      </c>
      <c r="AL1846" s="18">
        <f>IF(OR($D1846="",$B1846=""),"",ROUND(N($R1846)*($D1846-$B1846),2))</f>
        <v/>
      </c>
      <c r="AM1846" s="17">
        <f>IF(AND($E1846="Saída",$W1846&gt;0,$C1846&lt;&gt;""),$C1846+ROW()/1000000,"")</f>
        <v/>
      </c>
      <c r="AN1846" s="17">
        <f>IF(AND($E1846="Entrada",$W1846&gt;0,$C1846&lt;&gt;""),$C1846+ROW()/1000000,"")</f>
        <v/>
      </c>
      <c r="AO1846" s="9">
        <f>IF(COUNTA($B1846:$R1846)=0,"",IF(AND($I1846&lt;&gt;"",COUNTIF(CLIENTES_NOMES,$I1846)+COUNTIF(CLIENTES_FANTASIA,$I1846)+COUNTIF(FORNECEDORES_NOMES,$I1846)+COUNTIF(FORNECEDORES_FANTASIA,$I1846)=0),"⚠ Cliente/Fornecedor não cadastrado",IF(AND($G1846&lt;&gt;"",COUNTIF(SUBCATEGORIAS_PLANO,$G1846)=0),"⚠ Subcategoria fora do plano de contas",IF(OR($Q1846="",N($Q1846)=0),"⚠ Valor previsto não informado",IF(AND(OR($X1846="Pago",$X1846="Recebido"),$D1846=""),"⚠ Status pago/recebido sem data",IF(AND($D1846&lt;&gt;"",N($R1846)=0),"⚠ Data de pagamento sem valor realizado",IF(AND(N($P1846)&gt;1,N($O1846)&gt;N($P1846)),"⚠ Nº da parcela maior que o total",IF(AND($C1846&lt;&gt;"",$B1846&lt;&gt;"",$C1846&lt;$B1846),"⚠ Vencimento anterior à competência","OK"))))))))</f>
        <v/>
      </c>
    </row>
    <row r="1847">
      <c r="A1847" s="14" t="n"/>
      <c r="B1847" s="36" t="n"/>
      <c r="C1847" s="36" t="n"/>
      <c r="D1847" s="36" t="n"/>
      <c r="E1847" s="14" t="n"/>
      <c r="F1847" s="29" t="n"/>
      <c r="G1847" s="29" t="n"/>
      <c r="H1847" s="29" t="n"/>
      <c r="I1847" s="29" t="n"/>
      <c r="J1847" s="29" t="n"/>
      <c r="K1847" s="14" t="n"/>
      <c r="L1847" s="29" t="n"/>
      <c r="M1847" s="14" t="n"/>
      <c r="N1847" s="29" t="n"/>
      <c r="O1847" s="13" t="n"/>
      <c r="P1847" s="13" t="n"/>
      <c r="Q1847" s="35" t="n"/>
      <c r="R1847" s="35" t="n"/>
      <c r="S1847" s="35" t="n"/>
      <c r="T1847" s="35" t="n"/>
      <c r="U1847" s="35" t="n"/>
      <c r="V1847" s="18">
        <f>IF(COUNTA($B1847:$R1847)=0,"",ROUND(N($R1847)+N($S1847)+N($T1847)-N($U1847),2))</f>
        <v/>
      </c>
      <c r="W1847" s="18">
        <f>IF(COUNTA($B1847:$R1847)=0,"",IF(OR($X1847="Pago",$X1847="Recebido",$X1847="Cancelado"),0,ROUND(N($Q1847)+N($S1847)+N($T1847)-N($U1847)-N($R1847),2)))</f>
        <v/>
      </c>
      <c r="X1847" s="14" t="n"/>
      <c r="Y1847" s="17">
        <f>IF(COUNTA($B1847:$R1847)=0,"",IF($X1847="Cancelado","Cancelado",IF(OR($X1847="Pago",$X1847="Recebido"),$X1847,IF(OR($X1847="Parcial",N($R1847)&gt;0),"Parcial",IF($C1847="","Sem vencimento",IF($C1847&lt;TODAY(),"Vencido",IF($C1847=TODAY(),"Vence hoje",IF($C1847&lt;=TODAY()+7,"Vence em 7 dias",IF($C1847&lt;=TODAY()+30,"Vence em 30 dias","Futuro")))))))))</f>
        <v/>
      </c>
      <c r="Z1847" s="24">
        <f>IF($B1847="","",MONTH($B1847))</f>
        <v/>
      </c>
      <c r="AA1847" s="24">
        <f>IF($B1847="","",YEAR($B1847))</f>
        <v/>
      </c>
      <c r="AB1847" s="24">
        <f>IF($B1847="","",ISOWEEKNUM($B1847))</f>
        <v/>
      </c>
      <c r="AC1847" s="17">
        <f>IF($B1847="","",CHOOSE(WEEKDAY($B1847,2),"Segunda","Terça","Quarta","Quinta","Sexta","Sábado","Domingo"))</f>
        <v/>
      </c>
      <c r="AD1847" s="17">
        <f>IF($B1847="","",TEXT($B1847,"MM/AAAA"))</f>
        <v/>
      </c>
      <c r="AE1847" s="18">
        <f>IF(COUNTA($B1847:$R1847)=0,"",IF($X1847="Cancelado",0,ROUND(N($Q1847)+N($S1847)+N($T1847)-N($U1847),2)))</f>
        <v/>
      </c>
      <c r="AF1847" s="9">
        <f>IF($G1847="","",IFERROR(INDEX(LINHAS_DRE_PLANO,MATCH($G1847,SUBCATEGORIAS_PLANO,0)),"Não classificado"))</f>
        <v/>
      </c>
      <c r="AG1847" s="17">
        <f>IF($G1847="","",IFERROR(INDEX(TIPOS_FLUXO_PLANO,MATCH($G1847,SUBCATEGORIAS_PLANO,0)),"Não classificado"))</f>
        <v/>
      </c>
      <c r="AH1847" s="9">
        <f>IF($G1847="","",IFERROR(INDEX(GRUPOS_PLANO,MATCH($G1847,SUBCATEGORIAS_PLANO,0)),"Não classificado"))</f>
        <v/>
      </c>
      <c r="AI1847" s="24">
        <f>IF(OR($C1847="",$X1847="Pago",$X1847="Recebido",$X1847="Cancelado"),"",$C1847-TODAY())</f>
        <v/>
      </c>
      <c r="AJ1847" s="24">
        <f>IF(OR($C1847="",$X1847="Pago",$X1847="Recebido",$X1847="Cancelado"),0,MAX(0,TODAY()-$C1847))</f>
        <v/>
      </c>
      <c r="AK1847" s="24">
        <f>IF($D1847="","",$D1847-$B1847)</f>
        <v/>
      </c>
      <c r="AL1847" s="18">
        <f>IF(OR($D1847="",$B1847=""),"",ROUND(N($R1847)*($D1847-$B1847),2))</f>
        <v/>
      </c>
      <c r="AM1847" s="17">
        <f>IF(AND($E1847="Saída",$W1847&gt;0,$C1847&lt;&gt;""),$C1847+ROW()/1000000,"")</f>
        <v/>
      </c>
      <c r="AN1847" s="17">
        <f>IF(AND($E1847="Entrada",$W1847&gt;0,$C1847&lt;&gt;""),$C1847+ROW()/1000000,"")</f>
        <v/>
      </c>
      <c r="AO1847" s="9">
        <f>IF(COUNTA($B1847:$R1847)=0,"",IF(AND($I1847&lt;&gt;"",COUNTIF(CLIENTES_NOMES,$I1847)+COUNTIF(CLIENTES_FANTASIA,$I1847)+COUNTIF(FORNECEDORES_NOMES,$I1847)+COUNTIF(FORNECEDORES_FANTASIA,$I1847)=0),"⚠ Cliente/Fornecedor não cadastrado",IF(AND($G1847&lt;&gt;"",COUNTIF(SUBCATEGORIAS_PLANO,$G1847)=0),"⚠ Subcategoria fora do plano de contas",IF(OR($Q1847="",N($Q1847)=0),"⚠ Valor previsto não informado",IF(AND(OR($X1847="Pago",$X1847="Recebido"),$D1847=""),"⚠ Status pago/recebido sem data",IF(AND($D1847&lt;&gt;"",N($R1847)=0),"⚠ Data de pagamento sem valor realizado",IF(AND(N($P1847)&gt;1,N($O1847)&gt;N($P1847)),"⚠ Nº da parcela maior que o total",IF(AND($C1847&lt;&gt;"",$B1847&lt;&gt;"",$C1847&lt;$B1847),"⚠ Vencimento anterior à competência","OK"))))))))</f>
        <v/>
      </c>
    </row>
    <row r="1848">
      <c r="A1848" s="14" t="n"/>
      <c r="B1848" s="36" t="n"/>
      <c r="C1848" s="36" t="n"/>
      <c r="D1848" s="36" t="n"/>
      <c r="E1848" s="14" t="n"/>
      <c r="F1848" s="29" t="n"/>
      <c r="G1848" s="29" t="n"/>
      <c r="H1848" s="29" t="n"/>
      <c r="I1848" s="29" t="n"/>
      <c r="J1848" s="29" t="n"/>
      <c r="K1848" s="14" t="n"/>
      <c r="L1848" s="29" t="n"/>
      <c r="M1848" s="14" t="n"/>
      <c r="N1848" s="29" t="n"/>
      <c r="O1848" s="13" t="n"/>
      <c r="P1848" s="13" t="n"/>
      <c r="Q1848" s="35" t="n"/>
      <c r="R1848" s="35" t="n"/>
      <c r="S1848" s="35" t="n"/>
      <c r="T1848" s="35" t="n"/>
      <c r="U1848" s="35" t="n"/>
      <c r="V1848" s="18">
        <f>IF(COUNTA($B1848:$R1848)=0,"",ROUND(N($R1848)+N($S1848)+N($T1848)-N($U1848),2))</f>
        <v/>
      </c>
      <c r="W1848" s="18">
        <f>IF(COUNTA($B1848:$R1848)=0,"",IF(OR($X1848="Pago",$X1848="Recebido",$X1848="Cancelado"),0,ROUND(N($Q1848)+N($S1848)+N($T1848)-N($U1848)-N($R1848),2)))</f>
        <v/>
      </c>
      <c r="X1848" s="14" t="n"/>
      <c r="Y1848" s="17">
        <f>IF(COUNTA($B1848:$R1848)=0,"",IF($X1848="Cancelado","Cancelado",IF(OR($X1848="Pago",$X1848="Recebido"),$X1848,IF(OR($X1848="Parcial",N($R1848)&gt;0),"Parcial",IF($C1848="","Sem vencimento",IF($C1848&lt;TODAY(),"Vencido",IF($C1848=TODAY(),"Vence hoje",IF($C1848&lt;=TODAY()+7,"Vence em 7 dias",IF($C1848&lt;=TODAY()+30,"Vence em 30 dias","Futuro")))))))))</f>
        <v/>
      </c>
      <c r="Z1848" s="24">
        <f>IF($B1848="","",MONTH($B1848))</f>
        <v/>
      </c>
      <c r="AA1848" s="24">
        <f>IF($B1848="","",YEAR($B1848))</f>
        <v/>
      </c>
      <c r="AB1848" s="24">
        <f>IF($B1848="","",ISOWEEKNUM($B1848))</f>
        <v/>
      </c>
      <c r="AC1848" s="17">
        <f>IF($B1848="","",CHOOSE(WEEKDAY($B1848,2),"Segunda","Terça","Quarta","Quinta","Sexta","Sábado","Domingo"))</f>
        <v/>
      </c>
      <c r="AD1848" s="17">
        <f>IF($B1848="","",TEXT($B1848,"MM/AAAA"))</f>
        <v/>
      </c>
      <c r="AE1848" s="18">
        <f>IF(COUNTA($B1848:$R1848)=0,"",IF($X1848="Cancelado",0,ROUND(N($Q1848)+N($S1848)+N($T1848)-N($U1848),2)))</f>
        <v/>
      </c>
      <c r="AF1848" s="9">
        <f>IF($G1848="","",IFERROR(INDEX(LINHAS_DRE_PLANO,MATCH($G1848,SUBCATEGORIAS_PLANO,0)),"Não classificado"))</f>
        <v/>
      </c>
      <c r="AG1848" s="17">
        <f>IF($G1848="","",IFERROR(INDEX(TIPOS_FLUXO_PLANO,MATCH($G1848,SUBCATEGORIAS_PLANO,0)),"Não classificado"))</f>
        <v/>
      </c>
      <c r="AH1848" s="9">
        <f>IF($G1848="","",IFERROR(INDEX(GRUPOS_PLANO,MATCH($G1848,SUBCATEGORIAS_PLANO,0)),"Não classificado"))</f>
        <v/>
      </c>
      <c r="AI1848" s="24">
        <f>IF(OR($C1848="",$X1848="Pago",$X1848="Recebido",$X1848="Cancelado"),"",$C1848-TODAY())</f>
        <v/>
      </c>
      <c r="AJ1848" s="24">
        <f>IF(OR($C1848="",$X1848="Pago",$X1848="Recebido",$X1848="Cancelado"),0,MAX(0,TODAY()-$C1848))</f>
        <v/>
      </c>
      <c r="AK1848" s="24">
        <f>IF($D1848="","",$D1848-$B1848)</f>
        <v/>
      </c>
      <c r="AL1848" s="18">
        <f>IF(OR($D1848="",$B1848=""),"",ROUND(N($R1848)*($D1848-$B1848),2))</f>
        <v/>
      </c>
      <c r="AM1848" s="17">
        <f>IF(AND($E1848="Saída",$W1848&gt;0,$C1848&lt;&gt;""),$C1848+ROW()/1000000,"")</f>
        <v/>
      </c>
      <c r="AN1848" s="17">
        <f>IF(AND($E1848="Entrada",$W1848&gt;0,$C1848&lt;&gt;""),$C1848+ROW()/1000000,"")</f>
        <v/>
      </c>
      <c r="AO1848" s="9">
        <f>IF(COUNTA($B1848:$R1848)=0,"",IF(AND($I1848&lt;&gt;"",COUNTIF(CLIENTES_NOMES,$I1848)+COUNTIF(CLIENTES_FANTASIA,$I1848)+COUNTIF(FORNECEDORES_NOMES,$I1848)+COUNTIF(FORNECEDORES_FANTASIA,$I1848)=0),"⚠ Cliente/Fornecedor não cadastrado",IF(AND($G1848&lt;&gt;"",COUNTIF(SUBCATEGORIAS_PLANO,$G1848)=0),"⚠ Subcategoria fora do plano de contas",IF(OR($Q1848="",N($Q1848)=0),"⚠ Valor previsto não informado",IF(AND(OR($X1848="Pago",$X1848="Recebido"),$D1848=""),"⚠ Status pago/recebido sem data",IF(AND($D1848&lt;&gt;"",N($R1848)=0),"⚠ Data de pagamento sem valor realizado",IF(AND(N($P1848)&gt;1,N($O1848)&gt;N($P1848)),"⚠ Nº da parcela maior que o total",IF(AND($C1848&lt;&gt;"",$B1848&lt;&gt;"",$C1848&lt;$B1848),"⚠ Vencimento anterior à competência","OK"))))))))</f>
        <v/>
      </c>
    </row>
    <row r="1849">
      <c r="A1849" s="14" t="n"/>
      <c r="B1849" s="36" t="n"/>
      <c r="C1849" s="36" t="n"/>
      <c r="D1849" s="36" t="n"/>
      <c r="E1849" s="14" t="n"/>
      <c r="F1849" s="29" t="n"/>
      <c r="G1849" s="29" t="n"/>
      <c r="H1849" s="29" t="n"/>
      <c r="I1849" s="29" t="n"/>
      <c r="J1849" s="29" t="n"/>
      <c r="K1849" s="14" t="n"/>
      <c r="L1849" s="29" t="n"/>
      <c r="M1849" s="14" t="n"/>
      <c r="N1849" s="29" t="n"/>
      <c r="O1849" s="13" t="n"/>
      <c r="P1849" s="13" t="n"/>
      <c r="Q1849" s="35" t="n"/>
      <c r="R1849" s="35" t="n"/>
      <c r="S1849" s="35" t="n"/>
      <c r="T1849" s="35" t="n"/>
      <c r="U1849" s="35" t="n"/>
      <c r="V1849" s="18">
        <f>IF(COUNTA($B1849:$R1849)=0,"",ROUND(N($R1849)+N($S1849)+N($T1849)-N($U1849),2))</f>
        <v/>
      </c>
      <c r="W1849" s="18">
        <f>IF(COUNTA($B1849:$R1849)=0,"",IF(OR($X1849="Pago",$X1849="Recebido",$X1849="Cancelado"),0,ROUND(N($Q1849)+N($S1849)+N($T1849)-N($U1849)-N($R1849),2)))</f>
        <v/>
      </c>
      <c r="X1849" s="14" t="n"/>
      <c r="Y1849" s="17">
        <f>IF(COUNTA($B1849:$R1849)=0,"",IF($X1849="Cancelado","Cancelado",IF(OR($X1849="Pago",$X1849="Recebido"),$X1849,IF(OR($X1849="Parcial",N($R1849)&gt;0),"Parcial",IF($C1849="","Sem vencimento",IF($C1849&lt;TODAY(),"Vencido",IF($C1849=TODAY(),"Vence hoje",IF($C1849&lt;=TODAY()+7,"Vence em 7 dias",IF($C1849&lt;=TODAY()+30,"Vence em 30 dias","Futuro")))))))))</f>
        <v/>
      </c>
      <c r="Z1849" s="24">
        <f>IF($B1849="","",MONTH($B1849))</f>
        <v/>
      </c>
      <c r="AA1849" s="24">
        <f>IF($B1849="","",YEAR($B1849))</f>
        <v/>
      </c>
      <c r="AB1849" s="24">
        <f>IF($B1849="","",ISOWEEKNUM($B1849))</f>
        <v/>
      </c>
      <c r="AC1849" s="17">
        <f>IF($B1849="","",CHOOSE(WEEKDAY($B1849,2),"Segunda","Terça","Quarta","Quinta","Sexta","Sábado","Domingo"))</f>
        <v/>
      </c>
      <c r="AD1849" s="17">
        <f>IF($B1849="","",TEXT($B1849,"MM/AAAA"))</f>
        <v/>
      </c>
      <c r="AE1849" s="18">
        <f>IF(COUNTA($B1849:$R1849)=0,"",IF($X1849="Cancelado",0,ROUND(N($Q1849)+N($S1849)+N($T1849)-N($U1849),2)))</f>
        <v/>
      </c>
      <c r="AF1849" s="9">
        <f>IF($G1849="","",IFERROR(INDEX(LINHAS_DRE_PLANO,MATCH($G1849,SUBCATEGORIAS_PLANO,0)),"Não classificado"))</f>
        <v/>
      </c>
      <c r="AG1849" s="17">
        <f>IF($G1849="","",IFERROR(INDEX(TIPOS_FLUXO_PLANO,MATCH($G1849,SUBCATEGORIAS_PLANO,0)),"Não classificado"))</f>
        <v/>
      </c>
      <c r="AH1849" s="9">
        <f>IF($G1849="","",IFERROR(INDEX(GRUPOS_PLANO,MATCH($G1849,SUBCATEGORIAS_PLANO,0)),"Não classificado"))</f>
        <v/>
      </c>
      <c r="AI1849" s="24">
        <f>IF(OR($C1849="",$X1849="Pago",$X1849="Recebido",$X1849="Cancelado"),"",$C1849-TODAY())</f>
        <v/>
      </c>
      <c r="AJ1849" s="24">
        <f>IF(OR($C1849="",$X1849="Pago",$X1849="Recebido",$X1849="Cancelado"),0,MAX(0,TODAY()-$C1849))</f>
        <v/>
      </c>
      <c r="AK1849" s="24">
        <f>IF($D1849="","",$D1849-$B1849)</f>
        <v/>
      </c>
      <c r="AL1849" s="18">
        <f>IF(OR($D1849="",$B1849=""),"",ROUND(N($R1849)*($D1849-$B1849),2))</f>
        <v/>
      </c>
      <c r="AM1849" s="17">
        <f>IF(AND($E1849="Saída",$W1849&gt;0,$C1849&lt;&gt;""),$C1849+ROW()/1000000,"")</f>
        <v/>
      </c>
      <c r="AN1849" s="17">
        <f>IF(AND($E1849="Entrada",$W1849&gt;0,$C1849&lt;&gt;""),$C1849+ROW()/1000000,"")</f>
        <v/>
      </c>
      <c r="AO1849" s="9">
        <f>IF(COUNTA($B1849:$R1849)=0,"",IF(AND($I1849&lt;&gt;"",COUNTIF(CLIENTES_NOMES,$I1849)+COUNTIF(CLIENTES_FANTASIA,$I1849)+COUNTIF(FORNECEDORES_NOMES,$I1849)+COUNTIF(FORNECEDORES_FANTASIA,$I1849)=0),"⚠ Cliente/Fornecedor não cadastrado",IF(AND($G1849&lt;&gt;"",COUNTIF(SUBCATEGORIAS_PLANO,$G1849)=0),"⚠ Subcategoria fora do plano de contas",IF(OR($Q1849="",N($Q1849)=0),"⚠ Valor previsto não informado",IF(AND(OR($X1849="Pago",$X1849="Recebido"),$D1849=""),"⚠ Status pago/recebido sem data",IF(AND($D1849&lt;&gt;"",N($R1849)=0),"⚠ Data de pagamento sem valor realizado",IF(AND(N($P1849)&gt;1,N($O1849)&gt;N($P1849)),"⚠ Nº da parcela maior que o total",IF(AND($C1849&lt;&gt;"",$B1849&lt;&gt;"",$C1849&lt;$B1849),"⚠ Vencimento anterior à competência","OK"))))))))</f>
        <v/>
      </c>
    </row>
    <row r="1850">
      <c r="A1850" s="14" t="n"/>
      <c r="B1850" s="36" t="n"/>
      <c r="C1850" s="36" t="n"/>
      <c r="D1850" s="36" t="n"/>
      <c r="E1850" s="14" t="n"/>
      <c r="F1850" s="29" t="n"/>
      <c r="G1850" s="29" t="n"/>
      <c r="H1850" s="29" t="n"/>
      <c r="I1850" s="29" t="n"/>
      <c r="J1850" s="29" t="n"/>
      <c r="K1850" s="14" t="n"/>
      <c r="L1850" s="29" t="n"/>
      <c r="M1850" s="14" t="n"/>
      <c r="N1850" s="29" t="n"/>
      <c r="O1850" s="13" t="n"/>
      <c r="P1850" s="13" t="n"/>
      <c r="Q1850" s="35" t="n"/>
      <c r="R1850" s="35" t="n"/>
      <c r="S1850" s="35" t="n"/>
      <c r="T1850" s="35" t="n"/>
      <c r="U1850" s="35" t="n"/>
      <c r="V1850" s="18">
        <f>IF(COUNTA($B1850:$R1850)=0,"",ROUND(N($R1850)+N($S1850)+N($T1850)-N($U1850),2))</f>
        <v/>
      </c>
      <c r="W1850" s="18">
        <f>IF(COUNTA($B1850:$R1850)=0,"",IF(OR($X1850="Pago",$X1850="Recebido",$X1850="Cancelado"),0,ROUND(N($Q1850)+N($S1850)+N($T1850)-N($U1850)-N($R1850),2)))</f>
        <v/>
      </c>
      <c r="X1850" s="14" t="n"/>
      <c r="Y1850" s="17">
        <f>IF(COUNTA($B1850:$R1850)=0,"",IF($X1850="Cancelado","Cancelado",IF(OR($X1850="Pago",$X1850="Recebido"),$X1850,IF(OR($X1850="Parcial",N($R1850)&gt;0),"Parcial",IF($C1850="","Sem vencimento",IF($C1850&lt;TODAY(),"Vencido",IF($C1850=TODAY(),"Vence hoje",IF($C1850&lt;=TODAY()+7,"Vence em 7 dias",IF($C1850&lt;=TODAY()+30,"Vence em 30 dias","Futuro")))))))))</f>
        <v/>
      </c>
      <c r="Z1850" s="24">
        <f>IF($B1850="","",MONTH($B1850))</f>
        <v/>
      </c>
      <c r="AA1850" s="24">
        <f>IF($B1850="","",YEAR($B1850))</f>
        <v/>
      </c>
      <c r="AB1850" s="24">
        <f>IF($B1850="","",ISOWEEKNUM($B1850))</f>
        <v/>
      </c>
      <c r="AC1850" s="17">
        <f>IF($B1850="","",CHOOSE(WEEKDAY($B1850,2),"Segunda","Terça","Quarta","Quinta","Sexta","Sábado","Domingo"))</f>
        <v/>
      </c>
      <c r="AD1850" s="17">
        <f>IF($B1850="","",TEXT($B1850,"MM/AAAA"))</f>
        <v/>
      </c>
      <c r="AE1850" s="18">
        <f>IF(COUNTA($B1850:$R1850)=0,"",IF($X1850="Cancelado",0,ROUND(N($Q1850)+N($S1850)+N($T1850)-N($U1850),2)))</f>
        <v/>
      </c>
      <c r="AF1850" s="9">
        <f>IF($G1850="","",IFERROR(INDEX(LINHAS_DRE_PLANO,MATCH($G1850,SUBCATEGORIAS_PLANO,0)),"Não classificado"))</f>
        <v/>
      </c>
      <c r="AG1850" s="17">
        <f>IF($G1850="","",IFERROR(INDEX(TIPOS_FLUXO_PLANO,MATCH($G1850,SUBCATEGORIAS_PLANO,0)),"Não classificado"))</f>
        <v/>
      </c>
      <c r="AH1850" s="9">
        <f>IF($G1850="","",IFERROR(INDEX(GRUPOS_PLANO,MATCH($G1850,SUBCATEGORIAS_PLANO,0)),"Não classificado"))</f>
        <v/>
      </c>
      <c r="AI1850" s="24">
        <f>IF(OR($C1850="",$X1850="Pago",$X1850="Recebido",$X1850="Cancelado"),"",$C1850-TODAY())</f>
        <v/>
      </c>
      <c r="AJ1850" s="24">
        <f>IF(OR($C1850="",$X1850="Pago",$X1850="Recebido",$X1850="Cancelado"),0,MAX(0,TODAY()-$C1850))</f>
        <v/>
      </c>
      <c r="AK1850" s="24">
        <f>IF($D1850="","",$D1850-$B1850)</f>
        <v/>
      </c>
      <c r="AL1850" s="18">
        <f>IF(OR($D1850="",$B1850=""),"",ROUND(N($R1850)*($D1850-$B1850),2))</f>
        <v/>
      </c>
      <c r="AM1850" s="17">
        <f>IF(AND($E1850="Saída",$W1850&gt;0,$C1850&lt;&gt;""),$C1850+ROW()/1000000,"")</f>
        <v/>
      </c>
      <c r="AN1850" s="17">
        <f>IF(AND($E1850="Entrada",$W1850&gt;0,$C1850&lt;&gt;""),$C1850+ROW()/1000000,"")</f>
        <v/>
      </c>
      <c r="AO1850" s="9">
        <f>IF(COUNTA($B1850:$R1850)=0,"",IF(AND($I1850&lt;&gt;"",COUNTIF(CLIENTES_NOMES,$I1850)+COUNTIF(CLIENTES_FANTASIA,$I1850)+COUNTIF(FORNECEDORES_NOMES,$I1850)+COUNTIF(FORNECEDORES_FANTASIA,$I1850)=0),"⚠ Cliente/Fornecedor não cadastrado",IF(AND($G1850&lt;&gt;"",COUNTIF(SUBCATEGORIAS_PLANO,$G1850)=0),"⚠ Subcategoria fora do plano de contas",IF(OR($Q1850="",N($Q1850)=0),"⚠ Valor previsto não informado",IF(AND(OR($X1850="Pago",$X1850="Recebido"),$D1850=""),"⚠ Status pago/recebido sem data",IF(AND($D1850&lt;&gt;"",N($R1850)=0),"⚠ Data de pagamento sem valor realizado",IF(AND(N($P1850)&gt;1,N($O1850)&gt;N($P1850)),"⚠ Nº da parcela maior que o total",IF(AND($C1850&lt;&gt;"",$B1850&lt;&gt;"",$C1850&lt;$B1850),"⚠ Vencimento anterior à competência","OK"))))))))</f>
        <v/>
      </c>
    </row>
    <row r="1851">
      <c r="A1851" s="14" t="n"/>
      <c r="B1851" s="36" t="n"/>
      <c r="C1851" s="36" t="n"/>
      <c r="D1851" s="36" t="n"/>
      <c r="E1851" s="14" t="n"/>
      <c r="F1851" s="29" t="n"/>
      <c r="G1851" s="29" t="n"/>
      <c r="H1851" s="29" t="n"/>
      <c r="I1851" s="29" t="n"/>
      <c r="J1851" s="29" t="n"/>
      <c r="K1851" s="14" t="n"/>
      <c r="L1851" s="29" t="n"/>
      <c r="M1851" s="14" t="n"/>
      <c r="N1851" s="29" t="n"/>
      <c r="O1851" s="13" t="n"/>
      <c r="P1851" s="13" t="n"/>
      <c r="Q1851" s="35" t="n"/>
      <c r="R1851" s="35" t="n"/>
      <c r="S1851" s="35" t="n"/>
      <c r="T1851" s="35" t="n"/>
      <c r="U1851" s="35" t="n"/>
      <c r="V1851" s="18">
        <f>IF(COUNTA($B1851:$R1851)=0,"",ROUND(N($R1851)+N($S1851)+N($T1851)-N($U1851),2))</f>
        <v/>
      </c>
      <c r="W1851" s="18">
        <f>IF(COUNTA($B1851:$R1851)=0,"",IF(OR($X1851="Pago",$X1851="Recebido",$X1851="Cancelado"),0,ROUND(N($Q1851)+N($S1851)+N($T1851)-N($U1851)-N($R1851),2)))</f>
        <v/>
      </c>
      <c r="X1851" s="14" t="n"/>
      <c r="Y1851" s="17">
        <f>IF(COUNTA($B1851:$R1851)=0,"",IF($X1851="Cancelado","Cancelado",IF(OR($X1851="Pago",$X1851="Recebido"),$X1851,IF(OR($X1851="Parcial",N($R1851)&gt;0),"Parcial",IF($C1851="","Sem vencimento",IF($C1851&lt;TODAY(),"Vencido",IF($C1851=TODAY(),"Vence hoje",IF($C1851&lt;=TODAY()+7,"Vence em 7 dias",IF($C1851&lt;=TODAY()+30,"Vence em 30 dias","Futuro")))))))))</f>
        <v/>
      </c>
      <c r="Z1851" s="24">
        <f>IF($B1851="","",MONTH($B1851))</f>
        <v/>
      </c>
      <c r="AA1851" s="24">
        <f>IF($B1851="","",YEAR($B1851))</f>
        <v/>
      </c>
      <c r="AB1851" s="24">
        <f>IF($B1851="","",ISOWEEKNUM($B1851))</f>
        <v/>
      </c>
      <c r="AC1851" s="17">
        <f>IF($B1851="","",CHOOSE(WEEKDAY($B1851,2),"Segunda","Terça","Quarta","Quinta","Sexta","Sábado","Domingo"))</f>
        <v/>
      </c>
      <c r="AD1851" s="17">
        <f>IF($B1851="","",TEXT($B1851,"MM/AAAA"))</f>
        <v/>
      </c>
      <c r="AE1851" s="18">
        <f>IF(COUNTA($B1851:$R1851)=0,"",IF($X1851="Cancelado",0,ROUND(N($Q1851)+N($S1851)+N($T1851)-N($U1851),2)))</f>
        <v/>
      </c>
      <c r="AF1851" s="9">
        <f>IF($G1851="","",IFERROR(INDEX(LINHAS_DRE_PLANO,MATCH($G1851,SUBCATEGORIAS_PLANO,0)),"Não classificado"))</f>
        <v/>
      </c>
      <c r="AG1851" s="17">
        <f>IF($G1851="","",IFERROR(INDEX(TIPOS_FLUXO_PLANO,MATCH($G1851,SUBCATEGORIAS_PLANO,0)),"Não classificado"))</f>
        <v/>
      </c>
      <c r="AH1851" s="9">
        <f>IF($G1851="","",IFERROR(INDEX(GRUPOS_PLANO,MATCH($G1851,SUBCATEGORIAS_PLANO,0)),"Não classificado"))</f>
        <v/>
      </c>
      <c r="AI1851" s="24">
        <f>IF(OR($C1851="",$X1851="Pago",$X1851="Recebido",$X1851="Cancelado"),"",$C1851-TODAY())</f>
        <v/>
      </c>
      <c r="AJ1851" s="24">
        <f>IF(OR($C1851="",$X1851="Pago",$X1851="Recebido",$X1851="Cancelado"),0,MAX(0,TODAY()-$C1851))</f>
        <v/>
      </c>
      <c r="AK1851" s="24">
        <f>IF($D1851="","",$D1851-$B1851)</f>
        <v/>
      </c>
      <c r="AL1851" s="18">
        <f>IF(OR($D1851="",$B1851=""),"",ROUND(N($R1851)*($D1851-$B1851),2))</f>
        <v/>
      </c>
      <c r="AM1851" s="17">
        <f>IF(AND($E1851="Saída",$W1851&gt;0,$C1851&lt;&gt;""),$C1851+ROW()/1000000,"")</f>
        <v/>
      </c>
      <c r="AN1851" s="17">
        <f>IF(AND($E1851="Entrada",$W1851&gt;0,$C1851&lt;&gt;""),$C1851+ROW()/1000000,"")</f>
        <v/>
      </c>
      <c r="AO1851" s="9">
        <f>IF(COUNTA($B1851:$R1851)=0,"",IF(AND($I1851&lt;&gt;"",COUNTIF(CLIENTES_NOMES,$I1851)+COUNTIF(CLIENTES_FANTASIA,$I1851)+COUNTIF(FORNECEDORES_NOMES,$I1851)+COUNTIF(FORNECEDORES_FANTASIA,$I1851)=0),"⚠ Cliente/Fornecedor não cadastrado",IF(AND($G1851&lt;&gt;"",COUNTIF(SUBCATEGORIAS_PLANO,$G1851)=0),"⚠ Subcategoria fora do plano de contas",IF(OR($Q1851="",N($Q1851)=0),"⚠ Valor previsto não informado",IF(AND(OR($X1851="Pago",$X1851="Recebido"),$D1851=""),"⚠ Status pago/recebido sem data",IF(AND($D1851&lt;&gt;"",N($R1851)=0),"⚠ Data de pagamento sem valor realizado",IF(AND(N($P1851)&gt;1,N($O1851)&gt;N($P1851)),"⚠ Nº da parcela maior que o total",IF(AND($C1851&lt;&gt;"",$B1851&lt;&gt;"",$C1851&lt;$B1851),"⚠ Vencimento anterior à competência","OK"))))))))</f>
        <v/>
      </c>
    </row>
    <row r="1852">
      <c r="A1852" s="14" t="n"/>
      <c r="B1852" s="36" t="n"/>
      <c r="C1852" s="36" t="n"/>
      <c r="D1852" s="36" t="n"/>
      <c r="E1852" s="14" t="n"/>
      <c r="F1852" s="29" t="n"/>
      <c r="G1852" s="29" t="n"/>
      <c r="H1852" s="29" t="n"/>
      <c r="I1852" s="29" t="n"/>
      <c r="J1852" s="29" t="n"/>
      <c r="K1852" s="14" t="n"/>
      <c r="L1852" s="29" t="n"/>
      <c r="M1852" s="14" t="n"/>
      <c r="N1852" s="29" t="n"/>
      <c r="O1852" s="13" t="n"/>
      <c r="P1852" s="13" t="n"/>
      <c r="Q1852" s="35" t="n"/>
      <c r="R1852" s="35" t="n"/>
      <c r="S1852" s="35" t="n"/>
      <c r="T1852" s="35" t="n"/>
      <c r="U1852" s="35" t="n"/>
      <c r="V1852" s="18">
        <f>IF(COUNTA($B1852:$R1852)=0,"",ROUND(N($R1852)+N($S1852)+N($T1852)-N($U1852),2))</f>
        <v/>
      </c>
      <c r="W1852" s="18">
        <f>IF(COUNTA($B1852:$R1852)=0,"",IF(OR($X1852="Pago",$X1852="Recebido",$X1852="Cancelado"),0,ROUND(N($Q1852)+N($S1852)+N($T1852)-N($U1852)-N($R1852),2)))</f>
        <v/>
      </c>
      <c r="X1852" s="14" t="n"/>
      <c r="Y1852" s="17">
        <f>IF(COUNTA($B1852:$R1852)=0,"",IF($X1852="Cancelado","Cancelado",IF(OR($X1852="Pago",$X1852="Recebido"),$X1852,IF(OR($X1852="Parcial",N($R1852)&gt;0),"Parcial",IF($C1852="","Sem vencimento",IF($C1852&lt;TODAY(),"Vencido",IF($C1852=TODAY(),"Vence hoje",IF($C1852&lt;=TODAY()+7,"Vence em 7 dias",IF($C1852&lt;=TODAY()+30,"Vence em 30 dias","Futuro")))))))))</f>
        <v/>
      </c>
      <c r="Z1852" s="24">
        <f>IF($B1852="","",MONTH($B1852))</f>
        <v/>
      </c>
      <c r="AA1852" s="24">
        <f>IF($B1852="","",YEAR($B1852))</f>
        <v/>
      </c>
      <c r="AB1852" s="24">
        <f>IF($B1852="","",ISOWEEKNUM($B1852))</f>
        <v/>
      </c>
      <c r="AC1852" s="17">
        <f>IF($B1852="","",CHOOSE(WEEKDAY($B1852,2),"Segunda","Terça","Quarta","Quinta","Sexta","Sábado","Domingo"))</f>
        <v/>
      </c>
      <c r="AD1852" s="17">
        <f>IF($B1852="","",TEXT($B1852,"MM/AAAA"))</f>
        <v/>
      </c>
      <c r="AE1852" s="18">
        <f>IF(COUNTA($B1852:$R1852)=0,"",IF($X1852="Cancelado",0,ROUND(N($Q1852)+N($S1852)+N($T1852)-N($U1852),2)))</f>
        <v/>
      </c>
      <c r="AF1852" s="9">
        <f>IF($G1852="","",IFERROR(INDEX(LINHAS_DRE_PLANO,MATCH($G1852,SUBCATEGORIAS_PLANO,0)),"Não classificado"))</f>
        <v/>
      </c>
      <c r="AG1852" s="17">
        <f>IF($G1852="","",IFERROR(INDEX(TIPOS_FLUXO_PLANO,MATCH($G1852,SUBCATEGORIAS_PLANO,0)),"Não classificado"))</f>
        <v/>
      </c>
      <c r="AH1852" s="9">
        <f>IF($G1852="","",IFERROR(INDEX(GRUPOS_PLANO,MATCH($G1852,SUBCATEGORIAS_PLANO,0)),"Não classificado"))</f>
        <v/>
      </c>
      <c r="AI1852" s="24">
        <f>IF(OR($C1852="",$X1852="Pago",$X1852="Recebido",$X1852="Cancelado"),"",$C1852-TODAY())</f>
        <v/>
      </c>
      <c r="AJ1852" s="24">
        <f>IF(OR($C1852="",$X1852="Pago",$X1852="Recebido",$X1852="Cancelado"),0,MAX(0,TODAY()-$C1852))</f>
        <v/>
      </c>
      <c r="AK1852" s="24">
        <f>IF($D1852="","",$D1852-$B1852)</f>
        <v/>
      </c>
      <c r="AL1852" s="18">
        <f>IF(OR($D1852="",$B1852=""),"",ROUND(N($R1852)*($D1852-$B1852),2))</f>
        <v/>
      </c>
      <c r="AM1852" s="17">
        <f>IF(AND($E1852="Saída",$W1852&gt;0,$C1852&lt;&gt;""),$C1852+ROW()/1000000,"")</f>
        <v/>
      </c>
      <c r="AN1852" s="17">
        <f>IF(AND($E1852="Entrada",$W1852&gt;0,$C1852&lt;&gt;""),$C1852+ROW()/1000000,"")</f>
        <v/>
      </c>
      <c r="AO1852" s="9">
        <f>IF(COUNTA($B1852:$R1852)=0,"",IF(AND($I1852&lt;&gt;"",COUNTIF(CLIENTES_NOMES,$I1852)+COUNTIF(CLIENTES_FANTASIA,$I1852)+COUNTIF(FORNECEDORES_NOMES,$I1852)+COUNTIF(FORNECEDORES_FANTASIA,$I1852)=0),"⚠ Cliente/Fornecedor não cadastrado",IF(AND($G1852&lt;&gt;"",COUNTIF(SUBCATEGORIAS_PLANO,$G1852)=0),"⚠ Subcategoria fora do plano de contas",IF(OR($Q1852="",N($Q1852)=0),"⚠ Valor previsto não informado",IF(AND(OR($X1852="Pago",$X1852="Recebido"),$D1852=""),"⚠ Status pago/recebido sem data",IF(AND($D1852&lt;&gt;"",N($R1852)=0),"⚠ Data de pagamento sem valor realizado",IF(AND(N($P1852)&gt;1,N($O1852)&gt;N($P1852)),"⚠ Nº da parcela maior que o total",IF(AND($C1852&lt;&gt;"",$B1852&lt;&gt;"",$C1852&lt;$B1852),"⚠ Vencimento anterior à competência","OK"))))))))</f>
        <v/>
      </c>
    </row>
    <row r="1853">
      <c r="A1853" s="14" t="n"/>
      <c r="B1853" s="36" t="n"/>
      <c r="C1853" s="36" t="n"/>
      <c r="D1853" s="36" t="n"/>
      <c r="E1853" s="14" t="n"/>
      <c r="F1853" s="29" t="n"/>
      <c r="G1853" s="29" t="n"/>
      <c r="H1853" s="29" t="n"/>
      <c r="I1853" s="29" t="n"/>
      <c r="J1853" s="29" t="n"/>
      <c r="K1853" s="14" t="n"/>
      <c r="L1853" s="29" t="n"/>
      <c r="M1853" s="14" t="n"/>
      <c r="N1853" s="29" t="n"/>
      <c r="O1853" s="13" t="n"/>
      <c r="P1853" s="13" t="n"/>
      <c r="Q1853" s="35" t="n"/>
      <c r="R1853" s="35" t="n"/>
      <c r="S1853" s="35" t="n"/>
      <c r="T1853" s="35" t="n"/>
      <c r="U1853" s="35" t="n"/>
      <c r="V1853" s="18">
        <f>IF(COUNTA($B1853:$R1853)=0,"",ROUND(N($R1853)+N($S1853)+N($T1853)-N($U1853),2))</f>
        <v/>
      </c>
      <c r="W1853" s="18">
        <f>IF(COUNTA($B1853:$R1853)=0,"",IF(OR($X1853="Pago",$X1853="Recebido",$X1853="Cancelado"),0,ROUND(N($Q1853)+N($S1853)+N($T1853)-N($U1853)-N($R1853),2)))</f>
        <v/>
      </c>
      <c r="X1853" s="14" t="n"/>
      <c r="Y1853" s="17">
        <f>IF(COUNTA($B1853:$R1853)=0,"",IF($X1853="Cancelado","Cancelado",IF(OR($X1853="Pago",$X1853="Recebido"),$X1853,IF(OR($X1853="Parcial",N($R1853)&gt;0),"Parcial",IF($C1853="","Sem vencimento",IF($C1853&lt;TODAY(),"Vencido",IF($C1853=TODAY(),"Vence hoje",IF($C1853&lt;=TODAY()+7,"Vence em 7 dias",IF($C1853&lt;=TODAY()+30,"Vence em 30 dias","Futuro")))))))))</f>
        <v/>
      </c>
      <c r="Z1853" s="24">
        <f>IF($B1853="","",MONTH($B1853))</f>
        <v/>
      </c>
      <c r="AA1853" s="24">
        <f>IF($B1853="","",YEAR($B1853))</f>
        <v/>
      </c>
      <c r="AB1853" s="24">
        <f>IF($B1853="","",ISOWEEKNUM($B1853))</f>
        <v/>
      </c>
      <c r="AC1853" s="17">
        <f>IF($B1853="","",CHOOSE(WEEKDAY($B1853,2),"Segunda","Terça","Quarta","Quinta","Sexta","Sábado","Domingo"))</f>
        <v/>
      </c>
      <c r="AD1853" s="17">
        <f>IF($B1853="","",TEXT($B1853,"MM/AAAA"))</f>
        <v/>
      </c>
      <c r="AE1853" s="18">
        <f>IF(COUNTA($B1853:$R1853)=0,"",IF($X1853="Cancelado",0,ROUND(N($Q1853)+N($S1853)+N($T1853)-N($U1853),2)))</f>
        <v/>
      </c>
      <c r="AF1853" s="9">
        <f>IF($G1853="","",IFERROR(INDEX(LINHAS_DRE_PLANO,MATCH($G1853,SUBCATEGORIAS_PLANO,0)),"Não classificado"))</f>
        <v/>
      </c>
      <c r="AG1853" s="17">
        <f>IF($G1853="","",IFERROR(INDEX(TIPOS_FLUXO_PLANO,MATCH($G1853,SUBCATEGORIAS_PLANO,0)),"Não classificado"))</f>
        <v/>
      </c>
      <c r="AH1853" s="9">
        <f>IF($G1853="","",IFERROR(INDEX(GRUPOS_PLANO,MATCH($G1853,SUBCATEGORIAS_PLANO,0)),"Não classificado"))</f>
        <v/>
      </c>
      <c r="AI1853" s="24">
        <f>IF(OR($C1853="",$X1853="Pago",$X1853="Recebido",$X1853="Cancelado"),"",$C1853-TODAY())</f>
        <v/>
      </c>
      <c r="AJ1853" s="24">
        <f>IF(OR($C1853="",$X1853="Pago",$X1853="Recebido",$X1853="Cancelado"),0,MAX(0,TODAY()-$C1853))</f>
        <v/>
      </c>
      <c r="AK1853" s="24">
        <f>IF($D1853="","",$D1853-$B1853)</f>
        <v/>
      </c>
      <c r="AL1853" s="18">
        <f>IF(OR($D1853="",$B1853=""),"",ROUND(N($R1853)*($D1853-$B1853),2))</f>
        <v/>
      </c>
      <c r="AM1853" s="17">
        <f>IF(AND($E1853="Saída",$W1853&gt;0,$C1853&lt;&gt;""),$C1853+ROW()/1000000,"")</f>
        <v/>
      </c>
      <c r="AN1853" s="17">
        <f>IF(AND($E1853="Entrada",$W1853&gt;0,$C1853&lt;&gt;""),$C1853+ROW()/1000000,"")</f>
        <v/>
      </c>
      <c r="AO1853" s="9">
        <f>IF(COUNTA($B1853:$R1853)=0,"",IF(AND($I1853&lt;&gt;"",COUNTIF(CLIENTES_NOMES,$I1853)+COUNTIF(CLIENTES_FANTASIA,$I1853)+COUNTIF(FORNECEDORES_NOMES,$I1853)+COUNTIF(FORNECEDORES_FANTASIA,$I1853)=0),"⚠ Cliente/Fornecedor não cadastrado",IF(AND($G1853&lt;&gt;"",COUNTIF(SUBCATEGORIAS_PLANO,$G1853)=0),"⚠ Subcategoria fora do plano de contas",IF(OR($Q1853="",N($Q1853)=0),"⚠ Valor previsto não informado",IF(AND(OR($X1853="Pago",$X1853="Recebido"),$D1853=""),"⚠ Status pago/recebido sem data",IF(AND($D1853&lt;&gt;"",N($R1853)=0),"⚠ Data de pagamento sem valor realizado",IF(AND(N($P1853)&gt;1,N($O1853)&gt;N($P1853)),"⚠ Nº da parcela maior que o total",IF(AND($C1853&lt;&gt;"",$B1853&lt;&gt;"",$C1853&lt;$B1853),"⚠ Vencimento anterior à competência","OK"))))))))</f>
        <v/>
      </c>
    </row>
    <row r="1854">
      <c r="A1854" s="14" t="n"/>
      <c r="B1854" s="36" t="n"/>
      <c r="C1854" s="36" t="n"/>
      <c r="D1854" s="36" t="n"/>
      <c r="E1854" s="14" t="n"/>
      <c r="F1854" s="29" t="n"/>
      <c r="G1854" s="29" t="n"/>
      <c r="H1854" s="29" t="n"/>
      <c r="I1854" s="29" t="n"/>
      <c r="J1854" s="29" t="n"/>
      <c r="K1854" s="14" t="n"/>
      <c r="L1854" s="29" t="n"/>
      <c r="M1854" s="14" t="n"/>
      <c r="N1854" s="29" t="n"/>
      <c r="O1854" s="13" t="n"/>
      <c r="P1854" s="13" t="n"/>
      <c r="Q1854" s="35" t="n"/>
      <c r="R1854" s="35" t="n"/>
      <c r="S1854" s="35" t="n"/>
      <c r="T1854" s="35" t="n"/>
      <c r="U1854" s="35" t="n"/>
      <c r="V1854" s="18">
        <f>IF(COUNTA($B1854:$R1854)=0,"",ROUND(N($R1854)+N($S1854)+N($T1854)-N($U1854),2))</f>
        <v/>
      </c>
      <c r="W1854" s="18">
        <f>IF(COUNTA($B1854:$R1854)=0,"",IF(OR($X1854="Pago",$X1854="Recebido",$X1854="Cancelado"),0,ROUND(N($Q1854)+N($S1854)+N($T1854)-N($U1854)-N($R1854),2)))</f>
        <v/>
      </c>
      <c r="X1854" s="14" t="n"/>
      <c r="Y1854" s="17">
        <f>IF(COUNTA($B1854:$R1854)=0,"",IF($X1854="Cancelado","Cancelado",IF(OR($X1854="Pago",$X1854="Recebido"),$X1854,IF(OR($X1854="Parcial",N($R1854)&gt;0),"Parcial",IF($C1854="","Sem vencimento",IF($C1854&lt;TODAY(),"Vencido",IF($C1854=TODAY(),"Vence hoje",IF($C1854&lt;=TODAY()+7,"Vence em 7 dias",IF($C1854&lt;=TODAY()+30,"Vence em 30 dias","Futuro")))))))))</f>
        <v/>
      </c>
      <c r="Z1854" s="24">
        <f>IF($B1854="","",MONTH($B1854))</f>
        <v/>
      </c>
      <c r="AA1854" s="24">
        <f>IF($B1854="","",YEAR($B1854))</f>
        <v/>
      </c>
      <c r="AB1854" s="24">
        <f>IF($B1854="","",ISOWEEKNUM($B1854))</f>
        <v/>
      </c>
      <c r="AC1854" s="17">
        <f>IF($B1854="","",CHOOSE(WEEKDAY($B1854,2),"Segunda","Terça","Quarta","Quinta","Sexta","Sábado","Domingo"))</f>
        <v/>
      </c>
      <c r="AD1854" s="17">
        <f>IF($B1854="","",TEXT($B1854,"MM/AAAA"))</f>
        <v/>
      </c>
      <c r="AE1854" s="18">
        <f>IF(COUNTA($B1854:$R1854)=0,"",IF($X1854="Cancelado",0,ROUND(N($Q1854)+N($S1854)+N($T1854)-N($U1854),2)))</f>
        <v/>
      </c>
      <c r="AF1854" s="9">
        <f>IF($G1854="","",IFERROR(INDEX(LINHAS_DRE_PLANO,MATCH($G1854,SUBCATEGORIAS_PLANO,0)),"Não classificado"))</f>
        <v/>
      </c>
      <c r="AG1854" s="17">
        <f>IF($G1854="","",IFERROR(INDEX(TIPOS_FLUXO_PLANO,MATCH($G1854,SUBCATEGORIAS_PLANO,0)),"Não classificado"))</f>
        <v/>
      </c>
      <c r="AH1854" s="9">
        <f>IF($G1854="","",IFERROR(INDEX(GRUPOS_PLANO,MATCH($G1854,SUBCATEGORIAS_PLANO,0)),"Não classificado"))</f>
        <v/>
      </c>
      <c r="AI1854" s="24">
        <f>IF(OR($C1854="",$X1854="Pago",$X1854="Recebido",$X1854="Cancelado"),"",$C1854-TODAY())</f>
        <v/>
      </c>
      <c r="AJ1854" s="24">
        <f>IF(OR($C1854="",$X1854="Pago",$X1854="Recebido",$X1854="Cancelado"),0,MAX(0,TODAY()-$C1854))</f>
        <v/>
      </c>
      <c r="AK1854" s="24">
        <f>IF($D1854="","",$D1854-$B1854)</f>
        <v/>
      </c>
      <c r="AL1854" s="18">
        <f>IF(OR($D1854="",$B1854=""),"",ROUND(N($R1854)*($D1854-$B1854),2))</f>
        <v/>
      </c>
      <c r="AM1854" s="17">
        <f>IF(AND($E1854="Saída",$W1854&gt;0,$C1854&lt;&gt;""),$C1854+ROW()/1000000,"")</f>
        <v/>
      </c>
      <c r="AN1854" s="17">
        <f>IF(AND($E1854="Entrada",$W1854&gt;0,$C1854&lt;&gt;""),$C1854+ROW()/1000000,"")</f>
        <v/>
      </c>
      <c r="AO1854" s="9">
        <f>IF(COUNTA($B1854:$R1854)=0,"",IF(AND($I1854&lt;&gt;"",COUNTIF(CLIENTES_NOMES,$I1854)+COUNTIF(CLIENTES_FANTASIA,$I1854)+COUNTIF(FORNECEDORES_NOMES,$I1854)+COUNTIF(FORNECEDORES_FANTASIA,$I1854)=0),"⚠ Cliente/Fornecedor não cadastrado",IF(AND($G1854&lt;&gt;"",COUNTIF(SUBCATEGORIAS_PLANO,$G1854)=0),"⚠ Subcategoria fora do plano de contas",IF(OR($Q1854="",N($Q1854)=0),"⚠ Valor previsto não informado",IF(AND(OR($X1854="Pago",$X1854="Recebido"),$D1854=""),"⚠ Status pago/recebido sem data",IF(AND($D1854&lt;&gt;"",N($R1854)=0),"⚠ Data de pagamento sem valor realizado",IF(AND(N($P1854)&gt;1,N($O1854)&gt;N($P1854)),"⚠ Nº da parcela maior que o total",IF(AND($C1854&lt;&gt;"",$B1854&lt;&gt;"",$C1854&lt;$B1854),"⚠ Vencimento anterior à competência","OK"))))))))</f>
        <v/>
      </c>
    </row>
    <row r="1855">
      <c r="A1855" s="14" t="n"/>
      <c r="B1855" s="36" t="n"/>
      <c r="C1855" s="36" t="n"/>
      <c r="D1855" s="36" t="n"/>
      <c r="E1855" s="14" t="n"/>
      <c r="F1855" s="29" t="n"/>
      <c r="G1855" s="29" t="n"/>
      <c r="H1855" s="29" t="n"/>
      <c r="I1855" s="29" t="n"/>
      <c r="J1855" s="29" t="n"/>
      <c r="K1855" s="14" t="n"/>
      <c r="L1855" s="29" t="n"/>
      <c r="M1855" s="14" t="n"/>
      <c r="N1855" s="29" t="n"/>
      <c r="O1855" s="13" t="n"/>
      <c r="P1855" s="13" t="n"/>
      <c r="Q1855" s="35" t="n"/>
      <c r="R1855" s="35" t="n"/>
      <c r="S1855" s="35" t="n"/>
      <c r="T1855" s="35" t="n"/>
      <c r="U1855" s="35" t="n"/>
      <c r="V1855" s="18">
        <f>IF(COUNTA($B1855:$R1855)=0,"",ROUND(N($R1855)+N($S1855)+N($T1855)-N($U1855),2))</f>
        <v/>
      </c>
      <c r="W1855" s="18">
        <f>IF(COUNTA($B1855:$R1855)=0,"",IF(OR($X1855="Pago",$X1855="Recebido",$X1855="Cancelado"),0,ROUND(N($Q1855)+N($S1855)+N($T1855)-N($U1855)-N($R1855),2)))</f>
        <v/>
      </c>
      <c r="X1855" s="14" t="n"/>
      <c r="Y1855" s="17">
        <f>IF(COUNTA($B1855:$R1855)=0,"",IF($X1855="Cancelado","Cancelado",IF(OR($X1855="Pago",$X1855="Recebido"),$X1855,IF(OR($X1855="Parcial",N($R1855)&gt;0),"Parcial",IF($C1855="","Sem vencimento",IF($C1855&lt;TODAY(),"Vencido",IF($C1855=TODAY(),"Vence hoje",IF($C1855&lt;=TODAY()+7,"Vence em 7 dias",IF($C1855&lt;=TODAY()+30,"Vence em 30 dias","Futuro")))))))))</f>
        <v/>
      </c>
      <c r="Z1855" s="24">
        <f>IF($B1855="","",MONTH($B1855))</f>
        <v/>
      </c>
      <c r="AA1855" s="24">
        <f>IF($B1855="","",YEAR($B1855))</f>
        <v/>
      </c>
      <c r="AB1855" s="24">
        <f>IF($B1855="","",ISOWEEKNUM($B1855))</f>
        <v/>
      </c>
      <c r="AC1855" s="17">
        <f>IF($B1855="","",CHOOSE(WEEKDAY($B1855,2),"Segunda","Terça","Quarta","Quinta","Sexta","Sábado","Domingo"))</f>
        <v/>
      </c>
      <c r="AD1855" s="17">
        <f>IF($B1855="","",TEXT($B1855,"MM/AAAA"))</f>
        <v/>
      </c>
      <c r="AE1855" s="18">
        <f>IF(COUNTA($B1855:$R1855)=0,"",IF($X1855="Cancelado",0,ROUND(N($Q1855)+N($S1855)+N($T1855)-N($U1855),2)))</f>
        <v/>
      </c>
      <c r="AF1855" s="9">
        <f>IF($G1855="","",IFERROR(INDEX(LINHAS_DRE_PLANO,MATCH($G1855,SUBCATEGORIAS_PLANO,0)),"Não classificado"))</f>
        <v/>
      </c>
      <c r="AG1855" s="17">
        <f>IF($G1855="","",IFERROR(INDEX(TIPOS_FLUXO_PLANO,MATCH($G1855,SUBCATEGORIAS_PLANO,0)),"Não classificado"))</f>
        <v/>
      </c>
      <c r="AH1855" s="9">
        <f>IF($G1855="","",IFERROR(INDEX(GRUPOS_PLANO,MATCH($G1855,SUBCATEGORIAS_PLANO,0)),"Não classificado"))</f>
        <v/>
      </c>
      <c r="AI1855" s="24">
        <f>IF(OR($C1855="",$X1855="Pago",$X1855="Recebido",$X1855="Cancelado"),"",$C1855-TODAY())</f>
        <v/>
      </c>
      <c r="AJ1855" s="24">
        <f>IF(OR($C1855="",$X1855="Pago",$X1855="Recebido",$X1855="Cancelado"),0,MAX(0,TODAY()-$C1855))</f>
        <v/>
      </c>
      <c r="AK1855" s="24">
        <f>IF($D1855="","",$D1855-$B1855)</f>
        <v/>
      </c>
      <c r="AL1855" s="18">
        <f>IF(OR($D1855="",$B1855=""),"",ROUND(N($R1855)*($D1855-$B1855),2))</f>
        <v/>
      </c>
      <c r="AM1855" s="17">
        <f>IF(AND($E1855="Saída",$W1855&gt;0,$C1855&lt;&gt;""),$C1855+ROW()/1000000,"")</f>
        <v/>
      </c>
      <c r="AN1855" s="17">
        <f>IF(AND($E1855="Entrada",$W1855&gt;0,$C1855&lt;&gt;""),$C1855+ROW()/1000000,"")</f>
        <v/>
      </c>
      <c r="AO1855" s="9">
        <f>IF(COUNTA($B1855:$R1855)=0,"",IF(AND($I1855&lt;&gt;"",COUNTIF(CLIENTES_NOMES,$I1855)+COUNTIF(CLIENTES_FANTASIA,$I1855)+COUNTIF(FORNECEDORES_NOMES,$I1855)+COUNTIF(FORNECEDORES_FANTASIA,$I1855)=0),"⚠ Cliente/Fornecedor não cadastrado",IF(AND($G1855&lt;&gt;"",COUNTIF(SUBCATEGORIAS_PLANO,$G1855)=0),"⚠ Subcategoria fora do plano de contas",IF(OR($Q1855="",N($Q1855)=0),"⚠ Valor previsto não informado",IF(AND(OR($X1855="Pago",$X1855="Recebido"),$D1855=""),"⚠ Status pago/recebido sem data",IF(AND($D1855&lt;&gt;"",N($R1855)=0),"⚠ Data de pagamento sem valor realizado",IF(AND(N($P1855)&gt;1,N($O1855)&gt;N($P1855)),"⚠ Nº da parcela maior que o total",IF(AND($C1855&lt;&gt;"",$B1855&lt;&gt;"",$C1855&lt;$B1855),"⚠ Vencimento anterior à competência","OK"))))))))</f>
        <v/>
      </c>
    </row>
    <row r="1856">
      <c r="A1856" s="14" t="n"/>
      <c r="B1856" s="36" t="n"/>
      <c r="C1856" s="36" t="n"/>
      <c r="D1856" s="36" t="n"/>
      <c r="E1856" s="14" t="n"/>
      <c r="F1856" s="29" t="n"/>
      <c r="G1856" s="29" t="n"/>
      <c r="H1856" s="29" t="n"/>
      <c r="I1856" s="29" t="n"/>
      <c r="J1856" s="29" t="n"/>
      <c r="K1856" s="14" t="n"/>
      <c r="L1856" s="29" t="n"/>
      <c r="M1856" s="14" t="n"/>
      <c r="N1856" s="29" t="n"/>
      <c r="O1856" s="13" t="n"/>
      <c r="P1856" s="13" t="n"/>
      <c r="Q1856" s="35" t="n"/>
      <c r="R1856" s="35" t="n"/>
      <c r="S1856" s="35" t="n"/>
      <c r="T1856" s="35" t="n"/>
      <c r="U1856" s="35" t="n"/>
      <c r="V1856" s="18">
        <f>IF(COUNTA($B1856:$R1856)=0,"",ROUND(N($R1856)+N($S1856)+N($T1856)-N($U1856),2))</f>
        <v/>
      </c>
      <c r="W1856" s="18">
        <f>IF(COUNTA($B1856:$R1856)=0,"",IF(OR($X1856="Pago",$X1856="Recebido",$X1856="Cancelado"),0,ROUND(N($Q1856)+N($S1856)+N($T1856)-N($U1856)-N($R1856),2)))</f>
        <v/>
      </c>
      <c r="X1856" s="14" t="n"/>
      <c r="Y1856" s="17">
        <f>IF(COUNTA($B1856:$R1856)=0,"",IF($X1856="Cancelado","Cancelado",IF(OR($X1856="Pago",$X1856="Recebido"),$X1856,IF(OR($X1856="Parcial",N($R1856)&gt;0),"Parcial",IF($C1856="","Sem vencimento",IF($C1856&lt;TODAY(),"Vencido",IF($C1856=TODAY(),"Vence hoje",IF($C1856&lt;=TODAY()+7,"Vence em 7 dias",IF($C1856&lt;=TODAY()+30,"Vence em 30 dias","Futuro")))))))))</f>
        <v/>
      </c>
      <c r="Z1856" s="24">
        <f>IF($B1856="","",MONTH($B1856))</f>
        <v/>
      </c>
      <c r="AA1856" s="24">
        <f>IF($B1856="","",YEAR($B1856))</f>
        <v/>
      </c>
      <c r="AB1856" s="24">
        <f>IF($B1856="","",ISOWEEKNUM($B1856))</f>
        <v/>
      </c>
      <c r="AC1856" s="17">
        <f>IF($B1856="","",CHOOSE(WEEKDAY($B1856,2),"Segunda","Terça","Quarta","Quinta","Sexta","Sábado","Domingo"))</f>
        <v/>
      </c>
      <c r="AD1856" s="17">
        <f>IF($B1856="","",TEXT($B1856,"MM/AAAA"))</f>
        <v/>
      </c>
      <c r="AE1856" s="18">
        <f>IF(COUNTA($B1856:$R1856)=0,"",IF($X1856="Cancelado",0,ROUND(N($Q1856)+N($S1856)+N($T1856)-N($U1856),2)))</f>
        <v/>
      </c>
      <c r="AF1856" s="9">
        <f>IF($G1856="","",IFERROR(INDEX(LINHAS_DRE_PLANO,MATCH($G1856,SUBCATEGORIAS_PLANO,0)),"Não classificado"))</f>
        <v/>
      </c>
      <c r="AG1856" s="17">
        <f>IF($G1856="","",IFERROR(INDEX(TIPOS_FLUXO_PLANO,MATCH($G1856,SUBCATEGORIAS_PLANO,0)),"Não classificado"))</f>
        <v/>
      </c>
      <c r="AH1856" s="9">
        <f>IF($G1856="","",IFERROR(INDEX(GRUPOS_PLANO,MATCH($G1856,SUBCATEGORIAS_PLANO,0)),"Não classificado"))</f>
        <v/>
      </c>
      <c r="AI1856" s="24">
        <f>IF(OR($C1856="",$X1856="Pago",$X1856="Recebido",$X1856="Cancelado"),"",$C1856-TODAY())</f>
        <v/>
      </c>
      <c r="AJ1856" s="24">
        <f>IF(OR($C1856="",$X1856="Pago",$X1856="Recebido",$X1856="Cancelado"),0,MAX(0,TODAY()-$C1856))</f>
        <v/>
      </c>
      <c r="AK1856" s="24">
        <f>IF($D1856="","",$D1856-$B1856)</f>
        <v/>
      </c>
      <c r="AL1856" s="18">
        <f>IF(OR($D1856="",$B1856=""),"",ROUND(N($R1856)*($D1856-$B1856),2))</f>
        <v/>
      </c>
      <c r="AM1856" s="17">
        <f>IF(AND($E1856="Saída",$W1856&gt;0,$C1856&lt;&gt;""),$C1856+ROW()/1000000,"")</f>
        <v/>
      </c>
      <c r="AN1856" s="17">
        <f>IF(AND($E1856="Entrada",$W1856&gt;0,$C1856&lt;&gt;""),$C1856+ROW()/1000000,"")</f>
        <v/>
      </c>
      <c r="AO1856" s="9">
        <f>IF(COUNTA($B1856:$R1856)=0,"",IF(AND($I1856&lt;&gt;"",COUNTIF(CLIENTES_NOMES,$I1856)+COUNTIF(CLIENTES_FANTASIA,$I1856)+COUNTIF(FORNECEDORES_NOMES,$I1856)+COUNTIF(FORNECEDORES_FANTASIA,$I1856)=0),"⚠ Cliente/Fornecedor não cadastrado",IF(AND($G1856&lt;&gt;"",COUNTIF(SUBCATEGORIAS_PLANO,$G1856)=0),"⚠ Subcategoria fora do plano de contas",IF(OR($Q1856="",N($Q1856)=0),"⚠ Valor previsto não informado",IF(AND(OR($X1856="Pago",$X1856="Recebido"),$D1856=""),"⚠ Status pago/recebido sem data",IF(AND($D1856&lt;&gt;"",N($R1856)=0),"⚠ Data de pagamento sem valor realizado",IF(AND(N($P1856)&gt;1,N($O1856)&gt;N($P1856)),"⚠ Nº da parcela maior que o total",IF(AND($C1856&lt;&gt;"",$B1856&lt;&gt;"",$C1856&lt;$B1856),"⚠ Vencimento anterior à competência","OK"))))))))</f>
        <v/>
      </c>
    </row>
    <row r="1857">
      <c r="A1857" s="14" t="n"/>
      <c r="B1857" s="36" t="n"/>
      <c r="C1857" s="36" t="n"/>
      <c r="D1857" s="36" t="n"/>
      <c r="E1857" s="14" t="n"/>
      <c r="F1857" s="29" t="n"/>
      <c r="G1857" s="29" t="n"/>
      <c r="H1857" s="29" t="n"/>
      <c r="I1857" s="29" t="n"/>
      <c r="J1857" s="29" t="n"/>
      <c r="K1857" s="14" t="n"/>
      <c r="L1857" s="29" t="n"/>
      <c r="M1857" s="14" t="n"/>
      <c r="N1857" s="29" t="n"/>
      <c r="O1857" s="13" t="n"/>
      <c r="P1857" s="13" t="n"/>
      <c r="Q1857" s="35" t="n"/>
      <c r="R1857" s="35" t="n"/>
      <c r="S1857" s="35" t="n"/>
      <c r="T1857" s="35" t="n"/>
      <c r="U1857" s="35" t="n"/>
      <c r="V1857" s="18">
        <f>IF(COUNTA($B1857:$R1857)=0,"",ROUND(N($R1857)+N($S1857)+N($T1857)-N($U1857),2))</f>
        <v/>
      </c>
      <c r="W1857" s="18">
        <f>IF(COUNTA($B1857:$R1857)=0,"",IF(OR($X1857="Pago",$X1857="Recebido",$X1857="Cancelado"),0,ROUND(N($Q1857)+N($S1857)+N($T1857)-N($U1857)-N($R1857),2)))</f>
        <v/>
      </c>
      <c r="X1857" s="14" t="n"/>
      <c r="Y1857" s="17">
        <f>IF(COUNTA($B1857:$R1857)=0,"",IF($X1857="Cancelado","Cancelado",IF(OR($X1857="Pago",$X1857="Recebido"),$X1857,IF(OR($X1857="Parcial",N($R1857)&gt;0),"Parcial",IF($C1857="","Sem vencimento",IF($C1857&lt;TODAY(),"Vencido",IF($C1857=TODAY(),"Vence hoje",IF($C1857&lt;=TODAY()+7,"Vence em 7 dias",IF($C1857&lt;=TODAY()+30,"Vence em 30 dias","Futuro")))))))))</f>
        <v/>
      </c>
      <c r="Z1857" s="24">
        <f>IF($B1857="","",MONTH($B1857))</f>
        <v/>
      </c>
      <c r="AA1857" s="24">
        <f>IF($B1857="","",YEAR($B1857))</f>
        <v/>
      </c>
      <c r="AB1857" s="24">
        <f>IF($B1857="","",ISOWEEKNUM($B1857))</f>
        <v/>
      </c>
      <c r="AC1857" s="17">
        <f>IF($B1857="","",CHOOSE(WEEKDAY($B1857,2),"Segunda","Terça","Quarta","Quinta","Sexta","Sábado","Domingo"))</f>
        <v/>
      </c>
      <c r="AD1857" s="17">
        <f>IF($B1857="","",TEXT($B1857,"MM/AAAA"))</f>
        <v/>
      </c>
      <c r="AE1857" s="18">
        <f>IF(COUNTA($B1857:$R1857)=0,"",IF($X1857="Cancelado",0,ROUND(N($Q1857)+N($S1857)+N($T1857)-N($U1857),2)))</f>
        <v/>
      </c>
      <c r="AF1857" s="9">
        <f>IF($G1857="","",IFERROR(INDEX(LINHAS_DRE_PLANO,MATCH($G1857,SUBCATEGORIAS_PLANO,0)),"Não classificado"))</f>
        <v/>
      </c>
      <c r="AG1857" s="17">
        <f>IF($G1857="","",IFERROR(INDEX(TIPOS_FLUXO_PLANO,MATCH($G1857,SUBCATEGORIAS_PLANO,0)),"Não classificado"))</f>
        <v/>
      </c>
      <c r="AH1857" s="9">
        <f>IF($G1857="","",IFERROR(INDEX(GRUPOS_PLANO,MATCH($G1857,SUBCATEGORIAS_PLANO,0)),"Não classificado"))</f>
        <v/>
      </c>
      <c r="AI1857" s="24">
        <f>IF(OR($C1857="",$X1857="Pago",$X1857="Recebido",$X1857="Cancelado"),"",$C1857-TODAY())</f>
        <v/>
      </c>
      <c r="AJ1857" s="24">
        <f>IF(OR($C1857="",$X1857="Pago",$X1857="Recebido",$X1857="Cancelado"),0,MAX(0,TODAY()-$C1857))</f>
        <v/>
      </c>
      <c r="AK1857" s="24">
        <f>IF($D1857="","",$D1857-$B1857)</f>
        <v/>
      </c>
      <c r="AL1857" s="18">
        <f>IF(OR($D1857="",$B1857=""),"",ROUND(N($R1857)*($D1857-$B1857),2))</f>
        <v/>
      </c>
      <c r="AM1857" s="17">
        <f>IF(AND($E1857="Saída",$W1857&gt;0,$C1857&lt;&gt;""),$C1857+ROW()/1000000,"")</f>
        <v/>
      </c>
      <c r="AN1857" s="17">
        <f>IF(AND($E1857="Entrada",$W1857&gt;0,$C1857&lt;&gt;""),$C1857+ROW()/1000000,"")</f>
        <v/>
      </c>
      <c r="AO1857" s="9">
        <f>IF(COUNTA($B1857:$R1857)=0,"",IF(AND($I1857&lt;&gt;"",COUNTIF(CLIENTES_NOMES,$I1857)+COUNTIF(CLIENTES_FANTASIA,$I1857)+COUNTIF(FORNECEDORES_NOMES,$I1857)+COUNTIF(FORNECEDORES_FANTASIA,$I1857)=0),"⚠ Cliente/Fornecedor não cadastrado",IF(AND($G1857&lt;&gt;"",COUNTIF(SUBCATEGORIAS_PLANO,$G1857)=0),"⚠ Subcategoria fora do plano de contas",IF(OR($Q1857="",N($Q1857)=0),"⚠ Valor previsto não informado",IF(AND(OR($X1857="Pago",$X1857="Recebido"),$D1857=""),"⚠ Status pago/recebido sem data",IF(AND($D1857&lt;&gt;"",N($R1857)=0),"⚠ Data de pagamento sem valor realizado",IF(AND(N($P1857)&gt;1,N($O1857)&gt;N($P1857)),"⚠ Nº da parcela maior que o total",IF(AND($C1857&lt;&gt;"",$B1857&lt;&gt;"",$C1857&lt;$B1857),"⚠ Vencimento anterior à competência","OK"))))))))</f>
        <v/>
      </c>
    </row>
    <row r="1858">
      <c r="A1858" s="14" t="n"/>
      <c r="B1858" s="36" t="n"/>
      <c r="C1858" s="36" t="n"/>
      <c r="D1858" s="36" t="n"/>
      <c r="E1858" s="14" t="n"/>
      <c r="F1858" s="29" t="n"/>
      <c r="G1858" s="29" t="n"/>
      <c r="H1858" s="29" t="n"/>
      <c r="I1858" s="29" t="n"/>
      <c r="J1858" s="29" t="n"/>
      <c r="K1858" s="14" t="n"/>
      <c r="L1858" s="29" t="n"/>
      <c r="M1858" s="14" t="n"/>
      <c r="N1858" s="29" t="n"/>
      <c r="O1858" s="13" t="n"/>
      <c r="P1858" s="13" t="n"/>
      <c r="Q1858" s="35" t="n"/>
      <c r="R1858" s="35" t="n"/>
      <c r="S1858" s="35" t="n"/>
      <c r="T1858" s="35" t="n"/>
      <c r="U1858" s="35" t="n"/>
      <c r="V1858" s="18">
        <f>IF(COUNTA($B1858:$R1858)=0,"",ROUND(N($R1858)+N($S1858)+N($T1858)-N($U1858),2))</f>
        <v/>
      </c>
      <c r="W1858" s="18">
        <f>IF(COUNTA($B1858:$R1858)=0,"",IF(OR($X1858="Pago",$X1858="Recebido",$X1858="Cancelado"),0,ROUND(N($Q1858)+N($S1858)+N($T1858)-N($U1858)-N($R1858),2)))</f>
        <v/>
      </c>
      <c r="X1858" s="14" t="n"/>
      <c r="Y1858" s="17">
        <f>IF(COUNTA($B1858:$R1858)=0,"",IF($X1858="Cancelado","Cancelado",IF(OR($X1858="Pago",$X1858="Recebido"),$X1858,IF(OR($X1858="Parcial",N($R1858)&gt;0),"Parcial",IF($C1858="","Sem vencimento",IF($C1858&lt;TODAY(),"Vencido",IF($C1858=TODAY(),"Vence hoje",IF($C1858&lt;=TODAY()+7,"Vence em 7 dias",IF($C1858&lt;=TODAY()+30,"Vence em 30 dias","Futuro")))))))))</f>
        <v/>
      </c>
      <c r="Z1858" s="24">
        <f>IF($B1858="","",MONTH($B1858))</f>
        <v/>
      </c>
      <c r="AA1858" s="24">
        <f>IF($B1858="","",YEAR($B1858))</f>
        <v/>
      </c>
      <c r="AB1858" s="24">
        <f>IF($B1858="","",ISOWEEKNUM($B1858))</f>
        <v/>
      </c>
      <c r="AC1858" s="17">
        <f>IF($B1858="","",CHOOSE(WEEKDAY($B1858,2),"Segunda","Terça","Quarta","Quinta","Sexta","Sábado","Domingo"))</f>
        <v/>
      </c>
      <c r="AD1858" s="17">
        <f>IF($B1858="","",TEXT($B1858,"MM/AAAA"))</f>
        <v/>
      </c>
      <c r="AE1858" s="18">
        <f>IF(COUNTA($B1858:$R1858)=0,"",IF($X1858="Cancelado",0,ROUND(N($Q1858)+N($S1858)+N($T1858)-N($U1858),2)))</f>
        <v/>
      </c>
      <c r="AF1858" s="9">
        <f>IF($G1858="","",IFERROR(INDEX(LINHAS_DRE_PLANO,MATCH($G1858,SUBCATEGORIAS_PLANO,0)),"Não classificado"))</f>
        <v/>
      </c>
      <c r="AG1858" s="17">
        <f>IF($G1858="","",IFERROR(INDEX(TIPOS_FLUXO_PLANO,MATCH($G1858,SUBCATEGORIAS_PLANO,0)),"Não classificado"))</f>
        <v/>
      </c>
      <c r="AH1858" s="9">
        <f>IF($G1858="","",IFERROR(INDEX(GRUPOS_PLANO,MATCH($G1858,SUBCATEGORIAS_PLANO,0)),"Não classificado"))</f>
        <v/>
      </c>
      <c r="AI1858" s="24">
        <f>IF(OR($C1858="",$X1858="Pago",$X1858="Recebido",$X1858="Cancelado"),"",$C1858-TODAY())</f>
        <v/>
      </c>
      <c r="AJ1858" s="24">
        <f>IF(OR($C1858="",$X1858="Pago",$X1858="Recebido",$X1858="Cancelado"),0,MAX(0,TODAY()-$C1858))</f>
        <v/>
      </c>
      <c r="AK1858" s="24">
        <f>IF($D1858="","",$D1858-$B1858)</f>
        <v/>
      </c>
      <c r="AL1858" s="18">
        <f>IF(OR($D1858="",$B1858=""),"",ROUND(N($R1858)*($D1858-$B1858),2))</f>
        <v/>
      </c>
      <c r="AM1858" s="17">
        <f>IF(AND($E1858="Saída",$W1858&gt;0,$C1858&lt;&gt;""),$C1858+ROW()/1000000,"")</f>
        <v/>
      </c>
      <c r="AN1858" s="17">
        <f>IF(AND($E1858="Entrada",$W1858&gt;0,$C1858&lt;&gt;""),$C1858+ROW()/1000000,"")</f>
        <v/>
      </c>
      <c r="AO1858" s="9">
        <f>IF(COUNTA($B1858:$R1858)=0,"",IF(AND($I1858&lt;&gt;"",COUNTIF(CLIENTES_NOMES,$I1858)+COUNTIF(CLIENTES_FANTASIA,$I1858)+COUNTIF(FORNECEDORES_NOMES,$I1858)+COUNTIF(FORNECEDORES_FANTASIA,$I1858)=0),"⚠ Cliente/Fornecedor não cadastrado",IF(AND($G1858&lt;&gt;"",COUNTIF(SUBCATEGORIAS_PLANO,$G1858)=0),"⚠ Subcategoria fora do plano de contas",IF(OR($Q1858="",N($Q1858)=0),"⚠ Valor previsto não informado",IF(AND(OR($X1858="Pago",$X1858="Recebido"),$D1858=""),"⚠ Status pago/recebido sem data",IF(AND($D1858&lt;&gt;"",N($R1858)=0),"⚠ Data de pagamento sem valor realizado",IF(AND(N($P1858)&gt;1,N($O1858)&gt;N($P1858)),"⚠ Nº da parcela maior que o total",IF(AND($C1858&lt;&gt;"",$B1858&lt;&gt;"",$C1858&lt;$B1858),"⚠ Vencimento anterior à competência","OK"))))))))</f>
        <v/>
      </c>
    </row>
    <row r="1859">
      <c r="A1859" s="14" t="n"/>
      <c r="B1859" s="36" t="n"/>
      <c r="C1859" s="36" t="n"/>
      <c r="D1859" s="36" t="n"/>
      <c r="E1859" s="14" t="n"/>
      <c r="F1859" s="29" t="n"/>
      <c r="G1859" s="29" t="n"/>
      <c r="H1859" s="29" t="n"/>
      <c r="I1859" s="29" t="n"/>
      <c r="J1859" s="29" t="n"/>
      <c r="K1859" s="14" t="n"/>
      <c r="L1859" s="29" t="n"/>
      <c r="M1859" s="14" t="n"/>
      <c r="N1859" s="29" t="n"/>
      <c r="O1859" s="13" t="n"/>
      <c r="P1859" s="13" t="n"/>
      <c r="Q1859" s="35" t="n"/>
      <c r="R1859" s="35" t="n"/>
      <c r="S1859" s="35" t="n"/>
      <c r="T1859" s="35" t="n"/>
      <c r="U1859" s="35" t="n"/>
      <c r="V1859" s="18">
        <f>IF(COUNTA($B1859:$R1859)=0,"",ROUND(N($R1859)+N($S1859)+N($T1859)-N($U1859),2))</f>
        <v/>
      </c>
      <c r="W1859" s="18">
        <f>IF(COUNTA($B1859:$R1859)=0,"",IF(OR($X1859="Pago",$X1859="Recebido",$X1859="Cancelado"),0,ROUND(N($Q1859)+N($S1859)+N($T1859)-N($U1859)-N($R1859),2)))</f>
        <v/>
      </c>
      <c r="X1859" s="14" t="n"/>
      <c r="Y1859" s="17">
        <f>IF(COUNTA($B1859:$R1859)=0,"",IF($X1859="Cancelado","Cancelado",IF(OR($X1859="Pago",$X1859="Recebido"),$X1859,IF(OR($X1859="Parcial",N($R1859)&gt;0),"Parcial",IF($C1859="","Sem vencimento",IF($C1859&lt;TODAY(),"Vencido",IF($C1859=TODAY(),"Vence hoje",IF($C1859&lt;=TODAY()+7,"Vence em 7 dias",IF($C1859&lt;=TODAY()+30,"Vence em 30 dias","Futuro")))))))))</f>
        <v/>
      </c>
      <c r="Z1859" s="24">
        <f>IF($B1859="","",MONTH($B1859))</f>
        <v/>
      </c>
      <c r="AA1859" s="24">
        <f>IF($B1859="","",YEAR($B1859))</f>
        <v/>
      </c>
      <c r="AB1859" s="24">
        <f>IF($B1859="","",ISOWEEKNUM($B1859))</f>
        <v/>
      </c>
      <c r="AC1859" s="17">
        <f>IF($B1859="","",CHOOSE(WEEKDAY($B1859,2),"Segunda","Terça","Quarta","Quinta","Sexta","Sábado","Domingo"))</f>
        <v/>
      </c>
      <c r="AD1859" s="17">
        <f>IF($B1859="","",TEXT($B1859,"MM/AAAA"))</f>
        <v/>
      </c>
      <c r="AE1859" s="18">
        <f>IF(COUNTA($B1859:$R1859)=0,"",IF($X1859="Cancelado",0,ROUND(N($Q1859)+N($S1859)+N($T1859)-N($U1859),2)))</f>
        <v/>
      </c>
      <c r="AF1859" s="9">
        <f>IF($G1859="","",IFERROR(INDEX(LINHAS_DRE_PLANO,MATCH($G1859,SUBCATEGORIAS_PLANO,0)),"Não classificado"))</f>
        <v/>
      </c>
      <c r="AG1859" s="17">
        <f>IF($G1859="","",IFERROR(INDEX(TIPOS_FLUXO_PLANO,MATCH($G1859,SUBCATEGORIAS_PLANO,0)),"Não classificado"))</f>
        <v/>
      </c>
      <c r="AH1859" s="9">
        <f>IF($G1859="","",IFERROR(INDEX(GRUPOS_PLANO,MATCH($G1859,SUBCATEGORIAS_PLANO,0)),"Não classificado"))</f>
        <v/>
      </c>
      <c r="AI1859" s="24">
        <f>IF(OR($C1859="",$X1859="Pago",$X1859="Recebido",$X1859="Cancelado"),"",$C1859-TODAY())</f>
        <v/>
      </c>
      <c r="AJ1859" s="24">
        <f>IF(OR($C1859="",$X1859="Pago",$X1859="Recebido",$X1859="Cancelado"),0,MAX(0,TODAY()-$C1859))</f>
        <v/>
      </c>
      <c r="AK1859" s="24">
        <f>IF($D1859="","",$D1859-$B1859)</f>
        <v/>
      </c>
      <c r="AL1859" s="18">
        <f>IF(OR($D1859="",$B1859=""),"",ROUND(N($R1859)*($D1859-$B1859),2))</f>
        <v/>
      </c>
      <c r="AM1859" s="17">
        <f>IF(AND($E1859="Saída",$W1859&gt;0,$C1859&lt;&gt;""),$C1859+ROW()/1000000,"")</f>
        <v/>
      </c>
      <c r="AN1859" s="17">
        <f>IF(AND($E1859="Entrada",$W1859&gt;0,$C1859&lt;&gt;""),$C1859+ROW()/1000000,"")</f>
        <v/>
      </c>
      <c r="AO1859" s="9">
        <f>IF(COUNTA($B1859:$R1859)=0,"",IF(AND($I1859&lt;&gt;"",COUNTIF(CLIENTES_NOMES,$I1859)+COUNTIF(CLIENTES_FANTASIA,$I1859)+COUNTIF(FORNECEDORES_NOMES,$I1859)+COUNTIF(FORNECEDORES_FANTASIA,$I1859)=0),"⚠ Cliente/Fornecedor não cadastrado",IF(AND($G1859&lt;&gt;"",COUNTIF(SUBCATEGORIAS_PLANO,$G1859)=0),"⚠ Subcategoria fora do plano de contas",IF(OR($Q1859="",N($Q1859)=0),"⚠ Valor previsto não informado",IF(AND(OR($X1859="Pago",$X1859="Recebido"),$D1859=""),"⚠ Status pago/recebido sem data",IF(AND($D1859&lt;&gt;"",N($R1859)=0),"⚠ Data de pagamento sem valor realizado",IF(AND(N($P1859)&gt;1,N($O1859)&gt;N($P1859)),"⚠ Nº da parcela maior que o total",IF(AND($C1859&lt;&gt;"",$B1859&lt;&gt;"",$C1859&lt;$B1859),"⚠ Vencimento anterior à competência","OK"))))))))</f>
        <v/>
      </c>
    </row>
    <row r="1860">
      <c r="A1860" s="14" t="n"/>
      <c r="B1860" s="36" t="n"/>
      <c r="C1860" s="36" t="n"/>
      <c r="D1860" s="36" t="n"/>
      <c r="E1860" s="14" t="n"/>
      <c r="F1860" s="29" t="n"/>
      <c r="G1860" s="29" t="n"/>
      <c r="H1860" s="29" t="n"/>
      <c r="I1860" s="29" t="n"/>
      <c r="J1860" s="29" t="n"/>
      <c r="K1860" s="14" t="n"/>
      <c r="L1860" s="29" t="n"/>
      <c r="M1860" s="14" t="n"/>
      <c r="N1860" s="29" t="n"/>
      <c r="O1860" s="13" t="n"/>
      <c r="P1860" s="13" t="n"/>
      <c r="Q1860" s="35" t="n"/>
      <c r="R1860" s="35" t="n"/>
      <c r="S1860" s="35" t="n"/>
      <c r="T1860" s="35" t="n"/>
      <c r="U1860" s="35" t="n"/>
      <c r="V1860" s="18">
        <f>IF(COUNTA($B1860:$R1860)=0,"",ROUND(N($R1860)+N($S1860)+N($T1860)-N($U1860),2))</f>
        <v/>
      </c>
      <c r="W1860" s="18">
        <f>IF(COUNTA($B1860:$R1860)=0,"",IF(OR($X1860="Pago",$X1860="Recebido",$X1860="Cancelado"),0,ROUND(N($Q1860)+N($S1860)+N($T1860)-N($U1860)-N($R1860),2)))</f>
        <v/>
      </c>
      <c r="X1860" s="14" t="n"/>
      <c r="Y1860" s="17">
        <f>IF(COUNTA($B1860:$R1860)=0,"",IF($X1860="Cancelado","Cancelado",IF(OR($X1860="Pago",$X1860="Recebido"),$X1860,IF(OR($X1860="Parcial",N($R1860)&gt;0),"Parcial",IF($C1860="","Sem vencimento",IF($C1860&lt;TODAY(),"Vencido",IF($C1860=TODAY(),"Vence hoje",IF($C1860&lt;=TODAY()+7,"Vence em 7 dias",IF($C1860&lt;=TODAY()+30,"Vence em 30 dias","Futuro")))))))))</f>
        <v/>
      </c>
      <c r="Z1860" s="24">
        <f>IF($B1860="","",MONTH($B1860))</f>
        <v/>
      </c>
      <c r="AA1860" s="24">
        <f>IF($B1860="","",YEAR($B1860))</f>
        <v/>
      </c>
      <c r="AB1860" s="24">
        <f>IF($B1860="","",ISOWEEKNUM($B1860))</f>
        <v/>
      </c>
      <c r="AC1860" s="17">
        <f>IF($B1860="","",CHOOSE(WEEKDAY($B1860,2),"Segunda","Terça","Quarta","Quinta","Sexta","Sábado","Domingo"))</f>
        <v/>
      </c>
      <c r="AD1860" s="17">
        <f>IF($B1860="","",TEXT($B1860,"MM/AAAA"))</f>
        <v/>
      </c>
      <c r="AE1860" s="18">
        <f>IF(COUNTA($B1860:$R1860)=0,"",IF($X1860="Cancelado",0,ROUND(N($Q1860)+N($S1860)+N($T1860)-N($U1860),2)))</f>
        <v/>
      </c>
      <c r="AF1860" s="9">
        <f>IF($G1860="","",IFERROR(INDEX(LINHAS_DRE_PLANO,MATCH($G1860,SUBCATEGORIAS_PLANO,0)),"Não classificado"))</f>
        <v/>
      </c>
      <c r="AG1860" s="17">
        <f>IF($G1860="","",IFERROR(INDEX(TIPOS_FLUXO_PLANO,MATCH($G1860,SUBCATEGORIAS_PLANO,0)),"Não classificado"))</f>
        <v/>
      </c>
      <c r="AH1860" s="9">
        <f>IF($G1860="","",IFERROR(INDEX(GRUPOS_PLANO,MATCH($G1860,SUBCATEGORIAS_PLANO,0)),"Não classificado"))</f>
        <v/>
      </c>
      <c r="AI1860" s="24">
        <f>IF(OR($C1860="",$X1860="Pago",$X1860="Recebido",$X1860="Cancelado"),"",$C1860-TODAY())</f>
        <v/>
      </c>
      <c r="AJ1860" s="24">
        <f>IF(OR($C1860="",$X1860="Pago",$X1860="Recebido",$X1860="Cancelado"),0,MAX(0,TODAY()-$C1860))</f>
        <v/>
      </c>
      <c r="AK1860" s="24">
        <f>IF($D1860="","",$D1860-$B1860)</f>
        <v/>
      </c>
      <c r="AL1860" s="18">
        <f>IF(OR($D1860="",$B1860=""),"",ROUND(N($R1860)*($D1860-$B1860),2))</f>
        <v/>
      </c>
      <c r="AM1860" s="17">
        <f>IF(AND($E1860="Saída",$W1860&gt;0,$C1860&lt;&gt;""),$C1860+ROW()/1000000,"")</f>
        <v/>
      </c>
      <c r="AN1860" s="17">
        <f>IF(AND($E1860="Entrada",$W1860&gt;0,$C1860&lt;&gt;""),$C1860+ROW()/1000000,"")</f>
        <v/>
      </c>
      <c r="AO1860" s="9">
        <f>IF(COUNTA($B1860:$R1860)=0,"",IF(AND($I1860&lt;&gt;"",COUNTIF(CLIENTES_NOMES,$I1860)+COUNTIF(CLIENTES_FANTASIA,$I1860)+COUNTIF(FORNECEDORES_NOMES,$I1860)+COUNTIF(FORNECEDORES_FANTASIA,$I1860)=0),"⚠ Cliente/Fornecedor não cadastrado",IF(AND($G1860&lt;&gt;"",COUNTIF(SUBCATEGORIAS_PLANO,$G1860)=0),"⚠ Subcategoria fora do plano de contas",IF(OR($Q1860="",N($Q1860)=0),"⚠ Valor previsto não informado",IF(AND(OR($X1860="Pago",$X1860="Recebido"),$D1860=""),"⚠ Status pago/recebido sem data",IF(AND($D1860&lt;&gt;"",N($R1860)=0),"⚠ Data de pagamento sem valor realizado",IF(AND(N($P1860)&gt;1,N($O1860)&gt;N($P1860)),"⚠ Nº da parcela maior que o total",IF(AND($C1860&lt;&gt;"",$B1860&lt;&gt;"",$C1860&lt;$B1860),"⚠ Vencimento anterior à competência","OK"))))))))</f>
        <v/>
      </c>
    </row>
    <row r="1861">
      <c r="A1861" s="14" t="n"/>
      <c r="B1861" s="36" t="n"/>
      <c r="C1861" s="36" t="n"/>
      <c r="D1861" s="36" t="n"/>
      <c r="E1861" s="14" t="n"/>
      <c r="F1861" s="29" t="n"/>
      <c r="G1861" s="29" t="n"/>
      <c r="H1861" s="29" t="n"/>
      <c r="I1861" s="29" t="n"/>
      <c r="J1861" s="29" t="n"/>
      <c r="K1861" s="14" t="n"/>
      <c r="L1861" s="29" t="n"/>
      <c r="M1861" s="14" t="n"/>
      <c r="N1861" s="29" t="n"/>
      <c r="O1861" s="13" t="n"/>
      <c r="P1861" s="13" t="n"/>
      <c r="Q1861" s="35" t="n"/>
      <c r="R1861" s="35" t="n"/>
      <c r="S1861" s="35" t="n"/>
      <c r="T1861" s="35" t="n"/>
      <c r="U1861" s="35" t="n"/>
      <c r="V1861" s="18">
        <f>IF(COUNTA($B1861:$R1861)=0,"",ROUND(N($R1861)+N($S1861)+N($T1861)-N($U1861),2))</f>
        <v/>
      </c>
      <c r="W1861" s="18">
        <f>IF(COUNTA($B1861:$R1861)=0,"",IF(OR($X1861="Pago",$X1861="Recebido",$X1861="Cancelado"),0,ROUND(N($Q1861)+N($S1861)+N($T1861)-N($U1861)-N($R1861),2)))</f>
        <v/>
      </c>
      <c r="X1861" s="14" t="n"/>
      <c r="Y1861" s="17">
        <f>IF(COUNTA($B1861:$R1861)=0,"",IF($X1861="Cancelado","Cancelado",IF(OR($X1861="Pago",$X1861="Recebido"),$X1861,IF(OR($X1861="Parcial",N($R1861)&gt;0),"Parcial",IF($C1861="","Sem vencimento",IF($C1861&lt;TODAY(),"Vencido",IF($C1861=TODAY(),"Vence hoje",IF($C1861&lt;=TODAY()+7,"Vence em 7 dias",IF($C1861&lt;=TODAY()+30,"Vence em 30 dias","Futuro")))))))))</f>
        <v/>
      </c>
      <c r="Z1861" s="24">
        <f>IF($B1861="","",MONTH($B1861))</f>
        <v/>
      </c>
      <c r="AA1861" s="24">
        <f>IF($B1861="","",YEAR($B1861))</f>
        <v/>
      </c>
      <c r="AB1861" s="24">
        <f>IF($B1861="","",ISOWEEKNUM($B1861))</f>
        <v/>
      </c>
      <c r="AC1861" s="17">
        <f>IF($B1861="","",CHOOSE(WEEKDAY($B1861,2),"Segunda","Terça","Quarta","Quinta","Sexta","Sábado","Domingo"))</f>
        <v/>
      </c>
      <c r="AD1861" s="17">
        <f>IF($B1861="","",TEXT($B1861,"MM/AAAA"))</f>
        <v/>
      </c>
      <c r="AE1861" s="18">
        <f>IF(COUNTA($B1861:$R1861)=0,"",IF($X1861="Cancelado",0,ROUND(N($Q1861)+N($S1861)+N($T1861)-N($U1861),2)))</f>
        <v/>
      </c>
      <c r="AF1861" s="9">
        <f>IF($G1861="","",IFERROR(INDEX(LINHAS_DRE_PLANO,MATCH($G1861,SUBCATEGORIAS_PLANO,0)),"Não classificado"))</f>
        <v/>
      </c>
      <c r="AG1861" s="17">
        <f>IF($G1861="","",IFERROR(INDEX(TIPOS_FLUXO_PLANO,MATCH($G1861,SUBCATEGORIAS_PLANO,0)),"Não classificado"))</f>
        <v/>
      </c>
      <c r="AH1861" s="9">
        <f>IF($G1861="","",IFERROR(INDEX(GRUPOS_PLANO,MATCH($G1861,SUBCATEGORIAS_PLANO,0)),"Não classificado"))</f>
        <v/>
      </c>
      <c r="AI1861" s="24">
        <f>IF(OR($C1861="",$X1861="Pago",$X1861="Recebido",$X1861="Cancelado"),"",$C1861-TODAY())</f>
        <v/>
      </c>
      <c r="AJ1861" s="24">
        <f>IF(OR($C1861="",$X1861="Pago",$X1861="Recebido",$X1861="Cancelado"),0,MAX(0,TODAY()-$C1861))</f>
        <v/>
      </c>
      <c r="AK1861" s="24">
        <f>IF($D1861="","",$D1861-$B1861)</f>
        <v/>
      </c>
      <c r="AL1861" s="18">
        <f>IF(OR($D1861="",$B1861=""),"",ROUND(N($R1861)*($D1861-$B1861),2))</f>
        <v/>
      </c>
      <c r="AM1861" s="17">
        <f>IF(AND($E1861="Saída",$W1861&gt;0,$C1861&lt;&gt;""),$C1861+ROW()/1000000,"")</f>
        <v/>
      </c>
      <c r="AN1861" s="17">
        <f>IF(AND($E1861="Entrada",$W1861&gt;0,$C1861&lt;&gt;""),$C1861+ROW()/1000000,"")</f>
        <v/>
      </c>
      <c r="AO1861" s="9">
        <f>IF(COUNTA($B1861:$R1861)=0,"",IF(AND($I1861&lt;&gt;"",COUNTIF(CLIENTES_NOMES,$I1861)+COUNTIF(CLIENTES_FANTASIA,$I1861)+COUNTIF(FORNECEDORES_NOMES,$I1861)+COUNTIF(FORNECEDORES_FANTASIA,$I1861)=0),"⚠ Cliente/Fornecedor não cadastrado",IF(AND($G1861&lt;&gt;"",COUNTIF(SUBCATEGORIAS_PLANO,$G1861)=0),"⚠ Subcategoria fora do plano de contas",IF(OR($Q1861="",N($Q1861)=0),"⚠ Valor previsto não informado",IF(AND(OR($X1861="Pago",$X1861="Recebido"),$D1861=""),"⚠ Status pago/recebido sem data",IF(AND($D1861&lt;&gt;"",N($R1861)=0),"⚠ Data de pagamento sem valor realizado",IF(AND(N($P1861)&gt;1,N($O1861)&gt;N($P1861)),"⚠ Nº da parcela maior que o total",IF(AND($C1861&lt;&gt;"",$B1861&lt;&gt;"",$C1861&lt;$B1861),"⚠ Vencimento anterior à competência","OK"))))))))</f>
        <v/>
      </c>
    </row>
    <row r="1862">
      <c r="A1862" s="14" t="n"/>
      <c r="B1862" s="36" t="n"/>
      <c r="C1862" s="36" t="n"/>
      <c r="D1862" s="36" t="n"/>
      <c r="E1862" s="14" t="n"/>
      <c r="F1862" s="29" t="n"/>
      <c r="G1862" s="29" t="n"/>
      <c r="H1862" s="29" t="n"/>
      <c r="I1862" s="29" t="n"/>
      <c r="J1862" s="29" t="n"/>
      <c r="K1862" s="14" t="n"/>
      <c r="L1862" s="29" t="n"/>
      <c r="M1862" s="14" t="n"/>
      <c r="N1862" s="29" t="n"/>
      <c r="O1862" s="13" t="n"/>
      <c r="P1862" s="13" t="n"/>
      <c r="Q1862" s="35" t="n"/>
      <c r="R1862" s="35" t="n"/>
      <c r="S1862" s="35" t="n"/>
      <c r="T1862" s="35" t="n"/>
      <c r="U1862" s="35" t="n"/>
      <c r="V1862" s="18">
        <f>IF(COUNTA($B1862:$R1862)=0,"",ROUND(N($R1862)+N($S1862)+N($T1862)-N($U1862),2))</f>
        <v/>
      </c>
      <c r="W1862" s="18">
        <f>IF(COUNTA($B1862:$R1862)=0,"",IF(OR($X1862="Pago",$X1862="Recebido",$X1862="Cancelado"),0,ROUND(N($Q1862)+N($S1862)+N($T1862)-N($U1862)-N($R1862),2)))</f>
        <v/>
      </c>
      <c r="X1862" s="14" t="n"/>
      <c r="Y1862" s="17">
        <f>IF(COUNTA($B1862:$R1862)=0,"",IF($X1862="Cancelado","Cancelado",IF(OR($X1862="Pago",$X1862="Recebido"),$X1862,IF(OR($X1862="Parcial",N($R1862)&gt;0),"Parcial",IF($C1862="","Sem vencimento",IF($C1862&lt;TODAY(),"Vencido",IF($C1862=TODAY(),"Vence hoje",IF($C1862&lt;=TODAY()+7,"Vence em 7 dias",IF($C1862&lt;=TODAY()+30,"Vence em 30 dias","Futuro")))))))))</f>
        <v/>
      </c>
      <c r="Z1862" s="24">
        <f>IF($B1862="","",MONTH($B1862))</f>
        <v/>
      </c>
      <c r="AA1862" s="24">
        <f>IF($B1862="","",YEAR($B1862))</f>
        <v/>
      </c>
      <c r="AB1862" s="24">
        <f>IF($B1862="","",ISOWEEKNUM($B1862))</f>
        <v/>
      </c>
      <c r="AC1862" s="17">
        <f>IF($B1862="","",CHOOSE(WEEKDAY($B1862,2),"Segunda","Terça","Quarta","Quinta","Sexta","Sábado","Domingo"))</f>
        <v/>
      </c>
      <c r="AD1862" s="17">
        <f>IF($B1862="","",TEXT($B1862,"MM/AAAA"))</f>
        <v/>
      </c>
      <c r="AE1862" s="18">
        <f>IF(COUNTA($B1862:$R1862)=0,"",IF($X1862="Cancelado",0,ROUND(N($Q1862)+N($S1862)+N($T1862)-N($U1862),2)))</f>
        <v/>
      </c>
      <c r="AF1862" s="9">
        <f>IF($G1862="","",IFERROR(INDEX(LINHAS_DRE_PLANO,MATCH($G1862,SUBCATEGORIAS_PLANO,0)),"Não classificado"))</f>
        <v/>
      </c>
      <c r="AG1862" s="17">
        <f>IF($G1862="","",IFERROR(INDEX(TIPOS_FLUXO_PLANO,MATCH($G1862,SUBCATEGORIAS_PLANO,0)),"Não classificado"))</f>
        <v/>
      </c>
      <c r="AH1862" s="9">
        <f>IF($G1862="","",IFERROR(INDEX(GRUPOS_PLANO,MATCH($G1862,SUBCATEGORIAS_PLANO,0)),"Não classificado"))</f>
        <v/>
      </c>
      <c r="AI1862" s="24">
        <f>IF(OR($C1862="",$X1862="Pago",$X1862="Recebido",$X1862="Cancelado"),"",$C1862-TODAY())</f>
        <v/>
      </c>
      <c r="AJ1862" s="24">
        <f>IF(OR($C1862="",$X1862="Pago",$X1862="Recebido",$X1862="Cancelado"),0,MAX(0,TODAY()-$C1862))</f>
        <v/>
      </c>
      <c r="AK1862" s="24">
        <f>IF($D1862="","",$D1862-$B1862)</f>
        <v/>
      </c>
      <c r="AL1862" s="18">
        <f>IF(OR($D1862="",$B1862=""),"",ROUND(N($R1862)*($D1862-$B1862),2))</f>
        <v/>
      </c>
      <c r="AM1862" s="17">
        <f>IF(AND($E1862="Saída",$W1862&gt;0,$C1862&lt;&gt;""),$C1862+ROW()/1000000,"")</f>
        <v/>
      </c>
      <c r="AN1862" s="17">
        <f>IF(AND($E1862="Entrada",$W1862&gt;0,$C1862&lt;&gt;""),$C1862+ROW()/1000000,"")</f>
        <v/>
      </c>
      <c r="AO1862" s="9">
        <f>IF(COUNTA($B1862:$R1862)=0,"",IF(AND($I1862&lt;&gt;"",COUNTIF(CLIENTES_NOMES,$I1862)+COUNTIF(CLIENTES_FANTASIA,$I1862)+COUNTIF(FORNECEDORES_NOMES,$I1862)+COUNTIF(FORNECEDORES_FANTASIA,$I1862)=0),"⚠ Cliente/Fornecedor não cadastrado",IF(AND($G1862&lt;&gt;"",COUNTIF(SUBCATEGORIAS_PLANO,$G1862)=0),"⚠ Subcategoria fora do plano de contas",IF(OR($Q1862="",N($Q1862)=0),"⚠ Valor previsto não informado",IF(AND(OR($X1862="Pago",$X1862="Recebido"),$D1862=""),"⚠ Status pago/recebido sem data",IF(AND($D1862&lt;&gt;"",N($R1862)=0),"⚠ Data de pagamento sem valor realizado",IF(AND(N($P1862)&gt;1,N($O1862)&gt;N($P1862)),"⚠ Nº da parcela maior que o total",IF(AND($C1862&lt;&gt;"",$B1862&lt;&gt;"",$C1862&lt;$B1862),"⚠ Vencimento anterior à competência","OK"))))))))</f>
        <v/>
      </c>
    </row>
    <row r="1863">
      <c r="A1863" s="14" t="n"/>
      <c r="B1863" s="36" t="n"/>
      <c r="C1863" s="36" t="n"/>
      <c r="D1863" s="36" t="n"/>
      <c r="E1863" s="14" t="n"/>
      <c r="F1863" s="29" t="n"/>
      <c r="G1863" s="29" t="n"/>
      <c r="H1863" s="29" t="n"/>
      <c r="I1863" s="29" t="n"/>
      <c r="J1863" s="29" t="n"/>
      <c r="K1863" s="14" t="n"/>
      <c r="L1863" s="29" t="n"/>
      <c r="M1863" s="14" t="n"/>
      <c r="N1863" s="29" t="n"/>
      <c r="O1863" s="13" t="n"/>
      <c r="P1863" s="13" t="n"/>
      <c r="Q1863" s="35" t="n"/>
      <c r="R1863" s="35" t="n"/>
      <c r="S1863" s="35" t="n"/>
      <c r="T1863" s="35" t="n"/>
      <c r="U1863" s="35" t="n"/>
      <c r="V1863" s="18">
        <f>IF(COUNTA($B1863:$R1863)=0,"",ROUND(N($R1863)+N($S1863)+N($T1863)-N($U1863),2))</f>
        <v/>
      </c>
      <c r="W1863" s="18">
        <f>IF(COUNTA($B1863:$R1863)=0,"",IF(OR($X1863="Pago",$X1863="Recebido",$X1863="Cancelado"),0,ROUND(N($Q1863)+N($S1863)+N($T1863)-N($U1863)-N($R1863),2)))</f>
        <v/>
      </c>
      <c r="X1863" s="14" t="n"/>
      <c r="Y1863" s="17">
        <f>IF(COUNTA($B1863:$R1863)=0,"",IF($X1863="Cancelado","Cancelado",IF(OR($X1863="Pago",$X1863="Recebido"),$X1863,IF(OR($X1863="Parcial",N($R1863)&gt;0),"Parcial",IF($C1863="","Sem vencimento",IF($C1863&lt;TODAY(),"Vencido",IF($C1863=TODAY(),"Vence hoje",IF($C1863&lt;=TODAY()+7,"Vence em 7 dias",IF($C1863&lt;=TODAY()+30,"Vence em 30 dias","Futuro")))))))))</f>
        <v/>
      </c>
      <c r="Z1863" s="24">
        <f>IF($B1863="","",MONTH($B1863))</f>
        <v/>
      </c>
      <c r="AA1863" s="24">
        <f>IF($B1863="","",YEAR($B1863))</f>
        <v/>
      </c>
      <c r="AB1863" s="24">
        <f>IF($B1863="","",ISOWEEKNUM($B1863))</f>
        <v/>
      </c>
      <c r="AC1863" s="17">
        <f>IF($B1863="","",CHOOSE(WEEKDAY($B1863,2),"Segunda","Terça","Quarta","Quinta","Sexta","Sábado","Domingo"))</f>
        <v/>
      </c>
      <c r="AD1863" s="17">
        <f>IF($B1863="","",TEXT($B1863,"MM/AAAA"))</f>
        <v/>
      </c>
      <c r="AE1863" s="18">
        <f>IF(COUNTA($B1863:$R1863)=0,"",IF($X1863="Cancelado",0,ROUND(N($Q1863)+N($S1863)+N($T1863)-N($U1863),2)))</f>
        <v/>
      </c>
      <c r="AF1863" s="9">
        <f>IF($G1863="","",IFERROR(INDEX(LINHAS_DRE_PLANO,MATCH($G1863,SUBCATEGORIAS_PLANO,0)),"Não classificado"))</f>
        <v/>
      </c>
      <c r="AG1863" s="17">
        <f>IF($G1863="","",IFERROR(INDEX(TIPOS_FLUXO_PLANO,MATCH($G1863,SUBCATEGORIAS_PLANO,0)),"Não classificado"))</f>
        <v/>
      </c>
      <c r="AH1863" s="9">
        <f>IF($G1863="","",IFERROR(INDEX(GRUPOS_PLANO,MATCH($G1863,SUBCATEGORIAS_PLANO,0)),"Não classificado"))</f>
        <v/>
      </c>
      <c r="AI1863" s="24">
        <f>IF(OR($C1863="",$X1863="Pago",$X1863="Recebido",$X1863="Cancelado"),"",$C1863-TODAY())</f>
        <v/>
      </c>
      <c r="AJ1863" s="24">
        <f>IF(OR($C1863="",$X1863="Pago",$X1863="Recebido",$X1863="Cancelado"),0,MAX(0,TODAY()-$C1863))</f>
        <v/>
      </c>
      <c r="AK1863" s="24">
        <f>IF($D1863="","",$D1863-$B1863)</f>
        <v/>
      </c>
      <c r="AL1863" s="18">
        <f>IF(OR($D1863="",$B1863=""),"",ROUND(N($R1863)*($D1863-$B1863),2))</f>
        <v/>
      </c>
      <c r="AM1863" s="17">
        <f>IF(AND($E1863="Saída",$W1863&gt;0,$C1863&lt;&gt;""),$C1863+ROW()/1000000,"")</f>
        <v/>
      </c>
      <c r="AN1863" s="17">
        <f>IF(AND($E1863="Entrada",$W1863&gt;0,$C1863&lt;&gt;""),$C1863+ROW()/1000000,"")</f>
        <v/>
      </c>
      <c r="AO1863" s="9">
        <f>IF(COUNTA($B1863:$R1863)=0,"",IF(AND($I1863&lt;&gt;"",COUNTIF(CLIENTES_NOMES,$I1863)+COUNTIF(CLIENTES_FANTASIA,$I1863)+COUNTIF(FORNECEDORES_NOMES,$I1863)+COUNTIF(FORNECEDORES_FANTASIA,$I1863)=0),"⚠ Cliente/Fornecedor não cadastrado",IF(AND($G1863&lt;&gt;"",COUNTIF(SUBCATEGORIAS_PLANO,$G1863)=0),"⚠ Subcategoria fora do plano de contas",IF(OR($Q1863="",N($Q1863)=0),"⚠ Valor previsto não informado",IF(AND(OR($X1863="Pago",$X1863="Recebido"),$D1863=""),"⚠ Status pago/recebido sem data",IF(AND($D1863&lt;&gt;"",N($R1863)=0),"⚠ Data de pagamento sem valor realizado",IF(AND(N($P1863)&gt;1,N($O1863)&gt;N($P1863)),"⚠ Nº da parcela maior que o total",IF(AND($C1863&lt;&gt;"",$B1863&lt;&gt;"",$C1863&lt;$B1863),"⚠ Vencimento anterior à competência","OK"))))))))</f>
        <v/>
      </c>
    </row>
    <row r="1864">
      <c r="A1864" s="14" t="n"/>
      <c r="B1864" s="36" t="n"/>
      <c r="C1864" s="36" t="n"/>
      <c r="D1864" s="36" t="n"/>
      <c r="E1864" s="14" t="n"/>
      <c r="F1864" s="29" t="n"/>
      <c r="G1864" s="29" t="n"/>
      <c r="H1864" s="29" t="n"/>
      <c r="I1864" s="29" t="n"/>
      <c r="J1864" s="29" t="n"/>
      <c r="K1864" s="14" t="n"/>
      <c r="L1864" s="29" t="n"/>
      <c r="M1864" s="14" t="n"/>
      <c r="N1864" s="29" t="n"/>
      <c r="O1864" s="13" t="n"/>
      <c r="P1864" s="13" t="n"/>
      <c r="Q1864" s="35" t="n"/>
      <c r="R1864" s="35" t="n"/>
      <c r="S1864" s="35" t="n"/>
      <c r="T1864" s="35" t="n"/>
      <c r="U1864" s="35" t="n"/>
      <c r="V1864" s="18">
        <f>IF(COUNTA($B1864:$R1864)=0,"",ROUND(N($R1864)+N($S1864)+N($T1864)-N($U1864),2))</f>
        <v/>
      </c>
      <c r="W1864" s="18">
        <f>IF(COUNTA($B1864:$R1864)=0,"",IF(OR($X1864="Pago",$X1864="Recebido",$X1864="Cancelado"),0,ROUND(N($Q1864)+N($S1864)+N($T1864)-N($U1864)-N($R1864),2)))</f>
        <v/>
      </c>
      <c r="X1864" s="14" t="n"/>
      <c r="Y1864" s="17">
        <f>IF(COUNTA($B1864:$R1864)=0,"",IF($X1864="Cancelado","Cancelado",IF(OR($X1864="Pago",$X1864="Recebido"),$X1864,IF(OR($X1864="Parcial",N($R1864)&gt;0),"Parcial",IF($C1864="","Sem vencimento",IF($C1864&lt;TODAY(),"Vencido",IF($C1864=TODAY(),"Vence hoje",IF($C1864&lt;=TODAY()+7,"Vence em 7 dias",IF($C1864&lt;=TODAY()+30,"Vence em 30 dias","Futuro")))))))))</f>
        <v/>
      </c>
      <c r="Z1864" s="24">
        <f>IF($B1864="","",MONTH($B1864))</f>
        <v/>
      </c>
      <c r="AA1864" s="24">
        <f>IF($B1864="","",YEAR($B1864))</f>
        <v/>
      </c>
      <c r="AB1864" s="24">
        <f>IF($B1864="","",ISOWEEKNUM($B1864))</f>
        <v/>
      </c>
      <c r="AC1864" s="17">
        <f>IF($B1864="","",CHOOSE(WEEKDAY($B1864,2),"Segunda","Terça","Quarta","Quinta","Sexta","Sábado","Domingo"))</f>
        <v/>
      </c>
      <c r="AD1864" s="17">
        <f>IF($B1864="","",TEXT($B1864,"MM/AAAA"))</f>
        <v/>
      </c>
      <c r="AE1864" s="18">
        <f>IF(COUNTA($B1864:$R1864)=0,"",IF($X1864="Cancelado",0,ROUND(N($Q1864)+N($S1864)+N($T1864)-N($U1864),2)))</f>
        <v/>
      </c>
      <c r="AF1864" s="9">
        <f>IF($G1864="","",IFERROR(INDEX(LINHAS_DRE_PLANO,MATCH($G1864,SUBCATEGORIAS_PLANO,0)),"Não classificado"))</f>
        <v/>
      </c>
      <c r="AG1864" s="17">
        <f>IF($G1864="","",IFERROR(INDEX(TIPOS_FLUXO_PLANO,MATCH($G1864,SUBCATEGORIAS_PLANO,0)),"Não classificado"))</f>
        <v/>
      </c>
      <c r="AH1864" s="9">
        <f>IF($G1864="","",IFERROR(INDEX(GRUPOS_PLANO,MATCH($G1864,SUBCATEGORIAS_PLANO,0)),"Não classificado"))</f>
        <v/>
      </c>
      <c r="AI1864" s="24">
        <f>IF(OR($C1864="",$X1864="Pago",$X1864="Recebido",$X1864="Cancelado"),"",$C1864-TODAY())</f>
        <v/>
      </c>
      <c r="AJ1864" s="24">
        <f>IF(OR($C1864="",$X1864="Pago",$X1864="Recebido",$X1864="Cancelado"),0,MAX(0,TODAY()-$C1864))</f>
        <v/>
      </c>
      <c r="AK1864" s="24">
        <f>IF($D1864="","",$D1864-$B1864)</f>
        <v/>
      </c>
      <c r="AL1864" s="18">
        <f>IF(OR($D1864="",$B1864=""),"",ROUND(N($R1864)*($D1864-$B1864),2))</f>
        <v/>
      </c>
      <c r="AM1864" s="17">
        <f>IF(AND($E1864="Saída",$W1864&gt;0,$C1864&lt;&gt;""),$C1864+ROW()/1000000,"")</f>
        <v/>
      </c>
      <c r="AN1864" s="17">
        <f>IF(AND($E1864="Entrada",$W1864&gt;0,$C1864&lt;&gt;""),$C1864+ROW()/1000000,"")</f>
        <v/>
      </c>
      <c r="AO1864" s="9">
        <f>IF(COUNTA($B1864:$R1864)=0,"",IF(AND($I1864&lt;&gt;"",COUNTIF(CLIENTES_NOMES,$I1864)+COUNTIF(CLIENTES_FANTASIA,$I1864)+COUNTIF(FORNECEDORES_NOMES,$I1864)+COUNTIF(FORNECEDORES_FANTASIA,$I1864)=0),"⚠ Cliente/Fornecedor não cadastrado",IF(AND($G1864&lt;&gt;"",COUNTIF(SUBCATEGORIAS_PLANO,$G1864)=0),"⚠ Subcategoria fora do plano de contas",IF(OR($Q1864="",N($Q1864)=0),"⚠ Valor previsto não informado",IF(AND(OR($X1864="Pago",$X1864="Recebido"),$D1864=""),"⚠ Status pago/recebido sem data",IF(AND($D1864&lt;&gt;"",N($R1864)=0),"⚠ Data de pagamento sem valor realizado",IF(AND(N($P1864)&gt;1,N($O1864)&gt;N($P1864)),"⚠ Nº da parcela maior que o total",IF(AND($C1864&lt;&gt;"",$B1864&lt;&gt;"",$C1864&lt;$B1864),"⚠ Vencimento anterior à competência","OK"))))))))</f>
        <v/>
      </c>
    </row>
    <row r="1865">
      <c r="A1865" s="14" t="n"/>
      <c r="B1865" s="36" t="n"/>
      <c r="C1865" s="36" t="n"/>
      <c r="D1865" s="36" t="n"/>
      <c r="E1865" s="14" t="n"/>
      <c r="F1865" s="29" t="n"/>
      <c r="G1865" s="29" t="n"/>
      <c r="H1865" s="29" t="n"/>
      <c r="I1865" s="29" t="n"/>
      <c r="J1865" s="29" t="n"/>
      <c r="K1865" s="14" t="n"/>
      <c r="L1865" s="29" t="n"/>
      <c r="M1865" s="14" t="n"/>
      <c r="N1865" s="29" t="n"/>
      <c r="O1865" s="13" t="n"/>
      <c r="P1865" s="13" t="n"/>
      <c r="Q1865" s="35" t="n"/>
      <c r="R1865" s="35" t="n"/>
      <c r="S1865" s="35" t="n"/>
      <c r="T1865" s="35" t="n"/>
      <c r="U1865" s="35" t="n"/>
      <c r="V1865" s="18">
        <f>IF(COUNTA($B1865:$R1865)=0,"",ROUND(N($R1865)+N($S1865)+N($T1865)-N($U1865),2))</f>
        <v/>
      </c>
      <c r="W1865" s="18">
        <f>IF(COUNTA($B1865:$R1865)=0,"",IF(OR($X1865="Pago",$X1865="Recebido",$X1865="Cancelado"),0,ROUND(N($Q1865)+N($S1865)+N($T1865)-N($U1865)-N($R1865),2)))</f>
        <v/>
      </c>
      <c r="X1865" s="14" t="n"/>
      <c r="Y1865" s="17">
        <f>IF(COUNTA($B1865:$R1865)=0,"",IF($X1865="Cancelado","Cancelado",IF(OR($X1865="Pago",$X1865="Recebido"),$X1865,IF(OR($X1865="Parcial",N($R1865)&gt;0),"Parcial",IF($C1865="","Sem vencimento",IF($C1865&lt;TODAY(),"Vencido",IF($C1865=TODAY(),"Vence hoje",IF($C1865&lt;=TODAY()+7,"Vence em 7 dias",IF($C1865&lt;=TODAY()+30,"Vence em 30 dias","Futuro")))))))))</f>
        <v/>
      </c>
      <c r="Z1865" s="24">
        <f>IF($B1865="","",MONTH($B1865))</f>
        <v/>
      </c>
      <c r="AA1865" s="24">
        <f>IF($B1865="","",YEAR($B1865))</f>
        <v/>
      </c>
      <c r="AB1865" s="24">
        <f>IF($B1865="","",ISOWEEKNUM($B1865))</f>
        <v/>
      </c>
      <c r="AC1865" s="17">
        <f>IF($B1865="","",CHOOSE(WEEKDAY($B1865,2),"Segunda","Terça","Quarta","Quinta","Sexta","Sábado","Domingo"))</f>
        <v/>
      </c>
      <c r="AD1865" s="17">
        <f>IF($B1865="","",TEXT($B1865,"MM/AAAA"))</f>
        <v/>
      </c>
      <c r="AE1865" s="18">
        <f>IF(COUNTA($B1865:$R1865)=0,"",IF($X1865="Cancelado",0,ROUND(N($Q1865)+N($S1865)+N($T1865)-N($U1865),2)))</f>
        <v/>
      </c>
      <c r="AF1865" s="9">
        <f>IF($G1865="","",IFERROR(INDEX(LINHAS_DRE_PLANO,MATCH($G1865,SUBCATEGORIAS_PLANO,0)),"Não classificado"))</f>
        <v/>
      </c>
      <c r="AG1865" s="17">
        <f>IF($G1865="","",IFERROR(INDEX(TIPOS_FLUXO_PLANO,MATCH($G1865,SUBCATEGORIAS_PLANO,0)),"Não classificado"))</f>
        <v/>
      </c>
      <c r="AH1865" s="9">
        <f>IF($G1865="","",IFERROR(INDEX(GRUPOS_PLANO,MATCH($G1865,SUBCATEGORIAS_PLANO,0)),"Não classificado"))</f>
        <v/>
      </c>
      <c r="AI1865" s="24">
        <f>IF(OR($C1865="",$X1865="Pago",$X1865="Recebido",$X1865="Cancelado"),"",$C1865-TODAY())</f>
        <v/>
      </c>
      <c r="AJ1865" s="24">
        <f>IF(OR($C1865="",$X1865="Pago",$X1865="Recebido",$X1865="Cancelado"),0,MAX(0,TODAY()-$C1865))</f>
        <v/>
      </c>
      <c r="AK1865" s="24">
        <f>IF($D1865="","",$D1865-$B1865)</f>
        <v/>
      </c>
      <c r="AL1865" s="18">
        <f>IF(OR($D1865="",$B1865=""),"",ROUND(N($R1865)*($D1865-$B1865),2))</f>
        <v/>
      </c>
      <c r="AM1865" s="17">
        <f>IF(AND($E1865="Saída",$W1865&gt;0,$C1865&lt;&gt;""),$C1865+ROW()/1000000,"")</f>
        <v/>
      </c>
      <c r="AN1865" s="17">
        <f>IF(AND($E1865="Entrada",$W1865&gt;0,$C1865&lt;&gt;""),$C1865+ROW()/1000000,"")</f>
        <v/>
      </c>
      <c r="AO1865" s="9">
        <f>IF(COUNTA($B1865:$R1865)=0,"",IF(AND($I1865&lt;&gt;"",COUNTIF(CLIENTES_NOMES,$I1865)+COUNTIF(CLIENTES_FANTASIA,$I1865)+COUNTIF(FORNECEDORES_NOMES,$I1865)+COUNTIF(FORNECEDORES_FANTASIA,$I1865)=0),"⚠ Cliente/Fornecedor não cadastrado",IF(AND($G1865&lt;&gt;"",COUNTIF(SUBCATEGORIAS_PLANO,$G1865)=0),"⚠ Subcategoria fora do plano de contas",IF(OR($Q1865="",N($Q1865)=0),"⚠ Valor previsto não informado",IF(AND(OR($X1865="Pago",$X1865="Recebido"),$D1865=""),"⚠ Status pago/recebido sem data",IF(AND($D1865&lt;&gt;"",N($R1865)=0),"⚠ Data de pagamento sem valor realizado",IF(AND(N($P1865)&gt;1,N($O1865)&gt;N($P1865)),"⚠ Nº da parcela maior que o total",IF(AND($C1865&lt;&gt;"",$B1865&lt;&gt;"",$C1865&lt;$B1865),"⚠ Vencimento anterior à competência","OK"))))))))</f>
        <v/>
      </c>
    </row>
    <row r="1866">
      <c r="A1866" s="14" t="n"/>
      <c r="B1866" s="36" t="n"/>
      <c r="C1866" s="36" t="n"/>
      <c r="D1866" s="36" t="n"/>
      <c r="E1866" s="14" t="n"/>
      <c r="F1866" s="29" t="n"/>
      <c r="G1866" s="29" t="n"/>
      <c r="H1866" s="29" t="n"/>
      <c r="I1866" s="29" t="n"/>
      <c r="J1866" s="29" t="n"/>
      <c r="K1866" s="14" t="n"/>
      <c r="L1866" s="29" t="n"/>
      <c r="M1866" s="14" t="n"/>
      <c r="N1866" s="29" t="n"/>
      <c r="O1866" s="13" t="n"/>
      <c r="P1866" s="13" t="n"/>
      <c r="Q1866" s="35" t="n"/>
      <c r="R1866" s="35" t="n"/>
      <c r="S1866" s="35" t="n"/>
      <c r="T1866" s="35" t="n"/>
      <c r="U1866" s="35" t="n"/>
      <c r="V1866" s="18">
        <f>IF(COUNTA($B1866:$R1866)=0,"",ROUND(N($R1866)+N($S1866)+N($T1866)-N($U1866),2))</f>
        <v/>
      </c>
      <c r="W1866" s="18">
        <f>IF(COUNTA($B1866:$R1866)=0,"",IF(OR($X1866="Pago",$X1866="Recebido",$X1866="Cancelado"),0,ROUND(N($Q1866)+N($S1866)+N($T1866)-N($U1866)-N($R1866),2)))</f>
        <v/>
      </c>
      <c r="X1866" s="14" t="n"/>
      <c r="Y1866" s="17">
        <f>IF(COUNTA($B1866:$R1866)=0,"",IF($X1866="Cancelado","Cancelado",IF(OR($X1866="Pago",$X1866="Recebido"),$X1866,IF(OR($X1866="Parcial",N($R1866)&gt;0),"Parcial",IF($C1866="","Sem vencimento",IF($C1866&lt;TODAY(),"Vencido",IF($C1866=TODAY(),"Vence hoje",IF($C1866&lt;=TODAY()+7,"Vence em 7 dias",IF($C1866&lt;=TODAY()+30,"Vence em 30 dias","Futuro")))))))))</f>
        <v/>
      </c>
      <c r="Z1866" s="24">
        <f>IF($B1866="","",MONTH($B1866))</f>
        <v/>
      </c>
      <c r="AA1866" s="24">
        <f>IF($B1866="","",YEAR($B1866))</f>
        <v/>
      </c>
      <c r="AB1866" s="24">
        <f>IF($B1866="","",ISOWEEKNUM($B1866))</f>
        <v/>
      </c>
      <c r="AC1866" s="17">
        <f>IF($B1866="","",CHOOSE(WEEKDAY($B1866,2),"Segunda","Terça","Quarta","Quinta","Sexta","Sábado","Domingo"))</f>
        <v/>
      </c>
      <c r="AD1866" s="17">
        <f>IF($B1866="","",TEXT($B1866,"MM/AAAA"))</f>
        <v/>
      </c>
      <c r="AE1866" s="18">
        <f>IF(COUNTA($B1866:$R1866)=0,"",IF($X1866="Cancelado",0,ROUND(N($Q1866)+N($S1866)+N($T1866)-N($U1866),2)))</f>
        <v/>
      </c>
      <c r="AF1866" s="9">
        <f>IF($G1866="","",IFERROR(INDEX(LINHAS_DRE_PLANO,MATCH($G1866,SUBCATEGORIAS_PLANO,0)),"Não classificado"))</f>
        <v/>
      </c>
      <c r="AG1866" s="17">
        <f>IF($G1866="","",IFERROR(INDEX(TIPOS_FLUXO_PLANO,MATCH($G1866,SUBCATEGORIAS_PLANO,0)),"Não classificado"))</f>
        <v/>
      </c>
      <c r="AH1866" s="9">
        <f>IF($G1866="","",IFERROR(INDEX(GRUPOS_PLANO,MATCH($G1866,SUBCATEGORIAS_PLANO,0)),"Não classificado"))</f>
        <v/>
      </c>
      <c r="AI1866" s="24">
        <f>IF(OR($C1866="",$X1866="Pago",$X1866="Recebido",$X1866="Cancelado"),"",$C1866-TODAY())</f>
        <v/>
      </c>
      <c r="AJ1866" s="24">
        <f>IF(OR($C1866="",$X1866="Pago",$X1866="Recebido",$X1866="Cancelado"),0,MAX(0,TODAY()-$C1866))</f>
        <v/>
      </c>
      <c r="AK1866" s="24">
        <f>IF($D1866="","",$D1866-$B1866)</f>
        <v/>
      </c>
      <c r="AL1866" s="18">
        <f>IF(OR($D1866="",$B1866=""),"",ROUND(N($R1866)*($D1866-$B1866),2))</f>
        <v/>
      </c>
      <c r="AM1866" s="17">
        <f>IF(AND($E1866="Saída",$W1866&gt;0,$C1866&lt;&gt;""),$C1866+ROW()/1000000,"")</f>
        <v/>
      </c>
      <c r="AN1866" s="17">
        <f>IF(AND($E1866="Entrada",$W1866&gt;0,$C1866&lt;&gt;""),$C1866+ROW()/1000000,"")</f>
        <v/>
      </c>
      <c r="AO1866" s="9">
        <f>IF(COUNTA($B1866:$R1866)=0,"",IF(AND($I1866&lt;&gt;"",COUNTIF(CLIENTES_NOMES,$I1866)+COUNTIF(CLIENTES_FANTASIA,$I1866)+COUNTIF(FORNECEDORES_NOMES,$I1866)+COUNTIF(FORNECEDORES_FANTASIA,$I1866)=0),"⚠ Cliente/Fornecedor não cadastrado",IF(AND($G1866&lt;&gt;"",COUNTIF(SUBCATEGORIAS_PLANO,$G1866)=0),"⚠ Subcategoria fora do plano de contas",IF(OR($Q1866="",N($Q1866)=0),"⚠ Valor previsto não informado",IF(AND(OR($X1866="Pago",$X1866="Recebido"),$D1866=""),"⚠ Status pago/recebido sem data",IF(AND($D1866&lt;&gt;"",N($R1866)=0),"⚠ Data de pagamento sem valor realizado",IF(AND(N($P1866)&gt;1,N($O1866)&gt;N($P1866)),"⚠ Nº da parcela maior que o total",IF(AND($C1866&lt;&gt;"",$B1866&lt;&gt;"",$C1866&lt;$B1866),"⚠ Vencimento anterior à competência","OK"))))))))</f>
        <v/>
      </c>
    </row>
    <row r="1867">
      <c r="A1867" s="14" t="n"/>
      <c r="B1867" s="36" t="n"/>
      <c r="C1867" s="36" t="n"/>
      <c r="D1867" s="36" t="n"/>
      <c r="E1867" s="14" t="n"/>
      <c r="F1867" s="29" t="n"/>
      <c r="G1867" s="29" t="n"/>
      <c r="H1867" s="29" t="n"/>
      <c r="I1867" s="29" t="n"/>
      <c r="J1867" s="29" t="n"/>
      <c r="K1867" s="14" t="n"/>
      <c r="L1867" s="29" t="n"/>
      <c r="M1867" s="14" t="n"/>
      <c r="N1867" s="29" t="n"/>
      <c r="O1867" s="13" t="n"/>
      <c r="P1867" s="13" t="n"/>
      <c r="Q1867" s="35" t="n"/>
      <c r="R1867" s="35" t="n"/>
      <c r="S1867" s="35" t="n"/>
      <c r="T1867" s="35" t="n"/>
      <c r="U1867" s="35" t="n"/>
      <c r="V1867" s="18">
        <f>IF(COUNTA($B1867:$R1867)=0,"",ROUND(N($R1867)+N($S1867)+N($T1867)-N($U1867),2))</f>
        <v/>
      </c>
      <c r="W1867" s="18">
        <f>IF(COUNTA($B1867:$R1867)=0,"",IF(OR($X1867="Pago",$X1867="Recebido",$X1867="Cancelado"),0,ROUND(N($Q1867)+N($S1867)+N($T1867)-N($U1867)-N($R1867),2)))</f>
        <v/>
      </c>
      <c r="X1867" s="14" t="n"/>
      <c r="Y1867" s="17">
        <f>IF(COUNTA($B1867:$R1867)=0,"",IF($X1867="Cancelado","Cancelado",IF(OR($X1867="Pago",$X1867="Recebido"),$X1867,IF(OR($X1867="Parcial",N($R1867)&gt;0),"Parcial",IF($C1867="","Sem vencimento",IF($C1867&lt;TODAY(),"Vencido",IF($C1867=TODAY(),"Vence hoje",IF($C1867&lt;=TODAY()+7,"Vence em 7 dias",IF($C1867&lt;=TODAY()+30,"Vence em 30 dias","Futuro")))))))))</f>
        <v/>
      </c>
      <c r="Z1867" s="24">
        <f>IF($B1867="","",MONTH($B1867))</f>
        <v/>
      </c>
      <c r="AA1867" s="24">
        <f>IF($B1867="","",YEAR($B1867))</f>
        <v/>
      </c>
      <c r="AB1867" s="24">
        <f>IF($B1867="","",ISOWEEKNUM($B1867))</f>
        <v/>
      </c>
      <c r="AC1867" s="17">
        <f>IF($B1867="","",CHOOSE(WEEKDAY($B1867,2),"Segunda","Terça","Quarta","Quinta","Sexta","Sábado","Domingo"))</f>
        <v/>
      </c>
      <c r="AD1867" s="17">
        <f>IF($B1867="","",TEXT($B1867,"MM/AAAA"))</f>
        <v/>
      </c>
      <c r="AE1867" s="18">
        <f>IF(COUNTA($B1867:$R1867)=0,"",IF($X1867="Cancelado",0,ROUND(N($Q1867)+N($S1867)+N($T1867)-N($U1867),2)))</f>
        <v/>
      </c>
      <c r="AF1867" s="9">
        <f>IF($G1867="","",IFERROR(INDEX(LINHAS_DRE_PLANO,MATCH($G1867,SUBCATEGORIAS_PLANO,0)),"Não classificado"))</f>
        <v/>
      </c>
      <c r="AG1867" s="17">
        <f>IF($G1867="","",IFERROR(INDEX(TIPOS_FLUXO_PLANO,MATCH($G1867,SUBCATEGORIAS_PLANO,0)),"Não classificado"))</f>
        <v/>
      </c>
      <c r="AH1867" s="9">
        <f>IF($G1867="","",IFERROR(INDEX(GRUPOS_PLANO,MATCH($G1867,SUBCATEGORIAS_PLANO,0)),"Não classificado"))</f>
        <v/>
      </c>
      <c r="AI1867" s="24">
        <f>IF(OR($C1867="",$X1867="Pago",$X1867="Recebido",$X1867="Cancelado"),"",$C1867-TODAY())</f>
        <v/>
      </c>
      <c r="AJ1867" s="24">
        <f>IF(OR($C1867="",$X1867="Pago",$X1867="Recebido",$X1867="Cancelado"),0,MAX(0,TODAY()-$C1867))</f>
        <v/>
      </c>
      <c r="AK1867" s="24">
        <f>IF($D1867="","",$D1867-$B1867)</f>
        <v/>
      </c>
      <c r="AL1867" s="18">
        <f>IF(OR($D1867="",$B1867=""),"",ROUND(N($R1867)*($D1867-$B1867),2))</f>
        <v/>
      </c>
      <c r="AM1867" s="17">
        <f>IF(AND($E1867="Saída",$W1867&gt;0,$C1867&lt;&gt;""),$C1867+ROW()/1000000,"")</f>
        <v/>
      </c>
      <c r="AN1867" s="17">
        <f>IF(AND($E1867="Entrada",$W1867&gt;0,$C1867&lt;&gt;""),$C1867+ROW()/1000000,"")</f>
        <v/>
      </c>
      <c r="AO1867" s="9">
        <f>IF(COUNTA($B1867:$R1867)=0,"",IF(AND($I1867&lt;&gt;"",COUNTIF(CLIENTES_NOMES,$I1867)+COUNTIF(CLIENTES_FANTASIA,$I1867)+COUNTIF(FORNECEDORES_NOMES,$I1867)+COUNTIF(FORNECEDORES_FANTASIA,$I1867)=0),"⚠ Cliente/Fornecedor não cadastrado",IF(AND($G1867&lt;&gt;"",COUNTIF(SUBCATEGORIAS_PLANO,$G1867)=0),"⚠ Subcategoria fora do plano de contas",IF(OR($Q1867="",N($Q1867)=0),"⚠ Valor previsto não informado",IF(AND(OR($X1867="Pago",$X1867="Recebido"),$D1867=""),"⚠ Status pago/recebido sem data",IF(AND($D1867&lt;&gt;"",N($R1867)=0),"⚠ Data de pagamento sem valor realizado",IF(AND(N($P1867)&gt;1,N($O1867)&gt;N($P1867)),"⚠ Nº da parcela maior que o total",IF(AND($C1867&lt;&gt;"",$B1867&lt;&gt;"",$C1867&lt;$B1867),"⚠ Vencimento anterior à competência","OK"))))))))</f>
        <v/>
      </c>
    </row>
    <row r="1868">
      <c r="A1868" s="14" t="n"/>
      <c r="B1868" s="36" t="n"/>
      <c r="C1868" s="36" t="n"/>
      <c r="D1868" s="36" t="n"/>
      <c r="E1868" s="14" t="n"/>
      <c r="F1868" s="29" t="n"/>
      <c r="G1868" s="29" t="n"/>
      <c r="H1868" s="29" t="n"/>
      <c r="I1868" s="29" t="n"/>
      <c r="J1868" s="29" t="n"/>
      <c r="K1868" s="14" t="n"/>
      <c r="L1868" s="29" t="n"/>
      <c r="M1868" s="14" t="n"/>
      <c r="N1868" s="29" t="n"/>
      <c r="O1868" s="13" t="n"/>
      <c r="P1868" s="13" t="n"/>
      <c r="Q1868" s="35" t="n"/>
      <c r="R1868" s="35" t="n"/>
      <c r="S1868" s="35" t="n"/>
      <c r="T1868" s="35" t="n"/>
      <c r="U1868" s="35" t="n"/>
      <c r="V1868" s="18">
        <f>IF(COUNTA($B1868:$R1868)=0,"",ROUND(N($R1868)+N($S1868)+N($T1868)-N($U1868),2))</f>
        <v/>
      </c>
      <c r="W1868" s="18">
        <f>IF(COUNTA($B1868:$R1868)=0,"",IF(OR($X1868="Pago",$X1868="Recebido",$X1868="Cancelado"),0,ROUND(N($Q1868)+N($S1868)+N($T1868)-N($U1868)-N($R1868),2)))</f>
        <v/>
      </c>
      <c r="X1868" s="14" t="n"/>
      <c r="Y1868" s="17">
        <f>IF(COUNTA($B1868:$R1868)=0,"",IF($X1868="Cancelado","Cancelado",IF(OR($X1868="Pago",$X1868="Recebido"),$X1868,IF(OR($X1868="Parcial",N($R1868)&gt;0),"Parcial",IF($C1868="","Sem vencimento",IF($C1868&lt;TODAY(),"Vencido",IF($C1868=TODAY(),"Vence hoje",IF($C1868&lt;=TODAY()+7,"Vence em 7 dias",IF($C1868&lt;=TODAY()+30,"Vence em 30 dias","Futuro")))))))))</f>
        <v/>
      </c>
      <c r="Z1868" s="24">
        <f>IF($B1868="","",MONTH($B1868))</f>
        <v/>
      </c>
      <c r="AA1868" s="24">
        <f>IF($B1868="","",YEAR($B1868))</f>
        <v/>
      </c>
      <c r="AB1868" s="24">
        <f>IF($B1868="","",ISOWEEKNUM($B1868))</f>
        <v/>
      </c>
      <c r="AC1868" s="17">
        <f>IF($B1868="","",CHOOSE(WEEKDAY($B1868,2),"Segunda","Terça","Quarta","Quinta","Sexta","Sábado","Domingo"))</f>
        <v/>
      </c>
      <c r="AD1868" s="17">
        <f>IF($B1868="","",TEXT($B1868,"MM/AAAA"))</f>
        <v/>
      </c>
      <c r="AE1868" s="18">
        <f>IF(COUNTA($B1868:$R1868)=0,"",IF($X1868="Cancelado",0,ROUND(N($Q1868)+N($S1868)+N($T1868)-N($U1868),2)))</f>
        <v/>
      </c>
      <c r="AF1868" s="9">
        <f>IF($G1868="","",IFERROR(INDEX(LINHAS_DRE_PLANO,MATCH($G1868,SUBCATEGORIAS_PLANO,0)),"Não classificado"))</f>
        <v/>
      </c>
      <c r="AG1868" s="17">
        <f>IF($G1868="","",IFERROR(INDEX(TIPOS_FLUXO_PLANO,MATCH($G1868,SUBCATEGORIAS_PLANO,0)),"Não classificado"))</f>
        <v/>
      </c>
      <c r="AH1868" s="9">
        <f>IF($G1868="","",IFERROR(INDEX(GRUPOS_PLANO,MATCH($G1868,SUBCATEGORIAS_PLANO,0)),"Não classificado"))</f>
        <v/>
      </c>
      <c r="AI1868" s="24">
        <f>IF(OR($C1868="",$X1868="Pago",$X1868="Recebido",$X1868="Cancelado"),"",$C1868-TODAY())</f>
        <v/>
      </c>
      <c r="AJ1868" s="24">
        <f>IF(OR($C1868="",$X1868="Pago",$X1868="Recebido",$X1868="Cancelado"),0,MAX(0,TODAY()-$C1868))</f>
        <v/>
      </c>
      <c r="AK1868" s="24">
        <f>IF($D1868="","",$D1868-$B1868)</f>
        <v/>
      </c>
      <c r="AL1868" s="18">
        <f>IF(OR($D1868="",$B1868=""),"",ROUND(N($R1868)*($D1868-$B1868),2))</f>
        <v/>
      </c>
      <c r="AM1868" s="17">
        <f>IF(AND($E1868="Saída",$W1868&gt;0,$C1868&lt;&gt;""),$C1868+ROW()/1000000,"")</f>
        <v/>
      </c>
      <c r="AN1868" s="17">
        <f>IF(AND($E1868="Entrada",$W1868&gt;0,$C1868&lt;&gt;""),$C1868+ROW()/1000000,"")</f>
        <v/>
      </c>
      <c r="AO1868" s="9">
        <f>IF(COUNTA($B1868:$R1868)=0,"",IF(AND($I1868&lt;&gt;"",COUNTIF(CLIENTES_NOMES,$I1868)+COUNTIF(CLIENTES_FANTASIA,$I1868)+COUNTIF(FORNECEDORES_NOMES,$I1868)+COUNTIF(FORNECEDORES_FANTASIA,$I1868)=0),"⚠ Cliente/Fornecedor não cadastrado",IF(AND($G1868&lt;&gt;"",COUNTIF(SUBCATEGORIAS_PLANO,$G1868)=0),"⚠ Subcategoria fora do plano de contas",IF(OR($Q1868="",N($Q1868)=0),"⚠ Valor previsto não informado",IF(AND(OR($X1868="Pago",$X1868="Recebido"),$D1868=""),"⚠ Status pago/recebido sem data",IF(AND($D1868&lt;&gt;"",N($R1868)=0),"⚠ Data de pagamento sem valor realizado",IF(AND(N($P1868)&gt;1,N($O1868)&gt;N($P1868)),"⚠ Nº da parcela maior que o total",IF(AND($C1868&lt;&gt;"",$B1868&lt;&gt;"",$C1868&lt;$B1868),"⚠ Vencimento anterior à competência","OK"))))))))</f>
        <v/>
      </c>
    </row>
    <row r="1869">
      <c r="A1869" s="14" t="n"/>
      <c r="B1869" s="36" t="n"/>
      <c r="C1869" s="36" t="n"/>
      <c r="D1869" s="36" t="n"/>
      <c r="E1869" s="14" t="n"/>
      <c r="F1869" s="29" t="n"/>
      <c r="G1869" s="29" t="n"/>
      <c r="H1869" s="29" t="n"/>
      <c r="I1869" s="29" t="n"/>
      <c r="J1869" s="29" t="n"/>
      <c r="K1869" s="14" t="n"/>
      <c r="L1869" s="29" t="n"/>
      <c r="M1869" s="14" t="n"/>
      <c r="N1869" s="29" t="n"/>
      <c r="O1869" s="13" t="n"/>
      <c r="P1869" s="13" t="n"/>
      <c r="Q1869" s="35" t="n"/>
      <c r="R1869" s="35" t="n"/>
      <c r="S1869" s="35" t="n"/>
      <c r="T1869" s="35" t="n"/>
      <c r="U1869" s="35" t="n"/>
      <c r="V1869" s="18">
        <f>IF(COUNTA($B1869:$R1869)=0,"",ROUND(N($R1869)+N($S1869)+N($T1869)-N($U1869),2))</f>
        <v/>
      </c>
      <c r="W1869" s="18">
        <f>IF(COUNTA($B1869:$R1869)=0,"",IF(OR($X1869="Pago",$X1869="Recebido",$X1869="Cancelado"),0,ROUND(N($Q1869)+N($S1869)+N($T1869)-N($U1869)-N($R1869),2)))</f>
        <v/>
      </c>
      <c r="X1869" s="14" t="n"/>
      <c r="Y1869" s="17">
        <f>IF(COUNTA($B1869:$R1869)=0,"",IF($X1869="Cancelado","Cancelado",IF(OR($X1869="Pago",$X1869="Recebido"),$X1869,IF(OR($X1869="Parcial",N($R1869)&gt;0),"Parcial",IF($C1869="","Sem vencimento",IF($C1869&lt;TODAY(),"Vencido",IF($C1869=TODAY(),"Vence hoje",IF($C1869&lt;=TODAY()+7,"Vence em 7 dias",IF($C1869&lt;=TODAY()+30,"Vence em 30 dias","Futuro")))))))))</f>
        <v/>
      </c>
      <c r="Z1869" s="24">
        <f>IF($B1869="","",MONTH($B1869))</f>
        <v/>
      </c>
      <c r="AA1869" s="24">
        <f>IF($B1869="","",YEAR($B1869))</f>
        <v/>
      </c>
      <c r="AB1869" s="24">
        <f>IF($B1869="","",ISOWEEKNUM($B1869))</f>
        <v/>
      </c>
      <c r="AC1869" s="17">
        <f>IF($B1869="","",CHOOSE(WEEKDAY($B1869,2),"Segunda","Terça","Quarta","Quinta","Sexta","Sábado","Domingo"))</f>
        <v/>
      </c>
      <c r="AD1869" s="17">
        <f>IF($B1869="","",TEXT($B1869,"MM/AAAA"))</f>
        <v/>
      </c>
      <c r="AE1869" s="18">
        <f>IF(COUNTA($B1869:$R1869)=0,"",IF($X1869="Cancelado",0,ROUND(N($Q1869)+N($S1869)+N($T1869)-N($U1869),2)))</f>
        <v/>
      </c>
      <c r="AF1869" s="9">
        <f>IF($G1869="","",IFERROR(INDEX(LINHAS_DRE_PLANO,MATCH($G1869,SUBCATEGORIAS_PLANO,0)),"Não classificado"))</f>
        <v/>
      </c>
      <c r="AG1869" s="17">
        <f>IF($G1869="","",IFERROR(INDEX(TIPOS_FLUXO_PLANO,MATCH($G1869,SUBCATEGORIAS_PLANO,0)),"Não classificado"))</f>
        <v/>
      </c>
      <c r="AH1869" s="9">
        <f>IF($G1869="","",IFERROR(INDEX(GRUPOS_PLANO,MATCH($G1869,SUBCATEGORIAS_PLANO,0)),"Não classificado"))</f>
        <v/>
      </c>
      <c r="AI1869" s="24">
        <f>IF(OR($C1869="",$X1869="Pago",$X1869="Recebido",$X1869="Cancelado"),"",$C1869-TODAY())</f>
        <v/>
      </c>
      <c r="AJ1869" s="24">
        <f>IF(OR($C1869="",$X1869="Pago",$X1869="Recebido",$X1869="Cancelado"),0,MAX(0,TODAY()-$C1869))</f>
        <v/>
      </c>
      <c r="AK1869" s="24">
        <f>IF($D1869="","",$D1869-$B1869)</f>
        <v/>
      </c>
      <c r="AL1869" s="18">
        <f>IF(OR($D1869="",$B1869=""),"",ROUND(N($R1869)*($D1869-$B1869),2))</f>
        <v/>
      </c>
      <c r="AM1869" s="17">
        <f>IF(AND($E1869="Saída",$W1869&gt;0,$C1869&lt;&gt;""),$C1869+ROW()/1000000,"")</f>
        <v/>
      </c>
      <c r="AN1869" s="17">
        <f>IF(AND($E1869="Entrada",$W1869&gt;0,$C1869&lt;&gt;""),$C1869+ROW()/1000000,"")</f>
        <v/>
      </c>
      <c r="AO1869" s="9">
        <f>IF(COUNTA($B1869:$R1869)=0,"",IF(AND($I1869&lt;&gt;"",COUNTIF(CLIENTES_NOMES,$I1869)+COUNTIF(CLIENTES_FANTASIA,$I1869)+COUNTIF(FORNECEDORES_NOMES,$I1869)+COUNTIF(FORNECEDORES_FANTASIA,$I1869)=0),"⚠ Cliente/Fornecedor não cadastrado",IF(AND($G1869&lt;&gt;"",COUNTIF(SUBCATEGORIAS_PLANO,$G1869)=0),"⚠ Subcategoria fora do plano de contas",IF(OR($Q1869="",N($Q1869)=0),"⚠ Valor previsto não informado",IF(AND(OR($X1869="Pago",$X1869="Recebido"),$D1869=""),"⚠ Status pago/recebido sem data",IF(AND($D1869&lt;&gt;"",N($R1869)=0),"⚠ Data de pagamento sem valor realizado",IF(AND(N($P1869)&gt;1,N($O1869)&gt;N($P1869)),"⚠ Nº da parcela maior que o total",IF(AND($C1869&lt;&gt;"",$B1869&lt;&gt;"",$C1869&lt;$B1869),"⚠ Vencimento anterior à competência","OK"))))))))</f>
        <v/>
      </c>
    </row>
    <row r="1870">
      <c r="A1870" s="14" t="n"/>
      <c r="B1870" s="36" t="n"/>
      <c r="C1870" s="36" t="n"/>
      <c r="D1870" s="36" t="n"/>
      <c r="E1870" s="14" t="n"/>
      <c r="F1870" s="29" t="n"/>
      <c r="G1870" s="29" t="n"/>
      <c r="H1870" s="29" t="n"/>
      <c r="I1870" s="29" t="n"/>
      <c r="J1870" s="29" t="n"/>
      <c r="K1870" s="14" t="n"/>
      <c r="L1870" s="29" t="n"/>
      <c r="M1870" s="14" t="n"/>
      <c r="N1870" s="29" t="n"/>
      <c r="O1870" s="13" t="n"/>
      <c r="P1870" s="13" t="n"/>
      <c r="Q1870" s="35" t="n"/>
      <c r="R1870" s="35" t="n"/>
      <c r="S1870" s="35" t="n"/>
      <c r="T1870" s="35" t="n"/>
      <c r="U1870" s="35" t="n"/>
      <c r="V1870" s="18">
        <f>IF(COUNTA($B1870:$R1870)=0,"",ROUND(N($R1870)+N($S1870)+N($T1870)-N($U1870),2))</f>
        <v/>
      </c>
      <c r="W1870" s="18">
        <f>IF(COUNTA($B1870:$R1870)=0,"",IF(OR($X1870="Pago",$X1870="Recebido",$X1870="Cancelado"),0,ROUND(N($Q1870)+N($S1870)+N($T1870)-N($U1870)-N($R1870),2)))</f>
        <v/>
      </c>
      <c r="X1870" s="14" t="n"/>
      <c r="Y1870" s="17">
        <f>IF(COUNTA($B1870:$R1870)=0,"",IF($X1870="Cancelado","Cancelado",IF(OR($X1870="Pago",$X1870="Recebido"),$X1870,IF(OR($X1870="Parcial",N($R1870)&gt;0),"Parcial",IF($C1870="","Sem vencimento",IF($C1870&lt;TODAY(),"Vencido",IF($C1870=TODAY(),"Vence hoje",IF($C1870&lt;=TODAY()+7,"Vence em 7 dias",IF($C1870&lt;=TODAY()+30,"Vence em 30 dias","Futuro")))))))))</f>
        <v/>
      </c>
      <c r="Z1870" s="24">
        <f>IF($B1870="","",MONTH($B1870))</f>
        <v/>
      </c>
      <c r="AA1870" s="24">
        <f>IF($B1870="","",YEAR($B1870))</f>
        <v/>
      </c>
      <c r="AB1870" s="24">
        <f>IF($B1870="","",ISOWEEKNUM($B1870))</f>
        <v/>
      </c>
      <c r="AC1870" s="17">
        <f>IF($B1870="","",CHOOSE(WEEKDAY($B1870,2),"Segunda","Terça","Quarta","Quinta","Sexta","Sábado","Domingo"))</f>
        <v/>
      </c>
      <c r="AD1870" s="17">
        <f>IF($B1870="","",TEXT($B1870,"MM/AAAA"))</f>
        <v/>
      </c>
      <c r="AE1870" s="18">
        <f>IF(COUNTA($B1870:$R1870)=0,"",IF($X1870="Cancelado",0,ROUND(N($Q1870)+N($S1870)+N($T1870)-N($U1870),2)))</f>
        <v/>
      </c>
      <c r="AF1870" s="9">
        <f>IF($G1870="","",IFERROR(INDEX(LINHAS_DRE_PLANO,MATCH($G1870,SUBCATEGORIAS_PLANO,0)),"Não classificado"))</f>
        <v/>
      </c>
      <c r="AG1870" s="17">
        <f>IF($G1870="","",IFERROR(INDEX(TIPOS_FLUXO_PLANO,MATCH($G1870,SUBCATEGORIAS_PLANO,0)),"Não classificado"))</f>
        <v/>
      </c>
      <c r="AH1870" s="9">
        <f>IF($G1870="","",IFERROR(INDEX(GRUPOS_PLANO,MATCH($G1870,SUBCATEGORIAS_PLANO,0)),"Não classificado"))</f>
        <v/>
      </c>
      <c r="AI1870" s="24">
        <f>IF(OR($C1870="",$X1870="Pago",$X1870="Recebido",$X1870="Cancelado"),"",$C1870-TODAY())</f>
        <v/>
      </c>
      <c r="AJ1870" s="24">
        <f>IF(OR($C1870="",$X1870="Pago",$X1870="Recebido",$X1870="Cancelado"),0,MAX(0,TODAY()-$C1870))</f>
        <v/>
      </c>
      <c r="AK1870" s="24">
        <f>IF($D1870="","",$D1870-$B1870)</f>
        <v/>
      </c>
      <c r="AL1870" s="18">
        <f>IF(OR($D1870="",$B1870=""),"",ROUND(N($R1870)*($D1870-$B1870),2))</f>
        <v/>
      </c>
      <c r="AM1870" s="17">
        <f>IF(AND($E1870="Saída",$W1870&gt;0,$C1870&lt;&gt;""),$C1870+ROW()/1000000,"")</f>
        <v/>
      </c>
      <c r="AN1870" s="17">
        <f>IF(AND($E1870="Entrada",$W1870&gt;0,$C1870&lt;&gt;""),$C1870+ROW()/1000000,"")</f>
        <v/>
      </c>
      <c r="AO1870" s="9">
        <f>IF(COUNTA($B1870:$R1870)=0,"",IF(AND($I1870&lt;&gt;"",COUNTIF(CLIENTES_NOMES,$I1870)+COUNTIF(CLIENTES_FANTASIA,$I1870)+COUNTIF(FORNECEDORES_NOMES,$I1870)+COUNTIF(FORNECEDORES_FANTASIA,$I1870)=0),"⚠ Cliente/Fornecedor não cadastrado",IF(AND($G1870&lt;&gt;"",COUNTIF(SUBCATEGORIAS_PLANO,$G1870)=0),"⚠ Subcategoria fora do plano de contas",IF(OR($Q1870="",N($Q1870)=0),"⚠ Valor previsto não informado",IF(AND(OR($X1870="Pago",$X1870="Recebido"),$D1870=""),"⚠ Status pago/recebido sem data",IF(AND($D1870&lt;&gt;"",N($R1870)=0),"⚠ Data de pagamento sem valor realizado",IF(AND(N($P1870)&gt;1,N($O1870)&gt;N($P1870)),"⚠ Nº da parcela maior que o total",IF(AND($C1870&lt;&gt;"",$B1870&lt;&gt;"",$C1870&lt;$B1870),"⚠ Vencimento anterior à competência","OK"))))))))</f>
        <v/>
      </c>
    </row>
    <row r="1871">
      <c r="A1871" s="14" t="n"/>
      <c r="B1871" s="36" t="n"/>
      <c r="C1871" s="36" t="n"/>
      <c r="D1871" s="36" t="n"/>
      <c r="E1871" s="14" t="n"/>
      <c r="F1871" s="29" t="n"/>
      <c r="G1871" s="29" t="n"/>
      <c r="H1871" s="29" t="n"/>
      <c r="I1871" s="29" t="n"/>
      <c r="J1871" s="29" t="n"/>
      <c r="K1871" s="14" t="n"/>
      <c r="L1871" s="29" t="n"/>
      <c r="M1871" s="14" t="n"/>
      <c r="N1871" s="29" t="n"/>
      <c r="O1871" s="13" t="n"/>
      <c r="P1871" s="13" t="n"/>
      <c r="Q1871" s="35" t="n"/>
      <c r="R1871" s="35" t="n"/>
      <c r="S1871" s="35" t="n"/>
      <c r="T1871" s="35" t="n"/>
      <c r="U1871" s="35" t="n"/>
      <c r="V1871" s="18">
        <f>IF(COUNTA($B1871:$R1871)=0,"",ROUND(N($R1871)+N($S1871)+N($T1871)-N($U1871),2))</f>
        <v/>
      </c>
      <c r="W1871" s="18">
        <f>IF(COUNTA($B1871:$R1871)=0,"",IF(OR($X1871="Pago",$X1871="Recebido",$X1871="Cancelado"),0,ROUND(N($Q1871)+N($S1871)+N($T1871)-N($U1871)-N($R1871),2)))</f>
        <v/>
      </c>
      <c r="X1871" s="14" t="n"/>
      <c r="Y1871" s="17">
        <f>IF(COUNTA($B1871:$R1871)=0,"",IF($X1871="Cancelado","Cancelado",IF(OR($X1871="Pago",$X1871="Recebido"),$X1871,IF(OR($X1871="Parcial",N($R1871)&gt;0),"Parcial",IF($C1871="","Sem vencimento",IF($C1871&lt;TODAY(),"Vencido",IF($C1871=TODAY(),"Vence hoje",IF($C1871&lt;=TODAY()+7,"Vence em 7 dias",IF($C1871&lt;=TODAY()+30,"Vence em 30 dias","Futuro")))))))))</f>
        <v/>
      </c>
      <c r="Z1871" s="24">
        <f>IF($B1871="","",MONTH($B1871))</f>
        <v/>
      </c>
      <c r="AA1871" s="24">
        <f>IF($B1871="","",YEAR($B1871))</f>
        <v/>
      </c>
      <c r="AB1871" s="24">
        <f>IF($B1871="","",ISOWEEKNUM($B1871))</f>
        <v/>
      </c>
      <c r="AC1871" s="17">
        <f>IF($B1871="","",CHOOSE(WEEKDAY($B1871,2),"Segunda","Terça","Quarta","Quinta","Sexta","Sábado","Domingo"))</f>
        <v/>
      </c>
      <c r="AD1871" s="17">
        <f>IF($B1871="","",TEXT($B1871,"MM/AAAA"))</f>
        <v/>
      </c>
      <c r="AE1871" s="18">
        <f>IF(COUNTA($B1871:$R1871)=0,"",IF($X1871="Cancelado",0,ROUND(N($Q1871)+N($S1871)+N($T1871)-N($U1871),2)))</f>
        <v/>
      </c>
      <c r="AF1871" s="9">
        <f>IF($G1871="","",IFERROR(INDEX(LINHAS_DRE_PLANO,MATCH($G1871,SUBCATEGORIAS_PLANO,0)),"Não classificado"))</f>
        <v/>
      </c>
      <c r="AG1871" s="17">
        <f>IF($G1871="","",IFERROR(INDEX(TIPOS_FLUXO_PLANO,MATCH($G1871,SUBCATEGORIAS_PLANO,0)),"Não classificado"))</f>
        <v/>
      </c>
      <c r="AH1871" s="9">
        <f>IF($G1871="","",IFERROR(INDEX(GRUPOS_PLANO,MATCH($G1871,SUBCATEGORIAS_PLANO,0)),"Não classificado"))</f>
        <v/>
      </c>
      <c r="AI1871" s="24">
        <f>IF(OR($C1871="",$X1871="Pago",$X1871="Recebido",$X1871="Cancelado"),"",$C1871-TODAY())</f>
        <v/>
      </c>
      <c r="AJ1871" s="24">
        <f>IF(OR($C1871="",$X1871="Pago",$X1871="Recebido",$X1871="Cancelado"),0,MAX(0,TODAY()-$C1871))</f>
        <v/>
      </c>
      <c r="AK1871" s="24">
        <f>IF($D1871="","",$D1871-$B1871)</f>
        <v/>
      </c>
      <c r="AL1871" s="18">
        <f>IF(OR($D1871="",$B1871=""),"",ROUND(N($R1871)*($D1871-$B1871),2))</f>
        <v/>
      </c>
      <c r="AM1871" s="17">
        <f>IF(AND($E1871="Saída",$W1871&gt;0,$C1871&lt;&gt;""),$C1871+ROW()/1000000,"")</f>
        <v/>
      </c>
      <c r="AN1871" s="17">
        <f>IF(AND($E1871="Entrada",$W1871&gt;0,$C1871&lt;&gt;""),$C1871+ROW()/1000000,"")</f>
        <v/>
      </c>
      <c r="AO1871" s="9">
        <f>IF(COUNTA($B1871:$R1871)=0,"",IF(AND($I1871&lt;&gt;"",COUNTIF(CLIENTES_NOMES,$I1871)+COUNTIF(CLIENTES_FANTASIA,$I1871)+COUNTIF(FORNECEDORES_NOMES,$I1871)+COUNTIF(FORNECEDORES_FANTASIA,$I1871)=0),"⚠ Cliente/Fornecedor não cadastrado",IF(AND($G1871&lt;&gt;"",COUNTIF(SUBCATEGORIAS_PLANO,$G1871)=0),"⚠ Subcategoria fora do plano de contas",IF(OR($Q1871="",N($Q1871)=0),"⚠ Valor previsto não informado",IF(AND(OR($X1871="Pago",$X1871="Recebido"),$D1871=""),"⚠ Status pago/recebido sem data",IF(AND($D1871&lt;&gt;"",N($R1871)=0),"⚠ Data de pagamento sem valor realizado",IF(AND(N($P1871)&gt;1,N($O1871)&gt;N($P1871)),"⚠ Nº da parcela maior que o total",IF(AND($C1871&lt;&gt;"",$B1871&lt;&gt;"",$C1871&lt;$B1871),"⚠ Vencimento anterior à competência","OK"))))))))</f>
        <v/>
      </c>
    </row>
    <row r="1872">
      <c r="A1872" s="14" t="n"/>
      <c r="B1872" s="36" t="n"/>
      <c r="C1872" s="36" t="n"/>
      <c r="D1872" s="36" t="n"/>
      <c r="E1872" s="14" t="n"/>
      <c r="F1872" s="29" t="n"/>
      <c r="G1872" s="29" t="n"/>
      <c r="H1872" s="29" t="n"/>
      <c r="I1872" s="29" t="n"/>
      <c r="J1872" s="29" t="n"/>
      <c r="K1872" s="14" t="n"/>
      <c r="L1872" s="29" t="n"/>
      <c r="M1872" s="14" t="n"/>
      <c r="N1872" s="29" t="n"/>
      <c r="O1872" s="13" t="n"/>
      <c r="P1872" s="13" t="n"/>
      <c r="Q1872" s="35" t="n"/>
      <c r="R1872" s="35" t="n"/>
      <c r="S1872" s="35" t="n"/>
      <c r="T1872" s="35" t="n"/>
      <c r="U1872" s="35" t="n"/>
      <c r="V1872" s="18">
        <f>IF(COUNTA($B1872:$R1872)=0,"",ROUND(N($R1872)+N($S1872)+N($T1872)-N($U1872),2))</f>
        <v/>
      </c>
      <c r="W1872" s="18">
        <f>IF(COUNTA($B1872:$R1872)=0,"",IF(OR($X1872="Pago",$X1872="Recebido",$X1872="Cancelado"),0,ROUND(N($Q1872)+N($S1872)+N($T1872)-N($U1872)-N($R1872),2)))</f>
        <v/>
      </c>
      <c r="X1872" s="14" t="n"/>
      <c r="Y1872" s="17">
        <f>IF(COUNTA($B1872:$R1872)=0,"",IF($X1872="Cancelado","Cancelado",IF(OR($X1872="Pago",$X1872="Recebido"),$X1872,IF(OR($X1872="Parcial",N($R1872)&gt;0),"Parcial",IF($C1872="","Sem vencimento",IF($C1872&lt;TODAY(),"Vencido",IF($C1872=TODAY(),"Vence hoje",IF($C1872&lt;=TODAY()+7,"Vence em 7 dias",IF($C1872&lt;=TODAY()+30,"Vence em 30 dias","Futuro")))))))))</f>
        <v/>
      </c>
      <c r="Z1872" s="24">
        <f>IF($B1872="","",MONTH($B1872))</f>
        <v/>
      </c>
      <c r="AA1872" s="24">
        <f>IF($B1872="","",YEAR($B1872))</f>
        <v/>
      </c>
      <c r="AB1872" s="24">
        <f>IF($B1872="","",ISOWEEKNUM($B1872))</f>
        <v/>
      </c>
      <c r="AC1872" s="17">
        <f>IF($B1872="","",CHOOSE(WEEKDAY($B1872,2),"Segunda","Terça","Quarta","Quinta","Sexta","Sábado","Domingo"))</f>
        <v/>
      </c>
      <c r="AD1872" s="17">
        <f>IF($B1872="","",TEXT($B1872,"MM/AAAA"))</f>
        <v/>
      </c>
      <c r="AE1872" s="18">
        <f>IF(COUNTA($B1872:$R1872)=0,"",IF($X1872="Cancelado",0,ROUND(N($Q1872)+N($S1872)+N($T1872)-N($U1872),2)))</f>
        <v/>
      </c>
      <c r="AF1872" s="9">
        <f>IF($G1872="","",IFERROR(INDEX(LINHAS_DRE_PLANO,MATCH($G1872,SUBCATEGORIAS_PLANO,0)),"Não classificado"))</f>
        <v/>
      </c>
      <c r="AG1872" s="17">
        <f>IF($G1872="","",IFERROR(INDEX(TIPOS_FLUXO_PLANO,MATCH($G1872,SUBCATEGORIAS_PLANO,0)),"Não classificado"))</f>
        <v/>
      </c>
      <c r="AH1872" s="9">
        <f>IF($G1872="","",IFERROR(INDEX(GRUPOS_PLANO,MATCH($G1872,SUBCATEGORIAS_PLANO,0)),"Não classificado"))</f>
        <v/>
      </c>
      <c r="AI1872" s="24">
        <f>IF(OR($C1872="",$X1872="Pago",$X1872="Recebido",$X1872="Cancelado"),"",$C1872-TODAY())</f>
        <v/>
      </c>
      <c r="AJ1872" s="24">
        <f>IF(OR($C1872="",$X1872="Pago",$X1872="Recebido",$X1872="Cancelado"),0,MAX(0,TODAY()-$C1872))</f>
        <v/>
      </c>
      <c r="AK1872" s="24">
        <f>IF($D1872="","",$D1872-$B1872)</f>
        <v/>
      </c>
      <c r="AL1872" s="18">
        <f>IF(OR($D1872="",$B1872=""),"",ROUND(N($R1872)*($D1872-$B1872),2))</f>
        <v/>
      </c>
      <c r="AM1872" s="17">
        <f>IF(AND($E1872="Saída",$W1872&gt;0,$C1872&lt;&gt;""),$C1872+ROW()/1000000,"")</f>
        <v/>
      </c>
      <c r="AN1872" s="17">
        <f>IF(AND($E1872="Entrada",$W1872&gt;0,$C1872&lt;&gt;""),$C1872+ROW()/1000000,"")</f>
        <v/>
      </c>
      <c r="AO1872" s="9">
        <f>IF(COUNTA($B1872:$R1872)=0,"",IF(AND($I1872&lt;&gt;"",COUNTIF(CLIENTES_NOMES,$I1872)+COUNTIF(CLIENTES_FANTASIA,$I1872)+COUNTIF(FORNECEDORES_NOMES,$I1872)+COUNTIF(FORNECEDORES_FANTASIA,$I1872)=0),"⚠ Cliente/Fornecedor não cadastrado",IF(AND($G1872&lt;&gt;"",COUNTIF(SUBCATEGORIAS_PLANO,$G1872)=0),"⚠ Subcategoria fora do plano de contas",IF(OR($Q1872="",N($Q1872)=0),"⚠ Valor previsto não informado",IF(AND(OR($X1872="Pago",$X1872="Recebido"),$D1872=""),"⚠ Status pago/recebido sem data",IF(AND($D1872&lt;&gt;"",N($R1872)=0),"⚠ Data de pagamento sem valor realizado",IF(AND(N($P1872)&gt;1,N($O1872)&gt;N($P1872)),"⚠ Nº da parcela maior que o total",IF(AND($C1872&lt;&gt;"",$B1872&lt;&gt;"",$C1872&lt;$B1872),"⚠ Vencimento anterior à competência","OK"))))))))</f>
        <v/>
      </c>
    </row>
    <row r="1873">
      <c r="A1873" s="14" t="n"/>
      <c r="B1873" s="36" t="n"/>
      <c r="C1873" s="36" t="n"/>
      <c r="D1873" s="36" t="n"/>
      <c r="E1873" s="14" t="n"/>
      <c r="F1873" s="29" t="n"/>
      <c r="G1873" s="29" t="n"/>
      <c r="H1873" s="29" t="n"/>
      <c r="I1873" s="29" t="n"/>
      <c r="J1873" s="29" t="n"/>
      <c r="K1873" s="14" t="n"/>
      <c r="L1873" s="29" t="n"/>
      <c r="M1873" s="14" t="n"/>
      <c r="N1873" s="29" t="n"/>
      <c r="O1873" s="13" t="n"/>
      <c r="P1873" s="13" t="n"/>
      <c r="Q1873" s="35" t="n"/>
      <c r="R1873" s="35" t="n"/>
      <c r="S1873" s="35" t="n"/>
      <c r="T1873" s="35" t="n"/>
      <c r="U1873" s="35" t="n"/>
      <c r="V1873" s="18">
        <f>IF(COUNTA($B1873:$R1873)=0,"",ROUND(N($R1873)+N($S1873)+N($T1873)-N($U1873),2))</f>
        <v/>
      </c>
      <c r="W1873" s="18">
        <f>IF(COUNTA($B1873:$R1873)=0,"",IF(OR($X1873="Pago",$X1873="Recebido",$X1873="Cancelado"),0,ROUND(N($Q1873)+N($S1873)+N($T1873)-N($U1873)-N($R1873),2)))</f>
        <v/>
      </c>
      <c r="X1873" s="14" t="n"/>
      <c r="Y1873" s="17">
        <f>IF(COUNTA($B1873:$R1873)=0,"",IF($X1873="Cancelado","Cancelado",IF(OR($X1873="Pago",$X1873="Recebido"),$X1873,IF(OR($X1873="Parcial",N($R1873)&gt;0),"Parcial",IF($C1873="","Sem vencimento",IF($C1873&lt;TODAY(),"Vencido",IF($C1873=TODAY(),"Vence hoje",IF($C1873&lt;=TODAY()+7,"Vence em 7 dias",IF($C1873&lt;=TODAY()+30,"Vence em 30 dias","Futuro")))))))))</f>
        <v/>
      </c>
      <c r="Z1873" s="24">
        <f>IF($B1873="","",MONTH($B1873))</f>
        <v/>
      </c>
      <c r="AA1873" s="24">
        <f>IF($B1873="","",YEAR($B1873))</f>
        <v/>
      </c>
      <c r="AB1873" s="24">
        <f>IF($B1873="","",ISOWEEKNUM($B1873))</f>
        <v/>
      </c>
      <c r="AC1873" s="17">
        <f>IF($B1873="","",CHOOSE(WEEKDAY($B1873,2),"Segunda","Terça","Quarta","Quinta","Sexta","Sábado","Domingo"))</f>
        <v/>
      </c>
      <c r="AD1873" s="17">
        <f>IF($B1873="","",TEXT($B1873,"MM/AAAA"))</f>
        <v/>
      </c>
      <c r="AE1873" s="18">
        <f>IF(COUNTA($B1873:$R1873)=0,"",IF($X1873="Cancelado",0,ROUND(N($Q1873)+N($S1873)+N($T1873)-N($U1873),2)))</f>
        <v/>
      </c>
      <c r="AF1873" s="9">
        <f>IF($G1873="","",IFERROR(INDEX(LINHAS_DRE_PLANO,MATCH($G1873,SUBCATEGORIAS_PLANO,0)),"Não classificado"))</f>
        <v/>
      </c>
      <c r="AG1873" s="17">
        <f>IF($G1873="","",IFERROR(INDEX(TIPOS_FLUXO_PLANO,MATCH($G1873,SUBCATEGORIAS_PLANO,0)),"Não classificado"))</f>
        <v/>
      </c>
      <c r="AH1873" s="9">
        <f>IF($G1873="","",IFERROR(INDEX(GRUPOS_PLANO,MATCH($G1873,SUBCATEGORIAS_PLANO,0)),"Não classificado"))</f>
        <v/>
      </c>
      <c r="AI1873" s="24">
        <f>IF(OR($C1873="",$X1873="Pago",$X1873="Recebido",$X1873="Cancelado"),"",$C1873-TODAY())</f>
        <v/>
      </c>
      <c r="AJ1873" s="24">
        <f>IF(OR($C1873="",$X1873="Pago",$X1873="Recebido",$X1873="Cancelado"),0,MAX(0,TODAY()-$C1873))</f>
        <v/>
      </c>
      <c r="AK1873" s="24">
        <f>IF($D1873="","",$D1873-$B1873)</f>
        <v/>
      </c>
      <c r="AL1873" s="18">
        <f>IF(OR($D1873="",$B1873=""),"",ROUND(N($R1873)*($D1873-$B1873),2))</f>
        <v/>
      </c>
      <c r="AM1873" s="17">
        <f>IF(AND($E1873="Saída",$W1873&gt;0,$C1873&lt;&gt;""),$C1873+ROW()/1000000,"")</f>
        <v/>
      </c>
      <c r="AN1873" s="17">
        <f>IF(AND($E1873="Entrada",$W1873&gt;0,$C1873&lt;&gt;""),$C1873+ROW()/1000000,"")</f>
        <v/>
      </c>
      <c r="AO1873" s="9">
        <f>IF(COUNTA($B1873:$R1873)=0,"",IF(AND($I1873&lt;&gt;"",COUNTIF(CLIENTES_NOMES,$I1873)+COUNTIF(CLIENTES_FANTASIA,$I1873)+COUNTIF(FORNECEDORES_NOMES,$I1873)+COUNTIF(FORNECEDORES_FANTASIA,$I1873)=0),"⚠ Cliente/Fornecedor não cadastrado",IF(AND($G1873&lt;&gt;"",COUNTIF(SUBCATEGORIAS_PLANO,$G1873)=0),"⚠ Subcategoria fora do plano de contas",IF(OR($Q1873="",N($Q1873)=0),"⚠ Valor previsto não informado",IF(AND(OR($X1873="Pago",$X1873="Recebido"),$D1873=""),"⚠ Status pago/recebido sem data",IF(AND($D1873&lt;&gt;"",N($R1873)=0),"⚠ Data de pagamento sem valor realizado",IF(AND(N($P1873)&gt;1,N($O1873)&gt;N($P1873)),"⚠ Nº da parcela maior que o total",IF(AND($C1873&lt;&gt;"",$B1873&lt;&gt;"",$C1873&lt;$B1873),"⚠ Vencimento anterior à competência","OK"))))))))</f>
        <v/>
      </c>
    </row>
    <row r="1874">
      <c r="A1874" s="14" t="n"/>
      <c r="B1874" s="36" t="n"/>
      <c r="C1874" s="36" t="n"/>
      <c r="D1874" s="36" t="n"/>
      <c r="E1874" s="14" t="n"/>
      <c r="F1874" s="29" t="n"/>
      <c r="G1874" s="29" t="n"/>
      <c r="H1874" s="29" t="n"/>
      <c r="I1874" s="29" t="n"/>
      <c r="J1874" s="29" t="n"/>
      <c r="K1874" s="14" t="n"/>
      <c r="L1874" s="29" t="n"/>
      <c r="M1874" s="14" t="n"/>
      <c r="N1874" s="29" t="n"/>
      <c r="O1874" s="13" t="n"/>
      <c r="P1874" s="13" t="n"/>
      <c r="Q1874" s="35" t="n"/>
      <c r="R1874" s="35" t="n"/>
      <c r="S1874" s="35" t="n"/>
      <c r="T1874" s="35" t="n"/>
      <c r="U1874" s="35" t="n"/>
      <c r="V1874" s="18">
        <f>IF(COUNTA($B1874:$R1874)=0,"",ROUND(N($R1874)+N($S1874)+N($T1874)-N($U1874),2))</f>
        <v/>
      </c>
      <c r="W1874" s="18">
        <f>IF(COUNTA($B1874:$R1874)=0,"",IF(OR($X1874="Pago",$X1874="Recebido",$X1874="Cancelado"),0,ROUND(N($Q1874)+N($S1874)+N($T1874)-N($U1874)-N($R1874),2)))</f>
        <v/>
      </c>
      <c r="X1874" s="14" t="n"/>
      <c r="Y1874" s="17">
        <f>IF(COUNTA($B1874:$R1874)=0,"",IF($X1874="Cancelado","Cancelado",IF(OR($X1874="Pago",$X1874="Recebido"),$X1874,IF(OR($X1874="Parcial",N($R1874)&gt;0),"Parcial",IF($C1874="","Sem vencimento",IF($C1874&lt;TODAY(),"Vencido",IF($C1874=TODAY(),"Vence hoje",IF($C1874&lt;=TODAY()+7,"Vence em 7 dias",IF($C1874&lt;=TODAY()+30,"Vence em 30 dias","Futuro")))))))))</f>
        <v/>
      </c>
      <c r="Z1874" s="24">
        <f>IF($B1874="","",MONTH($B1874))</f>
        <v/>
      </c>
      <c r="AA1874" s="24">
        <f>IF($B1874="","",YEAR($B1874))</f>
        <v/>
      </c>
      <c r="AB1874" s="24">
        <f>IF($B1874="","",ISOWEEKNUM($B1874))</f>
        <v/>
      </c>
      <c r="AC1874" s="17">
        <f>IF($B1874="","",CHOOSE(WEEKDAY($B1874,2),"Segunda","Terça","Quarta","Quinta","Sexta","Sábado","Domingo"))</f>
        <v/>
      </c>
      <c r="AD1874" s="17">
        <f>IF($B1874="","",TEXT($B1874,"MM/AAAA"))</f>
        <v/>
      </c>
      <c r="AE1874" s="18">
        <f>IF(COUNTA($B1874:$R1874)=0,"",IF($X1874="Cancelado",0,ROUND(N($Q1874)+N($S1874)+N($T1874)-N($U1874),2)))</f>
        <v/>
      </c>
      <c r="AF1874" s="9">
        <f>IF($G1874="","",IFERROR(INDEX(LINHAS_DRE_PLANO,MATCH($G1874,SUBCATEGORIAS_PLANO,0)),"Não classificado"))</f>
        <v/>
      </c>
      <c r="AG1874" s="17">
        <f>IF($G1874="","",IFERROR(INDEX(TIPOS_FLUXO_PLANO,MATCH($G1874,SUBCATEGORIAS_PLANO,0)),"Não classificado"))</f>
        <v/>
      </c>
      <c r="AH1874" s="9">
        <f>IF($G1874="","",IFERROR(INDEX(GRUPOS_PLANO,MATCH($G1874,SUBCATEGORIAS_PLANO,0)),"Não classificado"))</f>
        <v/>
      </c>
      <c r="AI1874" s="24">
        <f>IF(OR($C1874="",$X1874="Pago",$X1874="Recebido",$X1874="Cancelado"),"",$C1874-TODAY())</f>
        <v/>
      </c>
      <c r="AJ1874" s="24">
        <f>IF(OR($C1874="",$X1874="Pago",$X1874="Recebido",$X1874="Cancelado"),0,MAX(0,TODAY()-$C1874))</f>
        <v/>
      </c>
      <c r="AK1874" s="24">
        <f>IF($D1874="","",$D1874-$B1874)</f>
        <v/>
      </c>
      <c r="AL1874" s="18">
        <f>IF(OR($D1874="",$B1874=""),"",ROUND(N($R1874)*($D1874-$B1874),2))</f>
        <v/>
      </c>
      <c r="AM1874" s="17">
        <f>IF(AND($E1874="Saída",$W1874&gt;0,$C1874&lt;&gt;""),$C1874+ROW()/1000000,"")</f>
        <v/>
      </c>
      <c r="AN1874" s="17">
        <f>IF(AND($E1874="Entrada",$W1874&gt;0,$C1874&lt;&gt;""),$C1874+ROW()/1000000,"")</f>
        <v/>
      </c>
      <c r="AO1874" s="9">
        <f>IF(COUNTA($B1874:$R1874)=0,"",IF(AND($I1874&lt;&gt;"",COUNTIF(CLIENTES_NOMES,$I1874)+COUNTIF(CLIENTES_FANTASIA,$I1874)+COUNTIF(FORNECEDORES_NOMES,$I1874)+COUNTIF(FORNECEDORES_FANTASIA,$I1874)=0),"⚠ Cliente/Fornecedor não cadastrado",IF(AND($G1874&lt;&gt;"",COUNTIF(SUBCATEGORIAS_PLANO,$G1874)=0),"⚠ Subcategoria fora do plano de contas",IF(OR($Q1874="",N($Q1874)=0),"⚠ Valor previsto não informado",IF(AND(OR($X1874="Pago",$X1874="Recebido"),$D1874=""),"⚠ Status pago/recebido sem data",IF(AND($D1874&lt;&gt;"",N($R1874)=0),"⚠ Data de pagamento sem valor realizado",IF(AND(N($P1874)&gt;1,N($O1874)&gt;N($P1874)),"⚠ Nº da parcela maior que o total",IF(AND($C1874&lt;&gt;"",$B1874&lt;&gt;"",$C1874&lt;$B1874),"⚠ Vencimento anterior à competência","OK"))))))))</f>
        <v/>
      </c>
    </row>
    <row r="1875">
      <c r="A1875" s="14" t="n"/>
      <c r="B1875" s="36" t="n"/>
      <c r="C1875" s="36" t="n"/>
      <c r="D1875" s="36" t="n"/>
      <c r="E1875" s="14" t="n"/>
      <c r="F1875" s="29" t="n"/>
      <c r="G1875" s="29" t="n"/>
      <c r="H1875" s="29" t="n"/>
      <c r="I1875" s="29" t="n"/>
      <c r="J1875" s="29" t="n"/>
      <c r="K1875" s="14" t="n"/>
      <c r="L1875" s="29" t="n"/>
      <c r="M1875" s="14" t="n"/>
      <c r="N1875" s="29" t="n"/>
      <c r="O1875" s="13" t="n"/>
      <c r="P1875" s="13" t="n"/>
      <c r="Q1875" s="35" t="n"/>
      <c r="R1875" s="35" t="n"/>
      <c r="S1875" s="35" t="n"/>
      <c r="T1875" s="35" t="n"/>
      <c r="U1875" s="35" t="n"/>
      <c r="V1875" s="18">
        <f>IF(COUNTA($B1875:$R1875)=0,"",ROUND(N($R1875)+N($S1875)+N($T1875)-N($U1875),2))</f>
        <v/>
      </c>
      <c r="W1875" s="18">
        <f>IF(COUNTA($B1875:$R1875)=0,"",IF(OR($X1875="Pago",$X1875="Recebido",$X1875="Cancelado"),0,ROUND(N($Q1875)+N($S1875)+N($T1875)-N($U1875)-N($R1875),2)))</f>
        <v/>
      </c>
      <c r="X1875" s="14" t="n"/>
      <c r="Y1875" s="17">
        <f>IF(COUNTA($B1875:$R1875)=0,"",IF($X1875="Cancelado","Cancelado",IF(OR($X1875="Pago",$X1875="Recebido"),$X1875,IF(OR($X1875="Parcial",N($R1875)&gt;0),"Parcial",IF($C1875="","Sem vencimento",IF($C1875&lt;TODAY(),"Vencido",IF($C1875=TODAY(),"Vence hoje",IF($C1875&lt;=TODAY()+7,"Vence em 7 dias",IF($C1875&lt;=TODAY()+30,"Vence em 30 dias","Futuro")))))))))</f>
        <v/>
      </c>
      <c r="Z1875" s="24">
        <f>IF($B1875="","",MONTH($B1875))</f>
        <v/>
      </c>
      <c r="AA1875" s="24">
        <f>IF($B1875="","",YEAR($B1875))</f>
        <v/>
      </c>
      <c r="AB1875" s="24">
        <f>IF($B1875="","",ISOWEEKNUM($B1875))</f>
        <v/>
      </c>
      <c r="AC1875" s="17">
        <f>IF($B1875="","",CHOOSE(WEEKDAY($B1875,2),"Segunda","Terça","Quarta","Quinta","Sexta","Sábado","Domingo"))</f>
        <v/>
      </c>
      <c r="AD1875" s="17">
        <f>IF($B1875="","",TEXT($B1875,"MM/AAAA"))</f>
        <v/>
      </c>
      <c r="AE1875" s="18">
        <f>IF(COUNTA($B1875:$R1875)=0,"",IF($X1875="Cancelado",0,ROUND(N($Q1875)+N($S1875)+N($T1875)-N($U1875),2)))</f>
        <v/>
      </c>
      <c r="AF1875" s="9">
        <f>IF($G1875="","",IFERROR(INDEX(LINHAS_DRE_PLANO,MATCH($G1875,SUBCATEGORIAS_PLANO,0)),"Não classificado"))</f>
        <v/>
      </c>
      <c r="AG1875" s="17">
        <f>IF($G1875="","",IFERROR(INDEX(TIPOS_FLUXO_PLANO,MATCH($G1875,SUBCATEGORIAS_PLANO,0)),"Não classificado"))</f>
        <v/>
      </c>
      <c r="AH1875" s="9">
        <f>IF($G1875="","",IFERROR(INDEX(GRUPOS_PLANO,MATCH($G1875,SUBCATEGORIAS_PLANO,0)),"Não classificado"))</f>
        <v/>
      </c>
      <c r="AI1875" s="24">
        <f>IF(OR($C1875="",$X1875="Pago",$X1875="Recebido",$X1875="Cancelado"),"",$C1875-TODAY())</f>
        <v/>
      </c>
      <c r="AJ1875" s="24">
        <f>IF(OR($C1875="",$X1875="Pago",$X1875="Recebido",$X1875="Cancelado"),0,MAX(0,TODAY()-$C1875))</f>
        <v/>
      </c>
      <c r="AK1875" s="24">
        <f>IF($D1875="","",$D1875-$B1875)</f>
        <v/>
      </c>
      <c r="AL1875" s="18">
        <f>IF(OR($D1875="",$B1875=""),"",ROUND(N($R1875)*($D1875-$B1875),2))</f>
        <v/>
      </c>
      <c r="AM1875" s="17">
        <f>IF(AND($E1875="Saída",$W1875&gt;0,$C1875&lt;&gt;""),$C1875+ROW()/1000000,"")</f>
        <v/>
      </c>
      <c r="AN1875" s="17">
        <f>IF(AND($E1875="Entrada",$W1875&gt;0,$C1875&lt;&gt;""),$C1875+ROW()/1000000,"")</f>
        <v/>
      </c>
      <c r="AO1875" s="9">
        <f>IF(COUNTA($B1875:$R1875)=0,"",IF(AND($I1875&lt;&gt;"",COUNTIF(CLIENTES_NOMES,$I1875)+COUNTIF(CLIENTES_FANTASIA,$I1875)+COUNTIF(FORNECEDORES_NOMES,$I1875)+COUNTIF(FORNECEDORES_FANTASIA,$I1875)=0),"⚠ Cliente/Fornecedor não cadastrado",IF(AND($G1875&lt;&gt;"",COUNTIF(SUBCATEGORIAS_PLANO,$G1875)=0),"⚠ Subcategoria fora do plano de contas",IF(OR($Q1875="",N($Q1875)=0),"⚠ Valor previsto não informado",IF(AND(OR($X1875="Pago",$X1875="Recebido"),$D1875=""),"⚠ Status pago/recebido sem data",IF(AND($D1875&lt;&gt;"",N($R1875)=0),"⚠ Data de pagamento sem valor realizado",IF(AND(N($P1875)&gt;1,N($O1875)&gt;N($P1875)),"⚠ Nº da parcela maior que o total",IF(AND($C1875&lt;&gt;"",$B1875&lt;&gt;"",$C1875&lt;$B1875),"⚠ Vencimento anterior à competência","OK"))))))))</f>
        <v/>
      </c>
    </row>
    <row r="1876">
      <c r="A1876" s="14" t="n"/>
      <c r="B1876" s="36" t="n"/>
      <c r="C1876" s="36" t="n"/>
      <c r="D1876" s="36" t="n"/>
      <c r="E1876" s="14" t="n"/>
      <c r="F1876" s="29" t="n"/>
      <c r="G1876" s="29" t="n"/>
      <c r="H1876" s="29" t="n"/>
      <c r="I1876" s="29" t="n"/>
      <c r="J1876" s="29" t="n"/>
      <c r="K1876" s="14" t="n"/>
      <c r="L1876" s="29" t="n"/>
      <c r="M1876" s="14" t="n"/>
      <c r="N1876" s="29" t="n"/>
      <c r="O1876" s="13" t="n"/>
      <c r="P1876" s="13" t="n"/>
      <c r="Q1876" s="35" t="n"/>
      <c r="R1876" s="35" t="n"/>
      <c r="S1876" s="35" t="n"/>
      <c r="T1876" s="35" t="n"/>
      <c r="U1876" s="35" t="n"/>
      <c r="V1876" s="18">
        <f>IF(COUNTA($B1876:$R1876)=0,"",ROUND(N($R1876)+N($S1876)+N($T1876)-N($U1876),2))</f>
        <v/>
      </c>
      <c r="W1876" s="18">
        <f>IF(COUNTA($B1876:$R1876)=0,"",IF(OR($X1876="Pago",$X1876="Recebido",$X1876="Cancelado"),0,ROUND(N($Q1876)+N($S1876)+N($T1876)-N($U1876)-N($R1876),2)))</f>
        <v/>
      </c>
      <c r="X1876" s="14" t="n"/>
      <c r="Y1876" s="17">
        <f>IF(COUNTA($B1876:$R1876)=0,"",IF($X1876="Cancelado","Cancelado",IF(OR($X1876="Pago",$X1876="Recebido"),$X1876,IF(OR($X1876="Parcial",N($R1876)&gt;0),"Parcial",IF($C1876="","Sem vencimento",IF($C1876&lt;TODAY(),"Vencido",IF($C1876=TODAY(),"Vence hoje",IF($C1876&lt;=TODAY()+7,"Vence em 7 dias",IF($C1876&lt;=TODAY()+30,"Vence em 30 dias","Futuro")))))))))</f>
        <v/>
      </c>
      <c r="Z1876" s="24">
        <f>IF($B1876="","",MONTH($B1876))</f>
        <v/>
      </c>
      <c r="AA1876" s="24">
        <f>IF($B1876="","",YEAR($B1876))</f>
        <v/>
      </c>
      <c r="AB1876" s="24">
        <f>IF($B1876="","",ISOWEEKNUM($B1876))</f>
        <v/>
      </c>
      <c r="AC1876" s="17">
        <f>IF($B1876="","",CHOOSE(WEEKDAY($B1876,2),"Segunda","Terça","Quarta","Quinta","Sexta","Sábado","Domingo"))</f>
        <v/>
      </c>
      <c r="AD1876" s="17">
        <f>IF($B1876="","",TEXT($B1876,"MM/AAAA"))</f>
        <v/>
      </c>
      <c r="AE1876" s="18">
        <f>IF(COUNTA($B1876:$R1876)=0,"",IF($X1876="Cancelado",0,ROUND(N($Q1876)+N($S1876)+N($T1876)-N($U1876),2)))</f>
        <v/>
      </c>
      <c r="AF1876" s="9">
        <f>IF($G1876="","",IFERROR(INDEX(LINHAS_DRE_PLANO,MATCH($G1876,SUBCATEGORIAS_PLANO,0)),"Não classificado"))</f>
        <v/>
      </c>
      <c r="AG1876" s="17">
        <f>IF($G1876="","",IFERROR(INDEX(TIPOS_FLUXO_PLANO,MATCH($G1876,SUBCATEGORIAS_PLANO,0)),"Não classificado"))</f>
        <v/>
      </c>
      <c r="AH1876" s="9">
        <f>IF($G1876="","",IFERROR(INDEX(GRUPOS_PLANO,MATCH($G1876,SUBCATEGORIAS_PLANO,0)),"Não classificado"))</f>
        <v/>
      </c>
      <c r="AI1876" s="24">
        <f>IF(OR($C1876="",$X1876="Pago",$X1876="Recebido",$X1876="Cancelado"),"",$C1876-TODAY())</f>
        <v/>
      </c>
      <c r="AJ1876" s="24">
        <f>IF(OR($C1876="",$X1876="Pago",$X1876="Recebido",$X1876="Cancelado"),0,MAX(0,TODAY()-$C1876))</f>
        <v/>
      </c>
      <c r="AK1876" s="24">
        <f>IF($D1876="","",$D1876-$B1876)</f>
        <v/>
      </c>
      <c r="AL1876" s="18">
        <f>IF(OR($D1876="",$B1876=""),"",ROUND(N($R1876)*($D1876-$B1876),2))</f>
        <v/>
      </c>
      <c r="AM1876" s="17">
        <f>IF(AND($E1876="Saída",$W1876&gt;0,$C1876&lt;&gt;""),$C1876+ROW()/1000000,"")</f>
        <v/>
      </c>
      <c r="AN1876" s="17">
        <f>IF(AND($E1876="Entrada",$W1876&gt;0,$C1876&lt;&gt;""),$C1876+ROW()/1000000,"")</f>
        <v/>
      </c>
      <c r="AO1876" s="9">
        <f>IF(COUNTA($B1876:$R1876)=0,"",IF(AND($I1876&lt;&gt;"",COUNTIF(CLIENTES_NOMES,$I1876)+COUNTIF(CLIENTES_FANTASIA,$I1876)+COUNTIF(FORNECEDORES_NOMES,$I1876)+COUNTIF(FORNECEDORES_FANTASIA,$I1876)=0),"⚠ Cliente/Fornecedor não cadastrado",IF(AND($G1876&lt;&gt;"",COUNTIF(SUBCATEGORIAS_PLANO,$G1876)=0),"⚠ Subcategoria fora do plano de contas",IF(OR($Q1876="",N($Q1876)=0),"⚠ Valor previsto não informado",IF(AND(OR($X1876="Pago",$X1876="Recebido"),$D1876=""),"⚠ Status pago/recebido sem data",IF(AND($D1876&lt;&gt;"",N($R1876)=0),"⚠ Data de pagamento sem valor realizado",IF(AND(N($P1876)&gt;1,N($O1876)&gt;N($P1876)),"⚠ Nº da parcela maior que o total",IF(AND($C1876&lt;&gt;"",$B1876&lt;&gt;"",$C1876&lt;$B1876),"⚠ Vencimento anterior à competência","OK"))))))))</f>
        <v/>
      </c>
    </row>
    <row r="1877">
      <c r="A1877" s="14" t="n"/>
      <c r="B1877" s="36" t="n"/>
      <c r="C1877" s="36" t="n"/>
      <c r="D1877" s="36" t="n"/>
      <c r="E1877" s="14" t="n"/>
      <c r="F1877" s="29" t="n"/>
      <c r="G1877" s="29" t="n"/>
      <c r="H1877" s="29" t="n"/>
      <c r="I1877" s="29" t="n"/>
      <c r="J1877" s="29" t="n"/>
      <c r="K1877" s="14" t="n"/>
      <c r="L1877" s="29" t="n"/>
      <c r="M1877" s="14" t="n"/>
      <c r="N1877" s="29" t="n"/>
      <c r="O1877" s="13" t="n"/>
      <c r="P1877" s="13" t="n"/>
      <c r="Q1877" s="35" t="n"/>
      <c r="R1877" s="35" t="n"/>
      <c r="S1877" s="35" t="n"/>
      <c r="T1877" s="35" t="n"/>
      <c r="U1877" s="35" t="n"/>
      <c r="V1877" s="18">
        <f>IF(COUNTA($B1877:$R1877)=0,"",ROUND(N($R1877)+N($S1877)+N($T1877)-N($U1877),2))</f>
        <v/>
      </c>
      <c r="W1877" s="18">
        <f>IF(COUNTA($B1877:$R1877)=0,"",IF(OR($X1877="Pago",$X1877="Recebido",$X1877="Cancelado"),0,ROUND(N($Q1877)+N($S1877)+N($T1877)-N($U1877)-N($R1877),2)))</f>
        <v/>
      </c>
      <c r="X1877" s="14" t="n"/>
      <c r="Y1877" s="17">
        <f>IF(COUNTA($B1877:$R1877)=0,"",IF($X1877="Cancelado","Cancelado",IF(OR($X1877="Pago",$X1877="Recebido"),$X1877,IF(OR($X1877="Parcial",N($R1877)&gt;0),"Parcial",IF($C1877="","Sem vencimento",IF($C1877&lt;TODAY(),"Vencido",IF($C1877=TODAY(),"Vence hoje",IF($C1877&lt;=TODAY()+7,"Vence em 7 dias",IF($C1877&lt;=TODAY()+30,"Vence em 30 dias","Futuro")))))))))</f>
        <v/>
      </c>
      <c r="Z1877" s="24">
        <f>IF($B1877="","",MONTH($B1877))</f>
        <v/>
      </c>
      <c r="AA1877" s="24">
        <f>IF($B1877="","",YEAR($B1877))</f>
        <v/>
      </c>
      <c r="AB1877" s="24">
        <f>IF($B1877="","",ISOWEEKNUM($B1877))</f>
        <v/>
      </c>
      <c r="AC1877" s="17">
        <f>IF($B1877="","",CHOOSE(WEEKDAY($B1877,2),"Segunda","Terça","Quarta","Quinta","Sexta","Sábado","Domingo"))</f>
        <v/>
      </c>
      <c r="AD1877" s="17">
        <f>IF($B1877="","",TEXT($B1877,"MM/AAAA"))</f>
        <v/>
      </c>
      <c r="AE1877" s="18">
        <f>IF(COUNTA($B1877:$R1877)=0,"",IF($X1877="Cancelado",0,ROUND(N($Q1877)+N($S1877)+N($T1877)-N($U1877),2)))</f>
        <v/>
      </c>
      <c r="AF1877" s="9">
        <f>IF($G1877="","",IFERROR(INDEX(LINHAS_DRE_PLANO,MATCH($G1877,SUBCATEGORIAS_PLANO,0)),"Não classificado"))</f>
        <v/>
      </c>
      <c r="AG1877" s="17">
        <f>IF($G1877="","",IFERROR(INDEX(TIPOS_FLUXO_PLANO,MATCH($G1877,SUBCATEGORIAS_PLANO,0)),"Não classificado"))</f>
        <v/>
      </c>
      <c r="AH1877" s="9">
        <f>IF($G1877="","",IFERROR(INDEX(GRUPOS_PLANO,MATCH($G1877,SUBCATEGORIAS_PLANO,0)),"Não classificado"))</f>
        <v/>
      </c>
      <c r="AI1877" s="24">
        <f>IF(OR($C1877="",$X1877="Pago",$X1877="Recebido",$X1877="Cancelado"),"",$C1877-TODAY())</f>
        <v/>
      </c>
      <c r="AJ1877" s="24">
        <f>IF(OR($C1877="",$X1877="Pago",$X1877="Recebido",$X1877="Cancelado"),0,MAX(0,TODAY()-$C1877))</f>
        <v/>
      </c>
      <c r="AK1877" s="24">
        <f>IF($D1877="","",$D1877-$B1877)</f>
        <v/>
      </c>
      <c r="AL1877" s="18">
        <f>IF(OR($D1877="",$B1877=""),"",ROUND(N($R1877)*($D1877-$B1877),2))</f>
        <v/>
      </c>
      <c r="AM1877" s="17">
        <f>IF(AND($E1877="Saída",$W1877&gt;0,$C1877&lt;&gt;""),$C1877+ROW()/1000000,"")</f>
        <v/>
      </c>
      <c r="AN1877" s="17">
        <f>IF(AND($E1877="Entrada",$W1877&gt;0,$C1877&lt;&gt;""),$C1877+ROW()/1000000,"")</f>
        <v/>
      </c>
      <c r="AO1877" s="9">
        <f>IF(COUNTA($B1877:$R1877)=0,"",IF(AND($I1877&lt;&gt;"",COUNTIF(CLIENTES_NOMES,$I1877)+COUNTIF(CLIENTES_FANTASIA,$I1877)+COUNTIF(FORNECEDORES_NOMES,$I1877)+COUNTIF(FORNECEDORES_FANTASIA,$I1877)=0),"⚠ Cliente/Fornecedor não cadastrado",IF(AND($G1877&lt;&gt;"",COUNTIF(SUBCATEGORIAS_PLANO,$G1877)=0),"⚠ Subcategoria fora do plano de contas",IF(OR($Q1877="",N($Q1877)=0),"⚠ Valor previsto não informado",IF(AND(OR($X1877="Pago",$X1877="Recebido"),$D1877=""),"⚠ Status pago/recebido sem data",IF(AND($D1877&lt;&gt;"",N($R1877)=0),"⚠ Data de pagamento sem valor realizado",IF(AND(N($P1877)&gt;1,N($O1877)&gt;N($P1877)),"⚠ Nº da parcela maior que o total",IF(AND($C1877&lt;&gt;"",$B1877&lt;&gt;"",$C1877&lt;$B1877),"⚠ Vencimento anterior à competência","OK"))))))))</f>
        <v/>
      </c>
    </row>
    <row r="1878">
      <c r="A1878" s="14" t="n"/>
      <c r="B1878" s="36" t="n"/>
      <c r="C1878" s="36" t="n"/>
      <c r="D1878" s="36" t="n"/>
      <c r="E1878" s="14" t="n"/>
      <c r="F1878" s="29" t="n"/>
      <c r="G1878" s="29" t="n"/>
      <c r="H1878" s="29" t="n"/>
      <c r="I1878" s="29" t="n"/>
      <c r="J1878" s="29" t="n"/>
      <c r="K1878" s="14" t="n"/>
      <c r="L1878" s="29" t="n"/>
      <c r="M1878" s="14" t="n"/>
      <c r="N1878" s="29" t="n"/>
      <c r="O1878" s="13" t="n"/>
      <c r="P1878" s="13" t="n"/>
      <c r="Q1878" s="35" t="n"/>
      <c r="R1878" s="35" t="n"/>
      <c r="S1878" s="35" t="n"/>
      <c r="T1878" s="35" t="n"/>
      <c r="U1878" s="35" t="n"/>
      <c r="V1878" s="18">
        <f>IF(COUNTA($B1878:$R1878)=0,"",ROUND(N($R1878)+N($S1878)+N($T1878)-N($U1878),2))</f>
        <v/>
      </c>
      <c r="W1878" s="18">
        <f>IF(COUNTA($B1878:$R1878)=0,"",IF(OR($X1878="Pago",$X1878="Recebido",$X1878="Cancelado"),0,ROUND(N($Q1878)+N($S1878)+N($T1878)-N($U1878)-N($R1878),2)))</f>
        <v/>
      </c>
      <c r="X1878" s="14" t="n"/>
      <c r="Y1878" s="17">
        <f>IF(COUNTA($B1878:$R1878)=0,"",IF($X1878="Cancelado","Cancelado",IF(OR($X1878="Pago",$X1878="Recebido"),$X1878,IF(OR($X1878="Parcial",N($R1878)&gt;0),"Parcial",IF($C1878="","Sem vencimento",IF($C1878&lt;TODAY(),"Vencido",IF($C1878=TODAY(),"Vence hoje",IF($C1878&lt;=TODAY()+7,"Vence em 7 dias",IF($C1878&lt;=TODAY()+30,"Vence em 30 dias","Futuro")))))))))</f>
        <v/>
      </c>
      <c r="Z1878" s="24">
        <f>IF($B1878="","",MONTH($B1878))</f>
        <v/>
      </c>
      <c r="AA1878" s="24">
        <f>IF($B1878="","",YEAR($B1878))</f>
        <v/>
      </c>
      <c r="AB1878" s="24">
        <f>IF($B1878="","",ISOWEEKNUM($B1878))</f>
        <v/>
      </c>
      <c r="AC1878" s="17">
        <f>IF($B1878="","",CHOOSE(WEEKDAY($B1878,2),"Segunda","Terça","Quarta","Quinta","Sexta","Sábado","Domingo"))</f>
        <v/>
      </c>
      <c r="AD1878" s="17">
        <f>IF($B1878="","",TEXT($B1878,"MM/AAAA"))</f>
        <v/>
      </c>
      <c r="AE1878" s="18">
        <f>IF(COUNTA($B1878:$R1878)=0,"",IF($X1878="Cancelado",0,ROUND(N($Q1878)+N($S1878)+N($T1878)-N($U1878),2)))</f>
        <v/>
      </c>
      <c r="AF1878" s="9">
        <f>IF($G1878="","",IFERROR(INDEX(LINHAS_DRE_PLANO,MATCH($G1878,SUBCATEGORIAS_PLANO,0)),"Não classificado"))</f>
        <v/>
      </c>
      <c r="AG1878" s="17">
        <f>IF($G1878="","",IFERROR(INDEX(TIPOS_FLUXO_PLANO,MATCH($G1878,SUBCATEGORIAS_PLANO,0)),"Não classificado"))</f>
        <v/>
      </c>
      <c r="AH1878" s="9">
        <f>IF($G1878="","",IFERROR(INDEX(GRUPOS_PLANO,MATCH($G1878,SUBCATEGORIAS_PLANO,0)),"Não classificado"))</f>
        <v/>
      </c>
      <c r="AI1878" s="24">
        <f>IF(OR($C1878="",$X1878="Pago",$X1878="Recebido",$X1878="Cancelado"),"",$C1878-TODAY())</f>
        <v/>
      </c>
      <c r="AJ1878" s="24">
        <f>IF(OR($C1878="",$X1878="Pago",$X1878="Recebido",$X1878="Cancelado"),0,MAX(0,TODAY()-$C1878))</f>
        <v/>
      </c>
      <c r="AK1878" s="24">
        <f>IF($D1878="","",$D1878-$B1878)</f>
        <v/>
      </c>
      <c r="AL1878" s="18">
        <f>IF(OR($D1878="",$B1878=""),"",ROUND(N($R1878)*($D1878-$B1878),2))</f>
        <v/>
      </c>
      <c r="AM1878" s="17">
        <f>IF(AND($E1878="Saída",$W1878&gt;0,$C1878&lt;&gt;""),$C1878+ROW()/1000000,"")</f>
        <v/>
      </c>
      <c r="AN1878" s="17">
        <f>IF(AND($E1878="Entrada",$W1878&gt;0,$C1878&lt;&gt;""),$C1878+ROW()/1000000,"")</f>
        <v/>
      </c>
      <c r="AO1878" s="9">
        <f>IF(COUNTA($B1878:$R1878)=0,"",IF(AND($I1878&lt;&gt;"",COUNTIF(CLIENTES_NOMES,$I1878)+COUNTIF(CLIENTES_FANTASIA,$I1878)+COUNTIF(FORNECEDORES_NOMES,$I1878)+COUNTIF(FORNECEDORES_FANTASIA,$I1878)=0),"⚠ Cliente/Fornecedor não cadastrado",IF(AND($G1878&lt;&gt;"",COUNTIF(SUBCATEGORIAS_PLANO,$G1878)=0),"⚠ Subcategoria fora do plano de contas",IF(OR($Q1878="",N($Q1878)=0),"⚠ Valor previsto não informado",IF(AND(OR($X1878="Pago",$X1878="Recebido"),$D1878=""),"⚠ Status pago/recebido sem data",IF(AND($D1878&lt;&gt;"",N($R1878)=0),"⚠ Data de pagamento sem valor realizado",IF(AND(N($P1878)&gt;1,N($O1878)&gt;N($P1878)),"⚠ Nº da parcela maior que o total",IF(AND($C1878&lt;&gt;"",$B1878&lt;&gt;"",$C1878&lt;$B1878),"⚠ Vencimento anterior à competência","OK"))))))))</f>
        <v/>
      </c>
    </row>
    <row r="1879">
      <c r="A1879" s="14" t="n"/>
      <c r="B1879" s="36" t="n"/>
      <c r="C1879" s="36" t="n"/>
      <c r="D1879" s="36" t="n"/>
      <c r="E1879" s="14" t="n"/>
      <c r="F1879" s="29" t="n"/>
      <c r="G1879" s="29" t="n"/>
      <c r="H1879" s="29" t="n"/>
      <c r="I1879" s="29" t="n"/>
      <c r="J1879" s="29" t="n"/>
      <c r="K1879" s="14" t="n"/>
      <c r="L1879" s="29" t="n"/>
      <c r="M1879" s="14" t="n"/>
      <c r="N1879" s="29" t="n"/>
      <c r="O1879" s="13" t="n"/>
      <c r="P1879" s="13" t="n"/>
      <c r="Q1879" s="35" t="n"/>
      <c r="R1879" s="35" t="n"/>
      <c r="S1879" s="35" t="n"/>
      <c r="T1879" s="35" t="n"/>
      <c r="U1879" s="35" t="n"/>
      <c r="V1879" s="18">
        <f>IF(COUNTA($B1879:$R1879)=0,"",ROUND(N($R1879)+N($S1879)+N($T1879)-N($U1879),2))</f>
        <v/>
      </c>
      <c r="W1879" s="18">
        <f>IF(COUNTA($B1879:$R1879)=0,"",IF(OR($X1879="Pago",$X1879="Recebido",$X1879="Cancelado"),0,ROUND(N($Q1879)+N($S1879)+N($T1879)-N($U1879)-N($R1879),2)))</f>
        <v/>
      </c>
      <c r="X1879" s="14" t="n"/>
      <c r="Y1879" s="17">
        <f>IF(COUNTA($B1879:$R1879)=0,"",IF($X1879="Cancelado","Cancelado",IF(OR($X1879="Pago",$X1879="Recebido"),$X1879,IF(OR($X1879="Parcial",N($R1879)&gt;0),"Parcial",IF($C1879="","Sem vencimento",IF($C1879&lt;TODAY(),"Vencido",IF($C1879=TODAY(),"Vence hoje",IF($C1879&lt;=TODAY()+7,"Vence em 7 dias",IF($C1879&lt;=TODAY()+30,"Vence em 30 dias","Futuro")))))))))</f>
        <v/>
      </c>
      <c r="Z1879" s="24">
        <f>IF($B1879="","",MONTH($B1879))</f>
        <v/>
      </c>
      <c r="AA1879" s="24">
        <f>IF($B1879="","",YEAR($B1879))</f>
        <v/>
      </c>
      <c r="AB1879" s="24">
        <f>IF($B1879="","",ISOWEEKNUM($B1879))</f>
        <v/>
      </c>
      <c r="AC1879" s="17">
        <f>IF($B1879="","",CHOOSE(WEEKDAY($B1879,2),"Segunda","Terça","Quarta","Quinta","Sexta","Sábado","Domingo"))</f>
        <v/>
      </c>
      <c r="AD1879" s="17">
        <f>IF($B1879="","",TEXT($B1879,"MM/AAAA"))</f>
        <v/>
      </c>
      <c r="AE1879" s="18">
        <f>IF(COUNTA($B1879:$R1879)=0,"",IF($X1879="Cancelado",0,ROUND(N($Q1879)+N($S1879)+N($T1879)-N($U1879),2)))</f>
        <v/>
      </c>
      <c r="AF1879" s="9">
        <f>IF($G1879="","",IFERROR(INDEX(LINHAS_DRE_PLANO,MATCH($G1879,SUBCATEGORIAS_PLANO,0)),"Não classificado"))</f>
        <v/>
      </c>
      <c r="AG1879" s="17">
        <f>IF($G1879="","",IFERROR(INDEX(TIPOS_FLUXO_PLANO,MATCH($G1879,SUBCATEGORIAS_PLANO,0)),"Não classificado"))</f>
        <v/>
      </c>
      <c r="AH1879" s="9">
        <f>IF($G1879="","",IFERROR(INDEX(GRUPOS_PLANO,MATCH($G1879,SUBCATEGORIAS_PLANO,0)),"Não classificado"))</f>
        <v/>
      </c>
      <c r="AI1879" s="24">
        <f>IF(OR($C1879="",$X1879="Pago",$X1879="Recebido",$X1879="Cancelado"),"",$C1879-TODAY())</f>
        <v/>
      </c>
      <c r="AJ1879" s="24">
        <f>IF(OR($C1879="",$X1879="Pago",$X1879="Recebido",$X1879="Cancelado"),0,MAX(0,TODAY()-$C1879))</f>
        <v/>
      </c>
      <c r="AK1879" s="24">
        <f>IF($D1879="","",$D1879-$B1879)</f>
        <v/>
      </c>
      <c r="AL1879" s="18">
        <f>IF(OR($D1879="",$B1879=""),"",ROUND(N($R1879)*($D1879-$B1879),2))</f>
        <v/>
      </c>
      <c r="AM1879" s="17">
        <f>IF(AND($E1879="Saída",$W1879&gt;0,$C1879&lt;&gt;""),$C1879+ROW()/1000000,"")</f>
        <v/>
      </c>
      <c r="AN1879" s="17">
        <f>IF(AND($E1879="Entrada",$W1879&gt;0,$C1879&lt;&gt;""),$C1879+ROW()/1000000,"")</f>
        <v/>
      </c>
      <c r="AO1879" s="9">
        <f>IF(COUNTA($B1879:$R1879)=0,"",IF(AND($I1879&lt;&gt;"",COUNTIF(CLIENTES_NOMES,$I1879)+COUNTIF(CLIENTES_FANTASIA,$I1879)+COUNTIF(FORNECEDORES_NOMES,$I1879)+COUNTIF(FORNECEDORES_FANTASIA,$I1879)=0),"⚠ Cliente/Fornecedor não cadastrado",IF(AND($G1879&lt;&gt;"",COUNTIF(SUBCATEGORIAS_PLANO,$G1879)=0),"⚠ Subcategoria fora do plano de contas",IF(OR($Q1879="",N($Q1879)=0),"⚠ Valor previsto não informado",IF(AND(OR($X1879="Pago",$X1879="Recebido"),$D1879=""),"⚠ Status pago/recebido sem data",IF(AND($D1879&lt;&gt;"",N($R1879)=0),"⚠ Data de pagamento sem valor realizado",IF(AND(N($P1879)&gt;1,N($O1879)&gt;N($P1879)),"⚠ Nº da parcela maior que o total",IF(AND($C1879&lt;&gt;"",$B1879&lt;&gt;"",$C1879&lt;$B1879),"⚠ Vencimento anterior à competência","OK"))))))))</f>
        <v/>
      </c>
    </row>
    <row r="1880">
      <c r="A1880" s="14" t="n"/>
      <c r="B1880" s="36" t="n"/>
      <c r="C1880" s="36" t="n"/>
      <c r="D1880" s="36" t="n"/>
      <c r="E1880" s="14" t="n"/>
      <c r="F1880" s="29" t="n"/>
      <c r="G1880" s="29" t="n"/>
      <c r="H1880" s="29" t="n"/>
      <c r="I1880" s="29" t="n"/>
      <c r="J1880" s="29" t="n"/>
      <c r="K1880" s="14" t="n"/>
      <c r="L1880" s="29" t="n"/>
      <c r="M1880" s="14" t="n"/>
      <c r="N1880" s="29" t="n"/>
      <c r="O1880" s="13" t="n"/>
      <c r="P1880" s="13" t="n"/>
      <c r="Q1880" s="35" t="n"/>
      <c r="R1880" s="35" t="n"/>
      <c r="S1880" s="35" t="n"/>
      <c r="T1880" s="35" t="n"/>
      <c r="U1880" s="35" t="n"/>
      <c r="V1880" s="18">
        <f>IF(COUNTA($B1880:$R1880)=0,"",ROUND(N($R1880)+N($S1880)+N($T1880)-N($U1880),2))</f>
        <v/>
      </c>
      <c r="W1880" s="18">
        <f>IF(COUNTA($B1880:$R1880)=0,"",IF(OR($X1880="Pago",$X1880="Recebido",$X1880="Cancelado"),0,ROUND(N($Q1880)+N($S1880)+N($T1880)-N($U1880)-N($R1880),2)))</f>
        <v/>
      </c>
      <c r="X1880" s="14" t="n"/>
      <c r="Y1880" s="17">
        <f>IF(COUNTA($B1880:$R1880)=0,"",IF($X1880="Cancelado","Cancelado",IF(OR($X1880="Pago",$X1880="Recebido"),$X1880,IF(OR($X1880="Parcial",N($R1880)&gt;0),"Parcial",IF($C1880="","Sem vencimento",IF($C1880&lt;TODAY(),"Vencido",IF($C1880=TODAY(),"Vence hoje",IF($C1880&lt;=TODAY()+7,"Vence em 7 dias",IF($C1880&lt;=TODAY()+30,"Vence em 30 dias","Futuro")))))))))</f>
        <v/>
      </c>
      <c r="Z1880" s="24">
        <f>IF($B1880="","",MONTH($B1880))</f>
        <v/>
      </c>
      <c r="AA1880" s="24">
        <f>IF($B1880="","",YEAR($B1880))</f>
        <v/>
      </c>
      <c r="AB1880" s="24">
        <f>IF($B1880="","",ISOWEEKNUM($B1880))</f>
        <v/>
      </c>
      <c r="AC1880" s="17">
        <f>IF($B1880="","",CHOOSE(WEEKDAY($B1880,2),"Segunda","Terça","Quarta","Quinta","Sexta","Sábado","Domingo"))</f>
        <v/>
      </c>
      <c r="AD1880" s="17">
        <f>IF($B1880="","",TEXT($B1880,"MM/AAAA"))</f>
        <v/>
      </c>
      <c r="AE1880" s="18">
        <f>IF(COUNTA($B1880:$R1880)=0,"",IF($X1880="Cancelado",0,ROUND(N($Q1880)+N($S1880)+N($T1880)-N($U1880),2)))</f>
        <v/>
      </c>
      <c r="AF1880" s="9">
        <f>IF($G1880="","",IFERROR(INDEX(LINHAS_DRE_PLANO,MATCH($G1880,SUBCATEGORIAS_PLANO,0)),"Não classificado"))</f>
        <v/>
      </c>
      <c r="AG1880" s="17">
        <f>IF($G1880="","",IFERROR(INDEX(TIPOS_FLUXO_PLANO,MATCH($G1880,SUBCATEGORIAS_PLANO,0)),"Não classificado"))</f>
        <v/>
      </c>
      <c r="AH1880" s="9">
        <f>IF($G1880="","",IFERROR(INDEX(GRUPOS_PLANO,MATCH($G1880,SUBCATEGORIAS_PLANO,0)),"Não classificado"))</f>
        <v/>
      </c>
      <c r="AI1880" s="24">
        <f>IF(OR($C1880="",$X1880="Pago",$X1880="Recebido",$X1880="Cancelado"),"",$C1880-TODAY())</f>
        <v/>
      </c>
      <c r="AJ1880" s="24">
        <f>IF(OR($C1880="",$X1880="Pago",$X1880="Recebido",$X1880="Cancelado"),0,MAX(0,TODAY()-$C1880))</f>
        <v/>
      </c>
      <c r="AK1880" s="24">
        <f>IF($D1880="","",$D1880-$B1880)</f>
        <v/>
      </c>
      <c r="AL1880" s="18">
        <f>IF(OR($D1880="",$B1880=""),"",ROUND(N($R1880)*($D1880-$B1880),2))</f>
        <v/>
      </c>
      <c r="AM1880" s="17">
        <f>IF(AND($E1880="Saída",$W1880&gt;0,$C1880&lt;&gt;""),$C1880+ROW()/1000000,"")</f>
        <v/>
      </c>
      <c r="AN1880" s="17">
        <f>IF(AND($E1880="Entrada",$W1880&gt;0,$C1880&lt;&gt;""),$C1880+ROW()/1000000,"")</f>
        <v/>
      </c>
      <c r="AO1880" s="9">
        <f>IF(COUNTA($B1880:$R1880)=0,"",IF(AND($I1880&lt;&gt;"",COUNTIF(CLIENTES_NOMES,$I1880)+COUNTIF(CLIENTES_FANTASIA,$I1880)+COUNTIF(FORNECEDORES_NOMES,$I1880)+COUNTIF(FORNECEDORES_FANTASIA,$I1880)=0),"⚠ Cliente/Fornecedor não cadastrado",IF(AND($G1880&lt;&gt;"",COUNTIF(SUBCATEGORIAS_PLANO,$G1880)=0),"⚠ Subcategoria fora do plano de contas",IF(OR($Q1880="",N($Q1880)=0),"⚠ Valor previsto não informado",IF(AND(OR($X1880="Pago",$X1880="Recebido"),$D1880=""),"⚠ Status pago/recebido sem data",IF(AND($D1880&lt;&gt;"",N($R1880)=0),"⚠ Data de pagamento sem valor realizado",IF(AND(N($P1880)&gt;1,N($O1880)&gt;N($P1880)),"⚠ Nº da parcela maior que o total",IF(AND($C1880&lt;&gt;"",$B1880&lt;&gt;"",$C1880&lt;$B1880),"⚠ Vencimento anterior à competência","OK"))))))))</f>
        <v/>
      </c>
    </row>
    <row r="1881">
      <c r="A1881" s="14" t="n"/>
      <c r="B1881" s="36" t="n"/>
      <c r="C1881" s="36" t="n"/>
      <c r="D1881" s="36" t="n"/>
      <c r="E1881" s="14" t="n"/>
      <c r="F1881" s="29" t="n"/>
      <c r="G1881" s="29" t="n"/>
      <c r="H1881" s="29" t="n"/>
      <c r="I1881" s="29" t="n"/>
      <c r="J1881" s="29" t="n"/>
      <c r="K1881" s="14" t="n"/>
      <c r="L1881" s="29" t="n"/>
      <c r="M1881" s="14" t="n"/>
      <c r="N1881" s="29" t="n"/>
      <c r="O1881" s="13" t="n"/>
      <c r="P1881" s="13" t="n"/>
      <c r="Q1881" s="35" t="n"/>
      <c r="R1881" s="35" t="n"/>
      <c r="S1881" s="35" t="n"/>
      <c r="T1881" s="35" t="n"/>
      <c r="U1881" s="35" t="n"/>
      <c r="V1881" s="18">
        <f>IF(COUNTA($B1881:$R1881)=0,"",ROUND(N($R1881)+N($S1881)+N($T1881)-N($U1881),2))</f>
        <v/>
      </c>
      <c r="W1881" s="18">
        <f>IF(COUNTA($B1881:$R1881)=0,"",IF(OR($X1881="Pago",$X1881="Recebido",$X1881="Cancelado"),0,ROUND(N($Q1881)+N($S1881)+N($T1881)-N($U1881)-N($R1881),2)))</f>
        <v/>
      </c>
      <c r="X1881" s="14" t="n"/>
      <c r="Y1881" s="17">
        <f>IF(COUNTA($B1881:$R1881)=0,"",IF($X1881="Cancelado","Cancelado",IF(OR($X1881="Pago",$X1881="Recebido"),$X1881,IF(OR($X1881="Parcial",N($R1881)&gt;0),"Parcial",IF($C1881="","Sem vencimento",IF($C1881&lt;TODAY(),"Vencido",IF($C1881=TODAY(),"Vence hoje",IF($C1881&lt;=TODAY()+7,"Vence em 7 dias",IF($C1881&lt;=TODAY()+30,"Vence em 30 dias","Futuro")))))))))</f>
        <v/>
      </c>
      <c r="Z1881" s="24">
        <f>IF($B1881="","",MONTH($B1881))</f>
        <v/>
      </c>
      <c r="AA1881" s="24">
        <f>IF($B1881="","",YEAR($B1881))</f>
        <v/>
      </c>
      <c r="AB1881" s="24">
        <f>IF($B1881="","",ISOWEEKNUM($B1881))</f>
        <v/>
      </c>
      <c r="AC1881" s="17">
        <f>IF($B1881="","",CHOOSE(WEEKDAY($B1881,2),"Segunda","Terça","Quarta","Quinta","Sexta","Sábado","Domingo"))</f>
        <v/>
      </c>
      <c r="AD1881" s="17">
        <f>IF($B1881="","",TEXT($B1881,"MM/AAAA"))</f>
        <v/>
      </c>
      <c r="AE1881" s="18">
        <f>IF(COUNTA($B1881:$R1881)=0,"",IF($X1881="Cancelado",0,ROUND(N($Q1881)+N($S1881)+N($T1881)-N($U1881),2)))</f>
        <v/>
      </c>
      <c r="AF1881" s="9">
        <f>IF($G1881="","",IFERROR(INDEX(LINHAS_DRE_PLANO,MATCH($G1881,SUBCATEGORIAS_PLANO,0)),"Não classificado"))</f>
        <v/>
      </c>
      <c r="AG1881" s="17">
        <f>IF($G1881="","",IFERROR(INDEX(TIPOS_FLUXO_PLANO,MATCH($G1881,SUBCATEGORIAS_PLANO,0)),"Não classificado"))</f>
        <v/>
      </c>
      <c r="AH1881" s="9">
        <f>IF($G1881="","",IFERROR(INDEX(GRUPOS_PLANO,MATCH($G1881,SUBCATEGORIAS_PLANO,0)),"Não classificado"))</f>
        <v/>
      </c>
      <c r="AI1881" s="24">
        <f>IF(OR($C1881="",$X1881="Pago",$X1881="Recebido",$X1881="Cancelado"),"",$C1881-TODAY())</f>
        <v/>
      </c>
      <c r="AJ1881" s="24">
        <f>IF(OR($C1881="",$X1881="Pago",$X1881="Recebido",$X1881="Cancelado"),0,MAX(0,TODAY()-$C1881))</f>
        <v/>
      </c>
      <c r="AK1881" s="24">
        <f>IF($D1881="","",$D1881-$B1881)</f>
        <v/>
      </c>
      <c r="AL1881" s="18">
        <f>IF(OR($D1881="",$B1881=""),"",ROUND(N($R1881)*($D1881-$B1881),2))</f>
        <v/>
      </c>
      <c r="AM1881" s="17">
        <f>IF(AND($E1881="Saída",$W1881&gt;0,$C1881&lt;&gt;""),$C1881+ROW()/1000000,"")</f>
        <v/>
      </c>
      <c r="AN1881" s="17">
        <f>IF(AND($E1881="Entrada",$W1881&gt;0,$C1881&lt;&gt;""),$C1881+ROW()/1000000,"")</f>
        <v/>
      </c>
      <c r="AO1881" s="9">
        <f>IF(COUNTA($B1881:$R1881)=0,"",IF(AND($I1881&lt;&gt;"",COUNTIF(CLIENTES_NOMES,$I1881)+COUNTIF(CLIENTES_FANTASIA,$I1881)+COUNTIF(FORNECEDORES_NOMES,$I1881)+COUNTIF(FORNECEDORES_FANTASIA,$I1881)=0),"⚠ Cliente/Fornecedor não cadastrado",IF(AND($G1881&lt;&gt;"",COUNTIF(SUBCATEGORIAS_PLANO,$G1881)=0),"⚠ Subcategoria fora do plano de contas",IF(OR($Q1881="",N($Q1881)=0),"⚠ Valor previsto não informado",IF(AND(OR($X1881="Pago",$X1881="Recebido"),$D1881=""),"⚠ Status pago/recebido sem data",IF(AND($D1881&lt;&gt;"",N($R1881)=0),"⚠ Data de pagamento sem valor realizado",IF(AND(N($P1881)&gt;1,N($O1881)&gt;N($P1881)),"⚠ Nº da parcela maior que o total",IF(AND($C1881&lt;&gt;"",$B1881&lt;&gt;"",$C1881&lt;$B1881),"⚠ Vencimento anterior à competência","OK"))))))))</f>
        <v/>
      </c>
    </row>
    <row r="1882">
      <c r="A1882" s="14" t="n"/>
      <c r="B1882" s="36" t="n"/>
      <c r="C1882" s="36" t="n"/>
      <c r="D1882" s="36" t="n"/>
      <c r="E1882" s="14" t="n"/>
      <c r="F1882" s="29" t="n"/>
      <c r="G1882" s="29" t="n"/>
      <c r="H1882" s="29" t="n"/>
      <c r="I1882" s="29" t="n"/>
      <c r="J1882" s="29" t="n"/>
      <c r="K1882" s="14" t="n"/>
      <c r="L1882" s="29" t="n"/>
      <c r="M1882" s="14" t="n"/>
      <c r="N1882" s="29" t="n"/>
      <c r="O1882" s="13" t="n"/>
      <c r="P1882" s="13" t="n"/>
      <c r="Q1882" s="35" t="n"/>
      <c r="R1882" s="35" t="n"/>
      <c r="S1882" s="35" t="n"/>
      <c r="T1882" s="35" t="n"/>
      <c r="U1882" s="35" t="n"/>
      <c r="V1882" s="18">
        <f>IF(COUNTA($B1882:$R1882)=0,"",ROUND(N($R1882)+N($S1882)+N($T1882)-N($U1882),2))</f>
        <v/>
      </c>
      <c r="W1882" s="18">
        <f>IF(COUNTA($B1882:$R1882)=0,"",IF(OR($X1882="Pago",$X1882="Recebido",$X1882="Cancelado"),0,ROUND(N($Q1882)+N($S1882)+N($T1882)-N($U1882)-N($R1882),2)))</f>
        <v/>
      </c>
      <c r="X1882" s="14" t="n"/>
      <c r="Y1882" s="17">
        <f>IF(COUNTA($B1882:$R1882)=0,"",IF($X1882="Cancelado","Cancelado",IF(OR($X1882="Pago",$X1882="Recebido"),$X1882,IF(OR($X1882="Parcial",N($R1882)&gt;0),"Parcial",IF($C1882="","Sem vencimento",IF($C1882&lt;TODAY(),"Vencido",IF($C1882=TODAY(),"Vence hoje",IF($C1882&lt;=TODAY()+7,"Vence em 7 dias",IF($C1882&lt;=TODAY()+30,"Vence em 30 dias","Futuro")))))))))</f>
        <v/>
      </c>
      <c r="Z1882" s="24">
        <f>IF($B1882="","",MONTH($B1882))</f>
        <v/>
      </c>
      <c r="AA1882" s="24">
        <f>IF($B1882="","",YEAR($B1882))</f>
        <v/>
      </c>
      <c r="AB1882" s="24">
        <f>IF($B1882="","",ISOWEEKNUM($B1882))</f>
        <v/>
      </c>
      <c r="AC1882" s="17">
        <f>IF($B1882="","",CHOOSE(WEEKDAY($B1882,2),"Segunda","Terça","Quarta","Quinta","Sexta","Sábado","Domingo"))</f>
        <v/>
      </c>
      <c r="AD1882" s="17">
        <f>IF($B1882="","",TEXT($B1882,"MM/AAAA"))</f>
        <v/>
      </c>
      <c r="AE1882" s="18">
        <f>IF(COUNTA($B1882:$R1882)=0,"",IF($X1882="Cancelado",0,ROUND(N($Q1882)+N($S1882)+N($T1882)-N($U1882),2)))</f>
        <v/>
      </c>
      <c r="AF1882" s="9">
        <f>IF($G1882="","",IFERROR(INDEX(LINHAS_DRE_PLANO,MATCH($G1882,SUBCATEGORIAS_PLANO,0)),"Não classificado"))</f>
        <v/>
      </c>
      <c r="AG1882" s="17">
        <f>IF($G1882="","",IFERROR(INDEX(TIPOS_FLUXO_PLANO,MATCH($G1882,SUBCATEGORIAS_PLANO,0)),"Não classificado"))</f>
        <v/>
      </c>
      <c r="AH1882" s="9">
        <f>IF($G1882="","",IFERROR(INDEX(GRUPOS_PLANO,MATCH($G1882,SUBCATEGORIAS_PLANO,0)),"Não classificado"))</f>
        <v/>
      </c>
      <c r="AI1882" s="24">
        <f>IF(OR($C1882="",$X1882="Pago",$X1882="Recebido",$X1882="Cancelado"),"",$C1882-TODAY())</f>
        <v/>
      </c>
      <c r="AJ1882" s="24">
        <f>IF(OR($C1882="",$X1882="Pago",$X1882="Recebido",$X1882="Cancelado"),0,MAX(0,TODAY()-$C1882))</f>
        <v/>
      </c>
      <c r="AK1882" s="24">
        <f>IF($D1882="","",$D1882-$B1882)</f>
        <v/>
      </c>
      <c r="AL1882" s="18">
        <f>IF(OR($D1882="",$B1882=""),"",ROUND(N($R1882)*($D1882-$B1882),2))</f>
        <v/>
      </c>
      <c r="AM1882" s="17">
        <f>IF(AND($E1882="Saída",$W1882&gt;0,$C1882&lt;&gt;""),$C1882+ROW()/1000000,"")</f>
        <v/>
      </c>
      <c r="AN1882" s="17">
        <f>IF(AND($E1882="Entrada",$W1882&gt;0,$C1882&lt;&gt;""),$C1882+ROW()/1000000,"")</f>
        <v/>
      </c>
      <c r="AO1882" s="9">
        <f>IF(COUNTA($B1882:$R1882)=0,"",IF(AND($I1882&lt;&gt;"",COUNTIF(CLIENTES_NOMES,$I1882)+COUNTIF(CLIENTES_FANTASIA,$I1882)+COUNTIF(FORNECEDORES_NOMES,$I1882)+COUNTIF(FORNECEDORES_FANTASIA,$I1882)=0),"⚠ Cliente/Fornecedor não cadastrado",IF(AND($G1882&lt;&gt;"",COUNTIF(SUBCATEGORIAS_PLANO,$G1882)=0),"⚠ Subcategoria fora do plano de contas",IF(OR($Q1882="",N($Q1882)=0),"⚠ Valor previsto não informado",IF(AND(OR($X1882="Pago",$X1882="Recebido"),$D1882=""),"⚠ Status pago/recebido sem data",IF(AND($D1882&lt;&gt;"",N($R1882)=0),"⚠ Data de pagamento sem valor realizado",IF(AND(N($P1882)&gt;1,N($O1882)&gt;N($P1882)),"⚠ Nº da parcela maior que o total",IF(AND($C1882&lt;&gt;"",$B1882&lt;&gt;"",$C1882&lt;$B1882),"⚠ Vencimento anterior à competência","OK"))))))))</f>
        <v/>
      </c>
    </row>
    <row r="1883">
      <c r="A1883" s="14" t="n"/>
      <c r="B1883" s="36" t="n"/>
      <c r="C1883" s="36" t="n"/>
      <c r="D1883" s="36" t="n"/>
      <c r="E1883" s="14" t="n"/>
      <c r="F1883" s="29" t="n"/>
      <c r="G1883" s="29" t="n"/>
      <c r="H1883" s="29" t="n"/>
      <c r="I1883" s="29" t="n"/>
      <c r="J1883" s="29" t="n"/>
      <c r="K1883" s="14" t="n"/>
      <c r="L1883" s="29" t="n"/>
      <c r="M1883" s="14" t="n"/>
      <c r="N1883" s="29" t="n"/>
      <c r="O1883" s="13" t="n"/>
      <c r="P1883" s="13" t="n"/>
      <c r="Q1883" s="35" t="n"/>
      <c r="R1883" s="35" t="n"/>
      <c r="S1883" s="35" t="n"/>
      <c r="T1883" s="35" t="n"/>
      <c r="U1883" s="35" t="n"/>
      <c r="V1883" s="18">
        <f>IF(COUNTA($B1883:$R1883)=0,"",ROUND(N($R1883)+N($S1883)+N($T1883)-N($U1883),2))</f>
        <v/>
      </c>
      <c r="W1883" s="18">
        <f>IF(COUNTA($B1883:$R1883)=0,"",IF(OR($X1883="Pago",$X1883="Recebido",$X1883="Cancelado"),0,ROUND(N($Q1883)+N($S1883)+N($T1883)-N($U1883)-N($R1883),2)))</f>
        <v/>
      </c>
      <c r="X1883" s="14" t="n"/>
      <c r="Y1883" s="17">
        <f>IF(COUNTA($B1883:$R1883)=0,"",IF($X1883="Cancelado","Cancelado",IF(OR($X1883="Pago",$X1883="Recebido"),$X1883,IF(OR($X1883="Parcial",N($R1883)&gt;0),"Parcial",IF($C1883="","Sem vencimento",IF($C1883&lt;TODAY(),"Vencido",IF($C1883=TODAY(),"Vence hoje",IF($C1883&lt;=TODAY()+7,"Vence em 7 dias",IF($C1883&lt;=TODAY()+30,"Vence em 30 dias","Futuro")))))))))</f>
        <v/>
      </c>
      <c r="Z1883" s="24">
        <f>IF($B1883="","",MONTH($B1883))</f>
        <v/>
      </c>
      <c r="AA1883" s="24">
        <f>IF($B1883="","",YEAR($B1883))</f>
        <v/>
      </c>
      <c r="AB1883" s="24">
        <f>IF($B1883="","",ISOWEEKNUM($B1883))</f>
        <v/>
      </c>
      <c r="AC1883" s="17">
        <f>IF($B1883="","",CHOOSE(WEEKDAY($B1883,2),"Segunda","Terça","Quarta","Quinta","Sexta","Sábado","Domingo"))</f>
        <v/>
      </c>
      <c r="AD1883" s="17">
        <f>IF($B1883="","",TEXT($B1883,"MM/AAAA"))</f>
        <v/>
      </c>
      <c r="AE1883" s="18">
        <f>IF(COUNTA($B1883:$R1883)=0,"",IF($X1883="Cancelado",0,ROUND(N($Q1883)+N($S1883)+N($T1883)-N($U1883),2)))</f>
        <v/>
      </c>
      <c r="AF1883" s="9">
        <f>IF($G1883="","",IFERROR(INDEX(LINHAS_DRE_PLANO,MATCH($G1883,SUBCATEGORIAS_PLANO,0)),"Não classificado"))</f>
        <v/>
      </c>
      <c r="AG1883" s="17">
        <f>IF($G1883="","",IFERROR(INDEX(TIPOS_FLUXO_PLANO,MATCH($G1883,SUBCATEGORIAS_PLANO,0)),"Não classificado"))</f>
        <v/>
      </c>
      <c r="AH1883" s="9">
        <f>IF($G1883="","",IFERROR(INDEX(GRUPOS_PLANO,MATCH($G1883,SUBCATEGORIAS_PLANO,0)),"Não classificado"))</f>
        <v/>
      </c>
      <c r="AI1883" s="24">
        <f>IF(OR($C1883="",$X1883="Pago",$X1883="Recebido",$X1883="Cancelado"),"",$C1883-TODAY())</f>
        <v/>
      </c>
      <c r="AJ1883" s="24">
        <f>IF(OR($C1883="",$X1883="Pago",$X1883="Recebido",$X1883="Cancelado"),0,MAX(0,TODAY()-$C1883))</f>
        <v/>
      </c>
      <c r="AK1883" s="24">
        <f>IF($D1883="","",$D1883-$B1883)</f>
        <v/>
      </c>
      <c r="AL1883" s="18">
        <f>IF(OR($D1883="",$B1883=""),"",ROUND(N($R1883)*($D1883-$B1883),2))</f>
        <v/>
      </c>
      <c r="AM1883" s="17">
        <f>IF(AND($E1883="Saída",$W1883&gt;0,$C1883&lt;&gt;""),$C1883+ROW()/1000000,"")</f>
        <v/>
      </c>
      <c r="AN1883" s="17">
        <f>IF(AND($E1883="Entrada",$W1883&gt;0,$C1883&lt;&gt;""),$C1883+ROW()/1000000,"")</f>
        <v/>
      </c>
      <c r="AO1883" s="9">
        <f>IF(COUNTA($B1883:$R1883)=0,"",IF(AND($I1883&lt;&gt;"",COUNTIF(CLIENTES_NOMES,$I1883)+COUNTIF(CLIENTES_FANTASIA,$I1883)+COUNTIF(FORNECEDORES_NOMES,$I1883)+COUNTIF(FORNECEDORES_FANTASIA,$I1883)=0),"⚠ Cliente/Fornecedor não cadastrado",IF(AND($G1883&lt;&gt;"",COUNTIF(SUBCATEGORIAS_PLANO,$G1883)=0),"⚠ Subcategoria fora do plano de contas",IF(OR($Q1883="",N($Q1883)=0),"⚠ Valor previsto não informado",IF(AND(OR($X1883="Pago",$X1883="Recebido"),$D1883=""),"⚠ Status pago/recebido sem data",IF(AND($D1883&lt;&gt;"",N($R1883)=0),"⚠ Data de pagamento sem valor realizado",IF(AND(N($P1883)&gt;1,N($O1883)&gt;N($P1883)),"⚠ Nº da parcela maior que o total",IF(AND($C1883&lt;&gt;"",$B1883&lt;&gt;"",$C1883&lt;$B1883),"⚠ Vencimento anterior à competência","OK"))))))))</f>
        <v/>
      </c>
    </row>
    <row r="1884">
      <c r="A1884" s="14" t="n"/>
      <c r="B1884" s="36" t="n"/>
      <c r="C1884" s="36" t="n"/>
      <c r="D1884" s="36" t="n"/>
      <c r="E1884" s="14" t="n"/>
      <c r="F1884" s="29" t="n"/>
      <c r="G1884" s="29" t="n"/>
      <c r="H1884" s="29" t="n"/>
      <c r="I1884" s="29" t="n"/>
      <c r="J1884" s="29" t="n"/>
      <c r="K1884" s="14" t="n"/>
      <c r="L1884" s="29" t="n"/>
      <c r="M1884" s="14" t="n"/>
      <c r="N1884" s="29" t="n"/>
      <c r="O1884" s="13" t="n"/>
      <c r="P1884" s="13" t="n"/>
      <c r="Q1884" s="35" t="n"/>
      <c r="R1884" s="35" t="n"/>
      <c r="S1884" s="35" t="n"/>
      <c r="T1884" s="35" t="n"/>
      <c r="U1884" s="35" t="n"/>
      <c r="V1884" s="18">
        <f>IF(COUNTA($B1884:$R1884)=0,"",ROUND(N($R1884)+N($S1884)+N($T1884)-N($U1884),2))</f>
        <v/>
      </c>
      <c r="W1884" s="18">
        <f>IF(COUNTA($B1884:$R1884)=0,"",IF(OR($X1884="Pago",$X1884="Recebido",$X1884="Cancelado"),0,ROUND(N($Q1884)+N($S1884)+N($T1884)-N($U1884)-N($R1884),2)))</f>
        <v/>
      </c>
      <c r="X1884" s="14" t="n"/>
      <c r="Y1884" s="17">
        <f>IF(COUNTA($B1884:$R1884)=0,"",IF($X1884="Cancelado","Cancelado",IF(OR($X1884="Pago",$X1884="Recebido"),$X1884,IF(OR($X1884="Parcial",N($R1884)&gt;0),"Parcial",IF($C1884="","Sem vencimento",IF($C1884&lt;TODAY(),"Vencido",IF($C1884=TODAY(),"Vence hoje",IF($C1884&lt;=TODAY()+7,"Vence em 7 dias",IF($C1884&lt;=TODAY()+30,"Vence em 30 dias","Futuro")))))))))</f>
        <v/>
      </c>
      <c r="Z1884" s="24">
        <f>IF($B1884="","",MONTH($B1884))</f>
        <v/>
      </c>
      <c r="AA1884" s="24">
        <f>IF($B1884="","",YEAR($B1884))</f>
        <v/>
      </c>
      <c r="AB1884" s="24">
        <f>IF($B1884="","",ISOWEEKNUM($B1884))</f>
        <v/>
      </c>
      <c r="AC1884" s="17">
        <f>IF($B1884="","",CHOOSE(WEEKDAY($B1884,2),"Segunda","Terça","Quarta","Quinta","Sexta","Sábado","Domingo"))</f>
        <v/>
      </c>
      <c r="AD1884" s="17">
        <f>IF($B1884="","",TEXT($B1884,"MM/AAAA"))</f>
        <v/>
      </c>
      <c r="AE1884" s="18">
        <f>IF(COUNTA($B1884:$R1884)=0,"",IF($X1884="Cancelado",0,ROUND(N($Q1884)+N($S1884)+N($T1884)-N($U1884),2)))</f>
        <v/>
      </c>
      <c r="AF1884" s="9">
        <f>IF($G1884="","",IFERROR(INDEX(LINHAS_DRE_PLANO,MATCH($G1884,SUBCATEGORIAS_PLANO,0)),"Não classificado"))</f>
        <v/>
      </c>
      <c r="AG1884" s="17">
        <f>IF($G1884="","",IFERROR(INDEX(TIPOS_FLUXO_PLANO,MATCH($G1884,SUBCATEGORIAS_PLANO,0)),"Não classificado"))</f>
        <v/>
      </c>
      <c r="AH1884" s="9">
        <f>IF($G1884="","",IFERROR(INDEX(GRUPOS_PLANO,MATCH($G1884,SUBCATEGORIAS_PLANO,0)),"Não classificado"))</f>
        <v/>
      </c>
      <c r="AI1884" s="24">
        <f>IF(OR($C1884="",$X1884="Pago",$X1884="Recebido",$X1884="Cancelado"),"",$C1884-TODAY())</f>
        <v/>
      </c>
      <c r="AJ1884" s="24">
        <f>IF(OR($C1884="",$X1884="Pago",$X1884="Recebido",$X1884="Cancelado"),0,MAX(0,TODAY()-$C1884))</f>
        <v/>
      </c>
      <c r="AK1884" s="24">
        <f>IF($D1884="","",$D1884-$B1884)</f>
        <v/>
      </c>
      <c r="AL1884" s="18">
        <f>IF(OR($D1884="",$B1884=""),"",ROUND(N($R1884)*($D1884-$B1884),2))</f>
        <v/>
      </c>
      <c r="AM1884" s="17">
        <f>IF(AND($E1884="Saída",$W1884&gt;0,$C1884&lt;&gt;""),$C1884+ROW()/1000000,"")</f>
        <v/>
      </c>
      <c r="AN1884" s="17">
        <f>IF(AND($E1884="Entrada",$W1884&gt;0,$C1884&lt;&gt;""),$C1884+ROW()/1000000,"")</f>
        <v/>
      </c>
      <c r="AO1884" s="9">
        <f>IF(COUNTA($B1884:$R1884)=0,"",IF(AND($I1884&lt;&gt;"",COUNTIF(CLIENTES_NOMES,$I1884)+COUNTIF(CLIENTES_FANTASIA,$I1884)+COUNTIF(FORNECEDORES_NOMES,$I1884)+COUNTIF(FORNECEDORES_FANTASIA,$I1884)=0),"⚠ Cliente/Fornecedor não cadastrado",IF(AND($G1884&lt;&gt;"",COUNTIF(SUBCATEGORIAS_PLANO,$G1884)=0),"⚠ Subcategoria fora do plano de contas",IF(OR($Q1884="",N($Q1884)=0),"⚠ Valor previsto não informado",IF(AND(OR($X1884="Pago",$X1884="Recebido"),$D1884=""),"⚠ Status pago/recebido sem data",IF(AND($D1884&lt;&gt;"",N($R1884)=0),"⚠ Data de pagamento sem valor realizado",IF(AND(N($P1884)&gt;1,N($O1884)&gt;N($P1884)),"⚠ Nº da parcela maior que o total",IF(AND($C1884&lt;&gt;"",$B1884&lt;&gt;"",$C1884&lt;$B1884),"⚠ Vencimento anterior à competência","OK"))))))))</f>
        <v/>
      </c>
    </row>
    <row r="1885">
      <c r="A1885" s="14" t="n"/>
      <c r="B1885" s="36" t="n"/>
      <c r="C1885" s="36" t="n"/>
      <c r="D1885" s="36" t="n"/>
      <c r="E1885" s="14" t="n"/>
      <c r="F1885" s="29" t="n"/>
      <c r="G1885" s="29" t="n"/>
      <c r="H1885" s="29" t="n"/>
      <c r="I1885" s="29" t="n"/>
      <c r="J1885" s="29" t="n"/>
      <c r="K1885" s="14" t="n"/>
      <c r="L1885" s="29" t="n"/>
      <c r="M1885" s="14" t="n"/>
      <c r="N1885" s="29" t="n"/>
      <c r="O1885" s="13" t="n"/>
      <c r="P1885" s="13" t="n"/>
      <c r="Q1885" s="35" t="n"/>
      <c r="R1885" s="35" t="n"/>
      <c r="S1885" s="35" t="n"/>
      <c r="T1885" s="35" t="n"/>
      <c r="U1885" s="35" t="n"/>
      <c r="V1885" s="18">
        <f>IF(COUNTA($B1885:$R1885)=0,"",ROUND(N($R1885)+N($S1885)+N($T1885)-N($U1885),2))</f>
        <v/>
      </c>
      <c r="W1885" s="18">
        <f>IF(COUNTA($B1885:$R1885)=0,"",IF(OR($X1885="Pago",$X1885="Recebido",$X1885="Cancelado"),0,ROUND(N($Q1885)+N($S1885)+N($T1885)-N($U1885)-N($R1885),2)))</f>
        <v/>
      </c>
      <c r="X1885" s="14" t="n"/>
      <c r="Y1885" s="17">
        <f>IF(COUNTA($B1885:$R1885)=0,"",IF($X1885="Cancelado","Cancelado",IF(OR($X1885="Pago",$X1885="Recebido"),$X1885,IF(OR($X1885="Parcial",N($R1885)&gt;0),"Parcial",IF($C1885="","Sem vencimento",IF($C1885&lt;TODAY(),"Vencido",IF($C1885=TODAY(),"Vence hoje",IF($C1885&lt;=TODAY()+7,"Vence em 7 dias",IF($C1885&lt;=TODAY()+30,"Vence em 30 dias","Futuro")))))))))</f>
        <v/>
      </c>
      <c r="Z1885" s="24">
        <f>IF($B1885="","",MONTH($B1885))</f>
        <v/>
      </c>
      <c r="AA1885" s="24">
        <f>IF($B1885="","",YEAR($B1885))</f>
        <v/>
      </c>
      <c r="AB1885" s="24">
        <f>IF($B1885="","",ISOWEEKNUM($B1885))</f>
        <v/>
      </c>
      <c r="AC1885" s="17">
        <f>IF($B1885="","",CHOOSE(WEEKDAY($B1885,2),"Segunda","Terça","Quarta","Quinta","Sexta","Sábado","Domingo"))</f>
        <v/>
      </c>
      <c r="AD1885" s="17">
        <f>IF($B1885="","",TEXT($B1885,"MM/AAAA"))</f>
        <v/>
      </c>
      <c r="AE1885" s="18">
        <f>IF(COUNTA($B1885:$R1885)=0,"",IF($X1885="Cancelado",0,ROUND(N($Q1885)+N($S1885)+N($T1885)-N($U1885),2)))</f>
        <v/>
      </c>
      <c r="AF1885" s="9">
        <f>IF($G1885="","",IFERROR(INDEX(LINHAS_DRE_PLANO,MATCH($G1885,SUBCATEGORIAS_PLANO,0)),"Não classificado"))</f>
        <v/>
      </c>
      <c r="AG1885" s="17">
        <f>IF($G1885="","",IFERROR(INDEX(TIPOS_FLUXO_PLANO,MATCH($G1885,SUBCATEGORIAS_PLANO,0)),"Não classificado"))</f>
        <v/>
      </c>
      <c r="AH1885" s="9">
        <f>IF($G1885="","",IFERROR(INDEX(GRUPOS_PLANO,MATCH($G1885,SUBCATEGORIAS_PLANO,0)),"Não classificado"))</f>
        <v/>
      </c>
      <c r="AI1885" s="24">
        <f>IF(OR($C1885="",$X1885="Pago",$X1885="Recebido",$X1885="Cancelado"),"",$C1885-TODAY())</f>
        <v/>
      </c>
      <c r="AJ1885" s="24">
        <f>IF(OR($C1885="",$X1885="Pago",$X1885="Recebido",$X1885="Cancelado"),0,MAX(0,TODAY()-$C1885))</f>
        <v/>
      </c>
      <c r="AK1885" s="24">
        <f>IF($D1885="","",$D1885-$B1885)</f>
        <v/>
      </c>
      <c r="AL1885" s="18">
        <f>IF(OR($D1885="",$B1885=""),"",ROUND(N($R1885)*($D1885-$B1885),2))</f>
        <v/>
      </c>
      <c r="AM1885" s="17">
        <f>IF(AND($E1885="Saída",$W1885&gt;0,$C1885&lt;&gt;""),$C1885+ROW()/1000000,"")</f>
        <v/>
      </c>
      <c r="AN1885" s="17">
        <f>IF(AND($E1885="Entrada",$W1885&gt;0,$C1885&lt;&gt;""),$C1885+ROW()/1000000,"")</f>
        <v/>
      </c>
      <c r="AO1885" s="9">
        <f>IF(COUNTA($B1885:$R1885)=0,"",IF(AND($I1885&lt;&gt;"",COUNTIF(CLIENTES_NOMES,$I1885)+COUNTIF(CLIENTES_FANTASIA,$I1885)+COUNTIF(FORNECEDORES_NOMES,$I1885)+COUNTIF(FORNECEDORES_FANTASIA,$I1885)=0),"⚠ Cliente/Fornecedor não cadastrado",IF(AND($G1885&lt;&gt;"",COUNTIF(SUBCATEGORIAS_PLANO,$G1885)=0),"⚠ Subcategoria fora do plano de contas",IF(OR($Q1885="",N($Q1885)=0),"⚠ Valor previsto não informado",IF(AND(OR($X1885="Pago",$X1885="Recebido"),$D1885=""),"⚠ Status pago/recebido sem data",IF(AND($D1885&lt;&gt;"",N($R1885)=0),"⚠ Data de pagamento sem valor realizado",IF(AND(N($P1885)&gt;1,N($O1885)&gt;N($P1885)),"⚠ Nº da parcela maior que o total",IF(AND($C1885&lt;&gt;"",$B1885&lt;&gt;"",$C1885&lt;$B1885),"⚠ Vencimento anterior à competência","OK"))))))))</f>
        <v/>
      </c>
    </row>
    <row r="1886">
      <c r="A1886" s="14" t="n"/>
      <c r="B1886" s="36" t="n"/>
      <c r="C1886" s="36" t="n"/>
      <c r="D1886" s="36" t="n"/>
      <c r="E1886" s="14" t="n"/>
      <c r="F1886" s="29" t="n"/>
      <c r="G1886" s="29" t="n"/>
      <c r="H1886" s="29" t="n"/>
      <c r="I1886" s="29" t="n"/>
      <c r="J1886" s="29" t="n"/>
      <c r="K1886" s="14" t="n"/>
      <c r="L1886" s="29" t="n"/>
      <c r="M1886" s="14" t="n"/>
      <c r="N1886" s="29" t="n"/>
      <c r="O1886" s="13" t="n"/>
      <c r="P1886" s="13" t="n"/>
      <c r="Q1886" s="35" t="n"/>
      <c r="R1886" s="35" t="n"/>
      <c r="S1886" s="35" t="n"/>
      <c r="T1886" s="35" t="n"/>
      <c r="U1886" s="35" t="n"/>
      <c r="V1886" s="18">
        <f>IF(COUNTA($B1886:$R1886)=0,"",ROUND(N($R1886)+N($S1886)+N($T1886)-N($U1886),2))</f>
        <v/>
      </c>
      <c r="W1886" s="18">
        <f>IF(COUNTA($B1886:$R1886)=0,"",IF(OR($X1886="Pago",$X1886="Recebido",$X1886="Cancelado"),0,ROUND(N($Q1886)+N($S1886)+N($T1886)-N($U1886)-N($R1886),2)))</f>
        <v/>
      </c>
      <c r="X1886" s="14" t="n"/>
      <c r="Y1886" s="17">
        <f>IF(COUNTA($B1886:$R1886)=0,"",IF($X1886="Cancelado","Cancelado",IF(OR($X1886="Pago",$X1886="Recebido"),$X1886,IF(OR($X1886="Parcial",N($R1886)&gt;0),"Parcial",IF($C1886="","Sem vencimento",IF($C1886&lt;TODAY(),"Vencido",IF($C1886=TODAY(),"Vence hoje",IF($C1886&lt;=TODAY()+7,"Vence em 7 dias",IF($C1886&lt;=TODAY()+30,"Vence em 30 dias","Futuro")))))))))</f>
        <v/>
      </c>
      <c r="Z1886" s="24">
        <f>IF($B1886="","",MONTH($B1886))</f>
        <v/>
      </c>
      <c r="AA1886" s="24">
        <f>IF($B1886="","",YEAR($B1886))</f>
        <v/>
      </c>
      <c r="AB1886" s="24">
        <f>IF($B1886="","",ISOWEEKNUM($B1886))</f>
        <v/>
      </c>
      <c r="AC1886" s="17">
        <f>IF($B1886="","",CHOOSE(WEEKDAY($B1886,2),"Segunda","Terça","Quarta","Quinta","Sexta","Sábado","Domingo"))</f>
        <v/>
      </c>
      <c r="AD1886" s="17">
        <f>IF($B1886="","",TEXT($B1886,"MM/AAAA"))</f>
        <v/>
      </c>
      <c r="AE1886" s="18">
        <f>IF(COUNTA($B1886:$R1886)=0,"",IF($X1886="Cancelado",0,ROUND(N($Q1886)+N($S1886)+N($T1886)-N($U1886),2)))</f>
        <v/>
      </c>
      <c r="AF1886" s="9">
        <f>IF($G1886="","",IFERROR(INDEX(LINHAS_DRE_PLANO,MATCH($G1886,SUBCATEGORIAS_PLANO,0)),"Não classificado"))</f>
        <v/>
      </c>
      <c r="AG1886" s="17">
        <f>IF($G1886="","",IFERROR(INDEX(TIPOS_FLUXO_PLANO,MATCH($G1886,SUBCATEGORIAS_PLANO,0)),"Não classificado"))</f>
        <v/>
      </c>
      <c r="AH1886" s="9">
        <f>IF($G1886="","",IFERROR(INDEX(GRUPOS_PLANO,MATCH($G1886,SUBCATEGORIAS_PLANO,0)),"Não classificado"))</f>
        <v/>
      </c>
      <c r="AI1886" s="24">
        <f>IF(OR($C1886="",$X1886="Pago",$X1886="Recebido",$X1886="Cancelado"),"",$C1886-TODAY())</f>
        <v/>
      </c>
      <c r="AJ1886" s="24">
        <f>IF(OR($C1886="",$X1886="Pago",$X1886="Recebido",$X1886="Cancelado"),0,MAX(0,TODAY()-$C1886))</f>
        <v/>
      </c>
      <c r="AK1886" s="24">
        <f>IF($D1886="","",$D1886-$B1886)</f>
        <v/>
      </c>
      <c r="AL1886" s="18">
        <f>IF(OR($D1886="",$B1886=""),"",ROUND(N($R1886)*($D1886-$B1886),2))</f>
        <v/>
      </c>
      <c r="AM1886" s="17">
        <f>IF(AND($E1886="Saída",$W1886&gt;0,$C1886&lt;&gt;""),$C1886+ROW()/1000000,"")</f>
        <v/>
      </c>
      <c r="AN1886" s="17">
        <f>IF(AND($E1886="Entrada",$W1886&gt;0,$C1886&lt;&gt;""),$C1886+ROW()/1000000,"")</f>
        <v/>
      </c>
      <c r="AO1886" s="9">
        <f>IF(COUNTA($B1886:$R1886)=0,"",IF(AND($I1886&lt;&gt;"",COUNTIF(CLIENTES_NOMES,$I1886)+COUNTIF(CLIENTES_FANTASIA,$I1886)+COUNTIF(FORNECEDORES_NOMES,$I1886)+COUNTIF(FORNECEDORES_FANTASIA,$I1886)=0),"⚠ Cliente/Fornecedor não cadastrado",IF(AND($G1886&lt;&gt;"",COUNTIF(SUBCATEGORIAS_PLANO,$G1886)=0),"⚠ Subcategoria fora do plano de contas",IF(OR($Q1886="",N($Q1886)=0),"⚠ Valor previsto não informado",IF(AND(OR($X1886="Pago",$X1886="Recebido"),$D1886=""),"⚠ Status pago/recebido sem data",IF(AND($D1886&lt;&gt;"",N($R1886)=0),"⚠ Data de pagamento sem valor realizado",IF(AND(N($P1886)&gt;1,N($O1886)&gt;N($P1886)),"⚠ Nº da parcela maior que o total",IF(AND($C1886&lt;&gt;"",$B1886&lt;&gt;"",$C1886&lt;$B1886),"⚠ Vencimento anterior à competência","OK"))))))))</f>
        <v/>
      </c>
    </row>
    <row r="1887">
      <c r="A1887" s="14" t="n"/>
      <c r="B1887" s="36" t="n"/>
      <c r="C1887" s="36" t="n"/>
      <c r="D1887" s="36" t="n"/>
      <c r="E1887" s="14" t="n"/>
      <c r="F1887" s="29" t="n"/>
      <c r="G1887" s="29" t="n"/>
      <c r="H1887" s="29" t="n"/>
      <c r="I1887" s="29" t="n"/>
      <c r="J1887" s="29" t="n"/>
      <c r="K1887" s="14" t="n"/>
      <c r="L1887" s="29" t="n"/>
      <c r="M1887" s="14" t="n"/>
      <c r="N1887" s="29" t="n"/>
      <c r="O1887" s="13" t="n"/>
      <c r="P1887" s="13" t="n"/>
      <c r="Q1887" s="35" t="n"/>
      <c r="R1887" s="35" t="n"/>
      <c r="S1887" s="35" t="n"/>
      <c r="T1887" s="35" t="n"/>
      <c r="U1887" s="35" t="n"/>
      <c r="V1887" s="18">
        <f>IF(COUNTA($B1887:$R1887)=0,"",ROUND(N($R1887)+N($S1887)+N($T1887)-N($U1887),2))</f>
        <v/>
      </c>
      <c r="W1887" s="18">
        <f>IF(COUNTA($B1887:$R1887)=0,"",IF(OR($X1887="Pago",$X1887="Recebido",$X1887="Cancelado"),0,ROUND(N($Q1887)+N($S1887)+N($T1887)-N($U1887)-N($R1887),2)))</f>
        <v/>
      </c>
      <c r="X1887" s="14" t="n"/>
      <c r="Y1887" s="17">
        <f>IF(COUNTA($B1887:$R1887)=0,"",IF($X1887="Cancelado","Cancelado",IF(OR($X1887="Pago",$X1887="Recebido"),$X1887,IF(OR($X1887="Parcial",N($R1887)&gt;0),"Parcial",IF($C1887="","Sem vencimento",IF($C1887&lt;TODAY(),"Vencido",IF($C1887=TODAY(),"Vence hoje",IF($C1887&lt;=TODAY()+7,"Vence em 7 dias",IF($C1887&lt;=TODAY()+30,"Vence em 30 dias","Futuro")))))))))</f>
        <v/>
      </c>
      <c r="Z1887" s="24">
        <f>IF($B1887="","",MONTH($B1887))</f>
        <v/>
      </c>
      <c r="AA1887" s="24">
        <f>IF($B1887="","",YEAR($B1887))</f>
        <v/>
      </c>
      <c r="AB1887" s="24">
        <f>IF($B1887="","",ISOWEEKNUM($B1887))</f>
        <v/>
      </c>
      <c r="AC1887" s="17">
        <f>IF($B1887="","",CHOOSE(WEEKDAY($B1887,2),"Segunda","Terça","Quarta","Quinta","Sexta","Sábado","Domingo"))</f>
        <v/>
      </c>
      <c r="AD1887" s="17">
        <f>IF($B1887="","",TEXT($B1887,"MM/AAAA"))</f>
        <v/>
      </c>
      <c r="AE1887" s="18">
        <f>IF(COUNTA($B1887:$R1887)=0,"",IF($X1887="Cancelado",0,ROUND(N($Q1887)+N($S1887)+N($T1887)-N($U1887),2)))</f>
        <v/>
      </c>
      <c r="AF1887" s="9">
        <f>IF($G1887="","",IFERROR(INDEX(LINHAS_DRE_PLANO,MATCH($G1887,SUBCATEGORIAS_PLANO,0)),"Não classificado"))</f>
        <v/>
      </c>
      <c r="AG1887" s="17">
        <f>IF($G1887="","",IFERROR(INDEX(TIPOS_FLUXO_PLANO,MATCH($G1887,SUBCATEGORIAS_PLANO,0)),"Não classificado"))</f>
        <v/>
      </c>
      <c r="AH1887" s="9">
        <f>IF($G1887="","",IFERROR(INDEX(GRUPOS_PLANO,MATCH($G1887,SUBCATEGORIAS_PLANO,0)),"Não classificado"))</f>
        <v/>
      </c>
      <c r="AI1887" s="24">
        <f>IF(OR($C1887="",$X1887="Pago",$X1887="Recebido",$X1887="Cancelado"),"",$C1887-TODAY())</f>
        <v/>
      </c>
      <c r="AJ1887" s="24">
        <f>IF(OR($C1887="",$X1887="Pago",$X1887="Recebido",$X1887="Cancelado"),0,MAX(0,TODAY()-$C1887))</f>
        <v/>
      </c>
      <c r="AK1887" s="24">
        <f>IF($D1887="","",$D1887-$B1887)</f>
        <v/>
      </c>
      <c r="AL1887" s="18">
        <f>IF(OR($D1887="",$B1887=""),"",ROUND(N($R1887)*($D1887-$B1887),2))</f>
        <v/>
      </c>
      <c r="AM1887" s="17">
        <f>IF(AND($E1887="Saída",$W1887&gt;0,$C1887&lt;&gt;""),$C1887+ROW()/1000000,"")</f>
        <v/>
      </c>
      <c r="AN1887" s="17">
        <f>IF(AND($E1887="Entrada",$W1887&gt;0,$C1887&lt;&gt;""),$C1887+ROW()/1000000,"")</f>
        <v/>
      </c>
      <c r="AO1887" s="9">
        <f>IF(COUNTA($B1887:$R1887)=0,"",IF(AND($I1887&lt;&gt;"",COUNTIF(CLIENTES_NOMES,$I1887)+COUNTIF(CLIENTES_FANTASIA,$I1887)+COUNTIF(FORNECEDORES_NOMES,$I1887)+COUNTIF(FORNECEDORES_FANTASIA,$I1887)=0),"⚠ Cliente/Fornecedor não cadastrado",IF(AND($G1887&lt;&gt;"",COUNTIF(SUBCATEGORIAS_PLANO,$G1887)=0),"⚠ Subcategoria fora do plano de contas",IF(OR($Q1887="",N($Q1887)=0),"⚠ Valor previsto não informado",IF(AND(OR($X1887="Pago",$X1887="Recebido"),$D1887=""),"⚠ Status pago/recebido sem data",IF(AND($D1887&lt;&gt;"",N($R1887)=0),"⚠ Data de pagamento sem valor realizado",IF(AND(N($P1887)&gt;1,N($O1887)&gt;N($P1887)),"⚠ Nº da parcela maior que o total",IF(AND($C1887&lt;&gt;"",$B1887&lt;&gt;"",$C1887&lt;$B1887),"⚠ Vencimento anterior à competência","OK"))))))))</f>
        <v/>
      </c>
    </row>
    <row r="1888">
      <c r="A1888" s="14" t="n"/>
      <c r="B1888" s="36" t="n"/>
      <c r="C1888" s="36" t="n"/>
      <c r="D1888" s="36" t="n"/>
      <c r="E1888" s="14" t="n"/>
      <c r="F1888" s="29" t="n"/>
      <c r="G1888" s="29" t="n"/>
      <c r="H1888" s="29" t="n"/>
      <c r="I1888" s="29" t="n"/>
      <c r="J1888" s="29" t="n"/>
      <c r="K1888" s="14" t="n"/>
      <c r="L1888" s="29" t="n"/>
      <c r="M1888" s="14" t="n"/>
      <c r="N1888" s="29" t="n"/>
      <c r="O1888" s="13" t="n"/>
      <c r="P1888" s="13" t="n"/>
      <c r="Q1888" s="35" t="n"/>
      <c r="R1888" s="35" t="n"/>
      <c r="S1888" s="35" t="n"/>
      <c r="T1888" s="35" t="n"/>
      <c r="U1888" s="35" t="n"/>
      <c r="V1888" s="18">
        <f>IF(COUNTA($B1888:$R1888)=0,"",ROUND(N($R1888)+N($S1888)+N($T1888)-N($U1888),2))</f>
        <v/>
      </c>
      <c r="W1888" s="18">
        <f>IF(COUNTA($B1888:$R1888)=0,"",IF(OR($X1888="Pago",$X1888="Recebido",$X1888="Cancelado"),0,ROUND(N($Q1888)+N($S1888)+N($T1888)-N($U1888)-N($R1888),2)))</f>
        <v/>
      </c>
      <c r="X1888" s="14" t="n"/>
      <c r="Y1888" s="17">
        <f>IF(COUNTA($B1888:$R1888)=0,"",IF($X1888="Cancelado","Cancelado",IF(OR($X1888="Pago",$X1888="Recebido"),$X1888,IF(OR($X1888="Parcial",N($R1888)&gt;0),"Parcial",IF($C1888="","Sem vencimento",IF($C1888&lt;TODAY(),"Vencido",IF($C1888=TODAY(),"Vence hoje",IF($C1888&lt;=TODAY()+7,"Vence em 7 dias",IF($C1888&lt;=TODAY()+30,"Vence em 30 dias","Futuro")))))))))</f>
        <v/>
      </c>
      <c r="Z1888" s="24">
        <f>IF($B1888="","",MONTH($B1888))</f>
        <v/>
      </c>
      <c r="AA1888" s="24">
        <f>IF($B1888="","",YEAR($B1888))</f>
        <v/>
      </c>
      <c r="AB1888" s="24">
        <f>IF($B1888="","",ISOWEEKNUM($B1888))</f>
        <v/>
      </c>
      <c r="AC1888" s="17">
        <f>IF($B1888="","",CHOOSE(WEEKDAY($B1888,2),"Segunda","Terça","Quarta","Quinta","Sexta","Sábado","Domingo"))</f>
        <v/>
      </c>
      <c r="AD1888" s="17">
        <f>IF($B1888="","",TEXT($B1888,"MM/AAAA"))</f>
        <v/>
      </c>
      <c r="AE1888" s="18">
        <f>IF(COUNTA($B1888:$R1888)=0,"",IF($X1888="Cancelado",0,ROUND(N($Q1888)+N($S1888)+N($T1888)-N($U1888),2)))</f>
        <v/>
      </c>
      <c r="AF1888" s="9">
        <f>IF($G1888="","",IFERROR(INDEX(LINHAS_DRE_PLANO,MATCH($G1888,SUBCATEGORIAS_PLANO,0)),"Não classificado"))</f>
        <v/>
      </c>
      <c r="AG1888" s="17">
        <f>IF($G1888="","",IFERROR(INDEX(TIPOS_FLUXO_PLANO,MATCH($G1888,SUBCATEGORIAS_PLANO,0)),"Não classificado"))</f>
        <v/>
      </c>
      <c r="AH1888" s="9">
        <f>IF($G1888="","",IFERROR(INDEX(GRUPOS_PLANO,MATCH($G1888,SUBCATEGORIAS_PLANO,0)),"Não classificado"))</f>
        <v/>
      </c>
      <c r="AI1888" s="24">
        <f>IF(OR($C1888="",$X1888="Pago",$X1888="Recebido",$X1888="Cancelado"),"",$C1888-TODAY())</f>
        <v/>
      </c>
      <c r="AJ1888" s="24">
        <f>IF(OR($C1888="",$X1888="Pago",$X1888="Recebido",$X1888="Cancelado"),0,MAX(0,TODAY()-$C1888))</f>
        <v/>
      </c>
      <c r="AK1888" s="24">
        <f>IF($D1888="","",$D1888-$B1888)</f>
        <v/>
      </c>
      <c r="AL1888" s="18">
        <f>IF(OR($D1888="",$B1888=""),"",ROUND(N($R1888)*($D1888-$B1888),2))</f>
        <v/>
      </c>
      <c r="AM1888" s="17">
        <f>IF(AND($E1888="Saída",$W1888&gt;0,$C1888&lt;&gt;""),$C1888+ROW()/1000000,"")</f>
        <v/>
      </c>
      <c r="AN1888" s="17">
        <f>IF(AND($E1888="Entrada",$W1888&gt;0,$C1888&lt;&gt;""),$C1888+ROW()/1000000,"")</f>
        <v/>
      </c>
      <c r="AO1888" s="9">
        <f>IF(COUNTA($B1888:$R1888)=0,"",IF(AND($I1888&lt;&gt;"",COUNTIF(CLIENTES_NOMES,$I1888)+COUNTIF(CLIENTES_FANTASIA,$I1888)+COUNTIF(FORNECEDORES_NOMES,$I1888)+COUNTIF(FORNECEDORES_FANTASIA,$I1888)=0),"⚠ Cliente/Fornecedor não cadastrado",IF(AND($G1888&lt;&gt;"",COUNTIF(SUBCATEGORIAS_PLANO,$G1888)=0),"⚠ Subcategoria fora do plano de contas",IF(OR($Q1888="",N($Q1888)=0),"⚠ Valor previsto não informado",IF(AND(OR($X1888="Pago",$X1888="Recebido"),$D1888=""),"⚠ Status pago/recebido sem data",IF(AND($D1888&lt;&gt;"",N($R1888)=0),"⚠ Data de pagamento sem valor realizado",IF(AND(N($P1888)&gt;1,N($O1888)&gt;N($P1888)),"⚠ Nº da parcela maior que o total",IF(AND($C1888&lt;&gt;"",$B1888&lt;&gt;"",$C1888&lt;$B1888),"⚠ Vencimento anterior à competência","OK"))))))))</f>
        <v/>
      </c>
    </row>
    <row r="1889">
      <c r="A1889" s="14" t="n"/>
      <c r="B1889" s="36" t="n"/>
      <c r="C1889" s="36" t="n"/>
      <c r="D1889" s="36" t="n"/>
      <c r="E1889" s="14" t="n"/>
      <c r="F1889" s="29" t="n"/>
      <c r="G1889" s="29" t="n"/>
      <c r="H1889" s="29" t="n"/>
      <c r="I1889" s="29" t="n"/>
      <c r="J1889" s="29" t="n"/>
      <c r="K1889" s="14" t="n"/>
      <c r="L1889" s="29" t="n"/>
      <c r="M1889" s="14" t="n"/>
      <c r="N1889" s="29" t="n"/>
      <c r="O1889" s="13" t="n"/>
      <c r="P1889" s="13" t="n"/>
      <c r="Q1889" s="35" t="n"/>
      <c r="R1889" s="35" t="n"/>
      <c r="S1889" s="35" t="n"/>
      <c r="T1889" s="35" t="n"/>
      <c r="U1889" s="35" t="n"/>
      <c r="V1889" s="18">
        <f>IF(COUNTA($B1889:$R1889)=0,"",ROUND(N($R1889)+N($S1889)+N($T1889)-N($U1889),2))</f>
        <v/>
      </c>
      <c r="W1889" s="18">
        <f>IF(COUNTA($B1889:$R1889)=0,"",IF(OR($X1889="Pago",$X1889="Recebido",$X1889="Cancelado"),0,ROUND(N($Q1889)+N($S1889)+N($T1889)-N($U1889)-N($R1889),2)))</f>
        <v/>
      </c>
      <c r="X1889" s="14" t="n"/>
      <c r="Y1889" s="17">
        <f>IF(COUNTA($B1889:$R1889)=0,"",IF($X1889="Cancelado","Cancelado",IF(OR($X1889="Pago",$X1889="Recebido"),$X1889,IF(OR($X1889="Parcial",N($R1889)&gt;0),"Parcial",IF($C1889="","Sem vencimento",IF($C1889&lt;TODAY(),"Vencido",IF($C1889=TODAY(),"Vence hoje",IF($C1889&lt;=TODAY()+7,"Vence em 7 dias",IF($C1889&lt;=TODAY()+30,"Vence em 30 dias","Futuro")))))))))</f>
        <v/>
      </c>
      <c r="Z1889" s="24">
        <f>IF($B1889="","",MONTH($B1889))</f>
        <v/>
      </c>
      <c r="AA1889" s="24">
        <f>IF($B1889="","",YEAR($B1889))</f>
        <v/>
      </c>
      <c r="AB1889" s="24">
        <f>IF($B1889="","",ISOWEEKNUM($B1889))</f>
        <v/>
      </c>
      <c r="AC1889" s="17">
        <f>IF($B1889="","",CHOOSE(WEEKDAY($B1889,2),"Segunda","Terça","Quarta","Quinta","Sexta","Sábado","Domingo"))</f>
        <v/>
      </c>
      <c r="AD1889" s="17">
        <f>IF($B1889="","",TEXT($B1889,"MM/AAAA"))</f>
        <v/>
      </c>
      <c r="AE1889" s="18">
        <f>IF(COUNTA($B1889:$R1889)=0,"",IF($X1889="Cancelado",0,ROUND(N($Q1889)+N($S1889)+N($T1889)-N($U1889),2)))</f>
        <v/>
      </c>
      <c r="AF1889" s="9">
        <f>IF($G1889="","",IFERROR(INDEX(LINHAS_DRE_PLANO,MATCH($G1889,SUBCATEGORIAS_PLANO,0)),"Não classificado"))</f>
        <v/>
      </c>
      <c r="AG1889" s="17">
        <f>IF($G1889="","",IFERROR(INDEX(TIPOS_FLUXO_PLANO,MATCH($G1889,SUBCATEGORIAS_PLANO,0)),"Não classificado"))</f>
        <v/>
      </c>
      <c r="AH1889" s="9">
        <f>IF($G1889="","",IFERROR(INDEX(GRUPOS_PLANO,MATCH($G1889,SUBCATEGORIAS_PLANO,0)),"Não classificado"))</f>
        <v/>
      </c>
      <c r="AI1889" s="24">
        <f>IF(OR($C1889="",$X1889="Pago",$X1889="Recebido",$X1889="Cancelado"),"",$C1889-TODAY())</f>
        <v/>
      </c>
      <c r="AJ1889" s="24">
        <f>IF(OR($C1889="",$X1889="Pago",$X1889="Recebido",$X1889="Cancelado"),0,MAX(0,TODAY()-$C1889))</f>
        <v/>
      </c>
      <c r="AK1889" s="24">
        <f>IF($D1889="","",$D1889-$B1889)</f>
        <v/>
      </c>
      <c r="AL1889" s="18">
        <f>IF(OR($D1889="",$B1889=""),"",ROUND(N($R1889)*($D1889-$B1889),2))</f>
        <v/>
      </c>
      <c r="AM1889" s="17">
        <f>IF(AND($E1889="Saída",$W1889&gt;0,$C1889&lt;&gt;""),$C1889+ROW()/1000000,"")</f>
        <v/>
      </c>
      <c r="AN1889" s="17">
        <f>IF(AND($E1889="Entrada",$W1889&gt;0,$C1889&lt;&gt;""),$C1889+ROW()/1000000,"")</f>
        <v/>
      </c>
      <c r="AO1889" s="9">
        <f>IF(COUNTA($B1889:$R1889)=0,"",IF(AND($I1889&lt;&gt;"",COUNTIF(CLIENTES_NOMES,$I1889)+COUNTIF(CLIENTES_FANTASIA,$I1889)+COUNTIF(FORNECEDORES_NOMES,$I1889)+COUNTIF(FORNECEDORES_FANTASIA,$I1889)=0),"⚠ Cliente/Fornecedor não cadastrado",IF(AND($G1889&lt;&gt;"",COUNTIF(SUBCATEGORIAS_PLANO,$G1889)=0),"⚠ Subcategoria fora do plano de contas",IF(OR($Q1889="",N($Q1889)=0),"⚠ Valor previsto não informado",IF(AND(OR($X1889="Pago",$X1889="Recebido"),$D1889=""),"⚠ Status pago/recebido sem data",IF(AND($D1889&lt;&gt;"",N($R1889)=0),"⚠ Data de pagamento sem valor realizado",IF(AND(N($P1889)&gt;1,N($O1889)&gt;N($P1889)),"⚠ Nº da parcela maior que o total",IF(AND($C1889&lt;&gt;"",$B1889&lt;&gt;"",$C1889&lt;$B1889),"⚠ Vencimento anterior à competência","OK"))))))))</f>
        <v/>
      </c>
    </row>
    <row r="1890">
      <c r="A1890" s="14" t="n"/>
      <c r="B1890" s="36" t="n"/>
      <c r="C1890" s="36" t="n"/>
      <c r="D1890" s="36" t="n"/>
      <c r="E1890" s="14" t="n"/>
      <c r="F1890" s="29" t="n"/>
      <c r="G1890" s="29" t="n"/>
      <c r="H1890" s="29" t="n"/>
      <c r="I1890" s="29" t="n"/>
      <c r="J1890" s="29" t="n"/>
      <c r="K1890" s="14" t="n"/>
      <c r="L1890" s="29" t="n"/>
      <c r="M1890" s="14" t="n"/>
      <c r="N1890" s="29" t="n"/>
      <c r="O1890" s="13" t="n"/>
      <c r="P1890" s="13" t="n"/>
      <c r="Q1890" s="35" t="n"/>
      <c r="R1890" s="35" t="n"/>
      <c r="S1890" s="35" t="n"/>
      <c r="T1890" s="35" t="n"/>
      <c r="U1890" s="35" t="n"/>
      <c r="V1890" s="18">
        <f>IF(COUNTA($B1890:$R1890)=0,"",ROUND(N($R1890)+N($S1890)+N($T1890)-N($U1890),2))</f>
        <v/>
      </c>
      <c r="W1890" s="18">
        <f>IF(COUNTA($B1890:$R1890)=0,"",IF(OR($X1890="Pago",$X1890="Recebido",$X1890="Cancelado"),0,ROUND(N($Q1890)+N($S1890)+N($T1890)-N($U1890)-N($R1890),2)))</f>
        <v/>
      </c>
      <c r="X1890" s="14" t="n"/>
      <c r="Y1890" s="17">
        <f>IF(COUNTA($B1890:$R1890)=0,"",IF($X1890="Cancelado","Cancelado",IF(OR($X1890="Pago",$X1890="Recebido"),$X1890,IF(OR($X1890="Parcial",N($R1890)&gt;0),"Parcial",IF($C1890="","Sem vencimento",IF($C1890&lt;TODAY(),"Vencido",IF($C1890=TODAY(),"Vence hoje",IF($C1890&lt;=TODAY()+7,"Vence em 7 dias",IF($C1890&lt;=TODAY()+30,"Vence em 30 dias","Futuro")))))))))</f>
        <v/>
      </c>
      <c r="Z1890" s="24">
        <f>IF($B1890="","",MONTH($B1890))</f>
        <v/>
      </c>
      <c r="AA1890" s="24">
        <f>IF($B1890="","",YEAR($B1890))</f>
        <v/>
      </c>
      <c r="AB1890" s="24">
        <f>IF($B1890="","",ISOWEEKNUM($B1890))</f>
        <v/>
      </c>
      <c r="AC1890" s="17">
        <f>IF($B1890="","",CHOOSE(WEEKDAY($B1890,2),"Segunda","Terça","Quarta","Quinta","Sexta","Sábado","Domingo"))</f>
        <v/>
      </c>
      <c r="AD1890" s="17">
        <f>IF($B1890="","",TEXT($B1890,"MM/AAAA"))</f>
        <v/>
      </c>
      <c r="AE1890" s="18">
        <f>IF(COUNTA($B1890:$R1890)=0,"",IF($X1890="Cancelado",0,ROUND(N($Q1890)+N($S1890)+N($T1890)-N($U1890),2)))</f>
        <v/>
      </c>
      <c r="AF1890" s="9">
        <f>IF($G1890="","",IFERROR(INDEX(LINHAS_DRE_PLANO,MATCH($G1890,SUBCATEGORIAS_PLANO,0)),"Não classificado"))</f>
        <v/>
      </c>
      <c r="AG1890" s="17">
        <f>IF($G1890="","",IFERROR(INDEX(TIPOS_FLUXO_PLANO,MATCH($G1890,SUBCATEGORIAS_PLANO,0)),"Não classificado"))</f>
        <v/>
      </c>
      <c r="AH1890" s="9">
        <f>IF($G1890="","",IFERROR(INDEX(GRUPOS_PLANO,MATCH($G1890,SUBCATEGORIAS_PLANO,0)),"Não classificado"))</f>
        <v/>
      </c>
      <c r="AI1890" s="24">
        <f>IF(OR($C1890="",$X1890="Pago",$X1890="Recebido",$X1890="Cancelado"),"",$C1890-TODAY())</f>
        <v/>
      </c>
      <c r="AJ1890" s="24">
        <f>IF(OR($C1890="",$X1890="Pago",$X1890="Recebido",$X1890="Cancelado"),0,MAX(0,TODAY()-$C1890))</f>
        <v/>
      </c>
      <c r="AK1890" s="24">
        <f>IF($D1890="","",$D1890-$B1890)</f>
        <v/>
      </c>
      <c r="AL1890" s="18">
        <f>IF(OR($D1890="",$B1890=""),"",ROUND(N($R1890)*($D1890-$B1890),2))</f>
        <v/>
      </c>
      <c r="AM1890" s="17">
        <f>IF(AND($E1890="Saída",$W1890&gt;0,$C1890&lt;&gt;""),$C1890+ROW()/1000000,"")</f>
        <v/>
      </c>
      <c r="AN1890" s="17">
        <f>IF(AND($E1890="Entrada",$W1890&gt;0,$C1890&lt;&gt;""),$C1890+ROW()/1000000,"")</f>
        <v/>
      </c>
      <c r="AO1890" s="9">
        <f>IF(COUNTA($B1890:$R1890)=0,"",IF(AND($I1890&lt;&gt;"",COUNTIF(CLIENTES_NOMES,$I1890)+COUNTIF(CLIENTES_FANTASIA,$I1890)+COUNTIF(FORNECEDORES_NOMES,$I1890)+COUNTIF(FORNECEDORES_FANTASIA,$I1890)=0),"⚠ Cliente/Fornecedor não cadastrado",IF(AND($G1890&lt;&gt;"",COUNTIF(SUBCATEGORIAS_PLANO,$G1890)=0),"⚠ Subcategoria fora do plano de contas",IF(OR($Q1890="",N($Q1890)=0),"⚠ Valor previsto não informado",IF(AND(OR($X1890="Pago",$X1890="Recebido"),$D1890=""),"⚠ Status pago/recebido sem data",IF(AND($D1890&lt;&gt;"",N($R1890)=0),"⚠ Data de pagamento sem valor realizado",IF(AND(N($P1890)&gt;1,N($O1890)&gt;N($P1890)),"⚠ Nº da parcela maior que o total",IF(AND($C1890&lt;&gt;"",$B1890&lt;&gt;"",$C1890&lt;$B1890),"⚠ Vencimento anterior à competência","OK"))))))))</f>
        <v/>
      </c>
    </row>
    <row r="1891">
      <c r="A1891" s="14" t="n"/>
      <c r="B1891" s="36" t="n"/>
      <c r="C1891" s="36" t="n"/>
      <c r="D1891" s="36" t="n"/>
      <c r="E1891" s="14" t="n"/>
      <c r="F1891" s="29" t="n"/>
      <c r="G1891" s="29" t="n"/>
      <c r="H1891" s="29" t="n"/>
      <c r="I1891" s="29" t="n"/>
      <c r="J1891" s="29" t="n"/>
      <c r="K1891" s="14" t="n"/>
      <c r="L1891" s="29" t="n"/>
      <c r="M1891" s="14" t="n"/>
      <c r="N1891" s="29" t="n"/>
      <c r="O1891" s="13" t="n"/>
      <c r="P1891" s="13" t="n"/>
      <c r="Q1891" s="35" t="n"/>
      <c r="R1891" s="35" t="n"/>
      <c r="S1891" s="35" t="n"/>
      <c r="T1891" s="35" t="n"/>
      <c r="U1891" s="35" t="n"/>
      <c r="V1891" s="18">
        <f>IF(COUNTA($B1891:$R1891)=0,"",ROUND(N($R1891)+N($S1891)+N($T1891)-N($U1891),2))</f>
        <v/>
      </c>
      <c r="W1891" s="18">
        <f>IF(COUNTA($B1891:$R1891)=0,"",IF(OR($X1891="Pago",$X1891="Recebido",$X1891="Cancelado"),0,ROUND(N($Q1891)+N($S1891)+N($T1891)-N($U1891)-N($R1891),2)))</f>
        <v/>
      </c>
      <c r="X1891" s="14" t="n"/>
      <c r="Y1891" s="17">
        <f>IF(COUNTA($B1891:$R1891)=0,"",IF($X1891="Cancelado","Cancelado",IF(OR($X1891="Pago",$X1891="Recebido"),$X1891,IF(OR($X1891="Parcial",N($R1891)&gt;0),"Parcial",IF($C1891="","Sem vencimento",IF($C1891&lt;TODAY(),"Vencido",IF($C1891=TODAY(),"Vence hoje",IF($C1891&lt;=TODAY()+7,"Vence em 7 dias",IF($C1891&lt;=TODAY()+30,"Vence em 30 dias","Futuro")))))))))</f>
        <v/>
      </c>
      <c r="Z1891" s="24">
        <f>IF($B1891="","",MONTH($B1891))</f>
        <v/>
      </c>
      <c r="AA1891" s="24">
        <f>IF($B1891="","",YEAR($B1891))</f>
        <v/>
      </c>
      <c r="AB1891" s="24">
        <f>IF($B1891="","",ISOWEEKNUM($B1891))</f>
        <v/>
      </c>
      <c r="AC1891" s="17">
        <f>IF($B1891="","",CHOOSE(WEEKDAY($B1891,2),"Segunda","Terça","Quarta","Quinta","Sexta","Sábado","Domingo"))</f>
        <v/>
      </c>
      <c r="AD1891" s="17">
        <f>IF($B1891="","",TEXT($B1891,"MM/AAAA"))</f>
        <v/>
      </c>
      <c r="AE1891" s="18">
        <f>IF(COUNTA($B1891:$R1891)=0,"",IF($X1891="Cancelado",0,ROUND(N($Q1891)+N($S1891)+N($T1891)-N($U1891),2)))</f>
        <v/>
      </c>
      <c r="AF1891" s="9">
        <f>IF($G1891="","",IFERROR(INDEX(LINHAS_DRE_PLANO,MATCH($G1891,SUBCATEGORIAS_PLANO,0)),"Não classificado"))</f>
        <v/>
      </c>
      <c r="AG1891" s="17">
        <f>IF($G1891="","",IFERROR(INDEX(TIPOS_FLUXO_PLANO,MATCH($G1891,SUBCATEGORIAS_PLANO,0)),"Não classificado"))</f>
        <v/>
      </c>
      <c r="AH1891" s="9">
        <f>IF($G1891="","",IFERROR(INDEX(GRUPOS_PLANO,MATCH($G1891,SUBCATEGORIAS_PLANO,0)),"Não classificado"))</f>
        <v/>
      </c>
      <c r="AI1891" s="24">
        <f>IF(OR($C1891="",$X1891="Pago",$X1891="Recebido",$X1891="Cancelado"),"",$C1891-TODAY())</f>
        <v/>
      </c>
      <c r="AJ1891" s="24">
        <f>IF(OR($C1891="",$X1891="Pago",$X1891="Recebido",$X1891="Cancelado"),0,MAX(0,TODAY()-$C1891))</f>
        <v/>
      </c>
      <c r="AK1891" s="24">
        <f>IF($D1891="","",$D1891-$B1891)</f>
        <v/>
      </c>
      <c r="AL1891" s="18">
        <f>IF(OR($D1891="",$B1891=""),"",ROUND(N($R1891)*($D1891-$B1891),2))</f>
        <v/>
      </c>
      <c r="AM1891" s="17">
        <f>IF(AND($E1891="Saída",$W1891&gt;0,$C1891&lt;&gt;""),$C1891+ROW()/1000000,"")</f>
        <v/>
      </c>
      <c r="AN1891" s="17">
        <f>IF(AND($E1891="Entrada",$W1891&gt;0,$C1891&lt;&gt;""),$C1891+ROW()/1000000,"")</f>
        <v/>
      </c>
      <c r="AO1891" s="9">
        <f>IF(COUNTA($B1891:$R1891)=0,"",IF(AND($I1891&lt;&gt;"",COUNTIF(CLIENTES_NOMES,$I1891)+COUNTIF(CLIENTES_FANTASIA,$I1891)+COUNTIF(FORNECEDORES_NOMES,$I1891)+COUNTIF(FORNECEDORES_FANTASIA,$I1891)=0),"⚠ Cliente/Fornecedor não cadastrado",IF(AND($G1891&lt;&gt;"",COUNTIF(SUBCATEGORIAS_PLANO,$G1891)=0),"⚠ Subcategoria fora do plano de contas",IF(OR($Q1891="",N($Q1891)=0),"⚠ Valor previsto não informado",IF(AND(OR($X1891="Pago",$X1891="Recebido"),$D1891=""),"⚠ Status pago/recebido sem data",IF(AND($D1891&lt;&gt;"",N($R1891)=0),"⚠ Data de pagamento sem valor realizado",IF(AND(N($P1891)&gt;1,N($O1891)&gt;N($P1891)),"⚠ Nº da parcela maior que o total",IF(AND($C1891&lt;&gt;"",$B1891&lt;&gt;"",$C1891&lt;$B1891),"⚠ Vencimento anterior à competência","OK"))))))))</f>
        <v/>
      </c>
    </row>
    <row r="1892">
      <c r="A1892" s="14" t="n"/>
      <c r="B1892" s="36" t="n"/>
      <c r="C1892" s="36" t="n"/>
      <c r="D1892" s="36" t="n"/>
      <c r="E1892" s="14" t="n"/>
      <c r="F1892" s="29" t="n"/>
      <c r="G1892" s="29" t="n"/>
      <c r="H1892" s="29" t="n"/>
      <c r="I1892" s="29" t="n"/>
      <c r="J1892" s="29" t="n"/>
      <c r="K1892" s="14" t="n"/>
      <c r="L1892" s="29" t="n"/>
      <c r="M1892" s="14" t="n"/>
      <c r="N1892" s="29" t="n"/>
      <c r="O1892" s="13" t="n"/>
      <c r="P1892" s="13" t="n"/>
      <c r="Q1892" s="35" t="n"/>
      <c r="R1892" s="35" t="n"/>
      <c r="S1892" s="35" t="n"/>
      <c r="T1892" s="35" t="n"/>
      <c r="U1892" s="35" t="n"/>
      <c r="V1892" s="18">
        <f>IF(COUNTA($B1892:$R1892)=0,"",ROUND(N($R1892)+N($S1892)+N($T1892)-N($U1892),2))</f>
        <v/>
      </c>
      <c r="W1892" s="18">
        <f>IF(COUNTA($B1892:$R1892)=0,"",IF(OR($X1892="Pago",$X1892="Recebido",$X1892="Cancelado"),0,ROUND(N($Q1892)+N($S1892)+N($T1892)-N($U1892)-N($R1892),2)))</f>
        <v/>
      </c>
      <c r="X1892" s="14" t="n"/>
      <c r="Y1892" s="17">
        <f>IF(COUNTA($B1892:$R1892)=0,"",IF($X1892="Cancelado","Cancelado",IF(OR($X1892="Pago",$X1892="Recebido"),$X1892,IF(OR($X1892="Parcial",N($R1892)&gt;0),"Parcial",IF($C1892="","Sem vencimento",IF($C1892&lt;TODAY(),"Vencido",IF($C1892=TODAY(),"Vence hoje",IF($C1892&lt;=TODAY()+7,"Vence em 7 dias",IF($C1892&lt;=TODAY()+30,"Vence em 30 dias","Futuro")))))))))</f>
        <v/>
      </c>
      <c r="Z1892" s="24">
        <f>IF($B1892="","",MONTH($B1892))</f>
        <v/>
      </c>
      <c r="AA1892" s="24">
        <f>IF($B1892="","",YEAR($B1892))</f>
        <v/>
      </c>
      <c r="AB1892" s="24">
        <f>IF($B1892="","",ISOWEEKNUM($B1892))</f>
        <v/>
      </c>
      <c r="AC1892" s="17">
        <f>IF($B1892="","",CHOOSE(WEEKDAY($B1892,2),"Segunda","Terça","Quarta","Quinta","Sexta","Sábado","Domingo"))</f>
        <v/>
      </c>
      <c r="AD1892" s="17">
        <f>IF($B1892="","",TEXT($B1892,"MM/AAAA"))</f>
        <v/>
      </c>
      <c r="AE1892" s="18">
        <f>IF(COUNTA($B1892:$R1892)=0,"",IF($X1892="Cancelado",0,ROUND(N($Q1892)+N($S1892)+N($T1892)-N($U1892),2)))</f>
        <v/>
      </c>
      <c r="AF1892" s="9">
        <f>IF($G1892="","",IFERROR(INDEX(LINHAS_DRE_PLANO,MATCH($G1892,SUBCATEGORIAS_PLANO,0)),"Não classificado"))</f>
        <v/>
      </c>
      <c r="AG1892" s="17">
        <f>IF($G1892="","",IFERROR(INDEX(TIPOS_FLUXO_PLANO,MATCH($G1892,SUBCATEGORIAS_PLANO,0)),"Não classificado"))</f>
        <v/>
      </c>
      <c r="AH1892" s="9">
        <f>IF($G1892="","",IFERROR(INDEX(GRUPOS_PLANO,MATCH($G1892,SUBCATEGORIAS_PLANO,0)),"Não classificado"))</f>
        <v/>
      </c>
      <c r="AI1892" s="24">
        <f>IF(OR($C1892="",$X1892="Pago",$X1892="Recebido",$X1892="Cancelado"),"",$C1892-TODAY())</f>
        <v/>
      </c>
      <c r="AJ1892" s="24">
        <f>IF(OR($C1892="",$X1892="Pago",$X1892="Recebido",$X1892="Cancelado"),0,MAX(0,TODAY()-$C1892))</f>
        <v/>
      </c>
      <c r="AK1892" s="24">
        <f>IF($D1892="","",$D1892-$B1892)</f>
        <v/>
      </c>
      <c r="AL1892" s="18">
        <f>IF(OR($D1892="",$B1892=""),"",ROUND(N($R1892)*($D1892-$B1892),2))</f>
        <v/>
      </c>
      <c r="AM1892" s="17">
        <f>IF(AND($E1892="Saída",$W1892&gt;0,$C1892&lt;&gt;""),$C1892+ROW()/1000000,"")</f>
        <v/>
      </c>
      <c r="AN1892" s="17">
        <f>IF(AND($E1892="Entrada",$W1892&gt;0,$C1892&lt;&gt;""),$C1892+ROW()/1000000,"")</f>
        <v/>
      </c>
      <c r="AO1892" s="9">
        <f>IF(COUNTA($B1892:$R1892)=0,"",IF(AND($I1892&lt;&gt;"",COUNTIF(CLIENTES_NOMES,$I1892)+COUNTIF(CLIENTES_FANTASIA,$I1892)+COUNTIF(FORNECEDORES_NOMES,$I1892)+COUNTIF(FORNECEDORES_FANTASIA,$I1892)=0),"⚠ Cliente/Fornecedor não cadastrado",IF(AND($G1892&lt;&gt;"",COUNTIF(SUBCATEGORIAS_PLANO,$G1892)=0),"⚠ Subcategoria fora do plano de contas",IF(OR($Q1892="",N($Q1892)=0),"⚠ Valor previsto não informado",IF(AND(OR($X1892="Pago",$X1892="Recebido"),$D1892=""),"⚠ Status pago/recebido sem data",IF(AND($D1892&lt;&gt;"",N($R1892)=0),"⚠ Data de pagamento sem valor realizado",IF(AND(N($P1892)&gt;1,N($O1892)&gt;N($P1892)),"⚠ Nº da parcela maior que o total",IF(AND($C1892&lt;&gt;"",$B1892&lt;&gt;"",$C1892&lt;$B1892),"⚠ Vencimento anterior à competência","OK"))))))))</f>
        <v/>
      </c>
    </row>
    <row r="1893">
      <c r="A1893" s="14" t="n"/>
      <c r="B1893" s="36" t="n"/>
      <c r="C1893" s="36" t="n"/>
      <c r="D1893" s="36" t="n"/>
      <c r="E1893" s="14" t="n"/>
      <c r="F1893" s="29" t="n"/>
      <c r="G1893" s="29" t="n"/>
      <c r="H1893" s="29" t="n"/>
      <c r="I1893" s="29" t="n"/>
      <c r="J1893" s="29" t="n"/>
      <c r="K1893" s="14" t="n"/>
      <c r="L1893" s="29" t="n"/>
      <c r="M1893" s="14" t="n"/>
      <c r="N1893" s="29" t="n"/>
      <c r="O1893" s="13" t="n"/>
      <c r="P1893" s="13" t="n"/>
      <c r="Q1893" s="35" t="n"/>
      <c r="R1893" s="35" t="n"/>
      <c r="S1893" s="35" t="n"/>
      <c r="T1893" s="35" t="n"/>
      <c r="U1893" s="35" t="n"/>
      <c r="V1893" s="18">
        <f>IF(COUNTA($B1893:$R1893)=0,"",ROUND(N($R1893)+N($S1893)+N($T1893)-N($U1893),2))</f>
        <v/>
      </c>
      <c r="W1893" s="18">
        <f>IF(COUNTA($B1893:$R1893)=0,"",IF(OR($X1893="Pago",$X1893="Recebido",$X1893="Cancelado"),0,ROUND(N($Q1893)+N($S1893)+N($T1893)-N($U1893)-N($R1893),2)))</f>
        <v/>
      </c>
      <c r="X1893" s="14" t="n"/>
      <c r="Y1893" s="17">
        <f>IF(COUNTA($B1893:$R1893)=0,"",IF($X1893="Cancelado","Cancelado",IF(OR($X1893="Pago",$X1893="Recebido"),$X1893,IF(OR($X1893="Parcial",N($R1893)&gt;0),"Parcial",IF($C1893="","Sem vencimento",IF($C1893&lt;TODAY(),"Vencido",IF($C1893=TODAY(),"Vence hoje",IF($C1893&lt;=TODAY()+7,"Vence em 7 dias",IF($C1893&lt;=TODAY()+30,"Vence em 30 dias","Futuro")))))))))</f>
        <v/>
      </c>
      <c r="Z1893" s="24">
        <f>IF($B1893="","",MONTH($B1893))</f>
        <v/>
      </c>
      <c r="AA1893" s="24">
        <f>IF($B1893="","",YEAR($B1893))</f>
        <v/>
      </c>
      <c r="AB1893" s="24">
        <f>IF($B1893="","",ISOWEEKNUM($B1893))</f>
        <v/>
      </c>
      <c r="AC1893" s="17">
        <f>IF($B1893="","",CHOOSE(WEEKDAY($B1893,2),"Segunda","Terça","Quarta","Quinta","Sexta","Sábado","Domingo"))</f>
        <v/>
      </c>
      <c r="AD1893" s="17">
        <f>IF($B1893="","",TEXT($B1893,"MM/AAAA"))</f>
        <v/>
      </c>
      <c r="AE1893" s="18">
        <f>IF(COUNTA($B1893:$R1893)=0,"",IF($X1893="Cancelado",0,ROUND(N($Q1893)+N($S1893)+N($T1893)-N($U1893),2)))</f>
        <v/>
      </c>
      <c r="AF1893" s="9">
        <f>IF($G1893="","",IFERROR(INDEX(LINHAS_DRE_PLANO,MATCH($G1893,SUBCATEGORIAS_PLANO,0)),"Não classificado"))</f>
        <v/>
      </c>
      <c r="AG1893" s="17">
        <f>IF($G1893="","",IFERROR(INDEX(TIPOS_FLUXO_PLANO,MATCH($G1893,SUBCATEGORIAS_PLANO,0)),"Não classificado"))</f>
        <v/>
      </c>
      <c r="AH1893" s="9">
        <f>IF($G1893="","",IFERROR(INDEX(GRUPOS_PLANO,MATCH($G1893,SUBCATEGORIAS_PLANO,0)),"Não classificado"))</f>
        <v/>
      </c>
      <c r="AI1893" s="24">
        <f>IF(OR($C1893="",$X1893="Pago",$X1893="Recebido",$X1893="Cancelado"),"",$C1893-TODAY())</f>
        <v/>
      </c>
      <c r="AJ1893" s="24">
        <f>IF(OR($C1893="",$X1893="Pago",$X1893="Recebido",$X1893="Cancelado"),0,MAX(0,TODAY()-$C1893))</f>
        <v/>
      </c>
      <c r="AK1893" s="24">
        <f>IF($D1893="","",$D1893-$B1893)</f>
        <v/>
      </c>
      <c r="AL1893" s="18">
        <f>IF(OR($D1893="",$B1893=""),"",ROUND(N($R1893)*($D1893-$B1893),2))</f>
        <v/>
      </c>
      <c r="AM1893" s="17">
        <f>IF(AND($E1893="Saída",$W1893&gt;0,$C1893&lt;&gt;""),$C1893+ROW()/1000000,"")</f>
        <v/>
      </c>
      <c r="AN1893" s="17">
        <f>IF(AND($E1893="Entrada",$W1893&gt;0,$C1893&lt;&gt;""),$C1893+ROW()/1000000,"")</f>
        <v/>
      </c>
      <c r="AO1893" s="9">
        <f>IF(COUNTA($B1893:$R1893)=0,"",IF(AND($I1893&lt;&gt;"",COUNTIF(CLIENTES_NOMES,$I1893)+COUNTIF(CLIENTES_FANTASIA,$I1893)+COUNTIF(FORNECEDORES_NOMES,$I1893)+COUNTIF(FORNECEDORES_FANTASIA,$I1893)=0),"⚠ Cliente/Fornecedor não cadastrado",IF(AND($G1893&lt;&gt;"",COUNTIF(SUBCATEGORIAS_PLANO,$G1893)=0),"⚠ Subcategoria fora do plano de contas",IF(OR($Q1893="",N($Q1893)=0),"⚠ Valor previsto não informado",IF(AND(OR($X1893="Pago",$X1893="Recebido"),$D1893=""),"⚠ Status pago/recebido sem data",IF(AND($D1893&lt;&gt;"",N($R1893)=0),"⚠ Data de pagamento sem valor realizado",IF(AND(N($P1893)&gt;1,N($O1893)&gt;N($P1893)),"⚠ Nº da parcela maior que o total",IF(AND($C1893&lt;&gt;"",$B1893&lt;&gt;"",$C1893&lt;$B1893),"⚠ Vencimento anterior à competência","OK"))))))))</f>
        <v/>
      </c>
    </row>
    <row r="1894">
      <c r="A1894" s="14" t="n"/>
      <c r="B1894" s="36" t="n"/>
      <c r="C1894" s="36" t="n"/>
      <c r="D1894" s="36" t="n"/>
      <c r="E1894" s="14" t="n"/>
      <c r="F1894" s="29" t="n"/>
      <c r="G1894" s="29" t="n"/>
      <c r="H1894" s="29" t="n"/>
      <c r="I1894" s="29" t="n"/>
      <c r="J1894" s="29" t="n"/>
      <c r="K1894" s="14" t="n"/>
      <c r="L1894" s="29" t="n"/>
      <c r="M1894" s="14" t="n"/>
      <c r="N1894" s="29" t="n"/>
      <c r="O1894" s="13" t="n"/>
      <c r="P1894" s="13" t="n"/>
      <c r="Q1894" s="35" t="n"/>
      <c r="R1894" s="35" t="n"/>
      <c r="S1894" s="35" t="n"/>
      <c r="T1894" s="35" t="n"/>
      <c r="U1894" s="35" t="n"/>
      <c r="V1894" s="18">
        <f>IF(COUNTA($B1894:$R1894)=0,"",ROUND(N($R1894)+N($S1894)+N($T1894)-N($U1894),2))</f>
        <v/>
      </c>
      <c r="W1894" s="18">
        <f>IF(COUNTA($B1894:$R1894)=0,"",IF(OR($X1894="Pago",$X1894="Recebido",$X1894="Cancelado"),0,ROUND(N($Q1894)+N($S1894)+N($T1894)-N($U1894)-N($R1894),2)))</f>
        <v/>
      </c>
      <c r="X1894" s="14" t="n"/>
      <c r="Y1894" s="17">
        <f>IF(COUNTA($B1894:$R1894)=0,"",IF($X1894="Cancelado","Cancelado",IF(OR($X1894="Pago",$X1894="Recebido"),$X1894,IF(OR($X1894="Parcial",N($R1894)&gt;0),"Parcial",IF($C1894="","Sem vencimento",IF($C1894&lt;TODAY(),"Vencido",IF($C1894=TODAY(),"Vence hoje",IF($C1894&lt;=TODAY()+7,"Vence em 7 dias",IF($C1894&lt;=TODAY()+30,"Vence em 30 dias","Futuro")))))))))</f>
        <v/>
      </c>
      <c r="Z1894" s="24">
        <f>IF($B1894="","",MONTH($B1894))</f>
        <v/>
      </c>
      <c r="AA1894" s="24">
        <f>IF($B1894="","",YEAR($B1894))</f>
        <v/>
      </c>
      <c r="AB1894" s="24">
        <f>IF($B1894="","",ISOWEEKNUM($B1894))</f>
        <v/>
      </c>
      <c r="AC1894" s="17">
        <f>IF($B1894="","",CHOOSE(WEEKDAY($B1894,2),"Segunda","Terça","Quarta","Quinta","Sexta","Sábado","Domingo"))</f>
        <v/>
      </c>
      <c r="AD1894" s="17">
        <f>IF($B1894="","",TEXT($B1894,"MM/AAAA"))</f>
        <v/>
      </c>
      <c r="AE1894" s="18">
        <f>IF(COUNTA($B1894:$R1894)=0,"",IF($X1894="Cancelado",0,ROUND(N($Q1894)+N($S1894)+N($T1894)-N($U1894),2)))</f>
        <v/>
      </c>
      <c r="AF1894" s="9">
        <f>IF($G1894="","",IFERROR(INDEX(LINHAS_DRE_PLANO,MATCH($G1894,SUBCATEGORIAS_PLANO,0)),"Não classificado"))</f>
        <v/>
      </c>
      <c r="AG1894" s="17">
        <f>IF($G1894="","",IFERROR(INDEX(TIPOS_FLUXO_PLANO,MATCH($G1894,SUBCATEGORIAS_PLANO,0)),"Não classificado"))</f>
        <v/>
      </c>
      <c r="AH1894" s="9">
        <f>IF($G1894="","",IFERROR(INDEX(GRUPOS_PLANO,MATCH($G1894,SUBCATEGORIAS_PLANO,0)),"Não classificado"))</f>
        <v/>
      </c>
      <c r="AI1894" s="24">
        <f>IF(OR($C1894="",$X1894="Pago",$X1894="Recebido",$X1894="Cancelado"),"",$C1894-TODAY())</f>
        <v/>
      </c>
      <c r="AJ1894" s="24">
        <f>IF(OR($C1894="",$X1894="Pago",$X1894="Recebido",$X1894="Cancelado"),0,MAX(0,TODAY()-$C1894))</f>
        <v/>
      </c>
      <c r="AK1894" s="24">
        <f>IF($D1894="","",$D1894-$B1894)</f>
        <v/>
      </c>
      <c r="AL1894" s="18">
        <f>IF(OR($D1894="",$B1894=""),"",ROUND(N($R1894)*($D1894-$B1894),2))</f>
        <v/>
      </c>
      <c r="AM1894" s="17">
        <f>IF(AND($E1894="Saída",$W1894&gt;0,$C1894&lt;&gt;""),$C1894+ROW()/1000000,"")</f>
        <v/>
      </c>
      <c r="AN1894" s="17">
        <f>IF(AND($E1894="Entrada",$W1894&gt;0,$C1894&lt;&gt;""),$C1894+ROW()/1000000,"")</f>
        <v/>
      </c>
      <c r="AO1894" s="9">
        <f>IF(COUNTA($B1894:$R1894)=0,"",IF(AND($I1894&lt;&gt;"",COUNTIF(CLIENTES_NOMES,$I1894)+COUNTIF(CLIENTES_FANTASIA,$I1894)+COUNTIF(FORNECEDORES_NOMES,$I1894)+COUNTIF(FORNECEDORES_FANTASIA,$I1894)=0),"⚠ Cliente/Fornecedor não cadastrado",IF(AND($G1894&lt;&gt;"",COUNTIF(SUBCATEGORIAS_PLANO,$G1894)=0),"⚠ Subcategoria fora do plano de contas",IF(OR($Q1894="",N($Q1894)=0),"⚠ Valor previsto não informado",IF(AND(OR($X1894="Pago",$X1894="Recebido"),$D1894=""),"⚠ Status pago/recebido sem data",IF(AND($D1894&lt;&gt;"",N($R1894)=0),"⚠ Data de pagamento sem valor realizado",IF(AND(N($P1894)&gt;1,N($O1894)&gt;N($P1894)),"⚠ Nº da parcela maior que o total",IF(AND($C1894&lt;&gt;"",$B1894&lt;&gt;"",$C1894&lt;$B1894),"⚠ Vencimento anterior à competência","OK"))))))))</f>
        <v/>
      </c>
    </row>
    <row r="1895">
      <c r="A1895" s="14" t="n"/>
      <c r="B1895" s="36" t="n"/>
      <c r="C1895" s="36" t="n"/>
      <c r="D1895" s="36" t="n"/>
      <c r="E1895" s="14" t="n"/>
      <c r="F1895" s="29" t="n"/>
      <c r="G1895" s="29" t="n"/>
      <c r="H1895" s="29" t="n"/>
      <c r="I1895" s="29" t="n"/>
      <c r="J1895" s="29" t="n"/>
      <c r="K1895" s="14" t="n"/>
      <c r="L1895" s="29" t="n"/>
      <c r="M1895" s="14" t="n"/>
      <c r="N1895" s="29" t="n"/>
      <c r="O1895" s="13" t="n"/>
      <c r="P1895" s="13" t="n"/>
      <c r="Q1895" s="35" t="n"/>
      <c r="R1895" s="35" t="n"/>
      <c r="S1895" s="35" t="n"/>
      <c r="T1895" s="35" t="n"/>
      <c r="U1895" s="35" t="n"/>
      <c r="V1895" s="18">
        <f>IF(COUNTA($B1895:$R1895)=0,"",ROUND(N($R1895)+N($S1895)+N($T1895)-N($U1895),2))</f>
        <v/>
      </c>
      <c r="W1895" s="18">
        <f>IF(COUNTA($B1895:$R1895)=0,"",IF(OR($X1895="Pago",$X1895="Recebido",$X1895="Cancelado"),0,ROUND(N($Q1895)+N($S1895)+N($T1895)-N($U1895)-N($R1895),2)))</f>
        <v/>
      </c>
      <c r="X1895" s="14" t="n"/>
      <c r="Y1895" s="17">
        <f>IF(COUNTA($B1895:$R1895)=0,"",IF($X1895="Cancelado","Cancelado",IF(OR($X1895="Pago",$X1895="Recebido"),$X1895,IF(OR($X1895="Parcial",N($R1895)&gt;0),"Parcial",IF($C1895="","Sem vencimento",IF($C1895&lt;TODAY(),"Vencido",IF($C1895=TODAY(),"Vence hoje",IF($C1895&lt;=TODAY()+7,"Vence em 7 dias",IF($C1895&lt;=TODAY()+30,"Vence em 30 dias","Futuro")))))))))</f>
        <v/>
      </c>
      <c r="Z1895" s="24">
        <f>IF($B1895="","",MONTH($B1895))</f>
        <v/>
      </c>
      <c r="AA1895" s="24">
        <f>IF($B1895="","",YEAR($B1895))</f>
        <v/>
      </c>
      <c r="AB1895" s="24">
        <f>IF($B1895="","",ISOWEEKNUM($B1895))</f>
        <v/>
      </c>
      <c r="AC1895" s="17">
        <f>IF($B1895="","",CHOOSE(WEEKDAY($B1895,2),"Segunda","Terça","Quarta","Quinta","Sexta","Sábado","Domingo"))</f>
        <v/>
      </c>
      <c r="AD1895" s="17">
        <f>IF($B1895="","",TEXT($B1895,"MM/AAAA"))</f>
        <v/>
      </c>
      <c r="AE1895" s="18">
        <f>IF(COUNTA($B1895:$R1895)=0,"",IF($X1895="Cancelado",0,ROUND(N($Q1895)+N($S1895)+N($T1895)-N($U1895),2)))</f>
        <v/>
      </c>
      <c r="AF1895" s="9">
        <f>IF($G1895="","",IFERROR(INDEX(LINHAS_DRE_PLANO,MATCH($G1895,SUBCATEGORIAS_PLANO,0)),"Não classificado"))</f>
        <v/>
      </c>
      <c r="AG1895" s="17">
        <f>IF($G1895="","",IFERROR(INDEX(TIPOS_FLUXO_PLANO,MATCH($G1895,SUBCATEGORIAS_PLANO,0)),"Não classificado"))</f>
        <v/>
      </c>
      <c r="AH1895" s="9">
        <f>IF($G1895="","",IFERROR(INDEX(GRUPOS_PLANO,MATCH($G1895,SUBCATEGORIAS_PLANO,0)),"Não classificado"))</f>
        <v/>
      </c>
      <c r="AI1895" s="24">
        <f>IF(OR($C1895="",$X1895="Pago",$X1895="Recebido",$X1895="Cancelado"),"",$C1895-TODAY())</f>
        <v/>
      </c>
      <c r="AJ1895" s="24">
        <f>IF(OR($C1895="",$X1895="Pago",$X1895="Recebido",$X1895="Cancelado"),0,MAX(0,TODAY()-$C1895))</f>
        <v/>
      </c>
      <c r="AK1895" s="24">
        <f>IF($D1895="","",$D1895-$B1895)</f>
        <v/>
      </c>
      <c r="AL1895" s="18">
        <f>IF(OR($D1895="",$B1895=""),"",ROUND(N($R1895)*($D1895-$B1895),2))</f>
        <v/>
      </c>
      <c r="AM1895" s="17">
        <f>IF(AND($E1895="Saída",$W1895&gt;0,$C1895&lt;&gt;""),$C1895+ROW()/1000000,"")</f>
        <v/>
      </c>
      <c r="AN1895" s="17">
        <f>IF(AND($E1895="Entrada",$W1895&gt;0,$C1895&lt;&gt;""),$C1895+ROW()/1000000,"")</f>
        <v/>
      </c>
      <c r="AO1895" s="9">
        <f>IF(COUNTA($B1895:$R1895)=0,"",IF(AND($I1895&lt;&gt;"",COUNTIF(CLIENTES_NOMES,$I1895)+COUNTIF(CLIENTES_FANTASIA,$I1895)+COUNTIF(FORNECEDORES_NOMES,$I1895)+COUNTIF(FORNECEDORES_FANTASIA,$I1895)=0),"⚠ Cliente/Fornecedor não cadastrado",IF(AND($G1895&lt;&gt;"",COUNTIF(SUBCATEGORIAS_PLANO,$G1895)=0),"⚠ Subcategoria fora do plano de contas",IF(OR($Q1895="",N($Q1895)=0),"⚠ Valor previsto não informado",IF(AND(OR($X1895="Pago",$X1895="Recebido"),$D1895=""),"⚠ Status pago/recebido sem data",IF(AND($D1895&lt;&gt;"",N($R1895)=0),"⚠ Data de pagamento sem valor realizado",IF(AND(N($P1895)&gt;1,N($O1895)&gt;N($P1895)),"⚠ Nº da parcela maior que o total",IF(AND($C1895&lt;&gt;"",$B1895&lt;&gt;"",$C1895&lt;$B1895),"⚠ Vencimento anterior à competência","OK"))))))))</f>
        <v/>
      </c>
    </row>
    <row r="1896">
      <c r="A1896" s="14" t="n"/>
      <c r="B1896" s="36" t="n"/>
      <c r="C1896" s="36" t="n"/>
      <c r="D1896" s="36" t="n"/>
      <c r="E1896" s="14" t="n"/>
      <c r="F1896" s="29" t="n"/>
      <c r="G1896" s="29" t="n"/>
      <c r="H1896" s="29" t="n"/>
      <c r="I1896" s="29" t="n"/>
      <c r="J1896" s="29" t="n"/>
      <c r="K1896" s="14" t="n"/>
      <c r="L1896" s="29" t="n"/>
      <c r="M1896" s="14" t="n"/>
      <c r="N1896" s="29" t="n"/>
      <c r="O1896" s="13" t="n"/>
      <c r="P1896" s="13" t="n"/>
      <c r="Q1896" s="35" t="n"/>
      <c r="R1896" s="35" t="n"/>
      <c r="S1896" s="35" t="n"/>
      <c r="T1896" s="35" t="n"/>
      <c r="U1896" s="35" t="n"/>
      <c r="V1896" s="18">
        <f>IF(COUNTA($B1896:$R1896)=0,"",ROUND(N($R1896)+N($S1896)+N($T1896)-N($U1896),2))</f>
        <v/>
      </c>
      <c r="W1896" s="18">
        <f>IF(COUNTA($B1896:$R1896)=0,"",IF(OR($X1896="Pago",$X1896="Recebido",$X1896="Cancelado"),0,ROUND(N($Q1896)+N($S1896)+N($T1896)-N($U1896)-N($R1896),2)))</f>
        <v/>
      </c>
      <c r="X1896" s="14" t="n"/>
      <c r="Y1896" s="17">
        <f>IF(COUNTA($B1896:$R1896)=0,"",IF($X1896="Cancelado","Cancelado",IF(OR($X1896="Pago",$X1896="Recebido"),$X1896,IF(OR($X1896="Parcial",N($R1896)&gt;0),"Parcial",IF($C1896="","Sem vencimento",IF($C1896&lt;TODAY(),"Vencido",IF($C1896=TODAY(),"Vence hoje",IF($C1896&lt;=TODAY()+7,"Vence em 7 dias",IF($C1896&lt;=TODAY()+30,"Vence em 30 dias","Futuro")))))))))</f>
        <v/>
      </c>
      <c r="Z1896" s="24">
        <f>IF($B1896="","",MONTH($B1896))</f>
        <v/>
      </c>
      <c r="AA1896" s="24">
        <f>IF($B1896="","",YEAR($B1896))</f>
        <v/>
      </c>
      <c r="AB1896" s="24">
        <f>IF($B1896="","",ISOWEEKNUM($B1896))</f>
        <v/>
      </c>
      <c r="AC1896" s="17">
        <f>IF($B1896="","",CHOOSE(WEEKDAY($B1896,2),"Segunda","Terça","Quarta","Quinta","Sexta","Sábado","Domingo"))</f>
        <v/>
      </c>
      <c r="AD1896" s="17">
        <f>IF($B1896="","",TEXT($B1896,"MM/AAAA"))</f>
        <v/>
      </c>
      <c r="AE1896" s="18">
        <f>IF(COUNTA($B1896:$R1896)=0,"",IF($X1896="Cancelado",0,ROUND(N($Q1896)+N($S1896)+N($T1896)-N($U1896),2)))</f>
        <v/>
      </c>
      <c r="AF1896" s="9">
        <f>IF($G1896="","",IFERROR(INDEX(LINHAS_DRE_PLANO,MATCH($G1896,SUBCATEGORIAS_PLANO,0)),"Não classificado"))</f>
        <v/>
      </c>
      <c r="AG1896" s="17">
        <f>IF($G1896="","",IFERROR(INDEX(TIPOS_FLUXO_PLANO,MATCH($G1896,SUBCATEGORIAS_PLANO,0)),"Não classificado"))</f>
        <v/>
      </c>
      <c r="AH1896" s="9">
        <f>IF($G1896="","",IFERROR(INDEX(GRUPOS_PLANO,MATCH($G1896,SUBCATEGORIAS_PLANO,0)),"Não classificado"))</f>
        <v/>
      </c>
      <c r="AI1896" s="24">
        <f>IF(OR($C1896="",$X1896="Pago",$X1896="Recebido",$X1896="Cancelado"),"",$C1896-TODAY())</f>
        <v/>
      </c>
      <c r="AJ1896" s="24">
        <f>IF(OR($C1896="",$X1896="Pago",$X1896="Recebido",$X1896="Cancelado"),0,MAX(0,TODAY()-$C1896))</f>
        <v/>
      </c>
      <c r="AK1896" s="24">
        <f>IF($D1896="","",$D1896-$B1896)</f>
        <v/>
      </c>
      <c r="AL1896" s="18">
        <f>IF(OR($D1896="",$B1896=""),"",ROUND(N($R1896)*($D1896-$B1896),2))</f>
        <v/>
      </c>
      <c r="AM1896" s="17">
        <f>IF(AND($E1896="Saída",$W1896&gt;0,$C1896&lt;&gt;""),$C1896+ROW()/1000000,"")</f>
        <v/>
      </c>
      <c r="AN1896" s="17">
        <f>IF(AND($E1896="Entrada",$W1896&gt;0,$C1896&lt;&gt;""),$C1896+ROW()/1000000,"")</f>
        <v/>
      </c>
      <c r="AO1896" s="9">
        <f>IF(COUNTA($B1896:$R1896)=0,"",IF(AND($I1896&lt;&gt;"",COUNTIF(CLIENTES_NOMES,$I1896)+COUNTIF(CLIENTES_FANTASIA,$I1896)+COUNTIF(FORNECEDORES_NOMES,$I1896)+COUNTIF(FORNECEDORES_FANTASIA,$I1896)=0),"⚠ Cliente/Fornecedor não cadastrado",IF(AND($G1896&lt;&gt;"",COUNTIF(SUBCATEGORIAS_PLANO,$G1896)=0),"⚠ Subcategoria fora do plano de contas",IF(OR($Q1896="",N($Q1896)=0),"⚠ Valor previsto não informado",IF(AND(OR($X1896="Pago",$X1896="Recebido"),$D1896=""),"⚠ Status pago/recebido sem data",IF(AND($D1896&lt;&gt;"",N($R1896)=0),"⚠ Data de pagamento sem valor realizado",IF(AND(N($P1896)&gt;1,N($O1896)&gt;N($P1896)),"⚠ Nº da parcela maior que o total",IF(AND($C1896&lt;&gt;"",$B1896&lt;&gt;"",$C1896&lt;$B1896),"⚠ Vencimento anterior à competência","OK"))))))))</f>
        <v/>
      </c>
    </row>
    <row r="1897">
      <c r="A1897" s="14" t="n"/>
      <c r="B1897" s="36" t="n"/>
      <c r="C1897" s="36" t="n"/>
      <c r="D1897" s="36" t="n"/>
      <c r="E1897" s="14" t="n"/>
      <c r="F1897" s="29" t="n"/>
      <c r="G1897" s="29" t="n"/>
      <c r="H1897" s="29" t="n"/>
      <c r="I1897" s="29" t="n"/>
      <c r="J1897" s="29" t="n"/>
      <c r="K1897" s="14" t="n"/>
      <c r="L1897" s="29" t="n"/>
      <c r="M1897" s="14" t="n"/>
      <c r="N1897" s="29" t="n"/>
      <c r="O1897" s="13" t="n"/>
      <c r="P1897" s="13" t="n"/>
      <c r="Q1897" s="35" t="n"/>
      <c r="R1897" s="35" t="n"/>
      <c r="S1897" s="35" t="n"/>
      <c r="T1897" s="35" t="n"/>
      <c r="U1897" s="35" t="n"/>
      <c r="V1897" s="18">
        <f>IF(COUNTA($B1897:$R1897)=0,"",ROUND(N($R1897)+N($S1897)+N($T1897)-N($U1897),2))</f>
        <v/>
      </c>
      <c r="W1897" s="18">
        <f>IF(COUNTA($B1897:$R1897)=0,"",IF(OR($X1897="Pago",$X1897="Recebido",$X1897="Cancelado"),0,ROUND(N($Q1897)+N($S1897)+N($T1897)-N($U1897)-N($R1897),2)))</f>
        <v/>
      </c>
      <c r="X1897" s="14" t="n"/>
      <c r="Y1897" s="17">
        <f>IF(COUNTA($B1897:$R1897)=0,"",IF($X1897="Cancelado","Cancelado",IF(OR($X1897="Pago",$X1897="Recebido"),$X1897,IF(OR($X1897="Parcial",N($R1897)&gt;0),"Parcial",IF($C1897="","Sem vencimento",IF($C1897&lt;TODAY(),"Vencido",IF($C1897=TODAY(),"Vence hoje",IF($C1897&lt;=TODAY()+7,"Vence em 7 dias",IF($C1897&lt;=TODAY()+30,"Vence em 30 dias","Futuro")))))))))</f>
        <v/>
      </c>
      <c r="Z1897" s="24">
        <f>IF($B1897="","",MONTH($B1897))</f>
        <v/>
      </c>
      <c r="AA1897" s="24">
        <f>IF($B1897="","",YEAR($B1897))</f>
        <v/>
      </c>
      <c r="AB1897" s="24">
        <f>IF($B1897="","",ISOWEEKNUM($B1897))</f>
        <v/>
      </c>
      <c r="AC1897" s="17">
        <f>IF($B1897="","",CHOOSE(WEEKDAY($B1897,2),"Segunda","Terça","Quarta","Quinta","Sexta","Sábado","Domingo"))</f>
        <v/>
      </c>
      <c r="AD1897" s="17">
        <f>IF($B1897="","",TEXT($B1897,"MM/AAAA"))</f>
        <v/>
      </c>
      <c r="AE1897" s="18">
        <f>IF(COUNTA($B1897:$R1897)=0,"",IF($X1897="Cancelado",0,ROUND(N($Q1897)+N($S1897)+N($T1897)-N($U1897),2)))</f>
        <v/>
      </c>
      <c r="AF1897" s="9">
        <f>IF($G1897="","",IFERROR(INDEX(LINHAS_DRE_PLANO,MATCH($G1897,SUBCATEGORIAS_PLANO,0)),"Não classificado"))</f>
        <v/>
      </c>
      <c r="AG1897" s="17">
        <f>IF($G1897="","",IFERROR(INDEX(TIPOS_FLUXO_PLANO,MATCH($G1897,SUBCATEGORIAS_PLANO,0)),"Não classificado"))</f>
        <v/>
      </c>
      <c r="AH1897" s="9">
        <f>IF($G1897="","",IFERROR(INDEX(GRUPOS_PLANO,MATCH($G1897,SUBCATEGORIAS_PLANO,0)),"Não classificado"))</f>
        <v/>
      </c>
      <c r="AI1897" s="24">
        <f>IF(OR($C1897="",$X1897="Pago",$X1897="Recebido",$X1897="Cancelado"),"",$C1897-TODAY())</f>
        <v/>
      </c>
      <c r="AJ1897" s="24">
        <f>IF(OR($C1897="",$X1897="Pago",$X1897="Recebido",$X1897="Cancelado"),0,MAX(0,TODAY()-$C1897))</f>
        <v/>
      </c>
      <c r="AK1897" s="24">
        <f>IF($D1897="","",$D1897-$B1897)</f>
        <v/>
      </c>
      <c r="AL1897" s="18">
        <f>IF(OR($D1897="",$B1897=""),"",ROUND(N($R1897)*($D1897-$B1897),2))</f>
        <v/>
      </c>
      <c r="AM1897" s="17">
        <f>IF(AND($E1897="Saída",$W1897&gt;0,$C1897&lt;&gt;""),$C1897+ROW()/1000000,"")</f>
        <v/>
      </c>
      <c r="AN1897" s="17">
        <f>IF(AND($E1897="Entrada",$W1897&gt;0,$C1897&lt;&gt;""),$C1897+ROW()/1000000,"")</f>
        <v/>
      </c>
      <c r="AO1897" s="9">
        <f>IF(COUNTA($B1897:$R1897)=0,"",IF(AND($I1897&lt;&gt;"",COUNTIF(CLIENTES_NOMES,$I1897)+COUNTIF(CLIENTES_FANTASIA,$I1897)+COUNTIF(FORNECEDORES_NOMES,$I1897)+COUNTIF(FORNECEDORES_FANTASIA,$I1897)=0),"⚠ Cliente/Fornecedor não cadastrado",IF(AND($G1897&lt;&gt;"",COUNTIF(SUBCATEGORIAS_PLANO,$G1897)=0),"⚠ Subcategoria fora do plano de contas",IF(OR($Q1897="",N($Q1897)=0),"⚠ Valor previsto não informado",IF(AND(OR($X1897="Pago",$X1897="Recebido"),$D1897=""),"⚠ Status pago/recebido sem data",IF(AND($D1897&lt;&gt;"",N($R1897)=0),"⚠ Data de pagamento sem valor realizado",IF(AND(N($P1897)&gt;1,N($O1897)&gt;N($P1897)),"⚠ Nº da parcela maior que o total",IF(AND($C1897&lt;&gt;"",$B1897&lt;&gt;"",$C1897&lt;$B1897),"⚠ Vencimento anterior à competência","OK"))))))))</f>
        <v/>
      </c>
    </row>
    <row r="1898">
      <c r="A1898" s="14" t="n"/>
      <c r="B1898" s="36" t="n"/>
      <c r="C1898" s="36" t="n"/>
      <c r="D1898" s="36" t="n"/>
      <c r="E1898" s="14" t="n"/>
      <c r="F1898" s="29" t="n"/>
      <c r="G1898" s="29" t="n"/>
      <c r="H1898" s="29" t="n"/>
      <c r="I1898" s="29" t="n"/>
      <c r="J1898" s="29" t="n"/>
      <c r="K1898" s="14" t="n"/>
      <c r="L1898" s="29" t="n"/>
      <c r="M1898" s="14" t="n"/>
      <c r="N1898" s="29" t="n"/>
      <c r="O1898" s="13" t="n"/>
      <c r="P1898" s="13" t="n"/>
      <c r="Q1898" s="35" t="n"/>
      <c r="R1898" s="35" t="n"/>
      <c r="S1898" s="35" t="n"/>
      <c r="T1898" s="35" t="n"/>
      <c r="U1898" s="35" t="n"/>
      <c r="V1898" s="18">
        <f>IF(COUNTA($B1898:$R1898)=0,"",ROUND(N($R1898)+N($S1898)+N($T1898)-N($U1898),2))</f>
        <v/>
      </c>
      <c r="W1898" s="18">
        <f>IF(COUNTA($B1898:$R1898)=0,"",IF(OR($X1898="Pago",$X1898="Recebido",$X1898="Cancelado"),0,ROUND(N($Q1898)+N($S1898)+N($T1898)-N($U1898)-N($R1898),2)))</f>
        <v/>
      </c>
      <c r="X1898" s="14" t="n"/>
      <c r="Y1898" s="17">
        <f>IF(COUNTA($B1898:$R1898)=0,"",IF($X1898="Cancelado","Cancelado",IF(OR($X1898="Pago",$X1898="Recebido"),$X1898,IF(OR($X1898="Parcial",N($R1898)&gt;0),"Parcial",IF($C1898="","Sem vencimento",IF($C1898&lt;TODAY(),"Vencido",IF($C1898=TODAY(),"Vence hoje",IF($C1898&lt;=TODAY()+7,"Vence em 7 dias",IF($C1898&lt;=TODAY()+30,"Vence em 30 dias","Futuro")))))))))</f>
        <v/>
      </c>
      <c r="Z1898" s="24">
        <f>IF($B1898="","",MONTH($B1898))</f>
        <v/>
      </c>
      <c r="AA1898" s="24">
        <f>IF($B1898="","",YEAR($B1898))</f>
        <v/>
      </c>
      <c r="AB1898" s="24">
        <f>IF($B1898="","",ISOWEEKNUM($B1898))</f>
        <v/>
      </c>
      <c r="AC1898" s="17">
        <f>IF($B1898="","",CHOOSE(WEEKDAY($B1898,2),"Segunda","Terça","Quarta","Quinta","Sexta","Sábado","Domingo"))</f>
        <v/>
      </c>
      <c r="AD1898" s="17">
        <f>IF($B1898="","",TEXT($B1898,"MM/AAAA"))</f>
        <v/>
      </c>
      <c r="AE1898" s="18">
        <f>IF(COUNTA($B1898:$R1898)=0,"",IF($X1898="Cancelado",0,ROUND(N($Q1898)+N($S1898)+N($T1898)-N($U1898),2)))</f>
        <v/>
      </c>
      <c r="AF1898" s="9">
        <f>IF($G1898="","",IFERROR(INDEX(LINHAS_DRE_PLANO,MATCH($G1898,SUBCATEGORIAS_PLANO,0)),"Não classificado"))</f>
        <v/>
      </c>
      <c r="AG1898" s="17">
        <f>IF($G1898="","",IFERROR(INDEX(TIPOS_FLUXO_PLANO,MATCH($G1898,SUBCATEGORIAS_PLANO,0)),"Não classificado"))</f>
        <v/>
      </c>
      <c r="AH1898" s="9">
        <f>IF($G1898="","",IFERROR(INDEX(GRUPOS_PLANO,MATCH($G1898,SUBCATEGORIAS_PLANO,0)),"Não classificado"))</f>
        <v/>
      </c>
      <c r="AI1898" s="24">
        <f>IF(OR($C1898="",$X1898="Pago",$X1898="Recebido",$X1898="Cancelado"),"",$C1898-TODAY())</f>
        <v/>
      </c>
      <c r="AJ1898" s="24">
        <f>IF(OR($C1898="",$X1898="Pago",$X1898="Recebido",$X1898="Cancelado"),0,MAX(0,TODAY()-$C1898))</f>
        <v/>
      </c>
      <c r="AK1898" s="24">
        <f>IF($D1898="","",$D1898-$B1898)</f>
        <v/>
      </c>
      <c r="AL1898" s="18">
        <f>IF(OR($D1898="",$B1898=""),"",ROUND(N($R1898)*($D1898-$B1898),2))</f>
        <v/>
      </c>
      <c r="AM1898" s="17">
        <f>IF(AND($E1898="Saída",$W1898&gt;0,$C1898&lt;&gt;""),$C1898+ROW()/1000000,"")</f>
        <v/>
      </c>
      <c r="AN1898" s="17">
        <f>IF(AND($E1898="Entrada",$W1898&gt;0,$C1898&lt;&gt;""),$C1898+ROW()/1000000,"")</f>
        <v/>
      </c>
      <c r="AO1898" s="9">
        <f>IF(COUNTA($B1898:$R1898)=0,"",IF(AND($I1898&lt;&gt;"",COUNTIF(CLIENTES_NOMES,$I1898)+COUNTIF(CLIENTES_FANTASIA,$I1898)+COUNTIF(FORNECEDORES_NOMES,$I1898)+COUNTIF(FORNECEDORES_FANTASIA,$I1898)=0),"⚠ Cliente/Fornecedor não cadastrado",IF(AND($G1898&lt;&gt;"",COUNTIF(SUBCATEGORIAS_PLANO,$G1898)=0),"⚠ Subcategoria fora do plano de contas",IF(OR($Q1898="",N($Q1898)=0),"⚠ Valor previsto não informado",IF(AND(OR($X1898="Pago",$X1898="Recebido"),$D1898=""),"⚠ Status pago/recebido sem data",IF(AND($D1898&lt;&gt;"",N($R1898)=0),"⚠ Data de pagamento sem valor realizado",IF(AND(N($P1898)&gt;1,N($O1898)&gt;N($P1898)),"⚠ Nº da parcela maior que o total",IF(AND($C1898&lt;&gt;"",$B1898&lt;&gt;"",$C1898&lt;$B1898),"⚠ Vencimento anterior à competência","OK"))))))))</f>
        <v/>
      </c>
    </row>
    <row r="1899">
      <c r="A1899" s="14" t="n"/>
      <c r="B1899" s="36" t="n"/>
      <c r="C1899" s="36" t="n"/>
      <c r="D1899" s="36" t="n"/>
      <c r="E1899" s="14" t="n"/>
      <c r="F1899" s="29" t="n"/>
      <c r="G1899" s="29" t="n"/>
      <c r="H1899" s="29" t="n"/>
      <c r="I1899" s="29" t="n"/>
      <c r="J1899" s="29" t="n"/>
      <c r="K1899" s="14" t="n"/>
      <c r="L1899" s="29" t="n"/>
      <c r="M1899" s="14" t="n"/>
      <c r="N1899" s="29" t="n"/>
      <c r="O1899" s="13" t="n"/>
      <c r="P1899" s="13" t="n"/>
      <c r="Q1899" s="35" t="n"/>
      <c r="R1899" s="35" t="n"/>
      <c r="S1899" s="35" t="n"/>
      <c r="T1899" s="35" t="n"/>
      <c r="U1899" s="35" t="n"/>
      <c r="V1899" s="18">
        <f>IF(COUNTA($B1899:$R1899)=0,"",ROUND(N($R1899)+N($S1899)+N($T1899)-N($U1899),2))</f>
        <v/>
      </c>
      <c r="W1899" s="18">
        <f>IF(COUNTA($B1899:$R1899)=0,"",IF(OR($X1899="Pago",$X1899="Recebido",$X1899="Cancelado"),0,ROUND(N($Q1899)+N($S1899)+N($T1899)-N($U1899)-N($R1899),2)))</f>
        <v/>
      </c>
      <c r="X1899" s="14" t="n"/>
      <c r="Y1899" s="17">
        <f>IF(COUNTA($B1899:$R1899)=0,"",IF($X1899="Cancelado","Cancelado",IF(OR($X1899="Pago",$X1899="Recebido"),$X1899,IF(OR($X1899="Parcial",N($R1899)&gt;0),"Parcial",IF($C1899="","Sem vencimento",IF($C1899&lt;TODAY(),"Vencido",IF($C1899=TODAY(),"Vence hoje",IF($C1899&lt;=TODAY()+7,"Vence em 7 dias",IF($C1899&lt;=TODAY()+30,"Vence em 30 dias","Futuro")))))))))</f>
        <v/>
      </c>
      <c r="Z1899" s="24">
        <f>IF($B1899="","",MONTH($B1899))</f>
        <v/>
      </c>
      <c r="AA1899" s="24">
        <f>IF($B1899="","",YEAR($B1899))</f>
        <v/>
      </c>
      <c r="AB1899" s="24">
        <f>IF($B1899="","",ISOWEEKNUM($B1899))</f>
        <v/>
      </c>
      <c r="AC1899" s="17">
        <f>IF($B1899="","",CHOOSE(WEEKDAY($B1899,2),"Segunda","Terça","Quarta","Quinta","Sexta","Sábado","Domingo"))</f>
        <v/>
      </c>
      <c r="AD1899" s="17">
        <f>IF($B1899="","",TEXT($B1899,"MM/AAAA"))</f>
        <v/>
      </c>
      <c r="AE1899" s="18">
        <f>IF(COUNTA($B1899:$R1899)=0,"",IF($X1899="Cancelado",0,ROUND(N($Q1899)+N($S1899)+N($T1899)-N($U1899),2)))</f>
        <v/>
      </c>
      <c r="AF1899" s="9">
        <f>IF($G1899="","",IFERROR(INDEX(LINHAS_DRE_PLANO,MATCH($G1899,SUBCATEGORIAS_PLANO,0)),"Não classificado"))</f>
        <v/>
      </c>
      <c r="AG1899" s="17">
        <f>IF($G1899="","",IFERROR(INDEX(TIPOS_FLUXO_PLANO,MATCH($G1899,SUBCATEGORIAS_PLANO,0)),"Não classificado"))</f>
        <v/>
      </c>
      <c r="AH1899" s="9">
        <f>IF($G1899="","",IFERROR(INDEX(GRUPOS_PLANO,MATCH($G1899,SUBCATEGORIAS_PLANO,0)),"Não classificado"))</f>
        <v/>
      </c>
      <c r="AI1899" s="24">
        <f>IF(OR($C1899="",$X1899="Pago",$X1899="Recebido",$X1899="Cancelado"),"",$C1899-TODAY())</f>
        <v/>
      </c>
      <c r="AJ1899" s="24">
        <f>IF(OR($C1899="",$X1899="Pago",$X1899="Recebido",$X1899="Cancelado"),0,MAX(0,TODAY()-$C1899))</f>
        <v/>
      </c>
      <c r="AK1899" s="24">
        <f>IF($D1899="","",$D1899-$B1899)</f>
        <v/>
      </c>
      <c r="AL1899" s="18">
        <f>IF(OR($D1899="",$B1899=""),"",ROUND(N($R1899)*($D1899-$B1899),2))</f>
        <v/>
      </c>
      <c r="AM1899" s="17">
        <f>IF(AND($E1899="Saída",$W1899&gt;0,$C1899&lt;&gt;""),$C1899+ROW()/1000000,"")</f>
        <v/>
      </c>
      <c r="AN1899" s="17">
        <f>IF(AND($E1899="Entrada",$W1899&gt;0,$C1899&lt;&gt;""),$C1899+ROW()/1000000,"")</f>
        <v/>
      </c>
      <c r="AO1899" s="9">
        <f>IF(COUNTA($B1899:$R1899)=0,"",IF(AND($I1899&lt;&gt;"",COUNTIF(CLIENTES_NOMES,$I1899)+COUNTIF(CLIENTES_FANTASIA,$I1899)+COUNTIF(FORNECEDORES_NOMES,$I1899)+COUNTIF(FORNECEDORES_FANTASIA,$I1899)=0),"⚠ Cliente/Fornecedor não cadastrado",IF(AND($G1899&lt;&gt;"",COUNTIF(SUBCATEGORIAS_PLANO,$G1899)=0),"⚠ Subcategoria fora do plano de contas",IF(OR($Q1899="",N($Q1899)=0),"⚠ Valor previsto não informado",IF(AND(OR($X1899="Pago",$X1899="Recebido"),$D1899=""),"⚠ Status pago/recebido sem data",IF(AND($D1899&lt;&gt;"",N($R1899)=0),"⚠ Data de pagamento sem valor realizado",IF(AND(N($P1899)&gt;1,N($O1899)&gt;N($P1899)),"⚠ Nº da parcela maior que o total",IF(AND($C1899&lt;&gt;"",$B1899&lt;&gt;"",$C1899&lt;$B1899),"⚠ Vencimento anterior à competência","OK"))))))))</f>
        <v/>
      </c>
    </row>
    <row r="1900">
      <c r="A1900" s="14" t="n"/>
      <c r="B1900" s="36" t="n"/>
      <c r="C1900" s="36" t="n"/>
      <c r="D1900" s="36" t="n"/>
      <c r="E1900" s="14" t="n"/>
      <c r="F1900" s="29" t="n"/>
      <c r="G1900" s="29" t="n"/>
      <c r="H1900" s="29" t="n"/>
      <c r="I1900" s="29" t="n"/>
      <c r="J1900" s="29" t="n"/>
      <c r="K1900" s="14" t="n"/>
      <c r="L1900" s="29" t="n"/>
      <c r="M1900" s="14" t="n"/>
      <c r="N1900" s="29" t="n"/>
      <c r="O1900" s="13" t="n"/>
      <c r="P1900" s="13" t="n"/>
      <c r="Q1900" s="35" t="n"/>
      <c r="R1900" s="35" t="n"/>
      <c r="S1900" s="35" t="n"/>
      <c r="T1900" s="35" t="n"/>
      <c r="U1900" s="35" t="n"/>
      <c r="V1900" s="18">
        <f>IF(COUNTA($B1900:$R1900)=0,"",ROUND(N($R1900)+N($S1900)+N($T1900)-N($U1900),2))</f>
        <v/>
      </c>
      <c r="W1900" s="18">
        <f>IF(COUNTA($B1900:$R1900)=0,"",IF(OR($X1900="Pago",$X1900="Recebido",$X1900="Cancelado"),0,ROUND(N($Q1900)+N($S1900)+N($T1900)-N($U1900)-N($R1900),2)))</f>
        <v/>
      </c>
      <c r="X1900" s="14" t="n"/>
      <c r="Y1900" s="17">
        <f>IF(COUNTA($B1900:$R1900)=0,"",IF($X1900="Cancelado","Cancelado",IF(OR($X1900="Pago",$X1900="Recebido"),$X1900,IF(OR($X1900="Parcial",N($R1900)&gt;0),"Parcial",IF($C1900="","Sem vencimento",IF($C1900&lt;TODAY(),"Vencido",IF($C1900=TODAY(),"Vence hoje",IF($C1900&lt;=TODAY()+7,"Vence em 7 dias",IF($C1900&lt;=TODAY()+30,"Vence em 30 dias","Futuro")))))))))</f>
        <v/>
      </c>
      <c r="Z1900" s="24">
        <f>IF($B1900="","",MONTH($B1900))</f>
        <v/>
      </c>
      <c r="AA1900" s="24">
        <f>IF($B1900="","",YEAR($B1900))</f>
        <v/>
      </c>
      <c r="AB1900" s="24">
        <f>IF($B1900="","",ISOWEEKNUM($B1900))</f>
        <v/>
      </c>
      <c r="AC1900" s="17">
        <f>IF($B1900="","",CHOOSE(WEEKDAY($B1900,2),"Segunda","Terça","Quarta","Quinta","Sexta","Sábado","Domingo"))</f>
        <v/>
      </c>
      <c r="AD1900" s="17">
        <f>IF($B1900="","",TEXT($B1900,"MM/AAAA"))</f>
        <v/>
      </c>
      <c r="AE1900" s="18">
        <f>IF(COUNTA($B1900:$R1900)=0,"",IF($X1900="Cancelado",0,ROUND(N($Q1900)+N($S1900)+N($T1900)-N($U1900),2)))</f>
        <v/>
      </c>
      <c r="AF1900" s="9">
        <f>IF($G1900="","",IFERROR(INDEX(LINHAS_DRE_PLANO,MATCH($G1900,SUBCATEGORIAS_PLANO,0)),"Não classificado"))</f>
        <v/>
      </c>
      <c r="AG1900" s="17">
        <f>IF($G1900="","",IFERROR(INDEX(TIPOS_FLUXO_PLANO,MATCH($G1900,SUBCATEGORIAS_PLANO,0)),"Não classificado"))</f>
        <v/>
      </c>
      <c r="AH1900" s="9">
        <f>IF($G1900="","",IFERROR(INDEX(GRUPOS_PLANO,MATCH($G1900,SUBCATEGORIAS_PLANO,0)),"Não classificado"))</f>
        <v/>
      </c>
      <c r="AI1900" s="24">
        <f>IF(OR($C1900="",$X1900="Pago",$X1900="Recebido",$X1900="Cancelado"),"",$C1900-TODAY())</f>
        <v/>
      </c>
      <c r="AJ1900" s="24">
        <f>IF(OR($C1900="",$X1900="Pago",$X1900="Recebido",$X1900="Cancelado"),0,MAX(0,TODAY()-$C1900))</f>
        <v/>
      </c>
      <c r="AK1900" s="24">
        <f>IF($D1900="","",$D1900-$B1900)</f>
        <v/>
      </c>
      <c r="AL1900" s="18">
        <f>IF(OR($D1900="",$B1900=""),"",ROUND(N($R1900)*($D1900-$B1900),2))</f>
        <v/>
      </c>
      <c r="AM1900" s="17">
        <f>IF(AND($E1900="Saída",$W1900&gt;0,$C1900&lt;&gt;""),$C1900+ROW()/1000000,"")</f>
        <v/>
      </c>
      <c r="AN1900" s="17">
        <f>IF(AND($E1900="Entrada",$W1900&gt;0,$C1900&lt;&gt;""),$C1900+ROW()/1000000,"")</f>
        <v/>
      </c>
      <c r="AO1900" s="9">
        <f>IF(COUNTA($B1900:$R1900)=0,"",IF(AND($I1900&lt;&gt;"",COUNTIF(CLIENTES_NOMES,$I1900)+COUNTIF(CLIENTES_FANTASIA,$I1900)+COUNTIF(FORNECEDORES_NOMES,$I1900)+COUNTIF(FORNECEDORES_FANTASIA,$I1900)=0),"⚠ Cliente/Fornecedor não cadastrado",IF(AND($G1900&lt;&gt;"",COUNTIF(SUBCATEGORIAS_PLANO,$G1900)=0),"⚠ Subcategoria fora do plano de contas",IF(OR($Q1900="",N($Q1900)=0),"⚠ Valor previsto não informado",IF(AND(OR($X1900="Pago",$X1900="Recebido"),$D1900=""),"⚠ Status pago/recebido sem data",IF(AND($D1900&lt;&gt;"",N($R1900)=0),"⚠ Data de pagamento sem valor realizado",IF(AND(N($P1900)&gt;1,N($O1900)&gt;N($P1900)),"⚠ Nº da parcela maior que o total",IF(AND($C1900&lt;&gt;"",$B1900&lt;&gt;"",$C1900&lt;$B1900),"⚠ Vencimento anterior à competência","OK"))))))))</f>
        <v/>
      </c>
    </row>
    <row r="1901">
      <c r="A1901" s="14" t="n"/>
      <c r="B1901" s="36" t="n"/>
      <c r="C1901" s="36" t="n"/>
      <c r="D1901" s="36" t="n"/>
      <c r="E1901" s="14" t="n"/>
      <c r="F1901" s="29" t="n"/>
      <c r="G1901" s="29" t="n"/>
      <c r="H1901" s="29" t="n"/>
      <c r="I1901" s="29" t="n"/>
      <c r="J1901" s="29" t="n"/>
      <c r="K1901" s="14" t="n"/>
      <c r="L1901" s="29" t="n"/>
      <c r="M1901" s="14" t="n"/>
      <c r="N1901" s="29" t="n"/>
      <c r="O1901" s="13" t="n"/>
      <c r="P1901" s="13" t="n"/>
      <c r="Q1901" s="35" t="n"/>
      <c r="R1901" s="35" t="n"/>
      <c r="S1901" s="35" t="n"/>
      <c r="T1901" s="35" t="n"/>
      <c r="U1901" s="35" t="n"/>
      <c r="V1901" s="18">
        <f>IF(COUNTA($B1901:$R1901)=0,"",ROUND(N($R1901)+N($S1901)+N($T1901)-N($U1901),2))</f>
        <v/>
      </c>
      <c r="W1901" s="18">
        <f>IF(COUNTA($B1901:$R1901)=0,"",IF(OR($X1901="Pago",$X1901="Recebido",$X1901="Cancelado"),0,ROUND(N($Q1901)+N($S1901)+N($T1901)-N($U1901)-N($R1901),2)))</f>
        <v/>
      </c>
      <c r="X1901" s="14" t="n"/>
      <c r="Y1901" s="17">
        <f>IF(COUNTA($B1901:$R1901)=0,"",IF($X1901="Cancelado","Cancelado",IF(OR($X1901="Pago",$X1901="Recebido"),$X1901,IF(OR($X1901="Parcial",N($R1901)&gt;0),"Parcial",IF($C1901="","Sem vencimento",IF($C1901&lt;TODAY(),"Vencido",IF($C1901=TODAY(),"Vence hoje",IF($C1901&lt;=TODAY()+7,"Vence em 7 dias",IF($C1901&lt;=TODAY()+30,"Vence em 30 dias","Futuro")))))))))</f>
        <v/>
      </c>
      <c r="Z1901" s="24">
        <f>IF($B1901="","",MONTH($B1901))</f>
        <v/>
      </c>
      <c r="AA1901" s="24">
        <f>IF($B1901="","",YEAR($B1901))</f>
        <v/>
      </c>
      <c r="AB1901" s="24">
        <f>IF($B1901="","",ISOWEEKNUM($B1901))</f>
        <v/>
      </c>
      <c r="AC1901" s="17">
        <f>IF($B1901="","",CHOOSE(WEEKDAY($B1901,2),"Segunda","Terça","Quarta","Quinta","Sexta","Sábado","Domingo"))</f>
        <v/>
      </c>
      <c r="AD1901" s="17">
        <f>IF($B1901="","",TEXT($B1901,"MM/AAAA"))</f>
        <v/>
      </c>
      <c r="AE1901" s="18">
        <f>IF(COUNTA($B1901:$R1901)=0,"",IF($X1901="Cancelado",0,ROUND(N($Q1901)+N($S1901)+N($T1901)-N($U1901),2)))</f>
        <v/>
      </c>
      <c r="AF1901" s="9">
        <f>IF($G1901="","",IFERROR(INDEX(LINHAS_DRE_PLANO,MATCH($G1901,SUBCATEGORIAS_PLANO,0)),"Não classificado"))</f>
        <v/>
      </c>
      <c r="AG1901" s="17">
        <f>IF($G1901="","",IFERROR(INDEX(TIPOS_FLUXO_PLANO,MATCH($G1901,SUBCATEGORIAS_PLANO,0)),"Não classificado"))</f>
        <v/>
      </c>
      <c r="AH1901" s="9">
        <f>IF($G1901="","",IFERROR(INDEX(GRUPOS_PLANO,MATCH($G1901,SUBCATEGORIAS_PLANO,0)),"Não classificado"))</f>
        <v/>
      </c>
      <c r="AI1901" s="24">
        <f>IF(OR($C1901="",$X1901="Pago",$X1901="Recebido",$X1901="Cancelado"),"",$C1901-TODAY())</f>
        <v/>
      </c>
      <c r="AJ1901" s="24">
        <f>IF(OR($C1901="",$X1901="Pago",$X1901="Recebido",$X1901="Cancelado"),0,MAX(0,TODAY()-$C1901))</f>
        <v/>
      </c>
      <c r="AK1901" s="24">
        <f>IF($D1901="","",$D1901-$B1901)</f>
        <v/>
      </c>
      <c r="AL1901" s="18">
        <f>IF(OR($D1901="",$B1901=""),"",ROUND(N($R1901)*($D1901-$B1901),2))</f>
        <v/>
      </c>
      <c r="AM1901" s="17">
        <f>IF(AND($E1901="Saída",$W1901&gt;0,$C1901&lt;&gt;""),$C1901+ROW()/1000000,"")</f>
        <v/>
      </c>
      <c r="AN1901" s="17">
        <f>IF(AND($E1901="Entrada",$W1901&gt;0,$C1901&lt;&gt;""),$C1901+ROW()/1000000,"")</f>
        <v/>
      </c>
      <c r="AO1901" s="9">
        <f>IF(COUNTA($B1901:$R1901)=0,"",IF(AND($I1901&lt;&gt;"",COUNTIF(CLIENTES_NOMES,$I1901)+COUNTIF(CLIENTES_FANTASIA,$I1901)+COUNTIF(FORNECEDORES_NOMES,$I1901)+COUNTIF(FORNECEDORES_FANTASIA,$I1901)=0),"⚠ Cliente/Fornecedor não cadastrado",IF(AND($G1901&lt;&gt;"",COUNTIF(SUBCATEGORIAS_PLANO,$G1901)=0),"⚠ Subcategoria fora do plano de contas",IF(OR($Q1901="",N($Q1901)=0),"⚠ Valor previsto não informado",IF(AND(OR($X1901="Pago",$X1901="Recebido"),$D1901=""),"⚠ Status pago/recebido sem data",IF(AND($D1901&lt;&gt;"",N($R1901)=0),"⚠ Data de pagamento sem valor realizado",IF(AND(N($P1901)&gt;1,N($O1901)&gt;N($P1901)),"⚠ Nº da parcela maior que o total",IF(AND($C1901&lt;&gt;"",$B1901&lt;&gt;"",$C1901&lt;$B1901),"⚠ Vencimento anterior à competência","OK"))))))))</f>
        <v/>
      </c>
    </row>
    <row r="1902">
      <c r="A1902" s="14" t="n"/>
      <c r="B1902" s="36" t="n"/>
      <c r="C1902" s="36" t="n"/>
      <c r="D1902" s="36" t="n"/>
      <c r="E1902" s="14" t="n"/>
      <c r="F1902" s="29" t="n"/>
      <c r="G1902" s="29" t="n"/>
      <c r="H1902" s="29" t="n"/>
      <c r="I1902" s="29" t="n"/>
      <c r="J1902" s="29" t="n"/>
      <c r="K1902" s="14" t="n"/>
      <c r="L1902" s="29" t="n"/>
      <c r="M1902" s="14" t="n"/>
      <c r="N1902" s="29" t="n"/>
      <c r="O1902" s="13" t="n"/>
      <c r="P1902" s="13" t="n"/>
      <c r="Q1902" s="35" t="n"/>
      <c r="R1902" s="35" t="n"/>
      <c r="S1902" s="35" t="n"/>
      <c r="T1902" s="35" t="n"/>
      <c r="U1902" s="35" t="n"/>
      <c r="V1902" s="18">
        <f>IF(COUNTA($B1902:$R1902)=0,"",ROUND(N($R1902)+N($S1902)+N($T1902)-N($U1902),2))</f>
        <v/>
      </c>
      <c r="W1902" s="18">
        <f>IF(COUNTA($B1902:$R1902)=0,"",IF(OR($X1902="Pago",$X1902="Recebido",$X1902="Cancelado"),0,ROUND(N($Q1902)+N($S1902)+N($T1902)-N($U1902)-N($R1902),2)))</f>
        <v/>
      </c>
      <c r="X1902" s="14" t="n"/>
      <c r="Y1902" s="17">
        <f>IF(COUNTA($B1902:$R1902)=0,"",IF($X1902="Cancelado","Cancelado",IF(OR($X1902="Pago",$X1902="Recebido"),$X1902,IF(OR($X1902="Parcial",N($R1902)&gt;0),"Parcial",IF($C1902="","Sem vencimento",IF($C1902&lt;TODAY(),"Vencido",IF($C1902=TODAY(),"Vence hoje",IF($C1902&lt;=TODAY()+7,"Vence em 7 dias",IF($C1902&lt;=TODAY()+30,"Vence em 30 dias","Futuro")))))))))</f>
        <v/>
      </c>
      <c r="Z1902" s="24">
        <f>IF($B1902="","",MONTH($B1902))</f>
        <v/>
      </c>
      <c r="AA1902" s="24">
        <f>IF($B1902="","",YEAR($B1902))</f>
        <v/>
      </c>
      <c r="AB1902" s="24">
        <f>IF($B1902="","",ISOWEEKNUM($B1902))</f>
        <v/>
      </c>
      <c r="AC1902" s="17">
        <f>IF($B1902="","",CHOOSE(WEEKDAY($B1902,2),"Segunda","Terça","Quarta","Quinta","Sexta","Sábado","Domingo"))</f>
        <v/>
      </c>
      <c r="AD1902" s="17">
        <f>IF($B1902="","",TEXT($B1902,"MM/AAAA"))</f>
        <v/>
      </c>
      <c r="AE1902" s="18">
        <f>IF(COUNTA($B1902:$R1902)=0,"",IF($X1902="Cancelado",0,ROUND(N($Q1902)+N($S1902)+N($T1902)-N($U1902),2)))</f>
        <v/>
      </c>
      <c r="AF1902" s="9">
        <f>IF($G1902="","",IFERROR(INDEX(LINHAS_DRE_PLANO,MATCH($G1902,SUBCATEGORIAS_PLANO,0)),"Não classificado"))</f>
        <v/>
      </c>
      <c r="AG1902" s="17">
        <f>IF($G1902="","",IFERROR(INDEX(TIPOS_FLUXO_PLANO,MATCH($G1902,SUBCATEGORIAS_PLANO,0)),"Não classificado"))</f>
        <v/>
      </c>
      <c r="AH1902" s="9">
        <f>IF($G1902="","",IFERROR(INDEX(GRUPOS_PLANO,MATCH($G1902,SUBCATEGORIAS_PLANO,0)),"Não classificado"))</f>
        <v/>
      </c>
      <c r="AI1902" s="24">
        <f>IF(OR($C1902="",$X1902="Pago",$X1902="Recebido",$X1902="Cancelado"),"",$C1902-TODAY())</f>
        <v/>
      </c>
      <c r="AJ1902" s="24">
        <f>IF(OR($C1902="",$X1902="Pago",$X1902="Recebido",$X1902="Cancelado"),0,MAX(0,TODAY()-$C1902))</f>
        <v/>
      </c>
      <c r="AK1902" s="24">
        <f>IF($D1902="","",$D1902-$B1902)</f>
        <v/>
      </c>
      <c r="AL1902" s="18">
        <f>IF(OR($D1902="",$B1902=""),"",ROUND(N($R1902)*($D1902-$B1902),2))</f>
        <v/>
      </c>
      <c r="AM1902" s="17">
        <f>IF(AND($E1902="Saída",$W1902&gt;0,$C1902&lt;&gt;""),$C1902+ROW()/1000000,"")</f>
        <v/>
      </c>
      <c r="AN1902" s="17">
        <f>IF(AND($E1902="Entrada",$W1902&gt;0,$C1902&lt;&gt;""),$C1902+ROW()/1000000,"")</f>
        <v/>
      </c>
      <c r="AO1902" s="9">
        <f>IF(COUNTA($B1902:$R1902)=0,"",IF(AND($I1902&lt;&gt;"",COUNTIF(CLIENTES_NOMES,$I1902)+COUNTIF(CLIENTES_FANTASIA,$I1902)+COUNTIF(FORNECEDORES_NOMES,$I1902)+COUNTIF(FORNECEDORES_FANTASIA,$I1902)=0),"⚠ Cliente/Fornecedor não cadastrado",IF(AND($G1902&lt;&gt;"",COUNTIF(SUBCATEGORIAS_PLANO,$G1902)=0),"⚠ Subcategoria fora do plano de contas",IF(OR($Q1902="",N($Q1902)=0),"⚠ Valor previsto não informado",IF(AND(OR($X1902="Pago",$X1902="Recebido"),$D1902=""),"⚠ Status pago/recebido sem data",IF(AND($D1902&lt;&gt;"",N($R1902)=0),"⚠ Data de pagamento sem valor realizado",IF(AND(N($P1902)&gt;1,N($O1902)&gt;N($P1902)),"⚠ Nº da parcela maior que o total",IF(AND($C1902&lt;&gt;"",$B1902&lt;&gt;"",$C1902&lt;$B1902),"⚠ Vencimento anterior à competência","OK"))))))))</f>
        <v/>
      </c>
    </row>
    <row r="1903">
      <c r="A1903" s="14" t="n"/>
      <c r="B1903" s="36" t="n"/>
      <c r="C1903" s="36" t="n"/>
      <c r="D1903" s="36" t="n"/>
      <c r="E1903" s="14" t="n"/>
      <c r="F1903" s="29" t="n"/>
      <c r="G1903" s="29" t="n"/>
      <c r="H1903" s="29" t="n"/>
      <c r="I1903" s="29" t="n"/>
      <c r="J1903" s="29" t="n"/>
      <c r="K1903" s="14" t="n"/>
      <c r="L1903" s="29" t="n"/>
      <c r="M1903" s="14" t="n"/>
      <c r="N1903" s="29" t="n"/>
      <c r="O1903" s="13" t="n"/>
      <c r="P1903" s="13" t="n"/>
      <c r="Q1903" s="35" t="n"/>
      <c r="R1903" s="35" t="n"/>
      <c r="S1903" s="35" t="n"/>
      <c r="T1903" s="35" t="n"/>
      <c r="U1903" s="35" t="n"/>
      <c r="V1903" s="18">
        <f>IF(COUNTA($B1903:$R1903)=0,"",ROUND(N($R1903)+N($S1903)+N($T1903)-N($U1903),2))</f>
        <v/>
      </c>
      <c r="W1903" s="18">
        <f>IF(COUNTA($B1903:$R1903)=0,"",IF(OR($X1903="Pago",$X1903="Recebido",$X1903="Cancelado"),0,ROUND(N($Q1903)+N($S1903)+N($T1903)-N($U1903)-N($R1903),2)))</f>
        <v/>
      </c>
      <c r="X1903" s="14" t="n"/>
      <c r="Y1903" s="17">
        <f>IF(COUNTA($B1903:$R1903)=0,"",IF($X1903="Cancelado","Cancelado",IF(OR($X1903="Pago",$X1903="Recebido"),$X1903,IF(OR($X1903="Parcial",N($R1903)&gt;0),"Parcial",IF($C1903="","Sem vencimento",IF($C1903&lt;TODAY(),"Vencido",IF($C1903=TODAY(),"Vence hoje",IF($C1903&lt;=TODAY()+7,"Vence em 7 dias",IF($C1903&lt;=TODAY()+30,"Vence em 30 dias","Futuro")))))))))</f>
        <v/>
      </c>
      <c r="Z1903" s="24">
        <f>IF($B1903="","",MONTH($B1903))</f>
        <v/>
      </c>
      <c r="AA1903" s="24">
        <f>IF($B1903="","",YEAR($B1903))</f>
        <v/>
      </c>
      <c r="AB1903" s="24">
        <f>IF($B1903="","",ISOWEEKNUM($B1903))</f>
        <v/>
      </c>
      <c r="AC1903" s="17">
        <f>IF($B1903="","",CHOOSE(WEEKDAY($B1903,2),"Segunda","Terça","Quarta","Quinta","Sexta","Sábado","Domingo"))</f>
        <v/>
      </c>
      <c r="AD1903" s="17">
        <f>IF($B1903="","",TEXT($B1903,"MM/AAAA"))</f>
        <v/>
      </c>
      <c r="AE1903" s="18">
        <f>IF(COUNTA($B1903:$R1903)=0,"",IF($X1903="Cancelado",0,ROUND(N($Q1903)+N($S1903)+N($T1903)-N($U1903),2)))</f>
        <v/>
      </c>
      <c r="AF1903" s="9">
        <f>IF($G1903="","",IFERROR(INDEX(LINHAS_DRE_PLANO,MATCH($G1903,SUBCATEGORIAS_PLANO,0)),"Não classificado"))</f>
        <v/>
      </c>
      <c r="AG1903" s="17">
        <f>IF($G1903="","",IFERROR(INDEX(TIPOS_FLUXO_PLANO,MATCH($G1903,SUBCATEGORIAS_PLANO,0)),"Não classificado"))</f>
        <v/>
      </c>
      <c r="AH1903" s="9">
        <f>IF($G1903="","",IFERROR(INDEX(GRUPOS_PLANO,MATCH($G1903,SUBCATEGORIAS_PLANO,0)),"Não classificado"))</f>
        <v/>
      </c>
      <c r="AI1903" s="24">
        <f>IF(OR($C1903="",$X1903="Pago",$X1903="Recebido",$X1903="Cancelado"),"",$C1903-TODAY())</f>
        <v/>
      </c>
      <c r="AJ1903" s="24">
        <f>IF(OR($C1903="",$X1903="Pago",$X1903="Recebido",$X1903="Cancelado"),0,MAX(0,TODAY()-$C1903))</f>
        <v/>
      </c>
      <c r="AK1903" s="24">
        <f>IF($D1903="","",$D1903-$B1903)</f>
        <v/>
      </c>
      <c r="AL1903" s="18">
        <f>IF(OR($D1903="",$B1903=""),"",ROUND(N($R1903)*($D1903-$B1903),2))</f>
        <v/>
      </c>
      <c r="AM1903" s="17">
        <f>IF(AND($E1903="Saída",$W1903&gt;0,$C1903&lt;&gt;""),$C1903+ROW()/1000000,"")</f>
        <v/>
      </c>
      <c r="AN1903" s="17">
        <f>IF(AND($E1903="Entrada",$W1903&gt;0,$C1903&lt;&gt;""),$C1903+ROW()/1000000,"")</f>
        <v/>
      </c>
      <c r="AO1903" s="9">
        <f>IF(COUNTA($B1903:$R1903)=0,"",IF(AND($I1903&lt;&gt;"",COUNTIF(CLIENTES_NOMES,$I1903)+COUNTIF(CLIENTES_FANTASIA,$I1903)+COUNTIF(FORNECEDORES_NOMES,$I1903)+COUNTIF(FORNECEDORES_FANTASIA,$I1903)=0),"⚠ Cliente/Fornecedor não cadastrado",IF(AND($G1903&lt;&gt;"",COUNTIF(SUBCATEGORIAS_PLANO,$G1903)=0),"⚠ Subcategoria fora do plano de contas",IF(OR($Q1903="",N($Q1903)=0),"⚠ Valor previsto não informado",IF(AND(OR($X1903="Pago",$X1903="Recebido"),$D1903=""),"⚠ Status pago/recebido sem data",IF(AND($D1903&lt;&gt;"",N($R1903)=0),"⚠ Data de pagamento sem valor realizado",IF(AND(N($P1903)&gt;1,N($O1903)&gt;N($P1903)),"⚠ Nº da parcela maior que o total",IF(AND($C1903&lt;&gt;"",$B1903&lt;&gt;"",$C1903&lt;$B1903),"⚠ Vencimento anterior à competência","OK"))))))))</f>
        <v/>
      </c>
    </row>
    <row r="1904">
      <c r="A1904" s="14" t="n"/>
      <c r="B1904" s="36" t="n"/>
      <c r="C1904" s="36" t="n"/>
      <c r="D1904" s="36" t="n"/>
      <c r="E1904" s="14" t="n"/>
      <c r="F1904" s="29" t="n"/>
      <c r="G1904" s="29" t="n"/>
      <c r="H1904" s="29" t="n"/>
      <c r="I1904" s="29" t="n"/>
      <c r="J1904" s="29" t="n"/>
      <c r="K1904" s="14" t="n"/>
      <c r="L1904" s="29" t="n"/>
      <c r="M1904" s="14" t="n"/>
      <c r="N1904" s="29" t="n"/>
      <c r="O1904" s="13" t="n"/>
      <c r="P1904" s="13" t="n"/>
      <c r="Q1904" s="35" t="n"/>
      <c r="R1904" s="35" t="n"/>
      <c r="S1904" s="35" t="n"/>
      <c r="T1904" s="35" t="n"/>
      <c r="U1904" s="35" t="n"/>
      <c r="V1904" s="18">
        <f>IF(COUNTA($B1904:$R1904)=0,"",ROUND(N($R1904)+N($S1904)+N($T1904)-N($U1904),2))</f>
        <v/>
      </c>
      <c r="W1904" s="18">
        <f>IF(COUNTA($B1904:$R1904)=0,"",IF(OR($X1904="Pago",$X1904="Recebido",$X1904="Cancelado"),0,ROUND(N($Q1904)+N($S1904)+N($T1904)-N($U1904)-N($R1904),2)))</f>
        <v/>
      </c>
      <c r="X1904" s="14" t="n"/>
      <c r="Y1904" s="17">
        <f>IF(COUNTA($B1904:$R1904)=0,"",IF($X1904="Cancelado","Cancelado",IF(OR($X1904="Pago",$X1904="Recebido"),$X1904,IF(OR($X1904="Parcial",N($R1904)&gt;0),"Parcial",IF($C1904="","Sem vencimento",IF($C1904&lt;TODAY(),"Vencido",IF($C1904=TODAY(),"Vence hoje",IF($C1904&lt;=TODAY()+7,"Vence em 7 dias",IF($C1904&lt;=TODAY()+30,"Vence em 30 dias","Futuro")))))))))</f>
        <v/>
      </c>
      <c r="Z1904" s="24">
        <f>IF($B1904="","",MONTH($B1904))</f>
        <v/>
      </c>
      <c r="AA1904" s="24">
        <f>IF($B1904="","",YEAR($B1904))</f>
        <v/>
      </c>
      <c r="AB1904" s="24">
        <f>IF($B1904="","",ISOWEEKNUM($B1904))</f>
        <v/>
      </c>
      <c r="AC1904" s="17">
        <f>IF($B1904="","",CHOOSE(WEEKDAY($B1904,2),"Segunda","Terça","Quarta","Quinta","Sexta","Sábado","Domingo"))</f>
        <v/>
      </c>
      <c r="AD1904" s="17">
        <f>IF($B1904="","",TEXT($B1904,"MM/AAAA"))</f>
        <v/>
      </c>
      <c r="AE1904" s="18">
        <f>IF(COUNTA($B1904:$R1904)=0,"",IF($X1904="Cancelado",0,ROUND(N($Q1904)+N($S1904)+N($T1904)-N($U1904),2)))</f>
        <v/>
      </c>
      <c r="AF1904" s="9">
        <f>IF($G1904="","",IFERROR(INDEX(LINHAS_DRE_PLANO,MATCH($G1904,SUBCATEGORIAS_PLANO,0)),"Não classificado"))</f>
        <v/>
      </c>
      <c r="AG1904" s="17">
        <f>IF($G1904="","",IFERROR(INDEX(TIPOS_FLUXO_PLANO,MATCH($G1904,SUBCATEGORIAS_PLANO,0)),"Não classificado"))</f>
        <v/>
      </c>
      <c r="AH1904" s="9">
        <f>IF($G1904="","",IFERROR(INDEX(GRUPOS_PLANO,MATCH($G1904,SUBCATEGORIAS_PLANO,0)),"Não classificado"))</f>
        <v/>
      </c>
      <c r="AI1904" s="24">
        <f>IF(OR($C1904="",$X1904="Pago",$X1904="Recebido",$X1904="Cancelado"),"",$C1904-TODAY())</f>
        <v/>
      </c>
      <c r="AJ1904" s="24">
        <f>IF(OR($C1904="",$X1904="Pago",$X1904="Recebido",$X1904="Cancelado"),0,MAX(0,TODAY()-$C1904))</f>
        <v/>
      </c>
      <c r="AK1904" s="24">
        <f>IF($D1904="","",$D1904-$B1904)</f>
        <v/>
      </c>
      <c r="AL1904" s="18">
        <f>IF(OR($D1904="",$B1904=""),"",ROUND(N($R1904)*($D1904-$B1904),2))</f>
        <v/>
      </c>
      <c r="AM1904" s="17">
        <f>IF(AND($E1904="Saída",$W1904&gt;0,$C1904&lt;&gt;""),$C1904+ROW()/1000000,"")</f>
        <v/>
      </c>
      <c r="AN1904" s="17">
        <f>IF(AND($E1904="Entrada",$W1904&gt;0,$C1904&lt;&gt;""),$C1904+ROW()/1000000,"")</f>
        <v/>
      </c>
      <c r="AO1904" s="9">
        <f>IF(COUNTA($B1904:$R1904)=0,"",IF(AND($I1904&lt;&gt;"",COUNTIF(CLIENTES_NOMES,$I1904)+COUNTIF(CLIENTES_FANTASIA,$I1904)+COUNTIF(FORNECEDORES_NOMES,$I1904)+COUNTIF(FORNECEDORES_FANTASIA,$I1904)=0),"⚠ Cliente/Fornecedor não cadastrado",IF(AND($G1904&lt;&gt;"",COUNTIF(SUBCATEGORIAS_PLANO,$G1904)=0),"⚠ Subcategoria fora do plano de contas",IF(OR($Q1904="",N($Q1904)=0),"⚠ Valor previsto não informado",IF(AND(OR($X1904="Pago",$X1904="Recebido"),$D1904=""),"⚠ Status pago/recebido sem data",IF(AND($D1904&lt;&gt;"",N($R1904)=0),"⚠ Data de pagamento sem valor realizado",IF(AND(N($P1904)&gt;1,N($O1904)&gt;N($P1904)),"⚠ Nº da parcela maior que o total",IF(AND($C1904&lt;&gt;"",$B1904&lt;&gt;"",$C1904&lt;$B1904),"⚠ Vencimento anterior à competência","OK"))))))))</f>
        <v/>
      </c>
    </row>
    <row r="1905">
      <c r="A1905" s="14" t="n"/>
      <c r="B1905" s="36" t="n"/>
      <c r="C1905" s="36" t="n"/>
      <c r="D1905" s="36" t="n"/>
      <c r="E1905" s="14" t="n"/>
      <c r="F1905" s="29" t="n"/>
      <c r="G1905" s="29" t="n"/>
      <c r="H1905" s="29" t="n"/>
      <c r="I1905" s="29" t="n"/>
      <c r="J1905" s="29" t="n"/>
      <c r="K1905" s="14" t="n"/>
      <c r="L1905" s="29" t="n"/>
      <c r="M1905" s="14" t="n"/>
      <c r="N1905" s="29" t="n"/>
      <c r="O1905" s="13" t="n"/>
      <c r="P1905" s="13" t="n"/>
      <c r="Q1905" s="35" t="n"/>
      <c r="R1905" s="35" t="n"/>
      <c r="S1905" s="35" t="n"/>
      <c r="T1905" s="35" t="n"/>
      <c r="U1905" s="35" t="n"/>
      <c r="V1905" s="18">
        <f>IF(COUNTA($B1905:$R1905)=0,"",ROUND(N($R1905)+N($S1905)+N($T1905)-N($U1905),2))</f>
        <v/>
      </c>
      <c r="W1905" s="18">
        <f>IF(COUNTA($B1905:$R1905)=0,"",IF(OR($X1905="Pago",$X1905="Recebido",$X1905="Cancelado"),0,ROUND(N($Q1905)+N($S1905)+N($T1905)-N($U1905)-N($R1905),2)))</f>
        <v/>
      </c>
      <c r="X1905" s="14" t="n"/>
      <c r="Y1905" s="17">
        <f>IF(COUNTA($B1905:$R1905)=0,"",IF($X1905="Cancelado","Cancelado",IF(OR($X1905="Pago",$X1905="Recebido"),$X1905,IF(OR($X1905="Parcial",N($R1905)&gt;0),"Parcial",IF($C1905="","Sem vencimento",IF($C1905&lt;TODAY(),"Vencido",IF($C1905=TODAY(),"Vence hoje",IF($C1905&lt;=TODAY()+7,"Vence em 7 dias",IF($C1905&lt;=TODAY()+30,"Vence em 30 dias","Futuro")))))))))</f>
        <v/>
      </c>
      <c r="Z1905" s="24">
        <f>IF($B1905="","",MONTH($B1905))</f>
        <v/>
      </c>
      <c r="AA1905" s="24">
        <f>IF($B1905="","",YEAR($B1905))</f>
        <v/>
      </c>
      <c r="AB1905" s="24">
        <f>IF($B1905="","",ISOWEEKNUM($B1905))</f>
        <v/>
      </c>
      <c r="AC1905" s="17">
        <f>IF($B1905="","",CHOOSE(WEEKDAY($B1905,2),"Segunda","Terça","Quarta","Quinta","Sexta","Sábado","Domingo"))</f>
        <v/>
      </c>
      <c r="AD1905" s="17">
        <f>IF($B1905="","",TEXT($B1905,"MM/AAAA"))</f>
        <v/>
      </c>
      <c r="AE1905" s="18">
        <f>IF(COUNTA($B1905:$R1905)=0,"",IF($X1905="Cancelado",0,ROUND(N($Q1905)+N($S1905)+N($T1905)-N($U1905),2)))</f>
        <v/>
      </c>
      <c r="AF1905" s="9">
        <f>IF($G1905="","",IFERROR(INDEX(LINHAS_DRE_PLANO,MATCH($G1905,SUBCATEGORIAS_PLANO,0)),"Não classificado"))</f>
        <v/>
      </c>
      <c r="AG1905" s="17">
        <f>IF($G1905="","",IFERROR(INDEX(TIPOS_FLUXO_PLANO,MATCH($G1905,SUBCATEGORIAS_PLANO,0)),"Não classificado"))</f>
        <v/>
      </c>
      <c r="AH1905" s="9">
        <f>IF($G1905="","",IFERROR(INDEX(GRUPOS_PLANO,MATCH($G1905,SUBCATEGORIAS_PLANO,0)),"Não classificado"))</f>
        <v/>
      </c>
      <c r="AI1905" s="24">
        <f>IF(OR($C1905="",$X1905="Pago",$X1905="Recebido",$X1905="Cancelado"),"",$C1905-TODAY())</f>
        <v/>
      </c>
      <c r="AJ1905" s="24">
        <f>IF(OR($C1905="",$X1905="Pago",$X1905="Recebido",$X1905="Cancelado"),0,MAX(0,TODAY()-$C1905))</f>
        <v/>
      </c>
      <c r="AK1905" s="24">
        <f>IF($D1905="","",$D1905-$B1905)</f>
        <v/>
      </c>
      <c r="AL1905" s="18">
        <f>IF(OR($D1905="",$B1905=""),"",ROUND(N($R1905)*($D1905-$B1905),2))</f>
        <v/>
      </c>
      <c r="AM1905" s="17">
        <f>IF(AND($E1905="Saída",$W1905&gt;0,$C1905&lt;&gt;""),$C1905+ROW()/1000000,"")</f>
        <v/>
      </c>
      <c r="AN1905" s="17">
        <f>IF(AND($E1905="Entrada",$W1905&gt;0,$C1905&lt;&gt;""),$C1905+ROW()/1000000,"")</f>
        <v/>
      </c>
      <c r="AO1905" s="9">
        <f>IF(COUNTA($B1905:$R1905)=0,"",IF(AND($I1905&lt;&gt;"",COUNTIF(CLIENTES_NOMES,$I1905)+COUNTIF(CLIENTES_FANTASIA,$I1905)+COUNTIF(FORNECEDORES_NOMES,$I1905)+COUNTIF(FORNECEDORES_FANTASIA,$I1905)=0),"⚠ Cliente/Fornecedor não cadastrado",IF(AND($G1905&lt;&gt;"",COUNTIF(SUBCATEGORIAS_PLANO,$G1905)=0),"⚠ Subcategoria fora do plano de contas",IF(OR($Q1905="",N($Q1905)=0),"⚠ Valor previsto não informado",IF(AND(OR($X1905="Pago",$X1905="Recebido"),$D1905=""),"⚠ Status pago/recebido sem data",IF(AND($D1905&lt;&gt;"",N($R1905)=0),"⚠ Data de pagamento sem valor realizado",IF(AND(N($P1905)&gt;1,N($O1905)&gt;N($P1905)),"⚠ Nº da parcela maior que o total",IF(AND($C1905&lt;&gt;"",$B1905&lt;&gt;"",$C1905&lt;$B1905),"⚠ Vencimento anterior à competência","OK"))))))))</f>
        <v/>
      </c>
    </row>
    <row r="1906">
      <c r="A1906" s="14" t="n"/>
      <c r="B1906" s="36" t="n"/>
      <c r="C1906" s="36" t="n"/>
      <c r="D1906" s="36" t="n"/>
      <c r="E1906" s="14" t="n"/>
      <c r="F1906" s="29" t="n"/>
      <c r="G1906" s="29" t="n"/>
      <c r="H1906" s="29" t="n"/>
      <c r="I1906" s="29" t="n"/>
      <c r="J1906" s="29" t="n"/>
      <c r="K1906" s="14" t="n"/>
      <c r="L1906" s="29" t="n"/>
      <c r="M1906" s="14" t="n"/>
      <c r="N1906" s="29" t="n"/>
      <c r="O1906" s="13" t="n"/>
      <c r="P1906" s="13" t="n"/>
      <c r="Q1906" s="35" t="n"/>
      <c r="R1906" s="35" t="n"/>
      <c r="S1906" s="35" t="n"/>
      <c r="T1906" s="35" t="n"/>
      <c r="U1906" s="35" t="n"/>
      <c r="V1906" s="18">
        <f>IF(COUNTA($B1906:$R1906)=0,"",ROUND(N($R1906)+N($S1906)+N($T1906)-N($U1906),2))</f>
        <v/>
      </c>
      <c r="W1906" s="18">
        <f>IF(COUNTA($B1906:$R1906)=0,"",IF(OR($X1906="Pago",$X1906="Recebido",$X1906="Cancelado"),0,ROUND(N($Q1906)+N($S1906)+N($T1906)-N($U1906)-N($R1906),2)))</f>
        <v/>
      </c>
      <c r="X1906" s="14" t="n"/>
      <c r="Y1906" s="17">
        <f>IF(COUNTA($B1906:$R1906)=0,"",IF($X1906="Cancelado","Cancelado",IF(OR($X1906="Pago",$X1906="Recebido"),$X1906,IF(OR($X1906="Parcial",N($R1906)&gt;0),"Parcial",IF($C1906="","Sem vencimento",IF($C1906&lt;TODAY(),"Vencido",IF($C1906=TODAY(),"Vence hoje",IF($C1906&lt;=TODAY()+7,"Vence em 7 dias",IF($C1906&lt;=TODAY()+30,"Vence em 30 dias","Futuro")))))))))</f>
        <v/>
      </c>
      <c r="Z1906" s="24">
        <f>IF($B1906="","",MONTH($B1906))</f>
        <v/>
      </c>
      <c r="AA1906" s="24">
        <f>IF($B1906="","",YEAR($B1906))</f>
        <v/>
      </c>
      <c r="AB1906" s="24">
        <f>IF($B1906="","",ISOWEEKNUM($B1906))</f>
        <v/>
      </c>
      <c r="AC1906" s="17">
        <f>IF($B1906="","",CHOOSE(WEEKDAY($B1906,2),"Segunda","Terça","Quarta","Quinta","Sexta","Sábado","Domingo"))</f>
        <v/>
      </c>
      <c r="AD1906" s="17">
        <f>IF($B1906="","",TEXT($B1906,"MM/AAAA"))</f>
        <v/>
      </c>
      <c r="AE1906" s="18">
        <f>IF(COUNTA($B1906:$R1906)=0,"",IF($X1906="Cancelado",0,ROUND(N($Q1906)+N($S1906)+N($T1906)-N($U1906),2)))</f>
        <v/>
      </c>
      <c r="AF1906" s="9">
        <f>IF($G1906="","",IFERROR(INDEX(LINHAS_DRE_PLANO,MATCH($G1906,SUBCATEGORIAS_PLANO,0)),"Não classificado"))</f>
        <v/>
      </c>
      <c r="AG1906" s="17">
        <f>IF($G1906="","",IFERROR(INDEX(TIPOS_FLUXO_PLANO,MATCH($G1906,SUBCATEGORIAS_PLANO,0)),"Não classificado"))</f>
        <v/>
      </c>
      <c r="AH1906" s="9">
        <f>IF($G1906="","",IFERROR(INDEX(GRUPOS_PLANO,MATCH($G1906,SUBCATEGORIAS_PLANO,0)),"Não classificado"))</f>
        <v/>
      </c>
      <c r="AI1906" s="24">
        <f>IF(OR($C1906="",$X1906="Pago",$X1906="Recebido",$X1906="Cancelado"),"",$C1906-TODAY())</f>
        <v/>
      </c>
      <c r="AJ1906" s="24">
        <f>IF(OR($C1906="",$X1906="Pago",$X1906="Recebido",$X1906="Cancelado"),0,MAX(0,TODAY()-$C1906))</f>
        <v/>
      </c>
      <c r="AK1906" s="24">
        <f>IF($D1906="","",$D1906-$B1906)</f>
        <v/>
      </c>
      <c r="AL1906" s="18">
        <f>IF(OR($D1906="",$B1906=""),"",ROUND(N($R1906)*($D1906-$B1906),2))</f>
        <v/>
      </c>
      <c r="AM1906" s="17">
        <f>IF(AND($E1906="Saída",$W1906&gt;0,$C1906&lt;&gt;""),$C1906+ROW()/1000000,"")</f>
        <v/>
      </c>
      <c r="AN1906" s="17">
        <f>IF(AND($E1906="Entrada",$W1906&gt;0,$C1906&lt;&gt;""),$C1906+ROW()/1000000,"")</f>
        <v/>
      </c>
      <c r="AO1906" s="9">
        <f>IF(COUNTA($B1906:$R1906)=0,"",IF(AND($I1906&lt;&gt;"",COUNTIF(CLIENTES_NOMES,$I1906)+COUNTIF(CLIENTES_FANTASIA,$I1906)+COUNTIF(FORNECEDORES_NOMES,$I1906)+COUNTIF(FORNECEDORES_FANTASIA,$I1906)=0),"⚠ Cliente/Fornecedor não cadastrado",IF(AND($G1906&lt;&gt;"",COUNTIF(SUBCATEGORIAS_PLANO,$G1906)=0),"⚠ Subcategoria fora do plano de contas",IF(OR($Q1906="",N($Q1906)=0),"⚠ Valor previsto não informado",IF(AND(OR($X1906="Pago",$X1906="Recebido"),$D1906=""),"⚠ Status pago/recebido sem data",IF(AND($D1906&lt;&gt;"",N($R1906)=0),"⚠ Data de pagamento sem valor realizado",IF(AND(N($P1906)&gt;1,N($O1906)&gt;N($P1906)),"⚠ Nº da parcela maior que o total",IF(AND($C1906&lt;&gt;"",$B1906&lt;&gt;"",$C1906&lt;$B1906),"⚠ Vencimento anterior à competência","OK"))))))))</f>
        <v/>
      </c>
    </row>
    <row r="1907">
      <c r="A1907" s="14" t="n"/>
      <c r="B1907" s="36" t="n"/>
      <c r="C1907" s="36" t="n"/>
      <c r="D1907" s="36" t="n"/>
      <c r="E1907" s="14" t="n"/>
      <c r="F1907" s="29" t="n"/>
      <c r="G1907" s="29" t="n"/>
      <c r="H1907" s="29" t="n"/>
      <c r="I1907" s="29" t="n"/>
      <c r="J1907" s="29" t="n"/>
      <c r="K1907" s="14" t="n"/>
      <c r="L1907" s="29" t="n"/>
      <c r="M1907" s="14" t="n"/>
      <c r="N1907" s="29" t="n"/>
      <c r="O1907" s="13" t="n"/>
      <c r="P1907" s="13" t="n"/>
      <c r="Q1907" s="35" t="n"/>
      <c r="R1907" s="35" t="n"/>
      <c r="S1907" s="35" t="n"/>
      <c r="T1907" s="35" t="n"/>
      <c r="U1907" s="35" t="n"/>
      <c r="V1907" s="18">
        <f>IF(COUNTA($B1907:$R1907)=0,"",ROUND(N($R1907)+N($S1907)+N($T1907)-N($U1907),2))</f>
        <v/>
      </c>
      <c r="W1907" s="18">
        <f>IF(COUNTA($B1907:$R1907)=0,"",IF(OR($X1907="Pago",$X1907="Recebido",$X1907="Cancelado"),0,ROUND(N($Q1907)+N($S1907)+N($T1907)-N($U1907)-N($R1907),2)))</f>
        <v/>
      </c>
      <c r="X1907" s="14" t="n"/>
      <c r="Y1907" s="17">
        <f>IF(COUNTA($B1907:$R1907)=0,"",IF($X1907="Cancelado","Cancelado",IF(OR($X1907="Pago",$X1907="Recebido"),$X1907,IF(OR($X1907="Parcial",N($R1907)&gt;0),"Parcial",IF($C1907="","Sem vencimento",IF($C1907&lt;TODAY(),"Vencido",IF($C1907=TODAY(),"Vence hoje",IF($C1907&lt;=TODAY()+7,"Vence em 7 dias",IF($C1907&lt;=TODAY()+30,"Vence em 30 dias","Futuro")))))))))</f>
        <v/>
      </c>
      <c r="Z1907" s="24">
        <f>IF($B1907="","",MONTH($B1907))</f>
        <v/>
      </c>
      <c r="AA1907" s="24">
        <f>IF($B1907="","",YEAR($B1907))</f>
        <v/>
      </c>
      <c r="AB1907" s="24">
        <f>IF($B1907="","",ISOWEEKNUM($B1907))</f>
        <v/>
      </c>
      <c r="AC1907" s="17">
        <f>IF($B1907="","",CHOOSE(WEEKDAY($B1907,2),"Segunda","Terça","Quarta","Quinta","Sexta","Sábado","Domingo"))</f>
        <v/>
      </c>
      <c r="AD1907" s="17">
        <f>IF($B1907="","",TEXT($B1907,"MM/AAAA"))</f>
        <v/>
      </c>
      <c r="AE1907" s="18">
        <f>IF(COUNTA($B1907:$R1907)=0,"",IF($X1907="Cancelado",0,ROUND(N($Q1907)+N($S1907)+N($T1907)-N($U1907),2)))</f>
        <v/>
      </c>
      <c r="AF1907" s="9">
        <f>IF($G1907="","",IFERROR(INDEX(LINHAS_DRE_PLANO,MATCH($G1907,SUBCATEGORIAS_PLANO,0)),"Não classificado"))</f>
        <v/>
      </c>
      <c r="AG1907" s="17">
        <f>IF($G1907="","",IFERROR(INDEX(TIPOS_FLUXO_PLANO,MATCH($G1907,SUBCATEGORIAS_PLANO,0)),"Não classificado"))</f>
        <v/>
      </c>
      <c r="AH1907" s="9">
        <f>IF($G1907="","",IFERROR(INDEX(GRUPOS_PLANO,MATCH($G1907,SUBCATEGORIAS_PLANO,0)),"Não classificado"))</f>
        <v/>
      </c>
      <c r="AI1907" s="24">
        <f>IF(OR($C1907="",$X1907="Pago",$X1907="Recebido",$X1907="Cancelado"),"",$C1907-TODAY())</f>
        <v/>
      </c>
      <c r="AJ1907" s="24">
        <f>IF(OR($C1907="",$X1907="Pago",$X1907="Recebido",$X1907="Cancelado"),0,MAX(0,TODAY()-$C1907))</f>
        <v/>
      </c>
      <c r="AK1907" s="24">
        <f>IF($D1907="","",$D1907-$B1907)</f>
        <v/>
      </c>
      <c r="AL1907" s="18">
        <f>IF(OR($D1907="",$B1907=""),"",ROUND(N($R1907)*($D1907-$B1907),2))</f>
        <v/>
      </c>
      <c r="AM1907" s="17">
        <f>IF(AND($E1907="Saída",$W1907&gt;0,$C1907&lt;&gt;""),$C1907+ROW()/1000000,"")</f>
        <v/>
      </c>
      <c r="AN1907" s="17">
        <f>IF(AND($E1907="Entrada",$W1907&gt;0,$C1907&lt;&gt;""),$C1907+ROW()/1000000,"")</f>
        <v/>
      </c>
      <c r="AO1907" s="9">
        <f>IF(COUNTA($B1907:$R1907)=0,"",IF(AND($I1907&lt;&gt;"",COUNTIF(CLIENTES_NOMES,$I1907)+COUNTIF(CLIENTES_FANTASIA,$I1907)+COUNTIF(FORNECEDORES_NOMES,$I1907)+COUNTIF(FORNECEDORES_FANTASIA,$I1907)=0),"⚠ Cliente/Fornecedor não cadastrado",IF(AND($G1907&lt;&gt;"",COUNTIF(SUBCATEGORIAS_PLANO,$G1907)=0),"⚠ Subcategoria fora do plano de contas",IF(OR($Q1907="",N($Q1907)=0),"⚠ Valor previsto não informado",IF(AND(OR($X1907="Pago",$X1907="Recebido"),$D1907=""),"⚠ Status pago/recebido sem data",IF(AND($D1907&lt;&gt;"",N($R1907)=0),"⚠ Data de pagamento sem valor realizado",IF(AND(N($P1907)&gt;1,N($O1907)&gt;N($P1907)),"⚠ Nº da parcela maior que o total",IF(AND($C1907&lt;&gt;"",$B1907&lt;&gt;"",$C1907&lt;$B1907),"⚠ Vencimento anterior à competência","OK"))))))))</f>
        <v/>
      </c>
    </row>
    <row r="1908">
      <c r="A1908" s="14" t="n"/>
      <c r="B1908" s="36" t="n"/>
      <c r="C1908" s="36" t="n"/>
      <c r="D1908" s="36" t="n"/>
      <c r="E1908" s="14" t="n"/>
      <c r="F1908" s="29" t="n"/>
      <c r="G1908" s="29" t="n"/>
      <c r="H1908" s="29" t="n"/>
      <c r="I1908" s="29" t="n"/>
      <c r="J1908" s="29" t="n"/>
      <c r="K1908" s="14" t="n"/>
      <c r="L1908" s="29" t="n"/>
      <c r="M1908" s="14" t="n"/>
      <c r="N1908" s="29" t="n"/>
      <c r="O1908" s="13" t="n"/>
      <c r="P1908" s="13" t="n"/>
      <c r="Q1908" s="35" t="n"/>
      <c r="R1908" s="35" t="n"/>
      <c r="S1908" s="35" t="n"/>
      <c r="T1908" s="35" t="n"/>
      <c r="U1908" s="35" t="n"/>
      <c r="V1908" s="18">
        <f>IF(COUNTA($B1908:$R1908)=0,"",ROUND(N($R1908)+N($S1908)+N($T1908)-N($U1908),2))</f>
        <v/>
      </c>
      <c r="W1908" s="18">
        <f>IF(COUNTA($B1908:$R1908)=0,"",IF(OR($X1908="Pago",$X1908="Recebido",$X1908="Cancelado"),0,ROUND(N($Q1908)+N($S1908)+N($T1908)-N($U1908)-N($R1908),2)))</f>
        <v/>
      </c>
      <c r="X1908" s="14" t="n"/>
      <c r="Y1908" s="17">
        <f>IF(COUNTA($B1908:$R1908)=0,"",IF($X1908="Cancelado","Cancelado",IF(OR($X1908="Pago",$X1908="Recebido"),$X1908,IF(OR($X1908="Parcial",N($R1908)&gt;0),"Parcial",IF($C1908="","Sem vencimento",IF($C1908&lt;TODAY(),"Vencido",IF($C1908=TODAY(),"Vence hoje",IF($C1908&lt;=TODAY()+7,"Vence em 7 dias",IF($C1908&lt;=TODAY()+30,"Vence em 30 dias","Futuro")))))))))</f>
        <v/>
      </c>
      <c r="Z1908" s="24">
        <f>IF($B1908="","",MONTH($B1908))</f>
        <v/>
      </c>
      <c r="AA1908" s="24">
        <f>IF($B1908="","",YEAR($B1908))</f>
        <v/>
      </c>
      <c r="AB1908" s="24">
        <f>IF($B1908="","",ISOWEEKNUM($B1908))</f>
        <v/>
      </c>
      <c r="AC1908" s="17">
        <f>IF($B1908="","",CHOOSE(WEEKDAY($B1908,2),"Segunda","Terça","Quarta","Quinta","Sexta","Sábado","Domingo"))</f>
        <v/>
      </c>
      <c r="AD1908" s="17">
        <f>IF($B1908="","",TEXT($B1908,"MM/AAAA"))</f>
        <v/>
      </c>
      <c r="AE1908" s="18">
        <f>IF(COUNTA($B1908:$R1908)=0,"",IF($X1908="Cancelado",0,ROUND(N($Q1908)+N($S1908)+N($T1908)-N($U1908),2)))</f>
        <v/>
      </c>
      <c r="AF1908" s="9">
        <f>IF($G1908="","",IFERROR(INDEX(LINHAS_DRE_PLANO,MATCH($G1908,SUBCATEGORIAS_PLANO,0)),"Não classificado"))</f>
        <v/>
      </c>
      <c r="AG1908" s="17">
        <f>IF($G1908="","",IFERROR(INDEX(TIPOS_FLUXO_PLANO,MATCH($G1908,SUBCATEGORIAS_PLANO,0)),"Não classificado"))</f>
        <v/>
      </c>
      <c r="AH1908" s="9">
        <f>IF($G1908="","",IFERROR(INDEX(GRUPOS_PLANO,MATCH($G1908,SUBCATEGORIAS_PLANO,0)),"Não classificado"))</f>
        <v/>
      </c>
      <c r="AI1908" s="24">
        <f>IF(OR($C1908="",$X1908="Pago",$X1908="Recebido",$X1908="Cancelado"),"",$C1908-TODAY())</f>
        <v/>
      </c>
      <c r="AJ1908" s="24">
        <f>IF(OR($C1908="",$X1908="Pago",$X1908="Recebido",$X1908="Cancelado"),0,MAX(0,TODAY()-$C1908))</f>
        <v/>
      </c>
      <c r="AK1908" s="24">
        <f>IF($D1908="","",$D1908-$B1908)</f>
        <v/>
      </c>
      <c r="AL1908" s="18">
        <f>IF(OR($D1908="",$B1908=""),"",ROUND(N($R1908)*($D1908-$B1908),2))</f>
        <v/>
      </c>
      <c r="AM1908" s="17">
        <f>IF(AND($E1908="Saída",$W1908&gt;0,$C1908&lt;&gt;""),$C1908+ROW()/1000000,"")</f>
        <v/>
      </c>
      <c r="AN1908" s="17">
        <f>IF(AND($E1908="Entrada",$W1908&gt;0,$C1908&lt;&gt;""),$C1908+ROW()/1000000,"")</f>
        <v/>
      </c>
      <c r="AO1908" s="9">
        <f>IF(COUNTA($B1908:$R1908)=0,"",IF(AND($I1908&lt;&gt;"",COUNTIF(CLIENTES_NOMES,$I1908)+COUNTIF(CLIENTES_FANTASIA,$I1908)+COUNTIF(FORNECEDORES_NOMES,$I1908)+COUNTIF(FORNECEDORES_FANTASIA,$I1908)=0),"⚠ Cliente/Fornecedor não cadastrado",IF(AND($G1908&lt;&gt;"",COUNTIF(SUBCATEGORIAS_PLANO,$G1908)=0),"⚠ Subcategoria fora do plano de contas",IF(OR($Q1908="",N($Q1908)=0),"⚠ Valor previsto não informado",IF(AND(OR($X1908="Pago",$X1908="Recebido"),$D1908=""),"⚠ Status pago/recebido sem data",IF(AND($D1908&lt;&gt;"",N($R1908)=0),"⚠ Data de pagamento sem valor realizado",IF(AND(N($P1908)&gt;1,N($O1908)&gt;N($P1908)),"⚠ Nº da parcela maior que o total",IF(AND($C1908&lt;&gt;"",$B1908&lt;&gt;"",$C1908&lt;$B1908),"⚠ Vencimento anterior à competência","OK"))))))))</f>
        <v/>
      </c>
    </row>
    <row r="1909">
      <c r="A1909" s="14" t="n"/>
      <c r="B1909" s="36" t="n"/>
      <c r="C1909" s="36" t="n"/>
      <c r="D1909" s="36" t="n"/>
      <c r="E1909" s="14" t="n"/>
      <c r="F1909" s="29" t="n"/>
      <c r="G1909" s="29" t="n"/>
      <c r="H1909" s="29" t="n"/>
      <c r="I1909" s="29" t="n"/>
      <c r="J1909" s="29" t="n"/>
      <c r="K1909" s="14" t="n"/>
      <c r="L1909" s="29" t="n"/>
      <c r="M1909" s="14" t="n"/>
      <c r="N1909" s="29" t="n"/>
      <c r="O1909" s="13" t="n"/>
      <c r="P1909" s="13" t="n"/>
      <c r="Q1909" s="35" t="n"/>
      <c r="R1909" s="35" t="n"/>
      <c r="S1909" s="35" t="n"/>
      <c r="T1909" s="35" t="n"/>
      <c r="U1909" s="35" t="n"/>
      <c r="V1909" s="18">
        <f>IF(COUNTA($B1909:$R1909)=0,"",ROUND(N($R1909)+N($S1909)+N($T1909)-N($U1909),2))</f>
        <v/>
      </c>
      <c r="W1909" s="18">
        <f>IF(COUNTA($B1909:$R1909)=0,"",IF(OR($X1909="Pago",$X1909="Recebido",$X1909="Cancelado"),0,ROUND(N($Q1909)+N($S1909)+N($T1909)-N($U1909)-N($R1909),2)))</f>
        <v/>
      </c>
      <c r="X1909" s="14" t="n"/>
      <c r="Y1909" s="17">
        <f>IF(COUNTA($B1909:$R1909)=0,"",IF($X1909="Cancelado","Cancelado",IF(OR($X1909="Pago",$X1909="Recebido"),$X1909,IF(OR($X1909="Parcial",N($R1909)&gt;0),"Parcial",IF($C1909="","Sem vencimento",IF($C1909&lt;TODAY(),"Vencido",IF($C1909=TODAY(),"Vence hoje",IF($C1909&lt;=TODAY()+7,"Vence em 7 dias",IF($C1909&lt;=TODAY()+30,"Vence em 30 dias","Futuro")))))))))</f>
        <v/>
      </c>
      <c r="Z1909" s="24">
        <f>IF($B1909="","",MONTH($B1909))</f>
        <v/>
      </c>
      <c r="AA1909" s="24">
        <f>IF($B1909="","",YEAR($B1909))</f>
        <v/>
      </c>
      <c r="AB1909" s="24">
        <f>IF($B1909="","",ISOWEEKNUM($B1909))</f>
        <v/>
      </c>
      <c r="AC1909" s="17">
        <f>IF($B1909="","",CHOOSE(WEEKDAY($B1909,2),"Segunda","Terça","Quarta","Quinta","Sexta","Sábado","Domingo"))</f>
        <v/>
      </c>
      <c r="AD1909" s="17">
        <f>IF($B1909="","",TEXT($B1909,"MM/AAAA"))</f>
        <v/>
      </c>
      <c r="AE1909" s="18">
        <f>IF(COUNTA($B1909:$R1909)=0,"",IF($X1909="Cancelado",0,ROUND(N($Q1909)+N($S1909)+N($T1909)-N($U1909),2)))</f>
        <v/>
      </c>
      <c r="AF1909" s="9">
        <f>IF($G1909="","",IFERROR(INDEX(LINHAS_DRE_PLANO,MATCH($G1909,SUBCATEGORIAS_PLANO,0)),"Não classificado"))</f>
        <v/>
      </c>
      <c r="AG1909" s="17">
        <f>IF($G1909="","",IFERROR(INDEX(TIPOS_FLUXO_PLANO,MATCH($G1909,SUBCATEGORIAS_PLANO,0)),"Não classificado"))</f>
        <v/>
      </c>
      <c r="AH1909" s="9">
        <f>IF($G1909="","",IFERROR(INDEX(GRUPOS_PLANO,MATCH($G1909,SUBCATEGORIAS_PLANO,0)),"Não classificado"))</f>
        <v/>
      </c>
      <c r="AI1909" s="24">
        <f>IF(OR($C1909="",$X1909="Pago",$X1909="Recebido",$X1909="Cancelado"),"",$C1909-TODAY())</f>
        <v/>
      </c>
      <c r="AJ1909" s="24">
        <f>IF(OR($C1909="",$X1909="Pago",$X1909="Recebido",$X1909="Cancelado"),0,MAX(0,TODAY()-$C1909))</f>
        <v/>
      </c>
      <c r="AK1909" s="24">
        <f>IF($D1909="","",$D1909-$B1909)</f>
        <v/>
      </c>
      <c r="AL1909" s="18">
        <f>IF(OR($D1909="",$B1909=""),"",ROUND(N($R1909)*($D1909-$B1909),2))</f>
        <v/>
      </c>
      <c r="AM1909" s="17">
        <f>IF(AND($E1909="Saída",$W1909&gt;0,$C1909&lt;&gt;""),$C1909+ROW()/1000000,"")</f>
        <v/>
      </c>
      <c r="AN1909" s="17">
        <f>IF(AND($E1909="Entrada",$W1909&gt;0,$C1909&lt;&gt;""),$C1909+ROW()/1000000,"")</f>
        <v/>
      </c>
      <c r="AO1909" s="9">
        <f>IF(COUNTA($B1909:$R1909)=0,"",IF(AND($I1909&lt;&gt;"",COUNTIF(CLIENTES_NOMES,$I1909)+COUNTIF(CLIENTES_FANTASIA,$I1909)+COUNTIF(FORNECEDORES_NOMES,$I1909)+COUNTIF(FORNECEDORES_FANTASIA,$I1909)=0),"⚠ Cliente/Fornecedor não cadastrado",IF(AND($G1909&lt;&gt;"",COUNTIF(SUBCATEGORIAS_PLANO,$G1909)=0),"⚠ Subcategoria fora do plano de contas",IF(OR($Q1909="",N($Q1909)=0),"⚠ Valor previsto não informado",IF(AND(OR($X1909="Pago",$X1909="Recebido"),$D1909=""),"⚠ Status pago/recebido sem data",IF(AND($D1909&lt;&gt;"",N($R1909)=0),"⚠ Data de pagamento sem valor realizado",IF(AND(N($P1909)&gt;1,N($O1909)&gt;N($P1909)),"⚠ Nº da parcela maior que o total",IF(AND($C1909&lt;&gt;"",$B1909&lt;&gt;"",$C1909&lt;$B1909),"⚠ Vencimento anterior à competência","OK"))))))))</f>
        <v/>
      </c>
    </row>
    <row r="1910">
      <c r="A1910" s="14" t="n"/>
      <c r="B1910" s="36" t="n"/>
      <c r="C1910" s="36" t="n"/>
      <c r="D1910" s="36" t="n"/>
      <c r="E1910" s="14" t="n"/>
      <c r="F1910" s="29" t="n"/>
      <c r="G1910" s="29" t="n"/>
      <c r="H1910" s="29" t="n"/>
      <c r="I1910" s="29" t="n"/>
      <c r="J1910" s="29" t="n"/>
      <c r="K1910" s="14" t="n"/>
      <c r="L1910" s="29" t="n"/>
      <c r="M1910" s="14" t="n"/>
      <c r="N1910" s="29" t="n"/>
      <c r="O1910" s="13" t="n"/>
      <c r="P1910" s="13" t="n"/>
      <c r="Q1910" s="35" t="n"/>
      <c r="R1910" s="35" t="n"/>
      <c r="S1910" s="35" t="n"/>
      <c r="T1910" s="35" t="n"/>
      <c r="U1910" s="35" t="n"/>
      <c r="V1910" s="18">
        <f>IF(COUNTA($B1910:$R1910)=0,"",ROUND(N($R1910)+N($S1910)+N($T1910)-N($U1910),2))</f>
        <v/>
      </c>
      <c r="W1910" s="18">
        <f>IF(COUNTA($B1910:$R1910)=0,"",IF(OR($X1910="Pago",$X1910="Recebido",$X1910="Cancelado"),0,ROUND(N($Q1910)+N($S1910)+N($T1910)-N($U1910)-N($R1910),2)))</f>
        <v/>
      </c>
      <c r="X1910" s="14" t="n"/>
      <c r="Y1910" s="17">
        <f>IF(COUNTA($B1910:$R1910)=0,"",IF($X1910="Cancelado","Cancelado",IF(OR($X1910="Pago",$X1910="Recebido"),$X1910,IF(OR($X1910="Parcial",N($R1910)&gt;0),"Parcial",IF($C1910="","Sem vencimento",IF($C1910&lt;TODAY(),"Vencido",IF($C1910=TODAY(),"Vence hoje",IF($C1910&lt;=TODAY()+7,"Vence em 7 dias",IF($C1910&lt;=TODAY()+30,"Vence em 30 dias","Futuro")))))))))</f>
        <v/>
      </c>
      <c r="Z1910" s="24">
        <f>IF($B1910="","",MONTH($B1910))</f>
        <v/>
      </c>
      <c r="AA1910" s="24">
        <f>IF($B1910="","",YEAR($B1910))</f>
        <v/>
      </c>
      <c r="AB1910" s="24">
        <f>IF($B1910="","",ISOWEEKNUM($B1910))</f>
        <v/>
      </c>
      <c r="AC1910" s="17">
        <f>IF($B1910="","",CHOOSE(WEEKDAY($B1910,2),"Segunda","Terça","Quarta","Quinta","Sexta","Sábado","Domingo"))</f>
        <v/>
      </c>
      <c r="AD1910" s="17">
        <f>IF($B1910="","",TEXT($B1910,"MM/AAAA"))</f>
        <v/>
      </c>
      <c r="AE1910" s="18">
        <f>IF(COUNTA($B1910:$R1910)=0,"",IF($X1910="Cancelado",0,ROUND(N($Q1910)+N($S1910)+N($T1910)-N($U1910),2)))</f>
        <v/>
      </c>
      <c r="AF1910" s="9">
        <f>IF($G1910="","",IFERROR(INDEX(LINHAS_DRE_PLANO,MATCH($G1910,SUBCATEGORIAS_PLANO,0)),"Não classificado"))</f>
        <v/>
      </c>
      <c r="AG1910" s="17">
        <f>IF($G1910="","",IFERROR(INDEX(TIPOS_FLUXO_PLANO,MATCH($G1910,SUBCATEGORIAS_PLANO,0)),"Não classificado"))</f>
        <v/>
      </c>
      <c r="AH1910" s="9">
        <f>IF($G1910="","",IFERROR(INDEX(GRUPOS_PLANO,MATCH($G1910,SUBCATEGORIAS_PLANO,0)),"Não classificado"))</f>
        <v/>
      </c>
      <c r="AI1910" s="24">
        <f>IF(OR($C1910="",$X1910="Pago",$X1910="Recebido",$X1910="Cancelado"),"",$C1910-TODAY())</f>
        <v/>
      </c>
      <c r="AJ1910" s="24">
        <f>IF(OR($C1910="",$X1910="Pago",$X1910="Recebido",$X1910="Cancelado"),0,MAX(0,TODAY()-$C1910))</f>
        <v/>
      </c>
      <c r="AK1910" s="24">
        <f>IF($D1910="","",$D1910-$B1910)</f>
        <v/>
      </c>
      <c r="AL1910" s="18">
        <f>IF(OR($D1910="",$B1910=""),"",ROUND(N($R1910)*($D1910-$B1910),2))</f>
        <v/>
      </c>
      <c r="AM1910" s="17">
        <f>IF(AND($E1910="Saída",$W1910&gt;0,$C1910&lt;&gt;""),$C1910+ROW()/1000000,"")</f>
        <v/>
      </c>
      <c r="AN1910" s="17">
        <f>IF(AND($E1910="Entrada",$W1910&gt;0,$C1910&lt;&gt;""),$C1910+ROW()/1000000,"")</f>
        <v/>
      </c>
      <c r="AO1910" s="9">
        <f>IF(COUNTA($B1910:$R1910)=0,"",IF(AND($I1910&lt;&gt;"",COUNTIF(CLIENTES_NOMES,$I1910)+COUNTIF(CLIENTES_FANTASIA,$I1910)+COUNTIF(FORNECEDORES_NOMES,$I1910)+COUNTIF(FORNECEDORES_FANTASIA,$I1910)=0),"⚠ Cliente/Fornecedor não cadastrado",IF(AND($G1910&lt;&gt;"",COUNTIF(SUBCATEGORIAS_PLANO,$G1910)=0),"⚠ Subcategoria fora do plano de contas",IF(OR($Q1910="",N($Q1910)=0),"⚠ Valor previsto não informado",IF(AND(OR($X1910="Pago",$X1910="Recebido"),$D1910=""),"⚠ Status pago/recebido sem data",IF(AND($D1910&lt;&gt;"",N($R1910)=0),"⚠ Data de pagamento sem valor realizado",IF(AND(N($P1910)&gt;1,N($O1910)&gt;N($P1910)),"⚠ Nº da parcela maior que o total",IF(AND($C1910&lt;&gt;"",$B1910&lt;&gt;"",$C1910&lt;$B1910),"⚠ Vencimento anterior à competência","OK"))))))))</f>
        <v/>
      </c>
    </row>
    <row r="1911">
      <c r="A1911" s="14" t="n"/>
      <c r="B1911" s="36" t="n"/>
      <c r="C1911" s="36" t="n"/>
      <c r="D1911" s="36" t="n"/>
      <c r="E1911" s="14" t="n"/>
      <c r="F1911" s="29" t="n"/>
      <c r="G1911" s="29" t="n"/>
      <c r="H1911" s="29" t="n"/>
      <c r="I1911" s="29" t="n"/>
      <c r="J1911" s="29" t="n"/>
      <c r="K1911" s="14" t="n"/>
      <c r="L1911" s="29" t="n"/>
      <c r="M1911" s="14" t="n"/>
      <c r="N1911" s="29" t="n"/>
      <c r="O1911" s="13" t="n"/>
      <c r="P1911" s="13" t="n"/>
      <c r="Q1911" s="35" t="n"/>
      <c r="R1911" s="35" t="n"/>
      <c r="S1911" s="35" t="n"/>
      <c r="T1911" s="35" t="n"/>
      <c r="U1911" s="35" t="n"/>
      <c r="V1911" s="18">
        <f>IF(COUNTA($B1911:$R1911)=0,"",ROUND(N($R1911)+N($S1911)+N($T1911)-N($U1911),2))</f>
        <v/>
      </c>
      <c r="W1911" s="18">
        <f>IF(COUNTA($B1911:$R1911)=0,"",IF(OR($X1911="Pago",$X1911="Recebido",$X1911="Cancelado"),0,ROUND(N($Q1911)+N($S1911)+N($T1911)-N($U1911)-N($R1911),2)))</f>
        <v/>
      </c>
      <c r="X1911" s="14" t="n"/>
      <c r="Y1911" s="17">
        <f>IF(COUNTA($B1911:$R1911)=0,"",IF($X1911="Cancelado","Cancelado",IF(OR($X1911="Pago",$X1911="Recebido"),$X1911,IF(OR($X1911="Parcial",N($R1911)&gt;0),"Parcial",IF($C1911="","Sem vencimento",IF($C1911&lt;TODAY(),"Vencido",IF($C1911=TODAY(),"Vence hoje",IF($C1911&lt;=TODAY()+7,"Vence em 7 dias",IF($C1911&lt;=TODAY()+30,"Vence em 30 dias","Futuro")))))))))</f>
        <v/>
      </c>
      <c r="Z1911" s="24">
        <f>IF($B1911="","",MONTH($B1911))</f>
        <v/>
      </c>
      <c r="AA1911" s="24">
        <f>IF($B1911="","",YEAR($B1911))</f>
        <v/>
      </c>
      <c r="AB1911" s="24">
        <f>IF($B1911="","",ISOWEEKNUM($B1911))</f>
        <v/>
      </c>
      <c r="AC1911" s="17">
        <f>IF($B1911="","",CHOOSE(WEEKDAY($B1911,2),"Segunda","Terça","Quarta","Quinta","Sexta","Sábado","Domingo"))</f>
        <v/>
      </c>
      <c r="AD1911" s="17">
        <f>IF($B1911="","",TEXT($B1911,"MM/AAAA"))</f>
        <v/>
      </c>
      <c r="AE1911" s="18">
        <f>IF(COUNTA($B1911:$R1911)=0,"",IF($X1911="Cancelado",0,ROUND(N($Q1911)+N($S1911)+N($T1911)-N($U1911),2)))</f>
        <v/>
      </c>
      <c r="AF1911" s="9">
        <f>IF($G1911="","",IFERROR(INDEX(LINHAS_DRE_PLANO,MATCH($G1911,SUBCATEGORIAS_PLANO,0)),"Não classificado"))</f>
        <v/>
      </c>
      <c r="AG1911" s="17">
        <f>IF($G1911="","",IFERROR(INDEX(TIPOS_FLUXO_PLANO,MATCH($G1911,SUBCATEGORIAS_PLANO,0)),"Não classificado"))</f>
        <v/>
      </c>
      <c r="AH1911" s="9">
        <f>IF($G1911="","",IFERROR(INDEX(GRUPOS_PLANO,MATCH($G1911,SUBCATEGORIAS_PLANO,0)),"Não classificado"))</f>
        <v/>
      </c>
      <c r="AI1911" s="24">
        <f>IF(OR($C1911="",$X1911="Pago",$X1911="Recebido",$X1911="Cancelado"),"",$C1911-TODAY())</f>
        <v/>
      </c>
      <c r="AJ1911" s="24">
        <f>IF(OR($C1911="",$X1911="Pago",$X1911="Recebido",$X1911="Cancelado"),0,MAX(0,TODAY()-$C1911))</f>
        <v/>
      </c>
      <c r="AK1911" s="24">
        <f>IF($D1911="","",$D1911-$B1911)</f>
        <v/>
      </c>
      <c r="AL1911" s="18">
        <f>IF(OR($D1911="",$B1911=""),"",ROUND(N($R1911)*($D1911-$B1911),2))</f>
        <v/>
      </c>
      <c r="AM1911" s="17">
        <f>IF(AND($E1911="Saída",$W1911&gt;0,$C1911&lt;&gt;""),$C1911+ROW()/1000000,"")</f>
        <v/>
      </c>
      <c r="AN1911" s="17">
        <f>IF(AND($E1911="Entrada",$W1911&gt;0,$C1911&lt;&gt;""),$C1911+ROW()/1000000,"")</f>
        <v/>
      </c>
      <c r="AO1911" s="9">
        <f>IF(COUNTA($B1911:$R1911)=0,"",IF(AND($I1911&lt;&gt;"",COUNTIF(CLIENTES_NOMES,$I1911)+COUNTIF(CLIENTES_FANTASIA,$I1911)+COUNTIF(FORNECEDORES_NOMES,$I1911)+COUNTIF(FORNECEDORES_FANTASIA,$I1911)=0),"⚠ Cliente/Fornecedor não cadastrado",IF(AND($G1911&lt;&gt;"",COUNTIF(SUBCATEGORIAS_PLANO,$G1911)=0),"⚠ Subcategoria fora do plano de contas",IF(OR($Q1911="",N($Q1911)=0),"⚠ Valor previsto não informado",IF(AND(OR($X1911="Pago",$X1911="Recebido"),$D1911=""),"⚠ Status pago/recebido sem data",IF(AND($D1911&lt;&gt;"",N($R1911)=0),"⚠ Data de pagamento sem valor realizado",IF(AND(N($P1911)&gt;1,N($O1911)&gt;N($P1911)),"⚠ Nº da parcela maior que o total",IF(AND($C1911&lt;&gt;"",$B1911&lt;&gt;"",$C1911&lt;$B1911),"⚠ Vencimento anterior à competência","OK"))))))))</f>
        <v/>
      </c>
    </row>
    <row r="1912">
      <c r="A1912" s="14" t="n"/>
      <c r="B1912" s="36" t="n"/>
      <c r="C1912" s="36" t="n"/>
      <c r="D1912" s="36" t="n"/>
      <c r="E1912" s="14" t="n"/>
      <c r="F1912" s="29" t="n"/>
      <c r="G1912" s="29" t="n"/>
      <c r="H1912" s="29" t="n"/>
      <c r="I1912" s="29" t="n"/>
      <c r="J1912" s="29" t="n"/>
      <c r="K1912" s="14" t="n"/>
      <c r="L1912" s="29" t="n"/>
      <c r="M1912" s="14" t="n"/>
      <c r="N1912" s="29" t="n"/>
      <c r="O1912" s="13" t="n"/>
      <c r="P1912" s="13" t="n"/>
      <c r="Q1912" s="35" t="n"/>
      <c r="R1912" s="35" t="n"/>
      <c r="S1912" s="35" t="n"/>
      <c r="T1912" s="35" t="n"/>
      <c r="U1912" s="35" t="n"/>
      <c r="V1912" s="18">
        <f>IF(COUNTA($B1912:$R1912)=0,"",ROUND(N($R1912)+N($S1912)+N($T1912)-N($U1912),2))</f>
        <v/>
      </c>
      <c r="W1912" s="18">
        <f>IF(COUNTA($B1912:$R1912)=0,"",IF(OR($X1912="Pago",$X1912="Recebido",$X1912="Cancelado"),0,ROUND(N($Q1912)+N($S1912)+N($T1912)-N($U1912)-N($R1912),2)))</f>
        <v/>
      </c>
      <c r="X1912" s="14" t="n"/>
      <c r="Y1912" s="17">
        <f>IF(COUNTA($B1912:$R1912)=0,"",IF($X1912="Cancelado","Cancelado",IF(OR($X1912="Pago",$X1912="Recebido"),$X1912,IF(OR($X1912="Parcial",N($R1912)&gt;0),"Parcial",IF($C1912="","Sem vencimento",IF($C1912&lt;TODAY(),"Vencido",IF($C1912=TODAY(),"Vence hoje",IF($C1912&lt;=TODAY()+7,"Vence em 7 dias",IF($C1912&lt;=TODAY()+30,"Vence em 30 dias","Futuro")))))))))</f>
        <v/>
      </c>
      <c r="Z1912" s="24">
        <f>IF($B1912="","",MONTH($B1912))</f>
        <v/>
      </c>
      <c r="AA1912" s="24">
        <f>IF($B1912="","",YEAR($B1912))</f>
        <v/>
      </c>
      <c r="AB1912" s="24">
        <f>IF($B1912="","",ISOWEEKNUM($B1912))</f>
        <v/>
      </c>
      <c r="AC1912" s="17">
        <f>IF($B1912="","",CHOOSE(WEEKDAY($B1912,2),"Segunda","Terça","Quarta","Quinta","Sexta","Sábado","Domingo"))</f>
        <v/>
      </c>
      <c r="AD1912" s="17">
        <f>IF($B1912="","",TEXT($B1912,"MM/AAAA"))</f>
        <v/>
      </c>
      <c r="AE1912" s="18">
        <f>IF(COUNTA($B1912:$R1912)=0,"",IF($X1912="Cancelado",0,ROUND(N($Q1912)+N($S1912)+N($T1912)-N($U1912),2)))</f>
        <v/>
      </c>
      <c r="AF1912" s="9">
        <f>IF($G1912="","",IFERROR(INDEX(LINHAS_DRE_PLANO,MATCH($G1912,SUBCATEGORIAS_PLANO,0)),"Não classificado"))</f>
        <v/>
      </c>
      <c r="AG1912" s="17">
        <f>IF($G1912="","",IFERROR(INDEX(TIPOS_FLUXO_PLANO,MATCH($G1912,SUBCATEGORIAS_PLANO,0)),"Não classificado"))</f>
        <v/>
      </c>
      <c r="AH1912" s="9">
        <f>IF($G1912="","",IFERROR(INDEX(GRUPOS_PLANO,MATCH($G1912,SUBCATEGORIAS_PLANO,0)),"Não classificado"))</f>
        <v/>
      </c>
      <c r="AI1912" s="24">
        <f>IF(OR($C1912="",$X1912="Pago",$X1912="Recebido",$X1912="Cancelado"),"",$C1912-TODAY())</f>
        <v/>
      </c>
      <c r="AJ1912" s="24">
        <f>IF(OR($C1912="",$X1912="Pago",$X1912="Recebido",$X1912="Cancelado"),0,MAX(0,TODAY()-$C1912))</f>
        <v/>
      </c>
      <c r="AK1912" s="24">
        <f>IF($D1912="","",$D1912-$B1912)</f>
        <v/>
      </c>
      <c r="AL1912" s="18">
        <f>IF(OR($D1912="",$B1912=""),"",ROUND(N($R1912)*($D1912-$B1912),2))</f>
        <v/>
      </c>
      <c r="AM1912" s="17">
        <f>IF(AND($E1912="Saída",$W1912&gt;0,$C1912&lt;&gt;""),$C1912+ROW()/1000000,"")</f>
        <v/>
      </c>
      <c r="AN1912" s="17">
        <f>IF(AND($E1912="Entrada",$W1912&gt;0,$C1912&lt;&gt;""),$C1912+ROW()/1000000,"")</f>
        <v/>
      </c>
      <c r="AO1912" s="9">
        <f>IF(COUNTA($B1912:$R1912)=0,"",IF(AND($I1912&lt;&gt;"",COUNTIF(CLIENTES_NOMES,$I1912)+COUNTIF(CLIENTES_FANTASIA,$I1912)+COUNTIF(FORNECEDORES_NOMES,$I1912)+COUNTIF(FORNECEDORES_FANTASIA,$I1912)=0),"⚠ Cliente/Fornecedor não cadastrado",IF(AND($G1912&lt;&gt;"",COUNTIF(SUBCATEGORIAS_PLANO,$G1912)=0),"⚠ Subcategoria fora do plano de contas",IF(OR($Q1912="",N($Q1912)=0),"⚠ Valor previsto não informado",IF(AND(OR($X1912="Pago",$X1912="Recebido"),$D1912=""),"⚠ Status pago/recebido sem data",IF(AND($D1912&lt;&gt;"",N($R1912)=0),"⚠ Data de pagamento sem valor realizado",IF(AND(N($P1912)&gt;1,N($O1912)&gt;N($P1912)),"⚠ Nº da parcela maior que o total",IF(AND($C1912&lt;&gt;"",$B1912&lt;&gt;"",$C1912&lt;$B1912),"⚠ Vencimento anterior à competência","OK"))))))))</f>
        <v/>
      </c>
    </row>
    <row r="1913">
      <c r="A1913" s="14" t="n"/>
      <c r="B1913" s="36" t="n"/>
      <c r="C1913" s="36" t="n"/>
      <c r="D1913" s="36" t="n"/>
      <c r="E1913" s="14" t="n"/>
      <c r="F1913" s="29" t="n"/>
      <c r="G1913" s="29" t="n"/>
      <c r="H1913" s="29" t="n"/>
      <c r="I1913" s="29" t="n"/>
      <c r="J1913" s="29" t="n"/>
      <c r="K1913" s="14" t="n"/>
      <c r="L1913" s="29" t="n"/>
      <c r="M1913" s="14" t="n"/>
      <c r="N1913" s="29" t="n"/>
      <c r="O1913" s="13" t="n"/>
      <c r="P1913" s="13" t="n"/>
      <c r="Q1913" s="35" t="n"/>
      <c r="R1913" s="35" t="n"/>
      <c r="S1913" s="35" t="n"/>
      <c r="T1913" s="35" t="n"/>
      <c r="U1913" s="35" t="n"/>
      <c r="V1913" s="18">
        <f>IF(COUNTA($B1913:$R1913)=0,"",ROUND(N($R1913)+N($S1913)+N($T1913)-N($U1913),2))</f>
        <v/>
      </c>
      <c r="W1913" s="18">
        <f>IF(COUNTA($B1913:$R1913)=0,"",IF(OR($X1913="Pago",$X1913="Recebido",$X1913="Cancelado"),0,ROUND(N($Q1913)+N($S1913)+N($T1913)-N($U1913)-N($R1913),2)))</f>
        <v/>
      </c>
      <c r="X1913" s="14" t="n"/>
      <c r="Y1913" s="17">
        <f>IF(COUNTA($B1913:$R1913)=0,"",IF($X1913="Cancelado","Cancelado",IF(OR($X1913="Pago",$X1913="Recebido"),$X1913,IF(OR($X1913="Parcial",N($R1913)&gt;0),"Parcial",IF($C1913="","Sem vencimento",IF($C1913&lt;TODAY(),"Vencido",IF($C1913=TODAY(),"Vence hoje",IF($C1913&lt;=TODAY()+7,"Vence em 7 dias",IF($C1913&lt;=TODAY()+30,"Vence em 30 dias","Futuro")))))))))</f>
        <v/>
      </c>
      <c r="Z1913" s="24">
        <f>IF($B1913="","",MONTH($B1913))</f>
        <v/>
      </c>
      <c r="AA1913" s="24">
        <f>IF($B1913="","",YEAR($B1913))</f>
        <v/>
      </c>
      <c r="AB1913" s="24">
        <f>IF($B1913="","",ISOWEEKNUM($B1913))</f>
        <v/>
      </c>
      <c r="AC1913" s="17">
        <f>IF($B1913="","",CHOOSE(WEEKDAY($B1913,2),"Segunda","Terça","Quarta","Quinta","Sexta","Sábado","Domingo"))</f>
        <v/>
      </c>
      <c r="AD1913" s="17">
        <f>IF($B1913="","",TEXT($B1913,"MM/AAAA"))</f>
        <v/>
      </c>
      <c r="AE1913" s="18">
        <f>IF(COUNTA($B1913:$R1913)=0,"",IF($X1913="Cancelado",0,ROUND(N($Q1913)+N($S1913)+N($T1913)-N($U1913),2)))</f>
        <v/>
      </c>
      <c r="AF1913" s="9">
        <f>IF($G1913="","",IFERROR(INDEX(LINHAS_DRE_PLANO,MATCH($G1913,SUBCATEGORIAS_PLANO,0)),"Não classificado"))</f>
        <v/>
      </c>
      <c r="AG1913" s="17">
        <f>IF($G1913="","",IFERROR(INDEX(TIPOS_FLUXO_PLANO,MATCH($G1913,SUBCATEGORIAS_PLANO,0)),"Não classificado"))</f>
        <v/>
      </c>
      <c r="AH1913" s="9">
        <f>IF($G1913="","",IFERROR(INDEX(GRUPOS_PLANO,MATCH($G1913,SUBCATEGORIAS_PLANO,0)),"Não classificado"))</f>
        <v/>
      </c>
      <c r="AI1913" s="24">
        <f>IF(OR($C1913="",$X1913="Pago",$X1913="Recebido",$X1913="Cancelado"),"",$C1913-TODAY())</f>
        <v/>
      </c>
      <c r="AJ1913" s="24">
        <f>IF(OR($C1913="",$X1913="Pago",$X1913="Recebido",$X1913="Cancelado"),0,MAX(0,TODAY()-$C1913))</f>
        <v/>
      </c>
      <c r="AK1913" s="24">
        <f>IF($D1913="","",$D1913-$B1913)</f>
        <v/>
      </c>
      <c r="AL1913" s="18">
        <f>IF(OR($D1913="",$B1913=""),"",ROUND(N($R1913)*($D1913-$B1913),2))</f>
        <v/>
      </c>
      <c r="AM1913" s="17">
        <f>IF(AND($E1913="Saída",$W1913&gt;0,$C1913&lt;&gt;""),$C1913+ROW()/1000000,"")</f>
        <v/>
      </c>
      <c r="AN1913" s="17">
        <f>IF(AND($E1913="Entrada",$W1913&gt;0,$C1913&lt;&gt;""),$C1913+ROW()/1000000,"")</f>
        <v/>
      </c>
      <c r="AO1913" s="9">
        <f>IF(COUNTA($B1913:$R1913)=0,"",IF(AND($I1913&lt;&gt;"",COUNTIF(CLIENTES_NOMES,$I1913)+COUNTIF(CLIENTES_FANTASIA,$I1913)+COUNTIF(FORNECEDORES_NOMES,$I1913)+COUNTIF(FORNECEDORES_FANTASIA,$I1913)=0),"⚠ Cliente/Fornecedor não cadastrado",IF(AND($G1913&lt;&gt;"",COUNTIF(SUBCATEGORIAS_PLANO,$G1913)=0),"⚠ Subcategoria fora do plano de contas",IF(OR($Q1913="",N($Q1913)=0),"⚠ Valor previsto não informado",IF(AND(OR($X1913="Pago",$X1913="Recebido"),$D1913=""),"⚠ Status pago/recebido sem data",IF(AND($D1913&lt;&gt;"",N($R1913)=0),"⚠ Data de pagamento sem valor realizado",IF(AND(N($P1913)&gt;1,N($O1913)&gt;N($P1913)),"⚠ Nº da parcela maior que o total",IF(AND($C1913&lt;&gt;"",$B1913&lt;&gt;"",$C1913&lt;$B1913),"⚠ Vencimento anterior à competência","OK"))))))))</f>
        <v/>
      </c>
    </row>
    <row r="1914">
      <c r="A1914" s="14" t="n"/>
      <c r="B1914" s="36" t="n"/>
      <c r="C1914" s="36" t="n"/>
      <c r="D1914" s="36" t="n"/>
      <c r="E1914" s="14" t="n"/>
      <c r="F1914" s="29" t="n"/>
      <c r="G1914" s="29" t="n"/>
      <c r="H1914" s="29" t="n"/>
      <c r="I1914" s="29" t="n"/>
      <c r="J1914" s="29" t="n"/>
      <c r="K1914" s="14" t="n"/>
      <c r="L1914" s="29" t="n"/>
      <c r="M1914" s="14" t="n"/>
      <c r="N1914" s="29" t="n"/>
      <c r="O1914" s="13" t="n"/>
      <c r="P1914" s="13" t="n"/>
      <c r="Q1914" s="35" t="n"/>
      <c r="R1914" s="35" t="n"/>
      <c r="S1914" s="35" t="n"/>
      <c r="T1914" s="35" t="n"/>
      <c r="U1914" s="35" t="n"/>
      <c r="V1914" s="18">
        <f>IF(COUNTA($B1914:$R1914)=0,"",ROUND(N($R1914)+N($S1914)+N($T1914)-N($U1914),2))</f>
        <v/>
      </c>
      <c r="W1914" s="18">
        <f>IF(COUNTA($B1914:$R1914)=0,"",IF(OR($X1914="Pago",$X1914="Recebido",$X1914="Cancelado"),0,ROUND(N($Q1914)+N($S1914)+N($T1914)-N($U1914)-N($R1914),2)))</f>
        <v/>
      </c>
      <c r="X1914" s="14" t="n"/>
      <c r="Y1914" s="17">
        <f>IF(COUNTA($B1914:$R1914)=0,"",IF($X1914="Cancelado","Cancelado",IF(OR($X1914="Pago",$X1914="Recebido"),$X1914,IF(OR($X1914="Parcial",N($R1914)&gt;0),"Parcial",IF($C1914="","Sem vencimento",IF($C1914&lt;TODAY(),"Vencido",IF($C1914=TODAY(),"Vence hoje",IF($C1914&lt;=TODAY()+7,"Vence em 7 dias",IF($C1914&lt;=TODAY()+30,"Vence em 30 dias","Futuro")))))))))</f>
        <v/>
      </c>
      <c r="Z1914" s="24">
        <f>IF($B1914="","",MONTH($B1914))</f>
        <v/>
      </c>
      <c r="AA1914" s="24">
        <f>IF($B1914="","",YEAR($B1914))</f>
        <v/>
      </c>
      <c r="AB1914" s="24">
        <f>IF($B1914="","",ISOWEEKNUM($B1914))</f>
        <v/>
      </c>
      <c r="AC1914" s="17">
        <f>IF($B1914="","",CHOOSE(WEEKDAY($B1914,2),"Segunda","Terça","Quarta","Quinta","Sexta","Sábado","Domingo"))</f>
        <v/>
      </c>
      <c r="AD1914" s="17">
        <f>IF($B1914="","",TEXT($B1914,"MM/AAAA"))</f>
        <v/>
      </c>
      <c r="AE1914" s="18">
        <f>IF(COUNTA($B1914:$R1914)=0,"",IF($X1914="Cancelado",0,ROUND(N($Q1914)+N($S1914)+N($T1914)-N($U1914),2)))</f>
        <v/>
      </c>
      <c r="AF1914" s="9">
        <f>IF($G1914="","",IFERROR(INDEX(LINHAS_DRE_PLANO,MATCH($G1914,SUBCATEGORIAS_PLANO,0)),"Não classificado"))</f>
        <v/>
      </c>
      <c r="AG1914" s="17">
        <f>IF($G1914="","",IFERROR(INDEX(TIPOS_FLUXO_PLANO,MATCH($G1914,SUBCATEGORIAS_PLANO,0)),"Não classificado"))</f>
        <v/>
      </c>
      <c r="AH1914" s="9">
        <f>IF($G1914="","",IFERROR(INDEX(GRUPOS_PLANO,MATCH($G1914,SUBCATEGORIAS_PLANO,0)),"Não classificado"))</f>
        <v/>
      </c>
      <c r="AI1914" s="24">
        <f>IF(OR($C1914="",$X1914="Pago",$X1914="Recebido",$X1914="Cancelado"),"",$C1914-TODAY())</f>
        <v/>
      </c>
      <c r="AJ1914" s="24">
        <f>IF(OR($C1914="",$X1914="Pago",$X1914="Recebido",$X1914="Cancelado"),0,MAX(0,TODAY()-$C1914))</f>
        <v/>
      </c>
      <c r="AK1914" s="24">
        <f>IF($D1914="","",$D1914-$B1914)</f>
        <v/>
      </c>
      <c r="AL1914" s="18">
        <f>IF(OR($D1914="",$B1914=""),"",ROUND(N($R1914)*($D1914-$B1914),2))</f>
        <v/>
      </c>
      <c r="AM1914" s="17">
        <f>IF(AND($E1914="Saída",$W1914&gt;0,$C1914&lt;&gt;""),$C1914+ROW()/1000000,"")</f>
        <v/>
      </c>
      <c r="AN1914" s="17">
        <f>IF(AND($E1914="Entrada",$W1914&gt;0,$C1914&lt;&gt;""),$C1914+ROW()/1000000,"")</f>
        <v/>
      </c>
      <c r="AO1914" s="9">
        <f>IF(COUNTA($B1914:$R1914)=0,"",IF(AND($I1914&lt;&gt;"",COUNTIF(CLIENTES_NOMES,$I1914)+COUNTIF(CLIENTES_FANTASIA,$I1914)+COUNTIF(FORNECEDORES_NOMES,$I1914)+COUNTIF(FORNECEDORES_FANTASIA,$I1914)=0),"⚠ Cliente/Fornecedor não cadastrado",IF(AND($G1914&lt;&gt;"",COUNTIF(SUBCATEGORIAS_PLANO,$G1914)=0),"⚠ Subcategoria fora do plano de contas",IF(OR($Q1914="",N($Q1914)=0),"⚠ Valor previsto não informado",IF(AND(OR($X1914="Pago",$X1914="Recebido"),$D1914=""),"⚠ Status pago/recebido sem data",IF(AND($D1914&lt;&gt;"",N($R1914)=0),"⚠ Data de pagamento sem valor realizado",IF(AND(N($P1914)&gt;1,N($O1914)&gt;N($P1914)),"⚠ Nº da parcela maior que o total",IF(AND($C1914&lt;&gt;"",$B1914&lt;&gt;"",$C1914&lt;$B1914),"⚠ Vencimento anterior à competência","OK"))))))))</f>
        <v/>
      </c>
    </row>
    <row r="1915">
      <c r="A1915" s="14" t="n"/>
      <c r="B1915" s="36" t="n"/>
      <c r="C1915" s="36" t="n"/>
      <c r="D1915" s="36" t="n"/>
      <c r="E1915" s="14" t="n"/>
      <c r="F1915" s="29" t="n"/>
      <c r="G1915" s="29" t="n"/>
      <c r="H1915" s="29" t="n"/>
      <c r="I1915" s="29" t="n"/>
      <c r="J1915" s="29" t="n"/>
      <c r="K1915" s="14" t="n"/>
      <c r="L1915" s="29" t="n"/>
      <c r="M1915" s="14" t="n"/>
      <c r="N1915" s="29" t="n"/>
      <c r="O1915" s="13" t="n"/>
      <c r="P1915" s="13" t="n"/>
      <c r="Q1915" s="35" t="n"/>
      <c r="R1915" s="35" t="n"/>
      <c r="S1915" s="35" t="n"/>
      <c r="T1915" s="35" t="n"/>
      <c r="U1915" s="35" t="n"/>
      <c r="V1915" s="18">
        <f>IF(COUNTA($B1915:$R1915)=0,"",ROUND(N($R1915)+N($S1915)+N($T1915)-N($U1915),2))</f>
        <v/>
      </c>
      <c r="W1915" s="18">
        <f>IF(COUNTA($B1915:$R1915)=0,"",IF(OR($X1915="Pago",$X1915="Recebido",$X1915="Cancelado"),0,ROUND(N($Q1915)+N($S1915)+N($T1915)-N($U1915)-N($R1915),2)))</f>
        <v/>
      </c>
      <c r="X1915" s="14" t="n"/>
      <c r="Y1915" s="17">
        <f>IF(COUNTA($B1915:$R1915)=0,"",IF($X1915="Cancelado","Cancelado",IF(OR($X1915="Pago",$X1915="Recebido"),$X1915,IF(OR($X1915="Parcial",N($R1915)&gt;0),"Parcial",IF($C1915="","Sem vencimento",IF($C1915&lt;TODAY(),"Vencido",IF($C1915=TODAY(),"Vence hoje",IF($C1915&lt;=TODAY()+7,"Vence em 7 dias",IF($C1915&lt;=TODAY()+30,"Vence em 30 dias","Futuro")))))))))</f>
        <v/>
      </c>
      <c r="Z1915" s="24">
        <f>IF($B1915="","",MONTH($B1915))</f>
        <v/>
      </c>
      <c r="AA1915" s="24">
        <f>IF($B1915="","",YEAR($B1915))</f>
        <v/>
      </c>
      <c r="AB1915" s="24">
        <f>IF($B1915="","",ISOWEEKNUM($B1915))</f>
        <v/>
      </c>
      <c r="AC1915" s="17">
        <f>IF($B1915="","",CHOOSE(WEEKDAY($B1915,2),"Segunda","Terça","Quarta","Quinta","Sexta","Sábado","Domingo"))</f>
        <v/>
      </c>
      <c r="AD1915" s="17">
        <f>IF($B1915="","",TEXT($B1915,"MM/AAAA"))</f>
        <v/>
      </c>
      <c r="AE1915" s="18">
        <f>IF(COUNTA($B1915:$R1915)=0,"",IF($X1915="Cancelado",0,ROUND(N($Q1915)+N($S1915)+N($T1915)-N($U1915),2)))</f>
        <v/>
      </c>
      <c r="AF1915" s="9">
        <f>IF($G1915="","",IFERROR(INDEX(LINHAS_DRE_PLANO,MATCH($G1915,SUBCATEGORIAS_PLANO,0)),"Não classificado"))</f>
        <v/>
      </c>
      <c r="AG1915" s="17">
        <f>IF($G1915="","",IFERROR(INDEX(TIPOS_FLUXO_PLANO,MATCH($G1915,SUBCATEGORIAS_PLANO,0)),"Não classificado"))</f>
        <v/>
      </c>
      <c r="AH1915" s="9">
        <f>IF($G1915="","",IFERROR(INDEX(GRUPOS_PLANO,MATCH($G1915,SUBCATEGORIAS_PLANO,0)),"Não classificado"))</f>
        <v/>
      </c>
      <c r="AI1915" s="24">
        <f>IF(OR($C1915="",$X1915="Pago",$X1915="Recebido",$X1915="Cancelado"),"",$C1915-TODAY())</f>
        <v/>
      </c>
      <c r="AJ1915" s="24">
        <f>IF(OR($C1915="",$X1915="Pago",$X1915="Recebido",$X1915="Cancelado"),0,MAX(0,TODAY()-$C1915))</f>
        <v/>
      </c>
      <c r="AK1915" s="24">
        <f>IF($D1915="","",$D1915-$B1915)</f>
        <v/>
      </c>
      <c r="AL1915" s="18">
        <f>IF(OR($D1915="",$B1915=""),"",ROUND(N($R1915)*($D1915-$B1915),2))</f>
        <v/>
      </c>
      <c r="AM1915" s="17">
        <f>IF(AND($E1915="Saída",$W1915&gt;0,$C1915&lt;&gt;""),$C1915+ROW()/1000000,"")</f>
        <v/>
      </c>
      <c r="AN1915" s="17">
        <f>IF(AND($E1915="Entrada",$W1915&gt;0,$C1915&lt;&gt;""),$C1915+ROW()/1000000,"")</f>
        <v/>
      </c>
      <c r="AO1915" s="9">
        <f>IF(COUNTA($B1915:$R1915)=0,"",IF(AND($I1915&lt;&gt;"",COUNTIF(CLIENTES_NOMES,$I1915)+COUNTIF(CLIENTES_FANTASIA,$I1915)+COUNTIF(FORNECEDORES_NOMES,$I1915)+COUNTIF(FORNECEDORES_FANTASIA,$I1915)=0),"⚠ Cliente/Fornecedor não cadastrado",IF(AND($G1915&lt;&gt;"",COUNTIF(SUBCATEGORIAS_PLANO,$G1915)=0),"⚠ Subcategoria fora do plano de contas",IF(OR($Q1915="",N($Q1915)=0),"⚠ Valor previsto não informado",IF(AND(OR($X1915="Pago",$X1915="Recebido"),$D1915=""),"⚠ Status pago/recebido sem data",IF(AND($D1915&lt;&gt;"",N($R1915)=0),"⚠ Data de pagamento sem valor realizado",IF(AND(N($P1915)&gt;1,N($O1915)&gt;N($P1915)),"⚠ Nº da parcela maior que o total",IF(AND($C1915&lt;&gt;"",$B1915&lt;&gt;"",$C1915&lt;$B1915),"⚠ Vencimento anterior à competência","OK"))))))))</f>
        <v/>
      </c>
    </row>
    <row r="1916">
      <c r="A1916" s="14" t="n"/>
      <c r="B1916" s="36" t="n"/>
      <c r="C1916" s="36" t="n"/>
      <c r="D1916" s="36" t="n"/>
      <c r="E1916" s="14" t="n"/>
      <c r="F1916" s="29" t="n"/>
      <c r="G1916" s="29" t="n"/>
      <c r="H1916" s="29" t="n"/>
      <c r="I1916" s="29" t="n"/>
      <c r="J1916" s="29" t="n"/>
      <c r="K1916" s="14" t="n"/>
      <c r="L1916" s="29" t="n"/>
      <c r="M1916" s="14" t="n"/>
      <c r="N1916" s="29" t="n"/>
      <c r="O1916" s="13" t="n"/>
      <c r="P1916" s="13" t="n"/>
      <c r="Q1916" s="35" t="n"/>
      <c r="R1916" s="35" t="n"/>
      <c r="S1916" s="35" t="n"/>
      <c r="T1916" s="35" t="n"/>
      <c r="U1916" s="35" t="n"/>
      <c r="V1916" s="18">
        <f>IF(COUNTA($B1916:$R1916)=0,"",ROUND(N($R1916)+N($S1916)+N($T1916)-N($U1916),2))</f>
        <v/>
      </c>
      <c r="W1916" s="18">
        <f>IF(COUNTA($B1916:$R1916)=0,"",IF(OR($X1916="Pago",$X1916="Recebido",$X1916="Cancelado"),0,ROUND(N($Q1916)+N($S1916)+N($T1916)-N($U1916)-N($R1916),2)))</f>
        <v/>
      </c>
      <c r="X1916" s="14" t="n"/>
      <c r="Y1916" s="17">
        <f>IF(COUNTA($B1916:$R1916)=0,"",IF($X1916="Cancelado","Cancelado",IF(OR($X1916="Pago",$X1916="Recebido"),$X1916,IF(OR($X1916="Parcial",N($R1916)&gt;0),"Parcial",IF($C1916="","Sem vencimento",IF($C1916&lt;TODAY(),"Vencido",IF($C1916=TODAY(),"Vence hoje",IF($C1916&lt;=TODAY()+7,"Vence em 7 dias",IF($C1916&lt;=TODAY()+30,"Vence em 30 dias","Futuro")))))))))</f>
        <v/>
      </c>
      <c r="Z1916" s="24">
        <f>IF($B1916="","",MONTH($B1916))</f>
        <v/>
      </c>
      <c r="AA1916" s="24">
        <f>IF($B1916="","",YEAR($B1916))</f>
        <v/>
      </c>
      <c r="AB1916" s="24">
        <f>IF($B1916="","",ISOWEEKNUM($B1916))</f>
        <v/>
      </c>
      <c r="AC1916" s="17">
        <f>IF($B1916="","",CHOOSE(WEEKDAY($B1916,2),"Segunda","Terça","Quarta","Quinta","Sexta","Sábado","Domingo"))</f>
        <v/>
      </c>
      <c r="AD1916" s="17">
        <f>IF($B1916="","",TEXT($B1916,"MM/AAAA"))</f>
        <v/>
      </c>
      <c r="AE1916" s="18">
        <f>IF(COUNTA($B1916:$R1916)=0,"",IF($X1916="Cancelado",0,ROUND(N($Q1916)+N($S1916)+N($T1916)-N($U1916),2)))</f>
        <v/>
      </c>
      <c r="AF1916" s="9">
        <f>IF($G1916="","",IFERROR(INDEX(LINHAS_DRE_PLANO,MATCH($G1916,SUBCATEGORIAS_PLANO,0)),"Não classificado"))</f>
        <v/>
      </c>
      <c r="AG1916" s="17">
        <f>IF($G1916="","",IFERROR(INDEX(TIPOS_FLUXO_PLANO,MATCH($G1916,SUBCATEGORIAS_PLANO,0)),"Não classificado"))</f>
        <v/>
      </c>
      <c r="AH1916" s="9">
        <f>IF($G1916="","",IFERROR(INDEX(GRUPOS_PLANO,MATCH($G1916,SUBCATEGORIAS_PLANO,0)),"Não classificado"))</f>
        <v/>
      </c>
      <c r="AI1916" s="24">
        <f>IF(OR($C1916="",$X1916="Pago",$X1916="Recebido",$X1916="Cancelado"),"",$C1916-TODAY())</f>
        <v/>
      </c>
      <c r="AJ1916" s="24">
        <f>IF(OR($C1916="",$X1916="Pago",$X1916="Recebido",$X1916="Cancelado"),0,MAX(0,TODAY()-$C1916))</f>
        <v/>
      </c>
      <c r="AK1916" s="24">
        <f>IF($D1916="","",$D1916-$B1916)</f>
        <v/>
      </c>
      <c r="AL1916" s="18">
        <f>IF(OR($D1916="",$B1916=""),"",ROUND(N($R1916)*($D1916-$B1916),2))</f>
        <v/>
      </c>
      <c r="AM1916" s="17">
        <f>IF(AND($E1916="Saída",$W1916&gt;0,$C1916&lt;&gt;""),$C1916+ROW()/1000000,"")</f>
        <v/>
      </c>
      <c r="AN1916" s="17">
        <f>IF(AND($E1916="Entrada",$W1916&gt;0,$C1916&lt;&gt;""),$C1916+ROW()/1000000,"")</f>
        <v/>
      </c>
      <c r="AO1916" s="9">
        <f>IF(COUNTA($B1916:$R1916)=0,"",IF(AND($I1916&lt;&gt;"",COUNTIF(CLIENTES_NOMES,$I1916)+COUNTIF(CLIENTES_FANTASIA,$I1916)+COUNTIF(FORNECEDORES_NOMES,$I1916)+COUNTIF(FORNECEDORES_FANTASIA,$I1916)=0),"⚠ Cliente/Fornecedor não cadastrado",IF(AND($G1916&lt;&gt;"",COUNTIF(SUBCATEGORIAS_PLANO,$G1916)=0),"⚠ Subcategoria fora do plano de contas",IF(OR($Q1916="",N($Q1916)=0),"⚠ Valor previsto não informado",IF(AND(OR($X1916="Pago",$X1916="Recebido"),$D1916=""),"⚠ Status pago/recebido sem data",IF(AND($D1916&lt;&gt;"",N($R1916)=0),"⚠ Data de pagamento sem valor realizado",IF(AND(N($P1916)&gt;1,N($O1916)&gt;N($P1916)),"⚠ Nº da parcela maior que o total",IF(AND($C1916&lt;&gt;"",$B1916&lt;&gt;"",$C1916&lt;$B1916),"⚠ Vencimento anterior à competência","OK"))))))))</f>
        <v/>
      </c>
    </row>
    <row r="1917">
      <c r="A1917" s="14" t="n"/>
      <c r="B1917" s="36" t="n"/>
      <c r="C1917" s="36" t="n"/>
      <c r="D1917" s="36" t="n"/>
      <c r="E1917" s="14" t="n"/>
      <c r="F1917" s="29" t="n"/>
      <c r="G1917" s="29" t="n"/>
      <c r="H1917" s="29" t="n"/>
      <c r="I1917" s="29" t="n"/>
      <c r="J1917" s="29" t="n"/>
      <c r="K1917" s="14" t="n"/>
      <c r="L1917" s="29" t="n"/>
      <c r="M1917" s="14" t="n"/>
      <c r="N1917" s="29" t="n"/>
      <c r="O1917" s="13" t="n"/>
      <c r="P1917" s="13" t="n"/>
      <c r="Q1917" s="35" t="n"/>
      <c r="R1917" s="35" t="n"/>
      <c r="S1917" s="35" t="n"/>
      <c r="T1917" s="35" t="n"/>
      <c r="U1917" s="35" t="n"/>
      <c r="V1917" s="18">
        <f>IF(COUNTA($B1917:$R1917)=0,"",ROUND(N($R1917)+N($S1917)+N($T1917)-N($U1917),2))</f>
        <v/>
      </c>
      <c r="W1917" s="18">
        <f>IF(COUNTA($B1917:$R1917)=0,"",IF(OR($X1917="Pago",$X1917="Recebido",$X1917="Cancelado"),0,ROUND(N($Q1917)+N($S1917)+N($T1917)-N($U1917)-N($R1917),2)))</f>
        <v/>
      </c>
      <c r="X1917" s="14" t="n"/>
      <c r="Y1917" s="17">
        <f>IF(COUNTA($B1917:$R1917)=0,"",IF($X1917="Cancelado","Cancelado",IF(OR($X1917="Pago",$X1917="Recebido"),$X1917,IF(OR($X1917="Parcial",N($R1917)&gt;0),"Parcial",IF($C1917="","Sem vencimento",IF($C1917&lt;TODAY(),"Vencido",IF($C1917=TODAY(),"Vence hoje",IF($C1917&lt;=TODAY()+7,"Vence em 7 dias",IF($C1917&lt;=TODAY()+30,"Vence em 30 dias","Futuro")))))))))</f>
        <v/>
      </c>
      <c r="Z1917" s="24">
        <f>IF($B1917="","",MONTH($B1917))</f>
        <v/>
      </c>
      <c r="AA1917" s="24">
        <f>IF($B1917="","",YEAR($B1917))</f>
        <v/>
      </c>
      <c r="AB1917" s="24">
        <f>IF($B1917="","",ISOWEEKNUM($B1917))</f>
        <v/>
      </c>
      <c r="AC1917" s="17">
        <f>IF($B1917="","",CHOOSE(WEEKDAY($B1917,2),"Segunda","Terça","Quarta","Quinta","Sexta","Sábado","Domingo"))</f>
        <v/>
      </c>
      <c r="AD1917" s="17">
        <f>IF($B1917="","",TEXT($B1917,"MM/AAAA"))</f>
        <v/>
      </c>
      <c r="AE1917" s="18">
        <f>IF(COUNTA($B1917:$R1917)=0,"",IF($X1917="Cancelado",0,ROUND(N($Q1917)+N($S1917)+N($T1917)-N($U1917),2)))</f>
        <v/>
      </c>
      <c r="AF1917" s="9">
        <f>IF($G1917="","",IFERROR(INDEX(LINHAS_DRE_PLANO,MATCH($G1917,SUBCATEGORIAS_PLANO,0)),"Não classificado"))</f>
        <v/>
      </c>
      <c r="AG1917" s="17">
        <f>IF($G1917="","",IFERROR(INDEX(TIPOS_FLUXO_PLANO,MATCH($G1917,SUBCATEGORIAS_PLANO,0)),"Não classificado"))</f>
        <v/>
      </c>
      <c r="AH1917" s="9">
        <f>IF($G1917="","",IFERROR(INDEX(GRUPOS_PLANO,MATCH($G1917,SUBCATEGORIAS_PLANO,0)),"Não classificado"))</f>
        <v/>
      </c>
      <c r="AI1917" s="24">
        <f>IF(OR($C1917="",$X1917="Pago",$X1917="Recebido",$X1917="Cancelado"),"",$C1917-TODAY())</f>
        <v/>
      </c>
      <c r="AJ1917" s="24">
        <f>IF(OR($C1917="",$X1917="Pago",$X1917="Recebido",$X1917="Cancelado"),0,MAX(0,TODAY()-$C1917))</f>
        <v/>
      </c>
      <c r="AK1917" s="24">
        <f>IF($D1917="","",$D1917-$B1917)</f>
        <v/>
      </c>
      <c r="AL1917" s="18">
        <f>IF(OR($D1917="",$B1917=""),"",ROUND(N($R1917)*($D1917-$B1917),2))</f>
        <v/>
      </c>
      <c r="AM1917" s="17">
        <f>IF(AND($E1917="Saída",$W1917&gt;0,$C1917&lt;&gt;""),$C1917+ROW()/1000000,"")</f>
        <v/>
      </c>
      <c r="AN1917" s="17">
        <f>IF(AND($E1917="Entrada",$W1917&gt;0,$C1917&lt;&gt;""),$C1917+ROW()/1000000,"")</f>
        <v/>
      </c>
      <c r="AO1917" s="9">
        <f>IF(COUNTA($B1917:$R1917)=0,"",IF(AND($I1917&lt;&gt;"",COUNTIF(CLIENTES_NOMES,$I1917)+COUNTIF(CLIENTES_FANTASIA,$I1917)+COUNTIF(FORNECEDORES_NOMES,$I1917)+COUNTIF(FORNECEDORES_FANTASIA,$I1917)=0),"⚠ Cliente/Fornecedor não cadastrado",IF(AND($G1917&lt;&gt;"",COUNTIF(SUBCATEGORIAS_PLANO,$G1917)=0),"⚠ Subcategoria fora do plano de contas",IF(OR($Q1917="",N($Q1917)=0),"⚠ Valor previsto não informado",IF(AND(OR($X1917="Pago",$X1917="Recebido"),$D1917=""),"⚠ Status pago/recebido sem data",IF(AND($D1917&lt;&gt;"",N($R1917)=0),"⚠ Data de pagamento sem valor realizado",IF(AND(N($P1917)&gt;1,N($O1917)&gt;N($P1917)),"⚠ Nº da parcela maior que o total",IF(AND($C1917&lt;&gt;"",$B1917&lt;&gt;"",$C1917&lt;$B1917),"⚠ Vencimento anterior à competência","OK"))))))))</f>
        <v/>
      </c>
    </row>
    <row r="1918">
      <c r="A1918" s="14" t="n"/>
      <c r="B1918" s="36" t="n"/>
      <c r="C1918" s="36" t="n"/>
      <c r="D1918" s="36" t="n"/>
      <c r="E1918" s="14" t="n"/>
      <c r="F1918" s="29" t="n"/>
      <c r="G1918" s="29" t="n"/>
      <c r="H1918" s="29" t="n"/>
      <c r="I1918" s="29" t="n"/>
      <c r="J1918" s="29" t="n"/>
      <c r="K1918" s="14" t="n"/>
      <c r="L1918" s="29" t="n"/>
      <c r="M1918" s="14" t="n"/>
      <c r="N1918" s="29" t="n"/>
      <c r="O1918" s="13" t="n"/>
      <c r="P1918" s="13" t="n"/>
      <c r="Q1918" s="35" t="n"/>
      <c r="R1918" s="35" t="n"/>
      <c r="S1918" s="35" t="n"/>
      <c r="T1918" s="35" t="n"/>
      <c r="U1918" s="35" t="n"/>
      <c r="V1918" s="18">
        <f>IF(COUNTA($B1918:$R1918)=0,"",ROUND(N($R1918)+N($S1918)+N($T1918)-N($U1918),2))</f>
        <v/>
      </c>
      <c r="W1918" s="18">
        <f>IF(COUNTA($B1918:$R1918)=0,"",IF(OR($X1918="Pago",$X1918="Recebido",$X1918="Cancelado"),0,ROUND(N($Q1918)+N($S1918)+N($T1918)-N($U1918)-N($R1918),2)))</f>
        <v/>
      </c>
      <c r="X1918" s="14" t="n"/>
      <c r="Y1918" s="17">
        <f>IF(COUNTA($B1918:$R1918)=0,"",IF($X1918="Cancelado","Cancelado",IF(OR($X1918="Pago",$X1918="Recebido"),$X1918,IF(OR($X1918="Parcial",N($R1918)&gt;0),"Parcial",IF($C1918="","Sem vencimento",IF($C1918&lt;TODAY(),"Vencido",IF($C1918=TODAY(),"Vence hoje",IF($C1918&lt;=TODAY()+7,"Vence em 7 dias",IF($C1918&lt;=TODAY()+30,"Vence em 30 dias","Futuro")))))))))</f>
        <v/>
      </c>
      <c r="Z1918" s="24">
        <f>IF($B1918="","",MONTH($B1918))</f>
        <v/>
      </c>
      <c r="AA1918" s="24">
        <f>IF($B1918="","",YEAR($B1918))</f>
        <v/>
      </c>
      <c r="AB1918" s="24">
        <f>IF($B1918="","",ISOWEEKNUM($B1918))</f>
        <v/>
      </c>
      <c r="AC1918" s="17">
        <f>IF($B1918="","",CHOOSE(WEEKDAY($B1918,2),"Segunda","Terça","Quarta","Quinta","Sexta","Sábado","Domingo"))</f>
        <v/>
      </c>
      <c r="AD1918" s="17">
        <f>IF($B1918="","",TEXT($B1918,"MM/AAAA"))</f>
        <v/>
      </c>
      <c r="AE1918" s="18">
        <f>IF(COUNTA($B1918:$R1918)=0,"",IF($X1918="Cancelado",0,ROUND(N($Q1918)+N($S1918)+N($T1918)-N($U1918),2)))</f>
        <v/>
      </c>
      <c r="AF1918" s="9">
        <f>IF($G1918="","",IFERROR(INDEX(LINHAS_DRE_PLANO,MATCH($G1918,SUBCATEGORIAS_PLANO,0)),"Não classificado"))</f>
        <v/>
      </c>
      <c r="AG1918" s="17">
        <f>IF($G1918="","",IFERROR(INDEX(TIPOS_FLUXO_PLANO,MATCH($G1918,SUBCATEGORIAS_PLANO,0)),"Não classificado"))</f>
        <v/>
      </c>
      <c r="AH1918" s="9">
        <f>IF($G1918="","",IFERROR(INDEX(GRUPOS_PLANO,MATCH($G1918,SUBCATEGORIAS_PLANO,0)),"Não classificado"))</f>
        <v/>
      </c>
      <c r="AI1918" s="24">
        <f>IF(OR($C1918="",$X1918="Pago",$X1918="Recebido",$X1918="Cancelado"),"",$C1918-TODAY())</f>
        <v/>
      </c>
      <c r="AJ1918" s="24">
        <f>IF(OR($C1918="",$X1918="Pago",$X1918="Recebido",$X1918="Cancelado"),0,MAX(0,TODAY()-$C1918))</f>
        <v/>
      </c>
      <c r="AK1918" s="24">
        <f>IF($D1918="","",$D1918-$B1918)</f>
        <v/>
      </c>
      <c r="AL1918" s="18">
        <f>IF(OR($D1918="",$B1918=""),"",ROUND(N($R1918)*($D1918-$B1918),2))</f>
        <v/>
      </c>
      <c r="AM1918" s="17">
        <f>IF(AND($E1918="Saída",$W1918&gt;0,$C1918&lt;&gt;""),$C1918+ROW()/1000000,"")</f>
        <v/>
      </c>
      <c r="AN1918" s="17">
        <f>IF(AND($E1918="Entrada",$W1918&gt;0,$C1918&lt;&gt;""),$C1918+ROW()/1000000,"")</f>
        <v/>
      </c>
      <c r="AO1918" s="9">
        <f>IF(COUNTA($B1918:$R1918)=0,"",IF(AND($I1918&lt;&gt;"",COUNTIF(CLIENTES_NOMES,$I1918)+COUNTIF(CLIENTES_FANTASIA,$I1918)+COUNTIF(FORNECEDORES_NOMES,$I1918)+COUNTIF(FORNECEDORES_FANTASIA,$I1918)=0),"⚠ Cliente/Fornecedor não cadastrado",IF(AND($G1918&lt;&gt;"",COUNTIF(SUBCATEGORIAS_PLANO,$G1918)=0),"⚠ Subcategoria fora do plano de contas",IF(OR($Q1918="",N($Q1918)=0),"⚠ Valor previsto não informado",IF(AND(OR($X1918="Pago",$X1918="Recebido"),$D1918=""),"⚠ Status pago/recebido sem data",IF(AND($D1918&lt;&gt;"",N($R1918)=0),"⚠ Data de pagamento sem valor realizado",IF(AND(N($P1918)&gt;1,N($O1918)&gt;N($P1918)),"⚠ Nº da parcela maior que o total",IF(AND($C1918&lt;&gt;"",$B1918&lt;&gt;"",$C1918&lt;$B1918),"⚠ Vencimento anterior à competência","OK"))))))))</f>
        <v/>
      </c>
    </row>
    <row r="1919">
      <c r="A1919" s="14" t="n"/>
      <c r="B1919" s="36" t="n"/>
      <c r="C1919" s="36" t="n"/>
      <c r="D1919" s="36" t="n"/>
      <c r="E1919" s="14" t="n"/>
      <c r="F1919" s="29" t="n"/>
      <c r="G1919" s="29" t="n"/>
      <c r="H1919" s="29" t="n"/>
      <c r="I1919" s="29" t="n"/>
      <c r="J1919" s="29" t="n"/>
      <c r="K1919" s="14" t="n"/>
      <c r="L1919" s="29" t="n"/>
      <c r="M1919" s="14" t="n"/>
      <c r="N1919" s="29" t="n"/>
      <c r="O1919" s="13" t="n"/>
      <c r="P1919" s="13" t="n"/>
      <c r="Q1919" s="35" t="n"/>
      <c r="R1919" s="35" t="n"/>
      <c r="S1919" s="35" t="n"/>
      <c r="T1919" s="35" t="n"/>
      <c r="U1919" s="35" t="n"/>
      <c r="V1919" s="18">
        <f>IF(COUNTA($B1919:$R1919)=0,"",ROUND(N($R1919)+N($S1919)+N($T1919)-N($U1919),2))</f>
        <v/>
      </c>
      <c r="W1919" s="18">
        <f>IF(COUNTA($B1919:$R1919)=0,"",IF(OR($X1919="Pago",$X1919="Recebido",$X1919="Cancelado"),0,ROUND(N($Q1919)+N($S1919)+N($T1919)-N($U1919)-N($R1919),2)))</f>
        <v/>
      </c>
      <c r="X1919" s="14" t="n"/>
      <c r="Y1919" s="17">
        <f>IF(COUNTA($B1919:$R1919)=0,"",IF($X1919="Cancelado","Cancelado",IF(OR($X1919="Pago",$X1919="Recebido"),$X1919,IF(OR($X1919="Parcial",N($R1919)&gt;0),"Parcial",IF($C1919="","Sem vencimento",IF($C1919&lt;TODAY(),"Vencido",IF($C1919=TODAY(),"Vence hoje",IF($C1919&lt;=TODAY()+7,"Vence em 7 dias",IF($C1919&lt;=TODAY()+30,"Vence em 30 dias","Futuro")))))))))</f>
        <v/>
      </c>
      <c r="Z1919" s="24">
        <f>IF($B1919="","",MONTH($B1919))</f>
        <v/>
      </c>
      <c r="AA1919" s="24">
        <f>IF($B1919="","",YEAR($B1919))</f>
        <v/>
      </c>
      <c r="AB1919" s="24">
        <f>IF($B1919="","",ISOWEEKNUM($B1919))</f>
        <v/>
      </c>
      <c r="AC1919" s="17">
        <f>IF($B1919="","",CHOOSE(WEEKDAY($B1919,2),"Segunda","Terça","Quarta","Quinta","Sexta","Sábado","Domingo"))</f>
        <v/>
      </c>
      <c r="AD1919" s="17">
        <f>IF($B1919="","",TEXT($B1919,"MM/AAAA"))</f>
        <v/>
      </c>
      <c r="AE1919" s="18">
        <f>IF(COUNTA($B1919:$R1919)=0,"",IF($X1919="Cancelado",0,ROUND(N($Q1919)+N($S1919)+N($T1919)-N($U1919),2)))</f>
        <v/>
      </c>
      <c r="AF1919" s="9">
        <f>IF($G1919="","",IFERROR(INDEX(LINHAS_DRE_PLANO,MATCH($G1919,SUBCATEGORIAS_PLANO,0)),"Não classificado"))</f>
        <v/>
      </c>
      <c r="AG1919" s="17">
        <f>IF($G1919="","",IFERROR(INDEX(TIPOS_FLUXO_PLANO,MATCH($G1919,SUBCATEGORIAS_PLANO,0)),"Não classificado"))</f>
        <v/>
      </c>
      <c r="AH1919" s="9">
        <f>IF($G1919="","",IFERROR(INDEX(GRUPOS_PLANO,MATCH($G1919,SUBCATEGORIAS_PLANO,0)),"Não classificado"))</f>
        <v/>
      </c>
      <c r="AI1919" s="24">
        <f>IF(OR($C1919="",$X1919="Pago",$X1919="Recebido",$X1919="Cancelado"),"",$C1919-TODAY())</f>
        <v/>
      </c>
      <c r="AJ1919" s="24">
        <f>IF(OR($C1919="",$X1919="Pago",$X1919="Recebido",$X1919="Cancelado"),0,MAX(0,TODAY()-$C1919))</f>
        <v/>
      </c>
      <c r="AK1919" s="24">
        <f>IF($D1919="","",$D1919-$B1919)</f>
        <v/>
      </c>
      <c r="AL1919" s="18">
        <f>IF(OR($D1919="",$B1919=""),"",ROUND(N($R1919)*($D1919-$B1919),2))</f>
        <v/>
      </c>
      <c r="AM1919" s="17">
        <f>IF(AND($E1919="Saída",$W1919&gt;0,$C1919&lt;&gt;""),$C1919+ROW()/1000000,"")</f>
        <v/>
      </c>
      <c r="AN1919" s="17">
        <f>IF(AND($E1919="Entrada",$W1919&gt;0,$C1919&lt;&gt;""),$C1919+ROW()/1000000,"")</f>
        <v/>
      </c>
      <c r="AO1919" s="9">
        <f>IF(COUNTA($B1919:$R1919)=0,"",IF(AND($I1919&lt;&gt;"",COUNTIF(CLIENTES_NOMES,$I1919)+COUNTIF(CLIENTES_FANTASIA,$I1919)+COUNTIF(FORNECEDORES_NOMES,$I1919)+COUNTIF(FORNECEDORES_FANTASIA,$I1919)=0),"⚠ Cliente/Fornecedor não cadastrado",IF(AND($G1919&lt;&gt;"",COUNTIF(SUBCATEGORIAS_PLANO,$G1919)=0),"⚠ Subcategoria fora do plano de contas",IF(OR($Q1919="",N($Q1919)=0),"⚠ Valor previsto não informado",IF(AND(OR($X1919="Pago",$X1919="Recebido"),$D1919=""),"⚠ Status pago/recebido sem data",IF(AND($D1919&lt;&gt;"",N($R1919)=0),"⚠ Data de pagamento sem valor realizado",IF(AND(N($P1919)&gt;1,N($O1919)&gt;N($P1919)),"⚠ Nº da parcela maior que o total",IF(AND($C1919&lt;&gt;"",$B1919&lt;&gt;"",$C1919&lt;$B1919),"⚠ Vencimento anterior à competência","OK"))))))))</f>
        <v/>
      </c>
    </row>
    <row r="1920">
      <c r="A1920" s="14" t="n"/>
      <c r="B1920" s="36" t="n"/>
      <c r="C1920" s="36" t="n"/>
      <c r="D1920" s="36" t="n"/>
      <c r="E1920" s="14" t="n"/>
      <c r="F1920" s="29" t="n"/>
      <c r="G1920" s="29" t="n"/>
      <c r="H1920" s="29" t="n"/>
      <c r="I1920" s="29" t="n"/>
      <c r="J1920" s="29" t="n"/>
      <c r="K1920" s="14" t="n"/>
      <c r="L1920" s="29" t="n"/>
      <c r="M1920" s="14" t="n"/>
      <c r="N1920" s="29" t="n"/>
      <c r="O1920" s="13" t="n"/>
      <c r="P1920" s="13" t="n"/>
      <c r="Q1920" s="35" t="n"/>
      <c r="R1920" s="35" t="n"/>
      <c r="S1920" s="35" t="n"/>
      <c r="T1920" s="35" t="n"/>
      <c r="U1920" s="35" t="n"/>
      <c r="V1920" s="18">
        <f>IF(COUNTA($B1920:$R1920)=0,"",ROUND(N($R1920)+N($S1920)+N($T1920)-N($U1920),2))</f>
        <v/>
      </c>
      <c r="W1920" s="18">
        <f>IF(COUNTA($B1920:$R1920)=0,"",IF(OR($X1920="Pago",$X1920="Recebido",$X1920="Cancelado"),0,ROUND(N($Q1920)+N($S1920)+N($T1920)-N($U1920)-N($R1920),2)))</f>
        <v/>
      </c>
      <c r="X1920" s="14" t="n"/>
      <c r="Y1920" s="17">
        <f>IF(COUNTA($B1920:$R1920)=0,"",IF($X1920="Cancelado","Cancelado",IF(OR($X1920="Pago",$X1920="Recebido"),$X1920,IF(OR($X1920="Parcial",N($R1920)&gt;0),"Parcial",IF($C1920="","Sem vencimento",IF($C1920&lt;TODAY(),"Vencido",IF($C1920=TODAY(),"Vence hoje",IF($C1920&lt;=TODAY()+7,"Vence em 7 dias",IF($C1920&lt;=TODAY()+30,"Vence em 30 dias","Futuro")))))))))</f>
        <v/>
      </c>
      <c r="Z1920" s="24">
        <f>IF($B1920="","",MONTH($B1920))</f>
        <v/>
      </c>
      <c r="AA1920" s="24">
        <f>IF($B1920="","",YEAR($B1920))</f>
        <v/>
      </c>
      <c r="AB1920" s="24">
        <f>IF($B1920="","",ISOWEEKNUM($B1920))</f>
        <v/>
      </c>
      <c r="AC1920" s="17">
        <f>IF($B1920="","",CHOOSE(WEEKDAY($B1920,2),"Segunda","Terça","Quarta","Quinta","Sexta","Sábado","Domingo"))</f>
        <v/>
      </c>
      <c r="AD1920" s="17">
        <f>IF($B1920="","",TEXT($B1920,"MM/AAAA"))</f>
        <v/>
      </c>
      <c r="AE1920" s="18">
        <f>IF(COUNTA($B1920:$R1920)=0,"",IF($X1920="Cancelado",0,ROUND(N($Q1920)+N($S1920)+N($T1920)-N($U1920),2)))</f>
        <v/>
      </c>
      <c r="AF1920" s="9">
        <f>IF($G1920="","",IFERROR(INDEX(LINHAS_DRE_PLANO,MATCH($G1920,SUBCATEGORIAS_PLANO,0)),"Não classificado"))</f>
        <v/>
      </c>
      <c r="AG1920" s="17">
        <f>IF($G1920="","",IFERROR(INDEX(TIPOS_FLUXO_PLANO,MATCH($G1920,SUBCATEGORIAS_PLANO,0)),"Não classificado"))</f>
        <v/>
      </c>
      <c r="AH1920" s="9">
        <f>IF($G1920="","",IFERROR(INDEX(GRUPOS_PLANO,MATCH($G1920,SUBCATEGORIAS_PLANO,0)),"Não classificado"))</f>
        <v/>
      </c>
      <c r="AI1920" s="24">
        <f>IF(OR($C1920="",$X1920="Pago",$X1920="Recebido",$X1920="Cancelado"),"",$C1920-TODAY())</f>
        <v/>
      </c>
      <c r="AJ1920" s="24">
        <f>IF(OR($C1920="",$X1920="Pago",$X1920="Recebido",$X1920="Cancelado"),0,MAX(0,TODAY()-$C1920))</f>
        <v/>
      </c>
      <c r="AK1920" s="24">
        <f>IF($D1920="","",$D1920-$B1920)</f>
        <v/>
      </c>
      <c r="AL1920" s="18">
        <f>IF(OR($D1920="",$B1920=""),"",ROUND(N($R1920)*($D1920-$B1920),2))</f>
        <v/>
      </c>
      <c r="AM1920" s="17">
        <f>IF(AND($E1920="Saída",$W1920&gt;0,$C1920&lt;&gt;""),$C1920+ROW()/1000000,"")</f>
        <v/>
      </c>
      <c r="AN1920" s="17">
        <f>IF(AND($E1920="Entrada",$W1920&gt;0,$C1920&lt;&gt;""),$C1920+ROW()/1000000,"")</f>
        <v/>
      </c>
      <c r="AO1920" s="9">
        <f>IF(COUNTA($B1920:$R1920)=0,"",IF(AND($I1920&lt;&gt;"",COUNTIF(CLIENTES_NOMES,$I1920)+COUNTIF(CLIENTES_FANTASIA,$I1920)+COUNTIF(FORNECEDORES_NOMES,$I1920)+COUNTIF(FORNECEDORES_FANTASIA,$I1920)=0),"⚠ Cliente/Fornecedor não cadastrado",IF(AND($G1920&lt;&gt;"",COUNTIF(SUBCATEGORIAS_PLANO,$G1920)=0),"⚠ Subcategoria fora do plano de contas",IF(OR($Q1920="",N($Q1920)=0),"⚠ Valor previsto não informado",IF(AND(OR($X1920="Pago",$X1920="Recebido"),$D1920=""),"⚠ Status pago/recebido sem data",IF(AND($D1920&lt;&gt;"",N($R1920)=0),"⚠ Data de pagamento sem valor realizado",IF(AND(N($P1920)&gt;1,N($O1920)&gt;N($P1920)),"⚠ Nº da parcela maior que o total",IF(AND($C1920&lt;&gt;"",$B1920&lt;&gt;"",$C1920&lt;$B1920),"⚠ Vencimento anterior à competência","OK"))))))))</f>
        <v/>
      </c>
    </row>
    <row r="1921">
      <c r="A1921" s="14" t="n"/>
      <c r="B1921" s="36" t="n"/>
      <c r="C1921" s="36" t="n"/>
      <c r="D1921" s="36" t="n"/>
      <c r="E1921" s="14" t="n"/>
      <c r="F1921" s="29" t="n"/>
      <c r="G1921" s="29" t="n"/>
      <c r="H1921" s="29" t="n"/>
      <c r="I1921" s="29" t="n"/>
      <c r="J1921" s="29" t="n"/>
      <c r="K1921" s="14" t="n"/>
      <c r="L1921" s="29" t="n"/>
      <c r="M1921" s="14" t="n"/>
      <c r="N1921" s="29" t="n"/>
      <c r="O1921" s="13" t="n"/>
      <c r="P1921" s="13" t="n"/>
      <c r="Q1921" s="35" t="n"/>
      <c r="R1921" s="35" t="n"/>
      <c r="S1921" s="35" t="n"/>
      <c r="T1921" s="35" t="n"/>
      <c r="U1921" s="35" t="n"/>
      <c r="V1921" s="18">
        <f>IF(COUNTA($B1921:$R1921)=0,"",ROUND(N($R1921)+N($S1921)+N($T1921)-N($U1921),2))</f>
        <v/>
      </c>
      <c r="W1921" s="18">
        <f>IF(COUNTA($B1921:$R1921)=0,"",IF(OR($X1921="Pago",$X1921="Recebido",$X1921="Cancelado"),0,ROUND(N($Q1921)+N($S1921)+N($T1921)-N($U1921)-N($R1921),2)))</f>
        <v/>
      </c>
      <c r="X1921" s="14" t="n"/>
      <c r="Y1921" s="17">
        <f>IF(COUNTA($B1921:$R1921)=0,"",IF($X1921="Cancelado","Cancelado",IF(OR($X1921="Pago",$X1921="Recebido"),$X1921,IF(OR($X1921="Parcial",N($R1921)&gt;0),"Parcial",IF($C1921="","Sem vencimento",IF($C1921&lt;TODAY(),"Vencido",IF($C1921=TODAY(),"Vence hoje",IF($C1921&lt;=TODAY()+7,"Vence em 7 dias",IF($C1921&lt;=TODAY()+30,"Vence em 30 dias","Futuro")))))))))</f>
        <v/>
      </c>
      <c r="Z1921" s="24">
        <f>IF($B1921="","",MONTH($B1921))</f>
        <v/>
      </c>
      <c r="AA1921" s="24">
        <f>IF($B1921="","",YEAR($B1921))</f>
        <v/>
      </c>
      <c r="AB1921" s="24">
        <f>IF($B1921="","",ISOWEEKNUM($B1921))</f>
        <v/>
      </c>
      <c r="AC1921" s="17">
        <f>IF($B1921="","",CHOOSE(WEEKDAY($B1921,2),"Segunda","Terça","Quarta","Quinta","Sexta","Sábado","Domingo"))</f>
        <v/>
      </c>
      <c r="AD1921" s="17">
        <f>IF($B1921="","",TEXT($B1921,"MM/AAAA"))</f>
        <v/>
      </c>
      <c r="AE1921" s="18">
        <f>IF(COUNTA($B1921:$R1921)=0,"",IF($X1921="Cancelado",0,ROUND(N($Q1921)+N($S1921)+N($T1921)-N($U1921),2)))</f>
        <v/>
      </c>
      <c r="AF1921" s="9">
        <f>IF($G1921="","",IFERROR(INDEX(LINHAS_DRE_PLANO,MATCH($G1921,SUBCATEGORIAS_PLANO,0)),"Não classificado"))</f>
        <v/>
      </c>
      <c r="AG1921" s="17">
        <f>IF($G1921="","",IFERROR(INDEX(TIPOS_FLUXO_PLANO,MATCH($G1921,SUBCATEGORIAS_PLANO,0)),"Não classificado"))</f>
        <v/>
      </c>
      <c r="AH1921" s="9">
        <f>IF($G1921="","",IFERROR(INDEX(GRUPOS_PLANO,MATCH($G1921,SUBCATEGORIAS_PLANO,0)),"Não classificado"))</f>
        <v/>
      </c>
      <c r="AI1921" s="24">
        <f>IF(OR($C1921="",$X1921="Pago",$X1921="Recebido",$X1921="Cancelado"),"",$C1921-TODAY())</f>
        <v/>
      </c>
      <c r="AJ1921" s="24">
        <f>IF(OR($C1921="",$X1921="Pago",$X1921="Recebido",$X1921="Cancelado"),0,MAX(0,TODAY()-$C1921))</f>
        <v/>
      </c>
      <c r="AK1921" s="24">
        <f>IF($D1921="","",$D1921-$B1921)</f>
        <v/>
      </c>
      <c r="AL1921" s="18">
        <f>IF(OR($D1921="",$B1921=""),"",ROUND(N($R1921)*($D1921-$B1921),2))</f>
        <v/>
      </c>
      <c r="AM1921" s="17">
        <f>IF(AND($E1921="Saída",$W1921&gt;0,$C1921&lt;&gt;""),$C1921+ROW()/1000000,"")</f>
        <v/>
      </c>
      <c r="AN1921" s="17">
        <f>IF(AND($E1921="Entrada",$W1921&gt;0,$C1921&lt;&gt;""),$C1921+ROW()/1000000,"")</f>
        <v/>
      </c>
      <c r="AO1921" s="9">
        <f>IF(COUNTA($B1921:$R1921)=0,"",IF(AND($I1921&lt;&gt;"",COUNTIF(CLIENTES_NOMES,$I1921)+COUNTIF(CLIENTES_FANTASIA,$I1921)+COUNTIF(FORNECEDORES_NOMES,$I1921)+COUNTIF(FORNECEDORES_FANTASIA,$I1921)=0),"⚠ Cliente/Fornecedor não cadastrado",IF(AND($G1921&lt;&gt;"",COUNTIF(SUBCATEGORIAS_PLANO,$G1921)=0),"⚠ Subcategoria fora do plano de contas",IF(OR($Q1921="",N($Q1921)=0),"⚠ Valor previsto não informado",IF(AND(OR($X1921="Pago",$X1921="Recebido"),$D1921=""),"⚠ Status pago/recebido sem data",IF(AND($D1921&lt;&gt;"",N($R1921)=0),"⚠ Data de pagamento sem valor realizado",IF(AND(N($P1921)&gt;1,N($O1921)&gt;N($P1921)),"⚠ Nº da parcela maior que o total",IF(AND($C1921&lt;&gt;"",$B1921&lt;&gt;"",$C1921&lt;$B1921),"⚠ Vencimento anterior à competência","OK"))))))))</f>
        <v/>
      </c>
    </row>
    <row r="1922">
      <c r="A1922" s="14" t="n"/>
      <c r="B1922" s="36" t="n"/>
      <c r="C1922" s="36" t="n"/>
      <c r="D1922" s="36" t="n"/>
      <c r="E1922" s="14" t="n"/>
      <c r="F1922" s="29" t="n"/>
      <c r="G1922" s="29" t="n"/>
      <c r="H1922" s="29" t="n"/>
      <c r="I1922" s="29" t="n"/>
      <c r="J1922" s="29" t="n"/>
      <c r="K1922" s="14" t="n"/>
      <c r="L1922" s="29" t="n"/>
      <c r="M1922" s="14" t="n"/>
      <c r="N1922" s="29" t="n"/>
      <c r="O1922" s="13" t="n"/>
      <c r="P1922" s="13" t="n"/>
      <c r="Q1922" s="35" t="n"/>
      <c r="R1922" s="35" t="n"/>
      <c r="S1922" s="35" t="n"/>
      <c r="T1922" s="35" t="n"/>
      <c r="U1922" s="35" t="n"/>
      <c r="V1922" s="18">
        <f>IF(COUNTA($B1922:$R1922)=0,"",ROUND(N($R1922)+N($S1922)+N($T1922)-N($U1922),2))</f>
        <v/>
      </c>
      <c r="W1922" s="18">
        <f>IF(COUNTA($B1922:$R1922)=0,"",IF(OR($X1922="Pago",$X1922="Recebido",$X1922="Cancelado"),0,ROUND(N($Q1922)+N($S1922)+N($T1922)-N($U1922)-N($R1922),2)))</f>
        <v/>
      </c>
      <c r="X1922" s="14" t="n"/>
      <c r="Y1922" s="17">
        <f>IF(COUNTA($B1922:$R1922)=0,"",IF($X1922="Cancelado","Cancelado",IF(OR($X1922="Pago",$X1922="Recebido"),$X1922,IF(OR($X1922="Parcial",N($R1922)&gt;0),"Parcial",IF($C1922="","Sem vencimento",IF($C1922&lt;TODAY(),"Vencido",IF($C1922=TODAY(),"Vence hoje",IF($C1922&lt;=TODAY()+7,"Vence em 7 dias",IF($C1922&lt;=TODAY()+30,"Vence em 30 dias","Futuro")))))))))</f>
        <v/>
      </c>
      <c r="Z1922" s="24">
        <f>IF($B1922="","",MONTH($B1922))</f>
        <v/>
      </c>
      <c r="AA1922" s="24">
        <f>IF($B1922="","",YEAR($B1922))</f>
        <v/>
      </c>
      <c r="AB1922" s="24">
        <f>IF($B1922="","",ISOWEEKNUM($B1922))</f>
        <v/>
      </c>
      <c r="AC1922" s="17">
        <f>IF($B1922="","",CHOOSE(WEEKDAY($B1922,2),"Segunda","Terça","Quarta","Quinta","Sexta","Sábado","Domingo"))</f>
        <v/>
      </c>
      <c r="AD1922" s="17">
        <f>IF($B1922="","",TEXT($B1922,"MM/AAAA"))</f>
        <v/>
      </c>
      <c r="AE1922" s="18">
        <f>IF(COUNTA($B1922:$R1922)=0,"",IF($X1922="Cancelado",0,ROUND(N($Q1922)+N($S1922)+N($T1922)-N($U1922),2)))</f>
        <v/>
      </c>
      <c r="AF1922" s="9">
        <f>IF($G1922="","",IFERROR(INDEX(LINHAS_DRE_PLANO,MATCH($G1922,SUBCATEGORIAS_PLANO,0)),"Não classificado"))</f>
        <v/>
      </c>
      <c r="AG1922" s="17">
        <f>IF($G1922="","",IFERROR(INDEX(TIPOS_FLUXO_PLANO,MATCH($G1922,SUBCATEGORIAS_PLANO,0)),"Não classificado"))</f>
        <v/>
      </c>
      <c r="AH1922" s="9">
        <f>IF($G1922="","",IFERROR(INDEX(GRUPOS_PLANO,MATCH($G1922,SUBCATEGORIAS_PLANO,0)),"Não classificado"))</f>
        <v/>
      </c>
      <c r="AI1922" s="24">
        <f>IF(OR($C1922="",$X1922="Pago",$X1922="Recebido",$X1922="Cancelado"),"",$C1922-TODAY())</f>
        <v/>
      </c>
      <c r="AJ1922" s="24">
        <f>IF(OR($C1922="",$X1922="Pago",$X1922="Recebido",$X1922="Cancelado"),0,MAX(0,TODAY()-$C1922))</f>
        <v/>
      </c>
      <c r="AK1922" s="24">
        <f>IF($D1922="","",$D1922-$B1922)</f>
        <v/>
      </c>
      <c r="AL1922" s="18">
        <f>IF(OR($D1922="",$B1922=""),"",ROUND(N($R1922)*($D1922-$B1922),2))</f>
        <v/>
      </c>
      <c r="AM1922" s="17">
        <f>IF(AND($E1922="Saída",$W1922&gt;0,$C1922&lt;&gt;""),$C1922+ROW()/1000000,"")</f>
        <v/>
      </c>
      <c r="AN1922" s="17">
        <f>IF(AND($E1922="Entrada",$W1922&gt;0,$C1922&lt;&gt;""),$C1922+ROW()/1000000,"")</f>
        <v/>
      </c>
      <c r="AO1922" s="9">
        <f>IF(COUNTA($B1922:$R1922)=0,"",IF(AND($I1922&lt;&gt;"",COUNTIF(CLIENTES_NOMES,$I1922)+COUNTIF(CLIENTES_FANTASIA,$I1922)+COUNTIF(FORNECEDORES_NOMES,$I1922)+COUNTIF(FORNECEDORES_FANTASIA,$I1922)=0),"⚠ Cliente/Fornecedor não cadastrado",IF(AND($G1922&lt;&gt;"",COUNTIF(SUBCATEGORIAS_PLANO,$G1922)=0),"⚠ Subcategoria fora do plano de contas",IF(OR($Q1922="",N($Q1922)=0),"⚠ Valor previsto não informado",IF(AND(OR($X1922="Pago",$X1922="Recebido"),$D1922=""),"⚠ Status pago/recebido sem data",IF(AND($D1922&lt;&gt;"",N($R1922)=0),"⚠ Data de pagamento sem valor realizado",IF(AND(N($P1922)&gt;1,N($O1922)&gt;N($P1922)),"⚠ Nº da parcela maior que o total",IF(AND($C1922&lt;&gt;"",$B1922&lt;&gt;"",$C1922&lt;$B1922),"⚠ Vencimento anterior à competência","OK"))))))))</f>
        <v/>
      </c>
    </row>
    <row r="1923">
      <c r="A1923" s="14" t="n"/>
      <c r="B1923" s="36" t="n"/>
      <c r="C1923" s="36" t="n"/>
      <c r="D1923" s="36" t="n"/>
      <c r="E1923" s="14" t="n"/>
      <c r="F1923" s="29" t="n"/>
      <c r="G1923" s="29" t="n"/>
      <c r="H1923" s="29" t="n"/>
      <c r="I1923" s="29" t="n"/>
      <c r="J1923" s="29" t="n"/>
      <c r="K1923" s="14" t="n"/>
      <c r="L1923" s="29" t="n"/>
      <c r="M1923" s="14" t="n"/>
      <c r="N1923" s="29" t="n"/>
      <c r="O1923" s="13" t="n"/>
      <c r="P1923" s="13" t="n"/>
      <c r="Q1923" s="35" t="n"/>
      <c r="R1923" s="35" t="n"/>
      <c r="S1923" s="35" t="n"/>
      <c r="T1923" s="35" t="n"/>
      <c r="U1923" s="35" t="n"/>
      <c r="V1923" s="18">
        <f>IF(COUNTA($B1923:$R1923)=0,"",ROUND(N($R1923)+N($S1923)+N($T1923)-N($U1923),2))</f>
        <v/>
      </c>
      <c r="W1923" s="18">
        <f>IF(COUNTA($B1923:$R1923)=0,"",IF(OR($X1923="Pago",$X1923="Recebido",$X1923="Cancelado"),0,ROUND(N($Q1923)+N($S1923)+N($T1923)-N($U1923)-N($R1923),2)))</f>
        <v/>
      </c>
      <c r="X1923" s="14" t="n"/>
      <c r="Y1923" s="17">
        <f>IF(COUNTA($B1923:$R1923)=0,"",IF($X1923="Cancelado","Cancelado",IF(OR($X1923="Pago",$X1923="Recebido"),$X1923,IF(OR($X1923="Parcial",N($R1923)&gt;0),"Parcial",IF($C1923="","Sem vencimento",IF($C1923&lt;TODAY(),"Vencido",IF($C1923=TODAY(),"Vence hoje",IF($C1923&lt;=TODAY()+7,"Vence em 7 dias",IF($C1923&lt;=TODAY()+30,"Vence em 30 dias","Futuro")))))))))</f>
        <v/>
      </c>
      <c r="Z1923" s="24">
        <f>IF($B1923="","",MONTH($B1923))</f>
        <v/>
      </c>
      <c r="AA1923" s="24">
        <f>IF($B1923="","",YEAR($B1923))</f>
        <v/>
      </c>
      <c r="AB1923" s="24">
        <f>IF($B1923="","",ISOWEEKNUM($B1923))</f>
        <v/>
      </c>
      <c r="AC1923" s="17">
        <f>IF($B1923="","",CHOOSE(WEEKDAY($B1923,2),"Segunda","Terça","Quarta","Quinta","Sexta","Sábado","Domingo"))</f>
        <v/>
      </c>
      <c r="AD1923" s="17">
        <f>IF($B1923="","",TEXT($B1923,"MM/AAAA"))</f>
        <v/>
      </c>
      <c r="AE1923" s="18">
        <f>IF(COUNTA($B1923:$R1923)=0,"",IF($X1923="Cancelado",0,ROUND(N($Q1923)+N($S1923)+N($T1923)-N($U1923),2)))</f>
        <v/>
      </c>
      <c r="AF1923" s="9">
        <f>IF($G1923="","",IFERROR(INDEX(LINHAS_DRE_PLANO,MATCH($G1923,SUBCATEGORIAS_PLANO,0)),"Não classificado"))</f>
        <v/>
      </c>
      <c r="AG1923" s="17">
        <f>IF($G1923="","",IFERROR(INDEX(TIPOS_FLUXO_PLANO,MATCH($G1923,SUBCATEGORIAS_PLANO,0)),"Não classificado"))</f>
        <v/>
      </c>
      <c r="AH1923" s="9">
        <f>IF($G1923="","",IFERROR(INDEX(GRUPOS_PLANO,MATCH($G1923,SUBCATEGORIAS_PLANO,0)),"Não classificado"))</f>
        <v/>
      </c>
      <c r="AI1923" s="24">
        <f>IF(OR($C1923="",$X1923="Pago",$X1923="Recebido",$X1923="Cancelado"),"",$C1923-TODAY())</f>
        <v/>
      </c>
      <c r="AJ1923" s="24">
        <f>IF(OR($C1923="",$X1923="Pago",$X1923="Recebido",$X1923="Cancelado"),0,MAX(0,TODAY()-$C1923))</f>
        <v/>
      </c>
      <c r="AK1923" s="24">
        <f>IF($D1923="","",$D1923-$B1923)</f>
        <v/>
      </c>
      <c r="AL1923" s="18">
        <f>IF(OR($D1923="",$B1923=""),"",ROUND(N($R1923)*($D1923-$B1923),2))</f>
        <v/>
      </c>
      <c r="AM1923" s="17">
        <f>IF(AND($E1923="Saída",$W1923&gt;0,$C1923&lt;&gt;""),$C1923+ROW()/1000000,"")</f>
        <v/>
      </c>
      <c r="AN1923" s="17">
        <f>IF(AND($E1923="Entrada",$W1923&gt;0,$C1923&lt;&gt;""),$C1923+ROW()/1000000,"")</f>
        <v/>
      </c>
      <c r="AO1923" s="9">
        <f>IF(COUNTA($B1923:$R1923)=0,"",IF(AND($I1923&lt;&gt;"",COUNTIF(CLIENTES_NOMES,$I1923)+COUNTIF(CLIENTES_FANTASIA,$I1923)+COUNTIF(FORNECEDORES_NOMES,$I1923)+COUNTIF(FORNECEDORES_FANTASIA,$I1923)=0),"⚠ Cliente/Fornecedor não cadastrado",IF(AND($G1923&lt;&gt;"",COUNTIF(SUBCATEGORIAS_PLANO,$G1923)=0),"⚠ Subcategoria fora do plano de contas",IF(OR($Q1923="",N($Q1923)=0),"⚠ Valor previsto não informado",IF(AND(OR($X1923="Pago",$X1923="Recebido"),$D1923=""),"⚠ Status pago/recebido sem data",IF(AND($D1923&lt;&gt;"",N($R1923)=0),"⚠ Data de pagamento sem valor realizado",IF(AND(N($P1923)&gt;1,N($O1923)&gt;N($P1923)),"⚠ Nº da parcela maior que o total",IF(AND($C1923&lt;&gt;"",$B1923&lt;&gt;"",$C1923&lt;$B1923),"⚠ Vencimento anterior à competência","OK"))))))))</f>
        <v/>
      </c>
    </row>
    <row r="1924">
      <c r="A1924" s="14" t="n"/>
      <c r="B1924" s="36" t="n"/>
      <c r="C1924" s="36" t="n"/>
      <c r="D1924" s="36" t="n"/>
      <c r="E1924" s="14" t="n"/>
      <c r="F1924" s="29" t="n"/>
      <c r="G1924" s="29" t="n"/>
      <c r="H1924" s="29" t="n"/>
      <c r="I1924" s="29" t="n"/>
      <c r="J1924" s="29" t="n"/>
      <c r="K1924" s="14" t="n"/>
      <c r="L1924" s="29" t="n"/>
      <c r="M1924" s="14" t="n"/>
      <c r="N1924" s="29" t="n"/>
      <c r="O1924" s="13" t="n"/>
      <c r="P1924" s="13" t="n"/>
      <c r="Q1924" s="35" t="n"/>
      <c r="R1924" s="35" t="n"/>
      <c r="S1924" s="35" t="n"/>
      <c r="T1924" s="35" t="n"/>
      <c r="U1924" s="35" t="n"/>
      <c r="V1924" s="18">
        <f>IF(COUNTA($B1924:$R1924)=0,"",ROUND(N($R1924)+N($S1924)+N($T1924)-N($U1924),2))</f>
        <v/>
      </c>
      <c r="W1924" s="18">
        <f>IF(COUNTA($B1924:$R1924)=0,"",IF(OR($X1924="Pago",$X1924="Recebido",$X1924="Cancelado"),0,ROUND(N($Q1924)+N($S1924)+N($T1924)-N($U1924)-N($R1924),2)))</f>
        <v/>
      </c>
      <c r="X1924" s="14" t="n"/>
      <c r="Y1924" s="17">
        <f>IF(COUNTA($B1924:$R1924)=0,"",IF($X1924="Cancelado","Cancelado",IF(OR($X1924="Pago",$X1924="Recebido"),$X1924,IF(OR($X1924="Parcial",N($R1924)&gt;0),"Parcial",IF($C1924="","Sem vencimento",IF($C1924&lt;TODAY(),"Vencido",IF($C1924=TODAY(),"Vence hoje",IF($C1924&lt;=TODAY()+7,"Vence em 7 dias",IF($C1924&lt;=TODAY()+30,"Vence em 30 dias","Futuro")))))))))</f>
        <v/>
      </c>
      <c r="Z1924" s="24">
        <f>IF($B1924="","",MONTH($B1924))</f>
        <v/>
      </c>
      <c r="AA1924" s="24">
        <f>IF($B1924="","",YEAR($B1924))</f>
        <v/>
      </c>
      <c r="AB1924" s="24">
        <f>IF($B1924="","",ISOWEEKNUM($B1924))</f>
        <v/>
      </c>
      <c r="AC1924" s="17">
        <f>IF($B1924="","",CHOOSE(WEEKDAY($B1924,2),"Segunda","Terça","Quarta","Quinta","Sexta","Sábado","Domingo"))</f>
        <v/>
      </c>
      <c r="AD1924" s="17">
        <f>IF($B1924="","",TEXT($B1924,"MM/AAAA"))</f>
        <v/>
      </c>
      <c r="AE1924" s="18">
        <f>IF(COUNTA($B1924:$R1924)=0,"",IF($X1924="Cancelado",0,ROUND(N($Q1924)+N($S1924)+N($T1924)-N($U1924),2)))</f>
        <v/>
      </c>
      <c r="AF1924" s="9">
        <f>IF($G1924="","",IFERROR(INDEX(LINHAS_DRE_PLANO,MATCH($G1924,SUBCATEGORIAS_PLANO,0)),"Não classificado"))</f>
        <v/>
      </c>
      <c r="AG1924" s="17">
        <f>IF($G1924="","",IFERROR(INDEX(TIPOS_FLUXO_PLANO,MATCH($G1924,SUBCATEGORIAS_PLANO,0)),"Não classificado"))</f>
        <v/>
      </c>
      <c r="AH1924" s="9">
        <f>IF($G1924="","",IFERROR(INDEX(GRUPOS_PLANO,MATCH($G1924,SUBCATEGORIAS_PLANO,0)),"Não classificado"))</f>
        <v/>
      </c>
      <c r="AI1924" s="24">
        <f>IF(OR($C1924="",$X1924="Pago",$X1924="Recebido",$X1924="Cancelado"),"",$C1924-TODAY())</f>
        <v/>
      </c>
      <c r="AJ1924" s="24">
        <f>IF(OR($C1924="",$X1924="Pago",$X1924="Recebido",$X1924="Cancelado"),0,MAX(0,TODAY()-$C1924))</f>
        <v/>
      </c>
      <c r="AK1924" s="24">
        <f>IF($D1924="","",$D1924-$B1924)</f>
        <v/>
      </c>
      <c r="AL1924" s="18">
        <f>IF(OR($D1924="",$B1924=""),"",ROUND(N($R1924)*($D1924-$B1924),2))</f>
        <v/>
      </c>
      <c r="AM1924" s="17">
        <f>IF(AND($E1924="Saída",$W1924&gt;0,$C1924&lt;&gt;""),$C1924+ROW()/1000000,"")</f>
        <v/>
      </c>
      <c r="AN1924" s="17">
        <f>IF(AND($E1924="Entrada",$W1924&gt;0,$C1924&lt;&gt;""),$C1924+ROW()/1000000,"")</f>
        <v/>
      </c>
      <c r="AO1924" s="9">
        <f>IF(COUNTA($B1924:$R1924)=0,"",IF(AND($I1924&lt;&gt;"",COUNTIF(CLIENTES_NOMES,$I1924)+COUNTIF(CLIENTES_FANTASIA,$I1924)+COUNTIF(FORNECEDORES_NOMES,$I1924)+COUNTIF(FORNECEDORES_FANTASIA,$I1924)=0),"⚠ Cliente/Fornecedor não cadastrado",IF(AND($G1924&lt;&gt;"",COUNTIF(SUBCATEGORIAS_PLANO,$G1924)=0),"⚠ Subcategoria fora do plano de contas",IF(OR($Q1924="",N($Q1924)=0),"⚠ Valor previsto não informado",IF(AND(OR($X1924="Pago",$X1924="Recebido"),$D1924=""),"⚠ Status pago/recebido sem data",IF(AND($D1924&lt;&gt;"",N($R1924)=0),"⚠ Data de pagamento sem valor realizado",IF(AND(N($P1924)&gt;1,N($O1924)&gt;N($P1924)),"⚠ Nº da parcela maior que o total",IF(AND($C1924&lt;&gt;"",$B1924&lt;&gt;"",$C1924&lt;$B1924),"⚠ Vencimento anterior à competência","OK"))))))))</f>
        <v/>
      </c>
    </row>
    <row r="1925">
      <c r="A1925" s="14" t="n"/>
      <c r="B1925" s="36" t="n"/>
      <c r="C1925" s="36" t="n"/>
      <c r="D1925" s="36" t="n"/>
      <c r="E1925" s="14" t="n"/>
      <c r="F1925" s="29" t="n"/>
      <c r="G1925" s="29" t="n"/>
      <c r="H1925" s="29" t="n"/>
      <c r="I1925" s="29" t="n"/>
      <c r="J1925" s="29" t="n"/>
      <c r="K1925" s="14" t="n"/>
      <c r="L1925" s="29" t="n"/>
      <c r="M1925" s="14" t="n"/>
      <c r="N1925" s="29" t="n"/>
      <c r="O1925" s="13" t="n"/>
      <c r="P1925" s="13" t="n"/>
      <c r="Q1925" s="35" t="n"/>
      <c r="R1925" s="35" t="n"/>
      <c r="S1925" s="35" t="n"/>
      <c r="T1925" s="35" t="n"/>
      <c r="U1925" s="35" t="n"/>
      <c r="V1925" s="18">
        <f>IF(COUNTA($B1925:$R1925)=0,"",ROUND(N($R1925)+N($S1925)+N($T1925)-N($U1925),2))</f>
        <v/>
      </c>
      <c r="W1925" s="18">
        <f>IF(COUNTA($B1925:$R1925)=0,"",IF(OR($X1925="Pago",$X1925="Recebido",$X1925="Cancelado"),0,ROUND(N($Q1925)+N($S1925)+N($T1925)-N($U1925)-N($R1925),2)))</f>
        <v/>
      </c>
      <c r="X1925" s="14" t="n"/>
      <c r="Y1925" s="17">
        <f>IF(COUNTA($B1925:$R1925)=0,"",IF($X1925="Cancelado","Cancelado",IF(OR($X1925="Pago",$X1925="Recebido"),$X1925,IF(OR($X1925="Parcial",N($R1925)&gt;0),"Parcial",IF($C1925="","Sem vencimento",IF($C1925&lt;TODAY(),"Vencido",IF($C1925=TODAY(),"Vence hoje",IF($C1925&lt;=TODAY()+7,"Vence em 7 dias",IF($C1925&lt;=TODAY()+30,"Vence em 30 dias","Futuro")))))))))</f>
        <v/>
      </c>
      <c r="Z1925" s="24">
        <f>IF($B1925="","",MONTH($B1925))</f>
        <v/>
      </c>
      <c r="AA1925" s="24">
        <f>IF($B1925="","",YEAR($B1925))</f>
        <v/>
      </c>
      <c r="AB1925" s="24">
        <f>IF($B1925="","",ISOWEEKNUM($B1925))</f>
        <v/>
      </c>
      <c r="AC1925" s="17">
        <f>IF($B1925="","",CHOOSE(WEEKDAY($B1925,2),"Segunda","Terça","Quarta","Quinta","Sexta","Sábado","Domingo"))</f>
        <v/>
      </c>
      <c r="AD1925" s="17">
        <f>IF($B1925="","",TEXT($B1925,"MM/AAAA"))</f>
        <v/>
      </c>
      <c r="AE1925" s="18">
        <f>IF(COUNTA($B1925:$R1925)=0,"",IF($X1925="Cancelado",0,ROUND(N($Q1925)+N($S1925)+N($T1925)-N($U1925),2)))</f>
        <v/>
      </c>
      <c r="AF1925" s="9">
        <f>IF($G1925="","",IFERROR(INDEX(LINHAS_DRE_PLANO,MATCH($G1925,SUBCATEGORIAS_PLANO,0)),"Não classificado"))</f>
        <v/>
      </c>
      <c r="AG1925" s="17">
        <f>IF($G1925="","",IFERROR(INDEX(TIPOS_FLUXO_PLANO,MATCH($G1925,SUBCATEGORIAS_PLANO,0)),"Não classificado"))</f>
        <v/>
      </c>
      <c r="AH1925" s="9">
        <f>IF($G1925="","",IFERROR(INDEX(GRUPOS_PLANO,MATCH($G1925,SUBCATEGORIAS_PLANO,0)),"Não classificado"))</f>
        <v/>
      </c>
      <c r="AI1925" s="24">
        <f>IF(OR($C1925="",$X1925="Pago",$X1925="Recebido",$X1925="Cancelado"),"",$C1925-TODAY())</f>
        <v/>
      </c>
      <c r="AJ1925" s="24">
        <f>IF(OR($C1925="",$X1925="Pago",$X1925="Recebido",$X1925="Cancelado"),0,MAX(0,TODAY()-$C1925))</f>
        <v/>
      </c>
      <c r="AK1925" s="24">
        <f>IF($D1925="","",$D1925-$B1925)</f>
        <v/>
      </c>
      <c r="AL1925" s="18">
        <f>IF(OR($D1925="",$B1925=""),"",ROUND(N($R1925)*($D1925-$B1925),2))</f>
        <v/>
      </c>
      <c r="AM1925" s="17">
        <f>IF(AND($E1925="Saída",$W1925&gt;0,$C1925&lt;&gt;""),$C1925+ROW()/1000000,"")</f>
        <v/>
      </c>
      <c r="AN1925" s="17">
        <f>IF(AND($E1925="Entrada",$W1925&gt;0,$C1925&lt;&gt;""),$C1925+ROW()/1000000,"")</f>
        <v/>
      </c>
      <c r="AO1925" s="9">
        <f>IF(COUNTA($B1925:$R1925)=0,"",IF(AND($I1925&lt;&gt;"",COUNTIF(CLIENTES_NOMES,$I1925)+COUNTIF(CLIENTES_FANTASIA,$I1925)+COUNTIF(FORNECEDORES_NOMES,$I1925)+COUNTIF(FORNECEDORES_FANTASIA,$I1925)=0),"⚠ Cliente/Fornecedor não cadastrado",IF(AND($G1925&lt;&gt;"",COUNTIF(SUBCATEGORIAS_PLANO,$G1925)=0),"⚠ Subcategoria fora do plano de contas",IF(OR($Q1925="",N($Q1925)=0),"⚠ Valor previsto não informado",IF(AND(OR($X1925="Pago",$X1925="Recebido"),$D1925=""),"⚠ Status pago/recebido sem data",IF(AND($D1925&lt;&gt;"",N($R1925)=0),"⚠ Data de pagamento sem valor realizado",IF(AND(N($P1925)&gt;1,N($O1925)&gt;N($P1925)),"⚠ Nº da parcela maior que o total",IF(AND($C1925&lt;&gt;"",$B1925&lt;&gt;"",$C1925&lt;$B1925),"⚠ Vencimento anterior à competência","OK"))))))))</f>
        <v/>
      </c>
    </row>
    <row r="1926">
      <c r="A1926" s="14" t="n"/>
      <c r="B1926" s="36" t="n"/>
      <c r="C1926" s="36" t="n"/>
      <c r="D1926" s="36" t="n"/>
      <c r="E1926" s="14" t="n"/>
      <c r="F1926" s="29" t="n"/>
      <c r="G1926" s="29" t="n"/>
      <c r="H1926" s="29" t="n"/>
      <c r="I1926" s="29" t="n"/>
      <c r="J1926" s="29" t="n"/>
      <c r="K1926" s="14" t="n"/>
      <c r="L1926" s="29" t="n"/>
      <c r="M1926" s="14" t="n"/>
      <c r="N1926" s="29" t="n"/>
      <c r="O1926" s="13" t="n"/>
      <c r="P1926" s="13" t="n"/>
      <c r="Q1926" s="35" t="n"/>
      <c r="R1926" s="35" t="n"/>
      <c r="S1926" s="35" t="n"/>
      <c r="T1926" s="35" t="n"/>
      <c r="U1926" s="35" t="n"/>
      <c r="V1926" s="18">
        <f>IF(COUNTA($B1926:$R1926)=0,"",ROUND(N($R1926)+N($S1926)+N($T1926)-N($U1926),2))</f>
        <v/>
      </c>
      <c r="W1926" s="18">
        <f>IF(COUNTA($B1926:$R1926)=0,"",IF(OR($X1926="Pago",$X1926="Recebido",$X1926="Cancelado"),0,ROUND(N($Q1926)+N($S1926)+N($T1926)-N($U1926)-N($R1926),2)))</f>
        <v/>
      </c>
      <c r="X1926" s="14" t="n"/>
      <c r="Y1926" s="17">
        <f>IF(COUNTA($B1926:$R1926)=0,"",IF($X1926="Cancelado","Cancelado",IF(OR($X1926="Pago",$X1926="Recebido"),$X1926,IF(OR($X1926="Parcial",N($R1926)&gt;0),"Parcial",IF($C1926="","Sem vencimento",IF($C1926&lt;TODAY(),"Vencido",IF($C1926=TODAY(),"Vence hoje",IF($C1926&lt;=TODAY()+7,"Vence em 7 dias",IF($C1926&lt;=TODAY()+30,"Vence em 30 dias","Futuro")))))))))</f>
        <v/>
      </c>
      <c r="Z1926" s="24">
        <f>IF($B1926="","",MONTH($B1926))</f>
        <v/>
      </c>
      <c r="AA1926" s="24">
        <f>IF($B1926="","",YEAR($B1926))</f>
        <v/>
      </c>
      <c r="AB1926" s="24">
        <f>IF($B1926="","",ISOWEEKNUM($B1926))</f>
        <v/>
      </c>
      <c r="AC1926" s="17">
        <f>IF($B1926="","",CHOOSE(WEEKDAY($B1926,2),"Segunda","Terça","Quarta","Quinta","Sexta","Sábado","Domingo"))</f>
        <v/>
      </c>
      <c r="AD1926" s="17">
        <f>IF($B1926="","",TEXT($B1926,"MM/AAAA"))</f>
        <v/>
      </c>
      <c r="AE1926" s="18">
        <f>IF(COUNTA($B1926:$R1926)=0,"",IF($X1926="Cancelado",0,ROUND(N($Q1926)+N($S1926)+N($T1926)-N($U1926),2)))</f>
        <v/>
      </c>
      <c r="AF1926" s="9">
        <f>IF($G1926="","",IFERROR(INDEX(LINHAS_DRE_PLANO,MATCH($G1926,SUBCATEGORIAS_PLANO,0)),"Não classificado"))</f>
        <v/>
      </c>
      <c r="AG1926" s="17">
        <f>IF($G1926="","",IFERROR(INDEX(TIPOS_FLUXO_PLANO,MATCH($G1926,SUBCATEGORIAS_PLANO,0)),"Não classificado"))</f>
        <v/>
      </c>
      <c r="AH1926" s="9">
        <f>IF($G1926="","",IFERROR(INDEX(GRUPOS_PLANO,MATCH($G1926,SUBCATEGORIAS_PLANO,0)),"Não classificado"))</f>
        <v/>
      </c>
      <c r="AI1926" s="24">
        <f>IF(OR($C1926="",$X1926="Pago",$X1926="Recebido",$X1926="Cancelado"),"",$C1926-TODAY())</f>
        <v/>
      </c>
      <c r="AJ1926" s="24">
        <f>IF(OR($C1926="",$X1926="Pago",$X1926="Recebido",$X1926="Cancelado"),0,MAX(0,TODAY()-$C1926))</f>
        <v/>
      </c>
      <c r="AK1926" s="24">
        <f>IF($D1926="","",$D1926-$B1926)</f>
        <v/>
      </c>
      <c r="AL1926" s="18">
        <f>IF(OR($D1926="",$B1926=""),"",ROUND(N($R1926)*($D1926-$B1926),2))</f>
        <v/>
      </c>
      <c r="AM1926" s="17">
        <f>IF(AND($E1926="Saída",$W1926&gt;0,$C1926&lt;&gt;""),$C1926+ROW()/1000000,"")</f>
        <v/>
      </c>
      <c r="AN1926" s="17">
        <f>IF(AND($E1926="Entrada",$W1926&gt;0,$C1926&lt;&gt;""),$C1926+ROW()/1000000,"")</f>
        <v/>
      </c>
      <c r="AO1926" s="9">
        <f>IF(COUNTA($B1926:$R1926)=0,"",IF(AND($I1926&lt;&gt;"",COUNTIF(CLIENTES_NOMES,$I1926)+COUNTIF(CLIENTES_FANTASIA,$I1926)+COUNTIF(FORNECEDORES_NOMES,$I1926)+COUNTIF(FORNECEDORES_FANTASIA,$I1926)=0),"⚠ Cliente/Fornecedor não cadastrado",IF(AND($G1926&lt;&gt;"",COUNTIF(SUBCATEGORIAS_PLANO,$G1926)=0),"⚠ Subcategoria fora do plano de contas",IF(OR($Q1926="",N($Q1926)=0),"⚠ Valor previsto não informado",IF(AND(OR($X1926="Pago",$X1926="Recebido"),$D1926=""),"⚠ Status pago/recebido sem data",IF(AND($D1926&lt;&gt;"",N($R1926)=0),"⚠ Data de pagamento sem valor realizado",IF(AND(N($P1926)&gt;1,N($O1926)&gt;N($P1926)),"⚠ Nº da parcela maior que o total",IF(AND($C1926&lt;&gt;"",$B1926&lt;&gt;"",$C1926&lt;$B1926),"⚠ Vencimento anterior à competência","OK"))))))))</f>
        <v/>
      </c>
    </row>
    <row r="1927">
      <c r="A1927" s="14" t="n"/>
      <c r="B1927" s="36" t="n"/>
      <c r="C1927" s="36" t="n"/>
      <c r="D1927" s="36" t="n"/>
      <c r="E1927" s="14" t="n"/>
      <c r="F1927" s="29" t="n"/>
      <c r="G1927" s="29" t="n"/>
      <c r="H1927" s="29" t="n"/>
      <c r="I1927" s="29" t="n"/>
      <c r="J1927" s="29" t="n"/>
      <c r="K1927" s="14" t="n"/>
      <c r="L1927" s="29" t="n"/>
      <c r="M1927" s="14" t="n"/>
      <c r="N1927" s="29" t="n"/>
      <c r="O1927" s="13" t="n"/>
      <c r="P1927" s="13" t="n"/>
      <c r="Q1927" s="35" t="n"/>
      <c r="R1927" s="35" t="n"/>
      <c r="S1927" s="35" t="n"/>
      <c r="T1927" s="35" t="n"/>
      <c r="U1927" s="35" t="n"/>
      <c r="V1927" s="18">
        <f>IF(COUNTA($B1927:$R1927)=0,"",ROUND(N($R1927)+N($S1927)+N($T1927)-N($U1927),2))</f>
        <v/>
      </c>
      <c r="W1927" s="18">
        <f>IF(COUNTA($B1927:$R1927)=0,"",IF(OR($X1927="Pago",$X1927="Recebido",$X1927="Cancelado"),0,ROUND(N($Q1927)+N($S1927)+N($T1927)-N($U1927)-N($R1927),2)))</f>
        <v/>
      </c>
      <c r="X1927" s="14" t="n"/>
      <c r="Y1927" s="17">
        <f>IF(COUNTA($B1927:$R1927)=0,"",IF($X1927="Cancelado","Cancelado",IF(OR($X1927="Pago",$X1927="Recebido"),$X1927,IF(OR($X1927="Parcial",N($R1927)&gt;0),"Parcial",IF($C1927="","Sem vencimento",IF($C1927&lt;TODAY(),"Vencido",IF($C1927=TODAY(),"Vence hoje",IF($C1927&lt;=TODAY()+7,"Vence em 7 dias",IF($C1927&lt;=TODAY()+30,"Vence em 30 dias","Futuro")))))))))</f>
        <v/>
      </c>
      <c r="Z1927" s="24">
        <f>IF($B1927="","",MONTH($B1927))</f>
        <v/>
      </c>
      <c r="AA1927" s="24">
        <f>IF($B1927="","",YEAR($B1927))</f>
        <v/>
      </c>
      <c r="AB1927" s="24">
        <f>IF($B1927="","",ISOWEEKNUM($B1927))</f>
        <v/>
      </c>
      <c r="AC1927" s="17">
        <f>IF($B1927="","",CHOOSE(WEEKDAY($B1927,2),"Segunda","Terça","Quarta","Quinta","Sexta","Sábado","Domingo"))</f>
        <v/>
      </c>
      <c r="AD1927" s="17">
        <f>IF($B1927="","",TEXT($B1927,"MM/AAAA"))</f>
        <v/>
      </c>
      <c r="AE1927" s="18">
        <f>IF(COUNTA($B1927:$R1927)=0,"",IF($X1927="Cancelado",0,ROUND(N($Q1927)+N($S1927)+N($T1927)-N($U1927),2)))</f>
        <v/>
      </c>
      <c r="AF1927" s="9">
        <f>IF($G1927="","",IFERROR(INDEX(LINHAS_DRE_PLANO,MATCH($G1927,SUBCATEGORIAS_PLANO,0)),"Não classificado"))</f>
        <v/>
      </c>
      <c r="AG1927" s="17">
        <f>IF($G1927="","",IFERROR(INDEX(TIPOS_FLUXO_PLANO,MATCH($G1927,SUBCATEGORIAS_PLANO,0)),"Não classificado"))</f>
        <v/>
      </c>
      <c r="AH1927" s="9">
        <f>IF($G1927="","",IFERROR(INDEX(GRUPOS_PLANO,MATCH($G1927,SUBCATEGORIAS_PLANO,0)),"Não classificado"))</f>
        <v/>
      </c>
      <c r="AI1927" s="24">
        <f>IF(OR($C1927="",$X1927="Pago",$X1927="Recebido",$X1927="Cancelado"),"",$C1927-TODAY())</f>
        <v/>
      </c>
      <c r="AJ1927" s="24">
        <f>IF(OR($C1927="",$X1927="Pago",$X1927="Recebido",$X1927="Cancelado"),0,MAX(0,TODAY()-$C1927))</f>
        <v/>
      </c>
      <c r="AK1927" s="24">
        <f>IF($D1927="","",$D1927-$B1927)</f>
        <v/>
      </c>
      <c r="AL1927" s="18">
        <f>IF(OR($D1927="",$B1927=""),"",ROUND(N($R1927)*($D1927-$B1927),2))</f>
        <v/>
      </c>
      <c r="AM1927" s="17">
        <f>IF(AND($E1927="Saída",$W1927&gt;0,$C1927&lt;&gt;""),$C1927+ROW()/1000000,"")</f>
        <v/>
      </c>
      <c r="AN1927" s="17">
        <f>IF(AND($E1927="Entrada",$W1927&gt;0,$C1927&lt;&gt;""),$C1927+ROW()/1000000,"")</f>
        <v/>
      </c>
      <c r="AO1927" s="9">
        <f>IF(COUNTA($B1927:$R1927)=0,"",IF(AND($I1927&lt;&gt;"",COUNTIF(CLIENTES_NOMES,$I1927)+COUNTIF(CLIENTES_FANTASIA,$I1927)+COUNTIF(FORNECEDORES_NOMES,$I1927)+COUNTIF(FORNECEDORES_FANTASIA,$I1927)=0),"⚠ Cliente/Fornecedor não cadastrado",IF(AND($G1927&lt;&gt;"",COUNTIF(SUBCATEGORIAS_PLANO,$G1927)=0),"⚠ Subcategoria fora do plano de contas",IF(OR($Q1927="",N($Q1927)=0),"⚠ Valor previsto não informado",IF(AND(OR($X1927="Pago",$X1927="Recebido"),$D1927=""),"⚠ Status pago/recebido sem data",IF(AND($D1927&lt;&gt;"",N($R1927)=0),"⚠ Data de pagamento sem valor realizado",IF(AND(N($P1927)&gt;1,N($O1927)&gt;N($P1927)),"⚠ Nº da parcela maior que o total",IF(AND($C1927&lt;&gt;"",$B1927&lt;&gt;"",$C1927&lt;$B1927),"⚠ Vencimento anterior à competência","OK"))))))))</f>
        <v/>
      </c>
    </row>
    <row r="1928">
      <c r="A1928" s="14" t="n"/>
      <c r="B1928" s="36" t="n"/>
      <c r="C1928" s="36" t="n"/>
      <c r="D1928" s="36" t="n"/>
      <c r="E1928" s="14" t="n"/>
      <c r="F1928" s="29" t="n"/>
      <c r="G1928" s="29" t="n"/>
      <c r="H1928" s="29" t="n"/>
      <c r="I1928" s="29" t="n"/>
      <c r="J1928" s="29" t="n"/>
      <c r="K1928" s="14" t="n"/>
      <c r="L1928" s="29" t="n"/>
      <c r="M1928" s="14" t="n"/>
      <c r="N1928" s="29" t="n"/>
      <c r="O1928" s="13" t="n"/>
      <c r="P1928" s="13" t="n"/>
      <c r="Q1928" s="35" t="n"/>
      <c r="R1928" s="35" t="n"/>
      <c r="S1928" s="35" t="n"/>
      <c r="T1928" s="35" t="n"/>
      <c r="U1928" s="35" t="n"/>
      <c r="V1928" s="18">
        <f>IF(COUNTA($B1928:$R1928)=0,"",ROUND(N($R1928)+N($S1928)+N($T1928)-N($U1928),2))</f>
        <v/>
      </c>
      <c r="W1928" s="18">
        <f>IF(COUNTA($B1928:$R1928)=0,"",IF(OR($X1928="Pago",$X1928="Recebido",$X1928="Cancelado"),0,ROUND(N($Q1928)+N($S1928)+N($T1928)-N($U1928)-N($R1928),2)))</f>
        <v/>
      </c>
      <c r="X1928" s="14" t="n"/>
      <c r="Y1928" s="17">
        <f>IF(COUNTA($B1928:$R1928)=0,"",IF($X1928="Cancelado","Cancelado",IF(OR($X1928="Pago",$X1928="Recebido"),$X1928,IF(OR($X1928="Parcial",N($R1928)&gt;0),"Parcial",IF($C1928="","Sem vencimento",IF($C1928&lt;TODAY(),"Vencido",IF($C1928=TODAY(),"Vence hoje",IF($C1928&lt;=TODAY()+7,"Vence em 7 dias",IF($C1928&lt;=TODAY()+30,"Vence em 30 dias","Futuro")))))))))</f>
        <v/>
      </c>
      <c r="Z1928" s="24">
        <f>IF($B1928="","",MONTH($B1928))</f>
        <v/>
      </c>
      <c r="AA1928" s="24">
        <f>IF($B1928="","",YEAR($B1928))</f>
        <v/>
      </c>
      <c r="AB1928" s="24">
        <f>IF($B1928="","",ISOWEEKNUM($B1928))</f>
        <v/>
      </c>
      <c r="AC1928" s="17">
        <f>IF($B1928="","",CHOOSE(WEEKDAY($B1928,2),"Segunda","Terça","Quarta","Quinta","Sexta","Sábado","Domingo"))</f>
        <v/>
      </c>
      <c r="AD1928" s="17">
        <f>IF($B1928="","",TEXT($B1928,"MM/AAAA"))</f>
        <v/>
      </c>
      <c r="AE1928" s="18">
        <f>IF(COUNTA($B1928:$R1928)=0,"",IF($X1928="Cancelado",0,ROUND(N($Q1928)+N($S1928)+N($T1928)-N($U1928),2)))</f>
        <v/>
      </c>
      <c r="AF1928" s="9">
        <f>IF($G1928="","",IFERROR(INDEX(LINHAS_DRE_PLANO,MATCH($G1928,SUBCATEGORIAS_PLANO,0)),"Não classificado"))</f>
        <v/>
      </c>
      <c r="AG1928" s="17">
        <f>IF($G1928="","",IFERROR(INDEX(TIPOS_FLUXO_PLANO,MATCH($G1928,SUBCATEGORIAS_PLANO,0)),"Não classificado"))</f>
        <v/>
      </c>
      <c r="AH1928" s="9">
        <f>IF($G1928="","",IFERROR(INDEX(GRUPOS_PLANO,MATCH($G1928,SUBCATEGORIAS_PLANO,0)),"Não classificado"))</f>
        <v/>
      </c>
      <c r="AI1928" s="24">
        <f>IF(OR($C1928="",$X1928="Pago",$X1928="Recebido",$X1928="Cancelado"),"",$C1928-TODAY())</f>
        <v/>
      </c>
      <c r="AJ1928" s="24">
        <f>IF(OR($C1928="",$X1928="Pago",$X1928="Recebido",$X1928="Cancelado"),0,MAX(0,TODAY()-$C1928))</f>
        <v/>
      </c>
      <c r="AK1928" s="24">
        <f>IF($D1928="","",$D1928-$B1928)</f>
        <v/>
      </c>
      <c r="AL1928" s="18">
        <f>IF(OR($D1928="",$B1928=""),"",ROUND(N($R1928)*($D1928-$B1928),2))</f>
        <v/>
      </c>
      <c r="AM1928" s="17">
        <f>IF(AND($E1928="Saída",$W1928&gt;0,$C1928&lt;&gt;""),$C1928+ROW()/1000000,"")</f>
        <v/>
      </c>
      <c r="AN1928" s="17">
        <f>IF(AND($E1928="Entrada",$W1928&gt;0,$C1928&lt;&gt;""),$C1928+ROW()/1000000,"")</f>
        <v/>
      </c>
      <c r="AO1928" s="9">
        <f>IF(COUNTA($B1928:$R1928)=0,"",IF(AND($I1928&lt;&gt;"",COUNTIF(CLIENTES_NOMES,$I1928)+COUNTIF(CLIENTES_FANTASIA,$I1928)+COUNTIF(FORNECEDORES_NOMES,$I1928)+COUNTIF(FORNECEDORES_FANTASIA,$I1928)=0),"⚠ Cliente/Fornecedor não cadastrado",IF(AND($G1928&lt;&gt;"",COUNTIF(SUBCATEGORIAS_PLANO,$G1928)=0),"⚠ Subcategoria fora do plano de contas",IF(OR($Q1928="",N($Q1928)=0),"⚠ Valor previsto não informado",IF(AND(OR($X1928="Pago",$X1928="Recebido"),$D1928=""),"⚠ Status pago/recebido sem data",IF(AND($D1928&lt;&gt;"",N($R1928)=0),"⚠ Data de pagamento sem valor realizado",IF(AND(N($P1928)&gt;1,N($O1928)&gt;N($P1928)),"⚠ Nº da parcela maior que o total",IF(AND($C1928&lt;&gt;"",$B1928&lt;&gt;"",$C1928&lt;$B1928),"⚠ Vencimento anterior à competência","OK"))))))))</f>
        <v/>
      </c>
    </row>
    <row r="1929">
      <c r="A1929" s="14" t="n"/>
      <c r="B1929" s="36" t="n"/>
      <c r="C1929" s="36" t="n"/>
      <c r="D1929" s="36" t="n"/>
      <c r="E1929" s="14" t="n"/>
      <c r="F1929" s="29" t="n"/>
      <c r="G1929" s="29" t="n"/>
      <c r="H1929" s="29" t="n"/>
      <c r="I1929" s="29" t="n"/>
      <c r="J1929" s="29" t="n"/>
      <c r="K1929" s="14" t="n"/>
      <c r="L1929" s="29" t="n"/>
      <c r="M1929" s="14" t="n"/>
      <c r="N1929" s="29" t="n"/>
      <c r="O1929" s="13" t="n"/>
      <c r="P1929" s="13" t="n"/>
      <c r="Q1929" s="35" t="n"/>
      <c r="R1929" s="35" t="n"/>
      <c r="S1929" s="35" t="n"/>
      <c r="T1929" s="35" t="n"/>
      <c r="U1929" s="35" t="n"/>
      <c r="V1929" s="18">
        <f>IF(COUNTA($B1929:$R1929)=0,"",ROUND(N($R1929)+N($S1929)+N($T1929)-N($U1929),2))</f>
        <v/>
      </c>
      <c r="W1929" s="18">
        <f>IF(COUNTA($B1929:$R1929)=0,"",IF(OR($X1929="Pago",$X1929="Recebido",$X1929="Cancelado"),0,ROUND(N($Q1929)+N($S1929)+N($T1929)-N($U1929)-N($R1929),2)))</f>
        <v/>
      </c>
      <c r="X1929" s="14" t="n"/>
      <c r="Y1929" s="17">
        <f>IF(COUNTA($B1929:$R1929)=0,"",IF($X1929="Cancelado","Cancelado",IF(OR($X1929="Pago",$X1929="Recebido"),$X1929,IF(OR($X1929="Parcial",N($R1929)&gt;0),"Parcial",IF($C1929="","Sem vencimento",IF($C1929&lt;TODAY(),"Vencido",IF($C1929=TODAY(),"Vence hoje",IF($C1929&lt;=TODAY()+7,"Vence em 7 dias",IF($C1929&lt;=TODAY()+30,"Vence em 30 dias","Futuro")))))))))</f>
        <v/>
      </c>
      <c r="Z1929" s="24">
        <f>IF($B1929="","",MONTH($B1929))</f>
        <v/>
      </c>
      <c r="AA1929" s="24">
        <f>IF($B1929="","",YEAR($B1929))</f>
        <v/>
      </c>
      <c r="AB1929" s="24">
        <f>IF($B1929="","",ISOWEEKNUM($B1929))</f>
        <v/>
      </c>
      <c r="AC1929" s="17">
        <f>IF($B1929="","",CHOOSE(WEEKDAY($B1929,2),"Segunda","Terça","Quarta","Quinta","Sexta","Sábado","Domingo"))</f>
        <v/>
      </c>
      <c r="AD1929" s="17">
        <f>IF($B1929="","",TEXT($B1929,"MM/AAAA"))</f>
        <v/>
      </c>
      <c r="AE1929" s="18">
        <f>IF(COUNTA($B1929:$R1929)=0,"",IF($X1929="Cancelado",0,ROUND(N($Q1929)+N($S1929)+N($T1929)-N($U1929),2)))</f>
        <v/>
      </c>
      <c r="AF1929" s="9">
        <f>IF($G1929="","",IFERROR(INDEX(LINHAS_DRE_PLANO,MATCH($G1929,SUBCATEGORIAS_PLANO,0)),"Não classificado"))</f>
        <v/>
      </c>
      <c r="AG1929" s="17">
        <f>IF($G1929="","",IFERROR(INDEX(TIPOS_FLUXO_PLANO,MATCH($G1929,SUBCATEGORIAS_PLANO,0)),"Não classificado"))</f>
        <v/>
      </c>
      <c r="AH1929" s="9">
        <f>IF($G1929="","",IFERROR(INDEX(GRUPOS_PLANO,MATCH($G1929,SUBCATEGORIAS_PLANO,0)),"Não classificado"))</f>
        <v/>
      </c>
      <c r="AI1929" s="24">
        <f>IF(OR($C1929="",$X1929="Pago",$X1929="Recebido",$X1929="Cancelado"),"",$C1929-TODAY())</f>
        <v/>
      </c>
      <c r="AJ1929" s="24">
        <f>IF(OR($C1929="",$X1929="Pago",$X1929="Recebido",$X1929="Cancelado"),0,MAX(0,TODAY()-$C1929))</f>
        <v/>
      </c>
      <c r="AK1929" s="24">
        <f>IF($D1929="","",$D1929-$B1929)</f>
        <v/>
      </c>
      <c r="AL1929" s="18">
        <f>IF(OR($D1929="",$B1929=""),"",ROUND(N($R1929)*($D1929-$B1929),2))</f>
        <v/>
      </c>
      <c r="AM1929" s="17">
        <f>IF(AND($E1929="Saída",$W1929&gt;0,$C1929&lt;&gt;""),$C1929+ROW()/1000000,"")</f>
        <v/>
      </c>
      <c r="AN1929" s="17">
        <f>IF(AND($E1929="Entrada",$W1929&gt;0,$C1929&lt;&gt;""),$C1929+ROW()/1000000,"")</f>
        <v/>
      </c>
      <c r="AO1929" s="9">
        <f>IF(COUNTA($B1929:$R1929)=0,"",IF(AND($I1929&lt;&gt;"",COUNTIF(CLIENTES_NOMES,$I1929)+COUNTIF(CLIENTES_FANTASIA,$I1929)+COUNTIF(FORNECEDORES_NOMES,$I1929)+COUNTIF(FORNECEDORES_FANTASIA,$I1929)=0),"⚠ Cliente/Fornecedor não cadastrado",IF(AND($G1929&lt;&gt;"",COUNTIF(SUBCATEGORIAS_PLANO,$G1929)=0),"⚠ Subcategoria fora do plano de contas",IF(OR($Q1929="",N($Q1929)=0),"⚠ Valor previsto não informado",IF(AND(OR($X1929="Pago",$X1929="Recebido"),$D1929=""),"⚠ Status pago/recebido sem data",IF(AND($D1929&lt;&gt;"",N($R1929)=0),"⚠ Data de pagamento sem valor realizado",IF(AND(N($P1929)&gt;1,N($O1929)&gt;N($P1929)),"⚠ Nº da parcela maior que o total",IF(AND($C1929&lt;&gt;"",$B1929&lt;&gt;"",$C1929&lt;$B1929),"⚠ Vencimento anterior à competência","OK"))))))))</f>
        <v/>
      </c>
    </row>
    <row r="1930">
      <c r="A1930" s="14" t="n"/>
      <c r="B1930" s="36" t="n"/>
      <c r="C1930" s="36" t="n"/>
      <c r="D1930" s="36" t="n"/>
      <c r="E1930" s="14" t="n"/>
      <c r="F1930" s="29" t="n"/>
      <c r="G1930" s="29" t="n"/>
      <c r="H1930" s="29" t="n"/>
      <c r="I1930" s="29" t="n"/>
      <c r="J1930" s="29" t="n"/>
      <c r="K1930" s="14" t="n"/>
      <c r="L1930" s="29" t="n"/>
      <c r="M1930" s="14" t="n"/>
      <c r="N1930" s="29" t="n"/>
      <c r="O1930" s="13" t="n"/>
      <c r="P1930" s="13" t="n"/>
      <c r="Q1930" s="35" t="n"/>
      <c r="R1930" s="35" t="n"/>
      <c r="S1930" s="35" t="n"/>
      <c r="T1930" s="35" t="n"/>
      <c r="U1930" s="35" t="n"/>
      <c r="V1930" s="18">
        <f>IF(COUNTA($B1930:$R1930)=0,"",ROUND(N($R1930)+N($S1930)+N($T1930)-N($U1930),2))</f>
        <v/>
      </c>
      <c r="W1930" s="18">
        <f>IF(COUNTA($B1930:$R1930)=0,"",IF(OR($X1930="Pago",$X1930="Recebido",$X1930="Cancelado"),0,ROUND(N($Q1930)+N($S1930)+N($T1930)-N($U1930)-N($R1930),2)))</f>
        <v/>
      </c>
      <c r="X1930" s="14" t="n"/>
      <c r="Y1930" s="17">
        <f>IF(COUNTA($B1930:$R1930)=0,"",IF($X1930="Cancelado","Cancelado",IF(OR($X1930="Pago",$X1930="Recebido"),$X1930,IF(OR($X1930="Parcial",N($R1930)&gt;0),"Parcial",IF($C1930="","Sem vencimento",IF($C1930&lt;TODAY(),"Vencido",IF($C1930=TODAY(),"Vence hoje",IF($C1930&lt;=TODAY()+7,"Vence em 7 dias",IF($C1930&lt;=TODAY()+30,"Vence em 30 dias","Futuro")))))))))</f>
        <v/>
      </c>
      <c r="Z1930" s="24">
        <f>IF($B1930="","",MONTH($B1930))</f>
        <v/>
      </c>
      <c r="AA1930" s="24">
        <f>IF($B1930="","",YEAR($B1930))</f>
        <v/>
      </c>
      <c r="AB1930" s="24">
        <f>IF($B1930="","",ISOWEEKNUM($B1930))</f>
        <v/>
      </c>
      <c r="AC1930" s="17">
        <f>IF($B1930="","",CHOOSE(WEEKDAY($B1930,2),"Segunda","Terça","Quarta","Quinta","Sexta","Sábado","Domingo"))</f>
        <v/>
      </c>
      <c r="AD1930" s="17">
        <f>IF($B1930="","",TEXT($B1930,"MM/AAAA"))</f>
        <v/>
      </c>
      <c r="AE1930" s="18">
        <f>IF(COUNTA($B1930:$R1930)=0,"",IF($X1930="Cancelado",0,ROUND(N($Q1930)+N($S1930)+N($T1930)-N($U1930),2)))</f>
        <v/>
      </c>
      <c r="AF1930" s="9">
        <f>IF($G1930="","",IFERROR(INDEX(LINHAS_DRE_PLANO,MATCH($G1930,SUBCATEGORIAS_PLANO,0)),"Não classificado"))</f>
        <v/>
      </c>
      <c r="AG1930" s="17">
        <f>IF($G1930="","",IFERROR(INDEX(TIPOS_FLUXO_PLANO,MATCH($G1930,SUBCATEGORIAS_PLANO,0)),"Não classificado"))</f>
        <v/>
      </c>
      <c r="AH1930" s="9">
        <f>IF($G1930="","",IFERROR(INDEX(GRUPOS_PLANO,MATCH($G1930,SUBCATEGORIAS_PLANO,0)),"Não classificado"))</f>
        <v/>
      </c>
      <c r="AI1930" s="24">
        <f>IF(OR($C1930="",$X1930="Pago",$X1930="Recebido",$X1930="Cancelado"),"",$C1930-TODAY())</f>
        <v/>
      </c>
      <c r="AJ1930" s="24">
        <f>IF(OR($C1930="",$X1930="Pago",$X1930="Recebido",$X1930="Cancelado"),0,MAX(0,TODAY()-$C1930))</f>
        <v/>
      </c>
      <c r="AK1930" s="24">
        <f>IF($D1930="","",$D1930-$B1930)</f>
        <v/>
      </c>
      <c r="AL1930" s="18">
        <f>IF(OR($D1930="",$B1930=""),"",ROUND(N($R1930)*($D1930-$B1930),2))</f>
        <v/>
      </c>
      <c r="AM1930" s="17">
        <f>IF(AND($E1930="Saída",$W1930&gt;0,$C1930&lt;&gt;""),$C1930+ROW()/1000000,"")</f>
        <v/>
      </c>
      <c r="AN1930" s="17">
        <f>IF(AND($E1930="Entrada",$W1930&gt;0,$C1930&lt;&gt;""),$C1930+ROW()/1000000,"")</f>
        <v/>
      </c>
      <c r="AO1930" s="9">
        <f>IF(COUNTA($B1930:$R1930)=0,"",IF(AND($I1930&lt;&gt;"",COUNTIF(CLIENTES_NOMES,$I1930)+COUNTIF(CLIENTES_FANTASIA,$I1930)+COUNTIF(FORNECEDORES_NOMES,$I1930)+COUNTIF(FORNECEDORES_FANTASIA,$I1930)=0),"⚠ Cliente/Fornecedor não cadastrado",IF(AND($G1930&lt;&gt;"",COUNTIF(SUBCATEGORIAS_PLANO,$G1930)=0),"⚠ Subcategoria fora do plano de contas",IF(OR($Q1930="",N($Q1930)=0),"⚠ Valor previsto não informado",IF(AND(OR($X1930="Pago",$X1930="Recebido"),$D1930=""),"⚠ Status pago/recebido sem data",IF(AND($D1930&lt;&gt;"",N($R1930)=0),"⚠ Data de pagamento sem valor realizado",IF(AND(N($P1930)&gt;1,N($O1930)&gt;N($P1930)),"⚠ Nº da parcela maior que o total",IF(AND($C1930&lt;&gt;"",$B1930&lt;&gt;"",$C1930&lt;$B1930),"⚠ Vencimento anterior à competência","OK"))))))))</f>
        <v/>
      </c>
    </row>
    <row r="1931">
      <c r="A1931" s="14" t="n"/>
      <c r="B1931" s="36" t="n"/>
      <c r="C1931" s="36" t="n"/>
      <c r="D1931" s="36" t="n"/>
      <c r="E1931" s="14" t="n"/>
      <c r="F1931" s="29" t="n"/>
      <c r="G1931" s="29" t="n"/>
      <c r="H1931" s="29" t="n"/>
      <c r="I1931" s="29" t="n"/>
      <c r="J1931" s="29" t="n"/>
      <c r="K1931" s="14" t="n"/>
      <c r="L1931" s="29" t="n"/>
      <c r="M1931" s="14" t="n"/>
      <c r="N1931" s="29" t="n"/>
      <c r="O1931" s="13" t="n"/>
      <c r="P1931" s="13" t="n"/>
      <c r="Q1931" s="35" t="n"/>
      <c r="R1931" s="35" t="n"/>
      <c r="S1931" s="35" t="n"/>
      <c r="T1931" s="35" t="n"/>
      <c r="U1931" s="35" t="n"/>
      <c r="V1931" s="18">
        <f>IF(COUNTA($B1931:$R1931)=0,"",ROUND(N($R1931)+N($S1931)+N($T1931)-N($U1931),2))</f>
        <v/>
      </c>
      <c r="W1931" s="18">
        <f>IF(COUNTA($B1931:$R1931)=0,"",IF(OR($X1931="Pago",$X1931="Recebido",$X1931="Cancelado"),0,ROUND(N($Q1931)+N($S1931)+N($T1931)-N($U1931)-N($R1931),2)))</f>
        <v/>
      </c>
      <c r="X1931" s="14" t="n"/>
      <c r="Y1931" s="17">
        <f>IF(COUNTA($B1931:$R1931)=0,"",IF($X1931="Cancelado","Cancelado",IF(OR($X1931="Pago",$X1931="Recebido"),$X1931,IF(OR($X1931="Parcial",N($R1931)&gt;0),"Parcial",IF($C1931="","Sem vencimento",IF($C1931&lt;TODAY(),"Vencido",IF($C1931=TODAY(),"Vence hoje",IF($C1931&lt;=TODAY()+7,"Vence em 7 dias",IF($C1931&lt;=TODAY()+30,"Vence em 30 dias","Futuro")))))))))</f>
        <v/>
      </c>
      <c r="Z1931" s="24">
        <f>IF($B1931="","",MONTH($B1931))</f>
        <v/>
      </c>
      <c r="AA1931" s="24">
        <f>IF($B1931="","",YEAR($B1931))</f>
        <v/>
      </c>
      <c r="AB1931" s="24">
        <f>IF($B1931="","",ISOWEEKNUM($B1931))</f>
        <v/>
      </c>
      <c r="AC1931" s="17">
        <f>IF($B1931="","",CHOOSE(WEEKDAY($B1931,2),"Segunda","Terça","Quarta","Quinta","Sexta","Sábado","Domingo"))</f>
        <v/>
      </c>
      <c r="AD1931" s="17">
        <f>IF($B1931="","",TEXT($B1931,"MM/AAAA"))</f>
        <v/>
      </c>
      <c r="AE1931" s="18">
        <f>IF(COUNTA($B1931:$R1931)=0,"",IF($X1931="Cancelado",0,ROUND(N($Q1931)+N($S1931)+N($T1931)-N($U1931),2)))</f>
        <v/>
      </c>
      <c r="AF1931" s="9">
        <f>IF($G1931="","",IFERROR(INDEX(LINHAS_DRE_PLANO,MATCH($G1931,SUBCATEGORIAS_PLANO,0)),"Não classificado"))</f>
        <v/>
      </c>
      <c r="AG1931" s="17">
        <f>IF($G1931="","",IFERROR(INDEX(TIPOS_FLUXO_PLANO,MATCH($G1931,SUBCATEGORIAS_PLANO,0)),"Não classificado"))</f>
        <v/>
      </c>
      <c r="AH1931" s="9">
        <f>IF($G1931="","",IFERROR(INDEX(GRUPOS_PLANO,MATCH($G1931,SUBCATEGORIAS_PLANO,0)),"Não classificado"))</f>
        <v/>
      </c>
      <c r="AI1931" s="24">
        <f>IF(OR($C1931="",$X1931="Pago",$X1931="Recebido",$X1931="Cancelado"),"",$C1931-TODAY())</f>
        <v/>
      </c>
      <c r="AJ1931" s="24">
        <f>IF(OR($C1931="",$X1931="Pago",$X1931="Recebido",$X1931="Cancelado"),0,MAX(0,TODAY()-$C1931))</f>
        <v/>
      </c>
      <c r="AK1931" s="24">
        <f>IF($D1931="","",$D1931-$B1931)</f>
        <v/>
      </c>
      <c r="AL1931" s="18">
        <f>IF(OR($D1931="",$B1931=""),"",ROUND(N($R1931)*($D1931-$B1931),2))</f>
        <v/>
      </c>
      <c r="AM1931" s="17">
        <f>IF(AND($E1931="Saída",$W1931&gt;0,$C1931&lt;&gt;""),$C1931+ROW()/1000000,"")</f>
        <v/>
      </c>
      <c r="AN1931" s="17">
        <f>IF(AND($E1931="Entrada",$W1931&gt;0,$C1931&lt;&gt;""),$C1931+ROW()/1000000,"")</f>
        <v/>
      </c>
      <c r="AO1931" s="9">
        <f>IF(COUNTA($B1931:$R1931)=0,"",IF(AND($I1931&lt;&gt;"",COUNTIF(CLIENTES_NOMES,$I1931)+COUNTIF(CLIENTES_FANTASIA,$I1931)+COUNTIF(FORNECEDORES_NOMES,$I1931)+COUNTIF(FORNECEDORES_FANTASIA,$I1931)=0),"⚠ Cliente/Fornecedor não cadastrado",IF(AND($G1931&lt;&gt;"",COUNTIF(SUBCATEGORIAS_PLANO,$G1931)=0),"⚠ Subcategoria fora do plano de contas",IF(OR($Q1931="",N($Q1931)=0),"⚠ Valor previsto não informado",IF(AND(OR($X1931="Pago",$X1931="Recebido"),$D1931=""),"⚠ Status pago/recebido sem data",IF(AND($D1931&lt;&gt;"",N($R1931)=0),"⚠ Data de pagamento sem valor realizado",IF(AND(N($P1931)&gt;1,N($O1931)&gt;N($P1931)),"⚠ Nº da parcela maior que o total",IF(AND($C1931&lt;&gt;"",$B1931&lt;&gt;"",$C1931&lt;$B1931),"⚠ Vencimento anterior à competência","OK"))))))))</f>
        <v/>
      </c>
    </row>
    <row r="1932">
      <c r="A1932" s="14" t="n"/>
      <c r="B1932" s="36" t="n"/>
      <c r="C1932" s="36" t="n"/>
      <c r="D1932" s="36" t="n"/>
      <c r="E1932" s="14" t="n"/>
      <c r="F1932" s="29" t="n"/>
      <c r="G1932" s="29" t="n"/>
      <c r="H1932" s="29" t="n"/>
      <c r="I1932" s="29" t="n"/>
      <c r="J1932" s="29" t="n"/>
      <c r="K1932" s="14" t="n"/>
      <c r="L1932" s="29" t="n"/>
      <c r="M1932" s="14" t="n"/>
      <c r="N1932" s="29" t="n"/>
      <c r="O1932" s="13" t="n"/>
      <c r="P1932" s="13" t="n"/>
      <c r="Q1932" s="35" t="n"/>
      <c r="R1932" s="35" t="n"/>
      <c r="S1932" s="35" t="n"/>
      <c r="T1932" s="35" t="n"/>
      <c r="U1932" s="35" t="n"/>
      <c r="V1932" s="18">
        <f>IF(COUNTA($B1932:$R1932)=0,"",ROUND(N($R1932)+N($S1932)+N($T1932)-N($U1932),2))</f>
        <v/>
      </c>
      <c r="W1932" s="18">
        <f>IF(COUNTA($B1932:$R1932)=0,"",IF(OR($X1932="Pago",$X1932="Recebido",$X1932="Cancelado"),0,ROUND(N($Q1932)+N($S1932)+N($T1932)-N($U1932)-N($R1932),2)))</f>
        <v/>
      </c>
      <c r="X1932" s="14" t="n"/>
      <c r="Y1932" s="17">
        <f>IF(COUNTA($B1932:$R1932)=0,"",IF($X1932="Cancelado","Cancelado",IF(OR($X1932="Pago",$X1932="Recebido"),$X1932,IF(OR($X1932="Parcial",N($R1932)&gt;0),"Parcial",IF($C1932="","Sem vencimento",IF($C1932&lt;TODAY(),"Vencido",IF($C1932=TODAY(),"Vence hoje",IF($C1932&lt;=TODAY()+7,"Vence em 7 dias",IF($C1932&lt;=TODAY()+30,"Vence em 30 dias","Futuro")))))))))</f>
        <v/>
      </c>
      <c r="Z1932" s="24">
        <f>IF($B1932="","",MONTH($B1932))</f>
        <v/>
      </c>
      <c r="AA1932" s="24">
        <f>IF($B1932="","",YEAR($B1932))</f>
        <v/>
      </c>
      <c r="AB1932" s="24">
        <f>IF($B1932="","",ISOWEEKNUM($B1932))</f>
        <v/>
      </c>
      <c r="AC1932" s="17">
        <f>IF($B1932="","",CHOOSE(WEEKDAY($B1932,2),"Segunda","Terça","Quarta","Quinta","Sexta","Sábado","Domingo"))</f>
        <v/>
      </c>
      <c r="AD1932" s="17">
        <f>IF($B1932="","",TEXT($B1932,"MM/AAAA"))</f>
        <v/>
      </c>
      <c r="AE1932" s="18">
        <f>IF(COUNTA($B1932:$R1932)=0,"",IF($X1932="Cancelado",0,ROUND(N($Q1932)+N($S1932)+N($T1932)-N($U1932),2)))</f>
        <v/>
      </c>
      <c r="AF1932" s="9">
        <f>IF($G1932="","",IFERROR(INDEX(LINHAS_DRE_PLANO,MATCH($G1932,SUBCATEGORIAS_PLANO,0)),"Não classificado"))</f>
        <v/>
      </c>
      <c r="AG1932" s="17">
        <f>IF($G1932="","",IFERROR(INDEX(TIPOS_FLUXO_PLANO,MATCH($G1932,SUBCATEGORIAS_PLANO,0)),"Não classificado"))</f>
        <v/>
      </c>
      <c r="AH1932" s="9">
        <f>IF($G1932="","",IFERROR(INDEX(GRUPOS_PLANO,MATCH($G1932,SUBCATEGORIAS_PLANO,0)),"Não classificado"))</f>
        <v/>
      </c>
      <c r="AI1932" s="24">
        <f>IF(OR($C1932="",$X1932="Pago",$X1932="Recebido",$X1932="Cancelado"),"",$C1932-TODAY())</f>
        <v/>
      </c>
      <c r="AJ1932" s="24">
        <f>IF(OR($C1932="",$X1932="Pago",$X1932="Recebido",$X1932="Cancelado"),0,MAX(0,TODAY()-$C1932))</f>
        <v/>
      </c>
      <c r="AK1932" s="24">
        <f>IF($D1932="","",$D1932-$B1932)</f>
        <v/>
      </c>
      <c r="AL1932" s="18">
        <f>IF(OR($D1932="",$B1932=""),"",ROUND(N($R1932)*($D1932-$B1932),2))</f>
        <v/>
      </c>
      <c r="AM1932" s="17">
        <f>IF(AND($E1932="Saída",$W1932&gt;0,$C1932&lt;&gt;""),$C1932+ROW()/1000000,"")</f>
        <v/>
      </c>
      <c r="AN1932" s="17">
        <f>IF(AND($E1932="Entrada",$W1932&gt;0,$C1932&lt;&gt;""),$C1932+ROW()/1000000,"")</f>
        <v/>
      </c>
      <c r="AO1932" s="9">
        <f>IF(COUNTA($B1932:$R1932)=0,"",IF(AND($I1932&lt;&gt;"",COUNTIF(CLIENTES_NOMES,$I1932)+COUNTIF(CLIENTES_FANTASIA,$I1932)+COUNTIF(FORNECEDORES_NOMES,$I1932)+COUNTIF(FORNECEDORES_FANTASIA,$I1932)=0),"⚠ Cliente/Fornecedor não cadastrado",IF(AND($G1932&lt;&gt;"",COUNTIF(SUBCATEGORIAS_PLANO,$G1932)=0),"⚠ Subcategoria fora do plano de contas",IF(OR($Q1932="",N($Q1932)=0),"⚠ Valor previsto não informado",IF(AND(OR($X1932="Pago",$X1932="Recebido"),$D1932=""),"⚠ Status pago/recebido sem data",IF(AND($D1932&lt;&gt;"",N($R1932)=0),"⚠ Data de pagamento sem valor realizado",IF(AND(N($P1932)&gt;1,N($O1932)&gt;N($P1932)),"⚠ Nº da parcela maior que o total",IF(AND($C1932&lt;&gt;"",$B1932&lt;&gt;"",$C1932&lt;$B1932),"⚠ Vencimento anterior à competência","OK"))))))))</f>
        <v/>
      </c>
    </row>
    <row r="1933">
      <c r="A1933" s="14" t="n"/>
      <c r="B1933" s="36" t="n"/>
      <c r="C1933" s="36" t="n"/>
      <c r="D1933" s="36" t="n"/>
      <c r="E1933" s="14" t="n"/>
      <c r="F1933" s="29" t="n"/>
      <c r="G1933" s="29" t="n"/>
      <c r="H1933" s="29" t="n"/>
      <c r="I1933" s="29" t="n"/>
      <c r="J1933" s="29" t="n"/>
      <c r="K1933" s="14" t="n"/>
      <c r="L1933" s="29" t="n"/>
      <c r="M1933" s="14" t="n"/>
      <c r="N1933" s="29" t="n"/>
      <c r="O1933" s="13" t="n"/>
      <c r="P1933" s="13" t="n"/>
      <c r="Q1933" s="35" t="n"/>
      <c r="R1933" s="35" t="n"/>
      <c r="S1933" s="35" t="n"/>
      <c r="T1933" s="35" t="n"/>
      <c r="U1933" s="35" t="n"/>
      <c r="V1933" s="18">
        <f>IF(COUNTA($B1933:$R1933)=0,"",ROUND(N($R1933)+N($S1933)+N($T1933)-N($U1933),2))</f>
        <v/>
      </c>
      <c r="W1933" s="18">
        <f>IF(COUNTA($B1933:$R1933)=0,"",IF(OR($X1933="Pago",$X1933="Recebido",$X1933="Cancelado"),0,ROUND(N($Q1933)+N($S1933)+N($T1933)-N($U1933)-N($R1933),2)))</f>
        <v/>
      </c>
      <c r="X1933" s="14" t="n"/>
      <c r="Y1933" s="17">
        <f>IF(COUNTA($B1933:$R1933)=0,"",IF($X1933="Cancelado","Cancelado",IF(OR($X1933="Pago",$X1933="Recebido"),$X1933,IF(OR($X1933="Parcial",N($R1933)&gt;0),"Parcial",IF($C1933="","Sem vencimento",IF($C1933&lt;TODAY(),"Vencido",IF($C1933=TODAY(),"Vence hoje",IF($C1933&lt;=TODAY()+7,"Vence em 7 dias",IF($C1933&lt;=TODAY()+30,"Vence em 30 dias","Futuro")))))))))</f>
        <v/>
      </c>
      <c r="Z1933" s="24">
        <f>IF($B1933="","",MONTH($B1933))</f>
        <v/>
      </c>
      <c r="AA1933" s="24">
        <f>IF($B1933="","",YEAR($B1933))</f>
        <v/>
      </c>
      <c r="AB1933" s="24">
        <f>IF($B1933="","",ISOWEEKNUM($B1933))</f>
        <v/>
      </c>
      <c r="AC1933" s="17">
        <f>IF($B1933="","",CHOOSE(WEEKDAY($B1933,2),"Segunda","Terça","Quarta","Quinta","Sexta","Sábado","Domingo"))</f>
        <v/>
      </c>
      <c r="AD1933" s="17">
        <f>IF($B1933="","",TEXT($B1933,"MM/AAAA"))</f>
        <v/>
      </c>
      <c r="AE1933" s="18">
        <f>IF(COUNTA($B1933:$R1933)=0,"",IF($X1933="Cancelado",0,ROUND(N($Q1933)+N($S1933)+N($T1933)-N($U1933),2)))</f>
        <v/>
      </c>
      <c r="AF1933" s="9">
        <f>IF($G1933="","",IFERROR(INDEX(LINHAS_DRE_PLANO,MATCH($G1933,SUBCATEGORIAS_PLANO,0)),"Não classificado"))</f>
        <v/>
      </c>
      <c r="AG1933" s="17">
        <f>IF($G1933="","",IFERROR(INDEX(TIPOS_FLUXO_PLANO,MATCH($G1933,SUBCATEGORIAS_PLANO,0)),"Não classificado"))</f>
        <v/>
      </c>
      <c r="AH1933" s="9">
        <f>IF($G1933="","",IFERROR(INDEX(GRUPOS_PLANO,MATCH($G1933,SUBCATEGORIAS_PLANO,0)),"Não classificado"))</f>
        <v/>
      </c>
      <c r="AI1933" s="24">
        <f>IF(OR($C1933="",$X1933="Pago",$X1933="Recebido",$X1933="Cancelado"),"",$C1933-TODAY())</f>
        <v/>
      </c>
      <c r="AJ1933" s="24">
        <f>IF(OR($C1933="",$X1933="Pago",$X1933="Recebido",$X1933="Cancelado"),0,MAX(0,TODAY()-$C1933))</f>
        <v/>
      </c>
      <c r="AK1933" s="24">
        <f>IF($D1933="","",$D1933-$B1933)</f>
        <v/>
      </c>
      <c r="AL1933" s="18">
        <f>IF(OR($D1933="",$B1933=""),"",ROUND(N($R1933)*($D1933-$B1933),2))</f>
        <v/>
      </c>
      <c r="AM1933" s="17">
        <f>IF(AND($E1933="Saída",$W1933&gt;0,$C1933&lt;&gt;""),$C1933+ROW()/1000000,"")</f>
        <v/>
      </c>
      <c r="AN1933" s="17">
        <f>IF(AND($E1933="Entrada",$W1933&gt;0,$C1933&lt;&gt;""),$C1933+ROW()/1000000,"")</f>
        <v/>
      </c>
      <c r="AO1933" s="9">
        <f>IF(COUNTA($B1933:$R1933)=0,"",IF(AND($I1933&lt;&gt;"",COUNTIF(CLIENTES_NOMES,$I1933)+COUNTIF(CLIENTES_FANTASIA,$I1933)+COUNTIF(FORNECEDORES_NOMES,$I1933)+COUNTIF(FORNECEDORES_FANTASIA,$I1933)=0),"⚠ Cliente/Fornecedor não cadastrado",IF(AND($G1933&lt;&gt;"",COUNTIF(SUBCATEGORIAS_PLANO,$G1933)=0),"⚠ Subcategoria fora do plano de contas",IF(OR($Q1933="",N($Q1933)=0),"⚠ Valor previsto não informado",IF(AND(OR($X1933="Pago",$X1933="Recebido"),$D1933=""),"⚠ Status pago/recebido sem data",IF(AND($D1933&lt;&gt;"",N($R1933)=0),"⚠ Data de pagamento sem valor realizado",IF(AND(N($P1933)&gt;1,N($O1933)&gt;N($P1933)),"⚠ Nº da parcela maior que o total",IF(AND($C1933&lt;&gt;"",$B1933&lt;&gt;"",$C1933&lt;$B1933),"⚠ Vencimento anterior à competência","OK"))))))))</f>
        <v/>
      </c>
    </row>
    <row r="1934">
      <c r="A1934" s="14" t="n"/>
      <c r="B1934" s="36" t="n"/>
      <c r="C1934" s="36" t="n"/>
      <c r="D1934" s="36" t="n"/>
      <c r="E1934" s="14" t="n"/>
      <c r="F1934" s="29" t="n"/>
      <c r="G1934" s="29" t="n"/>
      <c r="H1934" s="29" t="n"/>
      <c r="I1934" s="29" t="n"/>
      <c r="J1934" s="29" t="n"/>
      <c r="K1934" s="14" t="n"/>
      <c r="L1934" s="29" t="n"/>
      <c r="M1934" s="14" t="n"/>
      <c r="N1934" s="29" t="n"/>
      <c r="O1934" s="13" t="n"/>
      <c r="P1934" s="13" t="n"/>
      <c r="Q1934" s="35" t="n"/>
      <c r="R1934" s="35" t="n"/>
      <c r="S1934" s="35" t="n"/>
      <c r="T1934" s="35" t="n"/>
      <c r="U1934" s="35" t="n"/>
      <c r="V1934" s="18">
        <f>IF(COUNTA($B1934:$R1934)=0,"",ROUND(N($R1934)+N($S1934)+N($T1934)-N($U1934),2))</f>
        <v/>
      </c>
      <c r="W1934" s="18">
        <f>IF(COUNTA($B1934:$R1934)=0,"",IF(OR($X1934="Pago",$X1934="Recebido",$X1934="Cancelado"),0,ROUND(N($Q1934)+N($S1934)+N($T1934)-N($U1934)-N($R1934),2)))</f>
        <v/>
      </c>
      <c r="X1934" s="14" t="n"/>
      <c r="Y1934" s="17">
        <f>IF(COUNTA($B1934:$R1934)=0,"",IF($X1934="Cancelado","Cancelado",IF(OR($X1934="Pago",$X1934="Recebido"),$X1934,IF(OR($X1934="Parcial",N($R1934)&gt;0),"Parcial",IF($C1934="","Sem vencimento",IF($C1934&lt;TODAY(),"Vencido",IF($C1934=TODAY(),"Vence hoje",IF($C1934&lt;=TODAY()+7,"Vence em 7 dias",IF($C1934&lt;=TODAY()+30,"Vence em 30 dias","Futuro")))))))))</f>
        <v/>
      </c>
      <c r="Z1934" s="24">
        <f>IF($B1934="","",MONTH($B1934))</f>
        <v/>
      </c>
      <c r="AA1934" s="24">
        <f>IF($B1934="","",YEAR($B1934))</f>
        <v/>
      </c>
      <c r="AB1934" s="24">
        <f>IF($B1934="","",ISOWEEKNUM($B1934))</f>
        <v/>
      </c>
      <c r="AC1934" s="17">
        <f>IF($B1934="","",CHOOSE(WEEKDAY($B1934,2),"Segunda","Terça","Quarta","Quinta","Sexta","Sábado","Domingo"))</f>
        <v/>
      </c>
      <c r="AD1934" s="17">
        <f>IF($B1934="","",TEXT($B1934,"MM/AAAA"))</f>
        <v/>
      </c>
      <c r="AE1934" s="18">
        <f>IF(COUNTA($B1934:$R1934)=0,"",IF($X1934="Cancelado",0,ROUND(N($Q1934)+N($S1934)+N($T1934)-N($U1934),2)))</f>
        <v/>
      </c>
      <c r="AF1934" s="9">
        <f>IF($G1934="","",IFERROR(INDEX(LINHAS_DRE_PLANO,MATCH($G1934,SUBCATEGORIAS_PLANO,0)),"Não classificado"))</f>
        <v/>
      </c>
      <c r="AG1934" s="17">
        <f>IF($G1934="","",IFERROR(INDEX(TIPOS_FLUXO_PLANO,MATCH($G1934,SUBCATEGORIAS_PLANO,0)),"Não classificado"))</f>
        <v/>
      </c>
      <c r="AH1934" s="9">
        <f>IF($G1934="","",IFERROR(INDEX(GRUPOS_PLANO,MATCH($G1934,SUBCATEGORIAS_PLANO,0)),"Não classificado"))</f>
        <v/>
      </c>
      <c r="AI1934" s="24">
        <f>IF(OR($C1934="",$X1934="Pago",$X1934="Recebido",$X1934="Cancelado"),"",$C1934-TODAY())</f>
        <v/>
      </c>
      <c r="AJ1934" s="24">
        <f>IF(OR($C1934="",$X1934="Pago",$X1934="Recebido",$X1934="Cancelado"),0,MAX(0,TODAY()-$C1934))</f>
        <v/>
      </c>
      <c r="AK1934" s="24">
        <f>IF($D1934="","",$D1934-$B1934)</f>
        <v/>
      </c>
      <c r="AL1934" s="18">
        <f>IF(OR($D1934="",$B1934=""),"",ROUND(N($R1934)*($D1934-$B1934),2))</f>
        <v/>
      </c>
      <c r="AM1934" s="17">
        <f>IF(AND($E1934="Saída",$W1934&gt;0,$C1934&lt;&gt;""),$C1934+ROW()/1000000,"")</f>
        <v/>
      </c>
      <c r="AN1934" s="17">
        <f>IF(AND($E1934="Entrada",$W1934&gt;0,$C1934&lt;&gt;""),$C1934+ROW()/1000000,"")</f>
        <v/>
      </c>
      <c r="AO1934" s="9">
        <f>IF(COUNTA($B1934:$R1934)=0,"",IF(AND($I1934&lt;&gt;"",COUNTIF(CLIENTES_NOMES,$I1934)+COUNTIF(CLIENTES_FANTASIA,$I1934)+COUNTIF(FORNECEDORES_NOMES,$I1934)+COUNTIF(FORNECEDORES_FANTASIA,$I1934)=0),"⚠ Cliente/Fornecedor não cadastrado",IF(AND($G1934&lt;&gt;"",COUNTIF(SUBCATEGORIAS_PLANO,$G1934)=0),"⚠ Subcategoria fora do plano de contas",IF(OR($Q1934="",N($Q1934)=0),"⚠ Valor previsto não informado",IF(AND(OR($X1934="Pago",$X1934="Recebido"),$D1934=""),"⚠ Status pago/recebido sem data",IF(AND($D1934&lt;&gt;"",N($R1934)=0),"⚠ Data de pagamento sem valor realizado",IF(AND(N($P1934)&gt;1,N($O1934)&gt;N($P1934)),"⚠ Nº da parcela maior que o total",IF(AND($C1934&lt;&gt;"",$B1934&lt;&gt;"",$C1934&lt;$B1934),"⚠ Vencimento anterior à competência","OK"))))))))</f>
        <v/>
      </c>
    </row>
    <row r="1935">
      <c r="A1935" s="14" t="n"/>
      <c r="B1935" s="36" t="n"/>
      <c r="C1935" s="36" t="n"/>
      <c r="D1935" s="36" t="n"/>
      <c r="E1935" s="14" t="n"/>
      <c r="F1935" s="29" t="n"/>
      <c r="G1935" s="29" t="n"/>
      <c r="H1935" s="29" t="n"/>
      <c r="I1935" s="29" t="n"/>
      <c r="J1935" s="29" t="n"/>
      <c r="K1935" s="14" t="n"/>
      <c r="L1935" s="29" t="n"/>
      <c r="M1935" s="14" t="n"/>
      <c r="N1935" s="29" t="n"/>
      <c r="O1935" s="13" t="n"/>
      <c r="P1935" s="13" t="n"/>
      <c r="Q1935" s="35" t="n"/>
      <c r="R1935" s="35" t="n"/>
      <c r="S1935" s="35" t="n"/>
      <c r="T1935" s="35" t="n"/>
      <c r="U1935" s="35" t="n"/>
      <c r="V1935" s="18">
        <f>IF(COUNTA($B1935:$R1935)=0,"",ROUND(N($R1935)+N($S1935)+N($T1935)-N($U1935),2))</f>
        <v/>
      </c>
      <c r="W1935" s="18">
        <f>IF(COUNTA($B1935:$R1935)=0,"",IF(OR($X1935="Pago",$X1935="Recebido",$X1935="Cancelado"),0,ROUND(N($Q1935)+N($S1935)+N($T1935)-N($U1935)-N($R1935),2)))</f>
        <v/>
      </c>
      <c r="X1935" s="14" t="n"/>
      <c r="Y1935" s="17">
        <f>IF(COUNTA($B1935:$R1935)=0,"",IF($X1935="Cancelado","Cancelado",IF(OR($X1935="Pago",$X1935="Recebido"),$X1935,IF(OR($X1935="Parcial",N($R1935)&gt;0),"Parcial",IF($C1935="","Sem vencimento",IF($C1935&lt;TODAY(),"Vencido",IF($C1935=TODAY(),"Vence hoje",IF($C1935&lt;=TODAY()+7,"Vence em 7 dias",IF($C1935&lt;=TODAY()+30,"Vence em 30 dias","Futuro")))))))))</f>
        <v/>
      </c>
      <c r="Z1935" s="24">
        <f>IF($B1935="","",MONTH($B1935))</f>
        <v/>
      </c>
      <c r="AA1935" s="24">
        <f>IF($B1935="","",YEAR($B1935))</f>
        <v/>
      </c>
      <c r="AB1935" s="24">
        <f>IF($B1935="","",ISOWEEKNUM($B1935))</f>
        <v/>
      </c>
      <c r="AC1935" s="17">
        <f>IF($B1935="","",CHOOSE(WEEKDAY($B1935,2),"Segunda","Terça","Quarta","Quinta","Sexta","Sábado","Domingo"))</f>
        <v/>
      </c>
      <c r="AD1935" s="17">
        <f>IF($B1935="","",TEXT($B1935,"MM/AAAA"))</f>
        <v/>
      </c>
      <c r="AE1935" s="18">
        <f>IF(COUNTA($B1935:$R1935)=0,"",IF($X1935="Cancelado",0,ROUND(N($Q1935)+N($S1935)+N($T1935)-N($U1935),2)))</f>
        <v/>
      </c>
      <c r="AF1935" s="9">
        <f>IF($G1935="","",IFERROR(INDEX(LINHAS_DRE_PLANO,MATCH($G1935,SUBCATEGORIAS_PLANO,0)),"Não classificado"))</f>
        <v/>
      </c>
      <c r="AG1935" s="17">
        <f>IF($G1935="","",IFERROR(INDEX(TIPOS_FLUXO_PLANO,MATCH($G1935,SUBCATEGORIAS_PLANO,0)),"Não classificado"))</f>
        <v/>
      </c>
      <c r="AH1935" s="9">
        <f>IF($G1935="","",IFERROR(INDEX(GRUPOS_PLANO,MATCH($G1935,SUBCATEGORIAS_PLANO,0)),"Não classificado"))</f>
        <v/>
      </c>
      <c r="AI1935" s="24">
        <f>IF(OR($C1935="",$X1935="Pago",$X1935="Recebido",$X1935="Cancelado"),"",$C1935-TODAY())</f>
        <v/>
      </c>
      <c r="AJ1935" s="24">
        <f>IF(OR($C1935="",$X1935="Pago",$X1935="Recebido",$X1935="Cancelado"),0,MAX(0,TODAY()-$C1935))</f>
        <v/>
      </c>
      <c r="AK1935" s="24">
        <f>IF($D1935="","",$D1935-$B1935)</f>
        <v/>
      </c>
      <c r="AL1935" s="18">
        <f>IF(OR($D1935="",$B1935=""),"",ROUND(N($R1935)*($D1935-$B1935),2))</f>
        <v/>
      </c>
      <c r="AM1935" s="17">
        <f>IF(AND($E1935="Saída",$W1935&gt;0,$C1935&lt;&gt;""),$C1935+ROW()/1000000,"")</f>
        <v/>
      </c>
      <c r="AN1935" s="17">
        <f>IF(AND($E1935="Entrada",$W1935&gt;0,$C1935&lt;&gt;""),$C1935+ROW()/1000000,"")</f>
        <v/>
      </c>
      <c r="AO1935" s="9">
        <f>IF(COUNTA($B1935:$R1935)=0,"",IF(AND($I1935&lt;&gt;"",COUNTIF(CLIENTES_NOMES,$I1935)+COUNTIF(CLIENTES_FANTASIA,$I1935)+COUNTIF(FORNECEDORES_NOMES,$I1935)+COUNTIF(FORNECEDORES_FANTASIA,$I1935)=0),"⚠ Cliente/Fornecedor não cadastrado",IF(AND($G1935&lt;&gt;"",COUNTIF(SUBCATEGORIAS_PLANO,$G1935)=0),"⚠ Subcategoria fora do plano de contas",IF(OR($Q1935="",N($Q1935)=0),"⚠ Valor previsto não informado",IF(AND(OR($X1935="Pago",$X1935="Recebido"),$D1935=""),"⚠ Status pago/recebido sem data",IF(AND($D1935&lt;&gt;"",N($R1935)=0),"⚠ Data de pagamento sem valor realizado",IF(AND(N($P1935)&gt;1,N($O1935)&gt;N($P1935)),"⚠ Nº da parcela maior que o total",IF(AND($C1935&lt;&gt;"",$B1935&lt;&gt;"",$C1935&lt;$B1935),"⚠ Vencimento anterior à competência","OK"))))))))</f>
        <v/>
      </c>
    </row>
    <row r="1936">
      <c r="A1936" s="14" t="n"/>
      <c r="B1936" s="36" t="n"/>
      <c r="C1936" s="36" t="n"/>
      <c r="D1936" s="36" t="n"/>
      <c r="E1936" s="14" t="n"/>
      <c r="F1936" s="29" t="n"/>
      <c r="G1936" s="29" t="n"/>
      <c r="H1936" s="29" t="n"/>
      <c r="I1936" s="29" t="n"/>
      <c r="J1936" s="29" t="n"/>
      <c r="K1936" s="14" t="n"/>
      <c r="L1936" s="29" t="n"/>
      <c r="M1936" s="14" t="n"/>
      <c r="N1936" s="29" t="n"/>
      <c r="O1936" s="13" t="n"/>
      <c r="P1936" s="13" t="n"/>
      <c r="Q1936" s="35" t="n"/>
      <c r="R1936" s="35" t="n"/>
      <c r="S1936" s="35" t="n"/>
      <c r="T1936" s="35" t="n"/>
      <c r="U1936" s="35" t="n"/>
      <c r="V1936" s="18">
        <f>IF(COUNTA($B1936:$R1936)=0,"",ROUND(N($R1936)+N($S1936)+N($T1936)-N($U1936),2))</f>
        <v/>
      </c>
      <c r="W1936" s="18">
        <f>IF(COUNTA($B1936:$R1936)=0,"",IF(OR($X1936="Pago",$X1936="Recebido",$X1936="Cancelado"),0,ROUND(N($Q1936)+N($S1936)+N($T1936)-N($U1936)-N($R1936),2)))</f>
        <v/>
      </c>
      <c r="X1936" s="14" t="n"/>
      <c r="Y1936" s="17">
        <f>IF(COUNTA($B1936:$R1936)=0,"",IF($X1936="Cancelado","Cancelado",IF(OR($X1936="Pago",$X1936="Recebido"),$X1936,IF(OR($X1936="Parcial",N($R1936)&gt;0),"Parcial",IF($C1936="","Sem vencimento",IF($C1936&lt;TODAY(),"Vencido",IF($C1936=TODAY(),"Vence hoje",IF($C1936&lt;=TODAY()+7,"Vence em 7 dias",IF($C1936&lt;=TODAY()+30,"Vence em 30 dias","Futuro")))))))))</f>
        <v/>
      </c>
      <c r="Z1936" s="24">
        <f>IF($B1936="","",MONTH($B1936))</f>
        <v/>
      </c>
      <c r="AA1936" s="24">
        <f>IF($B1936="","",YEAR($B1936))</f>
        <v/>
      </c>
      <c r="AB1936" s="24">
        <f>IF($B1936="","",ISOWEEKNUM($B1936))</f>
        <v/>
      </c>
      <c r="AC1936" s="17">
        <f>IF($B1936="","",CHOOSE(WEEKDAY($B1936,2),"Segunda","Terça","Quarta","Quinta","Sexta","Sábado","Domingo"))</f>
        <v/>
      </c>
      <c r="AD1936" s="17">
        <f>IF($B1936="","",TEXT($B1936,"MM/AAAA"))</f>
        <v/>
      </c>
      <c r="AE1936" s="18">
        <f>IF(COUNTA($B1936:$R1936)=0,"",IF($X1936="Cancelado",0,ROUND(N($Q1936)+N($S1936)+N($T1936)-N($U1936),2)))</f>
        <v/>
      </c>
      <c r="AF1936" s="9">
        <f>IF($G1936="","",IFERROR(INDEX(LINHAS_DRE_PLANO,MATCH($G1936,SUBCATEGORIAS_PLANO,0)),"Não classificado"))</f>
        <v/>
      </c>
      <c r="AG1936" s="17">
        <f>IF($G1936="","",IFERROR(INDEX(TIPOS_FLUXO_PLANO,MATCH($G1936,SUBCATEGORIAS_PLANO,0)),"Não classificado"))</f>
        <v/>
      </c>
      <c r="AH1936" s="9">
        <f>IF($G1936="","",IFERROR(INDEX(GRUPOS_PLANO,MATCH($G1936,SUBCATEGORIAS_PLANO,0)),"Não classificado"))</f>
        <v/>
      </c>
      <c r="AI1936" s="24">
        <f>IF(OR($C1936="",$X1936="Pago",$X1936="Recebido",$X1936="Cancelado"),"",$C1936-TODAY())</f>
        <v/>
      </c>
      <c r="AJ1936" s="24">
        <f>IF(OR($C1936="",$X1936="Pago",$X1936="Recebido",$X1936="Cancelado"),0,MAX(0,TODAY()-$C1936))</f>
        <v/>
      </c>
      <c r="AK1936" s="24">
        <f>IF($D1936="","",$D1936-$B1936)</f>
        <v/>
      </c>
      <c r="AL1936" s="18">
        <f>IF(OR($D1936="",$B1936=""),"",ROUND(N($R1936)*($D1936-$B1936),2))</f>
        <v/>
      </c>
      <c r="AM1936" s="17">
        <f>IF(AND($E1936="Saída",$W1936&gt;0,$C1936&lt;&gt;""),$C1936+ROW()/1000000,"")</f>
        <v/>
      </c>
      <c r="AN1936" s="17">
        <f>IF(AND($E1936="Entrada",$W1936&gt;0,$C1936&lt;&gt;""),$C1936+ROW()/1000000,"")</f>
        <v/>
      </c>
      <c r="AO1936" s="9">
        <f>IF(COUNTA($B1936:$R1936)=0,"",IF(AND($I1936&lt;&gt;"",COUNTIF(CLIENTES_NOMES,$I1936)+COUNTIF(CLIENTES_FANTASIA,$I1936)+COUNTIF(FORNECEDORES_NOMES,$I1936)+COUNTIF(FORNECEDORES_FANTASIA,$I1936)=0),"⚠ Cliente/Fornecedor não cadastrado",IF(AND($G1936&lt;&gt;"",COUNTIF(SUBCATEGORIAS_PLANO,$G1936)=0),"⚠ Subcategoria fora do plano de contas",IF(OR($Q1936="",N($Q1936)=0),"⚠ Valor previsto não informado",IF(AND(OR($X1936="Pago",$X1936="Recebido"),$D1936=""),"⚠ Status pago/recebido sem data",IF(AND($D1936&lt;&gt;"",N($R1936)=0),"⚠ Data de pagamento sem valor realizado",IF(AND(N($P1936)&gt;1,N($O1936)&gt;N($P1936)),"⚠ Nº da parcela maior que o total",IF(AND($C1936&lt;&gt;"",$B1936&lt;&gt;"",$C1936&lt;$B1936),"⚠ Vencimento anterior à competência","OK"))))))))</f>
        <v/>
      </c>
    </row>
    <row r="1937">
      <c r="A1937" s="14" t="n"/>
      <c r="B1937" s="36" t="n"/>
      <c r="C1937" s="36" t="n"/>
      <c r="D1937" s="36" t="n"/>
      <c r="E1937" s="14" t="n"/>
      <c r="F1937" s="29" t="n"/>
      <c r="G1937" s="29" t="n"/>
      <c r="H1937" s="29" t="n"/>
      <c r="I1937" s="29" t="n"/>
      <c r="J1937" s="29" t="n"/>
      <c r="K1937" s="14" t="n"/>
      <c r="L1937" s="29" t="n"/>
      <c r="M1937" s="14" t="n"/>
      <c r="N1937" s="29" t="n"/>
      <c r="O1937" s="13" t="n"/>
      <c r="P1937" s="13" t="n"/>
      <c r="Q1937" s="35" t="n"/>
      <c r="R1937" s="35" t="n"/>
      <c r="S1937" s="35" t="n"/>
      <c r="T1937" s="35" t="n"/>
      <c r="U1937" s="35" t="n"/>
      <c r="V1937" s="18">
        <f>IF(COUNTA($B1937:$R1937)=0,"",ROUND(N($R1937)+N($S1937)+N($T1937)-N($U1937),2))</f>
        <v/>
      </c>
      <c r="W1937" s="18">
        <f>IF(COUNTA($B1937:$R1937)=0,"",IF(OR($X1937="Pago",$X1937="Recebido",$X1937="Cancelado"),0,ROUND(N($Q1937)+N($S1937)+N($T1937)-N($U1937)-N($R1937),2)))</f>
        <v/>
      </c>
      <c r="X1937" s="14" t="n"/>
      <c r="Y1937" s="17">
        <f>IF(COUNTA($B1937:$R1937)=0,"",IF($X1937="Cancelado","Cancelado",IF(OR($X1937="Pago",$X1937="Recebido"),$X1937,IF(OR($X1937="Parcial",N($R1937)&gt;0),"Parcial",IF($C1937="","Sem vencimento",IF($C1937&lt;TODAY(),"Vencido",IF($C1937=TODAY(),"Vence hoje",IF($C1937&lt;=TODAY()+7,"Vence em 7 dias",IF($C1937&lt;=TODAY()+30,"Vence em 30 dias","Futuro")))))))))</f>
        <v/>
      </c>
      <c r="Z1937" s="24">
        <f>IF($B1937="","",MONTH($B1937))</f>
        <v/>
      </c>
      <c r="AA1937" s="24">
        <f>IF($B1937="","",YEAR($B1937))</f>
        <v/>
      </c>
      <c r="AB1937" s="24">
        <f>IF($B1937="","",ISOWEEKNUM($B1937))</f>
        <v/>
      </c>
      <c r="AC1937" s="17">
        <f>IF($B1937="","",CHOOSE(WEEKDAY($B1937,2),"Segunda","Terça","Quarta","Quinta","Sexta","Sábado","Domingo"))</f>
        <v/>
      </c>
      <c r="AD1937" s="17">
        <f>IF($B1937="","",TEXT($B1937,"MM/AAAA"))</f>
        <v/>
      </c>
      <c r="AE1937" s="18">
        <f>IF(COUNTA($B1937:$R1937)=0,"",IF($X1937="Cancelado",0,ROUND(N($Q1937)+N($S1937)+N($T1937)-N($U1937),2)))</f>
        <v/>
      </c>
      <c r="AF1937" s="9">
        <f>IF($G1937="","",IFERROR(INDEX(LINHAS_DRE_PLANO,MATCH($G1937,SUBCATEGORIAS_PLANO,0)),"Não classificado"))</f>
        <v/>
      </c>
      <c r="AG1937" s="17">
        <f>IF($G1937="","",IFERROR(INDEX(TIPOS_FLUXO_PLANO,MATCH($G1937,SUBCATEGORIAS_PLANO,0)),"Não classificado"))</f>
        <v/>
      </c>
      <c r="AH1937" s="9">
        <f>IF($G1937="","",IFERROR(INDEX(GRUPOS_PLANO,MATCH($G1937,SUBCATEGORIAS_PLANO,0)),"Não classificado"))</f>
        <v/>
      </c>
      <c r="AI1937" s="24">
        <f>IF(OR($C1937="",$X1937="Pago",$X1937="Recebido",$X1937="Cancelado"),"",$C1937-TODAY())</f>
        <v/>
      </c>
      <c r="AJ1937" s="24">
        <f>IF(OR($C1937="",$X1937="Pago",$X1937="Recebido",$X1937="Cancelado"),0,MAX(0,TODAY()-$C1937))</f>
        <v/>
      </c>
      <c r="AK1937" s="24">
        <f>IF($D1937="","",$D1937-$B1937)</f>
        <v/>
      </c>
      <c r="AL1937" s="18">
        <f>IF(OR($D1937="",$B1937=""),"",ROUND(N($R1937)*($D1937-$B1937),2))</f>
        <v/>
      </c>
      <c r="AM1937" s="17">
        <f>IF(AND($E1937="Saída",$W1937&gt;0,$C1937&lt;&gt;""),$C1937+ROW()/1000000,"")</f>
        <v/>
      </c>
      <c r="AN1937" s="17">
        <f>IF(AND($E1937="Entrada",$W1937&gt;0,$C1937&lt;&gt;""),$C1937+ROW()/1000000,"")</f>
        <v/>
      </c>
      <c r="AO1937" s="9">
        <f>IF(COUNTA($B1937:$R1937)=0,"",IF(AND($I1937&lt;&gt;"",COUNTIF(CLIENTES_NOMES,$I1937)+COUNTIF(CLIENTES_FANTASIA,$I1937)+COUNTIF(FORNECEDORES_NOMES,$I1937)+COUNTIF(FORNECEDORES_FANTASIA,$I1937)=0),"⚠ Cliente/Fornecedor não cadastrado",IF(AND($G1937&lt;&gt;"",COUNTIF(SUBCATEGORIAS_PLANO,$G1937)=0),"⚠ Subcategoria fora do plano de contas",IF(OR($Q1937="",N($Q1937)=0),"⚠ Valor previsto não informado",IF(AND(OR($X1937="Pago",$X1937="Recebido"),$D1937=""),"⚠ Status pago/recebido sem data",IF(AND($D1937&lt;&gt;"",N($R1937)=0),"⚠ Data de pagamento sem valor realizado",IF(AND(N($P1937)&gt;1,N($O1937)&gt;N($P1937)),"⚠ Nº da parcela maior que o total",IF(AND($C1937&lt;&gt;"",$B1937&lt;&gt;"",$C1937&lt;$B1937),"⚠ Vencimento anterior à competência","OK"))))))))</f>
        <v/>
      </c>
    </row>
    <row r="1938">
      <c r="A1938" s="14" t="n"/>
      <c r="B1938" s="36" t="n"/>
      <c r="C1938" s="36" t="n"/>
      <c r="D1938" s="36" t="n"/>
      <c r="E1938" s="14" t="n"/>
      <c r="F1938" s="29" t="n"/>
      <c r="G1938" s="29" t="n"/>
      <c r="H1938" s="29" t="n"/>
      <c r="I1938" s="29" t="n"/>
      <c r="J1938" s="29" t="n"/>
      <c r="K1938" s="14" t="n"/>
      <c r="L1938" s="29" t="n"/>
      <c r="M1938" s="14" t="n"/>
      <c r="N1938" s="29" t="n"/>
      <c r="O1938" s="13" t="n"/>
      <c r="P1938" s="13" t="n"/>
      <c r="Q1938" s="35" t="n"/>
      <c r="R1938" s="35" t="n"/>
      <c r="S1938" s="35" t="n"/>
      <c r="T1938" s="35" t="n"/>
      <c r="U1938" s="35" t="n"/>
      <c r="V1938" s="18">
        <f>IF(COUNTA($B1938:$R1938)=0,"",ROUND(N($R1938)+N($S1938)+N($T1938)-N($U1938),2))</f>
        <v/>
      </c>
      <c r="W1938" s="18">
        <f>IF(COUNTA($B1938:$R1938)=0,"",IF(OR($X1938="Pago",$X1938="Recebido",$X1938="Cancelado"),0,ROUND(N($Q1938)+N($S1938)+N($T1938)-N($U1938)-N($R1938),2)))</f>
        <v/>
      </c>
      <c r="X1938" s="14" t="n"/>
      <c r="Y1938" s="17">
        <f>IF(COUNTA($B1938:$R1938)=0,"",IF($X1938="Cancelado","Cancelado",IF(OR($X1938="Pago",$X1938="Recebido"),$X1938,IF(OR($X1938="Parcial",N($R1938)&gt;0),"Parcial",IF($C1938="","Sem vencimento",IF($C1938&lt;TODAY(),"Vencido",IF($C1938=TODAY(),"Vence hoje",IF($C1938&lt;=TODAY()+7,"Vence em 7 dias",IF($C1938&lt;=TODAY()+30,"Vence em 30 dias","Futuro")))))))))</f>
        <v/>
      </c>
      <c r="Z1938" s="24">
        <f>IF($B1938="","",MONTH($B1938))</f>
        <v/>
      </c>
      <c r="AA1938" s="24">
        <f>IF($B1938="","",YEAR($B1938))</f>
        <v/>
      </c>
      <c r="AB1938" s="24">
        <f>IF($B1938="","",ISOWEEKNUM($B1938))</f>
        <v/>
      </c>
      <c r="AC1938" s="17">
        <f>IF($B1938="","",CHOOSE(WEEKDAY($B1938,2),"Segunda","Terça","Quarta","Quinta","Sexta","Sábado","Domingo"))</f>
        <v/>
      </c>
      <c r="AD1938" s="17">
        <f>IF($B1938="","",TEXT($B1938,"MM/AAAA"))</f>
        <v/>
      </c>
      <c r="AE1938" s="18">
        <f>IF(COUNTA($B1938:$R1938)=0,"",IF($X1938="Cancelado",0,ROUND(N($Q1938)+N($S1938)+N($T1938)-N($U1938),2)))</f>
        <v/>
      </c>
      <c r="AF1938" s="9">
        <f>IF($G1938="","",IFERROR(INDEX(LINHAS_DRE_PLANO,MATCH($G1938,SUBCATEGORIAS_PLANO,0)),"Não classificado"))</f>
        <v/>
      </c>
      <c r="AG1938" s="17">
        <f>IF($G1938="","",IFERROR(INDEX(TIPOS_FLUXO_PLANO,MATCH($G1938,SUBCATEGORIAS_PLANO,0)),"Não classificado"))</f>
        <v/>
      </c>
      <c r="AH1938" s="9">
        <f>IF($G1938="","",IFERROR(INDEX(GRUPOS_PLANO,MATCH($G1938,SUBCATEGORIAS_PLANO,0)),"Não classificado"))</f>
        <v/>
      </c>
      <c r="AI1938" s="24">
        <f>IF(OR($C1938="",$X1938="Pago",$X1938="Recebido",$X1938="Cancelado"),"",$C1938-TODAY())</f>
        <v/>
      </c>
      <c r="AJ1938" s="24">
        <f>IF(OR($C1938="",$X1938="Pago",$X1938="Recebido",$X1938="Cancelado"),0,MAX(0,TODAY()-$C1938))</f>
        <v/>
      </c>
      <c r="AK1938" s="24">
        <f>IF($D1938="","",$D1938-$B1938)</f>
        <v/>
      </c>
      <c r="AL1938" s="18">
        <f>IF(OR($D1938="",$B1938=""),"",ROUND(N($R1938)*($D1938-$B1938),2))</f>
        <v/>
      </c>
      <c r="AM1938" s="17">
        <f>IF(AND($E1938="Saída",$W1938&gt;0,$C1938&lt;&gt;""),$C1938+ROW()/1000000,"")</f>
        <v/>
      </c>
      <c r="AN1938" s="17">
        <f>IF(AND($E1938="Entrada",$W1938&gt;0,$C1938&lt;&gt;""),$C1938+ROW()/1000000,"")</f>
        <v/>
      </c>
      <c r="AO1938" s="9">
        <f>IF(COUNTA($B1938:$R1938)=0,"",IF(AND($I1938&lt;&gt;"",COUNTIF(CLIENTES_NOMES,$I1938)+COUNTIF(CLIENTES_FANTASIA,$I1938)+COUNTIF(FORNECEDORES_NOMES,$I1938)+COUNTIF(FORNECEDORES_FANTASIA,$I1938)=0),"⚠ Cliente/Fornecedor não cadastrado",IF(AND($G1938&lt;&gt;"",COUNTIF(SUBCATEGORIAS_PLANO,$G1938)=0),"⚠ Subcategoria fora do plano de contas",IF(OR($Q1938="",N($Q1938)=0),"⚠ Valor previsto não informado",IF(AND(OR($X1938="Pago",$X1938="Recebido"),$D1938=""),"⚠ Status pago/recebido sem data",IF(AND($D1938&lt;&gt;"",N($R1938)=0),"⚠ Data de pagamento sem valor realizado",IF(AND(N($P1938)&gt;1,N($O1938)&gt;N($P1938)),"⚠ Nº da parcela maior que o total",IF(AND($C1938&lt;&gt;"",$B1938&lt;&gt;"",$C1938&lt;$B1938),"⚠ Vencimento anterior à competência","OK"))))))))</f>
        <v/>
      </c>
    </row>
    <row r="1939">
      <c r="A1939" s="14" t="n"/>
      <c r="B1939" s="36" t="n"/>
      <c r="C1939" s="36" t="n"/>
      <c r="D1939" s="36" t="n"/>
      <c r="E1939" s="14" t="n"/>
      <c r="F1939" s="29" t="n"/>
      <c r="G1939" s="29" t="n"/>
      <c r="H1939" s="29" t="n"/>
      <c r="I1939" s="29" t="n"/>
      <c r="J1939" s="29" t="n"/>
      <c r="K1939" s="14" t="n"/>
      <c r="L1939" s="29" t="n"/>
      <c r="M1939" s="14" t="n"/>
      <c r="N1939" s="29" t="n"/>
      <c r="O1939" s="13" t="n"/>
      <c r="P1939" s="13" t="n"/>
      <c r="Q1939" s="35" t="n"/>
      <c r="R1939" s="35" t="n"/>
      <c r="S1939" s="35" t="n"/>
      <c r="T1939" s="35" t="n"/>
      <c r="U1939" s="35" t="n"/>
      <c r="V1939" s="18">
        <f>IF(COUNTA($B1939:$R1939)=0,"",ROUND(N($R1939)+N($S1939)+N($T1939)-N($U1939),2))</f>
        <v/>
      </c>
      <c r="W1939" s="18">
        <f>IF(COUNTA($B1939:$R1939)=0,"",IF(OR($X1939="Pago",$X1939="Recebido",$X1939="Cancelado"),0,ROUND(N($Q1939)+N($S1939)+N($T1939)-N($U1939)-N($R1939),2)))</f>
        <v/>
      </c>
      <c r="X1939" s="14" t="n"/>
      <c r="Y1939" s="17">
        <f>IF(COUNTA($B1939:$R1939)=0,"",IF($X1939="Cancelado","Cancelado",IF(OR($X1939="Pago",$X1939="Recebido"),$X1939,IF(OR($X1939="Parcial",N($R1939)&gt;0),"Parcial",IF($C1939="","Sem vencimento",IF($C1939&lt;TODAY(),"Vencido",IF($C1939=TODAY(),"Vence hoje",IF($C1939&lt;=TODAY()+7,"Vence em 7 dias",IF($C1939&lt;=TODAY()+30,"Vence em 30 dias","Futuro")))))))))</f>
        <v/>
      </c>
      <c r="Z1939" s="24">
        <f>IF($B1939="","",MONTH($B1939))</f>
        <v/>
      </c>
      <c r="AA1939" s="24">
        <f>IF($B1939="","",YEAR($B1939))</f>
        <v/>
      </c>
      <c r="AB1939" s="24">
        <f>IF($B1939="","",ISOWEEKNUM($B1939))</f>
        <v/>
      </c>
      <c r="AC1939" s="17">
        <f>IF($B1939="","",CHOOSE(WEEKDAY($B1939,2),"Segunda","Terça","Quarta","Quinta","Sexta","Sábado","Domingo"))</f>
        <v/>
      </c>
      <c r="AD1939" s="17">
        <f>IF($B1939="","",TEXT($B1939,"MM/AAAA"))</f>
        <v/>
      </c>
      <c r="AE1939" s="18">
        <f>IF(COUNTA($B1939:$R1939)=0,"",IF($X1939="Cancelado",0,ROUND(N($Q1939)+N($S1939)+N($T1939)-N($U1939),2)))</f>
        <v/>
      </c>
      <c r="AF1939" s="9">
        <f>IF($G1939="","",IFERROR(INDEX(LINHAS_DRE_PLANO,MATCH($G1939,SUBCATEGORIAS_PLANO,0)),"Não classificado"))</f>
        <v/>
      </c>
      <c r="AG1939" s="17">
        <f>IF($G1939="","",IFERROR(INDEX(TIPOS_FLUXO_PLANO,MATCH($G1939,SUBCATEGORIAS_PLANO,0)),"Não classificado"))</f>
        <v/>
      </c>
      <c r="AH1939" s="9">
        <f>IF($G1939="","",IFERROR(INDEX(GRUPOS_PLANO,MATCH($G1939,SUBCATEGORIAS_PLANO,0)),"Não classificado"))</f>
        <v/>
      </c>
      <c r="AI1939" s="24">
        <f>IF(OR($C1939="",$X1939="Pago",$X1939="Recebido",$X1939="Cancelado"),"",$C1939-TODAY())</f>
        <v/>
      </c>
      <c r="AJ1939" s="24">
        <f>IF(OR($C1939="",$X1939="Pago",$X1939="Recebido",$X1939="Cancelado"),0,MAX(0,TODAY()-$C1939))</f>
        <v/>
      </c>
      <c r="AK1939" s="24">
        <f>IF($D1939="","",$D1939-$B1939)</f>
        <v/>
      </c>
      <c r="AL1939" s="18">
        <f>IF(OR($D1939="",$B1939=""),"",ROUND(N($R1939)*($D1939-$B1939),2))</f>
        <v/>
      </c>
      <c r="AM1939" s="17">
        <f>IF(AND($E1939="Saída",$W1939&gt;0,$C1939&lt;&gt;""),$C1939+ROW()/1000000,"")</f>
        <v/>
      </c>
      <c r="AN1939" s="17">
        <f>IF(AND($E1939="Entrada",$W1939&gt;0,$C1939&lt;&gt;""),$C1939+ROW()/1000000,"")</f>
        <v/>
      </c>
      <c r="AO1939" s="9">
        <f>IF(COUNTA($B1939:$R1939)=0,"",IF(AND($I1939&lt;&gt;"",COUNTIF(CLIENTES_NOMES,$I1939)+COUNTIF(CLIENTES_FANTASIA,$I1939)+COUNTIF(FORNECEDORES_NOMES,$I1939)+COUNTIF(FORNECEDORES_FANTASIA,$I1939)=0),"⚠ Cliente/Fornecedor não cadastrado",IF(AND($G1939&lt;&gt;"",COUNTIF(SUBCATEGORIAS_PLANO,$G1939)=0),"⚠ Subcategoria fora do plano de contas",IF(OR($Q1939="",N($Q1939)=0),"⚠ Valor previsto não informado",IF(AND(OR($X1939="Pago",$X1939="Recebido"),$D1939=""),"⚠ Status pago/recebido sem data",IF(AND($D1939&lt;&gt;"",N($R1939)=0),"⚠ Data de pagamento sem valor realizado",IF(AND(N($P1939)&gt;1,N($O1939)&gt;N($P1939)),"⚠ Nº da parcela maior que o total",IF(AND($C1939&lt;&gt;"",$B1939&lt;&gt;"",$C1939&lt;$B1939),"⚠ Vencimento anterior à competência","OK"))))))))</f>
        <v/>
      </c>
    </row>
    <row r="1940">
      <c r="A1940" s="14" t="n"/>
      <c r="B1940" s="36" t="n"/>
      <c r="C1940" s="36" t="n"/>
      <c r="D1940" s="36" t="n"/>
      <c r="E1940" s="14" t="n"/>
      <c r="F1940" s="29" t="n"/>
      <c r="G1940" s="29" t="n"/>
      <c r="H1940" s="29" t="n"/>
      <c r="I1940" s="29" t="n"/>
      <c r="J1940" s="29" t="n"/>
      <c r="K1940" s="14" t="n"/>
      <c r="L1940" s="29" t="n"/>
      <c r="M1940" s="14" t="n"/>
      <c r="N1940" s="29" t="n"/>
      <c r="O1940" s="13" t="n"/>
      <c r="P1940" s="13" t="n"/>
      <c r="Q1940" s="35" t="n"/>
      <c r="R1940" s="35" t="n"/>
      <c r="S1940" s="35" t="n"/>
      <c r="T1940" s="35" t="n"/>
      <c r="U1940" s="35" t="n"/>
      <c r="V1940" s="18">
        <f>IF(COUNTA($B1940:$R1940)=0,"",ROUND(N($R1940)+N($S1940)+N($T1940)-N($U1940),2))</f>
        <v/>
      </c>
      <c r="W1940" s="18">
        <f>IF(COUNTA($B1940:$R1940)=0,"",IF(OR($X1940="Pago",$X1940="Recebido",$X1940="Cancelado"),0,ROUND(N($Q1940)+N($S1940)+N($T1940)-N($U1940)-N($R1940),2)))</f>
        <v/>
      </c>
      <c r="X1940" s="14" t="n"/>
      <c r="Y1940" s="17">
        <f>IF(COUNTA($B1940:$R1940)=0,"",IF($X1940="Cancelado","Cancelado",IF(OR($X1940="Pago",$X1940="Recebido"),$X1940,IF(OR($X1940="Parcial",N($R1940)&gt;0),"Parcial",IF($C1940="","Sem vencimento",IF($C1940&lt;TODAY(),"Vencido",IF($C1940=TODAY(),"Vence hoje",IF($C1940&lt;=TODAY()+7,"Vence em 7 dias",IF($C1940&lt;=TODAY()+30,"Vence em 30 dias","Futuro")))))))))</f>
        <v/>
      </c>
      <c r="Z1940" s="24">
        <f>IF($B1940="","",MONTH($B1940))</f>
        <v/>
      </c>
      <c r="AA1940" s="24">
        <f>IF($B1940="","",YEAR($B1940))</f>
        <v/>
      </c>
      <c r="AB1940" s="24">
        <f>IF($B1940="","",ISOWEEKNUM($B1940))</f>
        <v/>
      </c>
      <c r="AC1940" s="17">
        <f>IF($B1940="","",CHOOSE(WEEKDAY($B1940,2),"Segunda","Terça","Quarta","Quinta","Sexta","Sábado","Domingo"))</f>
        <v/>
      </c>
      <c r="AD1940" s="17">
        <f>IF($B1940="","",TEXT($B1940,"MM/AAAA"))</f>
        <v/>
      </c>
      <c r="AE1940" s="18">
        <f>IF(COUNTA($B1940:$R1940)=0,"",IF($X1940="Cancelado",0,ROUND(N($Q1940)+N($S1940)+N($T1940)-N($U1940),2)))</f>
        <v/>
      </c>
      <c r="AF1940" s="9">
        <f>IF($G1940="","",IFERROR(INDEX(LINHAS_DRE_PLANO,MATCH($G1940,SUBCATEGORIAS_PLANO,0)),"Não classificado"))</f>
        <v/>
      </c>
      <c r="AG1940" s="17">
        <f>IF($G1940="","",IFERROR(INDEX(TIPOS_FLUXO_PLANO,MATCH($G1940,SUBCATEGORIAS_PLANO,0)),"Não classificado"))</f>
        <v/>
      </c>
      <c r="AH1940" s="9">
        <f>IF($G1940="","",IFERROR(INDEX(GRUPOS_PLANO,MATCH($G1940,SUBCATEGORIAS_PLANO,0)),"Não classificado"))</f>
        <v/>
      </c>
      <c r="AI1940" s="24">
        <f>IF(OR($C1940="",$X1940="Pago",$X1940="Recebido",$X1940="Cancelado"),"",$C1940-TODAY())</f>
        <v/>
      </c>
      <c r="AJ1940" s="24">
        <f>IF(OR($C1940="",$X1940="Pago",$X1940="Recebido",$X1940="Cancelado"),0,MAX(0,TODAY()-$C1940))</f>
        <v/>
      </c>
      <c r="AK1940" s="24">
        <f>IF($D1940="","",$D1940-$B1940)</f>
        <v/>
      </c>
      <c r="AL1940" s="18">
        <f>IF(OR($D1940="",$B1940=""),"",ROUND(N($R1940)*($D1940-$B1940),2))</f>
        <v/>
      </c>
      <c r="AM1940" s="17">
        <f>IF(AND($E1940="Saída",$W1940&gt;0,$C1940&lt;&gt;""),$C1940+ROW()/1000000,"")</f>
        <v/>
      </c>
      <c r="AN1940" s="17">
        <f>IF(AND($E1940="Entrada",$W1940&gt;0,$C1940&lt;&gt;""),$C1940+ROW()/1000000,"")</f>
        <v/>
      </c>
      <c r="AO1940" s="9">
        <f>IF(COUNTA($B1940:$R1940)=0,"",IF(AND($I1940&lt;&gt;"",COUNTIF(CLIENTES_NOMES,$I1940)+COUNTIF(CLIENTES_FANTASIA,$I1940)+COUNTIF(FORNECEDORES_NOMES,$I1940)+COUNTIF(FORNECEDORES_FANTASIA,$I1940)=0),"⚠ Cliente/Fornecedor não cadastrado",IF(AND($G1940&lt;&gt;"",COUNTIF(SUBCATEGORIAS_PLANO,$G1940)=0),"⚠ Subcategoria fora do plano de contas",IF(OR($Q1940="",N($Q1940)=0),"⚠ Valor previsto não informado",IF(AND(OR($X1940="Pago",$X1940="Recebido"),$D1940=""),"⚠ Status pago/recebido sem data",IF(AND($D1940&lt;&gt;"",N($R1940)=0),"⚠ Data de pagamento sem valor realizado",IF(AND(N($P1940)&gt;1,N($O1940)&gt;N($P1940)),"⚠ Nº da parcela maior que o total",IF(AND($C1940&lt;&gt;"",$B1940&lt;&gt;"",$C1940&lt;$B1940),"⚠ Vencimento anterior à competência","OK"))))))))</f>
        <v/>
      </c>
    </row>
    <row r="1941">
      <c r="A1941" s="14" t="n"/>
      <c r="B1941" s="36" t="n"/>
      <c r="C1941" s="36" t="n"/>
      <c r="D1941" s="36" t="n"/>
      <c r="E1941" s="14" t="n"/>
      <c r="F1941" s="29" t="n"/>
      <c r="G1941" s="29" t="n"/>
      <c r="H1941" s="29" t="n"/>
      <c r="I1941" s="29" t="n"/>
      <c r="J1941" s="29" t="n"/>
      <c r="K1941" s="14" t="n"/>
      <c r="L1941" s="29" t="n"/>
      <c r="M1941" s="14" t="n"/>
      <c r="N1941" s="29" t="n"/>
      <c r="O1941" s="13" t="n"/>
      <c r="P1941" s="13" t="n"/>
      <c r="Q1941" s="35" t="n"/>
      <c r="R1941" s="35" t="n"/>
      <c r="S1941" s="35" t="n"/>
      <c r="T1941" s="35" t="n"/>
      <c r="U1941" s="35" t="n"/>
      <c r="V1941" s="18">
        <f>IF(COUNTA($B1941:$R1941)=0,"",ROUND(N($R1941)+N($S1941)+N($T1941)-N($U1941),2))</f>
        <v/>
      </c>
      <c r="W1941" s="18">
        <f>IF(COUNTA($B1941:$R1941)=0,"",IF(OR($X1941="Pago",$X1941="Recebido",$X1941="Cancelado"),0,ROUND(N($Q1941)+N($S1941)+N($T1941)-N($U1941)-N($R1941),2)))</f>
        <v/>
      </c>
      <c r="X1941" s="14" t="n"/>
      <c r="Y1941" s="17">
        <f>IF(COUNTA($B1941:$R1941)=0,"",IF($X1941="Cancelado","Cancelado",IF(OR($X1941="Pago",$X1941="Recebido"),$X1941,IF(OR($X1941="Parcial",N($R1941)&gt;0),"Parcial",IF($C1941="","Sem vencimento",IF($C1941&lt;TODAY(),"Vencido",IF($C1941=TODAY(),"Vence hoje",IF($C1941&lt;=TODAY()+7,"Vence em 7 dias",IF($C1941&lt;=TODAY()+30,"Vence em 30 dias","Futuro")))))))))</f>
        <v/>
      </c>
      <c r="Z1941" s="24">
        <f>IF($B1941="","",MONTH($B1941))</f>
        <v/>
      </c>
      <c r="AA1941" s="24">
        <f>IF($B1941="","",YEAR($B1941))</f>
        <v/>
      </c>
      <c r="AB1941" s="24">
        <f>IF($B1941="","",ISOWEEKNUM($B1941))</f>
        <v/>
      </c>
      <c r="AC1941" s="17">
        <f>IF($B1941="","",CHOOSE(WEEKDAY($B1941,2),"Segunda","Terça","Quarta","Quinta","Sexta","Sábado","Domingo"))</f>
        <v/>
      </c>
      <c r="AD1941" s="17">
        <f>IF($B1941="","",TEXT($B1941,"MM/AAAA"))</f>
        <v/>
      </c>
      <c r="AE1941" s="18">
        <f>IF(COUNTA($B1941:$R1941)=0,"",IF($X1941="Cancelado",0,ROUND(N($Q1941)+N($S1941)+N($T1941)-N($U1941),2)))</f>
        <v/>
      </c>
      <c r="AF1941" s="9">
        <f>IF($G1941="","",IFERROR(INDEX(LINHAS_DRE_PLANO,MATCH($G1941,SUBCATEGORIAS_PLANO,0)),"Não classificado"))</f>
        <v/>
      </c>
      <c r="AG1941" s="17">
        <f>IF($G1941="","",IFERROR(INDEX(TIPOS_FLUXO_PLANO,MATCH($G1941,SUBCATEGORIAS_PLANO,0)),"Não classificado"))</f>
        <v/>
      </c>
      <c r="AH1941" s="9">
        <f>IF($G1941="","",IFERROR(INDEX(GRUPOS_PLANO,MATCH($G1941,SUBCATEGORIAS_PLANO,0)),"Não classificado"))</f>
        <v/>
      </c>
      <c r="AI1941" s="24">
        <f>IF(OR($C1941="",$X1941="Pago",$X1941="Recebido",$X1941="Cancelado"),"",$C1941-TODAY())</f>
        <v/>
      </c>
      <c r="AJ1941" s="24">
        <f>IF(OR($C1941="",$X1941="Pago",$X1941="Recebido",$X1941="Cancelado"),0,MAX(0,TODAY()-$C1941))</f>
        <v/>
      </c>
      <c r="AK1941" s="24">
        <f>IF($D1941="","",$D1941-$B1941)</f>
        <v/>
      </c>
      <c r="AL1941" s="18">
        <f>IF(OR($D1941="",$B1941=""),"",ROUND(N($R1941)*($D1941-$B1941),2))</f>
        <v/>
      </c>
      <c r="AM1941" s="17">
        <f>IF(AND($E1941="Saída",$W1941&gt;0,$C1941&lt;&gt;""),$C1941+ROW()/1000000,"")</f>
        <v/>
      </c>
      <c r="AN1941" s="17">
        <f>IF(AND($E1941="Entrada",$W1941&gt;0,$C1941&lt;&gt;""),$C1941+ROW()/1000000,"")</f>
        <v/>
      </c>
      <c r="AO1941" s="9">
        <f>IF(COUNTA($B1941:$R1941)=0,"",IF(AND($I1941&lt;&gt;"",COUNTIF(CLIENTES_NOMES,$I1941)+COUNTIF(CLIENTES_FANTASIA,$I1941)+COUNTIF(FORNECEDORES_NOMES,$I1941)+COUNTIF(FORNECEDORES_FANTASIA,$I1941)=0),"⚠ Cliente/Fornecedor não cadastrado",IF(AND($G1941&lt;&gt;"",COUNTIF(SUBCATEGORIAS_PLANO,$G1941)=0),"⚠ Subcategoria fora do plano de contas",IF(OR($Q1941="",N($Q1941)=0),"⚠ Valor previsto não informado",IF(AND(OR($X1941="Pago",$X1941="Recebido"),$D1941=""),"⚠ Status pago/recebido sem data",IF(AND($D1941&lt;&gt;"",N($R1941)=0),"⚠ Data de pagamento sem valor realizado",IF(AND(N($P1941)&gt;1,N($O1941)&gt;N($P1941)),"⚠ Nº da parcela maior que o total",IF(AND($C1941&lt;&gt;"",$B1941&lt;&gt;"",$C1941&lt;$B1941),"⚠ Vencimento anterior à competência","OK"))))))))</f>
        <v/>
      </c>
    </row>
    <row r="1942">
      <c r="A1942" s="14" t="n"/>
      <c r="B1942" s="36" t="n"/>
      <c r="C1942" s="36" t="n"/>
      <c r="D1942" s="36" t="n"/>
      <c r="E1942" s="14" t="n"/>
      <c r="F1942" s="29" t="n"/>
      <c r="G1942" s="29" t="n"/>
      <c r="H1942" s="29" t="n"/>
      <c r="I1942" s="29" t="n"/>
      <c r="J1942" s="29" t="n"/>
      <c r="K1942" s="14" t="n"/>
      <c r="L1942" s="29" t="n"/>
      <c r="M1942" s="14" t="n"/>
      <c r="N1942" s="29" t="n"/>
      <c r="O1942" s="13" t="n"/>
      <c r="P1942" s="13" t="n"/>
      <c r="Q1942" s="35" t="n"/>
      <c r="R1942" s="35" t="n"/>
      <c r="S1942" s="35" t="n"/>
      <c r="T1942" s="35" t="n"/>
      <c r="U1942" s="35" t="n"/>
      <c r="V1942" s="18">
        <f>IF(COUNTA($B1942:$R1942)=0,"",ROUND(N($R1942)+N($S1942)+N($T1942)-N($U1942),2))</f>
        <v/>
      </c>
      <c r="W1942" s="18">
        <f>IF(COUNTA($B1942:$R1942)=0,"",IF(OR($X1942="Pago",$X1942="Recebido",$X1942="Cancelado"),0,ROUND(N($Q1942)+N($S1942)+N($T1942)-N($U1942)-N($R1942),2)))</f>
        <v/>
      </c>
      <c r="X1942" s="14" t="n"/>
      <c r="Y1942" s="17">
        <f>IF(COUNTA($B1942:$R1942)=0,"",IF($X1942="Cancelado","Cancelado",IF(OR($X1942="Pago",$X1942="Recebido"),$X1942,IF(OR($X1942="Parcial",N($R1942)&gt;0),"Parcial",IF($C1942="","Sem vencimento",IF($C1942&lt;TODAY(),"Vencido",IF($C1942=TODAY(),"Vence hoje",IF($C1942&lt;=TODAY()+7,"Vence em 7 dias",IF($C1942&lt;=TODAY()+30,"Vence em 30 dias","Futuro")))))))))</f>
        <v/>
      </c>
      <c r="Z1942" s="24">
        <f>IF($B1942="","",MONTH($B1942))</f>
        <v/>
      </c>
      <c r="AA1942" s="24">
        <f>IF($B1942="","",YEAR($B1942))</f>
        <v/>
      </c>
      <c r="AB1942" s="24">
        <f>IF($B1942="","",ISOWEEKNUM($B1942))</f>
        <v/>
      </c>
      <c r="AC1942" s="17">
        <f>IF($B1942="","",CHOOSE(WEEKDAY($B1942,2),"Segunda","Terça","Quarta","Quinta","Sexta","Sábado","Domingo"))</f>
        <v/>
      </c>
      <c r="AD1942" s="17">
        <f>IF($B1942="","",TEXT($B1942,"MM/AAAA"))</f>
        <v/>
      </c>
      <c r="AE1942" s="18">
        <f>IF(COUNTA($B1942:$R1942)=0,"",IF($X1942="Cancelado",0,ROUND(N($Q1942)+N($S1942)+N($T1942)-N($U1942),2)))</f>
        <v/>
      </c>
      <c r="AF1942" s="9">
        <f>IF($G1942="","",IFERROR(INDEX(LINHAS_DRE_PLANO,MATCH($G1942,SUBCATEGORIAS_PLANO,0)),"Não classificado"))</f>
        <v/>
      </c>
      <c r="AG1942" s="17">
        <f>IF($G1942="","",IFERROR(INDEX(TIPOS_FLUXO_PLANO,MATCH($G1942,SUBCATEGORIAS_PLANO,0)),"Não classificado"))</f>
        <v/>
      </c>
      <c r="AH1942" s="9">
        <f>IF($G1942="","",IFERROR(INDEX(GRUPOS_PLANO,MATCH($G1942,SUBCATEGORIAS_PLANO,0)),"Não classificado"))</f>
        <v/>
      </c>
      <c r="AI1942" s="24">
        <f>IF(OR($C1942="",$X1942="Pago",$X1942="Recebido",$X1942="Cancelado"),"",$C1942-TODAY())</f>
        <v/>
      </c>
      <c r="AJ1942" s="24">
        <f>IF(OR($C1942="",$X1942="Pago",$X1942="Recebido",$X1942="Cancelado"),0,MAX(0,TODAY()-$C1942))</f>
        <v/>
      </c>
      <c r="AK1942" s="24">
        <f>IF($D1942="","",$D1942-$B1942)</f>
        <v/>
      </c>
      <c r="AL1942" s="18">
        <f>IF(OR($D1942="",$B1942=""),"",ROUND(N($R1942)*($D1942-$B1942),2))</f>
        <v/>
      </c>
      <c r="AM1942" s="17">
        <f>IF(AND($E1942="Saída",$W1942&gt;0,$C1942&lt;&gt;""),$C1942+ROW()/1000000,"")</f>
        <v/>
      </c>
      <c r="AN1942" s="17">
        <f>IF(AND($E1942="Entrada",$W1942&gt;0,$C1942&lt;&gt;""),$C1942+ROW()/1000000,"")</f>
        <v/>
      </c>
      <c r="AO1942" s="9">
        <f>IF(COUNTA($B1942:$R1942)=0,"",IF(AND($I1942&lt;&gt;"",COUNTIF(CLIENTES_NOMES,$I1942)+COUNTIF(CLIENTES_FANTASIA,$I1942)+COUNTIF(FORNECEDORES_NOMES,$I1942)+COUNTIF(FORNECEDORES_FANTASIA,$I1942)=0),"⚠ Cliente/Fornecedor não cadastrado",IF(AND($G1942&lt;&gt;"",COUNTIF(SUBCATEGORIAS_PLANO,$G1942)=0),"⚠ Subcategoria fora do plano de contas",IF(OR($Q1942="",N($Q1942)=0),"⚠ Valor previsto não informado",IF(AND(OR($X1942="Pago",$X1942="Recebido"),$D1942=""),"⚠ Status pago/recebido sem data",IF(AND($D1942&lt;&gt;"",N($R1942)=0),"⚠ Data de pagamento sem valor realizado",IF(AND(N($P1942)&gt;1,N($O1942)&gt;N($P1942)),"⚠ Nº da parcela maior que o total",IF(AND($C1942&lt;&gt;"",$B1942&lt;&gt;"",$C1942&lt;$B1942),"⚠ Vencimento anterior à competência","OK"))))))))</f>
        <v/>
      </c>
    </row>
    <row r="1943">
      <c r="A1943" s="14" t="n"/>
      <c r="B1943" s="36" t="n"/>
      <c r="C1943" s="36" t="n"/>
      <c r="D1943" s="36" t="n"/>
      <c r="E1943" s="14" t="n"/>
      <c r="F1943" s="29" t="n"/>
      <c r="G1943" s="29" t="n"/>
      <c r="H1943" s="29" t="n"/>
      <c r="I1943" s="29" t="n"/>
      <c r="J1943" s="29" t="n"/>
      <c r="K1943" s="14" t="n"/>
      <c r="L1943" s="29" t="n"/>
      <c r="M1943" s="14" t="n"/>
      <c r="N1943" s="29" t="n"/>
      <c r="O1943" s="13" t="n"/>
      <c r="P1943" s="13" t="n"/>
      <c r="Q1943" s="35" t="n"/>
      <c r="R1943" s="35" t="n"/>
      <c r="S1943" s="35" t="n"/>
      <c r="T1943" s="35" t="n"/>
      <c r="U1943" s="35" t="n"/>
      <c r="V1943" s="18">
        <f>IF(COUNTA($B1943:$R1943)=0,"",ROUND(N($R1943)+N($S1943)+N($T1943)-N($U1943),2))</f>
        <v/>
      </c>
      <c r="W1943" s="18">
        <f>IF(COUNTA($B1943:$R1943)=0,"",IF(OR($X1943="Pago",$X1943="Recebido",$X1943="Cancelado"),0,ROUND(N($Q1943)+N($S1943)+N($T1943)-N($U1943)-N($R1943),2)))</f>
        <v/>
      </c>
      <c r="X1943" s="14" t="n"/>
      <c r="Y1943" s="17">
        <f>IF(COUNTA($B1943:$R1943)=0,"",IF($X1943="Cancelado","Cancelado",IF(OR($X1943="Pago",$X1943="Recebido"),$X1943,IF(OR($X1943="Parcial",N($R1943)&gt;0),"Parcial",IF($C1943="","Sem vencimento",IF($C1943&lt;TODAY(),"Vencido",IF($C1943=TODAY(),"Vence hoje",IF($C1943&lt;=TODAY()+7,"Vence em 7 dias",IF($C1943&lt;=TODAY()+30,"Vence em 30 dias","Futuro")))))))))</f>
        <v/>
      </c>
      <c r="Z1943" s="24">
        <f>IF($B1943="","",MONTH($B1943))</f>
        <v/>
      </c>
      <c r="AA1943" s="24">
        <f>IF($B1943="","",YEAR($B1943))</f>
        <v/>
      </c>
      <c r="AB1943" s="24">
        <f>IF($B1943="","",ISOWEEKNUM($B1943))</f>
        <v/>
      </c>
      <c r="AC1943" s="17">
        <f>IF($B1943="","",CHOOSE(WEEKDAY($B1943,2),"Segunda","Terça","Quarta","Quinta","Sexta","Sábado","Domingo"))</f>
        <v/>
      </c>
      <c r="AD1943" s="17">
        <f>IF($B1943="","",TEXT($B1943,"MM/AAAA"))</f>
        <v/>
      </c>
      <c r="AE1943" s="18">
        <f>IF(COUNTA($B1943:$R1943)=0,"",IF($X1943="Cancelado",0,ROUND(N($Q1943)+N($S1943)+N($T1943)-N($U1943),2)))</f>
        <v/>
      </c>
      <c r="AF1943" s="9">
        <f>IF($G1943="","",IFERROR(INDEX(LINHAS_DRE_PLANO,MATCH($G1943,SUBCATEGORIAS_PLANO,0)),"Não classificado"))</f>
        <v/>
      </c>
      <c r="AG1943" s="17">
        <f>IF($G1943="","",IFERROR(INDEX(TIPOS_FLUXO_PLANO,MATCH($G1943,SUBCATEGORIAS_PLANO,0)),"Não classificado"))</f>
        <v/>
      </c>
      <c r="AH1943" s="9">
        <f>IF($G1943="","",IFERROR(INDEX(GRUPOS_PLANO,MATCH($G1943,SUBCATEGORIAS_PLANO,0)),"Não classificado"))</f>
        <v/>
      </c>
      <c r="AI1943" s="24">
        <f>IF(OR($C1943="",$X1943="Pago",$X1943="Recebido",$X1943="Cancelado"),"",$C1943-TODAY())</f>
        <v/>
      </c>
      <c r="AJ1943" s="24">
        <f>IF(OR($C1943="",$X1943="Pago",$X1943="Recebido",$X1943="Cancelado"),0,MAX(0,TODAY()-$C1943))</f>
        <v/>
      </c>
      <c r="AK1943" s="24">
        <f>IF($D1943="","",$D1943-$B1943)</f>
        <v/>
      </c>
      <c r="AL1943" s="18">
        <f>IF(OR($D1943="",$B1943=""),"",ROUND(N($R1943)*($D1943-$B1943),2))</f>
        <v/>
      </c>
      <c r="AM1943" s="17">
        <f>IF(AND($E1943="Saída",$W1943&gt;0,$C1943&lt;&gt;""),$C1943+ROW()/1000000,"")</f>
        <v/>
      </c>
      <c r="AN1943" s="17">
        <f>IF(AND($E1943="Entrada",$W1943&gt;0,$C1943&lt;&gt;""),$C1943+ROW()/1000000,"")</f>
        <v/>
      </c>
      <c r="AO1943" s="9">
        <f>IF(COUNTA($B1943:$R1943)=0,"",IF(AND($I1943&lt;&gt;"",COUNTIF(CLIENTES_NOMES,$I1943)+COUNTIF(CLIENTES_FANTASIA,$I1943)+COUNTIF(FORNECEDORES_NOMES,$I1943)+COUNTIF(FORNECEDORES_FANTASIA,$I1943)=0),"⚠ Cliente/Fornecedor não cadastrado",IF(AND($G1943&lt;&gt;"",COUNTIF(SUBCATEGORIAS_PLANO,$G1943)=0),"⚠ Subcategoria fora do plano de contas",IF(OR($Q1943="",N($Q1943)=0),"⚠ Valor previsto não informado",IF(AND(OR($X1943="Pago",$X1943="Recebido"),$D1943=""),"⚠ Status pago/recebido sem data",IF(AND($D1943&lt;&gt;"",N($R1943)=0),"⚠ Data de pagamento sem valor realizado",IF(AND(N($P1943)&gt;1,N($O1943)&gt;N($P1943)),"⚠ Nº da parcela maior que o total",IF(AND($C1943&lt;&gt;"",$B1943&lt;&gt;"",$C1943&lt;$B1943),"⚠ Vencimento anterior à competência","OK"))))))))</f>
        <v/>
      </c>
    </row>
    <row r="1944">
      <c r="A1944" s="14" t="n"/>
      <c r="B1944" s="36" t="n"/>
      <c r="C1944" s="36" t="n"/>
      <c r="D1944" s="36" t="n"/>
      <c r="E1944" s="14" t="n"/>
      <c r="F1944" s="29" t="n"/>
      <c r="G1944" s="29" t="n"/>
      <c r="H1944" s="29" t="n"/>
      <c r="I1944" s="29" t="n"/>
      <c r="J1944" s="29" t="n"/>
      <c r="K1944" s="14" t="n"/>
      <c r="L1944" s="29" t="n"/>
      <c r="M1944" s="14" t="n"/>
      <c r="N1944" s="29" t="n"/>
      <c r="O1944" s="13" t="n"/>
      <c r="P1944" s="13" t="n"/>
      <c r="Q1944" s="35" t="n"/>
      <c r="R1944" s="35" t="n"/>
      <c r="S1944" s="35" t="n"/>
      <c r="T1944" s="35" t="n"/>
      <c r="U1944" s="35" t="n"/>
      <c r="V1944" s="18">
        <f>IF(COUNTA($B1944:$R1944)=0,"",ROUND(N($R1944)+N($S1944)+N($T1944)-N($U1944),2))</f>
        <v/>
      </c>
      <c r="W1944" s="18">
        <f>IF(COUNTA($B1944:$R1944)=0,"",IF(OR($X1944="Pago",$X1944="Recebido",$X1944="Cancelado"),0,ROUND(N($Q1944)+N($S1944)+N($T1944)-N($U1944)-N($R1944),2)))</f>
        <v/>
      </c>
      <c r="X1944" s="14" t="n"/>
      <c r="Y1944" s="17">
        <f>IF(COUNTA($B1944:$R1944)=0,"",IF($X1944="Cancelado","Cancelado",IF(OR($X1944="Pago",$X1944="Recebido"),$X1944,IF(OR($X1944="Parcial",N($R1944)&gt;0),"Parcial",IF($C1944="","Sem vencimento",IF($C1944&lt;TODAY(),"Vencido",IF($C1944=TODAY(),"Vence hoje",IF($C1944&lt;=TODAY()+7,"Vence em 7 dias",IF($C1944&lt;=TODAY()+30,"Vence em 30 dias","Futuro")))))))))</f>
        <v/>
      </c>
      <c r="Z1944" s="24">
        <f>IF($B1944="","",MONTH($B1944))</f>
        <v/>
      </c>
      <c r="AA1944" s="24">
        <f>IF($B1944="","",YEAR($B1944))</f>
        <v/>
      </c>
      <c r="AB1944" s="24">
        <f>IF($B1944="","",ISOWEEKNUM($B1944))</f>
        <v/>
      </c>
      <c r="AC1944" s="17">
        <f>IF($B1944="","",CHOOSE(WEEKDAY($B1944,2),"Segunda","Terça","Quarta","Quinta","Sexta","Sábado","Domingo"))</f>
        <v/>
      </c>
      <c r="AD1944" s="17">
        <f>IF($B1944="","",TEXT($B1944,"MM/AAAA"))</f>
        <v/>
      </c>
      <c r="AE1944" s="18">
        <f>IF(COUNTA($B1944:$R1944)=0,"",IF($X1944="Cancelado",0,ROUND(N($Q1944)+N($S1944)+N($T1944)-N($U1944),2)))</f>
        <v/>
      </c>
      <c r="AF1944" s="9">
        <f>IF($G1944="","",IFERROR(INDEX(LINHAS_DRE_PLANO,MATCH($G1944,SUBCATEGORIAS_PLANO,0)),"Não classificado"))</f>
        <v/>
      </c>
      <c r="AG1944" s="17">
        <f>IF($G1944="","",IFERROR(INDEX(TIPOS_FLUXO_PLANO,MATCH($G1944,SUBCATEGORIAS_PLANO,0)),"Não classificado"))</f>
        <v/>
      </c>
      <c r="AH1944" s="9">
        <f>IF($G1944="","",IFERROR(INDEX(GRUPOS_PLANO,MATCH($G1944,SUBCATEGORIAS_PLANO,0)),"Não classificado"))</f>
        <v/>
      </c>
      <c r="AI1944" s="24">
        <f>IF(OR($C1944="",$X1944="Pago",$X1944="Recebido",$X1944="Cancelado"),"",$C1944-TODAY())</f>
        <v/>
      </c>
      <c r="AJ1944" s="24">
        <f>IF(OR($C1944="",$X1944="Pago",$X1944="Recebido",$X1944="Cancelado"),0,MAX(0,TODAY()-$C1944))</f>
        <v/>
      </c>
      <c r="AK1944" s="24">
        <f>IF($D1944="","",$D1944-$B1944)</f>
        <v/>
      </c>
      <c r="AL1944" s="18">
        <f>IF(OR($D1944="",$B1944=""),"",ROUND(N($R1944)*($D1944-$B1944),2))</f>
        <v/>
      </c>
      <c r="AM1944" s="17">
        <f>IF(AND($E1944="Saída",$W1944&gt;0,$C1944&lt;&gt;""),$C1944+ROW()/1000000,"")</f>
        <v/>
      </c>
      <c r="AN1944" s="17">
        <f>IF(AND($E1944="Entrada",$W1944&gt;0,$C1944&lt;&gt;""),$C1944+ROW()/1000000,"")</f>
        <v/>
      </c>
      <c r="AO1944" s="9">
        <f>IF(COUNTA($B1944:$R1944)=0,"",IF(AND($I1944&lt;&gt;"",COUNTIF(CLIENTES_NOMES,$I1944)+COUNTIF(CLIENTES_FANTASIA,$I1944)+COUNTIF(FORNECEDORES_NOMES,$I1944)+COUNTIF(FORNECEDORES_FANTASIA,$I1944)=0),"⚠ Cliente/Fornecedor não cadastrado",IF(AND($G1944&lt;&gt;"",COUNTIF(SUBCATEGORIAS_PLANO,$G1944)=0),"⚠ Subcategoria fora do plano de contas",IF(OR($Q1944="",N($Q1944)=0),"⚠ Valor previsto não informado",IF(AND(OR($X1944="Pago",$X1944="Recebido"),$D1944=""),"⚠ Status pago/recebido sem data",IF(AND($D1944&lt;&gt;"",N($R1944)=0),"⚠ Data de pagamento sem valor realizado",IF(AND(N($P1944)&gt;1,N($O1944)&gt;N($P1944)),"⚠ Nº da parcela maior que o total",IF(AND($C1944&lt;&gt;"",$B1944&lt;&gt;"",$C1944&lt;$B1944),"⚠ Vencimento anterior à competência","OK"))))))))</f>
        <v/>
      </c>
    </row>
    <row r="1945">
      <c r="A1945" s="14" t="n"/>
      <c r="B1945" s="36" t="n"/>
      <c r="C1945" s="36" t="n"/>
      <c r="D1945" s="36" t="n"/>
      <c r="E1945" s="14" t="n"/>
      <c r="F1945" s="29" t="n"/>
      <c r="G1945" s="29" t="n"/>
      <c r="H1945" s="29" t="n"/>
      <c r="I1945" s="29" t="n"/>
      <c r="J1945" s="29" t="n"/>
      <c r="K1945" s="14" t="n"/>
      <c r="L1945" s="29" t="n"/>
      <c r="M1945" s="14" t="n"/>
      <c r="N1945" s="29" t="n"/>
      <c r="O1945" s="13" t="n"/>
      <c r="P1945" s="13" t="n"/>
      <c r="Q1945" s="35" t="n"/>
      <c r="R1945" s="35" t="n"/>
      <c r="S1945" s="35" t="n"/>
      <c r="T1945" s="35" t="n"/>
      <c r="U1945" s="35" t="n"/>
      <c r="V1945" s="18">
        <f>IF(COUNTA($B1945:$R1945)=0,"",ROUND(N($R1945)+N($S1945)+N($T1945)-N($U1945),2))</f>
        <v/>
      </c>
      <c r="W1945" s="18">
        <f>IF(COUNTA($B1945:$R1945)=0,"",IF(OR($X1945="Pago",$X1945="Recebido",$X1945="Cancelado"),0,ROUND(N($Q1945)+N($S1945)+N($T1945)-N($U1945)-N($R1945),2)))</f>
        <v/>
      </c>
      <c r="X1945" s="14" t="n"/>
      <c r="Y1945" s="17">
        <f>IF(COUNTA($B1945:$R1945)=0,"",IF($X1945="Cancelado","Cancelado",IF(OR($X1945="Pago",$X1945="Recebido"),$X1945,IF(OR($X1945="Parcial",N($R1945)&gt;0),"Parcial",IF($C1945="","Sem vencimento",IF($C1945&lt;TODAY(),"Vencido",IF($C1945=TODAY(),"Vence hoje",IF($C1945&lt;=TODAY()+7,"Vence em 7 dias",IF($C1945&lt;=TODAY()+30,"Vence em 30 dias","Futuro")))))))))</f>
        <v/>
      </c>
      <c r="Z1945" s="24">
        <f>IF($B1945="","",MONTH($B1945))</f>
        <v/>
      </c>
      <c r="AA1945" s="24">
        <f>IF($B1945="","",YEAR($B1945))</f>
        <v/>
      </c>
      <c r="AB1945" s="24">
        <f>IF($B1945="","",ISOWEEKNUM($B1945))</f>
        <v/>
      </c>
      <c r="AC1945" s="17">
        <f>IF($B1945="","",CHOOSE(WEEKDAY($B1945,2),"Segunda","Terça","Quarta","Quinta","Sexta","Sábado","Domingo"))</f>
        <v/>
      </c>
      <c r="AD1945" s="17">
        <f>IF($B1945="","",TEXT($B1945,"MM/AAAA"))</f>
        <v/>
      </c>
      <c r="AE1945" s="18">
        <f>IF(COUNTA($B1945:$R1945)=0,"",IF($X1945="Cancelado",0,ROUND(N($Q1945)+N($S1945)+N($T1945)-N($U1945),2)))</f>
        <v/>
      </c>
      <c r="AF1945" s="9">
        <f>IF($G1945="","",IFERROR(INDEX(LINHAS_DRE_PLANO,MATCH($G1945,SUBCATEGORIAS_PLANO,0)),"Não classificado"))</f>
        <v/>
      </c>
      <c r="AG1945" s="17">
        <f>IF($G1945="","",IFERROR(INDEX(TIPOS_FLUXO_PLANO,MATCH($G1945,SUBCATEGORIAS_PLANO,0)),"Não classificado"))</f>
        <v/>
      </c>
      <c r="AH1945" s="9">
        <f>IF($G1945="","",IFERROR(INDEX(GRUPOS_PLANO,MATCH($G1945,SUBCATEGORIAS_PLANO,0)),"Não classificado"))</f>
        <v/>
      </c>
      <c r="AI1945" s="24">
        <f>IF(OR($C1945="",$X1945="Pago",$X1945="Recebido",$X1945="Cancelado"),"",$C1945-TODAY())</f>
        <v/>
      </c>
      <c r="AJ1945" s="24">
        <f>IF(OR($C1945="",$X1945="Pago",$X1945="Recebido",$X1945="Cancelado"),0,MAX(0,TODAY()-$C1945))</f>
        <v/>
      </c>
      <c r="AK1945" s="24">
        <f>IF($D1945="","",$D1945-$B1945)</f>
        <v/>
      </c>
      <c r="AL1945" s="18">
        <f>IF(OR($D1945="",$B1945=""),"",ROUND(N($R1945)*($D1945-$B1945),2))</f>
        <v/>
      </c>
      <c r="AM1945" s="17">
        <f>IF(AND($E1945="Saída",$W1945&gt;0,$C1945&lt;&gt;""),$C1945+ROW()/1000000,"")</f>
        <v/>
      </c>
      <c r="AN1945" s="17">
        <f>IF(AND($E1945="Entrada",$W1945&gt;0,$C1945&lt;&gt;""),$C1945+ROW()/1000000,"")</f>
        <v/>
      </c>
      <c r="AO1945" s="9">
        <f>IF(COUNTA($B1945:$R1945)=0,"",IF(AND($I1945&lt;&gt;"",COUNTIF(CLIENTES_NOMES,$I1945)+COUNTIF(CLIENTES_FANTASIA,$I1945)+COUNTIF(FORNECEDORES_NOMES,$I1945)+COUNTIF(FORNECEDORES_FANTASIA,$I1945)=0),"⚠ Cliente/Fornecedor não cadastrado",IF(AND($G1945&lt;&gt;"",COUNTIF(SUBCATEGORIAS_PLANO,$G1945)=0),"⚠ Subcategoria fora do plano de contas",IF(OR($Q1945="",N($Q1945)=0),"⚠ Valor previsto não informado",IF(AND(OR($X1945="Pago",$X1945="Recebido"),$D1945=""),"⚠ Status pago/recebido sem data",IF(AND($D1945&lt;&gt;"",N($R1945)=0),"⚠ Data de pagamento sem valor realizado",IF(AND(N($P1945)&gt;1,N($O1945)&gt;N($P1945)),"⚠ Nº da parcela maior que o total",IF(AND($C1945&lt;&gt;"",$B1945&lt;&gt;"",$C1945&lt;$B1945),"⚠ Vencimento anterior à competência","OK"))))))))</f>
        <v/>
      </c>
    </row>
    <row r="1946">
      <c r="A1946" s="14" t="n"/>
      <c r="B1946" s="36" t="n"/>
      <c r="C1946" s="36" t="n"/>
      <c r="D1946" s="36" t="n"/>
      <c r="E1946" s="14" t="n"/>
      <c r="F1946" s="29" t="n"/>
      <c r="G1946" s="29" t="n"/>
      <c r="H1946" s="29" t="n"/>
      <c r="I1946" s="29" t="n"/>
      <c r="J1946" s="29" t="n"/>
      <c r="K1946" s="14" t="n"/>
      <c r="L1946" s="29" t="n"/>
      <c r="M1946" s="14" t="n"/>
      <c r="N1946" s="29" t="n"/>
      <c r="O1946" s="13" t="n"/>
      <c r="P1946" s="13" t="n"/>
      <c r="Q1946" s="35" t="n"/>
      <c r="R1946" s="35" t="n"/>
      <c r="S1946" s="35" t="n"/>
      <c r="T1946" s="35" t="n"/>
      <c r="U1946" s="35" t="n"/>
      <c r="V1946" s="18">
        <f>IF(COUNTA($B1946:$R1946)=0,"",ROUND(N($R1946)+N($S1946)+N($T1946)-N($U1946),2))</f>
        <v/>
      </c>
      <c r="W1946" s="18">
        <f>IF(COUNTA($B1946:$R1946)=0,"",IF(OR($X1946="Pago",$X1946="Recebido",$X1946="Cancelado"),0,ROUND(N($Q1946)+N($S1946)+N($T1946)-N($U1946)-N($R1946),2)))</f>
        <v/>
      </c>
      <c r="X1946" s="14" t="n"/>
      <c r="Y1946" s="17">
        <f>IF(COUNTA($B1946:$R1946)=0,"",IF($X1946="Cancelado","Cancelado",IF(OR($X1946="Pago",$X1946="Recebido"),$X1946,IF(OR($X1946="Parcial",N($R1946)&gt;0),"Parcial",IF($C1946="","Sem vencimento",IF($C1946&lt;TODAY(),"Vencido",IF($C1946=TODAY(),"Vence hoje",IF($C1946&lt;=TODAY()+7,"Vence em 7 dias",IF($C1946&lt;=TODAY()+30,"Vence em 30 dias","Futuro")))))))))</f>
        <v/>
      </c>
      <c r="Z1946" s="24">
        <f>IF($B1946="","",MONTH($B1946))</f>
        <v/>
      </c>
      <c r="AA1946" s="24">
        <f>IF($B1946="","",YEAR($B1946))</f>
        <v/>
      </c>
      <c r="AB1946" s="24">
        <f>IF($B1946="","",ISOWEEKNUM($B1946))</f>
        <v/>
      </c>
      <c r="AC1946" s="17">
        <f>IF($B1946="","",CHOOSE(WEEKDAY($B1946,2),"Segunda","Terça","Quarta","Quinta","Sexta","Sábado","Domingo"))</f>
        <v/>
      </c>
      <c r="AD1946" s="17">
        <f>IF($B1946="","",TEXT($B1946,"MM/AAAA"))</f>
        <v/>
      </c>
      <c r="AE1946" s="18">
        <f>IF(COUNTA($B1946:$R1946)=0,"",IF($X1946="Cancelado",0,ROUND(N($Q1946)+N($S1946)+N($T1946)-N($U1946),2)))</f>
        <v/>
      </c>
      <c r="AF1946" s="9">
        <f>IF($G1946="","",IFERROR(INDEX(LINHAS_DRE_PLANO,MATCH($G1946,SUBCATEGORIAS_PLANO,0)),"Não classificado"))</f>
        <v/>
      </c>
      <c r="AG1946" s="17">
        <f>IF($G1946="","",IFERROR(INDEX(TIPOS_FLUXO_PLANO,MATCH($G1946,SUBCATEGORIAS_PLANO,0)),"Não classificado"))</f>
        <v/>
      </c>
      <c r="AH1946" s="9">
        <f>IF($G1946="","",IFERROR(INDEX(GRUPOS_PLANO,MATCH($G1946,SUBCATEGORIAS_PLANO,0)),"Não classificado"))</f>
        <v/>
      </c>
      <c r="AI1946" s="24">
        <f>IF(OR($C1946="",$X1946="Pago",$X1946="Recebido",$X1946="Cancelado"),"",$C1946-TODAY())</f>
        <v/>
      </c>
      <c r="AJ1946" s="24">
        <f>IF(OR($C1946="",$X1946="Pago",$X1946="Recebido",$X1946="Cancelado"),0,MAX(0,TODAY()-$C1946))</f>
        <v/>
      </c>
      <c r="AK1946" s="24">
        <f>IF($D1946="","",$D1946-$B1946)</f>
        <v/>
      </c>
      <c r="AL1946" s="18">
        <f>IF(OR($D1946="",$B1946=""),"",ROUND(N($R1946)*($D1946-$B1946),2))</f>
        <v/>
      </c>
      <c r="AM1946" s="17">
        <f>IF(AND($E1946="Saída",$W1946&gt;0,$C1946&lt;&gt;""),$C1946+ROW()/1000000,"")</f>
        <v/>
      </c>
      <c r="AN1946" s="17">
        <f>IF(AND($E1946="Entrada",$W1946&gt;0,$C1946&lt;&gt;""),$C1946+ROW()/1000000,"")</f>
        <v/>
      </c>
      <c r="AO1946" s="9">
        <f>IF(COUNTA($B1946:$R1946)=0,"",IF(AND($I1946&lt;&gt;"",COUNTIF(CLIENTES_NOMES,$I1946)+COUNTIF(CLIENTES_FANTASIA,$I1946)+COUNTIF(FORNECEDORES_NOMES,$I1946)+COUNTIF(FORNECEDORES_FANTASIA,$I1946)=0),"⚠ Cliente/Fornecedor não cadastrado",IF(AND($G1946&lt;&gt;"",COUNTIF(SUBCATEGORIAS_PLANO,$G1946)=0),"⚠ Subcategoria fora do plano de contas",IF(OR($Q1946="",N($Q1946)=0),"⚠ Valor previsto não informado",IF(AND(OR($X1946="Pago",$X1946="Recebido"),$D1946=""),"⚠ Status pago/recebido sem data",IF(AND($D1946&lt;&gt;"",N($R1946)=0),"⚠ Data de pagamento sem valor realizado",IF(AND(N($P1946)&gt;1,N($O1946)&gt;N($P1946)),"⚠ Nº da parcela maior que o total",IF(AND($C1946&lt;&gt;"",$B1946&lt;&gt;"",$C1946&lt;$B1946),"⚠ Vencimento anterior à competência","OK"))))))))</f>
        <v/>
      </c>
    </row>
    <row r="1947">
      <c r="A1947" s="14" t="n"/>
      <c r="B1947" s="36" t="n"/>
      <c r="C1947" s="36" t="n"/>
      <c r="D1947" s="36" t="n"/>
      <c r="E1947" s="14" t="n"/>
      <c r="F1947" s="29" t="n"/>
      <c r="G1947" s="29" t="n"/>
      <c r="H1947" s="29" t="n"/>
      <c r="I1947" s="29" t="n"/>
      <c r="J1947" s="29" t="n"/>
      <c r="K1947" s="14" t="n"/>
      <c r="L1947" s="29" t="n"/>
      <c r="M1947" s="14" t="n"/>
      <c r="N1947" s="29" t="n"/>
      <c r="O1947" s="13" t="n"/>
      <c r="P1947" s="13" t="n"/>
      <c r="Q1947" s="35" t="n"/>
      <c r="R1947" s="35" t="n"/>
      <c r="S1947" s="35" t="n"/>
      <c r="T1947" s="35" t="n"/>
      <c r="U1947" s="35" t="n"/>
      <c r="V1947" s="18">
        <f>IF(COUNTA($B1947:$R1947)=0,"",ROUND(N($R1947)+N($S1947)+N($T1947)-N($U1947),2))</f>
        <v/>
      </c>
      <c r="W1947" s="18">
        <f>IF(COUNTA($B1947:$R1947)=0,"",IF(OR($X1947="Pago",$X1947="Recebido",$X1947="Cancelado"),0,ROUND(N($Q1947)+N($S1947)+N($T1947)-N($U1947)-N($R1947),2)))</f>
        <v/>
      </c>
      <c r="X1947" s="14" t="n"/>
      <c r="Y1947" s="17">
        <f>IF(COUNTA($B1947:$R1947)=0,"",IF($X1947="Cancelado","Cancelado",IF(OR($X1947="Pago",$X1947="Recebido"),$X1947,IF(OR($X1947="Parcial",N($R1947)&gt;0),"Parcial",IF($C1947="","Sem vencimento",IF($C1947&lt;TODAY(),"Vencido",IF($C1947=TODAY(),"Vence hoje",IF($C1947&lt;=TODAY()+7,"Vence em 7 dias",IF($C1947&lt;=TODAY()+30,"Vence em 30 dias","Futuro")))))))))</f>
        <v/>
      </c>
      <c r="Z1947" s="24">
        <f>IF($B1947="","",MONTH($B1947))</f>
        <v/>
      </c>
      <c r="AA1947" s="24">
        <f>IF($B1947="","",YEAR($B1947))</f>
        <v/>
      </c>
      <c r="AB1947" s="24">
        <f>IF($B1947="","",ISOWEEKNUM($B1947))</f>
        <v/>
      </c>
      <c r="AC1947" s="17">
        <f>IF($B1947="","",CHOOSE(WEEKDAY($B1947,2),"Segunda","Terça","Quarta","Quinta","Sexta","Sábado","Domingo"))</f>
        <v/>
      </c>
      <c r="AD1947" s="17">
        <f>IF($B1947="","",TEXT($B1947,"MM/AAAA"))</f>
        <v/>
      </c>
      <c r="AE1947" s="18">
        <f>IF(COUNTA($B1947:$R1947)=0,"",IF($X1947="Cancelado",0,ROUND(N($Q1947)+N($S1947)+N($T1947)-N($U1947),2)))</f>
        <v/>
      </c>
      <c r="AF1947" s="9">
        <f>IF($G1947="","",IFERROR(INDEX(LINHAS_DRE_PLANO,MATCH($G1947,SUBCATEGORIAS_PLANO,0)),"Não classificado"))</f>
        <v/>
      </c>
      <c r="AG1947" s="17">
        <f>IF($G1947="","",IFERROR(INDEX(TIPOS_FLUXO_PLANO,MATCH($G1947,SUBCATEGORIAS_PLANO,0)),"Não classificado"))</f>
        <v/>
      </c>
      <c r="AH1947" s="9">
        <f>IF($G1947="","",IFERROR(INDEX(GRUPOS_PLANO,MATCH($G1947,SUBCATEGORIAS_PLANO,0)),"Não classificado"))</f>
        <v/>
      </c>
      <c r="AI1947" s="24">
        <f>IF(OR($C1947="",$X1947="Pago",$X1947="Recebido",$X1947="Cancelado"),"",$C1947-TODAY())</f>
        <v/>
      </c>
      <c r="AJ1947" s="24">
        <f>IF(OR($C1947="",$X1947="Pago",$X1947="Recebido",$X1947="Cancelado"),0,MAX(0,TODAY()-$C1947))</f>
        <v/>
      </c>
      <c r="AK1947" s="24">
        <f>IF($D1947="","",$D1947-$B1947)</f>
        <v/>
      </c>
      <c r="AL1947" s="18">
        <f>IF(OR($D1947="",$B1947=""),"",ROUND(N($R1947)*($D1947-$B1947),2))</f>
        <v/>
      </c>
      <c r="AM1947" s="17">
        <f>IF(AND($E1947="Saída",$W1947&gt;0,$C1947&lt;&gt;""),$C1947+ROW()/1000000,"")</f>
        <v/>
      </c>
      <c r="AN1947" s="17">
        <f>IF(AND($E1947="Entrada",$W1947&gt;0,$C1947&lt;&gt;""),$C1947+ROW()/1000000,"")</f>
        <v/>
      </c>
      <c r="AO1947" s="9">
        <f>IF(COUNTA($B1947:$R1947)=0,"",IF(AND($I1947&lt;&gt;"",COUNTIF(CLIENTES_NOMES,$I1947)+COUNTIF(CLIENTES_FANTASIA,$I1947)+COUNTIF(FORNECEDORES_NOMES,$I1947)+COUNTIF(FORNECEDORES_FANTASIA,$I1947)=0),"⚠ Cliente/Fornecedor não cadastrado",IF(AND($G1947&lt;&gt;"",COUNTIF(SUBCATEGORIAS_PLANO,$G1947)=0),"⚠ Subcategoria fora do plano de contas",IF(OR($Q1947="",N($Q1947)=0),"⚠ Valor previsto não informado",IF(AND(OR($X1947="Pago",$X1947="Recebido"),$D1947=""),"⚠ Status pago/recebido sem data",IF(AND($D1947&lt;&gt;"",N($R1947)=0),"⚠ Data de pagamento sem valor realizado",IF(AND(N($P1947)&gt;1,N($O1947)&gt;N($P1947)),"⚠ Nº da parcela maior que o total",IF(AND($C1947&lt;&gt;"",$B1947&lt;&gt;"",$C1947&lt;$B1947),"⚠ Vencimento anterior à competência","OK"))))))))</f>
        <v/>
      </c>
    </row>
    <row r="1948">
      <c r="A1948" s="14" t="n"/>
      <c r="B1948" s="36" t="n"/>
      <c r="C1948" s="36" t="n"/>
      <c r="D1948" s="36" t="n"/>
      <c r="E1948" s="14" t="n"/>
      <c r="F1948" s="29" t="n"/>
      <c r="G1948" s="29" t="n"/>
      <c r="H1948" s="29" t="n"/>
      <c r="I1948" s="29" t="n"/>
      <c r="J1948" s="29" t="n"/>
      <c r="K1948" s="14" t="n"/>
      <c r="L1948" s="29" t="n"/>
      <c r="M1948" s="14" t="n"/>
      <c r="N1948" s="29" t="n"/>
      <c r="O1948" s="13" t="n"/>
      <c r="P1948" s="13" t="n"/>
      <c r="Q1948" s="35" t="n"/>
      <c r="R1948" s="35" t="n"/>
      <c r="S1948" s="35" t="n"/>
      <c r="T1948" s="35" t="n"/>
      <c r="U1948" s="35" t="n"/>
      <c r="V1948" s="18">
        <f>IF(COUNTA($B1948:$R1948)=0,"",ROUND(N($R1948)+N($S1948)+N($T1948)-N($U1948),2))</f>
        <v/>
      </c>
      <c r="W1948" s="18">
        <f>IF(COUNTA($B1948:$R1948)=0,"",IF(OR($X1948="Pago",$X1948="Recebido",$X1948="Cancelado"),0,ROUND(N($Q1948)+N($S1948)+N($T1948)-N($U1948)-N($R1948),2)))</f>
        <v/>
      </c>
      <c r="X1948" s="14" t="n"/>
      <c r="Y1948" s="17">
        <f>IF(COUNTA($B1948:$R1948)=0,"",IF($X1948="Cancelado","Cancelado",IF(OR($X1948="Pago",$X1948="Recebido"),$X1948,IF(OR($X1948="Parcial",N($R1948)&gt;0),"Parcial",IF($C1948="","Sem vencimento",IF($C1948&lt;TODAY(),"Vencido",IF($C1948=TODAY(),"Vence hoje",IF($C1948&lt;=TODAY()+7,"Vence em 7 dias",IF($C1948&lt;=TODAY()+30,"Vence em 30 dias","Futuro")))))))))</f>
        <v/>
      </c>
      <c r="Z1948" s="24">
        <f>IF($B1948="","",MONTH($B1948))</f>
        <v/>
      </c>
      <c r="AA1948" s="24">
        <f>IF($B1948="","",YEAR($B1948))</f>
        <v/>
      </c>
      <c r="AB1948" s="24">
        <f>IF($B1948="","",ISOWEEKNUM($B1948))</f>
        <v/>
      </c>
      <c r="AC1948" s="17">
        <f>IF($B1948="","",CHOOSE(WEEKDAY($B1948,2),"Segunda","Terça","Quarta","Quinta","Sexta","Sábado","Domingo"))</f>
        <v/>
      </c>
      <c r="AD1948" s="17">
        <f>IF($B1948="","",TEXT($B1948,"MM/AAAA"))</f>
        <v/>
      </c>
      <c r="AE1948" s="18">
        <f>IF(COUNTA($B1948:$R1948)=0,"",IF($X1948="Cancelado",0,ROUND(N($Q1948)+N($S1948)+N($T1948)-N($U1948),2)))</f>
        <v/>
      </c>
      <c r="AF1948" s="9">
        <f>IF($G1948="","",IFERROR(INDEX(LINHAS_DRE_PLANO,MATCH($G1948,SUBCATEGORIAS_PLANO,0)),"Não classificado"))</f>
        <v/>
      </c>
      <c r="AG1948" s="17">
        <f>IF($G1948="","",IFERROR(INDEX(TIPOS_FLUXO_PLANO,MATCH($G1948,SUBCATEGORIAS_PLANO,0)),"Não classificado"))</f>
        <v/>
      </c>
      <c r="AH1948" s="9">
        <f>IF($G1948="","",IFERROR(INDEX(GRUPOS_PLANO,MATCH($G1948,SUBCATEGORIAS_PLANO,0)),"Não classificado"))</f>
        <v/>
      </c>
      <c r="AI1948" s="24">
        <f>IF(OR($C1948="",$X1948="Pago",$X1948="Recebido",$X1948="Cancelado"),"",$C1948-TODAY())</f>
        <v/>
      </c>
      <c r="AJ1948" s="24">
        <f>IF(OR($C1948="",$X1948="Pago",$X1948="Recebido",$X1948="Cancelado"),0,MAX(0,TODAY()-$C1948))</f>
        <v/>
      </c>
      <c r="AK1948" s="24">
        <f>IF($D1948="","",$D1948-$B1948)</f>
        <v/>
      </c>
      <c r="AL1948" s="18">
        <f>IF(OR($D1948="",$B1948=""),"",ROUND(N($R1948)*($D1948-$B1948),2))</f>
        <v/>
      </c>
      <c r="AM1948" s="17">
        <f>IF(AND($E1948="Saída",$W1948&gt;0,$C1948&lt;&gt;""),$C1948+ROW()/1000000,"")</f>
        <v/>
      </c>
      <c r="AN1948" s="17">
        <f>IF(AND($E1948="Entrada",$W1948&gt;0,$C1948&lt;&gt;""),$C1948+ROW()/1000000,"")</f>
        <v/>
      </c>
      <c r="AO1948" s="9">
        <f>IF(COUNTA($B1948:$R1948)=0,"",IF(AND($I1948&lt;&gt;"",COUNTIF(CLIENTES_NOMES,$I1948)+COUNTIF(CLIENTES_FANTASIA,$I1948)+COUNTIF(FORNECEDORES_NOMES,$I1948)+COUNTIF(FORNECEDORES_FANTASIA,$I1948)=0),"⚠ Cliente/Fornecedor não cadastrado",IF(AND($G1948&lt;&gt;"",COUNTIF(SUBCATEGORIAS_PLANO,$G1948)=0),"⚠ Subcategoria fora do plano de contas",IF(OR($Q1948="",N($Q1948)=0),"⚠ Valor previsto não informado",IF(AND(OR($X1948="Pago",$X1948="Recebido"),$D1948=""),"⚠ Status pago/recebido sem data",IF(AND($D1948&lt;&gt;"",N($R1948)=0),"⚠ Data de pagamento sem valor realizado",IF(AND(N($P1948)&gt;1,N($O1948)&gt;N($P1948)),"⚠ Nº da parcela maior que o total",IF(AND($C1948&lt;&gt;"",$B1948&lt;&gt;"",$C1948&lt;$B1948),"⚠ Vencimento anterior à competência","OK"))))))))</f>
        <v/>
      </c>
    </row>
    <row r="1949">
      <c r="A1949" s="14" t="n"/>
      <c r="B1949" s="36" t="n"/>
      <c r="C1949" s="36" t="n"/>
      <c r="D1949" s="36" t="n"/>
      <c r="E1949" s="14" t="n"/>
      <c r="F1949" s="29" t="n"/>
      <c r="G1949" s="29" t="n"/>
      <c r="H1949" s="29" t="n"/>
      <c r="I1949" s="29" t="n"/>
      <c r="J1949" s="29" t="n"/>
      <c r="K1949" s="14" t="n"/>
      <c r="L1949" s="29" t="n"/>
      <c r="M1949" s="14" t="n"/>
      <c r="N1949" s="29" t="n"/>
      <c r="O1949" s="13" t="n"/>
      <c r="P1949" s="13" t="n"/>
      <c r="Q1949" s="35" t="n"/>
      <c r="R1949" s="35" t="n"/>
      <c r="S1949" s="35" t="n"/>
      <c r="T1949" s="35" t="n"/>
      <c r="U1949" s="35" t="n"/>
      <c r="V1949" s="18">
        <f>IF(COUNTA($B1949:$R1949)=0,"",ROUND(N($R1949)+N($S1949)+N($T1949)-N($U1949),2))</f>
        <v/>
      </c>
      <c r="W1949" s="18">
        <f>IF(COUNTA($B1949:$R1949)=0,"",IF(OR($X1949="Pago",$X1949="Recebido",$X1949="Cancelado"),0,ROUND(N($Q1949)+N($S1949)+N($T1949)-N($U1949)-N($R1949),2)))</f>
        <v/>
      </c>
      <c r="X1949" s="14" t="n"/>
      <c r="Y1949" s="17">
        <f>IF(COUNTA($B1949:$R1949)=0,"",IF($X1949="Cancelado","Cancelado",IF(OR($X1949="Pago",$X1949="Recebido"),$X1949,IF(OR($X1949="Parcial",N($R1949)&gt;0),"Parcial",IF($C1949="","Sem vencimento",IF($C1949&lt;TODAY(),"Vencido",IF($C1949=TODAY(),"Vence hoje",IF($C1949&lt;=TODAY()+7,"Vence em 7 dias",IF($C1949&lt;=TODAY()+30,"Vence em 30 dias","Futuro")))))))))</f>
        <v/>
      </c>
      <c r="Z1949" s="24">
        <f>IF($B1949="","",MONTH($B1949))</f>
        <v/>
      </c>
      <c r="AA1949" s="24">
        <f>IF($B1949="","",YEAR($B1949))</f>
        <v/>
      </c>
      <c r="AB1949" s="24">
        <f>IF($B1949="","",ISOWEEKNUM($B1949))</f>
        <v/>
      </c>
      <c r="AC1949" s="17">
        <f>IF($B1949="","",CHOOSE(WEEKDAY($B1949,2),"Segunda","Terça","Quarta","Quinta","Sexta","Sábado","Domingo"))</f>
        <v/>
      </c>
      <c r="AD1949" s="17">
        <f>IF($B1949="","",TEXT($B1949,"MM/AAAA"))</f>
        <v/>
      </c>
      <c r="AE1949" s="18">
        <f>IF(COUNTA($B1949:$R1949)=0,"",IF($X1949="Cancelado",0,ROUND(N($Q1949)+N($S1949)+N($T1949)-N($U1949),2)))</f>
        <v/>
      </c>
      <c r="AF1949" s="9">
        <f>IF($G1949="","",IFERROR(INDEX(LINHAS_DRE_PLANO,MATCH($G1949,SUBCATEGORIAS_PLANO,0)),"Não classificado"))</f>
        <v/>
      </c>
      <c r="AG1949" s="17">
        <f>IF($G1949="","",IFERROR(INDEX(TIPOS_FLUXO_PLANO,MATCH($G1949,SUBCATEGORIAS_PLANO,0)),"Não classificado"))</f>
        <v/>
      </c>
      <c r="AH1949" s="9">
        <f>IF($G1949="","",IFERROR(INDEX(GRUPOS_PLANO,MATCH($G1949,SUBCATEGORIAS_PLANO,0)),"Não classificado"))</f>
        <v/>
      </c>
      <c r="AI1949" s="24">
        <f>IF(OR($C1949="",$X1949="Pago",$X1949="Recebido",$X1949="Cancelado"),"",$C1949-TODAY())</f>
        <v/>
      </c>
      <c r="AJ1949" s="24">
        <f>IF(OR($C1949="",$X1949="Pago",$X1949="Recebido",$X1949="Cancelado"),0,MAX(0,TODAY()-$C1949))</f>
        <v/>
      </c>
      <c r="AK1949" s="24">
        <f>IF($D1949="","",$D1949-$B1949)</f>
        <v/>
      </c>
      <c r="AL1949" s="18">
        <f>IF(OR($D1949="",$B1949=""),"",ROUND(N($R1949)*($D1949-$B1949),2))</f>
        <v/>
      </c>
      <c r="AM1949" s="17">
        <f>IF(AND($E1949="Saída",$W1949&gt;0,$C1949&lt;&gt;""),$C1949+ROW()/1000000,"")</f>
        <v/>
      </c>
      <c r="AN1949" s="17">
        <f>IF(AND($E1949="Entrada",$W1949&gt;0,$C1949&lt;&gt;""),$C1949+ROW()/1000000,"")</f>
        <v/>
      </c>
      <c r="AO1949" s="9">
        <f>IF(COUNTA($B1949:$R1949)=0,"",IF(AND($I1949&lt;&gt;"",COUNTIF(CLIENTES_NOMES,$I1949)+COUNTIF(CLIENTES_FANTASIA,$I1949)+COUNTIF(FORNECEDORES_NOMES,$I1949)+COUNTIF(FORNECEDORES_FANTASIA,$I1949)=0),"⚠ Cliente/Fornecedor não cadastrado",IF(AND($G1949&lt;&gt;"",COUNTIF(SUBCATEGORIAS_PLANO,$G1949)=0),"⚠ Subcategoria fora do plano de contas",IF(OR($Q1949="",N($Q1949)=0),"⚠ Valor previsto não informado",IF(AND(OR($X1949="Pago",$X1949="Recebido"),$D1949=""),"⚠ Status pago/recebido sem data",IF(AND($D1949&lt;&gt;"",N($R1949)=0),"⚠ Data de pagamento sem valor realizado",IF(AND(N($P1949)&gt;1,N($O1949)&gt;N($P1949)),"⚠ Nº da parcela maior que o total",IF(AND($C1949&lt;&gt;"",$B1949&lt;&gt;"",$C1949&lt;$B1949),"⚠ Vencimento anterior à competência","OK"))))))))</f>
        <v/>
      </c>
    </row>
    <row r="1950">
      <c r="A1950" s="14" t="n"/>
      <c r="B1950" s="36" t="n"/>
      <c r="C1950" s="36" t="n"/>
      <c r="D1950" s="36" t="n"/>
      <c r="E1950" s="14" t="n"/>
      <c r="F1950" s="29" t="n"/>
      <c r="G1950" s="29" t="n"/>
      <c r="H1950" s="29" t="n"/>
      <c r="I1950" s="29" t="n"/>
      <c r="J1950" s="29" t="n"/>
      <c r="K1950" s="14" t="n"/>
      <c r="L1950" s="29" t="n"/>
      <c r="M1950" s="14" t="n"/>
      <c r="N1950" s="29" t="n"/>
      <c r="O1950" s="13" t="n"/>
      <c r="P1950" s="13" t="n"/>
      <c r="Q1950" s="35" t="n"/>
      <c r="R1950" s="35" t="n"/>
      <c r="S1950" s="35" t="n"/>
      <c r="T1950" s="35" t="n"/>
      <c r="U1950" s="35" t="n"/>
      <c r="V1950" s="18">
        <f>IF(COUNTA($B1950:$R1950)=0,"",ROUND(N($R1950)+N($S1950)+N($T1950)-N($U1950),2))</f>
        <v/>
      </c>
      <c r="W1950" s="18">
        <f>IF(COUNTA($B1950:$R1950)=0,"",IF(OR($X1950="Pago",$X1950="Recebido",$X1950="Cancelado"),0,ROUND(N($Q1950)+N($S1950)+N($T1950)-N($U1950)-N($R1950),2)))</f>
        <v/>
      </c>
      <c r="X1950" s="14" t="n"/>
      <c r="Y1950" s="17">
        <f>IF(COUNTA($B1950:$R1950)=0,"",IF($X1950="Cancelado","Cancelado",IF(OR($X1950="Pago",$X1950="Recebido"),$X1950,IF(OR($X1950="Parcial",N($R1950)&gt;0),"Parcial",IF($C1950="","Sem vencimento",IF($C1950&lt;TODAY(),"Vencido",IF($C1950=TODAY(),"Vence hoje",IF($C1950&lt;=TODAY()+7,"Vence em 7 dias",IF($C1950&lt;=TODAY()+30,"Vence em 30 dias","Futuro")))))))))</f>
        <v/>
      </c>
      <c r="Z1950" s="24">
        <f>IF($B1950="","",MONTH($B1950))</f>
        <v/>
      </c>
      <c r="AA1950" s="24">
        <f>IF($B1950="","",YEAR($B1950))</f>
        <v/>
      </c>
      <c r="AB1950" s="24">
        <f>IF($B1950="","",ISOWEEKNUM($B1950))</f>
        <v/>
      </c>
      <c r="AC1950" s="17">
        <f>IF($B1950="","",CHOOSE(WEEKDAY($B1950,2),"Segunda","Terça","Quarta","Quinta","Sexta","Sábado","Domingo"))</f>
        <v/>
      </c>
      <c r="AD1950" s="17">
        <f>IF($B1950="","",TEXT($B1950,"MM/AAAA"))</f>
        <v/>
      </c>
      <c r="AE1950" s="18">
        <f>IF(COUNTA($B1950:$R1950)=0,"",IF($X1950="Cancelado",0,ROUND(N($Q1950)+N($S1950)+N($T1950)-N($U1950),2)))</f>
        <v/>
      </c>
      <c r="AF1950" s="9">
        <f>IF($G1950="","",IFERROR(INDEX(LINHAS_DRE_PLANO,MATCH($G1950,SUBCATEGORIAS_PLANO,0)),"Não classificado"))</f>
        <v/>
      </c>
      <c r="AG1950" s="17">
        <f>IF($G1950="","",IFERROR(INDEX(TIPOS_FLUXO_PLANO,MATCH($G1950,SUBCATEGORIAS_PLANO,0)),"Não classificado"))</f>
        <v/>
      </c>
      <c r="AH1950" s="9">
        <f>IF($G1950="","",IFERROR(INDEX(GRUPOS_PLANO,MATCH($G1950,SUBCATEGORIAS_PLANO,0)),"Não classificado"))</f>
        <v/>
      </c>
      <c r="AI1950" s="24">
        <f>IF(OR($C1950="",$X1950="Pago",$X1950="Recebido",$X1950="Cancelado"),"",$C1950-TODAY())</f>
        <v/>
      </c>
      <c r="AJ1950" s="24">
        <f>IF(OR($C1950="",$X1950="Pago",$X1950="Recebido",$X1950="Cancelado"),0,MAX(0,TODAY()-$C1950))</f>
        <v/>
      </c>
      <c r="AK1950" s="24">
        <f>IF($D1950="","",$D1950-$B1950)</f>
        <v/>
      </c>
      <c r="AL1950" s="18">
        <f>IF(OR($D1950="",$B1950=""),"",ROUND(N($R1950)*($D1950-$B1950),2))</f>
        <v/>
      </c>
      <c r="AM1950" s="17">
        <f>IF(AND($E1950="Saída",$W1950&gt;0,$C1950&lt;&gt;""),$C1950+ROW()/1000000,"")</f>
        <v/>
      </c>
      <c r="AN1950" s="17">
        <f>IF(AND($E1950="Entrada",$W1950&gt;0,$C1950&lt;&gt;""),$C1950+ROW()/1000000,"")</f>
        <v/>
      </c>
      <c r="AO1950" s="9">
        <f>IF(COUNTA($B1950:$R1950)=0,"",IF(AND($I1950&lt;&gt;"",COUNTIF(CLIENTES_NOMES,$I1950)+COUNTIF(CLIENTES_FANTASIA,$I1950)+COUNTIF(FORNECEDORES_NOMES,$I1950)+COUNTIF(FORNECEDORES_FANTASIA,$I1950)=0),"⚠ Cliente/Fornecedor não cadastrado",IF(AND($G1950&lt;&gt;"",COUNTIF(SUBCATEGORIAS_PLANO,$G1950)=0),"⚠ Subcategoria fora do plano de contas",IF(OR($Q1950="",N($Q1950)=0),"⚠ Valor previsto não informado",IF(AND(OR($X1950="Pago",$X1950="Recebido"),$D1950=""),"⚠ Status pago/recebido sem data",IF(AND($D1950&lt;&gt;"",N($R1950)=0),"⚠ Data de pagamento sem valor realizado",IF(AND(N($P1950)&gt;1,N($O1950)&gt;N($P1950)),"⚠ Nº da parcela maior que o total",IF(AND($C1950&lt;&gt;"",$B1950&lt;&gt;"",$C1950&lt;$B1950),"⚠ Vencimento anterior à competência","OK"))))))))</f>
        <v/>
      </c>
    </row>
    <row r="1951">
      <c r="A1951" s="14" t="n"/>
      <c r="B1951" s="36" t="n"/>
      <c r="C1951" s="36" t="n"/>
      <c r="D1951" s="36" t="n"/>
      <c r="E1951" s="14" t="n"/>
      <c r="F1951" s="29" t="n"/>
      <c r="G1951" s="29" t="n"/>
      <c r="H1951" s="29" t="n"/>
      <c r="I1951" s="29" t="n"/>
      <c r="J1951" s="29" t="n"/>
      <c r="K1951" s="14" t="n"/>
      <c r="L1951" s="29" t="n"/>
      <c r="M1951" s="14" t="n"/>
      <c r="N1951" s="29" t="n"/>
      <c r="O1951" s="13" t="n"/>
      <c r="P1951" s="13" t="n"/>
      <c r="Q1951" s="35" t="n"/>
      <c r="R1951" s="35" t="n"/>
      <c r="S1951" s="35" t="n"/>
      <c r="T1951" s="35" t="n"/>
      <c r="U1951" s="35" t="n"/>
      <c r="V1951" s="18">
        <f>IF(COUNTA($B1951:$R1951)=0,"",ROUND(N($R1951)+N($S1951)+N($T1951)-N($U1951),2))</f>
        <v/>
      </c>
      <c r="W1951" s="18">
        <f>IF(COUNTA($B1951:$R1951)=0,"",IF(OR($X1951="Pago",$X1951="Recebido",$X1951="Cancelado"),0,ROUND(N($Q1951)+N($S1951)+N($T1951)-N($U1951)-N($R1951),2)))</f>
        <v/>
      </c>
      <c r="X1951" s="14" t="n"/>
      <c r="Y1951" s="17">
        <f>IF(COUNTA($B1951:$R1951)=0,"",IF($X1951="Cancelado","Cancelado",IF(OR($X1951="Pago",$X1951="Recebido"),$X1951,IF(OR($X1951="Parcial",N($R1951)&gt;0),"Parcial",IF($C1951="","Sem vencimento",IF($C1951&lt;TODAY(),"Vencido",IF($C1951=TODAY(),"Vence hoje",IF($C1951&lt;=TODAY()+7,"Vence em 7 dias",IF($C1951&lt;=TODAY()+30,"Vence em 30 dias","Futuro")))))))))</f>
        <v/>
      </c>
      <c r="Z1951" s="24">
        <f>IF($B1951="","",MONTH($B1951))</f>
        <v/>
      </c>
      <c r="AA1951" s="24">
        <f>IF($B1951="","",YEAR($B1951))</f>
        <v/>
      </c>
      <c r="AB1951" s="24">
        <f>IF($B1951="","",ISOWEEKNUM($B1951))</f>
        <v/>
      </c>
      <c r="AC1951" s="17">
        <f>IF($B1951="","",CHOOSE(WEEKDAY($B1951,2),"Segunda","Terça","Quarta","Quinta","Sexta","Sábado","Domingo"))</f>
        <v/>
      </c>
      <c r="AD1951" s="17">
        <f>IF($B1951="","",TEXT($B1951,"MM/AAAA"))</f>
        <v/>
      </c>
      <c r="AE1951" s="18">
        <f>IF(COUNTA($B1951:$R1951)=0,"",IF($X1951="Cancelado",0,ROUND(N($Q1951)+N($S1951)+N($T1951)-N($U1951),2)))</f>
        <v/>
      </c>
      <c r="AF1951" s="9">
        <f>IF($G1951="","",IFERROR(INDEX(LINHAS_DRE_PLANO,MATCH($G1951,SUBCATEGORIAS_PLANO,0)),"Não classificado"))</f>
        <v/>
      </c>
      <c r="AG1951" s="17">
        <f>IF($G1951="","",IFERROR(INDEX(TIPOS_FLUXO_PLANO,MATCH($G1951,SUBCATEGORIAS_PLANO,0)),"Não classificado"))</f>
        <v/>
      </c>
      <c r="AH1951" s="9">
        <f>IF($G1951="","",IFERROR(INDEX(GRUPOS_PLANO,MATCH($G1951,SUBCATEGORIAS_PLANO,0)),"Não classificado"))</f>
        <v/>
      </c>
      <c r="AI1951" s="24">
        <f>IF(OR($C1951="",$X1951="Pago",$X1951="Recebido",$X1951="Cancelado"),"",$C1951-TODAY())</f>
        <v/>
      </c>
      <c r="AJ1951" s="24">
        <f>IF(OR($C1951="",$X1951="Pago",$X1951="Recebido",$X1951="Cancelado"),0,MAX(0,TODAY()-$C1951))</f>
        <v/>
      </c>
      <c r="AK1951" s="24">
        <f>IF($D1951="","",$D1951-$B1951)</f>
        <v/>
      </c>
      <c r="AL1951" s="18">
        <f>IF(OR($D1951="",$B1951=""),"",ROUND(N($R1951)*($D1951-$B1951),2))</f>
        <v/>
      </c>
      <c r="AM1951" s="17">
        <f>IF(AND($E1951="Saída",$W1951&gt;0,$C1951&lt;&gt;""),$C1951+ROW()/1000000,"")</f>
        <v/>
      </c>
      <c r="AN1951" s="17">
        <f>IF(AND($E1951="Entrada",$W1951&gt;0,$C1951&lt;&gt;""),$C1951+ROW()/1000000,"")</f>
        <v/>
      </c>
      <c r="AO1951" s="9">
        <f>IF(COUNTA($B1951:$R1951)=0,"",IF(AND($I1951&lt;&gt;"",COUNTIF(CLIENTES_NOMES,$I1951)+COUNTIF(CLIENTES_FANTASIA,$I1951)+COUNTIF(FORNECEDORES_NOMES,$I1951)+COUNTIF(FORNECEDORES_FANTASIA,$I1951)=0),"⚠ Cliente/Fornecedor não cadastrado",IF(AND($G1951&lt;&gt;"",COUNTIF(SUBCATEGORIAS_PLANO,$G1951)=0),"⚠ Subcategoria fora do plano de contas",IF(OR($Q1951="",N($Q1951)=0),"⚠ Valor previsto não informado",IF(AND(OR($X1951="Pago",$X1951="Recebido"),$D1951=""),"⚠ Status pago/recebido sem data",IF(AND($D1951&lt;&gt;"",N($R1951)=0),"⚠ Data de pagamento sem valor realizado",IF(AND(N($P1951)&gt;1,N($O1951)&gt;N($P1951)),"⚠ Nº da parcela maior que o total",IF(AND($C1951&lt;&gt;"",$B1951&lt;&gt;"",$C1951&lt;$B1951),"⚠ Vencimento anterior à competência","OK"))))))))</f>
        <v/>
      </c>
    </row>
    <row r="1952">
      <c r="A1952" s="14" t="n"/>
      <c r="B1952" s="36" t="n"/>
      <c r="C1952" s="36" t="n"/>
      <c r="D1952" s="36" t="n"/>
      <c r="E1952" s="14" t="n"/>
      <c r="F1952" s="29" t="n"/>
      <c r="G1952" s="29" t="n"/>
      <c r="H1952" s="29" t="n"/>
      <c r="I1952" s="29" t="n"/>
      <c r="J1952" s="29" t="n"/>
      <c r="K1952" s="14" t="n"/>
      <c r="L1952" s="29" t="n"/>
      <c r="M1952" s="14" t="n"/>
      <c r="N1952" s="29" t="n"/>
      <c r="O1952" s="13" t="n"/>
      <c r="P1952" s="13" t="n"/>
      <c r="Q1952" s="35" t="n"/>
      <c r="R1952" s="35" t="n"/>
      <c r="S1952" s="35" t="n"/>
      <c r="T1952" s="35" t="n"/>
      <c r="U1952" s="35" t="n"/>
      <c r="V1952" s="18">
        <f>IF(COUNTA($B1952:$R1952)=0,"",ROUND(N($R1952)+N($S1952)+N($T1952)-N($U1952),2))</f>
        <v/>
      </c>
      <c r="W1952" s="18">
        <f>IF(COUNTA($B1952:$R1952)=0,"",IF(OR($X1952="Pago",$X1952="Recebido",$X1952="Cancelado"),0,ROUND(N($Q1952)+N($S1952)+N($T1952)-N($U1952)-N($R1952),2)))</f>
        <v/>
      </c>
      <c r="X1952" s="14" t="n"/>
      <c r="Y1952" s="17">
        <f>IF(COUNTA($B1952:$R1952)=0,"",IF($X1952="Cancelado","Cancelado",IF(OR($X1952="Pago",$X1952="Recebido"),$X1952,IF(OR($X1952="Parcial",N($R1952)&gt;0),"Parcial",IF($C1952="","Sem vencimento",IF($C1952&lt;TODAY(),"Vencido",IF($C1952=TODAY(),"Vence hoje",IF($C1952&lt;=TODAY()+7,"Vence em 7 dias",IF($C1952&lt;=TODAY()+30,"Vence em 30 dias","Futuro")))))))))</f>
        <v/>
      </c>
      <c r="Z1952" s="24">
        <f>IF($B1952="","",MONTH($B1952))</f>
        <v/>
      </c>
      <c r="AA1952" s="24">
        <f>IF($B1952="","",YEAR($B1952))</f>
        <v/>
      </c>
      <c r="AB1952" s="24">
        <f>IF($B1952="","",ISOWEEKNUM($B1952))</f>
        <v/>
      </c>
      <c r="AC1952" s="17">
        <f>IF($B1952="","",CHOOSE(WEEKDAY($B1952,2),"Segunda","Terça","Quarta","Quinta","Sexta","Sábado","Domingo"))</f>
        <v/>
      </c>
      <c r="AD1952" s="17">
        <f>IF($B1952="","",TEXT($B1952,"MM/AAAA"))</f>
        <v/>
      </c>
      <c r="AE1952" s="18">
        <f>IF(COUNTA($B1952:$R1952)=0,"",IF($X1952="Cancelado",0,ROUND(N($Q1952)+N($S1952)+N($T1952)-N($U1952),2)))</f>
        <v/>
      </c>
      <c r="AF1952" s="9">
        <f>IF($G1952="","",IFERROR(INDEX(LINHAS_DRE_PLANO,MATCH($G1952,SUBCATEGORIAS_PLANO,0)),"Não classificado"))</f>
        <v/>
      </c>
      <c r="AG1952" s="17">
        <f>IF($G1952="","",IFERROR(INDEX(TIPOS_FLUXO_PLANO,MATCH($G1952,SUBCATEGORIAS_PLANO,0)),"Não classificado"))</f>
        <v/>
      </c>
      <c r="AH1952" s="9">
        <f>IF($G1952="","",IFERROR(INDEX(GRUPOS_PLANO,MATCH($G1952,SUBCATEGORIAS_PLANO,0)),"Não classificado"))</f>
        <v/>
      </c>
      <c r="AI1952" s="24">
        <f>IF(OR($C1952="",$X1952="Pago",$X1952="Recebido",$X1952="Cancelado"),"",$C1952-TODAY())</f>
        <v/>
      </c>
      <c r="AJ1952" s="24">
        <f>IF(OR($C1952="",$X1952="Pago",$X1952="Recebido",$X1952="Cancelado"),0,MAX(0,TODAY()-$C1952))</f>
        <v/>
      </c>
      <c r="AK1952" s="24">
        <f>IF($D1952="","",$D1952-$B1952)</f>
        <v/>
      </c>
      <c r="AL1952" s="18">
        <f>IF(OR($D1952="",$B1952=""),"",ROUND(N($R1952)*($D1952-$B1952),2))</f>
        <v/>
      </c>
      <c r="AM1952" s="17">
        <f>IF(AND($E1952="Saída",$W1952&gt;0,$C1952&lt;&gt;""),$C1952+ROW()/1000000,"")</f>
        <v/>
      </c>
      <c r="AN1952" s="17">
        <f>IF(AND($E1952="Entrada",$W1952&gt;0,$C1952&lt;&gt;""),$C1952+ROW()/1000000,"")</f>
        <v/>
      </c>
      <c r="AO1952" s="9">
        <f>IF(COUNTA($B1952:$R1952)=0,"",IF(AND($I1952&lt;&gt;"",COUNTIF(CLIENTES_NOMES,$I1952)+COUNTIF(CLIENTES_FANTASIA,$I1952)+COUNTIF(FORNECEDORES_NOMES,$I1952)+COUNTIF(FORNECEDORES_FANTASIA,$I1952)=0),"⚠ Cliente/Fornecedor não cadastrado",IF(AND($G1952&lt;&gt;"",COUNTIF(SUBCATEGORIAS_PLANO,$G1952)=0),"⚠ Subcategoria fora do plano de contas",IF(OR($Q1952="",N($Q1952)=0),"⚠ Valor previsto não informado",IF(AND(OR($X1952="Pago",$X1952="Recebido"),$D1952=""),"⚠ Status pago/recebido sem data",IF(AND($D1952&lt;&gt;"",N($R1952)=0),"⚠ Data de pagamento sem valor realizado",IF(AND(N($P1952)&gt;1,N($O1952)&gt;N($P1952)),"⚠ Nº da parcela maior que o total",IF(AND($C1952&lt;&gt;"",$B1952&lt;&gt;"",$C1952&lt;$B1952),"⚠ Vencimento anterior à competência","OK"))))))))</f>
        <v/>
      </c>
    </row>
    <row r="1953">
      <c r="A1953" s="14" t="n"/>
      <c r="B1953" s="36" t="n"/>
      <c r="C1953" s="36" t="n"/>
      <c r="D1953" s="36" t="n"/>
      <c r="E1953" s="14" t="n"/>
      <c r="F1953" s="29" t="n"/>
      <c r="G1953" s="29" t="n"/>
      <c r="H1953" s="29" t="n"/>
      <c r="I1953" s="29" t="n"/>
      <c r="J1953" s="29" t="n"/>
      <c r="K1953" s="14" t="n"/>
      <c r="L1953" s="29" t="n"/>
      <c r="M1953" s="14" t="n"/>
      <c r="N1953" s="29" t="n"/>
      <c r="O1953" s="13" t="n"/>
      <c r="P1953" s="13" t="n"/>
      <c r="Q1953" s="35" t="n"/>
      <c r="R1953" s="35" t="n"/>
      <c r="S1953" s="35" t="n"/>
      <c r="T1953" s="35" t="n"/>
      <c r="U1953" s="35" t="n"/>
      <c r="V1953" s="18">
        <f>IF(COUNTA($B1953:$R1953)=0,"",ROUND(N($R1953)+N($S1953)+N($T1953)-N($U1953),2))</f>
        <v/>
      </c>
      <c r="W1953" s="18">
        <f>IF(COUNTA($B1953:$R1953)=0,"",IF(OR($X1953="Pago",$X1953="Recebido",$X1953="Cancelado"),0,ROUND(N($Q1953)+N($S1953)+N($T1953)-N($U1953)-N($R1953),2)))</f>
        <v/>
      </c>
      <c r="X1953" s="14" t="n"/>
      <c r="Y1953" s="17">
        <f>IF(COUNTA($B1953:$R1953)=0,"",IF($X1953="Cancelado","Cancelado",IF(OR($X1953="Pago",$X1953="Recebido"),$X1953,IF(OR($X1953="Parcial",N($R1953)&gt;0),"Parcial",IF($C1953="","Sem vencimento",IF($C1953&lt;TODAY(),"Vencido",IF($C1953=TODAY(),"Vence hoje",IF($C1953&lt;=TODAY()+7,"Vence em 7 dias",IF($C1953&lt;=TODAY()+30,"Vence em 30 dias","Futuro")))))))))</f>
        <v/>
      </c>
      <c r="Z1953" s="24">
        <f>IF($B1953="","",MONTH($B1953))</f>
        <v/>
      </c>
      <c r="AA1953" s="24">
        <f>IF($B1953="","",YEAR($B1953))</f>
        <v/>
      </c>
      <c r="AB1953" s="24">
        <f>IF($B1953="","",ISOWEEKNUM($B1953))</f>
        <v/>
      </c>
      <c r="AC1953" s="17">
        <f>IF($B1953="","",CHOOSE(WEEKDAY($B1953,2),"Segunda","Terça","Quarta","Quinta","Sexta","Sábado","Domingo"))</f>
        <v/>
      </c>
      <c r="AD1953" s="17">
        <f>IF($B1953="","",TEXT($B1953,"MM/AAAA"))</f>
        <v/>
      </c>
      <c r="AE1953" s="18">
        <f>IF(COUNTA($B1953:$R1953)=0,"",IF($X1953="Cancelado",0,ROUND(N($Q1953)+N($S1953)+N($T1953)-N($U1953),2)))</f>
        <v/>
      </c>
      <c r="AF1953" s="9">
        <f>IF($G1953="","",IFERROR(INDEX(LINHAS_DRE_PLANO,MATCH($G1953,SUBCATEGORIAS_PLANO,0)),"Não classificado"))</f>
        <v/>
      </c>
      <c r="AG1953" s="17">
        <f>IF($G1953="","",IFERROR(INDEX(TIPOS_FLUXO_PLANO,MATCH($G1953,SUBCATEGORIAS_PLANO,0)),"Não classificado"))</f>
        <v/>
      </c>
      <c r="AH1953" s="9">
        <f>IF($G1953="","",IFERROR(INDEX(GRUPOS_PLANO,MATCH($G1953,SUBCATEGORIAS_PLANO,0)),"Não classificado"))</f>
        <v/>
      </c>
      <c r="AI1953" s="24">
        <f>IF(OR($C1953="",$X1953="Pago",$X1953="Recebido",$X1953="Cancelado"),"",$C1953-TODAY())</f>
        <v/>
      </c>
      <c r="AJ1953" s="24">
        <f>IF(OR($C1953="",$X1953="Pago",$X1953="Recebido",$X1953="Cancelado"),0,MAX(0,TODAY()-$C1953))</f>
        <v/>
      </c>
      <c r="AK1953" s="24">
        <f>IF($D1953="","",$D1953-$B1953)</f>
        <v/>
      </c>
      <c r="AL1953" s="18">
        <f>IF(OR($D1953="",$B1953=""),"",ROUND(N($R1953)*($D1953-$B1953),2))</f>
        <v/>
      </c>
      <c r="AM1953" s="17">
        <f>IF(AND($E1953="Saída",$W1953&gt;0,$C1953&lt;&gt;""),$C1953+ROW()/1000000,"")</f>
        <v/>
      </c>
      <c r="AN1953" s="17">
        <f>IF(AND($E1953="Entrada",$W1953&gt;0,$C1953&lt;&gt;""),$C1953+ROW()/1000000,"")</f>
        <v/>
      </c>
      <c r="AO1953" s="9">
        <f>IF(COUNTA($B1953:$R1953)=0,"",IF(AND($I1953&lt;&gt;"",COUNTIF(CLIENTES_NOMES,$I1953)+COUNTIF(CLIENTES_FANTASIA,$I1953)+COUNTIF(FORNECEDORES_NOMES,$I1953)+COUNTIF(FORNECEDORES_FANTASIA,$I1953)=0),"⚠ Cliente/Fornecedor não cadastrado",IF(AND($G1953&lt;&gt;"",COUNTIF(SUBCATEGORIAS_PLANO,$G1953)=0),"⚠ Subcategoria fora do plano de contas",IF(OR($Q1953="",N($Q1953)=0),"⚠ Valor previsto não informado",IF(AND(OR($X1953="Pago",$X1953="Recebido"),$D1953=""),"⚠ Status pago/recebido sem data",IF(AND($D1953&lt;&gt;"",N($R1953)=0),"⚠ Data de pagamento sem valor realizado",IF(AND(N($P1953)&gt;1,N($O1953)&gt;N($P1953)),"⚠ Nº da parcela maior que o total",IF(AND($C1953&lt;&gt;"",$B1953&lt;&gt;"",$C1953&lt;$B1953),"⚠ Vencimento anterior à competência","OK"))))))))</f>
        <v/>
      </c>
    </row>
    <row r="1954">
      <c r="A1954" s="14" t="n"/>
      <c r="B1954" s="36" t="n"/>
      <c r="C1954" s="36" t="n"/>
      <c r="D1954" s="36" t="n"/>
      <c r="E1954" s="14" t="n"/>
      <c r="F1954" s="29" t="n"/>
      <c r="G1954" s="29" t="n"/>
      <c r="H1954" s="29" t="n"/>
      <c r="I1954" s="29" t="n"/>
      <c r="J1954" s="29" t="n"/>
      <c r="K1954" s="14" t="n"/>
      <c r="L1954" s="29" t="n"/>
      <c r="M1954" s="14" t="n"/>
      <c r="N1954" s="29" t="n"/>
      <c r="O1954" s="13" t="n"/>
      <c r="P1954" s="13" t="n"/>
      <c r="Q1954" s="35" t="n"/>
      <c r="R1954" s="35" t="n"/>
      <c r="S1954" s="35" t="n"/>
      <c r="T1954" s="35" t="n"/>
      <c r="U1954" s="35" t="n"/>
      <c r="V1954" s="18">
        <f>IF(COUNTA($B1954:$R1954)=0,"",ROUND(N($R1954)+N($S1954)+N($T1954)-N($U1954),2))</f>
        <v/>
      </c>
      <c r="W1954" s="18">
        <f>IF(COUNTA($B1954:$R1954)=0,"",IF(OR($X1954="Pago",$X1954="Recebido",$X1954="Cancelado"),0,ROUND(N($Q1954)+N($S1954)+N($T1954)-N($U1954)-N($R1954),2)))</f>
        <v/>
      </c>
      <c r="X1954" s="14" t="n"/>
      <c r="Y1954" s="17">
        <f>IF(COUNTA($B1954:$R1954)=0,"",IF($X1954="Cancelado","Cancelado",IF(OR($X1954="Pago",$X1954="Recebido"),$X1954,IF(OR($X1954="Parcial",N($R1954)&gt;0),"Parcial",IF($C1954="","Sem vencimento",IF($C1954&lt;TODAY(),"Vencido",IF($C1954=TODAY(),"Vence hoje",IF($C1954&lt;=TODAY()+7,"Vence em 7 dias",IF($C1954&lt;=TODAY()+30,"Vence em 30 dias","Futuro")))))))))</f>
        <v/>
      </c>
      <c r="Z1954" s="24">
        <f>IF($B1954="","",MONTH($B1954))</f>
        <v/>
      </c>
      <c r="AA1954" s="24">
        <f>IF($B1954="","",YEAR($B1954))</f>
        <v/>
      </c>
      <c r="AB1954" s="24">
        <f>IF($B1954="","",ISOWEEKNUM($B1954))</f>
        <v/>
      </c>
      <c r="AC1954" s="17">
        <f>IF($B1954="","",CHOOSE(WEEKDAY($B1954,2),"Segunda","Terça","Quarta","Quinta","Sexta","Sábado","Domingo"))</f>
        <v/>
      </c>
      <c r="AD1954" s="17">
        <f>IF($B1954="","",TEXT($B1954,"MM/AAAA"))</f>
        <v/>
      </c>
      <c r="AE1954" s="18">
        <f>IF(COUNTA($B1954:$R1954)=0,"",IF($X1954="Cancelado",0,ROUND(N($Q1954)+N($S1954)+N($T1954)-N($U1954),2)))</f>
        <v/>
      </c>
      <c r="AF1954" s="9">
        <f>IF($G1954="","",IFERROR(INDEX(LINHAS_DRE_PLANO,MATCH($G1954,SUBCATEGORIAS_PLANO,0)),"Não classificado"))</f>
        <v/>
      </c>
      <c r="AG1954" s="17">
        <f>IF($G1954="","",IFERROR(INDEX(TIPOS_FLUXO_PLANO,MATCH($G1954,SUBCATEGORIAS_PLANO,0)),"Não classificado"))</f>
        <v/>
      </c>
      <c r="AH1954" s="9">
        <f>IF($G1954="","",IFERROR(INDEX(GRUPOS_PLANO,MATCH($G1954,SUBCATEGORIAS_PLANO,0)),"Não classificado"))</f>
        <v/>
      </c>
      <c r="AI1954" s="24">
        <f>IF(OR($C1954="",$X1954="Pago",$X1954="Recebido",$X1954="Cancelado"),"",$C1954-TODAY())</f>
        <v/>
      </c>
      <c r="AJ1954" s="24">
        <f>IF(OR($C1954="",$X1954="Pago",$X1954="Recebido",$X1954="Cancelado"),0,MAX(0,TODAY()-$C1954))</f>
        <v/>
      </c>
      <c r="AK1954" s="24">
        <f>IF($D1954="","",$D1954-$B1954)</f>
        <v/>
      </c>
      <c r="AL1954" s="18">
        <f>IF(OR($D1954="",$B1954=""),"",ROUND(N($R1954)*($D1954-$B1954),2))</f>
        <v/>
      </c>
      <c r="AM1954" s="17">
        <f>IF(AND($E1954="Saída",$W1954&gt;0,$C1954&lt;&gt;""),$C1954+ROW()/1000000,"")</f>
        <v/>
      </c>
      <c r="AN1954" s="17">
        <f>IF(AND($E1954="Entrada",$W1954&gt;0,$C1954&lt;&gt;""),$C1954+ROW()/1000000,"")</f>
        <v/>
      </c>
      <c r="AO1954" s="9">
        <f>IF(COUNTA($B1954:$R1954)=0,"",IF(AND($I1954&lt;&gt;"",COUNTIF(CLIENTES_NOMES,$I1954)+COUNTIF(CLIENTES_FANTASIA,$I1954)+COUNTIF(FORNECEDORES_NOMES,$I1954)+COUNTIF(FORNECEDORES_FANTASIA,$I1954)=0),"⚠ Cliente/Fornecedor não cadastrado",IF(AND($G1954&lt;&gt;"",COUNTIF(SUBCATEGORIAS_PLANO,$G1954)=0),"⚠ Subcategoria fora do plano de contas",IF(OR($Q1954="",N($Q1954)=0),"⚠ Valor previsto não informado",IF(AND(OR($X1954="Pago",$X1954="Recebido"),$D1954=""),"⚠ Status pago/recebido sem data",IF(AND($D1954&lt;&gt;"",N($R1954)=0),"⚠ Data de pagamento sem valor realizado",IF(AND(N($P1954)&gt;1,N($O1954)&gt;N($P1954)),"⚠ Nº da parcela maior que o total",IF(AND($C1954&lt;&gt;"",$B1954&lt;&gt;"",$C1954&lt;$B1954),"⚠ Vencimento anterior à competência","OK"))))))))</f>
        <v/>
      </c>
    </row>
    <row r="1955">
      <c r="A1955" s="14" t="n"/>
      <c r="B1955" s="36" t="n"/>
      <c r="C1955" s="36" t="n"/>
      <c r="D1955" s="36" t="n"/>
      <c r="E1955" s="14" t="n"/>
      <c r="F1955" s="29" t="n"/>
      <c r="G1955" s="29" t="n"/>
      <c r="H1955" s="29" t="n"/>
      <c r="I1955" s="29" t="n"/>
      <c r="J1955" s="29" t="n"/>
      <c r="K1955" s="14" t="n"/>
      <c r="L1955" s="29" t="n"/>
      <c r="M1955" s="14" t="n"/>
      <c r="N1955" s="29" t="n"/>
      <c r="O1955" s="13" t="n"/>
      <c r="P1955" s="13" t="n"/>
      <c r="Q1955" s="35" t="n"/>
      <c r="R1955" s="35" t="n"/>
      <c r="S1955" s="35" t="n"/>
      <c r="T1955" s="35" t="n"/>
      <c r="U1955" s="35" t="n"/>
      <c r="V1955" s="18">
        <f>IF(COUNTA($B1955:$R1955)=0,"",ROUND(N($R1955)+N($S1955)+N($T1955)-N($U1955),2))</f>
        <v/>
      </c>
      <c r="W1955" s="18">
        <f>IF(COUNTA($B1955:$R1955)=0,"",IF(OR($X1955="Pago",$X1955="Recebido",$X1955="Cancelado"),0,ROUND(N($Q1955)+N($S1955)+N($T1955)-N($U1955)-N($R1955),2)))</f>
        <v/>
      </c>
      <c r="X1955" s="14" t="n"/>
      <c r="Y1955" s="17">
        <f>IF(COUNTA($B1955:$R1955)=0,"",IF($X1955="Cancelado","Cancelado",IF(OR($X1955="Pago",$X1955="Recebido"),$X1955,IF(OR($X1955="Parcial",N($R1955)&gt;0),"Parcial",IF($C1955="","Sem vencimento",IF($C1955&lt;TODAY(),"Vencido",IF($C1955=TODAY(),"Vence hoje",IF($C1955&lt;=TODAY()+7,"Vence em 7 dias",IF($C1955&lt;=TODAY()+30,"Vence em 30 dias","Futuro")))))))))</f>
        <v/>
      </c>
      <c r="Z1955" s="24">
        <f>IF($B1955="","",MONTH($B1955))</f>
        <v/>
      </c>
      <c r="AA1955" s="24">
        <f>IF($B1955="","",YEAR($B1955))</f>
        <v/>
      </c>
      <c r="AB1955" s="24">
        <f>IF($B1955="","",ISOWEEKNUM($B1955))</f>
        <v/>
      </c>
      <c r="AC1955" s="17">
        <f>IF($B1955="","",CHOOSE(WEEKDAY($B1955,2),"Segunda","Terça","Quarta","Quinta","Sexta","Sábado","Domingo"))</f>
        <v/>
      </c>
      <c r="AD1955" s="17">
        <f>IF($B1955="","",TEXT($B1955,"MM/AAAA"))</f>
        <v/>
      </c>
      <c r="AE1955" s="18">
        <f>IF(COUNTA($B1955:$R1955)=0,"",IF($X1955="Cancelado",0,ROUND(N($Q1955)+N($S1955)+N($T1955)-N($U1955),2)))</f>
        <v/>
      </c>
      <c r="AF1955" s="9">
        <f>IF($G1955="","",IFERROR(INDEX(LINHAS_DRE_PLANO,MATCH($G1955,SUBCATEGORIAS_PLANO,0)),"Não classificado"))</f>
        <v/>
      </c>
      <c r="AG1955" s="17">
        <f>IF($G1955="","",IFERROR(INDEX(TIPOS_FLUXO_PLANO,MATCH($G1955,SUBCATEGORIAS_PLANO,0)),"Não classificado"))</f>
        <v/>
      </c>
      <c r="AH1955" s="9">
        <f>IF($G1955="","",IFERROR(INDEX(GRUPOS_PLANO,MATCH($G1955,SUBCATEGORIAS_PLANO,0)),"Não classificado"))</f>
        <v/>
      </c>
      <c r="AI1955" s="24">
        <f>IF(OR($C1955="",$X1955="Pago",$X1955="Recebido",$X1955="Cancelado"),"",$C1955-TODAY())</f>
        <v/>
      </c>
      <c r="AJ1955" s="24">
        <f>IF(OR($C1955="",$X1955="Pago",$X1955="Recebido",$X1955="Cancelado"),0,MAX(0,TODAY()-$C1955))</f>
        <v/>
      </c>
      <c r="AK1955" s="24">
        <f>IF($D1955="","",$D1955-$B1955)</f>
        <v/>
      </c>
      <c r="AL1955" s="18">
        <f>IF(OR($D1955="",$B1955=""),"",ROUND(N($R1955)*($D1955-$B1955),2))</f>
        <v/>
      </c>
      <c r="AM1955" s="17">
        <f>IF(AND($E1955="Saída",$W1955&gt;0,$C1955&lt;&gt;""),$C1955+ROW()/1000000,"")</f>
        <v/>
      </c>
      <c r="AN1955" s="17">
        <f>IF(AND($E1955="Entrada",$W1955&gt;0,$C1955&lt;&gt;""),$C1955+ROW()/1000000,"")</f>
        <v/>
      </c>
      <c r="AO1955" s="9">
        <f>IF(COUNTA($B1955:$R1955)=0,"",IF(AND($I1955&lt;&gt;"",COUNTIF(CLIENTES_NOMES,$I1955)+COUNTIF(CLIENTES_FANTASIA,$I1955)+COUNTIF(FORNECEDORES_NOMES,$I1955)+COUNTIF(FORNECEDORES_FANTASIA,$I1955)=0),"⚠ Cliente/Fornecedor não cadastrado",IF(AND($G1955&lt;&gt;"",COUNTIF(SUBCATEGORIAS_PLANO,$G1955)=0),"⚠ Subcategoria fora do plano de contas",IF(OR($Q1955="",N($Q1955)=0),"⚠ Valor previsto não informado",IF(AND(OR($X1955="Pago",$X1955="Recebido"),$D1955=""),"⚠ Status pago/recebido sem data",IF(AND($D1955&lt;&gt;"",N($R1955)=0),"⚠ Data de pagamento sem valor realizado",IF(AND(N($P1955)&gt;1,N($O1955)&gt;N($P1955)),"⚠ Nº da parcela maior que o total",IF(AND($C1955&lt;&gt;"",$B1955&lt;&gt;"",$C1955&lt;$B1955),"⚠ Vencimento anterior à competência","OK"))))))))</f>
        <v/>
      </c>
    </row>
    <row r="1956">
      <c r="A1956" s="14" t="n"/>
      <c r="B1956" s="36" t="n"/>
      <c r="C1956" s="36" t="n"/>
      <c r="D1956" s="36" t="n"/>
      <c r="E1956" s="14" t="n"/>
      <c r="F1956" s="29" t="n"/>
      <c r="G1956" s="29" t="n"/>
      <c r="H1956" s="29" t="n"/>
      <c r="I1956" s="29" t="n"/>
      <c r="J1956" s="29" t="n"/>
      <c r="K1956" s="14" t="n"/>
      <c r="L1956" s="29" t="n"/>
      <c r="M1956" s="14" t="n"/>
      <c r="N1956" s="29" t="n"/>
      <c r="O1956" s="13" t="n"/>
      <c r="P1956" s="13" t="n"/>
      <c r="Q1956" s="35" t="n"/>
      <c r="R1956" s="35" t="n"/>
      <c r="S1956" s="35" t="n"/>
      <c r="T1956" s="35" t="n"/>
      <c r="U1956" s="35" t="n"/>
      <c r="V1956" s="18">
        <f>IF(COUNTA($B1956:$R1956)=0,"",ROUND(N($R1956)+N($S1956)+N($T1956)-N($U1956),2))</f>
        <v/>
      </c>
      <c r="W1956" s="18">
        <f>IF(COUNTA($B1956:$R1956)=0,"",IF(OR($X1956="Pago",$X1956="Recebido",$X1956="Cancelado"),0,ROUND(N($Q1956)+N($S1956)+N($T1956)-N($U1956)-N($R1956),2)))</f>
        <v/>
      </c>
      <c r="X1956" s="14" t="n"/>
      <c r="Y1956" s="17">
        <f>IF(COUNTA($B1956:$R1956)=0,"",IF($X1956="Cancelado","Cancelado",IF(OR($X1956="Pago",$X1956="Recebido"),$X1956,IF(OR($X1956="Parcial",N($R1956)&gt;0),"Parcial",IF($C1956="","Sem vencimento",IF($C1956&lt;TODAY(),"Vencido",IF($C1956=TODAY(),"Vence hoje",IF($C1956&lt;=TODAY()+7,"Vence em 7 dias",IF($C1956&lt;=TODAY()+30,"Vence em 30 dias","Futuro")))))))))</f>
        <v/>
      </c>
      <c r="Z1956" s="24">
        <f>IF($B1956="","",MONTH($B1956))</f>
        <v/>
      </c>
      <c r="AA1956" s="24">
        <f>IF($B1956="","",YEAR($B1956))</f>
        <v/>
      </c>
      <c r="AB1956" s="24">
        <f>IF($B1956="","",ISOWEEKNUM($B1956))</f>
        <v/>
      </c>
      <c r="AC1956" s="17">
        <f>IF($B1956="","",CHOOSE(WEEKDAY($B1956,2),"Segunda","Terça","Quarta","Quinta","Sexta","Sábado","Domingo"))</f>
        <v/>
      </c>
      <c r="AD1956" s="17">
        <f>IF($B1956="","",TEXT($B1956,"MM/AAAA"))</f>
        <v/>
      </c>
      <c r="AE1956" s="18">
        <f>IF(COUNTA($B1956:$R1956)=0,"",IF($X1956="Cancelado",0,ROUND(N($Q1956)+N($S1956)+N($T1956)-N($U1956),2)))</f>
        <v/>
      </c>
      <c r="AF1956" s="9">
        <f>IF($G1956="","",IFERROR(INDEX(LINHAS_DRE_PLANO,MATCH($G1956,SUBCATEGORIAS_PLANO,0)),"Não classificado"))</f>
        <v/>
      </c>
      <c r="AG1956" s="17">
        <f>IF($G1956="","",IFERROR(INDEX(TIPOS_FLUXO_PLANO,MATCH($G1956,SUBCATEGORIAS_PLANO,0)),"Não classificado"))</f>
        <v/>
      </c>
      <c r="AH1956" s="9">
        <f>IF($G1956="","",IFERROR(INDEX(GRUPOS_PLANO,MATCH($G1956,SUBCATEGORIAS_PLANO,0)),"Não classificado"))</f>
        <v/>
      </c>
      <c r="AI1956" s="24">
        <f>IF(OR($C1956="",$X1956="Pago",$X1956="Recebido",$X1956="Cancelado"),"",$C1956-TODAY())</f>
        <v/>
      </c>
      <c r="AJ1956" s="24">
        <f>IF(OR($C1956="",$X1956="Pago",$X1956="Recebido",$X1956="Cancelado"),0,MAX(0,TODAY()-$C1956))</f>
        <v/>
      </c>
      <c r="AK1956" s="24">
        <f>IF($D1956="","",$D1956-$B1956)</f>
        <v/>
      </c>
      <c r="AL1956" s="18">
        <f>IF(OR($D1956="",$B1956=""),"",ROUND(N($R1956)*($D1956-$B1956),2))</f>
        <v/>
      </c>
      <c r="AM1956" s="17">
        <f>IF(AND($E1956="Saída",$W1956&gt;0,$C1956&lt;&gt;""),$C1956+ROW()/1000000,"")</f>
        <v/>
      </c>
      <c r="AN1956" s="17">
        <f>IF(AND($E1956="Entrada",$W1956&gt;0,$C1956&lt;&gt;""),$C1956+ROW()/1000000,"")</f>
        <v/>
      </c>
      <c r="AO1956" s="9">
        <f>IF(COUNTA($B1956:$R1956)=0,"",IF(AND($I1956&lt;&gt;"",COUNTIF(CLIENTES_NOMES,$I1956)+COUNTIF(CLIENTES_FANTASIA,$I1956)+COUNTIF(FORNECEDORES_NOMES,$I1956)+COUNTIF(FORNECEDORES_FANTASIA,$I1956)=0),"⚠ Cliente/Fornecedor não cadastrado",IF(AND($G1956&lt;&gt;"",COUNTIF(SUBCATEGORIAS_PLANO,$G1956)=0),"⚠ Subcategoria fora do plano de contas",IF(OR($Q1956="",N($Q1956)=0),"⚠ Valor previsto não informado",IF(AND(OR($X1956="Pago",$X1956="Recebido"),$D1956=""),"⚠ Status pago/recebido sem data",IF(AND($D1956&lt;&gt;"",N($R1956)=0),"⚠ Data de pagamento sem valor realizado",IF(AND(N($P1956)&gt;1,N($O1956)&gt;N($P1956)),"⚠ Nº da parcela maior que o total",IF(AND($C1956&lt;&gt;"",$B1956&lt;&gt;"",$C1956&lt;$B1956),"⚠ Vencimento anterior à competência","OK"))))))))</f>
        <v/>
      </c>
    </row>
    <row r="1957">
      <c r="A1957" s="14" t="n"/>
      <c r="B1957" s="36" t="n"/>
      <c r="C1957" s="36" t="n"/>
      <c r="D1957" s="36" t="n"/>
      <c r="E1957" s="14" t="n"/>
      <c r="F1957" s="29" t="n"/>
      <c r="G1957" s="29" t="n"/>
      <c r="H1957" s="29" t="n"/>
      <c r="I1957" s="29" t="n"/>
      <c r="J1957" s="29" t="n"/>
      <c r="K1957" s="14" t="n"/>
      <c r="L1957" s="29" t="n"/>
      <c r="M1957" s="14" t="n"/>
      <c r="N1957" s="29" t="n"/>
      <c r="O1957" s="13" t="n"/>
      <c r="P1957" s="13" t="n"/>
      <c r="Q1957" s="35" t="n"/>
      <c r="R1957" s="35" t="n"/>
      <c r="S1957" s="35" t="n"/>
      <c r="T1957" s="35" t="n"/>
      <c r="U1957" s="35" t="n"/>
      <c r="V1957" s="18">
        <f>IF(COUNTA($B1957:$R1957)=0,"",ROUND(N($R1957)+N($S1957)+N($T1957)-N($U1957),2))</f>
        <v/>
      </c>
      <c r="W1957" s="18">
        <f>IF(COUNTA($B1957:$R1957)=0,"",IF(OR($X1957="Pago",$X1957="Recebido",$X1957="Cancelado"),0,ROUND(N($Q1957)+N($S1957)+N($T1957)-N($U1957)-N($R1957),2)))</f>
        <v/>
      </c>
      <c r="X1957" s="14" t="n"/>
      <c r="Y1957" s="17">
        <f>IF(COUNTA($B1957:$R1957)=0,"",IF($X1957="Cancelado","Cancelado",IF(OR($X1957="Pago",$X1957="Recebido"),$X1957,IF(OR($X1957="Parcial",N($R1957)&gt;0),"Parcial",IF($C1957="","Sem vencimento",IF($C1957&lt;TODAY(),"Vencido",IF($C1957=TODAY(),"Vence hoje",IF($C1957&lt;=TODAY()+7,"Vence em 7 dias",IF($C1957&lt;=TODAY()+30,"Vence em 30 dias","Futuro")))))))))</f>
        <v/>
      </c>
      <c r="Z1957" s="24">
        <f>IF($B1957="","",MONTH($B1957))</f>
        <v/>
      </c>
      <c r="AA1957" s="24">
        <f>IF($B1957="","",YEAR($B1957))</f>
        <v/>
      </c>
      <c r="AB1957" s="24">
        <f>IF($B1957="","",ISOWEEKNUM($B1957))</f>
        <v/>
      </c>
      <c r="AC1957" s="17">
        <f>IF($B1957="","",CHOOSE(WEEKDAY($B1957,2),"Segunda","Terça","Quarta","Quinta","Sexta","Sábado","Domingo"))</f>
        <v/>
      </c>
      <c r="AD1957" s="17">
        <f>IF($B1957="","",TEXT($B1957,"MM/AAAA"))</f>
        <v/>
      </c>
      <c r="AE1957" s="18">
        <f>IF(COUNTA($B1957:$R1957)=0,"",IF($X1957="Cancelado",0,ROUND(N($Q1957)+N($S1957)+N($T1957)-N($U1957),2)))</f>
        <v/>
      </c>
      <c r="AF1957" s="9">
        <f>IF($G1957="","",IFERROR(INDEX(LINHAS_DRE_PLANO,MATCH($G1957,SUBCATEGORIAS_PLANO,0)),"Não classificado"))</f>
        <v/>
      </c>
      <c r="AG1957" s="17">
        <f>IF($G1957="","",IFERROR(INDEX(TIPOS_FLUXO_PLANO,MATCH($G1957,SUBCATEGORIAS_PLANO,0)),"Não classificado"))</f>
        <v/>
      </c>
      <c r="AH1957" s="9">
        <f>IF($G1957="","",IFERROR(INDEX(GRUPOS_PLANO,MATCH($G1957,SUBCATEGORIAS_PLANO,0)),"Não classificado"))</f>
        <v/>
      </c>
      <c r="AI1957" s="24">
        <f>IF(OR($C1957="",$X1957="Pago",$X1957="Recebido",$X1957="Cancelado"),"",$C1957-TODAY())</f>
        <v/>
      </c>
      <c r="AJ1957" s="24">
        <f>IF(OR($C1957="",$X1957="Pago",$X1957="Recebido",$X1957="Cancelado"),0,MAX(0,TODAY()-$C1957))</f>
        <v/>
      </c>
      <c r="AK1957" s="24">
        <f>IF($D1957="","",$D1957-$B1957)</f>
        <v/>
      </c>
      <c r="AL1957" s="18">
        <f>IF(OR($D1957="",$B1957=""),"",ROUND(N($R1957)*($D1957-$B1957),2))</f>
        <v/>
      </c>
      <c r="AM1957" s="17">
        <f>IF(AND($E1957="Saída",$W1957&gt;0,$C1957&lt;&gt;""),$C1957+ROW()/1000000,"")</f>
        <v/>
      </c>
      <c r="AN1957" s="17">
        <f>IF(AND($E1957="Entrada",$W1957&gt;0,$C1957&lt;&gt;""),$C1957+ROW()/1000000,"")</f>
        <v/>
      </c>
      <c r="AO1957" s="9">
        <f>IF(COUNTA($B1957:$R1957)=0,"",IF(AND($I1957&lt;&gt;"",COUNTIF(CLIENTES_NOMES,$I1957)+COUNTIF(CLIENTES_FANTASIA,$I1957)+COUNTIF(FORNECEDORES_NOMES,$I1957)+COUNTIF(FORNECEDORES_FANTASIA,$I1957)=0),"⚠ Cliente/Fornecedor não cadastrado",IF(AND($G1957&lt;&gt;"",COUNTIF(SUBCATEGORIAS_PLANO,$G1957)=0),"⚠ Subcategoria fora do plano de contas",IF(OR($Q1957="",N($Q1957)=0),"⚠ Valor previsto não informado",IF(AND(OR($X1957="Pago",$X1957="Recebido"),$D1957=""),"⚠ Status pago/recebido sem data",IF(AND($D1957&lt;&gt;"",N($R1957)=0),"⚠ Data de pagamento sem valor realizado",IF(AND(N($P1957)&gt;1,N($O1957)&gt;N($P1957)),"⚠ Nº da parcela maior que o total",IF(AND($C1957&lt;&gt;"",$B1957&lt;&gt;"",$C1957&lt;$B1957),"⚠ Vencimento anterior à competência","OK"))))))))</f>
        <v/>
      </c>
    </row>
    <row r="1958">
      <c r="A1958" s="14" t="n"/>
      <c r="B1958" s="36" t="n"/>
      <c r="C1958" s="36" t="n"/>
      <c r="D1958" s="36" t="n"/>
      <c r="E1958" s="14" t="n"/>
      <c r="F1958" s="29" t="n"/>
      <c r="G1958" s="29" t="n"/>
      <c r="H1958" s="29" t="n"/>
      <c r="I1958" s="29" t="n"/>
      <c r="J1958" s="29" t="n"/>
      <c r="K1958" s="14" t="n"/>
      <c r="L1958" s="29" t="n"/>
      <c r="M1958" s="14" t="n"/>
      <c r="N1958" s="29" t="n"/>
      <c r="O1958" s="13" t="n"/>
      <c r="P1958" s="13" t="n"/>
      <c r="Q1958" s="35" t="n"/>
      <c r="R1958" s="35" t="n"/>
      <c r="S1958" s="35" t="n"/>
      <c r="T1958" s="35" t="n"/>
      <c r="U1958" s="35" t="n"/>
      <c r="V1958" s="18">
        <f>IF(COUNTA($B1958:$R1958)=0,"",ROUND(N($R1958)+N($S1958)+N($T1958)-N($U1958),2))</f>
        <v/>
      </c>
      <c r="W1958" s="18">
        <f>IF(COUNTA($B1958:$R1958)=0,"",IF(OR($X1958="Pago",$X1958="Recebido",$X1958="Cancelado"),0,ROUND(N($Q1958)+N($S1958)+N($T1958)-N($U1958)-N($R1958),2)))</f>
        <v/>
      </c>
      <c r="X1958" s="14" t="n"/>
      <c r="Y1958" s="17">
        <f>IF(COUNTA($B1958:$R1958)=0,"",IF($X1958="Cancelado","Cancelado",IF(OR($X1958="Pago",$X1958="Recebido"),$X1958,IF(OR($X1958="Parcial",N($R1958)&gt;0),"Parcial",IF($C1958="","Sem vencimento",IF($C1958&lt;TODAY(),"Vencido",IF($C1958=TODAY(),"Vence hoje",IF($C1958&lt;=TODAY()+7,"Vence em 7 dias",IF($C1958&lt;=TODAY()+30,"Vence em 30 dias","Futuro")))))))))</f>
        <v/>
      </c>
      <c r="Z1958" s="24">
        <f>IF($B1958="","",MONTH($B1958))</f>
        <v/>
      </c>
      <c r="AA1958" s="24">
        <f>IF($B1958="","",YEAR($B1958))</f>
        <v/>
      </c>
      <c r="AB1958" s="24">
        <f>IF($B1958="","",ISOWEEKNUM($B1958))</f>
        <v/>
      </c>
      <c r="AC1958" s="17">
        <f>IF($B1958="","",CHOOSE(WEEKDAY($B1958,2),"Segunda","Terça","Quarta","Quinta","Sexta","Sábado","Domingo"))</f>
        <v/>
      </c>
      <c r="AD1958" s="17">
        <f>IF($B1958="","",TEXT($B1958,"MM/AAAA"))</f>
        <v/>
      </c>
      <c r="AE1958" s="18">
        <f>IF(COUNTA($B1958:$R1958)=0,"",IF($X1958="Cancelado",0,ROUND(N($Q1958)+N($S1958)+N($T1958)-N($U1958),2)))</f>
        <v/>
      </c>
      <c r="AF1958" s="9">
        <f>IF($G1958="","",IFERROR(INDEX(LINHAS_DRE_PLANO,MATCH($G1958,SUBCATEGORIAS_PLANO,0)),"Não classificado"))</f>
        <v/>
      </c>
      <c r="AG1958" s="17">
        <f>IF($G1958="","",IFERROR(INDEX(TIPOS_FLUXO_PLANO,MATCH($G1958,SUBCATEGORIAS_PLANO,0)),"Não classificado"))</f>
        <v/>
      </c>
      <c r="AH1958" s="9">
        <f>IF($G1958="","",IFERROR(INDEX(GRUPOS_PLANO,MATCH($G1958,SUBCATEGORIAS_PLANO,0)),"Não classificado"))</f>
        <v/>
      </c>
      <c r="AI1958" s="24">
        <f>IF(OR($C1958="",$X1958="Pago",$X1958="Recebido",$X1958="Cancelado"),"",$C1958-TODAY())</f>
        <v/>
      </c>
      <c r="AJ1958" s="24">
        <f>IF(OR($C1958="",$X1958="Pago",$X1958="Recebido",$X1958="Cancelado"),0,MAX(0,TODAY()-$C1958))</f>
        <v/>
      </c>
      <c r="AK1958" s="24">
        <f>IF($D1958="","",$D1958-$B1958)</f>
        <v/>
      </c>
      <c r="AL1958" s="18">
        <f>IF(OR($D1958="",$B1958=""),"",ROUND(N($R1958)*($D1958-$B1958),2))</f>
        <v/>
      </c>
      <c r="AM1958" s="17">
        <f>IF(AND($E1958="Saída",$W1958&gt;0,$C1958&lt;&gt;""),$C1958+ROW()/1000000,"")</f>
        <v/>
      </c>
      <c r="AN1958" s="17">
        <f>IF(AND($E1958="Entrada",$W1958&gt;0,$C1958&lt;&gt;""),$C1958+ROW()/1000000,"")</f>
        <v/>
      </c>
      <c r="AO1958" s="9">
        <f>IF(COUNTA($B1958:$R1958)=0,"",IF(AND($I1958&lt;&gt;"",COUNTIF(CLIENTES_NOMES,$I1958)+COUNTIF(CLIENTES_FANTASIA,$I1958)+COUNTIF(FORNECEDORES_NOMES,$I1958)+COUNTIF(FORNECEDORES_FANTASIA,$I1958)=0),"⚠ Cliente/Fornecedor não cadastrado",IF(AND($G1958&lt;&gt;"",COUNTIF(SUBCATEGORIAS_PLANO,$G1958)=0),"⚠ Subcategoria fora do plano de contas",IF(OR($Q1958="",N($Q1958)=0),"⚠ Valor previsto não informado",IF(AND(OR($X1958="Pago",$X1958="Recebido"),$D1958=""),"⚠ Status pago/recebido sem data",IF(AND($D1958&lt;&gt;"",N($R1958)=0),"⚠ Data de pagamento sem valor realizado",IF(AND(N($P1958)&gt;1,N($O1958)&gt;N($P1958)),"⚠ Nº da parcela maior que o total",IF(AND($C1958&lt;&gt;"",$B1958&lt;&gt;"",$C1958&lt;$B1958),"⚠ Vencimento anterior à competência","OK"))))))))</f>
        <v/>
      </c>
    </row>
    <row r="1959">
      <c r="A1959" s="14" t="n"/>
      <c r="B1959" s="36" t="n"/>
      <c r="C1959" s="36" t="n"/>
      <c r="D1959" s="36" t="n"/>
      <c r="E1959" s="14" t="n"/>
      <c r="F1959" s="29" t="n"/>
      <c r="G1959" s="29" t="n"/>
      <c r="H1959" s="29" t="n"/>
      <c r="I1959" s="29" t="n"/>
      <c r="J1959" s="29" t="n"/>
      <c r="K1959" s="14" t="n"/>
      <c r="L1959" s="29" t="n"/>
      <c r="M1959" s="14" t="n"/>
      <c r="N1959" s="29" t="n"/>
      <c r="O1959" s="13" t="n"/>
      <c r="P1959" s="13" t="n"/>
      <c r="Q1959" s="35" t="n"/>
      <c r="R1959" s="35" t="n"/>
      <c r="S1959" s="35" t="n"/>
      <c r="T1959" s="35" t="n"/>
      <c r="U1959" s="35" t="n"/>
      <c r="V1959" s="18">
        <f>IF(COUNTA($B1959:$R1959)=0,"",ROUND(N($R1959)+N($S1959)+N($T1959)-N($U1959),2))</f>
        <v/>
      </c>
      <c r="W1959" s="18">
        <f>IF(COUNTA($B1959:$R1959)=0,"",IF(OR($X1959="Pago",$X1959="Recebido",$X1959="Cancelado"),0,ROUND(N($Q1959)+N($S1959)+N($T1959)-N($U1959)-N($R1959),2)))</f>
        <v/>
      </c>
      <c r="X1959" s="14" t="n"/>
      <c r="Y1959" s="17">
        <f>IF(COUNTA($B1959:$R1959)=0,"",IF($X1959="Cancelado","Cancelado",IF(OR($X1959="Pago",$X1959="Recebido"),$X1959,IF(OR($X1959="Parcial",N($R1959)&gt;0),"Parcial",IF($C1959="","Sem vencimento",IF($C1959&lt;TODAY(),"Vencido",IF($C1959=TODAY(),"Vence hoje",IF($C1959&lt;=TODAY()+7,"Vence em 7 dias",IF($C1959&lt;=TODAY()+30,"Vence em 30 dias","Futuro")))))))))</f>
        <v/>
      </c>
      <c r="Z1959" s="24">
        <f>IF($B1959="","",MONTH($B1959))</f>
        <v/>
      </c>
      <c r="AA1959" s="24">
        <f>IF($B1959="","",YEAR($B1959))</f>
        <v/>
      </c>
      <c r="AB1959" s="24">
        <f>IF($B1959="","",ISOWEEKNUM($B1959))</f>
        <v/>
      </c>
      <c r="AC1959" s="17">
        <f>IF($B1959="","",CHOOSE(WEEKDAY($B1959,2),"Segunda","Terça","Quarta","Quinta","Sexta","Sábado","Domingo"))</f>
        <v/>
      </c>
      <c r="AD1959" s="17">
        <f>IF($B1959="","",TEXT($B1959,"MM/AAAA"))</f>
        <v/>
      </c>
      <c r="AE1959" s="18">
        <f>IF(COUNTA($B1959:$R1959)=0,"",IF($X1959="Cancelado",0,ROUND(N($Q1959)+N($S1959)+N($T1959)-N($U1959),2)))</f>
        <v/>
      </c>
      <c r="AF1959" s="9">
        <f>IF($G1959="","",IFERROR(INDEX(LINHAS_DRE_PLANO,MATCH($G1959,SUBCATEGORIAS_PLANO,0)),"Não classificado"))</f>
        <v/>
      </c>
      <c r="AG1959" s="17">
        <f>IF($G1959="","",IFERROR(INDEX(TIPOS_FLUXO_PLANO,MATCH($G1959,SUBCATEGORIAS_PLANO,0)),"Não classificado"))</f>
        <v/>
      </c>
      <c r="AH1959" s="9">
        <f>IF($G1959="","",IFERROR(INDEX(GRUPOS_PLANO,MATCH($G1959,SUBCATEGORIAS_PLANO,0)),"Não classificado"))</f>
        <v/>
      </c>
      <c r="AI1959" s="24">
        <f>IF(OR($C1959="",$X1959="Pago",$X1959="Recebido",$X1959="Cancelado"),"",$C1959-TODAY())</f>
        <v/>
      </c>
      <c r="AJ1959" s="24">
        <f>IF(OR($C1959="",$X1959="Pago",$X1959="Recebido",$X1959="Cancelado"),0,MAX(0,TODAY()-$C1959))</f>
        <v/>
      </c>
      <c r="AK1959" s="24">
        <f>IF($D1959="","",$D1959-$B1959)</f>
        <v/>
      </c>
      <c r="AL1959" s="18">
        <f>IF(OR($D1959="",$B1959=""),"",ROUND(N($R1959)*($D1959-$B1959),2))</f>
        <v/>
      </c>
      <c r="AM1959" s="17">
        <f>IF(AND($E1959="Saída",$W1959&gt;0,$C1959&lt;&gt;""),$C1959+ROW()/1000000,"")</f>
        <v/>
      </c>
      <c r="AN1959" s="17">
        <f>IF(AND($E1959="Entrada",$W1959&gt;0,$C1959&lt;&gt;""),$C1959+ROW()/1000000,"")</f>
        <v/>
      </c>
      <c r="AO1959" s="9">
        <f>IF(COUNTA($B1959:$R1959)=0,"",IF(AND($I1959&lt;&gt;"",COUNTIF(CLIENTES_NOMES,$I1959)+COUNTIF(CLIENTES_FANTASIA,$I1959)+COUNTIF(FORNECEDORES_NOMES,$I1959)+COUNTIF(FORNECEDORES_FANTASIA,$I1959)=0),"⚠ Cliente/Fornecedor não cadastrado",IF(AND($G1959&lt;&gt;"",COUNTIF(SUBCATEGORIAS_PLANO,$G1959)=0),"⚠ Subcategoria fora do plano de contas",IF(OR($Q1959="",N($Q1959)=0),"⚠ Valor previsto não informado",IF(AND(OR($X1959="Pago",$X1959="Recebido"),$D1959=""),"⚠ Status pago/recebido sem data",IF(AND($D1959&lt;&gt;"",N($R1959)=0),"⚠ Data de pagamento sem valor realizado",IF(AND(N($P1959)&gt;1,N($O1959)&gt;N($P1959)),"⚠ Nº da parcela maior que o total",IF(AND($C1959&lt;&gt;"",$B1959&lt;&gt;"",$C1959&lt;$B1959),"⚠ Vencimento anterior à competência","OK"))))))))</f>
        <v/>
      </c>
    </row>
    <row r="1960">
      <c r="A1960" s="14" t="n"/>
      <c r="B1960" s="36" t="n"/>
      <c r="C1960" s="36" t="n"/>
      <c r="D1960" s="36" t="n"/>
      <c r="E1960" s="14" t="n"/>
      <c r="F1960" s="29" t="n"/>
      <c r="G1960" s="29" t="n"/>
      <c r="H1960" s="29" t="n"/>
      <c r="I1960" s="29" t="n"/>
      <c r="J1960" s="29" t="n"/>
      <c r="K1960" s="14" t="n"/>
      <c r="L1960" s="29" t="n"/>
      <c r="M1960" s="14" t="n"/>
      <c r="N1960" s="29" t="n"/>
      <c r="O1960" s="13" t="n"/>
      <c r="P1960" s="13" t="n"/>
      <c r="Q1960" s="35" t="n"/>
      <c r="R1960" s="35" t="n"/>
      <c r="S1960" s="35" t="n"/>
      <c r="T1960" s="35" t="n"/>
      <c r="U1960" s="35" t="n"/>
      <c r="V1960" s="18">
        <f>IF(COUNTA($B1960:$R1960)=0,"",ROUND(N($R1960)+N($S1960)+N($T1960)-N($U1960),2))</f>
        <v/>
      </c>
      <c r="W1960" s="18">
        <f>IF(COUNTA($B1960:$R1960)=0,"",IF(OR($X1960="Pago",$X1960="Recebido",$X1960="Cancelado"),0,ROUND(N($Q1960)+N($S1960)+N($T1960)-N($U1960)-N($R1960),2)))</f>
        <v/>
      </c>
      <c r="X1960" s="14" t="n"/>
      <c r="Y1960" s="17">
        <f>IF(COUNTA($B1960:$R1960)=0,"",IF($X1960="Cancelado","Cancelado",IF(OR($X1960="Pago",$X1960="Recebido"),$X1960,IF(OR($X1960="Parcial",N($R1960)&gt;0),"Parcial",IF($C1960="","Sem vencimento",IF($C1960&lt;TODAY(),"Vencido",IF($C1960=TODAY(),"Vence hoje",IF($C1960&lt;=TODAY()+7,"Vence em 7 dias",IF($C1960&lt;=TODAY()+30,"Vence em 30 dias","Futuro")))))))))</f>
        <v/>
      </c>
      <c r="Z1960" s="24">
        <f>IF($B1960="","",MONTH($B1960))</f>
        <v/>
      </c>
      <c r="AA1960" s="24">
        <f>IF($B1960="","",YEAR($B1960))</f>
        <v/>
      </c>
      <c r="AB1960" s="24">
        <f>IF($B1960="","",ISOWEEKNUM($B1960))</f>
        <v/>
      </c>
      <c r="AC1960" s="17">
        <f>IF($B1960="","",CHOOSE(WEEKDAY($B1960,2),"Segunda","Terça","Quarta","Quinta","Sexta","Sábado","Domingo"))</f>
        <v/>
      </c>
      <c r="AD1960" s="17">
        <f>IF($B1960="","",TEXT($B1960,"MM/AAAA"))</f>
        <v/>
      </c>
      <c r="AE1960" s="18">
        <f>IF(COUNTA($B1960:$R1960)=0,"",IF($X1960="Cancelado",0,ROUND(N($Q1960)+N($S1960)+N($T1960)-N($U1960),2)))</f>
        <v/>
      </c>
      <c r="AF1960" s="9">
        <f>IF($G1960="","",IFERROR(INDEX(LINHAS_DRE_PLANO,MATCH($G1960,SUBCATEGORIAS_PLANO,0)),"Não classificado"))</f>
        <v/>
      </c>
      <c r="AG1960" s="17">
        <f>IF($G1960="","",IFERROR(INDEX(TIPOS_FLUXO_PLANO,MATCH($G1960,SUBCATEGORIAS_PLANO,0)),"Não classificado"))</f>
        <v/>
      </c>
      <c r="AH1960" s="9">
        <f>IF($G1960="","",IFERROR(INDEX(GRUPOS_PLANO,MATCH($G1960,SUBCATEGORIAS_PLANO,0)),"Não classificado"))</f>
        <v/>
      </c>
      <c r="AI1960" s="24">
        <f>IF(OR($C1960="",$X1960="Pago",$X1960="Recebido",$X1960="Cancelado"),"",$C1960-TODAY())</f>
        <v/>
      </c>
      <c r="AJ1960" s="24">
        <f>IF(OR($C1960="",$X1960="Pago",$X1960="Recebido",$X1960="Cancelado"),0,MAX(0,TODAY()-$C1960))</f>
        <v/>
      </c>
      <c r="AK1960" s="24">
        <f>IF($D1960="","",$D1960-$B1960)</f>
        <v/>
      </c>
      <c r="AL1960" s="18">
        <f>IF(OR($D1960="",$B1960=""),"",ROUND(N($R1960)*($D1960-$B1960),2))</f>
        <v/>
      </c>
      <c r="AM1960" s="17">
        <f>IF(AND($E1960="Saída",$W1960&gt;0,$C1960&lt;&gt;""),$C1960+ROW()/1000000,"")</f>
        <v/>
      </c>
      <c r="AN1960" s="17">
        <f>IF(AND($E1960="Entrada",$W1960&gt;0,$C1960&lt;&gt;""),$C1960+ROW()/1000000,"")</f>
        <v/>
      </c>
      <c r="AO1960" s="9">
        <f>IF(COUNTA($B1960:$R1960)=0,"",IF(AND($I1960&lt;&gt;"",COUNTIF(CLIENTES_NOMES,$I1960)+COUNTIF(CLIENTES_FANTASIA,$I1960)+COUNTIF(FORNECEDORES_NOMES,$I1960)+COUNTIF(FORNECEDORES_FANTASIA,$I1960)=0),"⚠ Cliente/Fornecedor não cadastrado",IF(AND($G1960&lt;&gt;"",COUNTIF(SUBCATEGORIAS_PLANO,$G1960)=0),"⚠ Subcategoria fora do plano de contas",IF(OR($Q1960="",N($Q1960)=0),"⚠ Valor previsto não informado",IF(AND(OR($X1960="Pago",$X1960="Recebido"),$D1960=""),"⚠ Status pago/recebido sem data",IF(AND($D1960&lt;&gt;"",N($R1960)=0),"⚠ Data de pagamento sem valor realizado",IF(AND(N($P1960)&gt;1,N($O1960)&gt;N($P1960)),"⚠ Nº da parcela maior que o total",IF(AND($C1960&lt;&gt;"",$B1960&lt;&gt;"",$C1960&lt;$B1960),"⚠ Vencimento anterior à competência","OK"))))))))</f>
        <v/>
      </c>
    </row>
    <row r="1961">
      <c r="A1961" s="14" t="n"/>
      <c r="B1961" s="36" t="n"/>
      <c r="C1961" s="36" t="n"/>
      <c r="D1961" s="36" t="n"/>
      <c r="E1961" s="14" t="n"/>
      <c r="F1961" s="29" t="n"/>
      <c r="G1961" s="29" t="n"/>
      <c r="H1961" s="29" t="n"/>
      <c r="I1961" s="29" t="n"/>
      <c r="J1961" s="29" t="n"/>
      <c r="K1961" s="14" t="n"/>
      <c r="L1961" s="29" t="n"/>
      <c r="M1961" s="14" t="n"/>
      <c r="N1961" s="29" t="n"/>
      <c r="O1961" s="13" t="n"/>
      <c r="P1961" s="13" t="n"/>
      <c r="Q1961" s="35" t="n"/>
      <c r="R1961" s="35" t="n"/>
      <c r="S1961" s="35" t="n"/>
      <c r="T1961" s="35" t="n"/>
      <c r="U1961" s="35" t="n"/>
      <c r="V1961" s="18">
        <f>IF(COUNTA($B1961:$R1961)=0,"",ROUND(N($R1961)+N($S1961)+N($T1961)-N($U1961),2))</f>
        <v/>
      </c>
      <c r="W1961" s="18">
        <f>IF(COUNTA($B1961:$R1961)=0,"",IF(OR($X1961="Pago",$X1961="Recebido",$X1961="Cancelado"),0,ROUND(N($Q1961)+N($S1961)+N($T1961)-N($U1961)-N($R1961),2)))</f>
        <v/>
      </c>
      <c r="X1961" s="14" t="n"/>
      <c r="Y1961" s="17">
        <f>IF(COUNTA($B1961:$R1961)=0,"",IF($X1961="Cancelado","Cancelado",IF(OR($X1961="Pago",$X1961="Recebido"),$X1961,IF(OR($X1961="Parcial",N($R1961)&gt;0),"Parcial",IF($C1961="","Sem vencimento",IF($C1961&lt;TODAY(),"Vencido",IF($C1961=TODAY(),"Vence hoje",IF($C1961&lt;=TODAY()+7,"Vence em 7 dias",IF($C1961&lt;=TODAY()+30,"Vence em 30 dias","Futuro")))))))))</f>
        <v/>
      </c>
      <c r="Z1961" s="24">
        <f>IF($B1961="","",MONTH($B1961))</f>
        <v/>
      </c>
      <c r="AA1961" s="24">
        <f>IF($B1961="","",YEAR($B1961))</f>
        <v/>
      </c>
      <c r="AB1961" s="24">
        <f>IF($B1961="","",ISOWEEKNUM($B1961))</f>
        <v/>
      </c>
      <c r="AC1961" s="17">
        <f>IF($B1961="","",CHOOSE(WEEKDAY($B1961,2),"Segunda","Terça","Quarta","Quinta","Sexta","Sábado","Domingo"))</f>
        <v/>
      </c>
      <c r="AD1961" s="17">
        <f>IF($B1961="","",TEXT($B1961,"MM/AAAA"))</f>
        <v/>
      </c>
      <c r="AE1961" s="18">
        <f>IF(COUNTA($B1961:$R1961)=0,"",IF($X1961="Cancelado",0,ROUND(N($Q1961)+N($S1961)+N($T1961)-N($U1961),2)))</f>
        <v/>
      </c>
      <c r="AF1961" s="9">
        <f>IF($G1961="","",IFERROR(INDEX(LINHAS_DRE_PLANO,MATCH($G1961,SUBCATEGORIAS_PLANO,0)),"Não classificado"))</f>
        <v/>
      </c>
      <c r="AG1961" s="17">
        <f>IF($G1961="","",IFERROR(INDEX(TIPOS_FLUXO_PLANO,MATCH($G1961,SUBCATEGORIAS_PLANO,0)),"Não classificado"))</f>
        <v/>
      </c>
      <c r="AH1961" s="9">
        <f>IF($G1961="","",IFERROR(INDEX(GRUPOS_PLANO,MATCH($G1961,SUBCATEGORIAS_PLANO,0)),"Não classificado"))</f>
        <v/>
      </c>
      <c r="AI1961" s="24">
        <f>IF(OR($C1961="",$X1961="Pago",$X1961="Recebido",$X1961="Cancelado"),"",$C1961-TODAY())</f>
        <v/>
      </c>
      <c r="AJ1961" s="24">
        <f>IF(OR($C1961="",$X1961="Pago",$X1961="Recebido",$X1961="Cancelado"),0,MAX(0,TODAY()-$C1961))</f>
        <v/>
      </c>
      <c r="AK1961" s="24">
        <f>IF($D1961="","",$D1961-$B1961)</f>
        <v/>
      </c>
      <c r="AL1961" s="18">
        <f>IF(OR($D1961="",$B1961=""),"",ROUND(N($R1961)*($D1961-$B1961),2))</f>
        <v/>
      </c>
      <c r="AM1961" s="17">
        <f>IF(AND($E1961="Saída",$W1961&gt;0,$C1961&lt;&gt;""),$C1961+ROW()/1000000,"")</f>
        <v/>
      </c>
      <c r="AN1961" s="17">
        <f>IF(AND($E1961="Entrada",$W1961&gt;0,$C1961&lt;&gt;""),$C1961+ROW()/1000000,"")</f>
        <v/>
      </c>
      <c r="AO1961" s="9">
        <f>IF(COUNTA($B1961:$R1961)=0,"",IF(AND($I1961&lt;&gt;"",COUNTIF(CLIENTES_NOMES,$I1961)+COUNTIF(CLIENTES_FANTASIA,$I1961)+COUNTIF(FORNECEDORES_NOMES,$I1961)+COUNTIF(FORNECEDORES_FANTASIA,$I1961)=0),"⚠ Cliente/Fornecedor não cadastrado",IF(AND($G1961&lt;&gt;"",COUNTIF(SUBCATEGORIAS_PLANO,$G1961)=0),"⚠ Subcategoria fora do plano de contas",IF(OR($Q1961="",N($Q1961)=0),"⚠ Valor previsto não informado",IF(AND(OR($X1961="Pago",$X1961="Recebido"),$D1961=""),"⚠ Status pago/recebido sem data",IF(AND($D1961&lt;&gt;"",N($R1961)=0),"⚠ Data de pagamento sem valor realizado",IF(AND(N($P1961)&gt;1,N($O1961)&gt;N($P1961)),"⚠ Nº da parcela maior que o total",IF(AND($C1961&lt;&gt;"",$B1961&lt;&gt;"",$C1961&lt;$B1961),"⚠ Vencimento anterior à competência","OK"))))))))</f>
        <v/>
      </c>
    </row>
    <row r="1962">
      <c r="A1962" s="14" t="n"/>
      <c r="B1962" s="36" t="n"/>
      <c r="C1962" s="36" t="n"/>
      <c r="D1962" s="36" t="n"/>
      <c r="E1962" s="14" t="n"/>
      <c r="F1962" s="29" t="n"/>
      <c r="G1962" s="29" t="n"/>
      <c r="H1962" s="29" t="n"/>
      <c r="I1962" s="29" t="n"/>
      <c r="J1962" s="29" t="n"/>
      <c r="K1962" s="14" t="n"/>
      <c r="L1962" s="29" t="n"/>
      <c r="M1962" s="14" t="n"/>
      <c r="N1962" s="29" t="n"/>
      <c r="O1962" s="13" t="n"/>
      <c r="P1962" s="13" t="n"/>
      <c r="Q1962" s="35" t="n"/>
      <c r="R1962" s="35" t="n"/>
      <c r="S1962" s="35" t="n"/>
      <c r="T1962" s="35" t="n"/>
      <c r="U1962" s="35" t="n"/>
      <c r="V1962" s="18">
        <f>IF(COUNTA($B1962:$R1962)=0,"",ROUND(N($R1962)+N($S1962)+N($T1962)-N($U1962),2))</f>
        <v/>
      </c>
      <c r="W1962" s="18">
        <f>IF(COUNTA($B1962:$R1962)=0,"",IF(OR($X1962="Pago",$X1962="Recebido",$X1962="Cancelado"),0,ROUND(N($Q1962)+N($S1962)+N($T1962)-N($U1962)-N($R1962),2)))</f>
        <v/>
      </c>
      <c r="X1962" s="14" t="n"/>
      <c r="Y1962" s="17">
        <f>IF(COUNTA($B1962:$R1962)=0,"",IF($X1962="Cancelado","Cancelado",IF(OR($X1962="Pago",$X1962="Recebido"),$X1962,IF(OR($X1962="Parcial",N($R1962)&gt;0),"Parcial",IF($C1962="","Sem vencimento",IF($C1962&lt;TODAY(),"Vencido",IF($C1962=TODAY(),"Vence hoje",IF($C1962&lt;=TODAY()+7,"Vence em 7 dias",IF($C1962&lt;=TODAY()+30,"Vence em 30 dias","Futuro")))))))))</f>
        <v/>
      </c>
      <c r="Z1962" s="24">
        <f>IF($B1962="","",MONTH($B1962))</f>
        <v/>
      </c>
      <c r="AA1962" s="24">
        <f>IF($B1962="","",YEAR($B1962))</f>
        <v/>
      </c>
      <c r="AB1962" s="24">
        <f>IF($B1962="","",ISOWEEKNUM($B1962))</f>
        <v/>
      </c>
      <c r="AC1962" s="17">
        <f>IF($B1962="","",CHOOSE(WEEKDAY($B1962,2),"Segunda","Terça","Quarta","Quinta","Sexta","Sábado","Domingo"))</f>
        <v/>
      </c>
      <c r="AD1962" s="17">
        <f>IF($B1962="","",TEXT($B1962,"MM/AAAA"))</f>
        <v/>
      </c>
      <c r="AE1962" s="18">
        <f>IF(COUNTA($B1962:$R1962)=0,"",IF($X1962="Cancelado",0,ROUND(N($Q1962)+N($S1962)+N($T1962)-N($U1962),2)))</f>
        <v/>
      </c>
      <c r="AF1962" s="9">
        <f>IF($G1962="","",IFERROR(INDEX(LINHAS_DRE_PLANO,MATCH($G1962,SUBCATEGORIAS_PLANO,0)),"Não classificado"))</f>
        <v/>
      </c>
      <c r="AG1962" s="17">
        <f>IF($G1962="","",IFERROR(INDEX(TIPOS_FLUXO_PLANO,MATCH($G1962,SUBCATEGORIAS_PLANO,0)),"Não classificado"))</f>
        <v/>
      </c>
      <c r="AH1962" s="9">
        <f>IF($G1962="","",IFERROR(INDEX(GRUPOS_PLANO,MATCH($G1962,SUBCATEGORIAS_PLANO,0)),"Não classificado"))</f>
        <v/>
      </c>
      <c r="AI1962" s="24">
        <f>IF(OR($C1962="",$X1962="Pago",$X1962="Recebido",$X1962="Cancelado"),"",$C1962-TODAY())</f>
        <v/>
      </c>
      <c r="AJ1962" s="24">
        <f>IF(OR($C1962="",$X1962="Pago",$X1962="Recebido",$X1962="Cancelado"),0,MAX(0,TODAY()-$C1962))</f>
        <v/>
      </c>
      <c r="AK1962" s="24">
        <f>IF($D1962="","",$D1962-$B1962)</f>
        <v/>
      </c>
      <c r="AL1962" s="18">
        <f>IF(OR($D1962="",$B1962=""),"",ROUND(N($R1962)*($D1962-$B1962),2))</f>
        <v/>
      </c>
      <c r="AM1962" s="17">
        <f>IF(AND($E1962="Saída",$W1962&gt;0,$C1962&lt;&gt;""),$C1962+ROW()/1000000,"")</f>
        <v/>
      </c>
      <c r="AN1962" s="17">
        <f>IF(AND($E1962="Entrada",$W1962&gt;0,$C1962&lt;&gt;""),$C1962+ROW()/1000000,"")</f>
        <v/>
      </c>
      <c r="AO1962" s="9">
        <f>IF(COUNTA($B1962:$R1962)=0,"",IF(AND($I1962&lt;&gt;"",COUNTIF(CLIENTES_NOMES,$I1962)+COUNTIF(CLIENTES_FANTASIA,$I1962)+COUNTIF(FORNECEDORES_NOMES,$I1962)+COUNTIF(FORNECEDORES_FANTASIA,$I1962)=0),"⚠ Cliente/Fornecedor não cadastrado",IF(AND($G1962&lt;&gt;"",COUNTIF(SUBCATEGORIAS_PLANO,$G1962)=0),"⚠ Subcategoria fora do plano de contas",IF(OR($Q1962="",N($Q1962)=0),"⚠ Valor previsto não informado",IF(AND(OR($X1962="Pago",$X1962="Recebido"),$D1962=""),"⚠ Status pago/recebido sem data",IF(AND($D1962&lt;&gt;"",N($R1962)=0),"⚠ Data de pagamento sem valor realizado",IF(AND(N($P1962)&gt;1,N($O1962)&gt;N($P1962)),"⚠ Nº da parcela maior que o total",IF(AND($C1962&lt;&gt;"",$B1962&lt;&gt;"",$C1962&lt;$B1962),"⚠ Vencimento anterior à competência","OK"))))))))</f>
        <v/>
      </c>
    </row>
    <row r="1963">
      <c r="A1963" s="14" t="n"/>
      <c r="B1963" s="36" t="n"/>
      <c r="C1963" s="36" t="n"/>
      <c r="D1963" s="36" t="n"/>
      <c r="E1963" s="14" t="n"/>
      <c r="F1963" s="29" t="n"/>
      <c r="G1963" s="29" t="n"/>
      <c r="H1963" s="29" t="n"/>
      <c r="I1963" s="29" t="n"/>
      <c r="J1963" s="29" t="n"/>
      <c r="K1963" s="14" t="n"/>
      <c r="L1963" s="29" t="n"/>
      <c r="M1963" s="14" t="n"/>
      <c r="N1963" s="29" t="n"/>
      <c r="O1963" s="13" t="n"/>
      <c r="P1963" s="13" t="n"/>
      <c r="Q1963" s="35" t="n"/>
      <c r="R1963" s="35" t="n"/>
      <c r="S1963" s="35" t="n"/>
      <c r="T1963" s="35" t="n"/>
      <c r="U1963" s="35" t="n"/>
      <c r="V1963" s="18">
        <f>IF(COUNTA($B1963:$R1963)=0,"",ROUND(N($R1963)+N($S1963)+N($T1963)-N($U1963),2))</f>
        <v/>
      </c>
      <c r="W1963" s="18">
        <f>IF(COUNTA($B1963:$R1963)=0,"",IF(OR($X1963="Pago",$X1963="Recebido",$X1963="Cancelado"),0,ROUND(N($Q1963)+N($S1963)+N($T1963)-N($U1963)-N($R1963),2)))</f>
        <v/>
      </c>
      <c r="X1963" s="14" t="n"/>
      <c r="Y1963" s="17">
        <f>IF(COUNTA($B1963:$R1963)=0,"",IF($X1963="Cancelado","Cancelado",IF(OR($X1963="Pago",$X1963="Recebido"),$X1963,IF(OR($X1963="Parcial",N($R1963)&gt;0),"Parcial",IF($C1963="","Sem vencimento",IF($C1963&lt;TODAY(),"Vencido",IF($C1963=TODAY(),"Vence hoje",IF($C1963&lt;=TODAY()+7,"Vence em 7 dias",IF($C1963&lt;=TODAY()+30,"Vence em 30 dias","Futuro")))))))))</f>
        <v/>
      </c>
      <c r="Z1963" s="24">
        <f>IF($B1963="","",MONTH($B1963))</f>
        <v/>
      </c>
      <c r="AA1963" s="24">
        <f>IF($B1963="","",YEAR($B1963))</f>
        <v/>
      </c>
      <c r="AB1963" s="24">
        <f>IF($B1963="","",ISOWEEKNUM($B1963))</f>
        <v/>
      </c>
      <c r="AC1963" s="17">
        <f>IF($B1963="","",CHOOSE(WEEKDAY($B1963,2),"Segunda","Terça","Quarta","Quinta","Sexta","Sábado","Domingo"))</f>
        <v/>
      </c>
      <c r="AD1963" s="17">
        <f>IF($B1963="","",TEXT($B1963,"MM/AAAA"))</f>
        <v/>
      </c>
      <c r="AE1963" s="18">
        <f>IF(COUNTA($B1963:$R1963)=0,"",IF($X1963="Cancelado",0,ROUND(N($Q1963)+N($S1963)+N($T1963)-N($U1963),2)))</f>
        <v/>
      </c>
      <c r="AF1963" s="9">
        <f>IF($G1963="","",IFERROR(INDEX(LINHAS_DRE_PLANO,MATCH($G1963,SUBCATEGORIAS_PLANO,0)),"Não classificado"))</f>
        <v/>
      </c>
      <c r="AG1963" s="17">
        <f>IF($G1963="","",IFERROR(INDEX(TIPOS_FLUXO_PLANO,MATCH($G1963,SUBCATEGORIAS_PLANO,0)),"Não classificado"))</f>
        <v/>
      </c>
      <c r="AH1963" s="9">
        <f>IF($G1963="","",IFERROR(INDEX(GRUPOS_PLANO,MATCH($G1963,SUBCATEGORIAS_PLANO,0)),"Não classificado"))</f>
        <v/>
      </c>
      <c r="AI1963" s="24">
        <f>IF(OR($C1963="",$X1963="Pago",$X1963="Recebido",$X1963="Cancelado"),"",$C1963-TODAY())</f>
        <v/>
      </c>
      <c r="AJ1963" s="24">
        <f>IF(OR($C1963="",$X1963="Pago",$X1963="Recebido",$X1963="Cancelado"),0,MAX(0,TODAY()-$C1963))</f>
        <v/>
      </c>
      <c r="AK1963" s="24">
        <f>IF($D1963="","",$D1963-$B1963)</f>
        <v/>
      </c>
      <c r="AL1963" s="18">
        <f>IF(OR($D1963="",$B1963=""),"",ROUND(N($R1963)*($D1963-$B1963),2))</f>
        <v/>
      </c>
      <c r="AM1963" s="17">
        <f>IF(AND($E1963="Saída",$W1963&gt;0,$C1963&lt;&gt;""),$C1963+ROW()/1000000,"")</f>
        <v/>
      </c>
      <c r="AN1963" s="17">
        <f>IF(AND($E1963="Entrada",$W1963&gt;0,$C1963&lt;&gt;""),$C1963+ROW()/1000000,"")</f>
        <v/>
      </c>
      <c r="AO1963" s="9">
        <f>IF(COUNTA($B1963:$R1963)=0,"",IF(AND($I1963&lt;&gt;"",COUNTIF(CLIENTES_NOMES,$I1963)+COUNTIF(CLIENTES_FANTASIA,$I1963)+COUNTIF(FORNECEDORES_NOMES,$I1963)+COUNTIF(FORNECEDORES_FANTASIA,$I1963)=0),"⚠ Cliente/Fornecedor não cadastrado",IF(AND($G1963&lt;&gt;"",COUNTIF(SUBCATEGORIAS_PLANO,$G1963)=0),"⚠ Subcategoria fora do plano de contas",IF(OR($Q1963="",N($Q1963)=0),"⚠ Valor previsto não informado",IF(AND(OR($X1963="Pago",$X1963="Recebido"),$D1963=""),"⚠ Status pago/recebido sem data",IF(AND($D1963&lt;&gt;"",N($R1963)=0),"⚠ Data de pagamento sem valor realizado",IF(AND(N($P1963)&gt;1,N($O1963)&gt;N($P1963)),"⚠ Nº da parcela maior que o total",IF(AND($C1963&lt;&gt;"",$B1963&lt;&gt;"",$C1963&lt;$B1963),"⚠ Vencimento anterior à competência","OK"))))))))</f>
        <v/>
      </c>
    </row>
    <row r="1964">
      <c r="A1964" s="14" t="n"/>
      <c r="B1964" s="36" t="n"/>
      <c r="C1964" s="36" t="n"/>
      <c r="D1964" s="36" t="n"/>
      <c r="E1964" s="14" t="n"/>
      <c r="F1964" s="29" t="n"/>
      <c r="G1964" s="29" t="n"/>
      <c r="H1964" s="29" t="n"/>
      <c r="I1964" s="29" t="n"/>
      <c r="J1964" s="29" t="n"/>
      <c r="K1964" s="14" t="n"/>
      <c r="L1964" s="29" t="n"/>
      <c r="M1964" s="14" t="n"/>
      <c r="N1964" s="29" t="n"/>
      <c r="O1964" s="13" t="n"/>
      <c r="P1964" s="13" t="n"/>
      <c r="Q1964" s="35" t="n"/>
      <c r="R1964" s="35" t="n"/>
      <c r="S1964" s="35" t="n"/>
      <c r="T1964" s="35" t="n"/>
      <c r="U1964" s="35" t="n"/>
      <c r="V1964" s="18">
        <f>IF(COUNTA($B1964:$R1964)=0,"",ROUND(N($R1964)+N($S1964)+N($T1964)-N($U1964),2))</f>
        <v/>
      </c>
      <c r="W1964" s="18">
        <f>IF(COUNTA($B1964:$R1964)=0,"",IF(OR($X1964="Pago",$X1964="Recebido",$X1964="Cancelado"),0,ROUND(N($Q1964)+N($S1964)+N($T1964)-N($U1964)-N($R1964),2)))</f>
        <v/>
      </c>
      <c r="X1964" s="14" t="n"/>
      <c r="Y1964" s="17">
        <f>IF(COUNTA($B1964:$R1964)=0,"",IF($X1964="Cancelado","Cancelado",IF(OR($X1964="Pago",$X1964="Recebido"),$X1964,IF(OR($X1964="Parcial",N($R1964)&gt;0),"Parcial",IF($C1964="","Sem vencimento",IF($C1964&lt;TODAY(),"Vencido",IF($C1964=TODAY(),"Vence hoje",IF($C1964&lt;=TODAY()+7,"Vence em 7 dias",IF($C1964&lt;=TODAY()+30,"Vence em 30 dias","Futuro")))))))))</f>
        <v/>
      </c>
      <c r="Z1964" s="24">
        <f>IF($B1964="","",MONTH($B1964))</f>
        <v/>
      </c>
      <c r="AA1964" s="24">
        <f>IF($B1964="","",YEAR($B1964))</f>
        <v/>
      </c>
      <c r="AB1964" s="24">
        <f>IF($B1964="","",ISOWEEKNUM($B1964))</f>
        <v/>
      </c>
      <c r="AC1964" s="17">
        <f>IF($B1964="","",CHOOSE(WEEKDAY($B1964,2),"Segunda","Terça","Quarta","Quinta","Sexta","Sábado","Domingo"))</f>
        <v/>
      </c>
      <c r="AD1964" s="17">
        <f>IF($B1964="","",TEXT($B1964,"MM/AAAA"))</f>
        <v/>
      </c>
      <c r="AE1964" s="18">
        <f>IF(COUNTA($B1964:$R1964)=0,"",IF($X1964="Cancelado",0,ROUND(N($Q1964)+N($S1964)+N($T1964)-N($U1964),2)))</f>
        <v/>
      </c>
      <c r="AF1964" s="9">
        <f>IF($G1964="","",IFERROR(INDEX(LINHAS_DRE_PLANO,MATCH($G1964,SUBCATEGORIAS_PLANO,0)),"Não classificado"))</f>
        <v/>
      </c>
      <c r="AG1964" s="17">
        <f>IF($G1964="","",IFERROR(INDEX(TIPOS_FLUXO_PLANO,MATCH($G1964,SUBCATEGORIAS_PLANO,0)),"Não classificado"))</f>
        <v/>
      </c>
      <c r="AH1964" s="9">
        <f>IF($G1964="","",IFERROR(INDEX(GRUPOS_PLANO,MATCH($G1964,SUBCATEGORIAS_PLANO,0)),"Não classificado"))</f>
        <v/>
      </c>
      <c r="AI1964" s="24">
        <f>IF(OR($C1964="",$X1964="Pago",$X1964="Recebido",$X1964="Cancelado"),"",$C1964-TODAY())</f>
        <v/>
      </c>
      <c r="AJ1964" s="24">
        <f>IF(OR($C1964="",$X1964="Pago",$X1964="Recebido",$X1964="Cancelado"),0,MAX(0,TODAY()-$C1964))</f>
        <v/>
      </c>
      <c r="AK1964" s="24">
        <f>IF($D1964="","",$D1964-$B1964)</f>
        <v/>
      </c>
      <c r="AL1964" s="18">
        <f>IF(OR($D1964="",$B1964=""),"",ROUND(N($R1964)*($D1964-$B1964),2))</f>
        <v/>
      </c>
      <c r="AM1964" s="17">
        <f>IF(AND($E1964="Saída",$W1964&gt;0,$C1964&lt;&gt;""),$C1964+ROW()/1000000,"")</f>
        <v/>
      </c>
      <c r="AN1964" s="17">
        <f>IF(AND($E1964="Entrada",$W1964&gt;0,$C1964&lt;&gt;""),$C1964+ROW()/1000000,"")</f>
        <v/>
      </c>
      <c r="AO1964" s="9">
        <f>IF(COUNTA($B1964:$R1964)=0,"",IF(AND($I1964&lt;&gt;"",COUNTIF(CLIENTES_NOMES,$I1964)+COUNTIF(CLIENTES_FANTASIA,$I1964)+COUNTIF(FORNECEDORES_NOMES,$I1964)+COUNTIF(FORNECEDORES_FANTASIA,$I1964)=0),"⚠ Cliente/Fornecedor não cadastrado",IF(AND($G1964&lt;&gt;"",COUNTIF(SUBCATEGORIAS_PLANO,$G1964)=0),"⚠ Subcategoria fora do plano de contas",IF(OR($Q1964="",N($Q1964)=0),"⚠ Valor previsto não informado",IF(AND(OR($X1964="Pago",$X1964="Recebido"),$D1964=""),"⚠ Status pago/recebido sem data",IF(AND($D1964&lt;&gt;"",N($R1964)=0),"⚠ Data de pagamento sem valor realizado",IF(AND(N($P1964)&gt;1,N($O1964)&gt;N($P1964)),"⚠ Nº da parcela maior que o total",IF(AND($C1964&lt;&gt;"",$B1964&lt;&gt;"",$C1964&lt;$B1964),"⚠ Vencimento anterior à competência","OK"))))))))</f>
        <v/>
      </c>
    </row>
    <row r="1965">
      <c r="A1965" s="14" t="n"/>
      <c r="B1965" s="36" t="n"/>
      <c r="C1965" s="36" t="n"/>
      <c r="D1965" s="36" t="n"/>
      <c r="E1965" s="14" t="n"/>
      <c r="F1965" s="29" t="n"/>
      <c r="G1965" s="29" t="n"/>
      <c r="H1965" s="29" t="n"/>
      <c r="I1965" s="29" t="n"/>
      <c r="J1965" s="29" t="n"/>
      <c r="K1965" s="14" t="n"/>
      <c r="L1965" s="29" t="n"/>
      <c r="M1965" s="14" t="n"/>
      <c r="N1965" s="29" t="n"/>
      <c r="O1965" s="13" t="n"/>
      <c r="P1965" s="13" t="n"/>
      <c r="Q1965" s="35" t="n"/>
      <c r="R1965" s="35" t="n"/>
      <c r="S1965" s="35" t="n"/>
      <c r="T1965" s="35" t="n"/>
      <c r="U1965" s="35" t="n"/>
      <c r="V1965" s="18">
        <f>IF(COUNTA($B1965:$R1965)=0,"",ROUND(N($R1965)+N($S1965)+N($T1965)-N($U1965),2))</f>
        <v/>
      </c>
      <c r="W1965" s="18">
        <f>IF(COUNTA($B1965:$R1965)=0,"",IF(OR($X1965="Pago",$X1965="Recebido",$X1965="Cancelado"),0,ROUND(N($Q1965)+N($S1965)+N($T1965)-N($U1965)-N($R1965),2)))</f>
        <v/>
      </c>
      <c r="X1965" s="14" t="n"/>
      <c r="Y1965" s="17">
        <f>IF(COUNTA($B1965:$R1965)=0,"",IF($X1965="Cancelado","Cancelado",IF(OR($X1965="Pago",$X1965="Recebido"),$X1965,IF(OR($X1965="Parcial",N($R1965)&gt;0),"Parcial",IF($C1965="","Sem vencimento",IF($C1965&lt;TODAY(),"Vencido",IF($C1965=TODAY(),"Vence hoje",IF($C1965&lt;=TODAY()+7,"Vence em 7 dias",IF($C1965&lt;=TODAY()+30,"Vence em 30 dias","Futuro")))))))))</f>
        <v/>
      </c>
      <c r="Z1965" s="24">
        <f>IF($B1965="","",MONTH($B1965))</f>
        <v/>
      </c>
      <c r="AA1965" s="24">
        <f>IF($B1965="","",YEAR($B1965))</f>
        <v/>
      </c>
      <c r="AB1965" s="24">
        <f>IF($B1965="","",ISOWEEKNUM($B1965))</f>
        <v/>
      </c>
      <c r="AC1965" s="17">
        <f>IF($B1965="","",CHOOSE(WEEKDAY($B1965,2),"Segunda","Terça","Quarta","Quinta","Sexta","Sábado","Domingo"))</f>
        <v/>
      </c>
      <c r="AD1965" s="17">
        <f>IF($B1965="","",TEXT($B1965,"MM/AAAA"))</f>
        <v/>
      </c>
      <c r="AE1965" s="18">
        <f>IF(COUNTA($B1965:$R1965)=0,"",IF($X1965="Cancelado",0,ROUND(N($Q1965)+N($S1965)+N($T1965)-N($U1965),2)))</f>
        <v/>
      </c>
      <c r="AF1965" s="9">
        <f>IF($G1965="","",IFERROR(INDEX(LINHAS_DRE_PLANO,MATCH($G1965,SUBCATEGORIAS_PLANO,0)),"Não classificado"))</f>
        <v/>
      </c>
      <c r="AG1965" s="17">
        <f>IF($G1965="","",IFERROR(INDEX(TIPOS_FLUXO_PLANO,MATCH($G1965,SUBCATEGORIAS_PLANO,0)),"Não classificado"))</f>
        <v/>
      </c>
      <c r="AH1965" s="9">
        <f>IF($G1965="","",IFERROR(INDEX(GRUPOS_PLANO,MATCH($G1965,SUBCATEGORIAS_PLANO,0)),"Não classificado"))</f>
        <v/>
      </c>
      <c r="AI1965" s="24">
        <f>IF(OR($C1965="",$X1965="Pago",$X1965="Recebido",$X1965="Cancelado"),"",$C1965-TODAY())</f>
        <v/>
      </c>
      <c r="AJ1965" s="24">
        <f>IF(OR($C1965="",$X1965="Pago",$X1965="Recebido",$X1965="Cancelado"),0,MAX(0,TODAY()-$C1965))</f>
        <v/>
      </c>
      <c r="AK1965" s="24">
        <f>IF($D1965="","",$D1965-$B1965)</f>
        <v/>
      </c>
      <c r="AL1965" s="18">
        <f>IF(OR($D1965="",$B1965=""),"",ROUND(N($R1965)*($D1965-$B1965),2))</f>
        <v/>
      </c>
      <c r="AM1965" s="17">
        <f>IF(AND($E1965="Saída",$W1965&gt;0,$C1965&lt;&gt;""),$C1965+ROW()/1000000,"")</f>
        <v/>
      </c>
      <c r="AN1965" s="17">
        <f>IF(AND($E1965="Entrada",$W1965&gt;0,$C1965&lt;&gt;""),$C1965+ROW()/1000000,"")</f>
        <v/>
      </c>
      <c r="AO1965" s="9">
        <f>IF(COUNTA($B1965:$R1965)=0,"",IF(AND($I1965&lt;&gt;"",COUNTIF(CLIENTES_NOMES,$I1965)+COUNTIF(CLIENTES_FANTASIA,$I1965)+COUNTIF(FORNECEDORES_NOMES,$I1965)+COUNTIF(FORNECEDORES_FANTASIA,$I1965)=0),"⚠ Cliente/Fornecedor não cadastrado",IF(AND($G1965&lt;&gt;"",COUNTIF(SUBCATEGORIAS_PLANO,$G1965)=0),"⚠ Subcategoria fora do plano de contas",IF(OR($Q1965="",N($Q1965)=0),"⚠ Valor previsto não informado",IF(AND(OR($X1965="Pago",$X1965="Recebido"),$D1965=""),"⚠ Status pago/recebido sem data",IF(AND($D1965&lt;&gt;"",N($R1965)=0),"⚠ Data de pagamento sem valor realizado",IF(AND(N($P1965)&gt;1,N($O1965)&gt;N($P1965)),"⚠ Nº da parcela maior que o total",IF(AND($C1965&lt;&gt;"",$B1965&lt;&gt;"",$C1965&lt;$B1965),"⚠ Vencimento anterior à competência","OK"))))))))</f>
        <v/>
      </c>
    </row>
    <row r="1966">
      <c r="A1966" s="14" t="n"/>
      <c r="B1966" s="36" t="n"/>
      <c r="C1966" s="36" t="n"/>
      <c r="D1966" s="36" t="n"/>
      <c r="E1966" s="14" t="n"/>
      <c r="F1966" s="29" t="n"/>
      <c r="G1966" s="29" t="n"/>
      <c r="H1966" s="29" t="n"/>
      <c r="I1966" s="29" t="n"/>
      <c r="J1966" s="29" t="n"/>
      <c r="K1966" s="14" t="n"/>
      <c r="L1966" s="29" t="n"/>
      <c r="M1966" s="14" t="n"/>
      <c r="N1966" s="29" t="n"/>
      <c r="O1966" s="13" t="n"/>
      <c r="P1966" s="13" t="n"/>
      <c r="Q1966" s="35" t="n"/>
      <c r="R1966" s="35" t="n"/>
      <c r="S1966" s="35" t="n"/>
      <c r="T1966" s="35" t="n"/>
      <c r="U1966" s="35" t="n"/>
      <c r="V1966" s="18">
        <f>IF(COUNTA($B1966:$R1966)=0,"",ROUND(N($R1966)+N($S1966)+N($T1966)-N($U1966),2))</f>
        <v/>
      </c>
      <c r="W1966" s="18">
        <f>IF(COUNTA($B1966:$R1966)=0,"",IF(OR($X1966="Pago",$X1966="Recebido",$X1966="Cancelado"),0,ROUND(N($Q1966)+N($S1966)+N($T1966)-N($U1966)-N($R1966),2)))</f>
        <v/>
      </c>
      <c r="X1966" s="14" t="n"/>
      <c r="Y1966" s="17">
        <f>IF(COUNTA($B1966:$R1966)=0,"",IF($X1966="Cancelado","Cancelado",IF(OR($X1966="Pago",$X1966="Recebido"),$X1966,IF(OR($X1966="Parcial",N($R1966)&gt;0),"Parcial",IF($C1966="","Sem vencimento",IF($C1966&lt;TODAY(),"Vencido",IF($C1966=TODAY(),"Vence hoje",IF($C1966&lt;=TODAY()+7,"Vence em 7 dias",IF($C1966&lt;=TODAY()+30,"Vence em 30 dias","Futuro")))))))))</f>
        <v/>
      </c>
      <c r="Z1966" s="24">
        <f>IF($B1966="","",MONTH($B1966))</f>
        <v/>
      </c>
      <c r="AA1966" s="24">
        <f>IF($B1966="","",YEAR($B1966))</f>
        <v/>
      </c>
      <c r="AB1966" s="24">
        <f>IF($B1966="","",ISOWEEKNUM($B1966))</f>
        <v/>
      </c>
      <c r="AC1966" s="17">
        <f>IF($B1966="","",CHOOSE(WEEKDAY($B1966,2),"Segunda","Terça","Quarta","Quinta","Sexta","Sábado","Domingo"))</f>
        <v/>
      </c>
      <c r="AD1966" s="17">
        <f>IF($B1966="","",TEXT($B1966,"MM/AAAA"))</f>
        <v/>
      </c>
      <c r="AE1966" s="18">
        <f>IF(COUNTA($B1966:$R1966)=0,"",IF($X1966="Cancelado",0,ROUND(N($Q1966)+N($S1966)+N($T1966)-N($U1966),2)))</f>
        <v/>
      </c>
      <c r="AF1966" s="9">
        <f>IF($G1966="","",IFERROR(INDEX(LINHAS_DRE_PLANO,MATCH($G1966,SUBCATEGORIAS_PLANO,0)),"Não classificado"))</f>
        <v/>
      </c>
      <c r="AG1966" s="17">
        <f>IF($G1966="","",IFERROR(INDEX(TIPOS_FLUXO_PLANO,MATCH($G1966,SUBCATEGORIAS_PLANO,0)),"Não classificado"))</f>
        <v/>
      </c>
      <c r="AH1966" s="9">
        <f>IF($G1966="","",IFERROR(INDEX(GRUPOS_PLANO,MATCH($G1966,SUBCATEGORIAS_PLANO,0)),"Não classificado"))</f>
        <v/>
      </c>
      <c r="AI1966" s="24">
        <f>IF(OR($C1966="",$X1966="Pago",$X1966="Recebido",$X1966="Cancelado"),"",$C1966-TODAY())</f>
        <v/>
      </c>
      <c r="AJ1966" s="24">
        <f>IF(OR($C1966="",$X1966="Pago",$X1966="Recebido",$X1966="Cancelado"),0,MAX(0,TODAY()-$C1966))</f>
        <v/>
      </c>
      <c r="AK1966" s="24">
        <f>IF($D1966="","",$D1966-$B1966)</f>
        <v/>
      </c>
      <c r="AL1966" s="18">
        <f>IF(OR($D1966="",$B1966=""),"",ROUND(N($R1966)*($D1966-$B1966),2))</f>
        <v/>
      </c>
      <c r="AM1966" s="17">
        <f>IF(AND($E1966="Saída",$W1966&gt;0,$C1966&lt;&gt;""),$C1966+ROW()/1000000,"")</f>
        <v/>
      </c>
      <c r="AN1966" s="17">
        <f>IF(AND($E1966="Entrada",$W1966&gt;0,$C1966&lt;&gt;""),$C1966+ROW()/1000000,"")</f>
        <v/>
      </c>
      <c r="AO1966" s="9">
        <f>IF(COUNTA($B1966:$R1966)=0,"",IF(AND($I1966&lt;&gt;"",COUNTIF(CLIENTES_NOMES,$I1966)+COUNTIF(CLIENTES_FANTASIA,$I1966)+COUNTIF(FORNECEDORES_NOMES,$I1966)+COUNTIF(FORNECEDORES_FANTASIA,$I1966)=0),"⚠ Cliente/Fornecedor não cadastrado",IF(AND($G1966&lt;&gt;"",COUNTIF(SUBCATEGORIAS_PLANO,$G1966)=0),"⚠ Subcategoria fora do plano de contas",IF(OR($Q1966="",N($Q1966)=0),"⚠ Valor previsto não informado",IF(AND(OR($X1966="Pago",$X1966="Recebido"),$D1966=""),"⚠ Status pago/recebido sem data",IF(AND($D1966&lt;&gt;"",N($R1966)=0),"⚠ Data de pagamento sem valor realizado",IF(AND(N($P1966)&gt;1,N($O1966)&gt;N($P1966)),"⚠ Nº da parcela maior que o total",IF(AND($C1966&lt;&gt;"",$B1966&lt;&gt;"",$C1966&lt;$B1966),"⚠ Vencimento anterior à competência","OK"))))))))</f>
        <v/>
      </c>
    </row>
    <row r="1967">
      <c r="A1967" s="14" t="n"/>
      <c r="B1967" s="36" t="n"/>
      <c r="C1967" s="36" t="n"/>
      <c r="D1967" s="36" t="n"/>
      <c r="E1967" s="14" t="n"/>
      <c r="F1967" s="29" t="n"/>
      <c r="G1967" s="29" t="n"/>
      <c r="H1967" s="29" t="n"/>
      <c r="I1967" s="29" t="n"/>
      <c r="J1967" s="29" t="n"/>
      <c r="K1967" s="14" t="n"/>
      <c r="L1967" s="29" t="n"/>
      <c r="M1967" s="14" t="n"/>
      <c r="N1967" s="29" t="n"/>
      <c r="O1967" s="13" t="n"/>
      <c r="P1967" s="13" t="n"/>
      <c r="Q1967" s="35" t="n"/>
      <c r="R1967" s="35" t="n"/>
      <c r="S1967" s="35" t="n"/>
      <c r="T1967" s="35" t="n"/>
      <c r="U1967" s="35" t="n"/>
      <c r="V1967" s="18">
        <f>IF(COUNTA($B1967:$R1967)=0,"",ROUND(N($R1967)+N($S1967)+N($T1967)-N($U1967),2))</f>
        <v/>
      </c>
      <c r="W1967" s="18">
        <f>IF(COUNTA($B1967:$R1967)=0,"",IF(OR($X1967="Pago",$X1967="Recebido",$X1967="Cancelado"),0,ROUND(N($Q1967)+N($S1967)+N($T1967)-N($U1967)-N($R1967),2)))</f>
        <v/>
      </c>
      <c r="X1967" s="14" t="n"/>
      <c r="Y1967" s="17">
        <f>IF(COUNTA($B1967:$R1967)=0,"",IF($X1967="Cancelado","Cancelado",IF(OR($X1967="Pago",$X1967="Recebido"),$X1967,IF(OR($X1967="Parcial",N($R1967)&gt;0),"Parcial",IF($C1967="","Sem vencimento",IF($C1967&lt;TODAY(),"Vencido",IF($C1967=TODAY(),"Vence hoje",IF($C1967&lt;=TODAY()+7,"Vence em 7 dias",IF($C1967&lt;=TODAY()+30,"Vence em 30 dias","Futuro")))))))))</f>
        <v/>
      </c>
      <c r="Z1967" s="24">
        <f>IF($B1967="","",MONTH($B1967))</f>
        <v/>
      </c>
      <c r="AA1967" s="24">
        <f>IF($B1967="","",YEAR($B1967))</f>
        <v/>
      </c>
      <c r="AB1967" s="24">
        <f>IF($B1967="","",ISOWEEKNUM($B1967))</f>
        <v/>
      </c>
      <c r="AC1967" s="17">
        <f>IF($B1967="","",CHOOSE(WEEKDAY($B1967,2),"Segunda","Terça","Quarta","Quinta","Sexta","Sábado","Domingo"))</f>
        <v/>
      </c>
      <c r="AD1967" s="17">
        <f>IF($B1967="","",TEXT($B1967,"MM/AAAA"))</f>
        <v/>
      </c>
      <c r="AE1967" s="18">
        <f>IF(COUNTA($B1967:$R1967)=0,"",IF($X1967="Cancelado",0,ROUND(N($Q1967)+N($S1967)+N($T1967)-N($U1967),2)))</f>
        <v/>
      </c>
      <c r="AF1967" s="9">
        <f>IF($G1967="","",IFERROR(INDEX(LINHAS_DRE_PLANO,MATCH($G1967,SUBCATEGORIAS_PLANO,0)),"Não classificado"))</f>
        <v/>
      </c>
      <c r="AG1967" s="17">
        <f>IF($G1967="","",IFERROR(INDEX(TIPOS_FLUXO_PLANO,MATCH($G1967,SUBCATEGORIAS_PLANO,0)),"Não classificado"))</f>
        <v/>
      </c>
      <c r="AH1967" s="9">
        <f>IF($G1967="","",IFERROR(INDEX(GRUPOS_PLANO,MATCH($G1967,SUBCATEGORIAS_PLANO,0)),"Não classificado"))</f>
        <v/>
      </c>
      <c r="AI1967" s="24">
        <f>IF(OR($C1967="",$X1967="Pago",$X1967="Recebido",$X1967="Cancelado"),"",$C1967-TODAY())</f>
        <v/>
      </c>
      <c r="AJ1967" s="24">
        <f>IF(OR($C1967="",$X1967="Pago",$X1967="Recebido",$X1967="Cancelado"),0,MAX(0,TODAY()-$C1967))</f>
        <v/>
      </c>
      <c r="AK1967" s="24">
        <f>IF($D1967="","",$D1967-$B1967)</f>
        <v/>
      </c>
      <c r="AL1967" s="18">
        <f>IF(OR($D1967="",$B1967=""),"",ROUND(N($R1967)*($D1967-$B1967),2))</f>
        <v/>
      </c>
      <c r="AM1967" s="17">
        <f>IF(AND($E1967="Saída",$W1967&gt;0,$C1967&lt;&gt;""),$C1967+ROW()/1000000,"")</f>
        <v/>
      </c>
      <c r="AN1967" s="17">
        <f>IF(AND($E1967="Entrada",$W1967&gt;0,$C1967&lt;&gt;""),$C1967+ROW()/1000000,"")</f>
        <v/>
      </c>
      <c r="AO1967" s="9">
        <f>IF(COUNTA($B1967:$R1967)=0,"",IF(AND($I1967&lt;&gt;"",COUNTIF(CLIENTES_NOMES,$I1967)+COUNTIF(CLIENTES_FANTASIA,$I1967)+COUNTIF(FORNECEDORES_NOMES,$I1967)+COUNTIF(FORNECEDORES_FANTASIA,$I1967)=0),"⚠ Cliente/Fornecedor não cadastrado",IF(AND($G1967&lt;&gt;"",COUNTIF(SUBCATEGORIAS_PLANO,$G1967)=0),"⚠ Subcategoria fora do plano de contas",IF(OR($Q1967="",N($Q1967)=0),"⚠ Valor previsto não informado",IF(AND(OR($X1967="Pago",$X1967="Recebido"),$D1967=""),"⚠ Status pago/recebido sem data",IF(AND($D1967&lt;&gt;"",N($R1967)=0),"⚠ Data de pagamento sem valor realizado",IF(AND(N($P1967)&gt;1,N($O1967)&gt;N($P1967)),"⚠ Nº da parcela maior que o total",IF(AND($C1967&lt;&gt;"",$B1967&lt;&gt;"",$C1967&lt;$B1967),"⚠ Vencimento anterior à competência","OK"))))))))</f>
        <v/>
      </c>
    </row>
    <row r="1968">
      <c r="A1968" s="14" t="n"/>
      <c r="B1968" s="36" t="n"/>
      <c r="C1968" s="36" t="n"/>
      <c r="D1968" s="36" t="n"/>
      <c r="E1968" s="14" t="n"/>
      <c r="F1968" s="29" t="n"/>
      <c r="G1968" s="29" t="n"/>
      <c r="H1968" s="29" t="n"/>
      <c r="I1968" s="29" t="n"/>
      <c r="J1968" s="29" t="n"/>
      <c r="K1968" s="14" t="n"/>
      <c r="L1968" s="29" t="n"/>
      <c r="M1968" s="14" t="n"/>
      <c r="N1968" s="29" t="n"/>
      <c r="O1968" s="13" t="n"/>
      <c r="P1968" s="13" t="n"/>
      <c r="Q1968" s="35" t="n"/>
      <c r="R1968" s="35" t="n"/>
      <c r="S1968" s="35" t="n"/>
      <c r="T1968" s="35" t="n"/>
      <c r="U1968" s="35" t="n"/>
      <c r="V1968" s="18">
        <f>IF(COUNTA($B1968:$R1968)=0,"",ROUND(N($R1968)+N($S1968)+N($T1968)-N($U1968),2))</f>
        <v/>
      </c>
      <c r="W1968" s="18">
        <f>IF(COUNTA($B1968:$R1968)=0,"",IF(OR($X1968="Pago",$X1968="Recebido",$X1968="Cancelado"),0,ROUND(N($Q1968)+N($S1968)+N($T1968)-N($U1968)-N($R1968),2)))</f>
        <v/>
      </c>
      <c r="X1968" s="14" t="n"/>
      <c r="Y1968" s="17">
        <f>IF(COUNTA($B1968:$R1968)=0,"",IF($X1968="Cancelado","Cancelado",IF(OR($X1968="Pago",$X1968="Recebido"),$X1968,IF(OR($X1968="Parcial",N($R1968)&gt;0),"Parcial",IF($C1968="","Sem vencimento",IF($C1968&lt;TODAY(),"Vencido",IF($C1968=TODAY(),"Vence hoje",IF($C1968&lt;=TODAY()+7,"Vence em 7 dias",IF($C1968&lt;=TODAY()+30,"Vence em 30 dias","Futuro")))))))))</f>
        <v/>
      </c>
      <c r="Z1968" s="24">
        <f>IF($B1968="","",MONTH($B1968))</f>
        <v/>
      </c>
      <c r="AA1968" s="24">
        <f>IF($B1968="","",YEAR($B1968))</f>
        <v/>
      </c>
      <c r="AB1968" s="24">
        <f>IF($B1968="","",ISOWEEKNUM($B1968))</f>
        <v/>
      </c>
      <c r="AC1968" s="17">
        <f>IF($B1968="","",CHOOSE(WEEKDAY($B1968,2),"Segunda","Terça","Quarta","Quinta","Sexta","Sábado","Domingo"))</f>
        <v/>
      </c>
      <c r="AD1968" s="17">
        <f>IF($B1968="","",TEXT($B1968,"MM/AAAA"))</f>
        <v/>
      </c>
      <c r="AE1968" s="18">
        <f>IF(COUNTA($B1968:$R1968)=0,"",IF($X1968="Cancelado",0,ROUND(N($Q1968)+N($S1968)+N($T1968)-N($U1968),2)))</f>
        <v/>
      </c>
      <c r="AF1968" s="9">
        <f>IF($G1968="","",IFERROR(INDEX(LINHAS_DRE_PLANO,MATCH($G1968,SUBCATEGORIAS_PLANO,0)),"Não classificado"))</f>
        <v/>
      </c>
      <c r="AG1968" s="17">
        <f>IF($G1968="","",IFERROR(INDEX(TIPOS_FLUXO_PLANO,MATCH($G1968,SUBCATEGORIAS_PLANO,0)),"Não classificado"))</f>
        <v/>
      </c>
      <c r="AH1968" s="9">
        <f>IF($G1968="","",IFERROR(INDEX(GRUPOS_PLANO,MATCH($G1968,SUBCATEGORIAS_PLANO,0)),"Não classificado"))</f>
        <v/>
      </c>
      <c r="AI1968" s="24">
        <f>IF(OR($C1968="",$X1968="Pago",$X1968="Recebido",$X1968="Cancelado"),"",$C1968-TODAY())</f>
        <v/>
      </c>
      <c r="AJ1968" s="24">
        <f>IF(OR($C1968="",$X1968="Pago",$X1968="Recebido",$X1968="Cancelado"),0,MAX(0,TODAY()-$C1968))</f>
        <v/>
      </c>
      <c r="AK1968" s="24">
        <f>IF($D1968="","",$D1968-$B1968)</f>
        <v/>
      </c>
      <c r="AL1968" s="18">
        <f>IF(OR($D1968="",$B1968=""),"",ROUND(N($R1968)*($D1968-$B1968),2))</f>
        <v/>
      </c>
      <c r="AM1968" s="17">
        <f>IF(AND($E1968="Saída",$W1968&gt;0,$C1968&lt;&gt;""),$C1968+ROW()/1000000,"")</f>
        <v/>
      </c>
      <c r="AN1968" s="17">
        <f>IF(AND($E1968="Entrada",$W1968&gt;0,$C1968&lt;&gt;""),$C1968+ROW()/1000000,"")</f>
        <v/>
      </c>
      <c r="AO1968" s="9">
        <f>IF(COUNTA($B1968:$R1968)=0,"",IF(AND($I1968&lt;&gt;"",COUNTIF(CLIENTES_NOMES,$I1968)+COUNTIF(CLIENTES_FANTASIA,$I1968)+COUNTIF(FORNECEDORES_NOMES,$I1968)+COUNTIF(FORNECEDORES_FANTASIA,$I1968)=0),"⚠ Cliente/Fornecedor não cadastrado",IF(AND($G1968&lt;&gt;"",COUNTIF(SUBCATEGORIAS_PLANO,$G1968)=0),"⚠ Subcategoria fora do plano de contas",IF(OR($Q1968="",N($Q1968)=0),"⚠ Valor previsto não informado",IF(AND(OR($X1968="Pago",$X1968="Recebido"),$D1968=""),"⚠ Status pago/recebido sem data",IF(AND($D1968&lt;&gt;"",N($R1968)=0),"⚠ Data de pagamento sem valor realizado",IF(AND(N($P1968)&gt;1,N($O1968)&gt;N($P1968)),"⚠ Nº da parcela maior que o total",IF(AND($C1968&lt;&gt;"",$B1968&lt;&gt;"",$C1968&lt;$B1968),"⚠ Vencimento anterior à competência","OK"))))))))</f>
        <v/>
      </c>
    </row>
    <row r="1969">
      <c r="A1969" s="14" t="n"/>
      <c r="B1969" s="36" t="n"/>
      <c r="C1969" s="36" t="n"/>
      <c r="D1969" s="36" t="n"/>
      <c r="E1969" s="14" t="n"/>
      <c r="F1969" s="29" t="n"/>
      <c r="G1969" s="29" t="n"/>
      <c r="H1969" s="29" t="n"/>
      <c r="I1969" s="29" t="n"/>
      <c r="J1969" s="29" t="n"/>
      <c r="K1969" s="14" t="n"/>
      <c r="L1969" s="29" t="n"/>
      <c r="M1969" s="14" t="n"/>
      <c r="N1969" s="29" t="n"/>
      <c r="O1969" s="13" t="n"/>
      <c r="P1969" s="13" t="n"/>
      <c r="Q1969" s="35" t="n"/>
      <c r="R1969" s="35" t="n"/>
      <c r="S1969" s="35" t="n"/>
      <c r="T1969" s="35" t="n"/>
      <c r="U1969" s="35" t="n"/>
      <c r="V1969" s="18">
        <f>IF(COUNTA($B1969:$R1969)=0,"",ROUND(N($R1969)+N($S1969)+N($T1969)-N($U1969),2))</f>
        <v/>
      </c>
      <c r="W1969" s="18">
        <f>IF(COUNTA($B1969:$R1969)=0,"",IF(OR($X1969="Pago",$X1969="Recebido",$X1969="Cancelado"),0,ROUND(N($Q1969)+N($S1969)+N($T1969)-N($U1969)-N($R1969),2)))</f>
        <v/>
      </c>
      <c r="X1969" s="14" t="n"/>
      <c r="Y1969" s="17">
        <f>IF(COUNTA($B1969:$R1969)=0,"",IF($X1969="Cancelado","Cancelado",IF(OR($X1969="Pago",$X1969="Recebido"),$X1969,IF(OR($X1969="Parcial",N($R1969)&gt;0),"Parcial",IF($C1969="","Sem vencimento",IF($C1969&lt;TODAY(),"Vencido",IF($C1969=TODAY(),"Vence hoje",IF($C1969&lt;=TODAY()+7,"Vence em 7 dias",IF($C1969&lt;=TODAY()+30,"Vence em 30 dias","Futuro")))))))))</f>
        <v/>
      </c>
      <c r="Z1969" s="24">
        <f>IF($B1969="","",MONTH($B1969))</f>
        <v/>
      </c>
      <c r="AA1969" s="24">
        <f>IF($B1969="","",YEAR($B1969))</f>
        <v/>
      </c>
      <c r="AB1969" s="24">
        <f>IF($B1969="","",ISOWEEKNUM($B1969))</f>
        <v/>
      </c>
      <c r="AC1969" s="17">
        <f>IF($B1969="","",CHOOSE(WEEKDAY($B1969,2),"Segunda","Terça","Quarta","Quinta","Sexta","Sábado","Domingo"))</f>
        <v/>
      </c>
      <c r="AD1969" s="17">
        <f>IF($B1969="","",TEXT($B1969,"MM/AAAA"))</f>
        <v/>
      </c>
      <c r="AE1969" s="18">
        <f>IF(COUNTA($B1969:$R1969)=0,"",IF($X1969="Cancelado",0,ROUND(N($Q1969)+N($S1969)+N($T1969)-N($U1969),2)))</f>
        <v/>
      </c>
      <c r="AF1969" s="9">
        <f>IF($G1969="","",IFERROR(INDEX(LINHAS_DRE_PLANO,MATCH($G1969,SUBCATEGORIAS_PLANO,0)),"Não classificado"))</f>
        <v/>
      </c>
      <c r="AG1969" s="17">
        <f>IF($G1969="","",IFERROR(INDEX(TIPOS_FLUXO_PLANO,MATCH($G1969,SUBCATEGORIAS_PLANO,0)),"Não classificado"))</f>
        <v/>
      </c>
      <c r="AH1969" s="9">
        <f>IF($G1969="","",IFERROR(INDEX(GRUPOS_PLANO,MATCH($G1969,SUBCATEGORIAS_PLANO,0)),"Não classificado"))</f>
        <v/>
      </c>
      <c r="AI1969" s="24">
        <f>IF(OR($C1969="",$X1969="Pago",$X1969="Recebido",$X1969="Cancelado"),"",$C1969-TODAY())</f>
        <v/>
      </c>
      <c r="AJ1969" s="24">
        <f>IF(OR($C1969="",$X1969="Pago",$X1969="Recebido",$X1969="Cancelado"),0,MAX(0,TODAY()-$C1969))</f>
        <v/>
      </c>
      <c r="AK1969" s="24">
        <f>IF($D1969="","",$D1969-$B1969)</f>
        <v/>
      </c>
      <c r="AL1969" s="18">
        <f>IF(OR($D1969="",$B1969=""),"",ROUND(N($R1969)*($D1969-$B1969),2))</f>
        <v/>
      </c>
      <c r="AM1969" s="17">
        <f>IF(AND($E1969="Saída",$W1969&gt;0,$C1969&lt;&gt;""),$C1969+ROW()/1000000,"")</f>
        <v/>
      </c>
      <c r="AN1969" s="17">
        <f>IF(AND($E1969="Entrada",$W1969&gt;0,$C1969&lt;&gt;""),$C1969+ROW()/1000000,"")</f>
        <v/>
      </c>
      <c r="AO1969" s="9">
        <f>IF(COUNTA($B1969:$R1969)=0,"",IF(AND($I1969&lt;&gt;"",COUNTIF(CLIENTES_NOMES,$I1969)+COUNTIF(CLIENTES_FANTASIA,$I1969)+COUNTIF(FORNECEDORES_NOMES,$I1969)+COUNTIF(FORNECEDORES_FANTASIA,$I1969)=0),"⚠ Cliente/Fornecedor não cadastrado",IF(AND($G1969&lt;&gt;"",COUNTIF(SUBCATEGORIAS_PLANO,$G1969)=0),"⚠ Subcategoria fora do plano de contas",IF(OR($Q1969="",N($Q1969)=0),"⚠ Valor previsto não informado",IF(AND(OR($X1969="Pago",$X1969="Recebido"),$D1969=""),"⚠ Status pago/recebido sem data",IF(AND($D1969&lt;&gt;"",N($R1969)=0),"⚠ Data de pagamento sem valor realizado",IF(AND(N($P1969)&gt;1,N($O1969)&gt;N($P1969)),"⚠ Nº da parcela maior que o total",IF(AND($C1969&lt;&gt;"",$B1969&lt;&gt;"",$C1969&lt;$B1969),"⚠ Vencimento anterior à competência","OK"))))))))</f>
        <v/>
      </c>
    </row>
    <row r="1970">
      <c r="A1970" s="14" t="n"/>
      <c r="B1970" s="36" t="n"/>
      <c r="C1970" s="36" t="n"/>
      <c r="D1970" s="36" t="n"/>
      <c r="E1970" s="14" t="n"/>
      <c r="F1970" s="29" t="n"/>
      <c r="G1970" s="29" t="n"/>
      <c r="H1970" s="29" t="n"/>
      <c r="I1970" s="29" t="n"/>
      <c r="J1970" s="29" t="n"/>
      <c r="K1970" s="14" t="n"/>
      <c r="L1970" s="29" t="n"/>
      <c r="M1970" s="14" t="n"/>
      <c r="N1970" s="29" t="n"/>
      <c r="O1970" s="13" t="n"/>
      <c r="P1970" s="13" t="n"/>
      <c r="Q1970" s="35" t="n"/>
      <c r="R1970" s="35" t="n"/>
      <c r="S1970" s="35" t="n"/>
      <c r="T1970" s="35" t="n"/>
      <c r="U1970" s="35" t="n"/>
      <c r="V1970" s="18">
        <f>IF(COUNTA($B1970:$R1970)=0,"",ROUND(N($R1970)+N($S1970)+N($T1970)-N($U1970),2))</f>
        <v/>
      </c>
      <c r="W1970" s="18">
        <f>IF(COUNTA($B1970:$R1970)=0,"",IF(OR($X1970="Pago",$X1970="Recebido",$X1970="Cancelado"),0,ROUND(N($Q1970)+N($S1970)+N($T1970)-N($U1970)-N($R1970),2)))</f>
        <v/>
      </c>
      <c r="X1970" s="14" t="n"/>
      <c r="Y1970" s="17">
        <f>IF(COUNTA($B1970:$R1970)=0,"",IF($X1970="Cancelado","Cancelado",IF(OR($X1970="Pago",$X1970="Recebido"),$X1970,IF(OR($X1970="Parcial",N($R1970)&gt;0),"Parcial",IF($C1970="","Sem vencimento",IF($C1970&lt;TODAY(),"Vencido",IF($C1970=TODAY(),"Vence hoje",IF($C1970&lt;=TODAY()+7,"Vence em 7 dias",IF($C1970&lt;=TODAY()+30,"Vence em 30 dias","Futuro")))))))))</f>
        <v/>
      </c>
      <c r="Z1970" s="24">
        <f>IF($B1970="","",MONTH($B1970))</f>
        <v/>
      </c>
      <c r="AA1970" s="24">
        <f>IF($B1970="","",YEAR($B1970))</f>
        <v/>
      </c>
      <c r="AB1970" s="24">
        <f>IF($B1970="","",ISOWEEKNUM($B1970))</f>
        <v/>
      </c>
      <c r="AC1970" s="17">
        <f>IF($B1970="","",CHOOSE(WEEKDAY($B1970,2),"Segunda","Terça","Quarta","Quinta","Sexta","Sábado","Domingo"))</f>
        <v/>
      </c>
      <c r="AD1970" s="17">
        <f>IF($B1970="","",TEXT($B1970,"MM/AAAA"))</f>
        <v/>
      </c>
      <c r="AE1970" s="18">
        <f>IF(COUNTA($B1970:$R1970)=0,"",IF($X1970="Cancelado",0,ROUND(N($Q1970)+N($S1970)+N($T1970)-N($U1970),2)))</f>
        <v/>
      </c>
      <c r="AF1970" s="9">
        <f>IF($G1970="","",IFERROR(INDEX(LINHAS_DRE_PLANO,MATCH($G1970,SUBCATEGORIAS_PLANO,0)),"Não classificado"))</f>
        <v/>
      </c>
      <c r="AG1970" s="17">
        <f>IF($G1970="","",IFERROR(INDEX(TIPOS_FLUXO_PLANO,MATCH($G1970,SUBCATEGORIAS_PLANO,0)),"Não classificado"))</f>
        <v/>
      </c>
      <c r="AH1970" s="9">
        <f>IF($G1970="","",IFERROR(INDEX(GRUPOS_PLANO,MATCH($G1970,SUBCATEGORIAS_PLANO,0)),"Não classificado"))</f>
        <v/>
      </c>
      <c r="AI1970" s="24">
        <f>IF(OR($C1970="",$X1970="Pago",$X1970="Recebido",$X1970="Cancelado"),"",$C1970-TODAY())</f>
        <v/>
      </c>
      <c r="AJ1970" s="24">
        <f>IF(OR($C1970="",$X1970="Pago",$X1970="Recebido",$X1970="Cancelado"),0,MAX(0,TODAY()-$C1970))</f>
        <v/>
      </c>
      <c r="AK1970" s="24">
        <f>IF($D1970="","",$D1970-$B1970)</f>
        <v/>
      </c>
      <c r="AL1970" s="18">
        <f>IF(OR($D1970="",$B1970=""),"",ROUND(N($R1970)*($D1970-$B1970),2))</f>
        <v/>
      </c>
      <c r="AM1970" s="17">
        <f>IF(AND($E1970="Saída",$W1970&gt;0,$C1970&lt;&gt;""),$C1970+ROW()/1000000,"")</f>
        <v/>
      </c>
      <c r="AN1970" s="17">
        <f>IF(AND($E1970="Entrada",$W1970&gt;0,$C1970&lt;&gt;""),$C1970+ROW()/1000000,"")</f>
        <v/>
      </c>
      <c r="AO1970" s="9">
        <f>IF(COUNTA($B1970:$R1970)=0,"",IF(AND($I1970&lt;&gt;"",COUNTIF(CLIENTES_NOMES,$I1970)+COUNTIF(CLIENTES_FANTASIA,$I1970)+COUNTIF(FORNECEDORES_NOMES,$I1970)+COUNTIF(FORNECEDORES_FANTASIA,$I1970)=0),"⚠ Cliente/Fornecedor não cadastrado",IF(AND($G1970&lt;&gt;"",COUNTIF(SUBCATEGORIAS_PLANO,$G1970)=0),"⚠ Subcategoria fora do plano de contas",IF(OR($Q1970="",N($Q1970)=0),"⚠ Valor previsto não informado",IF(AND(OR($X1970="Pago",$X1970="Recebido"),$D1970=""),"⚠ Status pago/recebido sem data",IF(AND($D1970&lt;&gt;"",N($R1970)=0),"⚠ Data de pagamento sem valor realizado",IF(AND(N($P1970)&gt;1,N($O1970)&gt;N($P1970)),"⚠ Nº da parcela maior que o total",IF(AND($C1970&lt;&gt;"",$B1970&lt;&gt;"",$C1970&lt;$B1970),"⚠ Vencimento anterior à competência","OK"))))))))</f>
        <v/>
      </c>
    </row>
    <row r="1971">
      <c r="A1971" s="14" t="n"/>
      <c r="B1971" s="36" t="n"/>
      <c r="C1971" s="36" t="n"/>
      <c r="D1971" s="36" t="n"/>
      <c r="E1971" s="14" t="n"/>
      <c r="F1971" s="29" t="n"/>
      <c r="G1971" s="29" t="n"/>
      <c r="H1971" s="29" t="n"/>
      <c r="I1971" s="29" t="n"/>
      <c r="J1971" s="29" t="n"/>
      <c r="K1971" s="14" t="n"/>
      <c r="L1971" s="29" t="n"/>
      <c r="M1971" s="14" t="n"/>
      <c r="N1971" s="29" t="n"/>
      <c r="O1971" s="13" t="n"/>
      <c r="P1971" s="13" t="n"/>
      <c r="Q1971" s="35" t="n"/>
      <c r="R1971" s="35" t="n"/>
      <c r="S1971" s="35" t="n"/>
      <c r="T1971" s="35" t="n"/>
      <c r="U1971" s="35" t="n"/>
      <c r="V1971" s="18">
        <f>IF(COUNTA($B1971:$R1971)=0,"",ROUND(N($R1971)+N($S1971)+N($T1971)-N($U1971),2))</f>
        <v/>
      </c>
      <c r="W1971" s="18">
        <f>IF(COUNTA($B1971:$R1971)=0,"",IF(OR($X1971="Pago",$X1971="Recebido",$X1971="Cancelado"),0,ROUND(N($Q1971)+N($S1971)+N($T1971)-N($U1971)-N($R1971),2)))</f>
        <v/>
      </c>
      <c r="X1971" s="14" t="n"/>
      <c r="Y1971" s="17">
        <f>IF(COUNTA($B1971:$R1971)=0,"",IF($X1971="Cancelado","Cancelado",IF(OR($X1971="Pago",$X1971="Recebido"),$X1971,IF(OR($X1971="Parcial",N($R1971)&gt;0),"Parcial",IF($C1971="","Sem vencimento",IF($C1971&lt;TODAY(),"Vencido",IF($C1971=TODAY(),"Vence hoje",IF($C1971&lt;=TODAY()+7,"Vence em 7 dias",IF($C1971&lt;=TODAY()+30,"Vence em 30 dias","Futuro")))))))))</f>
        <v/>
      </c>
      <c r="Z1971" s="24">
        <f>IF($B1971="","",MONTH($B1971))</f>
        <v/>
      </c>
      <c r="AA1971" s="24">
        <f>IF($B1971="","",YEAR($B1971))</f>
        <v/>
      </c>
      <c r="AB1971" s="24">
        <f>IF($B1971="","",ISOWEEKNUM($B1971))</f>
        <v/>
      </c>
      <c r="AC1971" s="17">
        <f>IF($B1971="","",CHOOSE(WEEKDAY($B1971,2),"Segunda","Terça","Quarta","Quinta","Sexta","Sábado","Domingo"))</f>
        <v/>
      </c>
      <c r="AD1971" s="17">
        <f>IF($B1971="","",TEXT($B1971,"MM/AAAA"))</f>
        <v/>
      </c>
      <c r="AE1971" s="18">
        <f>IF(COUNTA($B1971:$R1971)=0,"",IF($X1971="Cancelado",0,ROUND(N($Q1971)+N($S1971)+N($T1971)-N($U1971),2)))</f>
        <v/>
      </c>
      <c r="AF1971" s="9">
        <f>IF($G1971="","",IFERROR(INDEX(LINHAS_DRE_PLANO,MATCH($G1971,SUBCATEGORIAS_PLANO,0)),"Não classificado"))</f>
        <v/>
      </c>
      <c r="AG1971" s="17">
        <f>IF($G1971="","",IFERROR(INDEX(TIPOS_FLUXO_PLANO,MATCH($G1971,SUBCATEGORIAS_PLANO,0)),"Não classificado"))</f>
        <v/>
      </c>
      <c r="AH1971" s="9">
        <f>IF($G1971="","",IFERROR(INDEX(GRUPOS_PLANO,MATCH($G1971,SUBCATEGORIAS_PLANO,0)),"Não classificado"))</f>
        <v/>
      </c>
      <c r="AI1971" s="24">
        <f>IF(OR($C1971="",$X1971="Pago",$X1971="Recebido",$X1971="Cancelado"),"",$C1971-TODAY())</f>
        <v/>
      </c>
      <c r="AJ1971" s="24">
        <f>IF(OR($C1971="",$X1971="Pago",$X1971="Recebido",$X1971="Cancelado"),0,MAX(0,TODAY()-$C1971))</f>
        <v/>
      </c>
      <c r="AK1971" s="24">
        <f>IF($D1971="","",$D1971-$B1971)</f>
        <v/>
      </c>
      <c r="AL1971" s="18">
        <f>IF(OR($D1971="",$B1971=""),"",ROUND(N($R1971)*($D1971-$B1971),2))</f>
        <v/>
      </c>
      <c r="AM1971" s="17">
        <f>IF(AND($E1971="Saída",$W1971&gt;0,$C1971&lt;&gt;""),$C1971+ROW()/1000000,"")</f>
        <v/>
      </c>
      <c r="AN1971" s="17">
        <f>IF(AND($E1971="Entrada",$W1971&gt;0,$C1971&lt;&gt;""),$C1971+ROW()/1000000,"")</f>
        <v/>
      </c>
      <c r="AO1971" s="9">
        <f>IF(COUNTA($B1971:$R1971)=0,"",IF(AND($I1971&lt;&gt;"",COUNTIF(CLIENTES_NOMES,$I1971)+COUNTIF(CLIENTES_FANTASIA,$I1971)+COUNTIF(FORNECEDORES_NOMES,$I1971)+COUNTIF(FORNECEDORES_FANTASIA,$I1971)=0),"⚠ Cliente/Fornecedor não cadastrado",IF(AND($G1971&lt;&gt;"",COUNTIF(SUBCATEGORIAS_PLANO,$G1971)=0),"⚠ Subcategoria fora do plano de contas",IF(OR($Q1971="",N($Q1971)=0),"⚠ Valor previsto não informado",IF(AND(OR($X1971="Pago",$X1971="Recebido"),$D1971=""),"⚠ Status pago/recebido sem data",IF(AND($D1971&lt;&gt;"",N($R1971)=0),"⚠ Data de pagamento sem valor realizado",IF(AND(N($P1971)&gt;1,N($O1971)&gt;N($P1971)),"⚠ Nº da parcela maior que o total",IF(AND($C1971&lt;&gt;"",$B1971&lt;&gt;"",$C1971&lt;$B1971),"⚠ Vencimento anterior à competência","OK"))))))))</f>
        <v/>
      </c>
    </row>
    <row r="1972">
      <c r="A1972" s="14" t="n"/>
      <c r="B1972" s="36" t="n"/>
      <c r="C1972" s="36" t="n"/>
      <c r="D1972" s="36" t="n"/>
      <c r="E1972" s="14" t="n"/>
      <c r="F1972" s="29" t="n"/>
      <c r="G1972" s="29" t="n"/>
      <c r="H1972" s="29" t="n"/>
      <c r="I1972" s="29" t="n"/>
      <c r="J1972" s="29" t="n"/>
      <c r="K1972" s="14" t="n"/>
      <c r="L1972" s="29" t="n"/>
      <c r="M1972" s="14" t="n"/>
      <c r="N1972" s="29" t="n"/>
      <c r="O1972" s="13" t="n"/>
      <c r="P1972" s="13" t="n"/>
      <c r="Q1972" s="35" t="n"/>
      <c r="R1972" s="35" t="n"/>
      <c r="S1972" s="35" t="n"/>
      <c r="T1972" s="35" t="n"/>
      <c r="U1972" s="35" t="n"/>
      <c r="V1972" s="18">
        <f>IF(COUNTA($B1972:$R1972)=0,"",ROUND(N($R1972)+N($S1972)+N($T1972)-N($U1972),2))</f>
        <v/>
      </c>
      <c r="W1972" s="18">
        <f>IF(COUNTA($B1972:$R1972)=0,"",IF(OR($X1972="Pago",$X1972="Recebido",$X1972="Cancelado"),0,ROUND(N($Q1972)+N($S1972)+N($T1972)-N($U1972)-N($R1972),2)))</f>
        <v/>
      </c>
      <c r="X1972" s="14" t="n"/>
      <c r="Y1972" s="17">
        <f>IF(COUNTA($B1972:$R1972)=0,"",IF($X1972="Cancelado","Cancelado",IF(OR($X1972="Pago",$X1972="Recebido"),$X1972,IF(OR($X1972="Parcial",N($R1972)&gt;0),"Parcial",IF($C1972="","Sem vencimento",IF($C1972&lt;TODAY(),"Vencido",IF($C1972=TODAY(),"Vence hoje",IF($C1972&lt;=TODAY()+7,"Vence em 7 dias",IF($C1972&lt;=TODAY()+30,"Vence em 30 dias","Futuro")))))))))</f>
        <v/>
      </c>
      <c r="Z1972" s="24">
        <f>IF($B1972="","",MONTH($B1972))</f>
        <v/>
      </c>
      <c r="AA1972" s="24">
        <f>IF($B1972="","",YEAR($B1972))</f>
        <v/>
      </c>
      <c r="AB1972" s="24">
        <f>IF($B1972="","",ISOWEEKNUM($B1972))</f>
        <v/>
      </c>
      <c r="AC1972" s="17">
        <f>IF($B1972="","",CHOOSE(WEEKDAY($B1972,2),"Segunda","Terça","Quarta","Quinta","Sexta","Sábado","Domingo"))</f>
        <v/>
      </c>
      <c r="AD1972" s="17">
        <f>IF($B1972="","",TEXT($B1972,"MM/AAAA"))</f>
        <v/>
      </c>
      <c r="AE1972" s="18">
        <f>IF(COUNTA($B1972:$R1972)=0,"",IF($X1972="Cancelado",0,ROUND(N($Q1972)+N($S1972)+N($T1972)-N($U1972),2)))</f>
        <v/>
      </c>
      <c r="AF1972" s="9">
        <f>IF($G1972="","",IFERROR(INDEX(LINHAS_DRE_PLANO,MATCH($G1972,SUBCATEGORIAS_PLANO,0)),"Não classificado"))</f>
        <v/>
      </c>
      <c r="AG1972" s="17">
        <f>IF($G1972="","",IFERROR(INDEX(TIPOS_FLUXO_PLANO,MATCH($G1972,SUBCATEGORIAS_PLANO,0)),"Não classificado"))</f>
        <v/>
      </c>
      <c r="AH1972" s="9">
        <f>IF($G1972="","",IFERROR(INDEX(GRUPOS_PLANO,MATCH($G1972,SUBCATEGORIAS_PLANO,0)),"Não classificado"))</f>
        <v/>
      </c>
      <c r="AI1972" s="24">
        <f>IF(OR($C1972="",$X1972="Pago",$X1972="Recebido",$X1972="Cancelado"),"",$C1972-TODAY())</f>
        <v/>
      </c>
      <c r="AJ1972" s="24">
        <f>IF(OR($C1972="",$X1972="Pago",$X1972="Recebido",$X1972="Cancelado"),0,MAX(0,TODAY()-$C1972))</f>
        <v/>
      </c>
      <c r="AK1972" s="24">
        <f>IF($D1972="","",$D1972-$B1972)</f>
        <v/>
      </c>
      <c r="AL1972" s="18">
        <f>IF(OR($D1972="",$B1972=""),"",ROUND(N($R1972)*($D1972-$B1972),2))</f>
        <v/>
      </c>
      <c r="AM1972" s="17">
        <f>IF(AND($E1972="Saída",$W1972&gt;0,$C1972&lt;&gt;""),$C1972+ROW()/1000000,"")</f>
        <v/>
      </c>
      <c r="AN1972" s="17">
        <f>IF(AND($E1972="Entrada",$W1972&gt;0,$C1972&lt;&gt;""),$C1972+ROW()/1000000,"")</f>
        <v/>
      </c>
      <c r="AO1972" s="9">
        <f>IF(COUNTA($B1972:$R1972)=0,"",IF(AND($I1972&lt;&gt;"",COUNTIF(CLIENTES_NOMES,$I1972)+COUNTIF(CLIENTES_FANTASIA,$I1972)+COUNTIF(FORNECEDORES_NOMES,$I1972)+COUNTIF(FORNECEDORES_FANTASIA,$I1972)=0),"⚠ Cliente/Fornecedor não cadastrado",IF(AND($G1972&lt;&gt;"",COUNTIF(SUBCATEGORIAS_PLANO,$G1972)=0),"⚠ Subcategoria fora do plano de contas",IF(OR($Q1972="",N($Q1972)=0),"⚠ Valor previsto não informado",IF(AND(OR($X1972="Pago",$X1972="Recebido"),$D1972=""),"⚠ Status pago/recebido sem data",IF(AND($D1972&lt;&gt;"",N($R1972)=0),"⚠ Data de pagamento sem valor realizado",IF(AND(N($P1972)&gt;1,N($O1972)&gt;N($P1972)),"⚠ Nº da parcela maior que o total",IF(AND($C1972&lt;&gt;"",$B1972&lt;&gt;"",$C1972&lt;$B1972),"⚠ Vencimento anterior à competência","OK"))))))))</f>
        <v/>
      </c>
    </row>
    <row r="1973">
      <c r="A1973" s="14" t="n"/>
      <c r="B1973" s="36" t="n"/>
      <c r="C1973" s="36" t="n"/>
      <c r="D1973" s="36" t="n"/>
      <c r="E1973" s="14" t="n"/>
      <c r="F1973" s="29" t="n"/>
      <c r="G1973" s="29" t="n"/>
      <c r="H1973" s="29" t="n"/>
      <c r="I1973" s="29" t="n"/>
      <c r="J1973" s="29" t="n"/>
      <c r="K1973" s="14" t="n"/>
      <c r="L1973" s="29" t="n"/>
      <c r="M1973" s="14" t="n"/>
      <c r="N1973" s="29" t="n"/>
      <c r="O1973" s="13" t="n"/>
      <c r="P1973" s="13" t="n"/>
      <c r="Q1973" s="35" t="n"/>
      <c r="R1973" s="35" t="n"/>
      <c r="S1973" s="35" t="n"/>
      <c r="T1973" s="35" t="n"/>
      <c r="U1973" s="35" t="n"/>
      <c r="V1973" s="18">
        <f>IF(COUNTA($B1973:$R1973)=0,"",ROUND(N($R1973)+N($S1973)+N($T1973)-N($U1973),2))</f>
        <v/>
      </c>
      <c r="W1973" s="18">
        <f>IF(COUNTA($B1973:$R1973)=0,"",IF(OR($X1973="Pago",$X1973="Recebido",$X1973="Cancelado"),0,ROUND(N($Q1973)+N($S1973)+N($T1973)-N($U1973)-N($R1973),2)))</f>
        <v/>
      </c>
      <c r="X1973" s="14" t="n"/>
      <c r="Y1973" s="17">
        <f>IF(COUNTA($B1973:$R1973)=0,"",IF($X1973="Cancelado","Cancelado",IF(OR($X1973="Pago",$X1973="Recebido"),$X1973,IF(OR($X1973="Parcial",N($R1973)&gt;0),"Parcial",IF($C1973="","Sem vencimento",IF($C1973&lt;TODAY(),"Vencido",IF($C1973=TODAY(),"Vence hoje",IF($C1973&lt;=TODAY()+7,"Vence em 7 dias",IF($C1973&lt;=TODAY()+30,"Vence em 30 dias","Futuro")))))))))</f>
        <v/>
      </c>
      <c r="Z1973" s="24">
        <f>IF($B1973="","",MONTH($B1973))</f>
        <v/>
      </c>
      <c r="AA1973" s="24">
        <f>IF($B1973="","",YEAR($B1973))</f>
        <v/>
      </c>
      <c r="AB1973" s="24">
        <f>IF($B1973="","",ISOWEEKNUM($B1973))</f>
        <v/>
      </c>
      <c r="AC1973" s="17">
        <f>IF($B1973="","",CHOOSE(WEEKDAY($B1973,2),"Segunda","Terça","Quarta","Quinta","Sexta","Sábado","Domingo"))</f>
        <v/>
      </c>
      <c r="AD1973" s="17">
        <f>IF($B1973="","",TEXT($B1973,"MM/AAAA"))</f>
        <v/>
      </c>
      <c r="AE1973" s="18">
        <f>IF(COUNTA($B1973:$R1973)=0,"",IF($X1973="Cancelado",0,ROUND(N($Q1973)+N($S1973)+N($T1973)-N($U1973),2)))</f>
        <v/>
      </c>
      <c r="AF1973" s="9">
        <f>IF($G1973="","",IFERROR(INDEX(LINHAS_DRE_PLANO,MATCH($G1973,SUBCATEGORIAS_PLANO,0)),"Não classificado"))</f>
        <v/>
      </c>
      <c r="AG1973" s="17">
        <f>IF($G1973="","",IFERROR(INDEX(TIPOS_FLUXO_PLANO,MATCH($G1973,SUBCATEGORIAS_PLANO,0)),"Não classificado"))</f>
        <v/>
      </c>
      <c r="AH1973" s="9">
        <f>IF($G1973="","",IFERROR(INDEX(GRUPOS_PLANO,MATCH($G1973,SUBCATEGORIAS_PLANO,0)),"Não classificado"))</f>
        <v/>
      </c>
      <c r="AI1973" s="24">
        <f>IF(OR($C1973="",$X1973="Pago",$X1973="Recebido",$X1973="Cancelado"),"",$C1973-TODAY())</f>
        <v/>
      </c>
      <c r="AJ1973" s="24">
        <f>IF(OR($C1973="",$X1973="Pago",$X1973="Recebido",$X1973="Cancelado"),0,MAX(0,TODAY()-$C1973))</f>
        <v/>
      </c>
      <c r="AK1973" s="24">
        <f>IF($D1973="","",$D1973-$B1973)</f>
        <v/>
      </c>
      <c r="AL1973" s="18">
        <f>IF(OR($D1973="",$B1973=""),"",ROUND(N($R1973)*($D1973-$B1973),2))</f>
        <v/>
      </c>
      <c r="AM1973" s="17">
        <f>IF(AND($E1973="Saída",$W1973&gt;0,$C1973&lt;&gt;""),$C1973+ROW()/1000000,"")</f>
        <v/>
      </c>
      <c r="AN1973" s="17">
        <f>IF(AND($E1973="Entrada",$W1973&gt;0,$C1973&lt;&gt;""),$C1973+ROW()/1000000,"")</f>
        <v/>
      </c>
      <c r="AO1973" s="9">
        <f>IF(COUNTA($B1973:$R1973)=0,"",IF(AND($I1973&lt;&gt;"",COUNTIF(CLIENTES_NOMES,$I1973)+COUNTIF(CLIENTES_FANTASIA,$I1973)+COUNTIF(FORNECEDORES_NOMES,$I1973)+COUNTIF(FORNECEDORES_FANTASIA,$I1973)=0),"⚠ Cliente/Fornecedor não cadastrado",IF(AND($G1973&lt;&gt;"",COUNTIF(SUBCATEGORIAS_PLANO,$G1973)=0),"⚠ Subcategoria fora do plano de contas",IF(OR($Q1973="",N($Q1973)=0),"⚠ Valor previsto não informado",IF(AND(OR($X1973="Pago",$X1973="Recebido"),$D1973=""),"⚠ Status pago/recebido sem data",IF(AND($D1973&lt;&gt;"",N($R1973)=0),"⚠ Data de pagamento sem valor realizado",IF(AND(N($P1973)&gt;1,N($O1973)&gt;N($P1973)),"⚠ Nº da parcela maior que o total",IF(AND($C1973&lt;&gt;"",$B1973&lt;&gt;"",$C1973&lt;$B1973),"⚠ Vencimento anterior à competência","OK"))))))))</f>
        <v/>
      </c>
    </row>
    <row r="1974">
      <c r="A1974" s="14" t="n"/>
      <c r="B1974" s="36" t="n"/>
      <c r="C1974" s="36" t="n"/>
      <c r="D1974" s="36" t="n"/>
      <c r="E1974" s="14" t="n"/>
      <c r="F1974" s="29" t="n"/>
      <c r="G1974" s="29" t="n"/>
      <c r="H1974" s="29" t="n"/>
      <c r="I1974" s="29" t="n"/>
      <c r="J1974" s="29" t="n"/>
      <c r="K1974" s="14" t="n"/>
      <c r="L1974" s="29" t="n"/>
      <c r="M1974" s="14" t="n"/>
      <c r="N1974" s="29" t="n"/>
      <c r="O1974" s="13" t="n"/>
      <c r="P1974" s="13" t="n"/>
      <c r="Q1974" s="35" t="n"/>
      <c r="R1974" s="35" t="n"/>
      <c r="S1974" s="35" t="n"/>
      <c r="T1974" s="35" t="n"/>
      <c r="U1974" s="35" t="n"/>
      <c r="V1974" s="18">
        <f>IF(COUNTA($B1974:$R1974)=0,"",ROUND(N($R1974)+N($S1974)+N($T1974)-N($U1974),2))</f>
        <v/>
      </c>
      <c r="W1974" s="18">
        <f>IF(COUNTA($B1974:$R1974)=0,"",IF(OR($X1974="Pago",$X1974="Recebido",$X1974="Cancelado"),0,ROUND(N($Q1974)+N($S1974)+N($T1974)-N($U1974)-N($R1974),2)))</f>
        <v/>
      </c>
      <c r="X1974" s="14" t="n"/>
      <c r="Y1974" s="17">
        <f>IF(COUNTA($B1974:$R1974)=0,"",IF($X1974="Cancelado","Cancelado",IF(OR($X1974="Pago",$X1974="Recebido"),$X1974,IF(OR($X1974="Parcial",N($R1974)&gt;0),"Parcial",IF($C1974="","Sem vencimento",IF($C1974&lt;TODAY(),"Vencido",IF($C1974=TODAY(),"Vence hoje",IF($C1974&lt;=TODAY()+7,"Vence em 7 dias",IF($C1974&lt;=TODAY()+30,"Vence em 30 dias","Futuro")))))))))</f>
        <v/>
      </c>
      <c r="Z1974" s="24">
        <f>IF($B1974="","",MONTH($B1974))</f>
        <v/>
      </c>
      <c r="AA1974" s="24">
        <f>IF($B1974="","",YEAR($B1974))</f>
        <v/>
      </c>
      <c r="AB1974" s="24">
        <f>IF($B1974="","",ISOWEEKNUM($B1974))</f>
        <v/>
      </c>
      <c r="AC1974" s="17">
        <f>IF($B1974="","",CHOOSE(WEEKDAY($B1974,2),"Segunda","Terça","Quarta","Quinta","Sexta","Sábado","Domingo"))</f>
        <v/>
      </c>
      <c r="AD1974" s="17">
        <f>IF($B1974="","",TEXT($B1974,"MM/AAAA"))</f>
        <v/>
      </c>
      <c r="AE1974" s="18">
        <f>IF(COUNTA($B1974:$R1974)=0,"",IF($X1974="Cancelado",0,ROUND(N($Q1974)+N($S1974)+N($T1974)-N($U1974),2)))</f>
        <v/>
      </c>
      <c r="AF1974" s="9">
        <f>IF($G1974="","",IFERROR(INDEX(LINHAS_DRE_PLANO,MATCH($G1974,SUBCATEGORIAS_PLANO,0)),"Não classificado"))</f>
        <v/>
      </c>
      <c r="AG1974" s="17">
        <f>IF($G1974="","",IFERROR(INDEX(TIPOS_FLUXO_PLANO,MATCH($G1974,SUBCATEGORIAS_PLANO,0)),"Não classificado"))</f>
        <v/>
      </c>
      <c r="AH1974" s="9">
        <f>IF($G1974="","",IFERROR(INDEX(GRUPOS_PLANO,MATCH($G1974,SUBCATEGORIAS_PLANO,0)),"Não classificado"))</f>
        <v/>
      </c>
      <c r="AI1974" s="24">
        <f>IF(OR($C1974="",$X1974="Pago",$X1974="Recebido",$X1974="Cancelado"),"",$C1974-TODAY())</f>
        <v/>
      </c>
      <c r="AJ1974" s="24">
        <f>IF(OR($C1974="",$X1974="Pago",$X1974="Recebido",$X1974="Cancelado"),0,MAX(0,TODAY()-$C1974))</f>
        <v/>
      </c>
      <c r="AK1974" s="24">
        <f>IF($D1974="","",$D1974-$B1974)</f>
        <v/>
      </c>
      <c r="AL1974" s="18">
        <f>IF(OR($D1974="",$B1974=""),"",ROUND(N($R1974)*($D1974-$B1974),2))</f>
        <v/>
      </c>
      <c r="AM1974" s="17">
        <f>IF(AND($E1974="Saída",$W1974&gt;0,$C1974&lt;&gt;""),$C1974+ROW()/1000000,"")</f>
        <v/>
      </c>
      <c r="AN1974" s="17">
        <f>IF(AND($E1974="Entrada",$W1974&gt;0,$C1974&lt;&gt;""),$C1974+ROW()/1000000,"")</f>
        <v/>
      </c>
      <c r="AO1974" s="9">
        <f>IF(COUNTA($B1974:$R1974)=0,"",IF(AND($I1974&lt;&gt;"",COUNTIF(CLIENTES_NOMES,$I1974)+COUNTIF(CLIENTES_FANTASIA,$I1974)+COUNTIF(FORNECEDORES_NOMES,$I1974)+COUNTIF(FORNECEDORES_FANTASIA,$I1974)=0),"⚠ Cliente/Fornecedor não cadastrado",IF(AND($G1974&lt;&gt;"",COUNTIF(SUBCATEGORIAS_PLANO,$G1974)=0),"⚠ Subcategoria fora do plano de contas",IF(OR($Q1974="",N($Q1974)=0),"⚠ Valor previsto não informado",IF(AND(OR($X1974="Pago",$X1974="Recebido"),$D1974=""),"⚠ Status pago/recebido sem data",IF(AND($D1974&lt;&gt;"",N($R1974)=0),"⚠ Data de pagamento sem valor realizado",IF(AND(N($P1974)&gt;1,N($O1974)&gt;N($P1974)),"⚠ Nº da parcela maior que o total",IF(AND($C1974&lt;&gt;"",$B1974&lt;&gt;"",$C1974&lt;$B1974),"⚠ Vencimento anterior à competência","OK"))))))))</f>
        <v/>
      </c>
    </row>
    <row r="1975">
      <c r="A1975" s="14" t="n"/>
      <c r="B1975" s="36" t="n"/>
      <c r="C1975" s="36" t="n"/>
      <c r="D1975" s="36" t="n"/>
      <c r="E1975" s="14" t="n"/>
      <c r="F1975" s="29" t="n"/>
      <c r="G1975" s="29" t="n"/>
      <c r="H1975" s="29" t="n"/>
      <c r="I1975" s="29" t="n"/>
      <c r="J1975" s="29" t="n"/>
      <c r="K1975" s="14" t="n"/>
      <c r="L1975" s="29" t="n"/>
      <c r="M1975" s="14" t="n"/>
      <c r="N1975" s="29" t="n"/>
      <c r="O1975" s="13" t="n"/>
      <c r="P1975" s="13" t="n"/>
      <c r="Q1975" s="35" t="n"/>
      <c r="R1975" s="35" t="n"/>
      <c r="S1975" s="35" t="n"/>
      <c r="T1975" s="35" t="n"/>
      <c r="U1975" s="35" t="n"/>
      <c r="V1975" s="18">
        <f>IF(COUNTA($B1975:$R1975)=0,"",ROUND(N($R1975)+N($S1975)+N($T1975)-N($U1975),2))</f>
        <v/>
      </c>
      <c r="W1975" s="18">
        <f>IF(COUNTA($B1975:$R1975)=0,"",IF(OR($X1975="Pago",$X1975="Recebido",$X1975="Cancelado"),0,ROUND(N($Q1975)+N($S1975)+N($T1975)-N($U1975)-N($R1975),2)))</f>
        <v/>
      </c>
      <c r="X1975" s="14" t="n"/>
      <c r="Y1975" s="17">
        <f>IF(COUNTA($B1975:$R1975)=0,"",IF($X1975="Cancelado","Cancelado",IF(OR($X1975="Pago",$X1975="Recebido"),$X1975,IF(OR($X1975="Parcial",N($R1975)&gt;0),"Parcial",IF($C1975="","Sem vencimento",IF($C1975&lt;TODAY(),"Vencido",IF($C1975=TODAY(),"Vence hoje",IF($C1975&lt;=TODAY()+7,"Vence em 7 dias",IF($C1975&lt;=TODAY()+30,"Vence em 30 dias","Futuro")))))))))</f>
        <v/>
      </c>
      <c r="Z1975" s="24">
        <f>IF($B1975="","",MONTH($B1975))</f>
        <v/>
      </c>
      <c r="AA1975" s="24">
        <f>IF($B1975="","",YEAR($B1975))</f>
        <v/>
      </c>
      <c r="AB1975" s="24">
        <f>IF($B1975="","",ISOWEEKNUM($B1975))</f>
        <v/>
      </c>
      <c r="AC1975" s="17">
        <f>IF($B1975="","",CHOOSE(WEEKDAY($B1975,2),"Segunda","Terça","Quarta","Quinta","Sexta","Sábado","Domingo"))</f>
        <v/>
      </c>
      <c r="AD1975" s="17">
        <f>IF($B1975="","",TEXT($B1975,"MM/AAAA"))</f>
        <v/>
      </c>
      <c r="AE1975" s="18">
        <f>IF(COUNTA($B1975:$R1975)=0,"",IF($X1975="Cancelado",0,ROUND(N($Q1975)+N($S1975)+N($T1975)-N($U1975),2)))</f>
        <v/>
      </c>
      <c r="AF1975" s="9">
        <f>IF($G1975="","",IFERROR(INDEX(LINHAS_DRE_PLANO,MATCH($G1975,SUBCATEGORIAS_PLANO,0)),"Não classificado"))</f>
        <v/>
      </c>
      <c r="AG1975" s="17">
        <f>IF($G1975="","",IFERROR(INDEX(TIPOS_FLUXO_PLANO,MATCH($G1975,SUBCATEGORIAS_PLANO,0)),"Não classificado"))</f>
        <v/>
      </c>
      <c r="AH1975" s="9">
        <f>IF($G1975="","",IFERROR(INDEX(GRUPOS_PLANO,MATCH($G1975,SUBCATEGORIAS_PLANO,0)),"Não classificado"))</f>
        <v/>
      </c>
      <c r="AI1975" s="24">
        <f>IF(OR($C1975="",$X1975="Pago",$X1975="Recebido",$X1975="Cancelado"),"",$C1975-TODAY())</f>
        <v/>
      </c>
      <c r="AJ1975" s="24">
        <f>IF(OR($C1975="",$X1975="Pago",$X1975="Recebido",$X1975="Cancelado"),0,MAX(0,TODAY()-$C1975))</f>
        <v/>
      </c>
      <c r="AK1975" s="24">
        <f>IF($D1975="","",$D1975-$B1975)</f>
        <v/>
      </c>
      <c r="AL1975" s="18">
        <f>IF(OR($D1975="",$B1975=""),"",ROUND(N($R1975)*($D1975-$B1975),2))</f>
        <v/>
      </c>
      <c r="AM1975" s="17">
        <f>IF(AND($E1975="Saída",$W1975&gt;0,$C1975&lt;&gt;""),$C1975+ROW()/1000000,"")</f>
        <v/>
      </c>
      <c r="AN1975" s="17">
        <f>IF(AND($E1975="Entrada",$W1975&gt;0,$C1975&lt;&gt;""),$C1975+ROW()/1000000,"")</f>
        <v/>
      </c>
      <c r="AO1975" s="9">
        <f>IF(COUNTA($B1975:$R1975)=0,"",IF(AND($I1975&lt;&gt;"",COUNTIF(CLIENTES_NOMES,$I1975)+COUNTIF(CLIENTES_FANTASIA,$I1975)+COUNTIF(FORNECEDORES_NOMES,$I1975)+COUNTIF(FORNECEDORES_FANTASIA,$I1975)=0),"⚠ Cliente/Fornecedor não cadastrado",IF(AND($G1975&lt;&gt;"",COUNTIF(SUBCATEGORIAS_PLANO,$G1975)=0),"⚠ Subcategoria fora do plano de contas",IF(OR($Q1975="",N($Q1975)=0),"⚠ Valor previsto não informado",IF(AND(OR($X1975="Pago",$X1975="Recebido"),$D1975=""),"⚠ Status pago/recebido sem data",IF(AND($D1975&lt;&gt;"",N($R1975)=0),"⚠ Data de pagamento sem valor realizado",IF(AND(N($P1975)&gt;1,N($O1975)&gt;N($P1975)),"⚠ Nº da parcela maior que o total",IF(AND($C1975&lt;&gt;"",$B1975&lt;&gt;"",$C1975&lt;$B1975),"⚠ Vencimento anterior à competência","OK"))))))))</f>
        <v/>
      </c>
    </row>
    <row r="1976">
      <c r="A1976" s="14" t="n"/>
      <c r="B1976" s="36" t="n"/>
      <c r="C1976" s="36" t="n"/>
      <c r="D1976" s="36" t="n"/>
      <c r="E1976" s="14" t="n"/>
      <c r="F1976" s="29" t="n"/>
      <c r="G1976" s="29" t="n"/>
      <c r="H1976" s="29" t="n"/>
      <c r="I1976" s="29" t="n"/>
      <c r="J1976" s="29" t="n"/>
      <c r="K1976" s="14" t="n"/>
      <c r="L1976" s="29" t="n"/>
      <c r="M1976" s="14" t="n"/>
      <c r="N1976" s="29" t="n"/>
      <c r="O1976" s="13" t="n"/>
      <c r="P1976" s="13" t="n"/>
      <c r="Q1976" s="35" t="n"/>
      <c r="R1976" s="35" t="n"/>
      <c r="S1976" s="35" t="n"/>
      <c r="T1976" s="35" t="n"/>
      <c r="U1976" s="35" t="n"/>
      <c r="V1976" s="18">
        <f>IF(COUNTA($B1976:$R1976)=0,"",ROUND(N($R1976)+N($S1976)+N($T1976)-N($U1976),2))</f>
        <v/>
      </c>
      <c r="W1976" s="18">
        <f>IF(COUNTA($B1976:$R1976)=0,"",IF(OR($X1976="Pago",$X1976="Recebido",$X1976="Cancelado"),0,ROUND(N($Q1976)+N($S1976)+N($T1976)-N($U1976)-N($R1976),2)))</f>
        <v/>
      </c>
      <c r="X1976" s="14" t="n"/>
      <c r="Y1976" s="17">
        <f>IF(COUNTA($B1976:$R1976)=0,"",IF($X1976="Cancelado","Cancelado",IF(OR($X1976="Pago",$X1976="Recebido"),$X1976,IF(OR($X1976="Parcial",N($R1976)&gt;0),"Parcial",IF($C1976="","Sem vencimento",IF($C1976&lt;TODAY(),"Vencido",IF($C1976=TODAY(),"Vence hoje",IF($C1976&lt;=TODAY()+7,"Vence em 7 dias",IF($C1976&lt;=TODAY()+30,"Vence em 30 dias","Futuro")))))))))</f>
        <v/>
      </c>
      <c r="Z1976" s="24">
        <f>IF($B1976="","",MONTH($B1976))</f>
        <v/>
      </c>
      <c r="AA1976" s="24">
        <f>IF($B1976="","",YEAR($B1976))</f>
        <v/>
      </c>
      <c r="AB1976" s="24">
        <f>IF($B1976="","",ISOWEEKNUM($B1976))</f>
        <v/>
      </c>
      <c r="AC1976" s="17">
        <f>IF($B1976="","",CHOOSE(WEEKDAY($B1976,2),"Segunda","Terça","Quarta","Quinta","Sexta","Sábado","Domingo"))</f>
        <v/>
      </c>
      <c r="AD1976" s="17">
        <f>IF($B1976="","",TEXT($B1976,"MM/AAAA"))</f>
        <v/>
      </c>
      <c r="AE1976" s="18">
        <f>IF(COUNTA($B1976:$R1976)=0,"",IF($X1976="Cancelado",0,ROUND(N($Q1976)+N($S1976)+N($T1976)-N($U1976),2)))</f>
        <v/>
      </c>
      <c r="AF1976" s="9">
        <f>IF($G1976="","",IFERROR(INDEX(LINHAS_DRE_PLANO,MATCH($G1976,SUBCATEGORIAS_PLANO,0)),"Não classificado"))</f>
        <v/>
      </c>
      <c r="AG1976" s="17">
        <f>IF($G1976="","",IFERROR(INDEX(TIPOS_FLUXO_PLANO,MATCH($G1976,SUBCATEGORIAS_PLANO,0)),"Não classificado"))</f>
        <v/>
      </c>
      <c r="AH1976" s="9">
        <f>IF($G1976="","",IFERROR(INDEX(GRUPOS_PLANO,MATCH($G1976,SUBCATEGORIAS_PLANO,0)),"Não classificado"))</f>
        <v/>
      </c>
      <c r="AI1976" s="24">
        <f>IF(OR($C1976="",$X1976="Pago",$X1976="Recebido",$X1976="Cancelado"),"",$C1976-TODAY())</f>
        <v/>
      </c>
      <c r="AJ1976" s="24">
        <f>IF(OR($C1976="",$X1976="Pago",$X1976="Recebido",$X1976="Cancelado"),0,MAX(0,TODAY()-$C1976))</f>
        <v/>
      </c>
      <c r="AK1976" s="24">
        <f>IF($D1976="","",$D1976-$B1976)</f>
        <v/>
      </c>
      <c r="AL1976" s="18">
        <f>IF(OR($D1976="",$B1976=""),"",ROUND(N($R1976)*($D1976-$B1976),2))</f>
        <v/>
      </c>
      <c r="AM1976" s="17">
        <f>IF(AND($E1976="Saída",$W1976&gt;0,$C1976&lt;&gt;""),$C1976+ROW()/1000000,"")</f>
        <v/>
      </c>
      <c r="AN1976" s="17">
        <f>IF(AND($E1976="Entrada",$W1976&gt;0,$C1976&lt;&gt;""),$C1976+ROW()/1000000,"")</f>
        <v/>
      </c>
      <c r="AO1976" s="9">
        <f>IF(COUNTA($B1976:$R1976)=0,"",IF(AND($I1976&lt;&gt;"",COUNTIF(CLIENTES_NOMES,$I1976)+COUNTIF(CLIENTES_FANTASIA,$I1976)+COUNTIF(FORNECEDORES_NOMES,$I1976)+COUNTIF(FORNECEDORES_FANTASIA,$I1976)=0),"⚠ Cliente/Fornecedor não cadastrado",IF(AND($G1976&lt;&gt;"",COUNTIF(SUBCATEGORIAS_PLANO,$G1976)=0),"⚠ Subcategoria fora do plano de contas",IF(OR($Q1976="",N($Q1976)=0),"⚠ Valor previsto não informado",IF(AND(OR($X1976="Pago",$X1976="Recebido"),$D1976=""),"⚠ Status pago/recebido sem data",IF(AND($D1976&lt;&gt;"",N($R1976)=0),"⚠ Data de pagamento sem valor realizado",IF(AND(N($P1976)&gt;1,N($O1976)&gt;N($P1976)),"⚠ Nº da parcela maior que o total",IF(AND($C1976&lt;&gt;"",$B1976&lt;&gt;"",$C1976&lt;$B1976),"⚠ Vencimento anterior à competência","OK"))))))))</f>
        <v/>
      </c>
    </row>
    <row r="1977">
      <c r="A1977" s="14" t="n"/>
      <c r="B1977" s="36" t="n"/>
      <c r="C1977" s="36" t="n"/>
      <c r="D1977" s="36" t="n"/>
      <c r="E1977" s="14" t="n"/>
      <c r="F1977" s="29" t="n"/>
      <c r="G1977" s="29" t="n"/>
      <c r="H1977" s="29" t="n"/>
      <c r="I1977" s="29" t="n"/>
      <c r="J1977" s="29" t="n"/>
      <c r="K1977" s="14" t="n"/>
      <c r="L1977" s="29" t="n"/>
      <c r="M1977" s="14" t="n"/>
      <c r="N1977" s="29" t="n"/>
      <c r="O1977" s="13" t="n"/>
      <c r="P1977" s="13" t="n"/>
      <c r="Q1977" s="35" t="n"/>
      <c r="R1977" s="35" t="n"/>
      <c r="S1977" s="35" t="n"/>
      <c r="T1977" s="35" t="n"/>
      <c r="U1977" s="35" t="n"/>
      <c r="V1977" s="18">
        <f>IF(COUNTA($B1977:$R1977)=0,"",ROUND(N($R1977)+N($S1977)+N($T1977)-N($U1977),2))</f>
        <v/>
      </c>
      <c r="W1977" s="18">
        <f>IF(COUNTA($B1977:$R1977)=0,"",IF(OR($X1977="Pago",$X1977="Recebido",$X1977="Cancelado"),0,ROUND(N($Q1977)+N($S1977)+N($T1977)-N($U1977)-N($R1977),2)))</f>
        <v/>
      </c>
      <c r="X1977" s="14" t="n"/>
      <c r="Y1977" s="17">
        <f>IF(COUNTA($B1977:$R1977)=0,"",IF($X1977="Cancelado","Cancelado",IF(OR($X1977="Pago",$X1977="Recebido"),$X1977,IF(OR($X1977="Parcial",N($R1977)&gt;0),"Parcial",IF($C1977="","Sem vencimento",IF($C1977&lt;TODAY(),"Vencido",IF($C1977=TODAY(),"Vence hoje",IF($C1977&lt;=TODAY()+7,"Vence em 7 dias",IF($C1977&lt;=TODAY()+30,"Vence em 30 dias","Futuro")))))))))</f>
        <v/>
      </c>
      <c r="Z1977" s="24">
        <f>IF($B1977="","",MONTH($B1977))</f>
        <v/>
      </c>
      <c r="AA1977" s="24">
        <f>IF($B1977="","",YEAR($B1977))</f>
        <v/>
      </c>
      <c r="AB1977" s="24">
        <f>IF($B1977="","",ISOWEEKNUM($B1977))</f>
        <v/>
      </c>
      <c r="AC1977" s="17">
        <f>IF($B1977="","",CHOOSE(WEEKDAY($B1977,2),"Segunda","Terça","Quarta","Quinta","Sexta","Sábado","Domingo"))</f>
        <v/>
      </c>
      <c r="AD1977" s="17">
        <f>IF($B1977="","",TEXT($B1977,"MM/AAAA"))</f>
        <v/>
      </c>
      <c r="AE1977" s="18">
        <f>IF(COUNTA($B1977:$R1977)=0,"",IF($X1977="Cancelado",0,ROUND(N($Q1977)+N($S1977)+N($T1977)-N($U1977),2)))</f>
        <v/>
      </c>
      <c r="AF1977" s="9">
        <f>IF($G1977="","",IFERROR(INDEX(LINHAS_DRE_PLANO,MATCH($G1977,SUBCATEGORIAS_PLANO,0)),"Não classificado"))</f>
        <v/>
      </c>
      <c r="AG1977" s="17">
        <f>IF($G1977="","",IFERROR(INDEX(TIPOS_FLUXO_PLANO,MATCH($G1977,SUBCATEGORIAS_PLANO,0)),"Não classificado"))</f>
        <v/>
      </c>
      <c r="AH1977" s="9">
        <f>IF($G1977="","",IFERROR(INDEX(GRUPOS_PLANO,MATCH($G1977,SUBCATEGORIAS_PLANO,0)),"Não classificado"))</f>
        <v/>
      </c>
      <c r="AI1977" s="24">
        <f>IF(OR($C1977="",$X1977="Pago",$X1977="Recebido",$X1977="Cancelado"),"",$C1977-TODAY())</f>
        <v/>
      </c>
      <c r="AJ1977" s="24">
        <f>IF(OR($C1977="",$X1977="Pago",$X1977="Recebido",$X1977="Cancelado"),0,MAX(0,TODAY()-$C1977))</f>
        <v/>
      </c>
      <c r="AK1977" s="24">
        <f>IF($D1977="","",$D1977-$B1977)</f>
        <v/>
      </c>
      <c r="AL1977" s="18">
        <f>IF(OR($D1977="",$B1977=""),"",ROUND(N($R1977)*($D1977-$B1977),2))</f>
        <v/>
      </c>
      <c r="AM1977" s="17">
        <f>IF(AND($E1977="Saída",$W1977&gt;0,$C1977&lt;&gt;""),$C1977+ROW()/1000000,"")</f>
        <v/>
      </c>
      <c r="AN1977" s="17">
        <f>IF(AND($E1977="Entrada",$W1977&gt;0,$C1977&lt;&gt;""),$C1977+ROW()/1000000,"")</f>
        <v/>
      </c>
      <c r="AO1977" s="9">
        <f>IF(COUNTA($B1977:$R1977)=0,"",IF(AND($I1977&lt;&gt;"",COUNTIF(CLIENTES_NOMES,$I1977)+COUNTIF(CLIENTES_FANTASIA,$I1977)+COUNTIF(FORNECEDORES_NOMES,$I1977)+COUNTIF(FORNECEDORES_FANTASIA,$I1977)=0),"⚠ Cliente/Fornecedor não cadastrado",IF(AND($G1977&lt;&gt;"",COUNTIF(SUBCATEGORIAS_PLANO,$G1977)=0),"⚠ Subcategoria fora do plano de contas",IF(OR($Q1977="",N($Q1977)=0),"⚠ Valor previsto não informado",IF(AND(OR($X1977="Pago",$X1977="Recebido"),$D1977=""),"⚠ Status pago/recebido sem data",IF(AND($D1977&lt;&gt;"",N($R1977)=0),"⚠ Data de pagamento sem valor realizado",IF(AND(N($P1977)&gt;1,N($O1977)&gt;N($P1977)),"⚠ Nº da parcela maior que o total",IF(AND($C1977&lt;&gt;"",$B1977&lt;&gt;"",$C1977&lt;$B1977),"⚠ Vencimento anterior à competência","OK"))))))))</f>
        <v/>
      </c>
    </row>
    <row r="1978">
      <c r="A1978" s="14" t="n"/>
      <c r="B1978" s="36" t="n"/>
      <c r="C1978" s="36" t="n"/>
      <c r="D1978" s="36" t="n"/>
      <c r="E1978" s="14" t="n"/>
      <c r="F1978" s="29" t="n"/>
      <c r="G1978" s="29" t="n"/>
      <c r="H1978" s="29" t="n"/>
      <c r="I1978" s="29" t="n"/>
      <c r="J1978" s="29" t="n"/>
      <c r="K1978" s="14" t="n"/>
      <c r="L1978" s="29" t="n"/>
      <c r="M1978" s="14" t="n"/>
      <c r="N1978" s="29" t="n"/>
      <c r="O1978" s="13" t="n"/>
      <c r="P1978" s="13" t="n"/>
      <c r="Q1978" s="35" t="n"/>
      <c r="R1978" s="35" t="n"/>
      <c r="S1978" s="35" t="n"/>
      <c r="T1978" s="35" t="n"/>
      <c r="U1978" s="35" t="n"/>
      <c r="V1978" s="18">
        <f>IF(COUNTA($B1978:$R1978)=0,"",ROUND(N($R1978)+N($S1978)+N($T1978)-N($U1978),2))</f>
        <v/>
      </c>
      <c r="W1978" s="18">
        <f>IF(COUNTA($B1978:$R1978)=0,"",IF(OR($X1978="Pago",$X1978="Recebido",$X1978="Cancelado"),0,ROUND(N($Q1978)+N($S1978)+N($T1978)-N($U1978)-N($R1978),2)))</f>
        <v/>
      </c>
      <c r="X1978" s="14" t="n"/>
      <c r="Y1978" s="17">
        <f>IF(COUNTA($B1978:$R1978)=0,"",IF($X1978="Cancelado","Cancelado",IF(OR($X1978="Pago",$X1978="Recebido"),$X1978,IF(OR($X1978="Parcial",N($R1978)&gt;0),"Parcial",IF($C1978="","Sem vencimento",IF($C1978&lt;TODAY(),"Vencido",IF($C1978=TODAY(),"Vence hoje",IF($C1978&lt;=TODAY()+7,"Vence em 7 dias",IF($C1978&lt;=TODAY()+30,"Vence em 30 dias","Futuro")))))))))</f>
        <v/>
      </c>
      <c r="Z1978" s="24">
        <f>IF($B1978="","",MONTH($B1978))</f>
        <v/>
      </c>
      <c r="AA1978" s="24">
        <f>IF($B1978="","",YEAR($B1978))</f>
        <v/>
      </c>
      <c r="AB1978" s="24">
        <f>IF($B1978="","",ISOWEEKNUM($B1978))</f>
        <v/>
      </c>
      <c r="AC1978" s="17">
        <f>IF($B1978="","",CHOOSE(WEEKDAY($B1978,2),"Segunda","Terça","Quarta","Quinta","Sexta","Sábado","Domingo"))</f>
        <v/>
      </c>
      <c r="AD1978" s="17">
        <f>IF($B1978="","",TEXT($B1978,"MM/AAAA"))</f>
        <v/>
      </c>
      <c r="AE1978" s="18">
        <f>IF(COUNTA($B1978:$R1978)=0,"",IF($X1978="Cancelado",0,ROUND(N($Q1978)+N($S1978)+N($T1978)-N($U1978),2)))</f>
        <v/>
      </c>
      <c r="AF1978" s="9">
        <f>IF($G1978="","",IFERROR(INDEX(LINHAS_DRE_PLANO,MATCH($G1978,SUBCATEGORIAS_PLANO,0)),"Não classificado"))</f>
        <v/>
      </c>
      <c r="AG1978" s="17">
        <f>IF($G1978="","",IFERROR(INDEX(TIPOS_FLUXO_PLANO,MATCH($G1978,SUBCATEGORIAS_PLANO,0)),"Não classificado"))</f>
        <v/>
      </c>
      <c r="AH1978" s="9">
        <f>IF($G1978="","",IFERROR(INDEX(GRUPOS_PLANO,MATCH($G1978,SUBCATEGORIAS_PLANO,0)),"Não classificado"))</f>
        <v/>
      </c>
      <c r="AI1978" s="24">
        <f>IF(OR($C1978="",$X1978="Pago",$X1978="Recebido",$X1978="Cancelado"),"",$C1978-TODAY())</f>
        <v/>
      </c>
      <c r="AJ1978" s="24">
        <f>IF(OR($C1978="",$X1978="Pago",$X1978="Recebido",$X1978="Cancelado"),0,MAX(0,TODAY()-$C1978))</f>
        <v/>
      </c>
      <c r="AK1978" s="24">
        <f>IF($D1978="","",$D1978-$B1978)</f>
        <v/>
      </c>
      <c r="AL1978" s="18">
        <f>IF(OR($D1978="",$B1978=""),"",ROUND(N($R1978)*($D1978-$B1978),2))</f>
        <v/>
      </c>
      <c r="AM1978" s="17">
        <f>IF(AND($E1978="Saída",$W1978&gt;0,$C1978&lt;&gt;""),$C1978+ROW()/1000000,"")</f>
        <v/>
      </c>
      <c r="AN1978" s="17">
        <f>IF(AND($E1978="Entrada",$W1978&gt;0,$C1978&lt;&gt;""),$C1978+ROW()/1000000,"")</f>
        <v/>
      </c>
      <c r="AO1978" s="9">
        <f>IF(COUNTA($B1978:$R1978)=0,"",IF(AND($I1978&lt;&gt;"",COUNTIF(CLIENTES_NOMES,$I1978)+COUNTIF(CLIENTES_FANTASIA,$I1978)+COUNTIF(FORNECEDORES_NOMES,$I1978)+COUNTIF(FORNECEDORES_FANTASIA,$I1978)=0),"⚠ Cliente/Fornecedor não cadastrado",IF(AND($G1978&lt;&gt;"",COUNTIF(SUBCATEGORIAS_PLANO,$G1978)=0),"⚠ Subcategoria fora do plano de contas",IF(OR($Q1978="",N($Q1978)=0),"⚠ Valor previsto não informado",IF(AND(OR($X1978="Pago",$X1978="Recebido"),$D1978=""),"⚠ Status pago/recebido sem data",IF(AND($D1978&lt;&gt;"",N($R1978)=0),"⚠ Data de pagamento sem valor realizado",IF(AND(N($P1978)&gt;1,N($O1978)&gt;N($P1978)),"⚠ Nº da parcela maior que o total",IF(AND($C1978&lt;&gt;"",$B1978&lt;&gt;"",$C1978&lt;$B1978),"⚠ Vencimento anterior à competência","OK"))))))))</f>
        <v/>
      </c>
    </row>
    <row r="1979">
      <c r="A1979" s="14" t="n"/>
      <c r="B1979" s="36" t="n"/>
      <c r="C1979" s="36" t="n"/>
      <c r="D1979" s="36" t="n"/>
      <c r="E1979" s="14" t="n"/>
      <c r="F1979" s="29" t="n"/>
      <c r="G1979" s="29" t="n"/>
      <c r="H1979" s="29" t="n"/>
      <c r="I1979" s="29" t="n"/>
      <c r="J1979" s="29" t="n"/>
      <c r="K1979" s="14" t="n"/>
      <c r="L1979" s="29" t="n"/>
      <c r="M1979" s="14" t="n"/>
      <c r="N1979" s="29" t="n"/>
      <c r="O1979" s="13" t="n"/>
      <c r="P1979" s="13" t="n"/>
      <c r="Q1979" s="35" t="n"/>
      <c r="R1979" s="35" t="n"/>
      <c r="S1979" s="35" t="n"/>
      <c r="T1979" s="35" t="n"/>
      <c r="U1979" s="35" t="n"/>
      <c r="V1979" s="18">
        <f>IF(COUNTA($B1979:$R1979)=0,"",ROUND(N($R1979)+N($S1979)+N($T1979)-N($U1979),2))</f>
        <v/>
      </c>
      <c r="W1979" s="18">
        <f>IF(COUNTA($B1979:$R1979)=0,"",IF(OR($X1979="Pago",$X1979="Recebido",$X1979="Cancelado"),0,ROUND(N($Q1979)+N($S1979)+N($T1979)-N($U1979)-N($R1979),2)))</f>
        <v/>
      </c>
      <c r="X1979" s="14" t="n"/>
      <c r="Y1979" s="17">
        <f>IF(COUNTA($B1979:$R1979)=0,"",IF($X1979="Cancelado","Cancelado",IF(OR($X1979="Pago",$X1979="Recebido"),$X1979,IF(OR($X1979="Parcial",N($R1979)&gt;0),"Parcial",IF($C1979="","Sem vencimento",IF($C1979&lt;TODAY(),"Vencido",IF($C1979=TODAY(),"Vence hoje",IF($C1979&lt;=TODAY()+7,"Vence em 7 dias",IF($C1979&lt;=TODAY()+30,"Vence em 30 dias","Futuro")))))))))</f>
        <v/>
      </c>
      <c r="Z1979" s="24">
        <f>IF($B1979="","",MONTH($B1979))</f>
        <v/>
      </c>
      <c r="AA1979" s="24">
        <f>IF($B1979="","",YEAR($B1979))</f>
        <v/>
      </c>
      <c r="AB1979" s="24">
        <f>IF($B1979="","",ISOWEEKNUM($B1979))</f>
        <v/>
      </c>
      <c r="AC1979" s="17">
        <f>IF($B1979="","",CHOOSE(WEEKDAY($B1979,2),"Segunda","Terça","Quarta","Quinta","Sexta","Sábado","Domingo"))</f>
        <v/>
      </c>
      <c r="AD1979" s="17">
        <f>IF($B1979="","",TEXT($B1979,"MM/AAAA"))</f>
        <v/>
      </c>
      <c r="AE1979" s="18">
        <f>IF(COUNTA($B1979:$R1979)=0,"",IF($X1979="Cancelado",0,ROUND(N($Q1979)+N($S1979)+N($T1979)-N($U1979),2)))</f>
        <v/>
      </c>
      <c r="AF1979" s="9">
        <f>IF($G1979="","",IFERROR(INDEX(LINHAS_DRE_PLANO,MATCH($G1979,SUBCATEGORIAS_PLANO,0)),"Não classificado"))</f>
        <v/>
      </c>
      <c r="AG1979" s="17">
        <f>IF($G1979="","",IFERROR(INDEX(TIPOS_FLUXO_PLANO,MATCH($G1979,SUBCATEGORIAS_PLANO,0)),"Não classificado"))</f>
        <v/>
      </c>
      <c r="AH1979" s="9">
        <f>IF($G1979="","",IFERROR(INDEX(GRUPOS_PLANO,MATCH($G1979,SUBCATEGORIAS_PLANO,0)),"Não classificado"))</f>
        <v/>
      </c>
      <c r="AI1979" s="24">
        <f>IF(OR($C1979="",$X1979="Pago",$X1979="Recebido",$X1979="Cancelado"),"",$C1979-TODAY())</f>
        <v/>
      </c>
      <c r="AJ1979" s="24">
        <f>IF(OR($C1979="",$X1979="Pago",$X1979="Recebido",$X1979="Cancelado"),0,MAX(0,TODAY()-$C1979))</f>
        <v/>
      </c>
      <c r="AK1979" s="24">
        <f>IF($D1979="","",$D1979-$B1979)</f>
        <v/>
      </c>
      <c r="AL1979" s="18">
        <f>IF(OR($D1979="",$B1979=""),"",ROUND(N($R1979)*($D1979-$B1979),2))</f>
        <v/>
      </c>
      <c r="AM1979" s="17">
        <f>IF(AND($E1979="Saída",$W1979&gt;0,$C1979&lt;&gt;""),$C1979+ROW()/1000000,"")</f>
        <v/>
      </c>
      <c r="AN1979" s="17">
        <f>IF(AND($E1979="Entrada",$W1979&gt;0,$C1979&lt;&gt;""),$C1979+ROW()/1000000,"")</f>
        <v/>
      </c>
      <c r="AO1979" s="9">
        <f>IF(COUNTA($B1979:$R1979)=0,"",IF(AND($I1979&lt;&gt;"",COUNTIF(CLIENTES_NOMES,$I1979)+COUNTIF(CLIENTES_FANTASIA,$I1979)+COUNTIF(FORNECEDORES_NOMES,$I1979)+COUNTIF(FORNECEDORES_FANTASIA,$I1979)=0),"⚠ Cliente/Fornecedor não cadastrado",IF(AND($G1979&lt;&gt;"",COUNTIF(SUBCATEGORIAS_PLANO,$G1979)=0),"⚠ Subcategoria fora do plano de contas",IF(OR($Q1979="",N($Q1979)=0),"⚠ Valor previsto não informado",IF(AND(OR($X1979="Pago",$X1979="Recebido"),$D1979=""),"⚠ Status pago/recebido sem data",IF(AND($D1979&lt;&gt;"",N($R1979)=0),"⚠ Data de pagamento sem valor realizado",IF(AND(N($P1979)&gt;1,N($O1979)&gt;N($P1979)),"⚠ Nº da parcela maior que o total",IF(AND($C1979&lt;&gt;"",$B1979&lt;&gt;"",$C1979&lt;$B1979),"⚠ Vencimento anterior à competência","OK"))))))))</f>
        <v/>
      </c>
    </row>
    <row r="1980">
      <c r="A1980" s="14" t="n"/>
      <c r="B1980" s="36" t="n"/>
      <c r="C1980" s="36" t="n"/>
      <c r="D1980" s="36" t="n"/>
      <c r="E1980" s="14" t="n"/>
      <c r="F1980" s="29" t="n"/>
      <c r="G1980" s="29" t="n"/>
      <c r="H1980" s="29" t="n"/>
      <c r="I1980" s="29" t="n"/>
      <c r="J1980" s="29" t="n"/>
      <c r="K1980" s="14" t="n"/>
      <c r="L1980" s="29" t="n"/>
      <c r="M1980" s="14" t="n"/>
      <c r="N1980" s="29" t="n"/>
      <c r="O1980" s="13" t="n"/>
      <c r="P1980" s="13" t="n"/>
      <c r="Q1980" s="35" t="n"/>
      <c r="R1980" s="35" t="n"/>
      <c r="S1980" s="35" t="n"/>
      <c r="T1980" s="35" t="n"/>
      <c r="U1980" s="35" t="n"/>
      <c r="V1980" s="18">
        <f>IF(COUNTA($B1980:$R1980)=0,"",ROUND(N($R1980)+N($S1980)+N($T1980)-N($U1980),2))</f>
        <v/>
      </c>
      <c r="W1980" s="18">
        <f>IF(COUNTA($B1980:$R1980)=0,"",IF(OR($X1980="Pago",$X1980="Recebido",$X1980="Cancelado"),0,ROUND(N($Q1980)+N($S1980)+N($T1980)-N($U1980)-N($R1980),2)))</f>
        <v/>
      </c>
      <c r="X1980" s="14" t="n"/>
      <c r="Y1980" s="17">
        <f>IF(COUNTA($B1980:$R1980)=0,"",IF($X1980="Cancelado","Cancelado",IF(OR($X1980="Pago",$X1980="Recebido"),$X1980,IF(OR($X1980="Parcial",N($R1980)&gt;0),"Parcial",IF($C1980="","Sem vencimento",IF($C1980&lt;TODAY(),"Vencido",IF($C1980=TODAY(),"Vence hoje",IF($C1980&lt;=TODAY()+7,"Vence em 7 dias",IF($C1980&lt;=TODAY()+30,"Vence em 30 dias","Futuro")))))))))</f>
        <v/>
      </c>
      <c r="Z1980" s="24">
        <f>IF($B1980="","",MONTH($B1980))</f>
        <v/>
      </c>
      <c r="AA1980" s="24">
        <f>IF($B1980="","",YEAR($B1980))</f>
        <v/>
      </c>
      <c r="AB1980" s="24">
        <f>IF($B1980="","",ISOWEEKNUM($B1980))</f>
        <v/>
      </c>
      <c r="AC1980" s="17">
        <f>IF($B1980="","",CHOOSE(WEEKDAY($B1980,2),"Segunda","Terça","Quarta","Quinta","Sexta","Sábado","Domingo"))</f>
        <v/>
      </c>
      <c r="AD1980" s="17">
        <f>IF($B1980="","",TEXT($B1980,"MM/AAAA"))</f>
        <v/>
      </c>
      <c r="AE1980" s="18">
        <f>IF(COUNTA($B1980:$R1980)=0,"",IF($X1980="Cancelado",0,ROUND(N($Q1980)+N($S1980)+N($T1980)-N($U1980),2)))</f>
        <v/>
      </c>
      <c r="AF1980" s="9">
        <f>IF($G1980="","",IFERROR(INDEX(LINHAS_DRE_PLANO,MATCH($G1980,SUBCATEGORIAS_PLANO,0)),"Não classificado"))</f>
        <v/>
      </c>
      <c r="AG1980" s="17">
        <f>IF($G1980="","",IFERROR(INDEX(TIPOS_FLUXO_PLANO,MATCH($G1980,SUBCATEGORIAS_PLANO,0)),"Não classificado"))</f>
        <v/>
      </c>
      <c r="AH1980" s="9">
        <f>IF($G1980="","",IFERROR(INDEX(GRUPOS_PLANO,MATCH($G1980,SUBCATEGORIAS_PLANO,0)),"Não classificado"))</f>
        <v/>
      </c>
      <c r="AI1980" s="24">
        <f>IF(OR($C1980="",$X1980="Pago",$X1980="Recebido",$X1980="Cancelado"),"",$C1980-TODAY())</f>
        <v/>
      </c>
      <c r="AJ1980" s="24">
        <f>IF(OR($C1980="",$X1980="Pago",$X1980="Recebido",$X1980="Cancelado"),0,MAX(0,TODAY()-$C1980))</f>
        <v/>
      </c>
      <c r="AK1980" s="24">
        <f>IF($D1980="","",$D1980-$B1980)</f>
        <v/>
      </c>
      <c r="AL1980" s="18">
        <f>IF(OR($D1980="",$B1980=""),"",ROUND(N($R1980)*($D1980-$B1980),2))</f>
        <v/>
      </c>
      <c r="AM1980" s="17">
        <f>IF(AND($E1980="Saída",$W1980&gt;0,$C1980&lt;&gt;""),$C1980+ROW()/1000000,"")</f>
        <v/>
      </c>
      <c r="AN1980" s="17">
        <f>IF(AND($E1980="Entrada",$W1980&gt;0,$C1980&lt;&gt;""),$C1980+ROW()/1000000,"")</f>
        <v/>
      </c>
      <c r="AO1980" s="9">
        <f>IF(COUNTA($B1980:$R1980)=0,"",IF(AND($I1980&lt;&gt;"",COUNTIF(CLIENTES_NOMES,$I1980)+COUNTIF(CLIENTES_FANTASIA,$I1980)+COUNTIF(FORNECEDORES_NOMES,$I1980)+COUNTIF(FORNECEDORES_FANTASIA,$I1980)=0),"⚠ Cliente/Fornecedor não cadastrado",IF(AND($G1980&lt;&gt;"",COUNTIF(SUBCATEGORIAS_PLANO,$G1980)=0),"⚠ Subcategoria fora do plano de contas",IF(OR($Q1980="",N($Q1980)=0),"⚠ Valor previsto não informado",IF(AND(OR($X1980="Pago",$X1980="Recebido"),$D1980=""),"⚠ Status pago/recebido sem data",IF(AND($D1980&lt;&gt;"",N($R1980)=0),"⚠ Data de pagamento sem valor realizado",IF(AND(N($P1980)&gt;1,N($O1980)&gt;N($P1980)),"⚠ Nº da parcela maior que o total",IF(AND($C1980&lt;&gt;"",$B1980&lt;&gt;"",$C1980&lt;$B1980),"⚠ Vencimento anterior à competência","OK"))))))))</f>
        <v/>
      </c>
    </row>
    <row r="1981">
      <c r="A1981" s="14" t="n"/>
      <c r="B1981" s="36" t="n"/>
      <c r="C1981" s="36" t="n"/>
      <c r="D1981" s="36" t="n"/>
      <c r="E1981" s="14" t="n"/>
      <c r="F1981" s="29" t="n"/>
      <c r="G1981" s="29" t="n"/>
      <c r="H1981" s="29" t="n"/>
      <c r="I1981" s="29" t="n"/>
      <c r="J1981" s="29" t="n"/>
      <c r="K1981" s="14" t="n"/>
      <c r="L1981" s="29" t="n"/>
      <c r="M1981" s="14" t="n"/>
      <c r="N1981" s="29" t="n"/>
      <c r="O1981" s="13" t="n"/>
      <c r="P1981" s="13" t="n"/>
      <c r="Q1981" s="35" t="n"/>
      <c r="R1981" s="35" t="n"/>
      <c r="S1981" s="35" t="n"/>
      <c r="T1981" s="35" t="n"/>
      <c r="U1981" s="35" t="n"/>
      <c r="V1981" s="18">
        <f>IF(COUNTA($B1981:$R1981)=0,"",ROUND(N($R1981)+N($S1981)+N($T1981)-N($U1981),2))</f>
        <v/>
      </c>
      <c r="W1981" s="18">
        <f>IF(COUNTA($B1981:$R1981)=0,"",IF(OR($X1981="Pago",$X1981="Recebido",$X1981="Cancelado"),0,ROUND(N($Q1981)+N($S1981)+N($T1981)-N($U1981)-N($R1981),2)))</f>
        <v/>
      </c>
      <c r="X1981" s="14" t="n"/>
      <c r="Y1981" s="17">
        <f>IF(COUNTA($B1981:$R1981)=0,"",IF($X1981="Cancelado","Cancelado",IF(OR($X1981="Pago",$X1981="Recebido"),$X1981,IF(OR($X1981="Parcial",N($R1981)&gt;0),"Parcial",IF($C1981="","Sem vencimento",IF($C1981&lt;TODAY(),"Vencido",IF($C1981=TODAY(),"Vence hoje",IF($C1981&lt;=TODAY()+7,"Vence em 7 dias",IF($C1981&lt;=TODAY()+30,"Vence em 30 dias","Futuro")))))))))</f>
        <v/>
      </c>
      <c r="Z1981" s="24">
        <f>IF($B1981="","",MONTH($B1981))</f>
        <v/>
      </c>
      <c r="AA1981" s="24">
        <f>IF($B1981="","",YEAR($B1981))</f>
        <v/>
      </c>
      <c r="AB1981" s="24">
        <f>IF($B1981="","",ISOWEEKNUM($B1981))</f>
        <v/>
      </c>
      <c r="AC1981" s="17">
        <f>IF($B1981="","",CHOOSE(WEEKDAY($B1981,2),"Segunda","Terça","Quarta","Quinta","Sexta","Sábado","Domingo"))</f>
        <v/>
      </c>
      <c r="AD1981" s="17">
        <f>IF($B1981="","",TEXT($B1981,"MM/AAAA"))</f>
        <v/>
      </c>
      <c r="AE1981" s="18">
        <f>IF(COUNTA($B1981:$R1981)=0,"",IF($X1981="Cancelado",0,ROUND(N($Q1981)+N($S1981)+N($T1981)-N($U1981),2)))</f>
        <v/>
      </c>
      <c r="AF1981" s="9">
        <f>IF($G1981="","",IFERROR(INDEX(LINHAS_DRE_PLANO,MATCH($G1981,SUBCATEGORIAS_PLANO,0)),"Não classificado"))</f>
        <v/>
      </c>
      <c r="AG1981" s="17">
        <f>IF($G1981="","",IFERROR(INDEX(TIPOS_FLUXO_PLANO,MATCH($G1981,SUBCATEGORIAS_PLANO,0)),"Não classificado"))</f>
        <v/>
      </c>
      <c r="AH1981" s="9">
        <f>IF($G1981="","",IFERROR(INDEX(GRUPOS_PLANO,MATCH($G1981,SUBCATEGORIAS_PLANO,0)),"Não classificado"))</f>
        <v/>
      </c>
      <c r="AI1981" s="24">
        <f>IF(OR($C1981="",$X1981="Pago",$X1981="Recebido",$X1981="Cancelado"),"",$C1981-TODAY())</f>
        <v/>
      </c>
      <c r="AJ1981" s="24">
        <f>IF(OR($C1981="",$X1981="Pago",$X1981="Recebido",$X1981="Cancelado"),0,MAX(0,TODAY()-$C1981))</f>
        <v/>
      </c>
      <c r="AK1981" s="24">
        <f>IF($D1981="","",$D1981-$B1981)</f>
        <v/>
      </c>
      <c r="AL1981" s="18">
        <f>IF(OR($D1981="",$B1981=""),"",ROUND(N($R1981)*($D1981-$B1981),2))</f>
        <v/>
      </c>
      <c r="AM1981" s="17">
        <f>IF(AND($E1981="Saída",$W1981&gt;0,$C1981&lt;&gt;""),$C1981+ROW()/1000000,"")</f>
        <v/>
      </c>
      <c r="AN1981" s="17">
        <f>IF(AND($E1981="Entrada",$W1981&gt;0,$C1981&lt;&gt;""),$C1981+ROW()/1000000,"")</f>
        <v/>
      </c>
      <c r="AO1981" s="9">
        <f>IF(COUNTA($B1981:$R1981)=0,"",IF(AND($I1981&lt;&gt;"",COUNTIF(CLIENTES_NOMES,$I1981)+COUNTIF(CLIENTES_FANTASIA,$I1981)+COUNTIF(FORNECEDORES_NOMES,$I1981)+COUNTIF(FORNECEDORES_FANTASIA,$I1981)=0),"⚠ Cliente/Fornecedor não cadastrado",IF(AND($G1981&lt;&gt;"",COUNTIF(SUBCATEGORIAS_PLANO,$G1981)=0),"⚠ Subcategoria fora do plano de contas",IF(OR($Q1981="",N($Q1981)=0),"⚠ Valor previsto não informado",IF(AND(OR($X1981="Pago",$X1981="Recebido"),$D1981=""),"⚠ Status pago/recebido sem data",IF(AND($D1981&lt;&gt;"",N($R1981)=0),"⚠ Data de pagamento sem valor realizado",IF(AND(N($P1981)&gt;1,N($O1981)&gt;N($P1981)),"⚠ Nº da parcela maior que o total",IF(AND($C1981&lt;&gt;"",$B1981&lt;&gt;"",$C1981&lt;$B1981),"⚠ Vencimento anterior à competência","OK"))))))))</f>
        <v/>
      </c>
    </row>
    <row r="1982">
      <c r="A1982" s="14" t="n"/>
      <c r="B1982" s="36" t="n"/>
      <c r="C1982" s="36" t="n"/>
      <c r="D1982" s="36" t="n"/>
      <c r="E1982" s="14" t="n"/>
      <c r="F1982" s="29" t="n"/>
      <c r="G1982" s="29" t="n"/>
      <c r="H1982" s="29" t="n"/>
      <c r="I1982" s="29" t="n"/>
      <c r="J1982" s="29" t="n"/>
      <c r="K1982" s="14" t="n"/>
      <c r="L1982" s="29" t="n"/>
      <c r="M1982" s="14" t="n"/>
      <c r="N1982" s="29" t="n"/>
      <c r="O1982" s="13" t="n"/>
      <c r="P1982" s="13" t="n"/>
      <c r="Q1982" s="35" t="n"/>
      <c r="R1982" s="35" t="n"/>
      <c r="S1982" s="35" t="n"/>
      <c r="T1982" s="35" t="n"/>
      <c r="U1982" s="35" t="n"/>
      <c r="V1982" s="18">
        <f>IF(COUNTA($B1982:$R1982)=0,"",ROUND(N($R1982)+N($S1982)+N($T1982)-N($U1982),2))</f>
        <v/>
      </c>
      <c r="W1982" s="18">
        <f>IF(COUNTA($B1982:$R1982)=0,"",IF(OR($X1982="Pago",$X1982="Recebido",$X1982="Cancelado"),0,ROUND(N($Q1982)+N($S1982)+N($T1982)-N($U1982)-N($R1982),2)))</f>
        <v/>
      </c>
      <c r="X1982" s="14" t="n"/>
      <c r="Y1982" s="17">
        <f>IF(COUNTA($B1982:$R1982)=0,"",IF($X1982="Cancelado","Cancelado",IF(OR($X1982="Pago",$X1982="Recebido"),$X1982,IF(OR($X1982="Parcial",N($R1982)&gt;0),"Parcial",IF($C1982="","Sem vencimento",IF($C1982&lt;TODAY(),"Vencido",IF($C1982=TODAY(),"Vence hoje",IF($C1982&lt;=TODAY()+7,"Vence em 7 dias",IF($C1982&lt;=TODAY()+30,"Vence em 30 dias","Futuro")))))))))</f>
        <v/>
      </c>
      <c r="Z1982" s="24">
        <f>IF($B1982="","",MONTH($B1982))</f>
        <v/>
      </c>
      <c r="AA1982" s="24">
        <f>IF($B1982="","",YEAR($B1982))</f>
        <v/>
      </c>
      <c r="AB1982" s="24">
        <f>IF($B1982="","",ISOWEEKNUM($B1982))</f>
        <v/>
      </c>
      <c r="AC1982" s="17">
        <f>IF($B1982="","",CHOOSE(WEEKDAY($B1982,2),"Segunda","Terça","Quarta","Quinta","Sexta","Sábado","Domingo"))</f>
        <v/>
      </c>
      <c r="AD1982" s="17">
        <f>IF($B1982="","",TEXT($B1982,"MM/AAAA"))</f>
        <v/>
      </c>
      <c r="AE1982" s="18">
        <f>IF(COUNTA($B1982:$R1982)=0,"",IF($X1982="Cancelado",0,ROUND(N($Q1982)+N($S1982)+N($T1982)-N($U1982),2)))</f>
        <v/>
      </c>
      <c r="AF1982" s="9">
        <f>IF($G1982="","",IFERROR(INDEX(LINHAS_DRE_PLANO,MATCH($G1982,SUBCATEGORIAS_PLANO,0)),"Não classificado"))</f>
        <v/>
      </c>
      <c r="AG1982" s="17">
        <f>IF($G1982="","",IFERROR(INDEX(TIPOS_FLUXO_PLANO,MATCH($G1982,SUBCATEGORIAS_PLANO,0)),"Não classificado"))</f>
        <v/>
      </c>
      <c r="AH1982" s="9">
        <f>IF($G1982="","",IFERROR(INDEX(GRUPOS_PLANO,MATCH($G1982,SUBCATEGORIAS_PLANO,0)),"Não classificado"))</f>
        <v/>
      </c>
      <c r="AI1982" s="24">
        <f>IF(OR($C1982="",$X1982="Pago",$X1982="Recebido",$X1982="Cancelado"),"",$C1982-TODAY())</f>
        <v/>
      </c>
      <c r="AJ1982" s="24">
        <f>IF(OR($C1982="",$X1982="Pago",$X1982="Recebido",$X1982="Cancelado"),0,MAX(0,TODAY()-$C1982))</f>
        <v/>
      </c>
      <c r="AK1982" s="24">
        <f>IF($D1982="","",$D1982-$B1982)</f>
        <v/>
      </c>
      <c r="AL1982" s="18">
        <f>IF(OR($D1982="",$B1982=""),"",ROUND(N($R1982)*($D1982-$B1982),2))</f>
        <v/>
      </c>
      <c r="AM1982" s="17">
        <f>IF(AND($E1982="Saída",$W1982&gt;0,$C1982&lt;&gt;""),$C1982+ROW()/1000000,"")</f>
        <v/>
      </c>
      <c r="AN1982" s="17">
        <f>IF(AND($E1982="Entrada",$W1982&gt;0,$C1982&lt;&gt;""),$C1982+ROW()/1000000,"")</f>
        <v/>
      </c>
      <c r="AO1982" s="9">
        <f>IF(COUNTA($B1982:$R1982)=0,"",IF(AND($I1982&lt;&gt;"",COUNTIF(CLIENTES_NOMES,$I1982)+COUNTIF(CLIENTES_FANTASIA,$I1982)+COUNTIF(FORNECEDORES_NOMES,$I1982)+COUNTIF(FORNECEDORES_FANTASIA,$I1982)=0),"⚠ Cliente/Fornecedor não cadastrado",IF(AND($G1982&lt;&gt;"",COUNTIF(SUBCATEGORIAS_PLANO,$G1982)=0),"⚠ Subcategoria fora do plano de contas",IF(OR($Q1982="",N($Q1982)=0),"⚠ Valor previsto não informado",IF(AND(OR($X1982="Pago",$X1982="Recebido"),$D1982=""),"⚠ Status pago/recebido sem data",IF(AND($D1982&lt;&gt;"",N($R1982)=0),"⚠ Data de pagamento sem valor realizado",IF(AND(N($P1982)&gt;1,N($O1982)&gt;N($P1982)),"⚠ Nº da parcela maior que o total",IF(AND($C1982&lt;&gt;"",$B1982&lt;&gt;"",$C1982&lt;$B1982),"⚠ Vencimento anterior à competência","OK"))))))))</f>
        <v/>
      </c>
    </row>
    <row r="1983">
      <c r="A1983" s="14" t="n"/>
      <c r="B1983" s="36" t="n"/>
      <c r="C1983" s="36" t="n"/>
      <c r="D1983" s="36" t="n"/>
      <c r="E1983" s="14" t="n"/>
      <c r="F1983" s="29" t="n"/>
      <c r="G1983" s="29" t="n"/>
      <c r="H1983" s="29" t="n"/>
      <c r="I1983" s="29" t="n"/>
      <c r="J1983" s="29" t="n"/>
      <c r="K1983" s="14" t="n"/>
      <c r="L1983" s="29" t="n"/>
      <c r="M1983" s="14" t="n"/>
      <c r="N1983" s="29" t="n"/>
      <c r="O1983" s="13" t="n"/>
      <c r="P1983" s="13" t="n"/>
      <c r="Q1983" s="35" t="n"/>
      <c r="R1983" s="35" t="n"/>
      <c r="S1983" s="35" t="n"/>
      <c r="T1983" s="35" t="n"/>
      <c r="U1983" s="35" t="n"/>
      <c r="V1983" s="18">
        <f>IF(COUNTA($B1983:$R1983)=0,"",ROUND(N($R1983)+N($S1983)+N($T1983)-N($U1983),2))</f>
        <v/>
      </c>
      <c r="W1983" s="18">
        <f>IF(COUNTA($B1983:$R1983)=0,"",IF(OR($X1983="Pago",$X1983="Recebido",$X1983="Cancelado"),0,ROUND(N($Q1983)+N($S1983)+N($T1983)-N($U1983)-N($R1983),2)))</f>
        <v/>
      </c>
      <c r="X1983" s="14" t="n"/>
      <c r="Y1983" s="17">
        <f>IF(COUNTA($B1983:$R1983)=0,"",IF($X1983="Cancelado","Cancelado",IF(OR($X1983="Pago",$X1983="Recebido"),$X1983,IF(OR($X1983="Parcial",N($R1983)&gt;0),"Parcial",IF($C1983="","Sem vencimento",IF($C1983&lt;TODAY(),"Vencido",IF($C1983=TODAY(),"Vence hoje",IF($C1983&lt;=TODAY()+7,"Vence em 7 dias",IF($C1983&lt;=TODAY()+30,"Vence em 30 dias","Futuro")))))))))</f>
        <v/>
      </c>
      <c r="Z1983" s="24">
        <f>IF($B1983="","",MONTH($B1983))</f>
        <v/>
      </c>
      <c r="AA1983" s="24">
        <f>IF($B1983="","",YEAR($B1983))</f>
        <v/>
      </c>
      <c r="AB1983" s="24">
        <f>IF($B1983="","",ISOWEEKNUM($B1983))</f>
        <v/>
      </c>
      <c r="AC1983" s="17">
        <f>IF($B1983="","",CHOOSE(WEEKDAY($B1983,2),"Segunda","Terça","Quarta","Quinta","Sexta","Sábado","Domingo"))</f>
        <v/>
      </c>
      <c r="AD1983" s="17">
        <f>IF($B1983="","",TEXT($B1983,"MM/AAAA"))</f>
        <v/>
      </c>
      <c r="AE1983" s="18">
        <f>IF(COUNTA($B1983:$R1983)=0,"",IF($X1983="Cancelado",0,ROUND(N($Q1983)+N($S1983)+N($T1983)-N($U1983),2)))</f>
        <v/>
      </c>
      <c r="AF1983" s="9">
        <f>IF($G1983="","",IFERROR(INDEX(LINHAS_DRE_PLANO,MATCH($G1983,SUBCATEGORIAS_PLANO,0)),"Não classificado"))</f>
        <v/>
      </c>
      <c r="AG1983" s="17">
        <f>IF($G1983="","",IFERROR(INDEX(TIPOS_FLUXO_PLANO,MATCH($G1983,SUBCATEGORIAS_PLANO,0)),"Não classificado"))</f>
        <v/>
      </c>
      <c r="AH1983" s="9">
        <f>IF($G1983="","",IFERROR(INDEX(GRUPOS_PLANO,MATCH($G1983,SUBCATEGORIAS_PLANO,0)),"Não classificado"))</f>
        <v/>
      </c>
      <c r="AI1983" s="24">
        <f>IF(OR($C1983="",$X1983="Pago",$X1983="Recebido",$X1983="Cancelado"),"",$C1983-TODAY())</f>
        <v/>
      </c>
      <c r="AJ1983" s="24">
        <f>IF(OR($C1983="",$X1983="Pago",$X1983="Recebido",$X1983="Cancelado"),0,MAX(0,TODAY()-$C1983))</f>
        <v/>
      </c>
      <c r="AK1983" s="24">
        <f>IF($D1983="","",$D1983-$B1983)</f>
        <v/>
      </c>
      <c r="AL1983" s="18">
        <f>IF(OR($D1983="",$B1983=""),"",ROUND(N($R1983)*($D1983-$B1983),2))</f>
        <v/>
      </c>
      <c r="AM1983" s="17">
        <f>IF(AND($E1983="Saída",$W1983&gt;0,$C1983&lt;&gt;""),$C1983+ROW()/1000000,"")</f>
        <v/>
      </c>
      <c r="AN1983" s="17">
        <f>IF(AND($E1983="Entrada",$W1983&gt;0,$C1983&lt;&gt;""),$C1983+ROW()/1000000,"")</f>
        <v/>
      </c>
      <c r="AO1983" s="9">
        <f>IF(COUNTA($B1983:$R1983)=0,"",IF(AND($I1983&lt;&gt;"",COUNTIF(CLIENTES_NOMES,$I1983)+COUNTIF(CLIENTES_FANTASIA,$I1983)+COUNTIF(FORNECEDORES_NOMES,$I1983)+COUNTIF(FORNECEDORES_FANTASIA,$I1983)=0),"⚠ Cliente/Fornecedor não cadastrado",IF(AND($G1983&lt;&gt;"",COUNTIF(SUBCATEGORIAS_PLANO,$G1983)=0),"⚠ Subcategoria fora do plano de contas",IF(OR($Q1983="",N($Q1983)=0),"⚠ Valor previsto não informado",IF(AND(OR($X1983="Pago",$X1983="Recebido"),$D1983=""),"⚠ Status pago/recebido sem data",IF(AND($D1983&lt;&gt;"",N($R1983)=0),"⚠ Data de pagamento sem valor realizado",IF(AND(N($P1983)&gt;1,N($O1983)&gt;N($P1983)),"⚠ Nº da parcela maior que o total",IF(AND($C1983&lt;&gt;"",$B1983&lt;&gt;"",$C1983&lt;$B1983),"⚠ Vencimento anterior à competência","OK"))))))))</f>
        <v/>
      </c>
    </row>
    <row r="1984">
      <c r="A1984" s="14" t="n"/>
      <c r="B1984" s="36" t="n"/>
      <c r="C1984" s="36" t="n"/>
      <c r="D1984" s="36" t="n"/>
      <c r="E1984" s="14" t="n"/>
      <c r="F1984" s="29" t="n"/>
      <c r="G1984" s="29" t="n"/>
      <c r="H1984" s="29" t="n"/>
      <c r="I1984" s="29" t="n"/>
      <c r="J1984" s="29" t="n"/>
      <c r="K1984" s="14" t="n"/>
      <c r="L1984" s="29" t="n"/>
      <c r="M1984" s="14" t="n"/>
      <c r="N1984" s="29" t="n"/>
      <c r="O1984" s="13" t="n"/>
      <c r="P1984" s="13" t="n"/>
      <c r="Q1984" s="35" t="n"/>
      <c r="R1984" s="35" t="n"/>
      <c r="S1984" s="35" t="n"/>
      <c r="T1984" s="35" t="n"/>
      <c r="U1984" s="35" t="n"/>
      <c r="V1984" s="18">
        <f>IF(COUNTA($B1984:$R1984)=0,"",ROUND(N($R1984)+N($S1984)+N($T1984)-N($U1984),2))</f>
        <v/>
      </c>
      <c r="W1984" s="18">
        <f>IF(COUNTA($B1984:$R1984)=0,"",IF(OR($X1984="Pago",$X1984="Recebido",$X1984="Cancelado"),0,ROUND(N($Q1984)+N($S1984)+N($T1984)-N($U1984)-N($R1984),2)))</f>
        <v/>
      </c>
      <c r="X1984" s="14" t="n"/>
      <c r="Y1984" s="17">
        <f>IF(COUNTA($B1984:$R1984)=0,"",IF($X1984="Cancelado","Cancelado",IF(OR($X1984="Pago",$X1984="Recebido"),$X1984,IF(OR($X1984="Parcial",N($R1984)&gt;0),"Parcial",IF($C1984="","Sem vencimento",IF($C1984&lt;TODAY(),"Vencido",IF($C1984=TODAY(),"Vence hoje",IF($C1984&lt;=TODAY()+7,"Vence em 7 dias",IF($C1984&lt;=TODAY()+30,"Vence em 30 dias","Futuro")))))))))</f>
        <v/>
      </c>
      <c r="Z1984" s="24">
        <f>IF($B1984="","",MONTH($B1984))</f>
        <v/>
      </c>
      <c r="AA1984" s="24">
        <f>IF($B1984="","",YEAR($B1984))</f>
        <v/>
      </c>
      <c r="AB1984" s="24">
        <f>IF($B1984="","",ISOWEEKNUM($B1984))</f>
        <v/>
      </c>
      <c r="AC1984" s="17">
        <f>IF($B1984="","",CHOOSE(WEEKDAY($B1984,2),"Segunda","Terça","Quarta","Quinta","Sexta","Sábado","Domingo"))</f>
        <v/>
      </c>
      <c r="AD1984" s="17">
        <f>IF($B1984="","",TEXT($B1984,"MM/AAAA"))</f>
        <v/>
      </c>
      <c r="AE1984" s="18">
        <f>IF(COUNTA($B1984:$R1984)=0,"",IF($X1984="Cancelado",0,ROUND(N($Q1984)+N($S1984)+N($T1984)-N($U1984),2)))</f>
        <v/>
      </c>
      <c r="AF1984" s="9">
        <f>IF($G1984="","",IFERROR(INDEX(LINHAS_DRE_PLANO,MATCH($G1984,SUBCATEGORIAS_PLANO,0)),"Não classificado"))</f>
        <v/>
      </c>
      <c r="AG1984" s="17">
        <f>IF($G1984="","",IFERROR(INDEX(TIPOS_FLUXO_PLANO,MATCH($G1984,SUBCATEGORIAS_PLANO,0)),"Não classificado"))</f>
        <v/>
      </c>
      <c r="AH1984" s="9">
        <f>IF($G1984="","",IFERROR(INDEX(GRUPOS_PLANO,MATCH($G1984,SUBCATEGORIAS_PLANO,0)),"Não classificado"))</f>
        <v/>
      </c>
      <c r="AI1984" s="24">
        <f>IF(OR($C1984="",$X1984="Pago",$X1984="Recebido",$X1984="Cancelado"),"",$C1984-TODAY())</f>
        <v/>
      </c>
      <c r="AJ1984" s="24">
        <f>IF(OR($C1984="",$X1984="Pago",$X1984="Recebido",$X1984="Cancelado"),0,MAX(0,TODAY()-$C1984))</f>
        <v/>
      </c>
      <c r="AK1984" s="24">
        <f>IF($D1984="","",$D1984-$B1984)</f>
        <v/>
      </c>
      <c r="AL1984" s="18">
        <f>IF(OR($D1984="",$B1984=""),"",ROUND(N($R1984)*($D1984-$B1984),2))</f>
        <v/>
      </c>
      <c r="AM1984" s="17">
        <f>IF(AND($E1984="Saída",$W1984&gt;0,$C1984&lt;&gt;""),$C1984+ROW()/1000000,"")</f>
        <v/>
      </c>
      <c r="AN1984" s="17">
        <f>IF(AND($E1984="Entrada",$W1984&gt;0,$C1984&lt;&gt;""),$C1984+ROW()/1000000,"")</f>
        <v/>
      </c>
      <c r="AO1984" s="9">
        <f>IF(COUNTA($B1984:$R1984)=0,"",IF(AND($I1984&lt;&gt;"",COUNTIF(CLIENTES_NOMES,$I1984)+COUNTIF(CLIENTES_FANTASIA,$I1984)+COUNTIF(FORNECEDORES_NOMES,$I1984)+COUNTIF(FORNECEDORES_FANTASIA,$I1984)=0),"⚠ Cliente/Fornecedor não cadastrado",IF(AND($G1984&lt;&gt;"",COUNTIF(SUBCATEGORIAS_PLANO,$G1984)=0),"⚠ Subcategoria fora do plano de contas",IF(OR($Q1984="",N($Q1984)=0),"⚠ Valor previsto não informado",IF(AND(OR($X1984="Pago",$X1984="Recebido"),$D1984=""),"⚠ Status pago/recebido sem data",IF(AND($D1984&lt;&gt;"",N($R1984)=0),"⚠ Data de pagamento sem valor realizado",IF(AND(N($P1984)&gt;1,N($O1984)&gt;N($P1984)),"⚠ Nº da parcela maior que o total",IF(AND($C1984&lt;&gt;"",$B1984&lt;&gt;"",$C1984&lt;$B1984),"⚠ Vencimento anterior à competência","OK"))))))))</f>
        <v/>
      </c>
    </row>
    <row r="1985">
      <c r="A1985" s="14" t="n"/>
      <c r="B1985" s="36" t="n"/>
      <c r="C1985" s="36" t="n"/>
      <c r="D1985" s="36" t="n"/>
      <c r="E1985" s="14" t="n"/>
      <c r="F1985" s="29" t="n"/>
      <c r="G1985" s="29" t="n"/>
      <c r="H1985" s="29" t="n"/>
      <c r="I1985" s="29" t="n"/>
      <c r="J1985" s="29" t="n"/>
      <c r="K1985" s="14" t="n"/>
      <c r="L1985" s="29" t="n"/>
      <c r="M1985" s="14" t="n"/>
      <c r="N1985" s="29" t="n"/>
      <c r="O1985" s="13" t="n"/>
      <c r="P1985" s="13" t="n"/>
      <c r="Q1985" s="35" t="n"/>
      <c r="R1985" s="35" t="n"/>
      <c r="S1985" s="35" t="n"/>
      <c r="T1985" s="35" t="n"/>
      <c r="U1985" s="35" t="n"/>
      <c r="V1985" s="18">
        <f>IF(COUNTA($B1985:$R1985)=0,"",ROUND(N($R1985)+N($S1985)+N($T1985)-N($U1985),2))</f>
        <v/>
      </c>
      <c r="W1985" s="18">
        <f>IF(COUNTA($B1985:$R1985)=0,"",IF(OR($X1985="Pago",$X1985="Recebido",$X1985="Cancelado"),0,ROUND(N($Q1985)+N($S1985)+N($T1985)-N($U1985)-N($R1985),2)))</f>
        <v/>
      </c>
      <c r="X1985" s="14" t="n"/>
      <c r="Y1985" s="17">
        <f>IF(COUNTA($B1985:$R1985)=0,"",IF($X1985="Cancelado","Cancelado",IF(OR($X1985="Pago",$X1985="Recebido"),$X1985,IF(OR($X1985="Parcial",N($R1985)&gt;0),"Parcial",IF($C1985="","Sem vencimento",IF($C1985&lt;TODAY(),"Vencido",IF($C1985=TODAY(),"Vence hoje",IF($C1985&lt;=TODAY()+7,"Vence em 7 dias",IF($C1985&lt;=TODAY()+30,"Vence em 30 dias","Futuro")))))))))</f>
        <v/>
      </c>
      <c r="Z1985" s="24">
        <f>IF($B1985="","",MONTH($B1985))</f>
        <v/>
      </c>
      <c r="AA1985" s="24">
        <f>IF($B1985="","",YEAR($B1985))</f>
        <v/>
      </c>
      <c r="AB1985" s="24">
        <f>IF($B1985="","",ISOWEEKNUM($B1985))</f>
        <v/>
      </c>
      <c r="AC1985" s="17">
        <f>IF($B1985="","",CHOOSE(WEEKDAY($B1985,2),"Segunda","Terça","Quarta","Quinta","Sexta","Sábado","Domingo"))</f>
        <v/>
      </c>
      <c r="AD1985" s="17">
        <f>IF($B1985="","",TEXT($B1985,"MM/AAAA"))</f>
        <v/>
      </c>
      <c r="AE1985" s="18">
        <f>IF(COUNTA($B1985:$R1985)=0,"",IF($X1985="Cancelado",0,ROUND(N($Q1985)+N($S1985)+N($T1985)-N($U1985),2)))</f>
        <v/>
      </c>
      <c r="AF1985" s="9">
        <f>IF($G1985="","",IFERROR(INDEX(LINHAS_DRE_PLANO,MATCH($G1985,SUBCATEGORIAS_PLANO,0)),"Não classificado"))</f>
        <v/>
      </c>
      <c r="AG1985" s="17">
        <f>IF($G1985="","",IFERROR(INDEX(TIPOS_FLUXO_PLANO,MATCH($G1985,SUBCATEGORIAS_PLANO,0)),"Não classificado"))</f>
        <v/>
      </c>
      <c r="AH1985" s="9">
        <f>IF($G1985="","",IFERROR(INDEX(GRUPOS_PLANO,MATCH($G1985,SUBCATEGORIAS_PLANO,0)),"Não classificado"))</f>
        <v/>
      </c>
      <c r="AI1985" s="24">
        <f>IF(OR($C1985="",$X1985="Pago",$X1985="Recebido",$X1985="Cancelado"),"",$C1985-TODAY())</f>
        <v/>
      </c>
      <c r="AJ1985" s="24">
        <f>IF(OR($C1985="",$X1985="Pago",$X1985="Recebido",$X1985="Cancelado"),0,MAX(0,TODAY()-$C1985))</f>
        <v/>
      </c>
      <c r="AK1985" s="24">
        <f>IF($D1985="","",$D1985-$B1985)</f>
        <v/>
      </c>
      <c r="AL1985" s="18">
        <f>IF(OR($D1985="",$B1985=""),"",ROUND(N($R1985)*($D1985-$B1985),2))</f>
        <v/>
      </c>
      <c r="AM1985" s="17">
        <f>IF(AND($E1985="Saída",$W1985&gt;0,$C1985&lt;&gt;""),$C1985+ROW()/1000000,"")</f>
        <v/>
      </c>
      <c r="AN1985" s="17">
        <f>IF(AND($E1985="Entrada",$W1985&gt;0,$C1985&lt;&gt;""),$C1985+ROW()/1000000,"")</f>
        <v/>
      </c>
      <c r="AO1985" s="9">
        <f>IF(COUNTA($B1985:$R1985)=0,"",IF(AND($I1985&lt;&gt;"",COUNTIF(CLIENTES_NOMES,$I1985)+COUNTIF(CLIENTES_FANTASIA,$I1985)+COUNTIF(FORNECEDORES_NOMES,$I1985)+COUNTIF(FORNECEDORES_FANTASIA,$I1985)=0),"⚠ Cliente/Fornecedor não cadastrado",IF(AND($G1985&lt;&gt;"",COUNTIF(SUBCATEGORIAS_PLANO,$G1985)=0),"⚠ Subcategoria fora do plano de contas",IF(OR($Q1985="",N($Q1985)=0),"⚠ Valor previsto não informado",IF(AND(OR($X1985="Pago",$X1985="Recebido"),$D1985=""),"⚠ Status pago/recebido sem data",IF(AND($D1985&lt;&gt;"",N($R1985)=0),"⚠ Data de pagamento sem valor realizado",IF(AND(N($P1985)&gt;1,N($O1985)&gt;N($P1985)),"⚠ Nº da parcela maior que o total",IF(AND($C1985&lt;&gt;"",$B1985&lt;&gt;"",$C1985&lt;$B1985),"⚠ Vencimento anterior à competência","OK"))))))))</f>
        <v/>
      </c>
    </row>
    <row r="1986">
      <c r="A1986" s="14" t="n"/>
      <c r="B1986" s="36" t="n"/>
      <c r="C1986" s="36" t="n"/>
      <c r="D1986" s="36" t="n"/>
      <c r="E1986" s="14" t="n"/>
      <c r="F1986" s="29" t="n"/>
      <c r="G1986" s="29" t="n"/>
      <c r="H1986" s="29" t="n"/>
      <c r="I1986" s="29" t="n"/>
      <c r="J1986" s="29" t="n"/>
      <c r="K1986" s="14" t="n"/>
      <c r="L1986" s="29" t="n"/>
      <c r="M1986" s="14" t="n"/>
      <c r="N1986" s="29" t="n"/>
      <c r="O1986" s="13" t="n"/>
      <c r="P1986" s="13" t="n"/>
      <c r="Q1986" s="35" t="n"/>
      <c r="R1986" s="35" t="n"/>
      <c r="S1986" s="35" t="n"/>
      <c r="T1986" s="35" t="n"/>
      <c r="U1986" s="35" t="n"/>
      <c r="V1986" s="18">
        <f>IF(COUNTA($B1986:$R1986)=0,"",ROUND(N($R1986)+N($S1986)+N($T1986)-N($U1986),2))</f>
        <v/>
      </c>
      <c r="W1986" s="18">
        <f>IF(COUNTA($B1986:$R1986)=0,"",IF(OR($X1986="Pago",$X1986="Recebido",$X1986="Cancelado"),0,ROUND(N($Q1986)+N($S1986)+N($T1986)-N($U1986)-N($R1986),2)))</f>
        <v/>
      </c>
      <c r="X1986" s="14" t="n"/>
      <c r="Y1986" s="17">
        <f>IF(COUNTA($B1986:$R1986)=0,"",IF($X1986="Cancelado","Cancelado",IF(OR($X1986="Pago",$X1986="Recebido"),$X1986,IF(OR($X1986="Parcial",N($R1986)&gt;0),"Parcial",IF($C1986="","Sem vencimento",IF($C1986&lt;TODAY(),"Vencido",IF($C1986=TODAY(),"Vence hoje",IF($C1986&lt;=TODAY()+7,"Vence em 7 dias",IF($C1986&lt;=TODAY()+30,"Vence em 30 dias","Futuro")))))))))</f>
        <v/>
      </c>
      <c r="Z1986" s="24">
        <f>IF($B1986="","",MONTH($B1986))</f>
        <v/>
      </c>
      <c r="AA1986" s="24">
        <f>IF($B1986="","",YEAR($B1986))</f>
        <v/>
      </c>
      <c r="AB1986" s="24">
        <f>IF($B1986="","",ISOWEEKNUM($B1986))</f>
        <v/>
      </c>
      <c r="AC1986" s="17">
        <f>IF($B1986="","",CHOOSE(WEEKDAY($B1986,2),"Segunda","Terça","Quarta","Quinta","Sexta","Sábado","Domingo"))</f>
        <v/>
      </c>
      <c r="AD1986" s="17">
        <f>IF($B1986="","",TEXT($B1986,"MM/AAAA"))</f>
        <v/>
      </c>
      <c r="AE1986" s="18">
        <f>IF(COUNTA($B1986:$R1986)=0,"",IF($X1986="Cancelado",0,ROUND(N($Q1986)+N($S1986)+N($T1986)-N($U1986),2)))</f>
        <v/>
      </c>
      <c r="AF1986" s="9">
        <f>IF($G1986="","",IFERROR(INDEX(LINHAS_DRE_PLANO,MATCH($G1986,SUBCATEGORIAS_PLANO,0)),"Não classificado"))</f>
        <v/>
      </c>
      <c r="AG1986" s="17">
        <f>IF($G1986="","",IFERROR(INDEX(TIPOS_FLUXO_PLANO,MATCH($G1986,SUBCATEGORIAS_PLANO,0)),"Não classificado"))</f>
        <v/>
      </c>
      <c r="AH1986" s="9">
        <f>IF($G1986="","",IFERROR(INDEX(GRUPOS_PLANO,MATCH($G1986,SUBCATEGORIAS_PLANO,0)),"Não classificado"))</f>
        <v/>
      </c>
      <c r="AI1986" s="24">
        <f>IF(OR($C1986="",$X1986="Pago",$X1986="Recebido",$X1986="Cancelado"),"",$C1986-TODAY())</f>
        <v/>
      </c>
      <c r="AJ1986" s="24">
        <f>IF(OR($C1986="",$X1986="Pago",$X1986="Recebido",$X1986="Cancelado"),0,MAX(0,TODAY()-$C1986))</f>
        <v/>
      </c>
      <c r="AK1986" s="24">
        <f>IF($D1986="","",$D1986-$B1986)</f>
        <v/>
      </c>
      <c r="AL1986" s="18">
        <f>IF(OR($D1986="",$B1986=""),"",ROUND(N($R1986)*($D1986-$B1986),2))</f>
        <v/>
      </c>
      <c r="AM1986" s="17">
        <f>IF(AND($E1986="Saída",$W1986&gt;0,$C1986&lt;&gt;""),$C1986+ROW()/1000000,"")</f>
        <v/>
      </c>
      <c r="AN1986" s="17">
        <f>IF(AND($E1986="Entrada",$W1986&gt;0,$C1986&lt;&gt;""),$C1986+ROW()/1000000,"")</f>
        <v/>
      </c>
      <c r="AO1986" s="9">
        <f>IF(COUNTA($B1986:$R1986)=0,"",IF(AND($I1986&lt;&gt;"",COUNTIF(CLIENTES_NOMES,$I1986)+COUNTIF(CLIENTES_FANTASIA,$I1986)+COUNTIF(FORNECEDORES_NOMES,$I1986)+COUNTIF(FORNECEDORES_FANTASIA,$I1986)=0),"⚠ Cliente/Fornecedor não cadastrado",IF(AND($G1986&lt;&gt;"",COUNTIF(SUBCATEGORIAS_PLANO,$G1986)=0),"⚠ Subcategoria fora do plano de contas",IF(OR($Q1986="",N($Q1986)=0),"⚠ Valor previsto não informado",IF(AND(OR($X1986="Pago",$X1986="Recebido"),$D1986=""),"⚠ Status pago/recebido sem data",IF(AND($D1986&lt;&gt;"",N($R1986)=0),"⚠ Data de pagamento sem valor realizado",IF(AND(N($P1986)&gt;1,N($O1986)&gt;N($P1986)),"⚠ Nº da parcela maior que o total",IF(AND($C1986&lt;&gt;"",$B1986&lt;&gt;"",$C1986&lt;$B1986),"⚠ Vencimento anterior à competência","OK"))))))))</f>
        <v/>
      </c>
    </row>
    <row r="1987">
      <c r="A1987" s="14" t="n"/>
      <c r="B1987" s="36" t="n"/>
      <c r="C1987" s="36" t="n"/>
      <c r="D1987" s="36" t="n"/>
      <c r="E1987" s="14" t="n"/>
      <c r="F1987" s="29" t="n"/>
      <c r="G1987" s="29" t="n"/>
      <c r="H1987" s="29" t="n"/>
      <c r="I1987" s="29" t="n"/>
      <c r="J1987" s="29" t="n"/>
      <c r="K1987" s="14" t="n"/>
      <c r="L1987" s="29" t="n"/>
      <c r="M1987" s="14" t="n"/>
      <c r="N1987" s="29" t="n"/>
      <c r="O1987" s="13" t="n"/>
      <c r="P1987" s="13" t="n"/>
      <c r="Q1987" s="35" t="n"/>
      <c r="R1987" s="35" t="n"/>
      <c r="S1987" s="35" t="n"/>
      <c r="T1987" s="35" t="n"/>
      <c r="U1987" s="35" t="n"/>
      <c r="V1987" s="18">
        <f>IF(COUNTA($B1987:$R1987)=0,"",ROUND(N($R1987)+N($S1987)+N($T1987)-N($U1987),2))</f>
        <v/>
      </c>
      <c r="W1987" s="18">
        <f>IF(COUNTA($B1987:$R1987)=0,"",IF(OR($X1987="Pago",$X1987="Recebido",$X1987="Cancelado"),0,ROUND(N($Q1987)+N($S1987)+N($T1987)-N($U1987)-N($R1987),2)))</f>
        <v/>
      </c>
      <c r="X1987" s="14" t="n"/>
      <c r="Y1987" s="17">
        <f>IF(COUNTA($B1987:$R1987)=0,"",IF($X1987="Cancelado","Cancelado",IF(OR($X1987="Pago",$X1987="Recebido"),$X1987,IF(OR($X1987="Parcial",N($R1987)&gt;0),"Parcial",IF($C1987="","Sem vencimento",IF($C1987&lt;TODAY(),"Vencido",IF($C1987=TODAY(),"Vence hoje",IF($C1987&lt;=TODAY()+7,"Vence em 7 dias",IF($C1987&lt;=TODAY()+30,"Vence em 30 dias","Futuro")))))))))</f>
        <v/>
      </c>
      <c r="Z1987" s="24">
        <f>IF($B1987="","",MONTH($B1987))</f>
        <v/>
      </c>
      <c r="AA1987" s="24">
        <f>IF($B1987="","",YEAR($B1987))</f>
        <v/>
      </c>
      <c r="AB1987" s="24">
        <f>IF($B1987="","",ISOWEEKNUM($B1987))</f>
        <v/>
      </c>
      <c r="AC1987" s="17">
        <f>IF($B1987="","",CHOOSE(WEEKDAY($B1987,2),"Segunda","Terça","Quarta","Quinta","Sexta","Sábado","Domingo"))</f>
        <v/>
      </c>
      <c r="AD1987" s="17">
        <f>IF($B1987="","",TEXT($B1987,"MM/AAAA"))</f>
        <v/>
      </c>
      <c r="AE1987" s="18">
        <f>IF(COUNTA($B1987:$R1987)=0,"",IF($X1987="Cancelado",0,ROUND(N($Q1987)+N($S1987)+N($T1987)-N($U1987),2)))</f>
        <v/>
      </c>
      <c r="AF1987" s="9">
        <f>IF($G1987="","",IFERROR(INDEX(LINHAS_DRE_PLANO,MATCH($G1987,SUBCATEGORIAS_PLANO,0)),"Não classificado"))</f>
        <v/>
      </c>
      <c r="AG1987" s="17">
        <f>IF($G1987="","",IFERROR(INDEX(TIPOS_FLUXO_PLANO,MATCH($G1987,SUBCATEGORIAS_PLANO,0)),"Não classificado"))</f>
        <v/>
      </c>
      <c r="AH1987" s="9">
        <f>IF($G1987="","",IFERROR(INDEX(GRUPOS_PLANO,MATCH($G1987,SUBCATEGORIAS_PLANO,0)),"Não classificado"))</f>
        <v/>
      </c>
      <c r="AI1987" s="24">
        <f>IF(OR($C1987="",$X1987="Pago",$X1987="Recebido",$X1987="Cancelado"),"",$C1987-TODAY())</f>
        <v/>
      </c>
      <c r="AJ1987" s="24">
        <f>IF(OR($C1987="",$X1987="Pago",$X1987="Recebido",$X1987="Cancelado"),0,MAX(0,TODAY()-$C1987))</f>
        <v/>
      </c>
      <c r="AK1987" s="24">
        <f>IF($D1987="","",$D1987-$B1987)</f>
        <v/>
      </c>
      <c r="AL1987" s="18">
        <f>IF(OR($D1987="",$B1987=""),"",ROUND(N($R1987)*($D1987-$B1987),2))</f>
        <v/>
      </c>
      <c r="AM1987" s="17">
        <f>IF(AND($E1987="Saída",$W1987&gt;0,$C1987&lt;&gt;""),$C1987+ROW()/1000000,"")</f>
        <v/>
      </c>
      <c r="AN1987" s="17">
        <f>IF(AND($E1987="Entrada",$W1987&gt;0,$C1987&lt;&gt;""),$C1987+ROW()/1000000,"")</f>
        <v/>
      </c>
      <c r="AO1987" s="9">
        <f>IF(COUNTA($B1987:$R1987)=0,"",IF(AND($I1987&lt;&gt;"",COUNTIF(CLIENTES_NOMES,$I1987)+COUNTIF(CLIENTES_FANTASIA,$I1987)+COUNTIF(FORNECEDORES_NOMES,$I1987)+COUNTIF(FORNECEDORES_FANTASIA,$I1987)=0),"⚠ Cliente/Fornecedor não cadastrado",IF(AND($G1987&lt;&gt;"",COUNTIF(SUBCATEGORIAS_PLANO,$G1987)=0),"⚠ Subcategoria fora do plano de contas",IF(OR($Q1987="",N($Q1987)=0),"⚠ Valor previsto não informado",IF(AND(OR($X1987="Pago",$X1987="Recebido"),$D1987=""),"⚠ Status pago/recebido sem data",IF(AND($D1987&lt;&gt;"",N($R1987)=0),"⚠ Data de pagamento sem valor realizado",IF(AND(N($P1987)&gt;1,N($O1987)&gt;N($P1987)),"⚠ Nº da parcela maior que o total",IF(AND($C1987&lt;&gt;"",$B1987&lt;&gt;"",$C1987&lt;$B1987),"⚠ Vencimento anterior à competência","OK"))))))))</f>
        <v/>
      </c>
    </row>
    <row r="1988">
      <c r="A1988" s="14" t="n"/>
      <c r="B1988" s="36" t="n"/>
      <c r="C1988" s="36" t="n"/>
      <c r="D1988" s="36" t="n"/>
      <c r="E1988" s="14" t="n"/>
      <c r="F1988" s="29" t="n"/>
      <c r="G1988" s="29" t="n"/>
      <c r="H1988" s="29" t="n"/>
      <c r="I1988" s="29" t="n"/>
      <c r="J1988" s="29" t="n"/>
      <c r="K1988" s="14" t="n"/>
      <c r="L1988" s="29" t="n"/>
      <c r="M1988" s="14" t="n"/>
      <c r="N1988" s="29" t="n"/>
      <c r="O1988" s="13" t="n"/>
      <c r="P1988" s="13" t="n"/>
      <c r="Q1988" s="35" t="n"/>
      <c r="R1988" s="35" t="n"/>
      <c r="S1988" s="35" t="n"/>
      <c r="T1988" s="35" t="n"/>
      <c r="U1988" s="35" t="n"/>
      <c r="V1988" s="18">
        <f>IF(COUNTA($B1988:$R1988)=0,"",ROUND(N($R1988)+N($S1988)+N($T1988)-N($U1988),2))</f>
        <v/>
      </c>
      <c r="W1988" s="18">
        <f>IF(COUNTA($B1988:$R1988)=0,"",IF(OR($X1988="Pago",$X1988="Recebido",$X1988="Cancelado"),0,ROUND(N($Q1988)+N($S1988)+N($T1988)-N($U1988)-N($R1988),2)))</f>
        <v/>
      </c>
      <c r="X1988" s="14" t="n"/>
      <c r="Y1988" s="17">
        <f>IF(COUNTA($B1988:$R1988)=0,"",IF($X1988="Cancelado","Cancelado",IF(OR($X1988="Pago",$X1988="Recebido"),$X1988,IF(OR($X1988="Parcial",N($R1988)&gt;0),"Parcial",IF($C1988="","Sem vencimento",IF($C1988&lt;TODAY(),"Vencido",IF($C1988=TODAY(),"Vence hoje",IF($C1988&lt;=TODAY()+7,"Vence em 7 dias",IF($C1988&lt;=TODAY()+30,"Vence em 30 dias","Futuro")))))))))</f>
        <v/>
      </c>
      <c r="Z1988" s="24">
        <f>IF($B1988="","",MONTH($B1988))</f>
        <v/>
      </c>
      <c r="AA1988" s="24">
        <f>IF($B1988="","",YEAR($B1988))</f>
        <v/>
      </c>
      <c r="AB1988" s="24">
        <f>IF($B1988="","",ISOWEEKNUM($B1988))</f>
        <v/>
      </c>
      <c r="AC1988" s="17">
        <f>IF($B1988="","",CHOOSE(WEEKDAY($B1988,2),"Segunda","Terça","Quarta","Quinta","Sexta","Sábado","Domingo"))</f>
        <v/>
      </c>
      <c r="AD1988" s="17">
        <f>IF($B1988="","",TEXT($B1988,"MM/AAAA"))</f>
        <v/>
      </c>
      <c r="AE1988" s="18">
        <f>IF(COUNTA($B1988:$R1988)=0,"",IF($X1988="Cancelado",0,ROUND(N($Q1988)+N($S1988)+N($T1988)-N($U1988),2)))</f>
        <v/>
      </c>
      <c r="AF1988" s="9">
        <f>IF($G1988="","",IFERROR(INDEX(LINHAS_DRE_PLANO,MATCH($G1988,SUBCATEGORIAS_PLANO,0)),"Não classificado"))</f>
        <v/>
      </c>
      <c r="AG1988" s="17">
        <f>IF($G1988="","",IFERROR(INDEX(TIPOS_FLUXO_PLANO,MATCH($G1988,SUBCATEGORIAS_PLANO,0)),"Não classificado"))</f>
        <v/>
      </c>
      <c r="AH1988" s="9">
        <f>IF($G1988="","",IFERROR(INDEX(GRUPOS_PLANO,MATCH($G1988,SUBCATEGORIAS_PLANO,0)),"Não classificado"))</f>
        <v/>
      </c>
      <c r="AI1988" s="24">
        <f>IF(OR($C1988="",$X1988="Pago",$X1988="Recebido",$X1988="Cancelado"),"",$C1988-TODAY())</f>
        <v/>
      </c>
      <c r="AJ1988" s="24">
        <f>IF(OR($C1988="",$X1988="Pago",$X1988="Recebido",$X1988="Cancelado"),0,MAX(0,TODAY()-$C1988))</f>
        <v/>
      </c>
      <c r="AK1988" s="24">
        <f>IF($D1988="","",$D1988-$B1988)</f>
        <v/>
      </c>
      <c r="AL1988" s="18">
        <f>IF(OR($D1988="",$B1988=""),"",ROUND(N($R1988)*($D1988-$B1988),2))</f>
        <v/>
      </c>
      <c r="AM1988" s="17">
        <f>IF(AND($E1988="Saída",$W1988&gt;0,$C1988&lt;&gt;""),$C1988+ROW()/1000000,"")</f>
        <v/>
      </c>
      <c r="AN1988" s="17">
        <f>IF(AND($E1988="Entrada",$W1988&gt;0,$C1988&lt;&gt;""),$C1988+ROW()/1000000,"")</f>
        <v/>
      </c>
      <c r="AO1988" s="9">
        <f>IF(COUNTA($B1988:$R1988)=0,"",IF(AND($I1988&lt;&gt;"",COUNTIF(CLIENTES_NOMES,$I1988)+COUNTIF(CLIENTES_FANTASIA,$I1988)+COUNTIF(FORNECEDORES_NOMES,$I1988)+COUNTIF(FORNECEDORES_FANTASIA,$I1988)=0),"⚠ Cliente/Fornecedor não cadastrado",IF(AND($G1988&lt;&gt;"",COUNTIF(SUBCATEGORIAS_PLANO,$G1988)=0),"⚠ Subcategoria fora do plano de contas",IF(OR($Q1988="",N($Q1988)=0),"⚠ Valor previsto não informado",IF(AND(OR($X1988="Pago",$X1988="Recebido"),$D1988=""),"⚠ Status pago/recebido sem data",IF(AND($D1988&lt;&gt;"",N($R1988)=0),"⚠ Data de pagamento sem valor realizado",IF(AND(N($P1988)&gt;1,N($O1988)&gt;N($P1988)),"⚠ Nº da parcela maior que o total",IF(AND($C1988&lt;&gt;"",$B1988&lt;&gt;"",$C1988&lt;$B1988),"⚠ Vencimento anterior à competência","OK"))))))))</f>
        <v/>
      </c>
    </row>
    <row r="1989">
      <c r="A1989" s="14" t="n"/>
      <c r="B1989" s="36" t="n"/>
      <c r="C1989" s="36" t="n"/>
      <c r="D1989" s="36" t="n"/>
      <c r="E1989" s="14" t="n"/>
      <c r="F1989" s="29" t="n"/>
      <c r="G1989" s="29" t="n"/>
      <c r="H1989" s="29" t="n"/>
      <c r="I1989" s="29" t="n"/>
      <c r="J1989" s="29" t="n"/>
      <c r="K1989" s="14" t="n"/>
      <c r="L1989" s="29" t="n"/>
      <c r="M1989" s="14" t="n"/>
      <c r="N1989" s="29" t="n"/>
      <c r="O1989" s="13" t="n"/>
      <c r="P1989" s="13" t="n"/>
      <c r="Q1989" s="35" t="n"/>
      <c r="R1989" s="35" t="n"/>
      <c r="S1989" s="35" t="n"/>
      <c r="T1989" s="35" t="n"/>
      <c r="U1989" s="35" t="n"/>
      <c r="V1989" s="18">
        <f>IF(COUNTA($B1989:$R1989)=0,"",ROUND(N($R1989)+N($S1989)+N($T1989)-N($U1989),2))</f>
        <v/>
      </c>
      <c r="W1989" s="18">
        <f>IF(COUNTA($B1989:$R1989)=0,"",IF(OR($X1989="Pago",$X1989="Recebido",$X1989="Cancelado"),0,ROUND(N($Q1989)+N($S1989)+N($T1989)-N($U1989)-N($R1989),2)))</f>
        <v/>
      </c>
      <c r="X1989" s="14" t="n"/>
      <c r="Y1989" s="17">
        <f>IF(COUNTA($B1989:$R1989)=0,"",IF($X1989="Cancelado","Cancelado",IF(OR($X1989="Pago",$X1989="Recebido"),$X1989,IF(OR($X1989="Parcial",N($R1989)&gt;0),"Parcial",IF($C1989="","Sem vencimento",IF($C1989&lt;TODAY(),"Vencido",IF($C1989=TODAY(),"Vence hoje",IF($C1989&lt;=TODAY()+7,"Vence em 7 dias",IF($C1989&lt;=TODAY()+30,"Vence em 30 dias","Futuro")))))))))</f>
        <v/>
      </c>
      <c r="Z1989" s="24">
        <f>IF($B1989="","",MONTH($B1989))</f>
        <v/>
      </c>
      <c r="AA1989" s="24">
        <f>IF($B1989="","",YEAR($B1989))</f>
        <v/>
      </c>
      <c r="AB1989" s="24">
        <f>IF($B1989="","",ISOWEEKNUM($B1989))</f>
        <v/>
      </c>
      <c r="AC1989" s="17">
        <f>IF($B1989="","",CHOOSE(WEEKDAY($B1989,2),"Segunda","Terça","Quarta","Quinta","Sexta","Sábado","Domingo"))</f>
        <v/>
      </c>
      <c r="AD1989" s="17">
        <f>IF($B1989="","",TEXT($B1989,"MM/AAAA"))</f>
        <v/>
      </c>
      <c r="AE1989" s="18">
        <f>IF(COUNTA($B1989:$R1989)=0,"",IF($X1989="Cancelado",0,ROUND(N($Q1989)+N($S1989)+N($T1989)-N($U1989),2)))</f>
        <v/>
      </c>
      <c r="AF1989" s="9">
        <f>IF($G1989="","",IFERROR(INDEX(LINHAS_DRE_PLANO,MATCH($G1989,SUBCATEGORIAS_PLANO,0)),"Não classificado"))</f>
        <v/>
      </c>
      <c r="AG1989" s="17">
        <f>IF($G1989="","",IFERROR(INDEX(TIPOS_FLUXO_PLANO,MATCH($G1989,SUBCATEGORIAS_PLANO,0)),"Não classificado"))</f>
        <v/>
      </c>
      <c r="AH1989" s="9">
        <f>IF($G1989="","",IFERROR(INDEX(GRUPOS_PLANO,MATCH($G1989,SUBCATEGORIAS_PLANO,0)),"Não classificado"))</f>
        <v/>
      </c>
      <c r="AI1989" s="24">
        <f>IF(OR($C1989="",$X1989="Pago",$X1989="Recebido",$X1989="Cancelado"),"",$C1989-TODAY())</f>
        <v/>
      </c>
      <c r="AJ1989" s="24">
        <f>IF(OR($C1989="",$X1989="Pago",$X1989="Recebido",$X1989="Cancelado"),0,MAX(0,TODAY()-$C1989))</f>
        <v/>
      </c>
      <c r="AK1989" s="24">
        <f>IF($D1989="","",$D1989-$B1989)</f>
        <v/>
      </c>
      <c r="AL1989" s="18">
        <f>IF(OR($D1989="",$B1989=""),"",ROUND(N($R1989)*($D1989-$B1989),2))</f>
        <v/>
      </c>
      <c r="AM1989" s="17">
        <f>IF(AND($E1989="Saída",$W1989&gt;0,$C1989&lt;&gt;""),$C1989+ROW()/1000000,"")</f>
        <v/>
      </c>
      <c r="AN1989" s="17">
        <f>IF(AND($E1989="Entrada",$W1989&gt;0,$C1989&lt;&gt;""),$C1989+ROW()/1000000,"")</f>
        <v/>
      </c>
      <c r="AO1989" s="9">
        <f>IF(COUNTA($B1989:$R1989)=0,"",IF(AND($I1989&lt;&gt;"",COUNTIF(CLIENTES_NOMES,$I1989)+COUNTIF(CLIENTES_FANTASIA,$I1989)+COUNTIF(FORNECEDORES_NOMES,$I1989)+COUNTIF(FORNECEDORES_FANTASIA,$I1989)=0),"⚠ Cliente/Fornecedor não cadastrado",IF(AND($G1989&lt;&gt;"",COUNTIF(SUBCATEGORIAS_PLANO,$G1989)=0),"⚠ Subcategoria fora do plano de contas",IF(OR($Q1989="",N($Q1989)=0),"⚠ Valor previsto não informado",IF(AND(OR($X1989="Pago",$X1989="Recebido"),$D1989=""),"⚠ Status pago/recebido sem data",IF(AND($D1989&lt;&gt;"",N($R1989)=0),"⚠ Data de pagamento sem valor realizado",IF(AND(N($P1989)&gt;1,N($O1989)&gt;N($P1989)),"⚠ Nº da parcela maior que o total",IF(AND($C1989&lt;&gt;"",$B1989&lt;&gt;"",$C1989&lt;$B1989),"⚠ Vencimento anterior à competência","OK"))))))))</f>
        <v/>
      </c>
    </row>
    <row r="1990">
      <c r="A1990" s="14" t="n"/>
      <c r="B1990" s="36" t="n"/>
      <c r="C1990" s="36" t="n"/>
      <c r="D1990" s="36" t="n"/>
      <c r="E1990" s="14" t="n"/>
      <c r="F1990" s="29" t="n"/>
      <c r="G1990" s="29" t="n"/>
      <c r="H1990" s="29" t="n"/>
      <c r="I1990" s="29" t="n"/>
      <c r="J1990" s="29" t="n"/>
      <c r="K1990" s="14" t="n"/>
      <c r="L1990" s="29" t="n"/>
      <c r="M1990" s="14" t="n"/>
      <c r="N1990" s="29" t="n"/>
      <c r="O1990" s="13" t="n"/>
      <c r="P1990" s="13" t="n"/>
      <c r="Q1990" s="35" t="n"/>
      <c r="R1990" s="35" t="n"/>
      <c r="S1990" s="35" t="n"/>
      <c r="T1990" s="35" t="n"/>
      <c r="U1990" s="35" t="n"/>
      <c r="V1990" s="18">
        <f>IF(COUNTA($B1990:$R1990)=0,"",ROUND(N($R1990)+N($S1990)+N($T1990)-N($U1990),2))</f>
        <v/>
      </c>
      <c r="W1990" s="18">
        <f>IF(COUNTA($B1990:$R1990)=0,"",IF(OR($X1990="Pago",$X1990="Recebido",$X1990="Cancelado"),0,ROUND(N($Q1990)+N($S1990)+N($T1990)-N($U1990)-N($R1990),2)))</f>
        <v/>
      </c>
      <c r="X1990" s="14" t="n"/>
      <c r="Y1990" s="17">
        <f>IF(COUNTA($B1990:$R1990)=0,"",IF($X1990="Cancelado","Cancelado",IF(OR($X1990="Pago",$X1990="Recebido"),$X1990,IF(OR($X1990="Parcial",N($R1990)&gt;0),"Parcial",IF($C1990="","Sem vencimento",IF($C1990&lt;TODAY(),"Vencido",IF($C1990=TODAY(),"Vence hoje",IF($C1990&lt;=TODAY()+7,"Vence em 7 dias",IF($C1990&lt;=TODAY()+30,"Vence em 30 dias","Futuro")))))))))</f>
        <v/>
      </c>
      <c r="Z1990" s="24">
        <f>IF($B1990="","",MONTH($B1990))</f>
        <v/>
      </c>
      <c r="AA1990" s="24">
        <f>IF($B1990="","",YEAR($B1990))</f>
        <v/>
      </c>
      <c r="AB1990" s="24">
        <f>IF($B1990="","",ISOWEEKNUM($B1990))</f>
        <v/>
      </c>
      <c r="AC1990" s="17">
        <f>IF($B1990="","",CHOOSE(WEEKDAY($B1990,2),"Segunda","Terça","Quarta","Quinta","Sexta","Sábado","Domingo"))</f>
        <v/>
      </c>
      <c r="AD1990" s="17">
        <f>IF($B1990="","",TEXT($B1990,"MM/AAAA"))</f>
        <v/>
      </c>
      <c r="AE1990" s="18">
        <f>IF(COUNTA($B1990:$R1990)=0,"",IF($X1990="Cancelado",0,ROUND(N($Q1990)+N($S1990)+N($T1990)-N($U1990),2)))</f>
        <v/>
      </c>
      <c r="AF1990" s="9">
        <f>IF($G1990="","",IFERROR(INDEX(LINHAS_DRE_PLANO,MATCH($G1990,SUBCATEGORIAS_PLANO,0)),"Não classificado"))</f>
        <v/>
      </c>
      <c r="AG1990" s="17">
        <f>IF($G1990="","",IFERROR(INDEX(TIPOS_FLUXO_PLANO,MATCH($G1990,SUBCATEGORIAS_PLANO,0)),"Não classificado"))</f>
        <v/>
      </c>
      <c r="AH1990" s="9">
        <f>IF($G1990="","",IFERROR(INDEX(GRUPOS_PLANO,MATCH($G1990,SUBCATEGORIAS_PLANO,0)),"Não classificado"))</f>
        <v/>
      </c>
      <c r="AI1990" s="24">
        <f>IF(OR($C1990="",$X1990="Pago",$X1990="Recebido",$X1990="Cancelado"),"",$C1990-TODAY())</f>
        <v/>
      </c>
      <c r="AJ1990" s="24">
        <f>IF(OR($C1990="",$X1990="Pago",$X1990="Recebido",$X1990="Cancelado"),0,MAX(0,TODAY()-$C1990))</f>
        <v/>
      </c>
      <c r="AK1990" s="24">
        <f>IF($D1990="","",$D1990-$B1990)</f>
        <v/>
      </c>
      <c r="AL1990" s="18">
        <f>IF(OR($D1990="",$B1990=""),"",ROUND(N($R1990)*($D1990-$B1990),2))</f>
        <v/>
      </c>
      <c r="AM1990" s="17">
        <f>IF(AND($E1990="Saída",$W1990&gt;0,$C1990&lt;&gt;""),$C1990+ROW()/1000000,"")</f>
        <v/>
      </c>
      <c r="AN1990" s="17">
        <f>IF(AND($E1990="Entrada",$W1990&gt;0,$C1990&lt;&gt;""),$C1990+ROW()/1000000,"")</f>
        <v/>
      </c>
      <c r="AO1990" s="9">
        <f>IF(COUNTA($B1990:$R1990)=0,"",IF(AND($I1990&lt;&gt;"",COUNTIF(CLIENTES_NOMES,$I1990)+COUNTIF(CLIENTES_FANTASIA,$I1990)+COUNTIF(FORNECEDORES_NOMES,$I1990)+COUNTIF(FORNECEDORES_FANTASIA,$I1990)=0),"⚠ Cliente/Fornecedor não cadastrado",IF(AND($G1990&lt;&gt;"",COUNTIF(SUBCATEGORIAS_PLANO,$G1990)=0),"⚠ Subcategoria fora do plano de contas",IF(OR($Q1990="",N($Q1990)=0),"⚠ Valor previsto não informado",IF(AND(OR($X1990="Pago",$X1990="Recebido"),$D1990=""),"⚠ Status pago/recebido sem data",IF(AND($D1990&lt;&gt;"",N($R1990)=0),"⚠ Data de pagamento sem valor realizado",IF(AND(N($P1990)&gt;1,N($O1990)&gt;N($P1990)),"⚠ Nº da parcela maior que o total",IF(AND($C1990&lt;&gt;"",$B1990&lt;&gt;"",$C1990&lt;$B1990),"⚠ Vencimento anterior à competência","OK"))))))))</f>
        <v/>
      </c>
    </row>
    <row r="1991">
      <c r="A1991" s="14" t="n"/>
      <c r="B1991" s="36" t="n"/>
      <c r="C1991" s="36" t="n"/>
      <c r="D1991" s="36" t="n"/>
      <c r="E1991" s="14" t="n"/>
      <c r="F1991" s="29" t="n"/>
      <c r="G1991" s="29" t="n"/>
      <c r="H1991" s="29" t="n"/>
      <c r="I1991" s="29" t="n"/>
      <c r="J1991" s="29" t="n"/>
      <c r="K1991" s="14" t="n"/>
      <c r="L1991" s="29" t="n"/>
      <c r="M1991" s="14" t="n"/>
      <c r="N1991" s="29" t="n"/>
      <c r="O1991" s="13" t="n"/>
      <c r="P1991" s="13" t="n"/>
      <c r="Q1991" s="35" t="n"/>
      <c r="R1991" s="35" t="n"/>
      <c r="S1991" s="35" t="n"/>
      <c r="T1991" s="35" t="n"/>
      <c r="U1991" s="35" t="n"/>
      <c r="V1991" s="18">
        <f>IF(COUNTA($B1991:$R1991)=0,"",ROUND(N($R1991)+N($S1991)+N($T1991)-N($U1991),2))</f>
        <v/>
      </c>
      <c r="W1991" s="18">
        <f>IF(COUNTA($B1991:$R1991)=0,"",IF(OR($X1991="Pago",$X1991="Recebido",$X1991="Cancelado"),0,ROUND(N($Q1991)+N($S1991)+N($T1991)-N($U1991)-N($R1991),2)))</f>
        <v/>
      </c>
      <c r="X1991" s="14" t="n"/>
      <c r="Y1991" s="17">
        <f>IF(COUNTA($B1991:$R1991)=0,"",IF($X1991="Cancelado","Cancelado",IF(OR($X1991="Pago",$X1991="Recebido"),$X1991,IF(OR($X1991="Parcial",N($R1991)&gt;0),"Parcial",IF($C1991="","Sem vencimento",IF($C1991&lt;TODAY(),"Vencido",IF($C1991=TODAY(),"Vence hoje",IF($C1991&lt;=TODAY()+7,"Vence em 7 dias",IF($C1991&lt;=TODAY()+30,"Vence em 30 dias","Futuro")))))))))</f>
        <v/>
      </c>
      <c r="Z1991" s="24">
        <f>IF($B1991="","",MONTH($B1991))</f>
        <v/>
      </c>
      <c r="AA1991" s="24">
        <f>IF($B1991="","",YEAR($B1991))</f>
        <v/>
      </c>
      <c r="AB1991" s="24">
        <f>IF($B1991="","",ISOWEEKNUM($B1991))</f>
        <v/>
      </c>
      <c r="AC1991" s="17">
        <f>IF($B1991="","",CHOOSE(WEEKDAY($B1991,2),"Segunda","Terça","Quarta","Quinta","Sexta","Sábado","Domingo"))</f>
        <v/>
      </c>
      <c r="AD1991" s="17">
        <f>IF($B1991="","",TEXT($B1991,"MM/AAAA"))</f>
        <v/>
      </c>
      <c r="AE1991" s="18">
        <f>IF(COUNTA($B1991:$R1991)=0,"",IF($X1991="Cancelado",0,ROUND(N($Q1991)+N($S1991)+N($T1991)-N($U1991),2)))</f>
        <v/>
      </c>
      <c r="AF1991" s="9">
        <f>IF($G1991="","",IFERROR(INDEX(LINHAS_DRE_PLANO,MATCH($G1991,SUBCATEGORIAS_PLANO,0)),"Não classificado"))</f>
        <v/>
      </c>
      <c r="AG1991" s="17">
        <f>IF($G1991="","",IFERROR(INDEX(TIPOS_FLUXO_PLANO,MATCH($G1991,SUBCATEGORIAS_PLANO,0)),"Não classificado"))</f>
        <v/>
      </c>
      <c r="AH1991" s="9">
        <f>IF($G1991="","",IFERROR(INDEX(GRUPOS_PLANO,MATCH($G1991,SUBCATEGORIAS_PLANO,0)),"Não classificado"))</f>
        <v/>
      </c>
      <c r="AI1991" s="24">
        <f>IF(OR($C1991="",$X1991="Pago",$X1991="Recebido",$X1991="Cancelado"),"",$C1991-TODAY())</f>
        <v/>
      </c>
      <c r="AJ1991" s="24">
        <f>IF(OR($C1991="",$X1991="Pago",$X1991="Recebido",$X1991="Cancelado"),0,MAX(0,TODAY()-$C1991))</f>
        <v/>
      </c>
      <c r="AK1991" s="24">
        <f>IF($D1991="","",$D1991-$B1991)</f>
        <v/>
      </c>
      <c r="AL1991" s="18">
        <f>IF(OR($D1991="",$B1991=""),"",ROUND(N($R1991)*($D1991-$B1991),2))</f>
        <v/>
      </c>
      <c r="AM1991" s="17">
        <f>IF(AND($E1991="Saída",$W1991&gt;0,$C1991&lt;&gt;""),$C1991+ROW()/1000000,"")</f>
        <v/>
      </c>
      <c r="AN1991" s="17">
        <f>IF(AND($E1991="Entrada",$W1991&gt;0,$C1991&lt;&gt;""),$C1991+ROW()/1000000,"")</f>
        <v/>
      </c>
      <c r="AO1991" s="9">
        <f>IF(COUNTA($B1991:$R1991)=0,"",IF(AND($I1991&lt;&gt;"",COUNTIF(CLIENTES_NOMES,$I1991)+COUNTIF(CLIENTES_FANTASIA,$I1991)+COUNTIF(FORNECEDORES_NOMES,$I1991)+COUNTIF(FORNECEDORES_FANTASIA,$I1991)=0),"⚠ Cliente/Fornecedor não cadastrado",IF(AND($G1991&lt;&gt;"",COUNTIF(SUBCATEGORIAS_PLANO,$G1991)=0),"⚠ Subcategoria fora do plano de contas",IF(OR($Q1991="",N($Q1991)=0),"⚠ Valor previsto não informado",IF(AND(OR($X1991="Pago",$X1991="Recebido"),$D1991=""),"⚠ Status pago/recebido sem data",IF(AND($D1991&lt;&gt;"",N($R1991)=0),"⚠ Data de pagamento sem valor realizado",IF(AND(N($P1991)&gt;1,N($O1991)&gt;N($P1991)),"⚠ Nº da parcela maior que o total",IF(AND($C1991&lt;&gt;"",$B1991&lt;&gt;"",$C1991&lt;$B1991),"⚠ Vencimento anterior à competência","OK"))))))))</f>
        <v/>
      </c>
    </row>
    <row r="1992">
      <c r="A1992" s="14" t="n"/>
      <c r="B1992" s="36" t="n"/>
      <c r="C1992" s="36" t="n"/>
      <c r="D1992" s="36" t="n"/>
      <c r="E1992" s="14" t="n"/>
      <c r="F1992" s="29" t="n"/>
      <c r="G1992" s="29" t="n"/>
      <c r="H1992" s="29" t="n"/>
      <c r="I1992" s="29" t="n"/>
      <c r="J1992" s="29" t="n"/>
      <c r="K1992" s="14" t="n"/>
      <c r="L1992" s="29" t="n"/>
      <c r="M1992" s="14" t="n"/>
      <c r="N1992" s="29" t="n"/>
      <c r="O1992" s="13" t="n"/>
      <c r="P1992" s="13" t="n"/>
      <c r="Q1992" s="35" t="n"/>
      <c r="R1992" s="35" t="n"/>
      <c r="S1992" s="35" t="n"/>
      <c r="T1992" s="35" t="n"/>
      <c r="U1992" s="35" t="n"/>
      <c r="V1992" s="18">
        <f>IF(COUNTA($B1992:$R1992)=0,"",ROUND(N($R1992)+N($S1992)+N($T1992)-N($U1992),2))</f>
        <v/>
      </c>
      <c r="W1992" s="18">
        <f>IF(COUNTA($B1992:$R1992)=0,"",IF(OR($X1992="Pago",$X1992="Recebido",$X1992="Cancelado"),0,ROUND(N($Q1992)+N($S1992)+N($T1992)-N($U1992)-N($R1992),2)))</f>
        <v/>
      </c>
      <c r="X1992" s="14" t="n"/>
      <c r="Y1992" s="17">
        <f>IF(COUNTA($B1992:$R1992)=0,"",IF($X1992="Cancelado","Cancelado",IF(OR($X1992="Pago",$X1992="Recebido"),$X1992,IF(OR($X1992="Parcial",N($R1992)&gt;0),"Parcial",IF($C1992="","Sem vencimento",IF($C1992&lt;TODAY(),"Vencido",IF($C1992=TODAY(),"Vence hoje",IF($C1992&lt;=TODAY()+7,"Vence em 7 dias",IF($C1992&lt;=TODAY()+30,"Vence em 30 dias","Futuro")))))))))</f>
        <v/>
      </c>
      <c r="Z1992" s="24">
        <f>IF($B1992="","",MONTH($B1992))</f>
        <v/>
      </c>
      <c r="AA1992" s="24">
        <f>IF($B1992="","",YEAR($B1992))</f>
        <v/>
      </c>
      <c r="AB1992" s="24">
        <f>IF($B1992="","",ISOWEEKNUM($B1992))</f>
        <v/>
      </c>
      <c r="AC1992" s="17">
        <f>IF($B1992="","",CHOOSE(WEEKDAY($B1992,2),"Segunda","Terça","Quarta","Quinta","Sexta","Sábado","Domingo"))</f>
        <v/>
      </c>
      <c r="AD1992" s="17">
        <f>IF($B1992="","",TEXT($B1992,"MM/AAAA"))</f>
        <v/>
      </c>
      <c r="AE1992" s="18">
        <f>IF(COUNTA($B1992:$R1992)=0,"",IF($X1992="Cancelado",0,ROUND(N($Q1992)+N($S1992)+N($T1992)-N($U1992),2)))</f>
        <v/>
      </c>
      <c r="AF1992" s="9">
        <f>IF($G1992="","",IFERROR(INDEX(LINHAS_DRE_PLANO,MATCH($G1992,SUBCATEGORIAS_PLANO,0)),"Não classificado"))</f>
        <v/>
      </c>
      <c r="AG1992" s="17">
        <f>IF($G1992="","",IFERROR(INDEX(TIPOS_FLUXO_PLANO,MATCH($G1992,SUBCATEGORIAS_PLANO,0)),"Não classificado"))</f>
        <v/>
      </c>
      <c r="AH1992" s="9">
        <f>IF($G1992="","",IFERROR(INDEX(GRUPOS_PLANO,MATCH($G1992,SUBCATEGORIAS_PLANO,0)),"Não classificado"))</f>
        <v/>
      </c>
      <c r="AI1992" s="24">
        <f>IF(OR($C1992="",$X1992="Pago",$X1992="Recebido",$X1992="Cancelado"),"",$C1992-TODAY())</f>
        <v/>
      </c>
      <c r="AJ1992" s="24">
        <f>IF(OR($C1992="",$X1992="Pago",$X1992="Recebido",$X1992="Cancelado"),0,MAX(0,TODAY()-$C1992))</f>
        <v/>
      </c>
      <c r="AK1992" s="24">
        <f>IF($D1992="","",$D1992-$B1992)</f>
        <v/>
      </c>
      <c r="AL1992" s="18">
        <f>IF(OR($D1992="",$B1992=""),"",ROUND(N($R1992)*($D1992-$B1992),2))</f>
        <v/>
      </c>
      <c r="AM1992" s="17">
        <f>IF(AND($E1992="Saída",$W1992&gt;0,$C1992&lt;&gt;""),$C1992+ROW()/1000000,"")</f>
        <v/>
      </c>
      <c r="AN1992" s="17">
        <f>IF(AND($E1992="Entrada",$W1992&gt;0,$C1992&lt;&gt;""),$C1992+ROW()/1000000,"")</f>
        <v/>
      </c>
      <c r="AO1992" s="9">
        <f>IF(COUNTA($B1992:$R1992)=0,"",IF(AND($I1992&lt;&gt;"",COUNTIF(CLIENTES_NOMES,$I1992)+COUNTIF(CLIENTES_FANTASIA,$I1992)+COUNTIF(FORNECEDORES_NOMES,$I1992)+COUNTIF(FORNECEDORES_FANTASIA,$I1992)=0),"⚠ Cliente/Fornecedor não cadastrado",IF(AND($G1992&lt;&gt;"",COUNTIF(SUBCATEGORIAS_PLANO,$G1992)=0),"⚠ Subcategoria fora do plano de contas",IF(OR($Q1992="",N($Q1992)=0),"⚠ Valor previsto não informado",IF(AND(OR($X1992="Pago",$X1992="Recebido"),$D1992=""),"⚠ Status pago/recebido sem data",IF(AND($D1992&lt;&gt;"",N($R1992)=0),"⚠ Data de pagamento sem valor realizado",IF(AND(N($P1992)&gt;1,N($O1992)&gt;N($P1992)),"⚠ Nº da parcela maior que o total",IF(AND($C1992&lt;&gt;"",$B1992&lt;&gt;"",$C1992&lt;$B1992),"⚠ Vencimento anterior à competência","OK"))))))))</f>
        <v/>
      </c>
    </row>
    <row r="1993">
      <c r="A1993" s="14" t="n"/>
      <c r="B1993" s="36" t="n"/>
      <c r="C1993" s="36" t="n"/>
      <c r="D1993" s="36" t="n"/>
      <c r="E1993" s="14" t="n"/>
      <c r="F1993" s="29" t="n"/>
      <c r="G1993" s="29" t="n"/>
      <c r="H1993" s="29" t="n"/>
      <c r="I1993" s="29" t="n"/>
      <c r="J1993" s="29" t="n"/>
      <c r="K1993" s="14" t="n"/>
      <c r="L1993" s="29" t="n"/>
      <c r="M1993" s="14" t="n"/>
      <c r="N1993" s="29" t="n"/>
      <c r="O1993" s="13" t="n"/>
      <c r="P1993" s="13" t="n"/>
      <c r="Q1993" s="35" t="n"/>
      <c r="R1993" s="35" t="n"/>
      <c r="S1993" s="35" t="n"/>
      <c r="T1993" s="35" t="n"/>
      <c r="U1993" s="35" t="n"/>
      <c r="V1993" s="18">
        <f>IF(COUNTA($B1993:$R1993)=0,"",ROUND(N($R1993)+N($S1993)+N($T1993)-N($U1993),2))</f>
        <v/>
      </c>
      <c r="W1993" s="18">
        <f>IF(COUNTA($B1993:$R1993)=0,"",IF(OR($X1993="Pago",$X1993="Recebido",$X1993="Cancelado"),0,ROUND(N($Q1993)+N($S1993)+N($T1993)-N($U1993)-N($R1993),2)))</f>
        <v/>
      </c>
      <c r="X1993" s="14" t="n"/>
      <c r="Y1993" s="17">
        <f>IF(COUNTA($B1993:$R1993)=0,"",IF($X1993="Cancelado","Cancelado",IF(OR($X1993="Pago",$X1993="Recebido"),$X1993,IF(OR($X1993="Parcial",N($R1993)&gt;0),"Parcial",IF($C1993="","Sem vencimento",IF($C1993&lt;TODAY(),"Vencido",IF($C1993=TODAY(),"Vence hoje",IF($C1993&lt;=TODAY()+7,"Vence em 7 dias",IF($C1993&lt;=TODAY()+30,"Vence em 30 dias","Futuro")))))))))</f>
        <v/>
      </c>
      <c r="Z1993" s="24">
        <f>IF($B1993="","",MONTH($B1993))</f>
        <v/>
      </c>
      <c r="AA1993" s="24">
        <f>IF($B1993="","",YEAR($B1993))</f>
        <v/>
      </c>
      <c r="AB1993" s="24">
        <f>IF($B1993="","",ISOWEEKNUM($B1993))</f>
        <v/>
      </c>
      <c r="AC1993" s="17">
        <f>IF($B1993="","",CHOOSE(WEEKDAY($B1993,2),"Segunda","Terça","Quarta","Quinta","Sexta","Sábado","Domingo"))</f>
        <v/>
      </c>
      <c r="AD1993" s="17">
        <f>IF($B1993="","",TEXT($B1993,"MM/AAAA"))</f>
        <v/>
      </c>
      <c r="AE1993" s="18">
        <f>IF(COUNTA($B1993:$R1993)=0,"",IF($X1993="Cancelado",0,ROUND(N($Q1993)+N($S1993)+N($T1993)-N($U1993),2)))</f>
        <v/>
      </c>
      <c r="AF1993" s="9">
        <f>IF($G1993="","",IFERROR(INDEX(LINHAS_DRE_PLANO,MATCH($G1993,SUBCATEGORIAS_PLANO,0)),"Não classificado"))</f>
        <v/>
      </c>
      <c r="AG1993" s="17">
        <f>IF($G1993="","",IFERROR(INDEX(TIPOS_FLUXO_PLANO,MATCH($G1993,SUBCATEGORIAS_PLANO,0)),"Não classificado"))</f>
        <v/>
      </c>
      <c r="AH1993" s="9">
        <f>IF($G1993="","",IFERROR(INDEX(GRUPOS_PLANO,MATCH($G1993,SUBCATEGORIAS_PLANO,0)),"Não classificado"))</f>
        <v/>
      </c>
      <c r="AI1993" s="24">
        <f>IF(OR($C1993="",$X1993="Pago",$X1993="Recebido",$X1993="Cancelado"),"",$C1993-TODAY())</f>
        <v/>
      </c>
      <c r="AJ1993" s="24">
        <f>IF(OR($C1993="",$X1993="Pago",$X1993="Recebido",$X1993="Cancelado"),0,MAX(0,TODAY()-$C1993))</f>
        <v/>
      </c>
      <c r="AK1993" s="24">
        <f>IF($D1993="","",$D1993-$B1993)</f>
        <v/>
      </c>
      <c r="AL1993" s="18">
        <f>IF(OR($D1993="",$B1993=""),"",ROUND(N($R1993)*($D1993-$B1993),2))</f>
        <v/>
      </c>
      <c r="AM1993" s="17">
        <f>IF(AND($E1993="Saída",$W1993&gt;0,$C1993&lt;&gt;""),$C1993+ROW()/1000000,"")</f>
        <v/>
      </c>
      <c r="AN1993" s="17">
        <f>IF(AND($E1993="Entrada",$W1993&gt;0,$C1993&lt;&gt;""),$C1993+ROW()/1000000,"")</f>
        <v/>
      </c>
      <c r="AO1993" s="9">
        <f>IF(COUNTA($B1993:$R1993)=0,"",IF(AND($I1993&lt;&gt;"",COUNTIF(CLIENTES_NOMES,$I1993)+COUNTIF(CLIENTES_FANTASIA,$I1993)+COUNTIF(FORNECEDORES_NOMES,$I1993)+COUNTIF(FORNECEDORES_FANTASIA,$I1993)=0),"⚠ Cliente/Fornecedor não cadastrado",IF(AND($G1993&lt;&gt;"",COUNTIF(SUBCATEGORIAS_PLANO,$G1993)=0),"⚠ Subcategoria fora do plano de contas",IF(OR($Q1993="",N($Q1993)=0),"⚠ Valor previsto não informado",IF(AND(OR($X1993="Pago",$X1993="Recebido"),$D1993=""),"⚠ Status pago/recebido sem data",IF(AND($D1993&lt;&gt;"",N($R1993)=0),"⚠ Data de pagamento sem valor realizado",IF(AND(N($P1993)&gt;1,N($O1993)&gt;N($P1993)),"⚠ Nº da parcela maior que o total",IF(AND($C1993&lt;&gt;"",$B1993&lt;&gt;"",$C1993&lt;$B1993),"⚠ Vencimento anterior à competência","OK"))))))))</f>
        <v/>
      </c>
    </row>
    <row r="1994">
      <c r="A1994" s="14" t="n"/>
      <c r="B1994" s="36" t="n"/>
      <c r="C1994" s="36" t="n"/>
      <c r="D1994" s="36" t="n"/>
      <c r="E1994" s="14" t="n"/>
      <c r="F1994" s="29" t="n"/>
      <c r="G1994" s="29" t="n"/>
      <c r="H1994" s="29" t="n"/>
      <c r="I1994" s="29" t="n"/>
      <c r="J1994" s="29" t="n"/>
      <c r="K1994" s="14" t="n"/>
      <c r="L1994" s="29" t="n"/>
      <c r="M1994" s="14" t="n"/>
      <c r="N1994" s="29" t="n"/>
      <c r="O1994" s="13" t="n"/>
      <c r="P1994" s="13" t="n"/>
      <c r="Q1994" s="35" t="n"/>
      <c r="R1994" s="35" t="n"/>
      <c r="S1994" s="35" t="n"/>
      <c r="T1994" s="35" t="n"/>
      <c r="U1994" s="35" t="n"/>
      <c r="V1994" s="18">
        <f>IF(COUNTA($B1994:$R1994)=0,"",ROUND(N($R1994)+N($S1994)+N($T1994)-N($U1994),2))</f>
        <v/>
      </c>
      <c r="W1994" s="18">
        <f>IF(COUNTA($B1994:$R1994)=0,"",IF(OR($X1994="Pago",$X1994="Recebido",$X1994="Cancelado"),0,ROUND(N($Q1994)+N($S1994)+N($T1994)-N($U1994)-N($R1994),2)))</f>
        <v/>
      </c>
      <c r="X1994" s="14" t="n"/>
      <c r="Y1994" s="17">
        <f>IF(COUNTA($B1994:$R1994)=0,"",IF($X1994="Cancelado","Cancelado",IF(OR($X1994="Pago",$X1994="Recebido"),$X1994,IF(OR($X1994="Parcial",N($R1994)&gt;0),"Parcial",IF($C1994="","Sem vencimento",IF($C1994&lt;TODAY(),"Vencido",IF($C1994=TODAY(),"Vence hoje",IF($C1994&lt;=TODAY()+7,"Vence em 7 dias",IF($C1994&lt;=TODAY()+30,"Vence em 30 dias","Futuro")))))))))</f>
        <v/>
      </c>
      <c r="Z1994" s="24">
        <f>IF($B1994="","",MONTH($B1994))</f>
        <v/>
      </c>
      <c r="AA1994" s="24">
        <f>IF($B1994="","",YEAR($B1994))</f>
        <v/>
      </c>
      <c r="AB1994" s="24">
        <f>IF($B1994="","",ISOWEEKNUM($B1994))</f>
        <v/>
      </c>
      <c r="AC1994" s="17">
        <f>IF($B1994="","",CHOOSE(WEEKDAY($B1994,2),"Segunda","Terça","Quarta","Quinta","Sexta","Sábado","Domingo"))</f>
        <v/>
      </c>
      <c r="AD1994" s="17">
        <f>IF($B1994="","",TEXT($B1994,"MM/AAAA"))</f>
        <v/>
      </c>
      <c r="AE1994" s="18">
        <f>IF(COUNTA($B1994:$R1994)=0,"",IF($X1994="Cancelado",0,ROUND(N($Q1994)+N($S1994)+N($T1994)-N($U1994),2)))</f>
        <v/>
      </c>
      <c r="AF1994" s="9">
        <f>IF($G1994="","",IFERROR(INDEX(LINHAS_DRE_PLANO,MATCH($G1994,SUBCATEGORIAS_PLANO,0)),"Não classificado"))</f>
        <v/>
      </c>
      <c r="AG1994" s="17">
        <f>IF($G1994="","",IFERROR(INDEX(TIPOS_FLUXO_PLANO,MATCH($G1994,SUBCATEGORIAS_PLANO,0)),"Não classificado"))</f>
        <v/>
      </c>
      <c r="AH1994" s="9">
        <f>IF($G1994="","",IFERROR(INDEX(GRUPOS_PLANO,MATCH($G1994,SUBCATEGORIAS_PLANO,0)),"Não classificado"))</f>
        <v/>
      </c>
      <c r="AI1994" s="24">
        <f>IF(OR($C1994="",$X1994="Pago",$X1994="Recebido",$X1994="Cancelado"),"",$C1994-TODAY())</f>
        <v/>
      </c>
      <c r="AJ1994" s="24">
        <f>IF(OR($C1994="",$X1994="Pago",$X1994="Recebido",$X1994="Cancelado"),0,MAX(0,TODAY()-$C1994))</f>
        <v/>
      </c>
      <c r="AK1994" s="24">
        <f>IF($D1994="","",$D1994-$B1994)</f>
        <v/>
      </c>
      <c r="AL1994" s="18">
        <f>IF(OR($D1994="",$B1994=""),"",ROUND(N($R1994)*($D1994-$B1994),2))</f>
        <v/>
      </c>
      <c r="AM1994" s="17">
        <f>IF(AND($E1994="Saída",$W1994&gt;0,$C1994&lt;&gt;""),$C1994+ROW()/1000000,"")</f>
        <v/>
      </c>
      <c r="AN1994" s="17">
        <f>IF(AND($E1994="Entrada",$W1994&gt;0,$C1994&lt;&gt;""),$C1994+ROW()/1000000,"")</f>
        <v/>
      </c>
      <c r="AO1994" s="9">
        <f>IF(COUNTA($B1994:$R1994)=0,"",IF(AND($I1994&lt;&gt;"",COUNTIF(CLIENTES_NOMES,$I1994)+COUNTIF(CLIENTES_FANTASIA,$I1994)+COUNTIF(FORNECEDORES_NOMES,$I1994)+COUNTIF(FORNECEDORES_FANTASIA,$I1994)=0),"⚠ Cliente/Fornecedor não cadastrado",IF(AND($G1994&lt;&gt;"",COUNTIF(SUBCATEGORIAS_PLANO,$G1994)=0),"⚠ Subcategoria fora do plano de contas",IF(OR($Q1994="",N($Q1994)=0),"⚠ Valor previsto não informado",IF(AND(OR($X1994="Pago",$X1994="Recebido"),$D1994=""),"⚠ Status pago/recebido sem data",IF(AND($D1994&lt;&gt;"",N($R1994)=0),"⚠ Data de pagamento sem valor realizado",IF(AND(N($P1994)&gt;1,N($O1994)&gt;N($P1994)),"⚠ Nº da parcela maior que o total",IF(AND($C1994&lt;&gt;"",$B1994&lt;&gt;"",$C1994&lt;$B1994),"⚠ Vencimento anterior à competência","OK"))))))))</f>
        <v/>
      </c>
    </row>
    <row r="1995">
      <c r="A1995" s="14" t="n"/>
      <c r="B1995" s="36" t="n"/>
      <c r="C1995" s="36" t="n"/>
      <c r="D1995" s="36" t="n"/>
      <c r="E1995" s="14" t="n"/>
      <c r="F1995" s="29" t="n"/>
      <c r="G1995" s="29" t="n"/>
      <c r="H1995" s="29" t="n"/>
      <c r="I1995" s="29" t="n"/>
      <c r="J1995" s="29" t="n"/>
      <c r="K1995" s="14" t="n"/>
      <c r="L1995" s="29" t="n"/>
      <c r="M1995" s="14" t="n"/>
      <c r="N1995" s="29" t="n"/>
      <c r="O1995" s="13" t="n"/>
      <c r="P1995" s="13" t="n"/>
      <c r="Q1995" s="35" t="n"/>
      <c r="R1995" s="35" t="n"/>
      <c r="S1995" s="35" t="n"/>
      <c r="T1995" s="35" t="n"/>
      <c r="U1995" s="35" t="n"/>
      <c r="V1995" s="18">
        <f>IF(COUNTA($B1995:$R1995)=0,"",ROUND(N($R1995)+N($S1995)+N($T1995)-N($U1995),2))</f>
        <v/>
      </c>
      <c r="W1995" s="18">
        <f>IF(COUNTA($B1995:$R1995)=0,"",IF(OR($X1995="Pago",$X1995="Recebido",$X1995="Cancelado"),0,ROUND(N($Q1995)+N($S1995)+N($T1995)-N($U1995)-N($R1995),2)))</f>
        <v/>
      </c>
      <c r="X1995" s="14" t="n"/>
      <c r="Y1995" s="17">
        <f>IF(COUNTA($B1995:$R1995)=0,"",IF($X1995="Cancelado","Cancelado",IF(OR($X1995="Pago",$X1995="Recebido"),$X1995,IF(OR($X1995="Parcial",N($R1995)&gt;0),"Parcial",IF($C1995="","Sem vencimento",IF($C1995&lt;TODAY(),"Vencido",IF($C1995=TODAY(),"Vence hoje",IF($C1995&lt;=TODAY()+7,"Vence em 7 dias",IF($C1995&lt;=TODAY()+30,"Vence em 30 dias","Futuro")))))))))</f>
        <v/>
      </c>
      <c r="Z1995" s="24">
        <f>IF($B1995="","",MONTH($B1995))</f>
        <v/>
      </c>
      <c r="AA1995" s="24">
        <f>IF($B1995="","",YEAR($B1995))</f>
        <v/>
      </c>
      <c r="AB1995" s="24">
        <f>IF($B1995="","",ISOWEEKNUM($B1995))</f>
        <v/>
      </c>
      <c r="AC1995" s="17">
        <f>IF($B1995="","",CHOOSE(WEEKDAY($B1995,2),"Segunda","Terça","Quarta","Quinta","Sexta","Sábado","Domingo"))</f>
        <v/>
      </c>
      <c r="AD1995" s="17">
        <f>IF($B1995="","",TEXT($B1995,"MM/AAAA"))</f>
        <v/>
      </c>
      <c r="AE1995" s="18">
        <f>IF(COUNTA($B1995:$R1995)=0,"",IF($X1995="Cancelado",0,ROUND(N($Q1995)+N($S1995)+N($T1995)-N($U1995),2)))</f>
        <v/>
      </c>
      <c r="AF1995" s="9">
        <f>IF($G1995="","",IFERROR(INDEX(LINHAS_DRE_PLANO,MATCH($G1995,SUBCATEGORIAS_PLANO,0)),"Não classificado"))</f>
        <v/>
      </c>
      <c r="AG1995" s="17">
        <f>IF($G1995="","",IFERROR(INDEX(TIPOS_FLUXO_PLANO,MATCH($G1995,SUBCATEGORIAS_PLANO,0)),"Não classificado"))</f>
        <v/>
      </c>
      <c r="AH1995" s="9">
        <f>IF($G1995="","",IFERROR(INDEX(GRUPOS_PLANO,MATCH($G1995,SUBCATEGORIAS_PLANO,0)),"Não classificado"))</f>
        <v/>
      </c>
      <c r="AI1995" s="24">
        <f>IF(OR($C1995="",$X1995="Pago",$X1995="Recebido",$X1995="Cancelado"),"",$C1995-TODAY())</f>
        <v/>
      </c>
      <c r="AJ1995" s="24">
        <f>IF(OR($C1995="",$X1995="Pago",$X1995="Recebido",$X1995="Cancelado"),0,MAX(0,TODAY()-$C1995))</f>
        <v/>
      </c>
      <c r="AK1995" s="24">
        <f>IF($D1995="","",$D1995-$B1995)</f>
        <v/>
      </c>
      <c r="AL1995" s="18">
        <f>IF(OR($D1995="",$B1995=""),"",ROUND(N($R1995)*($D1995-$B1995),2))</f>
        <v/>
      </c>
      <c r="AM1995" s="17">
        <f>IF(AND($E1995="Saída",$W1995&gt;0,$C1995&lt;&gt;""),$C1995+ROW()/1000000,"")</f>
        <v/>
      </c>
      <c r="AN1995" s="17">
        <f>IF(AND($E1995="Entrada",$W1995&gt;0,$C1995&lt;&gt;""),$C1995+ROW()/1000000,"")</f>
        <v/>
      </c>
      <c r="AO1995" s="9">
        <f>IF(COUNTA($B1995:$R1995)=0,"",IF(AND($I1995&lt;&gt;"",COUNTIF(CLIENTES_NOMES,$I1995)+COUNTIF(CLIENTES_FANTASIA,$I1995)+COUNTIF(FORNECEDORES_NOMES,$I1995)+COUNTIF(FORNECEDORES_FANTASIA,$I1995)=0),"⚠ Cliente/Fornecedor não cadastrado",IF(AND($G1995&lt;&gt;"",COUNTIF(SUBCATEGORIAS_PLANO,$G1995)=0),"⚠ Subcategoria fora do plano de contas",IF(OR($Q1995="",N($Q1995)=0),"⚠ Valor previsto não informado",IF(AND(OR($X1995="Pago",$X1995="Recebido"),$D1995=""),"⚠ Status pago/recebido sem data",IF(AND($D1995&lt;&gt;"",N($R1995)=0),"⚠ Data de pagamento sem valor realizado",IF(AND(N($P1995)&gt;1,N($O1995)&gt;N($P1995)),"⚠ Nº da parcela maior que o total",IF(AND($C1995&lt;&gt;"",$B1995&lt;&gt;"",$C1995&lt;$B1995),"⚠ Vencimento anterior à competência","OK"))))))))</f>
        <v/>
      </c>
    </row>
    <row r="1996">
      <c r="A1996" s="14" t="n"/>
      <c r="B1996" s="36" t="n"/>
      <c r="C1996" s="36" t="n"/>
      <c r="D1996" s="36" t="n"/>
      <c r="E1996" s="14" t="n"/>
      <c r="F1996" s="29" t="n"/>
      <c r="G1996" s="29" t="n"/>
      <c r="H1996" s="29" t="n"/>
      <c r="I1996" s="29" t="n"/>
      <c r="J1996" s="29" t="n"/>
      <c r="K1996" s="14" t="n"/>
      <c r="L1996" s="29" t="n"/>
      <c r="M1996" s="14" t="n"/>
      <c r="N1996" s="29" t="n"/>
      <c r="O1996" s="13" t="n"/>
      <c r="P1996" s="13" t="n"/>
      <c r="Q1996" s="35" t="n"/>
      <c r="R1996" s="35" t="n"/>
      <c r="S1996" s="35" t="n"/>
      <c r="T1996" s="35" t="n"/>
      <c r="U1996" s="35" t="n"/>
      <c r="V1996" s="18">
        <f>IF(COUNTA($B1996:$R1996)=0,"",ROUND(N($R1996)+N($S1996)+N($T1996)-N($U1996),2))</f>
        <v/>
      </c>
      <c r="W1996" s="18">
        <f>IF(COUNTA($B1996:$R1996)=0,"",IF(OR($X1996="Pago",$X1996="Recebido",$X1996="Cancelado"),0,ROUND(N($Q1996)+N($S1996)+N($T1996)-N($U1996)-N($R1996),2)))</f>
        <v/>
      </c>
      <c r="X1996" s="14" t="n"/>
      <c r="Y1996" s="17">
        <f>IF(COUNTA($B1996:$R1996)=0,"",IF($X1996="Cancelado","Cancelado",IF(OR($X1996="Pago",$X1996="Recebido"),$X1996,IF(OR($X1996="Parcial",N($R1996)&gt;0),"Parcial",IF($C1996="","Sem vencimento",IF($C1996&lt;TODAY(),"Vencido",IF($C1996=TODAY(),"Vence hoje",IF($C1996&lt;=TODAY()+7,"Vence em 7 dias",IF($C1996&lt;=TODAY()+30,"Vence em 30 dias","Futuro")))))))))</f>
        <v/>
      </c>
      <c r="Z1996" s="24">
        <f>IF($B1996="","",MONTH($B1996))</f>
        <v/>
      </c>
      <c r="AA1996" s="24">
        <f>IF($B1996="","",YEAR($B1996))</f>
        <v/>
      </c>
      <c r="AB1996" s="24">
        <f>IF($B1996="","",ISOWEEKNUM($B1996))</f>
        <v/>
      </c>
      <c r="AC1996" s="17">
        <f>IF($B1996="","",CHOOSE(WEEKDAY($B1996,2),"Segunda","Terça","Quarta","Quinta","Sexta","Sábado","Domingo"))</f>
        <v/>
      </c>
      <c r="AD1996" s="17">
        <f>IF($B1996="","",TEXT($B1996,"MM/AAAA"))</f>
        <v/>
      </c>
      <c r="AE1996" s="18">
        <f>IF(COUNTA($B1996:$R1996)=0,"",IF($X1996="Cancelado",0,ROUND(N($Q1996)+N($S1996)+N($T1996)-N($U1996),2)))</f>
        <v/>
      </c>
      <c r="AF1996" s="9">
        <f>IF($G1996="","",IFERROR(INDEX(LINHAS_DRE_PLANO,MATCH($G1996,SUBCATEGORIAS_PLANO,0)),"Não classificado"))</f>
        <v/>
      </c>
      <c r="AG1996" s="17">
        <f>IF($G1996="","",IFERROR(INDEX(TIPOS_FLUXO_PLANO,MATCH($G1996,SUBCATEGORIAS_PLANO,0)),"Não classificado"))</f>
        <v/>
      </c>
      <c r="AH1996" s="9">
        <f>IF($G1996="","",IFERROR(INDEX(GRUPOS_PLANO,MATCH($G1996,SUBCATEGORIAS_PLANO,0)),"Não classificado"))</f>
        <v/>
      </c>
      <c r="AI1996" s="24">
        <f>IF(OR($C1996="",$X1996="Pago",$X1996="Recebido",$X1996="Cancelado"),"",$C1996-TODAY())</f>
        <v/>
      </c>
      <c r="AJ1996" s="24">
        <f>IF(OR($C1996="",$X1996="Pago",$X1996="Recebido",$X1996="Cancelado"),0,MAX(0,TODAY()-$C1996))</f>
        <v/>
      </c>
      <c r="AK1996" s="24">
        <f>IF($D1996="","",$D1996-$B1996)</f>
        <v/>
      </c>
      <c r="AL1996" s="18">
        <f>IF(OR($D1996="",$B1996=""),"",ROUND(N($R1996)*($D1996-$B1996),2))</f>
        <v/>
      </c>
      <c r="AM1996" s="17">
        <f>IF(AND($E1996="Saída",$W1996&gt;0,$C1996&lt;&gt;""),$C1996+ROW()/1000000,"")</f>
        <v/>
      </c>
      <c r="AN1996" s="17">
        <f>IF(AND($E1996="Entrada",$W1996&gt;0,$C1996&lt;&gt;""),$C1996+ROW()/1000000,"")</f>
        <v/>
      </c>
      <c r="AO1996" s="9">
        <f>IF(COUNTA($B1996:$R1996)=0,"",IF(AND($I1996&lt;&gt;"",COUNTIF(CLIENTES_NOMES,$I1996)+COUNTIF(CLIENTES_FANTASIA,$I1996)+COUNTIF(FORNECEDORES_NOMES,$I1996)+COUNTIF(FORNECEDORES_FANTASIA,$I1996)=0),"⚠ Cliente/Fornecedor não cadastrado",IF(AND($G1996&lt;&gt;"",COUNTIF(SUBCATEGORIAS_PLANO,$G1996)=0),"⚠ Subcategoria fora do plano de contas",IF(OR($Q1996="",N($Q1996)=0),"⚠ Valor previsto não informado",IF(AND(OR($X1996="Pago",$X1996="Recebido"),$D1996=""),"⚠ Status pago/recebido sem data",IF(AND($D1996&lt;&gt;"",N($R1996)=0),"⚠ Data de pagamento sem valor realizado",IF(AND(N($P1996)&gt;1,N($O1996)&gt;N($P1996)),"⚠ Nº da parcela maior que o total",IF(AND($C1996&lt;&gt;"",$B1996&lt;&gt;"",$C1996&lt;$B1996),"⚠ Vencimento anterior à competência","OK"))))))))</f>
        <v/>
      </c>
    </row>
    <row r="1997">
      <c r="A1997" s="14" t="n"/>
      <c r="B1997" s="36" t="n"/>
      <c r="C1997" s="36" t="n"/>
      <c r="D1997" s="36" t="n"/>
      <c r="E1997" s="14" t="n"/>
      <c r="F1997" s="29" t="n"/>
      <c r="G1997" s="29" t="n"/>
      <c r="H1997" s="29" t="n"/>
      <c r="I1997" s="29" t="n"/>
      <c r="J1997" s="29" t="n"/>
      <c r="K1997" s="14" t="n"/>
      <c r="L1997" s="29" t="n"/>
      <c r="M1997" s="14" t="n"/>
      <c r="N1997" s="29" t="n"/>
      <c r="O1997" s="13" t="n"/>
      <c r="P1997" s="13" t="n"/>
      <c r="Q1997" s="35" t="n"/>
      <c r="R1997" s="35" t="n"/>
      <c r="S1997" s="35" t="n"/>
      <c r="T1997" s="35" t="n"/>
      <c r="U1997" s="35" t="n"/>
      <c r="V1997" s="18">
        <f>IF(COUNTA($B1997:$R1997)=0,"",ROUND(N($R1997)+N($S1997)+N($T1997)-N($U1997),2))</f>
        <v/>
      </c>
      <c r="W1997" s="18">
        <f>IF(COUNTA($B1997:$R1997)=0,"",IF(OR($X1997="Pago",$X1997="Recebido",$X1997="Cancelado"),0,ROUND(N($Q1997)+N($S1997)+N($T1997)-N($U1997)-N($R1997),2)))</f>
        <v/>
      </c>
      <c r="X1997" s="14" t="n"/>
      <c r="Y1997" s="17">
        <f>IF(COUNTA($B1997:$R1997)=0,"",IF($X1997="Cancelado","Cancelado",IF(OR($X1997="Pago",$X1997="Recebido"),$X1997,IF(OR($X1997="Parcial",N($R1997)&gt;0),"Parcial",IF($C1997="","Sem vencimento",IF($C1997&lt;TODAY(),"Vencido",IF($C1997=TODAY(),"Vence hoje",IF($C1997&lt;=TODAY()+7,"Vence em 7 dias",IF($C1997&lt;=TODAY()+30,"Vence em 30 dias","Futuro")))))))))</f>
        <v/>
      </c>
      <c r="Z1997" s="24">
        <f>IF($B1997="","",MONTH($B1997))</f>
        <v/>
      </c>
      <c r="AA1997" s="24">
        <f>IF($B1997="","",YEAR($B1997))</f>
        <v/>
      </c>
      <c r="AB1997" s="24">
        <f>IF($B1997="","",ISOWEEKNUM($B1997))</f>
        <v/>
      </c>
      <c r="AC1997" s="17">
        <f>IF($B1997="","",CHOOSE(WEEKDAY($B1997,2),"Segunda","Terça","Quarta","Quinta","Sexta","Sábado","Domingo"))</f>
        <v/>
      </c>
      <c r="AD1997" s="17">
        <f>IF($B1997="","",TEXT($B1997,"MM/AAAA"))</f>
        <v/>
      </c>
      <c r="AE1997" s="18">
        <f>IF(COUNTA($B1997:$R1997)=0,"",IF($X1997="Cancelado",0,ROUND(N($Q1997)+N($S1997)+N($T1997)-N($U1997),2)))</f>
        <v/>
      </c>
      <c r="AF1997" s="9">
        <f>IF($G1997="","",IFERROR(INDEX(LINHAS_DRE_PLANO,MATCH($G1997,SUBCATEGORIAS_PLANO,0)),"Não classificado"))</f>
        <v/>
      </c>
      <c r="AG1997" s="17">
        <f>IF($G1997="","",IFERROR(INDEX(TIPOS_FLUXO_PLANO,MATCH($G1997,SUBCATEGORIAS_PLANO,0)),"Não classificado"))</f>
        <v/>
      </c>
      <c r="AH1997" s="9">
        <f>IF($G1997="","",IFERROR(INDEX(GRUPOS_PLANO,MATCH($G1997,SUBCATEGORIAS_PLANO,0)),"Não classificado"))</f>
        <v/>
      </c>
      <c r="AI1997" s="24">
        <f>IF(OR($C1997="",$X1997="Pago",$X1997="Recebido",$X1997="Cancelado"),"",$C1997-TODAY())</f>
        <v/>
      </c>
      <c r="AJ1997" s="24">
        <f>IF(OR($C1997="",$X1997="Pago",$X1997="Recebido",$X1997="Cancelado"),0,MAX(0,TODAY()-$C1997))</f>
        <v/>
      </c>
      <c r="AK1997" s="24">
        <f>IF($D1997="","",$D1997-$B1997)</f>
        <v/>
      </c>
      <c r="AL1997" s="18">
        <f>IF(OR($D1997="",$B1997=""),"",ROUND(N($R1997)*($D1997-$B1997),2))</f>
        <v/>
      </c>
      <c r="AM1997" s="17">
        <f>IF(AND($E1997="Saída",$W1997&gt;0,$C1997&lt;&gt;""),$C1997+ROW()/1000000,"")</f>
        <v/>
      </c>
      <c r="AN1997" s="17">
        <f>IF(AND($E1997="Entrada",$W1997&gt;0,$C1997&lt;&gt;""),$C1997+ROW()/1000000,"")</f>
        <v/>
      </c>
      <c r="AO1997" s="9">
        <f>IF(COUNTA($B1997:$R1997)=0,"",IF(AND($I1997&lt;&gt;"",COUNTIF(CLIENTES_NOMES,$I1997)+COUNTIF(CLIENTES_FANTASIA,$I1997)+COUNTIF(FORNECEDORES_NOMES,$I1997)+COUNTIF(FORNECEDORES_FANTASIA,$I1997)=0),"⚠ Cliente/Fornecedor não cadastrado",IF(AND($G1997&lt;&gt;"",COUNTIF(SUBCATEGORIAS_PLANO,$G1997)=0),"⚠ Subcategoria fora do plano de contas",IF(OR($Q1997="",N($Q1997)=0),"⚠ Valor previsto não informado",IF(AND(OR($X1997="Pago",$X1997="Recebido"),$D1997=""),"⚠ Status pago/recebido sem data",IF(AND($D1997&lt;&gt;"",N($R1997)=0),"⚠ Data de pagamento sem valor realizado",IF(AND(N($P1997)&gt;1,N($O1997)&gt;N($P1997)),"⚠ Nº da parcela maior que o total",IF(AND($C1997&lt;&gt;"",$B1997&lt;&gt;"",$C1997&lt;$B1997),"⚠ Vencimento anterior à competência","OK"))))))))</f>
        <v/>
      </c>
    </row>
    <row r="1998">
      <c r="A1998" s="14" t="n"/>
      <c r="B1998" s="36" t="n"/>
      <c r="C1998" s="36" t="n"/>
      <c r="D1998" s="36" t="n"/>
      <c r="E1998" s="14" t="n"/>
      <c r="F1998" s="29" t="n"/>
      <c r="G1998" s="29" t="n"/>
      <c r="H1998" s="29" t="n"/>
      <c r="I1998" s="29" t="n"/>
      <c r="J1998" s="29" t="n"/>
      <c r="K1998" s="14" t="n"/>
      <c r="L1998" s="29" t="n"/>
      <c r="M1998" s="14" t="n"/>
      <c r="N1998" s="29" t="n"/>
      <c r="O1998" s="13" t="n"/>
      <c r="P1998" s="13" t="n"/>
      <c r="Q1998" s="35" t="n"/>
      <c r="R1998" s="35" t="n"/>
      <c r="S1998" s="35" t="n"/>
      <c r="T1998" s="35" t="n"/>
      <c r="U1998" s="35" t="n"/>
      <c r="V1998" s="18">
        <f>IF(COUNTA($B1998:$R1998)=0,"",ROUND(N($R1998)+N($S1998)+N($T1998)-N($U1998),2))</f>
        <v/>
      </c>
      <c r="W1998" s="18">
        <f>IF(COUNTA($B1998:$R1998)=0,"",IF(OR($X1998="Pago",$X1998="Recebido",$X1998="Cancelado"),0,ROUND(N($Q1998)+N($S1998)+N($T1998)-N($U1998)-N($R1998),2)))</f>
        <v/>
      </c>
      <c r="X1998" s="14" t="n"/>
      <c r="Y1998" s="17">
        <f>IF(COUNTA($B1998:$R1998)=0,"",IF($X1998="Cancelado","Cancelado",IF(OR($X1998="Pago",$X1998="Recebido"),$X1998,IF(OR($X1998="Parcial",N($R1998)&gt;0),"Parcial",IF($C1998="","Sem vencimento",IF($C1998&lt;TODAY(),"Vencido",IF($C1998=TODAY(),"Vence hoje",IF($C1998&lt;=TODAY()+7,"Vence em 7 dias",IF($C1998&lt;=TODAY()+30,"Vence em 30 dias","Futuro")))))))))</f>
        <v/>
      </c>
      <c r="Z1998" s="24">
        <f>IF($B1998="","",MONTH($B1998))</f>
        <v/>
      </c>
      <c r="AA1998" s="24">
        <f>IF($B1998="","",YEAR($B1998))</f>
        <v/>
      </c>
      <c r="AB1998" s="24">
        <f>IF($B1998="","",ISOWEEKNUM($B1998))</f>
        <v/>
      </c>
      <c r="AC1998" s="17">
        <f>IF($B1998="","",CHOOSE(WEEKDAY($B1998,2),"Segunda","Terça","Quarta","Quinta","Sexta","Sábado","Domingo"))</f>
        <v/>
      </c>
      <c r="AD1998" s="17">
        <f>IF($B1998="","",TEXT($B1998,"MM/AAAA"))</f>
        <v/>
      </c>
      <c r="AE1998" s="18">
        <f>IF(COUNTA($B1998:$R1998)=0,"",IF($X1998="Cancelado",0,ROUND(N($Q1998)+N($S1998)+N($T1998)-N($U1998),2)))</f>
        <v/>
      </c>
      <c r="AF1998" s="9">
        <f>IF($G1998="","",IFERROR(INDEX(LINHAS_DRE_PLANO,MATCH($G1998,SUBCATEGORIAS_PLANO,0)),"Não classificado"))</f>
        <v/>
      </c>
      <c r="AG1998" s="17">
        <f>IF($G1998="","",IFERROR(INDEX(TIPOS_FLUXO_PLANO,MATCH($G1998,SUBCATEGORIAS_PLANO,0)),"Não classificado"))</f>
        <v/>
      </c>
      <c r="AH1998" s="9">
        <f>IF($G1998="","",IFERROR(INDEX(GRUPOS_PLANO,MATCH($G1998,SUBCATEGORIAS_PLANO,0)),"Não classificado"))</f>
        <v/>
      </c>
      <c r="AI1998" s="24">
        <f>IF(OR($C1998="",$X1998="Pago",$X1998="Recebido",$X1998="Cancelado"),"",$C1998-TODAY())</f>
        <v/>
      </c>
      <c r="AJ1998" s="24">
        <f>IF(OR($C1998="",$X1998="Pago",$X1998="Recebido",$X1998="Cancelado"),0,MAX(0,TODAY()-$C1998))</f>
        <v/>
      </c>
      <c r="AK1998" s="24">
        <f>IF($D1998="","",$D1998-$B1998)</f>
        <v/>
      </c>
      <c r="AL1998" s="18">
        <f>IF(OR($D1998="",$B1998=""),"",ROUND(N($R1998)*($D1998-$B1998),2))</f>
        <v/>
      </c>
      <c r="AM1998" s="17">
        <f>IF(AND($E1998="Saída",$W1998&gt;0,$C1998&lt;&gt;""),$C1998+ROW()/1000000,"")</f>
        <v/>
      </c>
      <c r="AN1998" s="17">
        <f>IF(AND($E1998="Entrada",$W1998&gt;0,$C1998&lt;&gt;""),$C1998+ROW()/1000000,"")</f>
        <v/>
      </c>
      <c r="AO1998" s="9">
        <f>IF(COUNTA($B1998:$R1998)=0,"",IF(AND($I1998&lt;&gt;"",COUNTIF(CLIENTES_NOMES,$I1998)+COUNTIF(CLIENTES_FANTASIA,$I1998)+COUNTIF(FORNECEDORES_NOMES,$I1998)+COUNTIF(FORNECEDORES_FANTASIA,$I1998)=0),"⚠ Cliente/Fornecedor não cadastrado",IF(AND($G1998&lt;&gt;"",COUNTIF(SUBCATEGORIAS_PLANO,$G1998)=0),"⚠ Subcategoria fora do plano de contas",IF(OR($Q1998="",N($Q1998)=0),"⚠ Valor previsto não informado",IF(AND(OR($X1998="Pago",$X1998="Recebido"),$D1998=""),"⚠ Status pago/recebido sem data",IF(AND($D1998&lt;&gt;"",N($R1998)=0),"⚠ Data de pagamento sem valor realizado",IF(AND(N($P1998)&gt;1,N($O1998)&gt;N($P1998)),"⚠ Nº da parcela maior que o total",IF(AND($C1998&lt;&gt;"",$B1998&lt;&gt;"",$C1998&lt;$B1998),"⚠ Vencimento anterior à competência","OK"))))))))</f>
        <v/>
      </c>
    </row>
    <row r="1999">
      <c r="A1999" s="14" t="n"/>
      <c r="B1999" s="36" t="n"/>
      <c r="C1999" s="36" t="n"/>
      <c r="D1999" s="36" t="n"/>
      <c r="E1999" s="14" t="n"/>
      <c r="F1999" s="29" t="n"/>
      <c r="G1999" s="29" t="n"/>
      <c r="H1999" s="29" t="n"/>
      <c r="I1999" s="29" t="n"/>
      <c r="J1999" s="29" t="n"/>
      <c r="K1999" s="14" t="n"/>
      <c r="L1999" s="29" t="n"/>
      <c r="M1999" s="14" t="n"/>
      <c r="N1999" s="29" t="n"/>
      <c r="O1999" s="13" t="n"/>
      <c r="P1999" s="13" t="n"/>
      <c r="Q1999" s="35" t="n"/>
      <c r="R1999" s="35" t="n"/>
      <c r="S1999" s="35" t="n"/>
      <c r="T1999" s="35" t="n"/>
      <c r="U1999" s="35" t="n"/>
      <c r="V1999" s="18">
        <f>IF(COUNTA($B1999:$R1999)=0,"",ROUND(N($R1999)+N($S1999)+N($T1999)-N($U1999),2))</f>
        <v/>
      </c>
      <c r="W1999" s="18">
        <f>IF(COUNTA($B1999:$R1999)=0,"",IF(OR($X1999="Pago",$X1999="Recebido",$X1999="Cancelado"),0,ROUND(N($Q1999)+N($S1999)+N($T1999)-N($U1999)-N($R1999),2)))</f>
        <v/>
      </c>
      <c r="X1999" s="14" t="n"/>
      <c r="Y1999" s="17">
        <f>IF(COUNTA($B1999:$R1999)=0,"",IF($X1999="Cancelado","Cancelado",IF(OR($X1999="Pago",$X1999="Recebido"),$X1999,IF(OR($X1999="Parcial",N($R1999)&gt;0),"Parcial",IF($C1999="","Sem vencimento",IF($C1999&lt;TODAY(),"Vencido",IF($C1999=TODAY(),"Vence hoje",IF($C1999&lt;=TODAY()+7,"Vence em 7 dias",IF($C1999&lt;=TODAY()+30,"Vence em 30 dias","Futuro")))))))))</f>
        <v/>
      </c>
      <c r="Z1999" s="24">
        <f>IF($B1999="","",MONTH($B1999))</f>
        <v/>
      </c>
      <c r="AA1999" s="24">
        <f>IF($B1999="","",YEAR($B1999))</f>
        <v/>
      </c>
      <c r="AB1999" s="24">
        <f>IF($B1999="","",ISOWEEKNUM($B1999))</f>
        <v/>
      </c>
      <c r="AC1999" s="17">
        <f>IF($B1999="","",CHOOSE(WEEKDAY($B1999,2),"Segunda","Terça","Quarta","Quinta","Sexta","Sábado","Domingo"))</f>
        <v/>
      </c>
      <c r="AD1999" s="17">
        <f>IF($B1999="","",TEXT($B1999,"MM/AAAA"))</f>
        <v/>
      </c>
      <c r="AE1999" s="18">
        <f>IF(COUNTA($B1999:$R1999)=0,"",IF($X1999="Cancelado",0,ROUND(N($Q1999)+N($S1999)+N($T1999)-N($U1999),2)))</f>
        <v/>
      </c>
      <c r="AF1999" s="9">
        <f>IF($G1999="","",IFERROR(INDEX(LINHAS_DRE_PLANO,MATCH($G1999,SUBCATEGORIAS_PLANO,0)),"Não classificado"))</f>
        <v/>
      </c>
      <c r="AG1999" s="17">
        <f>IF($G1999="","",IFERROR(INDEX(TIPOS_FLUXO_PLANO,MATCH($G1999,SUBCATEGORIAS_PLANO,0)),"Não classificado"))</f>
        <v/>
      </c>
      <c r="AH1999" s="9">
        <f>IF($G1999="","",IFERROR(INDEX(GRUPOS_PLANO,MATCH($G1999,SUBCATEGORIAS_PLANO,0)),"Não classificado"))</f>
        <v/>
      </c>
      <c r="AI1999" s="24">
        <f>IF(OR($C1999="",$X1999="Pago",$X1999="Recebido",$X1999="Cancelado"),"",$C1999-TODAY())</f>
        <v/>
      </c>
      <c r="AJ1999" s="24">
        <f>IF(OR($C1999="",$X1999="Pago",$X1999="Recebido",$X1999="Cancelado"),0,MAX(0,TODAY()-$C1999))</f>
        <v/>
      </c>
      <c r="AK1999" s="24">
        <f>IF($D1999="","",$D1999-$B1999)</f>
        <v/>
      </c>
      <c r="AL1999" s="18">
        <f>IF(OR($D1999="",$B1999=""),"",ROUND(N($R1999)*($D1999-$B1999),2))</f>
        <v/>
      </c>
      <c r="AM1999" s="17">
        <f>IF(AND($E1999="Saída",$W1999&gt;0,$C1999&lt;&gt;""),$C1999+ROW()/1000000,"")</f>
        <v/>
      </c>
      <c r="AN1999" s="17">
        <f>IF(AND($E1999="Entrada",$W1999&gt;0,$C1999&lt;&gt;""),$C1999+ROW()/1000000,"")</f>
        <v/>
      </c>
      <c r="AO1999" s="9">
        <f>IF(COUNTA($B1999:$R1999)=0,"",IF(AND($I1999&lt;&gt;"",COUNTIF(CLIENTES_NOMES,$I1999)+COUNTIF(CLIENTES_FANTASIA,$I1999)+COUNTIF(FORNECEDORES_NOMES,$I1999)+COUNTIF(FORNECEDORES_FANTASIA,$I1999)=0),"⚠ Cliente/Fornecedor não cadastrado",IF(AND($G1999&lt;&gt;"",COUNTIF(SUBCATEGORIAS_PLANO,$G1999)=0),"⚠ Subcategoria fora do plano de contas",IF(OR($Q1999="",N($Q1999)=0),"⚠ Valor previsto não informado",IF(AND(OR($X1999="Pago",$X1999="Recebido"),$D1999=""),"⚠ Status pago/recebido sem data",IF(AND($D1999&lt;&gt;"",N($R1999)=0),"⚠ Data de pagamento sem valor realizado",IF(AND(N($P1999)&gt;1,N($O1999)&gt;N($P1999)),"⚠ Nº da parcela maior que o total",IF(AND($C1999&lt;&gt;"",$B1999&lt;&gt;"",$C1999&lt;$B1999),"⚠ Vencimento anterior à competência","OK"))))))))</f>
        <v/>
      </c>
    </row>
    <row r="2000">
      <c r="A2000" s="14" t="n"/>
      <c r="B2000" s="36" t="n"/>
      <c r="C2000" s="36" t="n"/>
      <c r="D2000" s="36" t="n"/>
      <c r="E2000" s="14" t="n"/>
      <c r="F2000" s="29" t="n"/>
      <c r="G2000" s="29" t="n"/>
      <c r="H2000" s="29" t="n"/>
      <c r="I2000" s="29" t="n"/>
      <c r="J2000" s="29" t="n"/>
      <c r="K2000" s="14" t="n"/>
      <c r="L2000" s="29" t="n"/>
      <c r="M2000" s="14" t="n"/>
      <c r="N2000" s="29" t="n"/>
      <c r="O2000" s="13" t="n"/>
      <c r="P2000" s="13" t="n"/>
      <c r="Q2000" s="35" t="n"/>
      <c r="R2000" s="35" t="n"/>
      <c r="S2000" s="35" t="n"/>
      <c r="T2000" s="35" t="n"/>
      <c r="U2000" s="35" t="n"/>
      <c r="V2000" s="18">
        <f>IF(COUNTA($B2000:$R2000)=0,"",ROUND(N($R2000)+N($S2000)+N($T2000)-N($U2000),2))</f>
        <v/>
      </c>
      <c r="W2000" s="18">
        <f>IF(COUNTA($B2000:$R2000)=0,"",IF(OR($X2000="Pago",$X2000="Recebido",$X2000="Cancelado"),0,ROUND(N($Q2000)+N($S2000)+N($T2000)-N($U2000)-N($R2000),2)))</f>
        <v/>
      </c>
      <c r="X2000" s="14" t="n"/>
      <c r="Y2000" s="17">
        <f>IF(COUNTA($B2000:$R2000)=0,"",IF($X2000="Cancelado","Cancelado",IF(OR($X2000="Pago",$X2000="Recebido"),$X2000,IF(OR($X2000="Parcial",N($R2000)&gt;0),"Parcial",IF($C2000="","Sem vencimento",IF($C2000&lt;TODAY(),"Vencido",IF($C2000=TODAY(),"Vence hoje",IF($C2000&lt;=TODAY()+7,"Vence em 7 dias",IF($C2000&lt;=TODAY()+30,"Vence em 30 dias","Futuro")))))))))</f>
        <v/>
      </c>
      <c r="Z2000" s="24">
        <f>IF($B2000="","",MONTH($B2000))</f>
        <v/>
      </c>
      <c r="AA2000" s="24">
        <f>IF($B2000="","",YEAR($B2000))</f>
        <v/>
      </c>
      <c r="AB2000" s="24">
        <f>IF($B2000="","",ISOWEEKNUM($B2000))</f>
        <v/>
      </c>
      <c r="AC2000" s="17">
        <f>IF($B2000="","",CHOOSE(WEEKDAY($B2000,2),"Segunda","Terça","Quarta","Quinta","Sexta","Sábado","Domingo"))</f>
        <v/>
      </c>
      <c r="AD2000" s="17">
        <f>IF($B2000="","",TEXT($B2000,"MM/AAAA"))</f>
        <v/>
      </c>
      <c r="AE2000" s="18">
        <f>IF(COUNTA($B2000:$R2000)=0,"",IF($X2000="Cancelado",0,ROUND(N($Q2000)+N($S2000)+N($T2000)-N($U2000),2)))</f>
        <v/>
      </c>
      <c r="AF2000" s="9">
        <f>IF($G2000="","",IFERROR(INDEX(LINHAS_DRE_PLANO,MATCH($G2000,SUBCATEGORIAS_PLANO,0)),"Não classificado"))</f>
        <v/>
      </c>
      <c r="AG2000" s="17">
        <f>IF($G2000="","",IFERROR(INDEX(TIPOS_FLUXO_PLANO,MATCH($G2000,SUBCATEGORIAS_PLANO,0)),"Não classificado"))</f>
        <v/>
      </c>
      <c r="AH2000" s="9">
        <f>IF($G2000="","",IFERROR(INDEX(GRUPOS_PLANO,MATCH($G2000,SUBCATEGORIAS_PLANO,0)),"Não classificado"))</f>
        <v/>
      </c>
      <c r="AI2000" s="24">
        <f>IF(OR($C2000="",$X2000="Pago",$X2000="Recebido",$X2000="Cancelado"),"",$C2000-TODAY())</f>
        <v/>
      </c>
      <c r="AJ2000" s="24">
        <f>IF(OR($C2000="",$X2000="Pago",$X2000="Recebido",$X2000="Cancelado"),0,MAX(0,TODAY()-$C2000))</f>
        <v/>
      </c>
      <c r="AK2000" s="24">
        <f>IF($D2000="","",$D2000-$B2000)</f>
        <v/>
      </c>
      <c r="AL2000" s="18">
        <f>IF(OR($D2000="",$B2000=""),"",ROUND(N($R2000)*($D2000-$B2000),2))</f>
        <v/>
      </c>
      <c r="AM2000" s="17">
        <f>IF(AND($E2000="Saída",$W2000&gt;0,$C2000&lt;&gt;""),$C2000+ROW()/1000000,"")</f>
        <v/>
      </c>
      <c r="AN2000" s="17">
        <f>IF(AND($E2000="Entrada",$W2000&gt;0,$C2000&lt;&gt;""),$C2000+ROW()/1000000,"")</f>
        <v/>
      </c>
      <c r="AO2000" s="9">
        <f>IF(COUNTA($B2000:$R2000)=0,"",IF(AND($I2000&lt;&gt;"",COUNTIF(CLIENTES_NOMES,$I2000)+COUNTIF(CLIENTES_FANTASIA,$I2000)+COUNTIF(FORNECEDORES_NOMES,$I2000)+COUNTIF(FORNECEDORES_FANTASIA,$I2000)=0),"⚠ Cliente/Fornecedor não cadastrado",IF(AND($G2000&lt;&gt;"",COUNTIF(SUBCATEGORIAS_PLANO,$G2000)=0),"⚠ Subcategoria fora do plano de contas",IF(OR($Q2000="",N($Q2000)=0),"⚠ Valor previsto não informado",IF(AND(OR($X2000="Pago",$X2000="Recebido"),$D2000=""),"⚠ Status pago/recebido sem data",IF(AND($D2000&lt;&gt;"",N($R2000)=0),"⚠ Data de pagamento sem valor realizado",IF(AND(N($P2000)&gt;1,N($O2000)&gt;N($P2000)),"⚠ Nº da parcela maior que o total",IF(AND($C2000&lt;&gt;"",$B2000&lt;&gt;"",$C2000&lt;$B2000),"⚠ Vencimento anterior à competência","OK"))))))))</f>
        <v/>
      </c>
    </row>
    <row r="2001">
      <c r="A2001" s="14" t="n"/>
      <c r="B2001" s="36" t="n"/>
      <c r="C2001" s="36" t="n"/>
      <c r="D2001" s="36" t="n"/>
      <c r="E2001" s="14" t="n"/>
      <c r="F2001" s="29" t="n"/>
      <c r="G2001" s="29" t="n"/>
      <c r="H2001" s="29" t="n"/>
      <c r="I2001" s="29" t="n"/>
      <c r="J2001" s="29" t="n"/>
      <c r="K2001" s="14" t="n"/>
      <c r="L2001" s="29" t="n"/>
      <c r="M2001" s="14" t="n"/>
      <c r="N2001" s="29" t="n"/>
      <c r="O2001" s="13" t="n"/>
      <c r="P2001" s="13" t="n"/>
      <c r="Q2001" s="35" t="n"/>
      <c r="R2001" s="35" t="n"/>
      <c r="S2001" s="35" t="n"/>
      <c r="T2001" s="35" t="n"/>
      <c r="U2001" s="35" t="n"/>
      <c r="V2001" s="18">
        <f>IF(COUNTA($B2001:$R2001)=0,"",ROUND(N($R2001)+N($S2001)+N($T2001)-N($U2001),2))</f>
        <v/>
      </c>
      <c r="W2001" s="18">
        <f>IF(COUNTA($B2001:$R2001)=0,"",IF(OR($X2001="Pago",$X2001="Recebido",$X2001="Cancelado"),0,ROUND(N($Q2001)+N($S2001)+N($T2001)-N($U2001)-N($R2001),2)))</f>
        <v/>
      </c>
      <c r="X2001" s="14" t="n"/>
      <c r="Y2001" s="17">
        <f>IF(COUNTA($B2001:$R2001)=0,"",IF($X2001="Cancelado","Cancelado",IF(OR($X2001="Pago",$X2001="Recebido"),$X2001,IF(OR($X2001="Parcial",N($R2001)&gt;0),"Parcial",IF($C2001="","Sem vencimento",IF($C2001&lt;TODAY(),"Vencido",IF($C2001=TODAY(),"Vence hoje",IF($C2001&lt;=TODAY()+7,"Vence em 7 dias",IF($C2001&lt;=TODAY()+30,"Vence em 30 dias","Futuro")))))))))</f>
        <v/>
      </c>
      <c r="Z2001" s="24">
        <f>IF($B2001="","",MONTH($B2001))</f>
        <v/>
      </c>
      <c r="AA2001" s="24">
        <f>IF($B2001="","",YEAR($B2001))</f>
        <v/>
      </c>
      <c r="AB2001" s="24">
        <f>IF($B2001="","",ISOWEEKNUM($B2001))</f>
        <v/>
      </c>
      <c r="AC2001" s="17">
        <f>IF($B2001="","",CHOOSE(WEEKDAY($B2001,2),"Segunda","Terça","Quarta","Quinta","Sexta","Sábado","Domingo"))</f>
        <v/>
      </c>
      <c r="AD2001" s="17">
        <f>IF($B2001="","",TEXT($B2001,"MM/AAAA"))</f>
        <v/>
      </c>
      <c r="AE2001" s="18">
        <f>IF(COUNTA($B2001:$R2001)=0,"",IF($X2001="Cancelado",0,ROUND(N($Q2001)+N($S2001)+N($T2001)-N($U2001),2)))</f>
        <v/>
      </c>
      <c r="AF2001" s="9">
        <f>IF($G2001="","",IFERROR(INDEX(LINHAS_DRE_PLANO,MATCH($G2001,SUBCATEGORIAS_PLANO,0)),"Não classificado"))</f>
        <v/>
      </c>
      <c r="AG2001" s="17">
        <f>IF($G2001="","",IFERROR(INDEX(TIPOS_FLUXO_PLANO,MATCH($G2001,SUBCATEGORIAS_PLANO,0)),"Não classificado"))</f>
        <v/>
      </c>
      <c r="AH2001" s="9">
        <f>IF($G2001="","",IFERROR(INDEX(GRUPOS_PLANO,MATCH($G2001,SUBCATEGORIAS_PLANO,0)),"Não classificado"))</f>
        <v/>
      </c>
      <c r="AI2001" s="24">
        <f>IF(OR($C2001="",$X2001="Pago",$X2001="Recebido",$X2001="Cancelado"),"",$C2001-TODAY())</f>
        <v/>
      </c>
      <c r="AJ2001" s="24">
        <f>IF(OR($C2001="",$X2001="Pago",$X2001="Recebido",$X2001="Cancelado"),0,MAX(0,TODAY()-$C2001))</f>
        <v/>
      </c>
      <c r="AK2001" s="24">
        <f>IF($D2001="","",$D2001-$B2001)</f>
        <v/>
      </c>
      <c r="AL2001" s="18">
        <f>IF(OR($D2001="",$B2001=""),"",ROUND(N($R2001)*($D2001-$B2001),2))</f>
        <v/>
      </c>
      <c r="AM2001" s="17">
        <f>IF(AND($E2001="Saída",$W2001&gt;0,$C2001&lt;&gt;""),$C2001+ROW()/1000000,"")</f>
        <v/>
      </c>
      <c r="AN2001" s="17">
        <f>IF(AND($E2001="Entrada",$W2001&gt;0,$C2001&lt;&gt;""),$C2001+ROW()/1000000,"")</f>
        <v/>
      </c>
      <c r="AO2001" s="9">
        <f>IF(COUNTA($B2001:$R2001)=0,"",IF(AND($I2001&lt;&gt;"",COUNTIF(CLIENTES_NOMES,$I2001)+COUNTIF(CLIENTES_FANTASIA,$I2001)+COUNTIF(FORNECEDORES_NOMES,$I2001)+COUNTIF(FORNECEDORES_FANTASIA,$I2001)=0),"⚠ Cliente/Fornecedor não cadastrado",IF(AND($G2001&lt;&gt;"",COUNTIF(SUBCATEGORIAS_PLANO,$G2001)=0),"⚠ Subcategoria fora do plano de contas",IF(OR($Q2001="",N($Q2001)=0),"⚠ Valor previsto não informado",IF(AND(OR($X2001="Pago",$X2001="Recebido"),$D2001=""),"⚠ Status pago/recebido sem data",IF(AND($D2001&lt;&gt;"",N($R2001)=0),"⚠ Data de pagamento sem valor realizado",IF(AND(N($P2001)&gt;1,N($O2001)&gt;N($P2001)),"⚠ Nº da parcela maior que o total",IF(AND($C2001&lt;&gt;"",$B2001&lt;&gt;"",$C2001&lt;$B2001),"⚠ Vencimento anterior à competência","OK"))))))))</f>
        <v/>
      </c>
    </row>
    <row r="2002">
      <c r="A2002" s="14" t="n"/>
      <c r="B2002" s="36" t="n"/>
      <c r="C2002" s="36" t="n"/>
      <c r="D2002" s="36" t="n"/>
      <c r="E2002" s="14" t="n"/>
      <c r="F2002" s="29" t="n"/>
      <c r="G2002" s="29" t="n"/>
      <c r="H2002" s="29" t="n"/>
      <c r="I2002" s="29" t="n"/>
      <c r="J2002" s="29" t="n"/>
      <c r="K2002" s="14" t="n"/>
      <c r="L2002" s="29" t="n"/>
      <c r="M2002" s="14" t="n"/>
      <c r="N2002" s="29" t="n"/>
      <c r="O2002" s="13" t="n"/>
      <c r="P2002" s="13" t="n"/>
      <c r="Q2002" s="35" t="n"/>
      <c r="R2002" s="35" t="n"/>
      <c r="S2002" s="35" t="n"/>
      <c r="T2002" s="35" t="n"/>
      <c r="U2002" s="35" t="n"/>
      <c r="V2002" s="18">
        <f>IF(COUNTA($B2002:$R2002)=0,"",ROUND(N($R2002)+N($S2002)+N($T2002)-N($U2002),2))</f>
        <v/>
      </c>
      <c r="W2002" s="18">
        <f>IF(COUNTA($B2002:$R2002)=0,"",IF(OR($X2002="Pago",$X2002="Recebido",$X2002="Cancelado"),0,ROUND(N($Q2002)+N($S2002)+N($T2002)-N($U2002)-N($R2002),2)))</f>
        <v/>
      </c>
      <c r="X2002" s="14" t="n"/>
      <c r="Y2002" s="17">
        <f>IF(COUNTA($B2002:$R2002)=0,"",IF($X2002="Cancelado","Cancelado",IF(OR($X2002="Pago",$X2002="Recebido"),$X2002,IF(OR($X2002="Parcial",N($R2002)&gt;0),"Parcial",IF($C2002="","Sem vencimento",IF($C2002&lt;TODAY(),"Vencido",IF($C2002=TODAY(),"Vence hoje",IF($C2002&lt;=TODAY()+7,"Vence em 7 dias",IF($C2002&lt;=TODAY()+30,"Vence em 30 dias","Futuro")))))))))</f>
        <v/>
      </c>
      <c r="Z2002" s="24">
        <f>IF($B2002="","",MONTH($B2002))</f>
        <v/>
      </c>
      <c r="AA2002" s="24">
        <f>IF($B2002="","",YEAR($B2002))</f>
        <v/>
      </c>
      <c r="AB2002" s="24">
        <f>IF($B2002="","",ISOWEEKNUM($B2002))</f>
        <v/>
      </c>
      <c r="AC2002" s="17">
        <f>IF($B2002="","",CHOOSE(WEEKDAY($B2002,2),"Segunda","Terça","Quarta","Quinta","Sexta","Sábado","Domingo"))</f>
        <v/>
      </c>
      <c r="AD2002" s="17">
        <f>IF($B2002="","",TEXT($B2002,"MM/AAAA"))</f>
        <v/>
      </c>
      <c r="AE2002" s="18">
        <f>IF(COUNTA($B2002:$R2002)=0,"",IF($X2002="Cancelado",0,ROUND(N($Q2002)+N($S2002)+N($T2002)-N($U2002),2)))</f>
        <v/>
      </c>
      <c r="AF2002" s="9">
        <f>IF($G2002="","",IFERROR(INDEX(LINHAS_DRE_PLANO,MATCH($G2002,SUBCATEGORIAS_PLANO,0)),"Não classificado"))</f>
        <v/>
      </c>
      <c r="AG2002" s="17">
        <f>IF($G2002="","",IFERROR(INDEX(TIPOS_FLUXO_PLANO,MATCH($G2002,SUBCATEGORIAS_PLANO,0)),"Não classificado"))</f>
        <v/>
      </c>
      <c r="AH2002" s="9">
        <f>IF($G2002="","",IFERROR(INDEX(GRUPOS_PLANO,MATCH($G2002,SUBCATEGORIAS_PLANO,0)),"Não classificado"))</f>
        <v/>
      </c>
      <c r="AI2002" s="24">
        <f>IF(OR($C2002="",$X2002="Pago",$X2002="Recebido",$X2002="Cancelado"),"",$C2002-TODAY())</f>
        <v/>
      </c>
      <c r="AJ2002" s="24">
        <f>IF(OR($C2002="",$X2002="Pago",$X2002="Recebido",$X2002="Cancelado"),0,MAX(0,TODAY()-$C2002))</f>
        <v/>
      </c>
      <c r="AK2002" s="24">
        <f>IF($D2002="","",$D2002-$B2002)</f>
        <v/>
      </c>
      <c r="AL2002" s="18">
        <f>IF(OR($D2002="",$B2002=""),"",ROUND(N($R2002)*($D2002-$B2002),2))</f>
        <v/>
      </c>
      <c r="AM2002" s="17">
        <f>IF(AND($E2002="Saída",$W2002&gt;0,$C2002&lt;&gt;""),$C2002+ROW()/1000000,"")</f>
        <v/>
      </c>
      <c r="AN2002" s="17">
        <f>IF(AND($E2002="Entrada",$W2002&gt;0,$C2002&lt;&gt;""),$C2002+ROW()/1000000,"")</f>
        <v/>
      </c>
      <c r="AO2002" s="9">
        <f>IF(COUNTA($B2002:$R2002)=0,"",IF(AND($I2002&lt;&gt;"",COUNTIF(CLIENTES_NOMES,$I2002)+COUNTIF(CLIENTES_FANTASIA,$I2002)+COUNTIF(FORNECEDORES_NOMES,$I2002)+COUNTIF(FORNECEDORES_FANTASIA,$I2002)=0),"⚠ Cliente/Fornecedor não cadastrado",IF(AND($G2002&lt;&gt;"",COUNTIF(SUBCATEGORIAS_PLANO,$G2002)=0),"⚠ Subcategoria fora do plano de contas",IF(OR($Q2002="",N($Q2002)=0),"⚠ Valor previsto não informado",IF(AND(OR($X2002="Pago",$X2002="Recebido"),$D2002=""),"⚠ Status pago/recebido sem data",IF(AND($D2002&lt;&gt;"",N($R2002)=0),"⚠ Data de pagamento sem valor realizado",IF(AND(N($P2002)&gt;1,N($O2002)&gt;N($P2002)),"⚠ Nº da parcela maior que o total",IF(AND($C2002&lt;&gt;"",$B2002&lt;&gt;"",$C2002&lt;$B2002),"⚠ Vencimento anterior à competência","OK"))))))))</f>
        <v/>
      </c>
    </row>
    <row r="2003">
      <c r="A2003" s="14" t="n"/>
      <c r="B2003" s="36" t="n"/>
      <c r="C2003" s="36" t="n"/>
      <c r="D2003" s="36" t="n"/>
      <c r="E2003" s="14" t="n"/>
      <c r="F2003" s="29" t="n"/>
      <c r="G2003" s="29" t="n"/>
      <c r="H2003" s="29" t="n"/>
      <c r="I2003" s="29" t="n"/>
      <c r="J2003" s="29" t="n"/>
      <c r="K2003" s="14" t="n"/>
      <c r="L2003" s="29" t="n"/>
      <c r="M2003" s="14" t="n"/>
      <c r="N2003" s="29" t="n"/>
      <c r="O2003" s="13" t="n"/>
      <c r="P2003" s="13" t="n"/>
      <c r="Q2003" s="35" t="n"/>
      <c r="R2003" s="35" t="n"/>
      <c r="S2003" s="35" t="n"/>
      <c r="T2003" s="35" t="n"/>
      <c r="U2003" s="35" t="n"/>
      <c r="V2003" s="18">
        <f>IF(COUNTA($B2003:$R2003)=0,"",ROUND(N($R2003)+N($S2003)+N($T2003)-N($U2003),2))</f>
        <v/>
      </c>
      <c r="W2003" s="18">
        <f>IF(COUNTA($B2003:$R2003)=0,"",IF(OR($X2003="Pago",$X2003="Recebido",$X2003="Cancelado"),0,ROUND(N($Q2003)+N($S2003)+N($T2003)-N($U2003)-N($R2003),2)))</f>
        <v/>
      </c>
      <c r="X2003" s="14" t="n"/>
      <c r="Y2003" s="17">
        <f>IF(COUNTA($B2003:$R2003)=0,"",IF($X2003="Cancelado","Cancelado",IF(OR($X2003="Pago",$X2003="Recebido"),$X2003,IF(OR($X2003="Parcial",N($R2003)&gt;0),"Parcial",IF($C2003="","Sem vencimento",IF($C2003&lt;TODAY(),"Vencido",IF($C2003=TODAY(),"Vence hoje",IF($C2003&lt;=TODAY()+7,"Vence em 7 dias",IF($C2003&lt;=TODAY()+30,"Vence em 30 dias","Futuro")))))))))</f>
        <v/>
      </c>
      <c r="Z2003" s="24">
        <f>IF($B2003="","",MONTH($B2003))</f>
        <v/>
      </c>
      <c r="AA2003" s="24">
        <f>IF($B2003="","",YEAR($B2003))</f>
        <v/>
      </c>
      <c r="AB2003" s="24">
        <f>IF($B2003="","",ISOWEEKNUM($B2003))</f>
        <v/>
      </c>
      <c r="AC2003" s="17">
        <f>IF($B2003="","",CHOOSE(WEEKDAY($B2003,2),"Segunda","Terça","Quarta","Quinta","Sexta","Sábado","Domingo"))</f>
        <v/>
      </c>
      <c r="AD2003" s="17">
        <f>IF($B2003="","",TEXT($B2003,"MM/AAAA"))</f>
        <v/>
      </c>
      <c r="AE2003" s="18">
        <f>IF(COUNTA($B2003:$R2003)=0,"",IF($X2003="Cancelado",0,ROUND(N($Q2003)+N($S2003)+N($T2003)-N($U2003),2)))</f>
        <v/>
      </c>
      <c r="AF2003" s="9">
        <f>IF($G2003="","",IFERROR(INDEX(LINHAS_DRE_PLANO,MATCH($G2003,SUBCATEGORIAS_PLANO,0)),"Não classificado"))</f>
        <v/>
      </c>
      <c r="AG2003" s="17">
        <f>IF($G2003="","",IFERROR(INDEX(TIPOS_FLUXO_PLANO,MATCH($G2003,SUBCATEGORIAS_PLANO,0)),"Não classificado"))</f>
        <v/>
      </c>
      <c r="AH2003" s="9">
        <f>IF($G2003="","",IFERROR(INDEX(GRUPOS_PLANO,MATCH($G2003,SUBCATEGORIAS_PLANO,0)),"Não classificado"))</f>
        <v/>
      </c>
      <c r="AI2003" s="24">
        <f>IF(OR($C2003="",$X2003="Pago",$X2003="Recebido",$X2003="Cancelado"),"",$C2003-TODAY())</f>
        <v/>
      </c>
      <c r="AJ2003" s="24">
        <f>IF(OR($C2003="",$X2003="Pago",$X2003="Recebido",$X2003="Cancelado"),0,MAX(0,TODAY()-$C2003))</f>
        <v/>
      </c>
      <c r="AK2003" s="24">
        <f>IF($D2003="","",$D2003-$B2003)</f>
        <v/>
      </c>
      <c r="AL2003" s="18">
        <f>IF(OR($D2003="",$B2003=""),"",ROUND(N($R2003)*($D2003-$B2003),2))</f>
        <v/>
      </c>
      <c r="AM2003" s="17">
        <f>IF(AND($E2003="Saída",$W2003&gt;0,$C2003&lt;&gt;""),$C2003+ROW()/1000000,"")</f>
        <v/>
      </c>
      <c r="AN2003" s="17">
        <f>IF(AND($E2003="Entrada",$W2003&gt;0,$C2003&lt;&gt;""),$C2003+ROW()/1000000,"")</f>
        <v/>
      </c>
      <c r="AO2003" s="9">
        <f>IF(COUNTA($B2003:$R2003)=0,"",IF(AND($I2003&lt;&gt;"",COUNTIF(CLIENTES_NOMES,$I2003)+COUNTIF(CLIENTES_FANTASIA,$I2003)+COUNTIF(FORNECEDORES_NOMES,$I2003)+COUNTIF(FORNECEDORES_FANTASIA,$I2003)=0),"⚠ Cliente/Fornecedor não cadastrado",IF(AND($G2003&lt;&gt;"",COUNTIF(SUBCATEGORIAS_PLANO,$G2003)=0),"⚠ Subcategoria fora do plano de contas",IF(OR($Q2003="",N($Q2003)=0),"⚠ Valor previsto não informado",IF(AND(OR($X2003="Pago",$X2003="Recebido"),$D2003=""),"⚠ Status pago/recebido sem data",IF(AND($D2003&lt;&gt;"",N($R2003)=0),"⚠ Data de pagamento sem valor realizado",IF(AND(N($P2003)&gt;1,N($O2003)&gt;N($P2003)),"⚠ Nº da parcela maior que o total",IF(AND($C2003&lt;&gt;"",$B2003&lt;&gt;"",$C2003&lt;$B2003),"⚠ Vencimento anterior à competência","OK"))))))))</f>
        <v/>
      </c>
    </row>
    <row r="2004">
      <c r="A2004" s="14" t="n"/>
      <c r="B2004" s="36" t="n"/>
      <c r="C2004" s="36" t="n"/>
      <c r="D2004" s="36" t="n"/>
      <c r="E2004" s="14" t="n"/>
      <c r="F2004" s="29" t="n"/>
      <c r="G2004" s="29" t="n"/>
      <c r="H2004" s="29" t="n"/>
      <c r="I2004" s="29" t="n"/>
      <c r="J2004" s="29" t="n"/>
      <c r="K2004" s="14" t="n"/>
      <c r="L2004" s="29" t="n"/>
      <c r="M2004" s="14" t="n"/>
      <c r="N2004" s="29" t="n"/>
      <c r="O2004" s="13" t="n"/>
      <c r="P2004" s="13" t="n"/>
      <c r="Q2004" s="35" t="n"/>
      <c r="R2004" s="35" t="n"/>
      <c r="S2004" s="35" t="n"/>
      <c r="T2004" s="35" t="n"/>
      <c r="U2004" s="35" t="n"/>
      <c r="V2004" s="18">
        <f>IF(COUNTA($B2004:$R2004)=0,"",ROUND(N($R2004)+N($S2004)+N($T2004)-N($U2004),2))</f>
        <v/>
      </c>
      <c r="W2004" s="18">
        <f>IF(COUNTA($B2004:$R2004)=0,"",IF(OR($X2004="Pago",$X2004="Recebido",$X2004="Cancelado"),0,ROUND(N($Q2004)+N($S2004)+N($T2004)-N($U2004)-N($R2004),2)))</f>
        <v/>
      </c>
      <c r="X2004" s="14" t="n"/>
      <c r="Y2004" s="17">
        <f>IF(COUNTA($B2004:$R2004)=0,"",IF($X2004="Cancelado","Cancelado",IF(OR($X2004="Pago",$X2004="Recebido"),$X2004,IF(OR($X2004="Parcial",N($R2004)&gt;0),"Parcial",IF($C2004="","Sem vencimento",IF($C2004&lt;TODAY(),"Vencido",IF($C2004=TODAY(),"Vence hoje",IF($C2004&lt;=TODAY()+7,"Vence em 7 dias",IF($C2004&lt;=TODAY()+30,"Vence em 30 dias","Futuro")))))))))</f>
        <v/>
      </c>
      <c r="Z2004" s="24">
        <f>IF($B2004="","",MONTH($B2004))</f>
        <v/>
      </c>
      <c r="AA2004" s="24">
        <f>IF($B2004="","",YEAR($B2004))</f>
        <v/>
      </c>
      <c r="AB2004" s="24">
        <f>IF($B2004="","",ISOWEEKNUM($B2004))</f>
        <v/>
      </c>
      <c r="AC2004" s="17">
        <f>IF($B2004="","",CHOOSE(WEEKDAY($B2004,2),"Segunda","Terça","Quarta","Quinta","Sexta","Sábado","Domingo"))</f>
        <v/>
      </c>
      <c r="AD2004" s="17">
        <f>IF($B2004="","",TEXT($B2004,"MM/AAAA"))</f>
        <v/>
      </c>
      <c r="AE2004" s="18">
        <f>IF(COUNTA($B2004:$R2004)=0,"",IF($X2004="Cancelado",0,ROUND(N($Q2004)+N($S2004)+N($T2004)-N($U2004),2)))</f>
        <v/>
      </c>
      <c r="AF2004" s="9">
        <f>IF($G2004="","",IFERROR(INDEX(LINHAS_DRE_PLANO,MATCH($G2004,SUBCATEGORIAS_PLANO,0)),"Não classificado"))</f>
        <v/>
      </c>
      <c r="AG2004" s="17">
        <f>IF($G2004="","",IFERROR(INDEX(TIPOS_FLUXO_PLANO,MATCH($G2004,SUBCATEGORIAS_PLANO,0)),"Não classificado"))</f>
        <v/>
      </c>
      <c r="AH2004" s="9">
        <f>IF($G2004="","",IFERROR(INDEX(GRUPOS_PLANO,MATCH($G2004,SUBCATEGORIAS_PLANO,0)),"Não classificado"))</f>
        <v/>
      </c>
      <c r="AI2004" s="24">
        <f>IF(OR($C2004="",$X2004="Pago",$X2004="Recebido",$X2004="Cancelado"),"",$C2004-TODAY())</f>
        <v/>
      </c>
      <c r="AJ2004" s="24">
        <f>IF(OR($C2004="",$X2004="Pago",$X2004="Recebido",$X2004="Cancelado"),0,MAX(0,TODAY()-$C2004))</f>
        <v/>
      </c>
      <c r="AK2004" s="24">
        <f>IF($D2004="","",$D2004-$B2004)</f>
        <v/>
      </c>
      <c r="AL2004" s="18">
        <f>IF(OR($D2004="",$B2004=""),"",ROUND(N($R2004)*($D2004-$B2004),2))</f>
        <v/>
      </c>
      <c r="AM2004" s="17">
        <f>IF(AND($E2004="Saída",$W2004&gt;0,$C2004&lt;&gt;""),$C2004+ROW()/1000000,"")</f>
        <v/>
      </c>
      <c r="AN2004" s="17">
        <f>IF(AND($E2004="Entrada",$W2004&gt;0,$C2004&lt;&gt;""),$C2004+ROW()/1000000,"")</f>
        <v/>
      </c>
      <c r="AO2004" s="9">
        <f>IF(COUNTA($B2004:$R2004)=0,"",IF(AND($I2004&lt;&gt;"",COUNTIF(CLIENTES_NOMES,$I2004)+COUNTIF(CLIENTES_FANTASIA,$I2004)+COUNTIF(FORNECEDORES_NOMES,$I2004)+COUNTIF(FORNECEDORES_FANTASIA,$I2004)=0),"⚠ Cliente/Fornecedor não cadastrado",IF(AND($G2004&lt;&gt;"",COUNTIF(SUBCATEGORIAS_PLANO,$G2004)=0),"⚠ Subcategoria fora do plano de contas",IF(OR($Q2004="",N($Q2004)=0),"⚠ Valor previsto não informado",IF(AND(OR($X2004="Pago",$X2004="Recebido"),$D2004=""),"⚠ Status pago/recebido sem data",IF(AND($D2004&lt;&gt;"",N($R2004)=0),"⚠ Data de pagamento sem valor realizado",IF(AND(N($P2004)&gt;1,N($O2004)&gt;N($P2004)),"⚠ Nº da parcela maior que o total",IF(AND($C2004&lt;&gt;"",$B2004&lt;&gt;"",$C2004&lt;$B2004),"⚠ Vencimento anterior à competência","OK"))))))))</f>
        <v/>
      </c>
    </row>
    <row r="2005">
      <c r="A2005" s="14" t="n"/>
      <c r="B2005" s="36" t="n"/>
      <c r="C2005" s="36" t="n"/>
      <c r="D2005" s="36" t="n"/>
      <c r="E2005" s="14" t="n"/>
      <c r="F2005" s="29" t="n"/>
      <c r="G2005" s="29" t="n"/>
      <c r="H2005" s="29" t="n"/>
      <c r="I2005" s="29" t="n"/>
      <c r="J2005" s="29" t="n"/>
      <c r="K2005" s="14" t="n"/>
      <c r="L2005" s="29" t="n"/>
      <c r="M2005" s="14" t="n"/>
      <c r="N2005" s="29" t="n"/>
      <c r="O2005" s="13" t="n"/>
      <c r="P2005" s="13" t="n"/>
      <c r="Q2005" s="35" t="n"/>
      <c r="R2005" s="35" t="n"/>
      <c r="S2005" s="35" t="n"/>
      <c r="T2005" s="35" t="n"/>
      <c r="U2005" s="35" t="n"/>
      <c r="V2005" s="18">
        <f>IF(COUNTA($B2005:$R2005)=0,"",ROUND(N($R2005)+N($S2005)+N($T2005)-N($U2005),2))</f>
        <v/>
      </c>
      <c r="W2005" s="18">
        <f>IF(COUNTA($B2005:$R2005)=0,"",IF(OR($X2005="Pago",$X2005="Recebido",$X2005="Cancelado"),0,ROUND(N($Q2005)+N($S2005)+N($T2005)-N($U2005)-N($R2005),2)))</f>
        <v/>
      </c>
      <c r="X2005" s="14" t="n"/>
      <c r="Y2005" s="17">
        <f>IF(COUNTA($B2005:$R2005)=0,"",IF($X2005="Cancelado","Cancelado",IF(OR($X2005="Pago",$X2005="Recebido"),$X2005,IF(OR($X2005="Parcial",N($R2005)&gt;0),"Parcial",IF($C2005="","Sem vencimento",IF($C2005&lt;TODAY(),"Vencido",IF($C2005=TODAY(),"Vence hoje",IF($C2005&lt;=TODAY()+7,"Vence em 7 dias",IF($C2005&lt;=TODAY()+30,"Vence em 30 dias","Futuro")))))))))</f>
        <v/>
      </c>
      <c r="Z2005" s="24">
        <f>IF($B2005="","",MONTH($B2005))</f>
        <v/>
      </c>
      <c r="AA2005" s="24">
        <f>IF($B2005="","",YEAR($B2005))</f>
        <v/>
      </c>
      <c r="AB2005" s="24">
        <f>IF($B2005="","",ISOWEEKNUM($B2005))</f>
        <v/>
      </c>
      <c r="AC2005" s="17">
        <f>IF($B2005="","",CHOOSE(WEEKDAY($B2005,2),"Segunda","Terça","Quarta","Quinta","Sexta","Sábado","Domingo"))</f>
        <v/>
      </c>
      <c r="AD2005" s="17">
        <f>IF($B2005="","",TEXT($B2005,"MM/AAAA"))</f>
        <v/>
      </c>
      <c r="AE2005" s="18">
        <f>IF(COUNTA($B2005:$R2005)=0,"",IF($X2005="Cancelado",0,ROUND(N($Q2005)+N($S2005)+N($T2005)-N($U2005),2)))</f>
        <v/>
      </c>
      <c r="AF2005" s="9">
        <f>IF($G2005="","",IFERROR(INDEX(LINHAS_DRE_PLANO,MATCH($G2005,SUBCATEGORIAS_PLANO,0)),"Não classificado"))</f>
        <v/>
      </c>
      <c r="AG2005" s="17">
        <f>IF($G2005="","",IFERROR(INDEX(TIPOS_FLUXO_PLANO,MATCH($G2005,SUBCATEGORIAS_PLANO,0)),"Não classificado"))</f>
        <v/>
      </c>
      <c r="AH2005" s="9">
        <f>IF($G2005="","",IFERROR(INDEX(GRUPOS_PLANO,MATCH($G2005,SUBCATEGORIAS_PLANO,0)),"Não classificado"))</f>
        <v/>
      </c>
      <c r="AI2005" s="24">
        <f>IF(OR($C2005="",$X2005="Pago",$X2005="Recebido",$X2005="Cancelado"),"",$C2005-TODAY())</f>
        <v/>
      </c>
      <c r="AJ2005" s="24">
        <f>IF(OR($C2005="",$X2005="Pago",$X2005="Recebido",$X2005="Cancelado"),0,MAX(0,TODAY()-$C2005))</f>
        <v/>
      </c>
      <c r="AK2005" s="24">
        <f>IF($D2005="","",$D2005-$B2005)</f>
        <v/>
      </c>
      <c r="AL2005" s="18">
        <f>IF(OR($D2005="",$B2005=""),"",ROUND(N($R2005)*($D2005-$B2005),2))</f>
        <v/>
      </c>
      <c r="AM2005" s="17">
        <f>IF(AND($E2005="Saída",$W2005&gt;0,$C2005&lt;&gt;""),$C2005+ROW()/1000000,"")</f>
        <v/>
      </c>
      <c r="AN2005" s="17">
        <f>IF(AND($E2005="Entrada",$W2005&gt;0,$C2005&lt;&gt;""),$C2005+ROW()/1000000,"")</f>
        <v/>
      </c>
      <c r="AO2005" s="9">
        <f>IF(COUNTA($B2005:$R2005)=0,"",IF(AND($I2005&lt;&gt;"",COUNTIF(CLIENTES_NOMES,$I2005)+COUNTIF(CLIENTES_FANTASIA,$I2005)+COUNTIF(FORNECEDORES_NOMES,$I2005)+COUNTIF(FORNECEDORES_FANTASIA,$I2005)=0),"⚠ Cliente/Fornecedor não cadastrado",IF(AND($G2005&lt;&gt;"",COUNTIF(SUBCATEGORIAS_PLANO,$G2005)=0),"⚠ Subcategoria fora do plano de contas",IF(OR($Q2005="",N($Q2005)=0),"⚠ Valor previsto não informado",IF(AND(OR($X2005="Pago",$X2005="Recebido"),$D2005=""),"⚠ Status pago/recebido sem data",IF(AND($D2005&lt;&gt;"",N($R2005)=0),"⚠ Data de pagamento sem valor realizado",IF(AND(N($P2005)&gt;1,N($O2005)&gt;N($P2005)),"⚠ Nº da parcela maior que o total",IF(AND($C2005&lt;&gt;"",$B2005&lt;&gt;"",$C2005&lt;$B2005),"⚠ Vencimento anterior à competência","OK"))))))))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AO2005"/>
  <mergeCells count="4">
    <mergeCell ref="A3:AO3"/>
    <mergeCell ref="A2:L2"/>
    <mergeCell ref="A1:L1"/>
    <mergeCell ref="A4:AO4"/>
  </mergeCells>
  <conditionalFormatting sqref="Y6:Y2005">
    <cfRule type="expression" priority="1" dxfId="2" stopIfTrue="0">
      <formula>ISNUMBER(SEARCH("Vencido",Y6))</formula>
    </cfRule>
    <cfRule type="expression" priority="2" dxfId="3" stopIfTrue="0">
      <formula>ISNUMBER(SEARCH("Vence hoje",Y6))</formula>
    </cfRule>
    <cfRule type="expression" priority="3" dxfId="3" stopIfTrue="0">
      <formula>ISNUMBER(SEARCH("Vence em 7 dias",Y6))</formula>
    </cfRule>
    <cfRule type="expression" priority="4" dxfId="4" stopIfTrue="0">
      <formula>ISNUMBER(SEARCH("Pago",Y6))</formula>
    </cfRule>
    <cfRule type="expression" priority="5" dxfId="4" stopIfTrue="0">
      <formula>ISNUMBER(SEARCH("Recebido",Y6))</formula>
    </cfRule>
    <cfRule type="expression" priority="6" dxfId="3" stopIfTrue="0">
      <formula>ISNUMBER(SEARCH("Parcial",Y6))</formula>
    </cfRule>
    <cfRule type="expression" priority="7" dxfId="5" stopIfTrue="0">
      <formula>ISNUMBER(SEARCH("Cancelado",Y6))</formula>
    </cfRule>
  </conditionalFormatting>
  <conditionalFormatting sqref="AO6:AO2005">
    <cfRule type="expression" priority="8" dxfId="0">
      <formula>ISNUMBER(SEARCH("⚠",AO6))</formula>
    </cfRule>
    <cfRule type="expression" priority="9" dxfId="4" stopIfTrue="0">
      <formula>ISNUMBER(SEARCH("OK",AO6))</formula>
    </cfRule>
  </conditionalFormatting>
  <conditionalFormatting sqref="W6:W2005">
    <cfRule type="cellIs" priority="10" operator="greaterThan">
      <formula>0</formula>
    </cfRule>
    <cfRule type="expression" priority="11" dxfId="6">
      <formula>AND(W6&gt;0,E6="Saída")</formula>
    </cfRule>
    <cfRule type="expression" priority="12" dxfId="7">
      <formula>AND(W6&gt;0,E6="Entrada")</formula>
    </cfRule>
  </conditionalFormatting>
  <conditionalFormatting sqref="Q6:Q2005">
    <cfRule type="dataBar" priority="13">
      <dataBar showValue="1">
        <cfvo type="num" val="0"/>
        <cfvo type="max"/>
        <color rgb="002E75B6"/>
      </dataBar>
    </cfRule>
  </conditionalFormatting>
  <conditionalFormatting sqref="AJ6:AJ2005">
    <cfRule type="colorScale" priority="1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dataValidations count="12">
    <dataValidation sqref="E6:E2005" showDropDown="0" showInputMessage="1" showErrorMessage="1" allowBlank="1" errorTitle="Tipo inválido" error="Escolha Entrada ou Saída." promptTitle="Valores permitidos" prompt="Escolha Entrada ou Saída." type="list" errorStyle="stop">
      <formula1>TIPO_LANCAMENTO</formula1>
    </dataValidation>
    <dataValidation sqref="F6:F2005" showDropDown="0" showInputMessage="1" showErrorMessage="1" allowBlank="1" errorTitle="Categoria inválida" error="Escolha uma categoria da lista (aba CONFIGURAÇÕES)." promptTitle="Valores permitidos" prompt="Escolha uma categoria da lista (aba CONFIGURAÇÕES)." type="list" errorStyle="stop">
      <formula1>SUBGRUPOS</formula1>
    </dataValidation>
    <dataValidation sqref="G6:G2005" showDropDown="0" showInputMessage="1" showErrorMessage="1" allowBlank="1" errorTitle="Subcategoria inválida" error="Escolha uma subcategoria cadastrada no PLANO DE CONTAS." promptTitle="Valores permitidos" prompt="Escolha uma subcategoria cadastrada no PLANO DE CONTAS." type="list" errorStyle="stop">
      <formula1>SUBCATEGORIAS_PLANO</formula1>
    </dataValidation>
    <dataValidation sqref="H6:H2005" showDropDown="0" showInputMessage="1" showErrorMessage="1" allowBlank="1" errorTitle="Centro de custo inválido" error="Escolha um centro de custo cadastrado." promptTitle="Valores permitidos" prompt="Escolha um centro de custo cadastrado." type="list" errorStyle="stop">
      <formula1>CENTROS_CUSTO</formula1>
    </dataValidation>
    <dataValidation sqref="I6:I2005" showDropDown="0" showInputMessage="1" showErrorMessage="1" allowBlank="1" errorTitle="Cliente/Fornecedor" error="Dica: escolha um nome cadastrado ou digite exatamente como está no cadastro." promptTitle="Valores permitidos" prompt="Dica: escolha um nome cadastrado ou digite exatamente como está no cadastro." type="list" errorStyle="warning">
      <formula1>CLIENTES_NOMES</formula1>
    </dataValidation>
    <dataValidation sqref="L6:L2005" showDropDown="0" showInputMessage="1" showErrorMessage="1" allowBlank="1" errorTitle="Conta inválida" error="Escolha uma conta bancária cadastrada (aba CONTAS BANCÁRIAS)." promptTitle="Valores permitidos" prompt="Escolha uma conta bancária cadastrada (aba CONTAS BANCÁRIAS)." type="list" errorStyle="stop">
      <formula1>CONTAS_BANCARIAS</formula1>
    </dataValidation>
    <dataValidation sqref="M6:M2005" showDropDown="0" showInputMessage="1" showErrorMessage="1" allowBlank="1" errorTitle="Forma inválida" error="Escolha uma forma de pagamento da lista." promptTitle="Valores permitidos" prompt="Escolha uma forma de pagamento da lista." type="list" errorStyle="stop">
      <formula1>FORMA_PAGAMENTO</formula1>
    </dataValidation>
    <dataValidation sqref="N6:N2005" showDropDown="0" showInputMessage="1" showErrorMessage="1" allowBlank="1" errorTitle="Cartão inválido" error="Escolha um cartão cadastrado (aba CARTÕES) ou deixe em branco." promptTitle="Valores permitidos" prompt="Escolha um cartão cadastrado (aba CARTÕES) ou deixe em branco." type="list" errorStyle="stop">
      <formula1>CARTOES</formula1>
    </dataValidation>
    <dataValidation sqref="X6:X2005" showDropDown="0" showInputMessage="1" showErrorMessage="1" allowBlank="1" errorTitle="Status inválido" error="Escolha: Previsto, Pago, Recebido, Cancelado ou Parcial (Vencido é automático)." promptTitle="Valores permitidos" prompt="Escolha: Previsto, Pago, Recebido, Cancelado ou Parcial (Vencido é automático)." type="list" errorStyle="stop">
      <formula1>SITUACAO</formula1>
    </dataValidation>
    <dataValidation sqref="B6:D2005" showDropDown="0" showInputMessage="0" showErrorMessage="1" allowBlank="1" errorTitle="Data inválida" error="Informe uma data válida (entre 01/01/2000 e 31/12/2100)." type="date" errorStyle="warning" operator="between">
      <formula1>DATE(2000,1,1)</formula1>
      <formula2>DATE(2100,12,31)</formula2>
    </dataValidation>
    <dataValidation sqref="Q6:U2005" showDropDown="0" showInputMessage="0" showErrorMessage="1" allowBlank="1" errorTitle="Valor inválido" error="Informe um valor maior ou igual a zero." type="decimal" errorStyle="stop" operator="greaterThanOrEqual">
      <formula1>0</formula1>
    </dataValidation>
    <dataValidation sqref="O6:P2005" showDropDown="0" showInputMessage="0" showErrorMessage="1" allowBlank="1" errorTitle="Parcela inválida" error="Informe um número de parcela entre 1 e 360." type="whole" errorStyle="stop" operator="between">
      <formula1>1</formula1>
      <formula2>360</formula2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O130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24" customWidth="1" min="4" max="4"/>
    <col width="24" customWidth="1" min="5" max="5"/>
    <col width="16" customWidth="1" min="6" max="6"/>
    <col width="16" customWidth="1" min="7" max="7"/>
    <col width="13" customWidth="1" min="8" max="8"/>
    <col hidden="1"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</cols>
  <sheetData>
    <row r="1" ht="24" customHeight="1">
      <c r="A1" s="26" t="inlineStr">
        <is>
          <t>CONTAS A PAGAR (FORNECEDORES) — O QUE A EMPRESA DEVE</t>
        </is>
      </c>
    </row>
    <row r="2">
      <c r="A2" s="27" t="inlineStr">
        <is>
          <t>Visão gerencial das saídas em aberto, com classificação automática por vencimento, aging de atrasos e priorização de pagamentos. Alimentada pela aba LANÇAMENTOS.</t>
        </is>
      </c>
    </row>
    <row r="3" ht="24" customHeight="1">
      <c r="A3" s="3" t="inlineStr">
        <is>
          <t>⚠ DADOS DE EXEMPLO. Cada título é um lançamento de saída na aba LANÇAMENTOS; esta aba apenas organiza, classifica e prioriza automaticamente. As classificações usam a data de hoje (HOJE).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5" ht="20" customHeight="1">
      <c r="A5" s="4" t="inlineStr">
        <is>
          <t>1. INDICADORES DE CONTAS A PAGAR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6" customHeight="1">
      <c r="A6" s="5" t="inlineStr">
        <is>
          <t>Total em aberto</t>
        </is>
      </c>
      <c r="B6" s="5" t="n"/>
      <c r="C6" s="5" t="inlineStr">
        <is>
          <t>Total vencido</t>
        </is>
      </c>
      <c r="D6" s="5" t="n"/>
      <c r="E6" s="5" t="inlineStr">
        <is>
          <t>Vence hoje</t>
        </is>
      </c>
      <c r="F6" s="5" t="n"/>
      <c r="G6" s="5" t="inlineStr">
        <is>
          <t>Próximos 7 dias</t>
        </is>
      </c>
      <c r="H6" s="5" t="n"/>
    </row>
    <row r="7" ht="30" customHeight="1">
      <c r="A7" s="6">
        <f>SUMIFS('LANÇAMENTOS'!$W$6:$W$2005,'LANÇAMENTOS'!$E$6:$E$2005,"Saída",'LANÇAMENTOS'!$W$6:$W$2005,"&gt;0")</f>
        <v/>
      </c>
      <c r="B7" s="6" t="n"/>
      <c r="C7" s="6">
        <f>SUMIFS('LANÇAMENTOS'!$W$6:$W$2005,'LANÇAMENTOS'!$E$6:$E$2005,"Saída",'LANÇAMENTOS'!$W$6:$W$2005,"&gt;0",'LANÇAMENTOS'!$C$6:$C$2005,"&lt;"&amp;TODAY())</f>
        <v/>
      </c>
      <c r="D7" s="6" t="n"/>
      <c r="E7" s="6">
        <f>SUMIFS('LANÇAMENTOS'!$W$6:$W$2005,'LANÇAMENTOS'!$E$6:$E$2005,"Saída",'LANÇAMENTOS'!$W$6:$W$2005,"&gt;0",'LANÇAMENTOS'!$C$6:$C$2005,"="&amp;TODAY())</f>
        <v/>
      </c>
      <c r="F7" s="6" t="n"/>
      <c r="G7" s="6">
        <f>SUMIFS('LANÇAMENTOS'!$W$6:$W$2005,'LANÇAMENTOS'!$E$6:$E$2005,"Saída",'LANÇAMENTOS'!$W$6:$W$2005,"&gt;0",'LANÇAMENTOS'!$C$6:$C$2005,"&gt;"&amp;TODAY(),'LANÇAMENTOS'!$C$6:$C$2005,"&lt;="&amp;TODAY()+7)</f>
        <v/>
      </c>
      <c r="H7" s="6" t="n"/>
    </row>
    <row r="8" ht="16" customHeight="1">
      <c r="A8" s="40" t="inlineStr">
        <is>
          <t>Soma dos títulos ainda não pagos</t>
        </is>
      </c>
      <c r="B8" s="40" t="n"/>
      <c r="C8" s="40" t="inlineStr">
        <is>
          <t>Prioridade máxima de pagamento</t>
        </is>
      </c>
      <c r="D8" s="40" t="n"/>
      <c r="E8" s="40" t="inlineStr">
        <is>
          <t>Precisa ser pago hoje</t>
        </is>
      </c>
      <c r="F8" s="40" t="n"/>
      <c r="G8" s="40" t="inlineStr">
        <is>
          <t>Compromissos da semana</t>
        </is>
      </c>
      <c r="H8" s="40" t="n"/>
    </row>
    <row r="9" ht="26" customHeight="1">
      <c r="A9" s="5" t="inlineStr">
        <is>
          <t>Próximos 30 dias</t>
        </is>
      </c>
      <c r="B9" s="5" t="n"/>
      <c r="C9" s="5" t="inlineStr">
        <is>
          <t>Pago no mês de análise</t>
        </is>
      </c>
      <c r="D9" s="5" t="n"/>
      <c r="E9" s="5" t="inlineStr">
        <is>
          <t>Total pago no ano</t>
        </is>
      </c>
      <c r="F9" s="5" t="n"/>
      <c r="G9" s="5" t="inlineStr">
        <is>
          <t>Títulos vencidos (qtd.)</t>
        </is>
      </c>
      <c r="H9" s="5" t="n"/>
    </row>
    <row r="10" ht="30" customHeight="1">
      <c r="A10" s="6">
        <f>SUMIFS('LANÇAMENTOS'!$W$6:$W$2005,'LANÇAMENTOS'!$E$6:$E$2005,"Saída",'LANÇAMENTOS'!$W$6:$W$2005,"&gt;0",'LANÇAMENTOS'!$C$6:$C$2005,"&gt;"&amp;TODAY()+7,'LANÇAMENTOS'!$C$6:$C$2005,"&lt;="&amp;TODAY()+30)</f>
        <v/>
      </c>
      <c r="B10" s="6" t="n"/>
      <c r="C10" s="6">
        <f>SUMIFS('LANÇAMENTOS'!$V$6:$V$2005,'LANÇAMENTOS'!$E$6:$E$2005,"Saída",'LANÇAMENTOS'!$D$6:$D$2005,"&gt;="&amp;DATE('CONFIGURAÇÕES'!$B$18,IF('CONFIGURAÇÕES'!$B$19=0,"&gt;0",'CONFIGURAÇÕES'!$B$19),1),'LANÇAMENTOS'!$D$6:$D$2005,"&lt;="&amp;EOMONTH(DATE('CONFIGURAÇÕES'!$B$18,IF('CONFIGURAÇÕES'!$B$19=0,"&gt;0",'CONFIGURAÇÕES'!$B$19),1),0))</f>
        <v/>
      </c>
      <c r="D10" s="6" t="n"/>
      <c r="E10" s="6">
        <f>SUMIFS('LANÇAMENTOS'!$V$6:$V$2005,'LANÇAMENTOS'!$E$6:$E$2005,"Saída",'LANÇAMENTOS'!$D$6:$D$2005,"&gt;="&amp;DATE('CONFIGURAÇÕES'!$B$18,1,1),'LANÇAMENTOS'!$D$6:$D$2005,"&lt;="&amp;DATE('CONFIGURAÇÕES'!$B$18,12,31))</f>
        <v/>
      </c>
      <c r="F10" s="6" t="n"/>
      <c r="G10" s="16">
        <f>COUNTIFS('LANÇAMENTOS'!$E$6:$E$2005,"Saída",'LANÇAMENTOS'!$W$6:$W$2005,"&gt;0",'LANÇAMENTOS'!$C$6:$C$2005,"&lt;"&amp;TODAY())</f>
        <v/>
      </c>
      <c r="H10" s="16" t="n"/>
    </row>
    <row r="11" ht="16" customHeight="1">
      <c r="A11" s="40" t="inlineStr">
        <is>
          <t>Compromissos do mês</t>
        </is>
      </c>
      <c r="B11" s="40" t="n"/>
      <c r="C11" s="40" t="inlineStr">
        <is>
          <t>Saídas liquidadas no mês</t>
        </is>
      </c>
      <c r="D11" s="40" t="n"/>
      <c r="E11" s="40" t="inlineStr">
        <is>
          <t>Ano de análise</t>
        </is>
      </c>
      <c r="F11" s="40" t="n"/>
      <c r="G11" s="40" t="inlineStr">
        <is>
          <t>Quantidade em atraso</t>
        </is>
      </c>
      <c r="H11" s="40" t="n"/>
    </row>
    <row r="13" ht="20" customHeight="1">
      <c r="A13" s="4" t="inlineStr">
        <is>
          <t>2. CLASSIFICAÇÃO AUTOMÁTICA POR VENCIMENTO (situação de cada título)</t>
        </is>
      </c>
      <c r="B13" s="4" t="n"/>
      <c r="C13" s="4" t="n"/>
      <c r="D13" s="4" t="n"/>
      <c r="E13" s="4" t="n"/>
      <c r="F13" s="4" t="n"/>
      <c r="G13" s="4" t="n"/>
      <c r="H13" s="4" t="n"/>
    </row>
    <row r="14" ht="30" customHeight="1">
      <c r="A14" s="34" t="inlineStr">
        <is>
          <t>Situação</t>
        </is>
      </c>
      <c r="B14" s="34" t="inlineStr">
        <is>
          <t>Valor</t>
        </is>
      </c>
      <c r="C14" s="34" t="inlineStr">
        <is>
          <t>Qtd. títulos</t>
        </is>
      </c>
      <c r="D14" s="34" t="inlineStr">
        <is>
          <t>% do total em aberto</t>
        </is>
      </c>
      <c r="E14" s="34" t="inlineStr">
        <is>
          <t>Como o sistema classifica</t>
        </is>
      </c>
    </row>
    <row r="15">
      <c r="A15" s="9" t="inlineStr">
        <is>
          <t>Vencido</t>
        </is>
      </c>
      <c r="B15" s="18">
        <f>SUMIFS('LANÇAMENTOS'!$W$6:$W$2005,'LANÇAMENTOS'!$E$6:$E$2005,"Saída",'LANÇAMENTOS'!$W$6:$W$2005,"&gt;0",'LANÇAMENTOS'!$C$6:$C$2005,"&lt;"&amp;TODAY())</f>
        <v/>
      </c>
      <c r="C15" s="24">
        <f>COUNTIFS('LANÇAMENTOS'!$E$6:$E$2005,"Saída",'LANÇAMENTOS'!$W$6:$W$2005,"&gt;0",'LANÇAMENTOS'!$C$6:$C$2005,"&lt;"&amp;TODAY())</f>
        <v/>
      </c>
      <c r="D15" s="23">
        <f>IF(SUM($B$15:$B$19)=0,"",$B15/SUM($B$15:$B$19))</f>
        <v/>
      </c>
      <c r="E15" s="25" t="inlineStr">
        <is>
          <t>Vencimento anterior a hoje e ainda em aberto</t>
        </is>
      </c>
    </row>
    <row r="16">
      <c r="A16" s="9" t="inlineStr">
        <is>
          <t>Vence hoje</t>
        </is>
      </c>
      <c r="B16" s="18">
        <f>SUMIFS('LANÇAMENTOS'!$W$6:$W$2005,'LANÇAMENTOS'!$E$6:$E$2005,"Saída",'LANÇAMENTOS'!$W$6:$W$2005,"&gt;0",'LANÇAMENTOS'!$C$6:$C$2005,"="&amp;TODAY())</f>
        <v/>
      </c>
      <c r="C16" s="24">
        <f>COUNTIFS('LANÇAMENTOS'!$E$6:$E$2005,"Saída",'LANÇAMENTOS'!$W$6:$W$2005,"&gt;0",'LANÇAMENTOS'!$C$6:$C$2005,"="&amp;TODAY())</f>
        <v/>
      </c>
      <c r="D16" s="23">
        <f>IF(SUM($B$15:$B$19)=0,"",$B16/SUM($B$15:$B$19))</f>
        <v/>
      </c>
      <c r="E16" s="25" t="inlineStr">
        <is>
          <t>Vencimento igual à data de hoje</t>
        </is>
      </c>
    </row>
    <row r="17">
      <c r="A17" s="9" t="inlineStr">
        <is>
          <t>Vence em 7 dias</t>
        </is>
      </c>
      <c r="B17" s="18">
        <f>SUMIFS('LANÇAMENTOS'!$W$6:$W$2005,'LANÇAMENTOS'!$E$6:$E$2005,"Saída",'LANÇAMENTOS'!$W$6:$W$2005,"&gt;0",'LANÇAMENTOS'!$C$6:$C$2005,"&gt;"&amp;TODAY(),'LANÇAMENTOS'!$C$6:$C$2005,"&lt;="&amp;TODAY()+7)</f>
        <v/>
      </c>
      <c r="C17" s="24">
        <f>COUNTIFS('LANÇAMENTOS'!$E$6:$E$2005,"Saída",'LANÇAMENTOS'!$W$6:$W$2005,"&gt;0",'LANÇAMENTOS'!$C$6:$C$2005,"&gt;"&amp;TODAY(),'LANÇAMENTOS'!$C$6:$C$2005,"&lt;="&amp;TODAY()+7)</f>
        <v/>
      </c>
      <c r="D17" s="23">
        <f>IF(SUM($B$15:$B$19)=0,"",$B17/SUM($B$15:$B$19))</f>
        <v/>
      </c>
      <c r="E17" s="25" t="inlineStr">
        <is>
          <t>Vence nos próximos 7 dias</t>
        </is>
      </c>
    </row>
    <row r="18">
      <c r="A18" s="9" t="inlineStr">
        <is>
          <t>Vence em 30 dias</t>
        </is>
      </c>
      <c r="B18" s="18">
        <f>SUMIFS('LANÇAMENTOS'!$W$6:$W$2005,'LANÇAMENTOS'!$E$6:$E$2005,"Saída",'LANÇAMENTOS'!$W$6:$W$2005,"&gt;0",'LANÇAMENTOS'!$C$6:$C$2005,"&gt;"&amp;TODAY()+7,'LANÇAMENTOS'!$C$6:$C$2005,"&lt;="&amp;TODAY()+30)</f>
        <v/>
      </c>
      <c r="C18" s="24">
        <f>COUNTIFS('LANÇAMENTOS'!$E$6:$E$2005,"Saída",'LANÇAMENTOS'!$W$6:$W$2005,"&gt;0",'LANÇAMENTOS'!$C$6:$C$2005,"&gt;"&amp;TODAY()+7,'LANÇAMENTOS'!$C$6:$C$2005,"&lt;="&amp;TODAY()+30)</f>
        <v/>
      </c>
      <c r="D18" s="23">
        <f>IF(SUM($B$15:$B$19)=0,"",$B18/SUM($B$15:$B$19))</f>
        <v/>
      </c>
      <c r="E18" s="25" t="inlineStr">
        <is>
          <t>Vence entre 8 e 30 dias</t>
        </is>
      </c>
    </row>
    <row r="19">
      <c r="A19" s="9" t="inlineStr">
        <is>
          <t>Futuro (mais de 30 dias)</t>
        </is>
      </c>
      <c r="B19" s="18">
        <f>SUMIFS('LANÇAMENTOS'!$W$6:$W$2005,'LANÇAMENTOS'!$E$6:$E$2005,"Saída",'LANÇAMENTOS'!$W$6:$W$2005,"&gt;0",'LANÇAMENTOS'!$C$6:$C$2005,"&gt;"&amp;TODAY()+30)</f>
        <v/>
      </c>
      <c r="C19" s="24">
        <f>COUNTIFS('LANÇAMENTOS'!$E$6:$E$2005,"Saída",'LANÇAMENTOS'!$W$6:$W$2005,"&gt;0",'LANÇAMENTOS'!$C$6:$C$2005,"&gt;"&amp;TODAY()+30)</f>
        <v/>
      </c>
      <c r="D19" s="23">
        <f>IF(SUM($B$15:$B$19)=0,"",$B19/SUM($B$15:$B$19))</f>
        <v/>
      </c>
      <c r="E19" s="25" t="inlineStr">
        <is>
          <t>Vence em mais de 30 dias</t>
        </is>
      </c>
    </row>
    <row r="20">
      <c r="A20" s="9" t="inlineStr">
        <is>
          <t>Pago / liquidado</t>
        </is>
      </c>
      <c r="B20" s="18">
        <f>SUMIFS('LANÇAMENTOS'!$W$6:$W$2005,'LANÇAMENTOS'!$E$6:$E$2005,"Saída",'LANÇAMENTOS'!$W$6:$W$2005,"=0",'LANÇAMENTOS'!$X$6:$X$2005,"Pago")</f>
        <v/>
      </c>
      <c r="C20" s="24">
        <f>COUNTIFS('LANÇAMENTOS'!$E$6:$E$2005,"Saída",'LANÇAMENTOS'!$W$6:$W$2005,"=0",'LANÇAMENTOS'!$X$6:$X$2005,"Pago")</f>
        <v/>
      </c>
      <c r="D20" s="23">
        <f>IF(SUM($B$15:$B$19)=0,"",$B20/SUM($B$15:$B$19))</f>
        <v/>
      </c>
      <c r="E20" s="25" t="inlineStr">
        <is>
          <t>Já pago (valor realizado informado)</t>
        </is>
      </c>
    </row>
    <row r="21">
      <c r="A21" s="9" t="inlineStr">
        <is>
          <t>Cancelado</t>
        </is>
      </c>
      <c r="B21" s="18">
        <f>SUMIFS('LANÇAMENTOS'!$W$6:$W$2005,'LANÇAMENTOS'!$E$6:$E$2005,"Saída",'LANÇAMENTOS'!$X$6:$X$2005,"Cancelado")</f>
        <v/>
      </c>
      <c r="C21" s="24">
        <f>COUNTIFS('LANÇAMENTOS'!$E$6:$E$2005,"Saída",'LANÇAMENTOS'!$X$6:$X$2005,"Cancelado")</f>
        <v/>
      </c>
      <c r="D21" s="23">
        <f>IF(SUM($B$15:$B$19)=0,"",$B21/SUM($B$15:$B$19))</f>
        <v/>
      </c>
      <c r="E21" s="25" t="inlineStr">
        <is>
          <t>Lançamento cancelado — não afeta o caixa</t>
        </is>
      </c>
    </row>
    <row r="22">
      <c r="A22" s="37" t="inlineStr">
        <is>
          <t>TOTAL EM ABERTO (vencido + a vencer)</t>
        </is>
      </c>
      <c r="B22" s="38">
        <f>SUM($B$15:$B$19)</f>
        <v/>
      </c>
      <c r="C22" s="41">
        <f>SUM($C$15:$C$19)</f>
        <v/>
      </c>
      <c r="D22" s="39">
        <f>IF($B22=0,"",1)</f>
        <v/>
      </c>
    </row>
    <row r="24" ht="20" customHeight="1">
      <c r="A24" s="4" t="inlineStr">
        <is>
          <t>3. AGING — TÍTULOS ATRASADOS POR FAIXA DE DIAS</t>
        </is>
      </c>
      <c r="B24" s="4" t="n"/>
      <c r="C24" s="4" t="n"/>
      <c r="D24" s="4" t="n"/>
      <c r="E24" s="4" t="n"/>
      <c r="F24" s="4" t="n"/>
      <c r="G24" s="4" t="n"/>
      <c r="H24" s="4" t="n"/>
    </row>
    <row r="25" ht="30" customHeight="1">
      <c r="A25" s="34" t="inlineStr">
        <is>
          <t>Faixa de atraso</t>
        </is>
      </c>
      <c r="B25" s="34" t="inlineStr">
        <is>
          <t>Valor em aberto</t>
        </is>
      </c>
      <c r="C25" s="34" t="inlineStr">
        <is>
          <t>Qtd. títulos</t>
        </is>
      </c>
      <c r="D25" s="34" t="inlineStr">
        <is>
          <t>% do vencido</t>
        </is>
      </c>
      <c r="E25" s="34" t="inlineStr">
        <is>
          <t>Menor atraso</t>
        </is>
      </c>
      <c r="F25" s="34" t="inlineStr">
        <is>
          <t>Maior atraso</t>
        </is>
      </c>
      <c r="G25" s="34" t="inlineStr">
        <is>
          <t>Prioridade de pagamento</t>
        </is>
      </c>
    </row>
    <row r="26">
      <c r="A26" s="9" t="inlineStr">
        <is>
          <t>1 a 7 dias</t>
        </is>
      </c>
      <c r="B26" s="18">
        <f>SUMIFS('LANÇAMENTOS'!$W$6:$W$2005,'LANÇAMENTOS'!$E$6:$E$2005,"Saída",'LANÇAMENTOS'!$W$6:$W$2005,"&gt;0",'LANÇAMENTOS'!$AJ$6:$AJ$2005,"&gt;="&amp;1,'LANÇAMENTOS'!$AJ$6:$AJ$2005,"&lt;="&amp;7)</f>
        <v/>
      </c>
      <c r="C26" s="24">
        <f>COUNTIFS('LANÇAMENTOS'!$E$6:$E$2005,"Saída",'LANÇAMENTOS'!$W$6:$W$2005,"&gt;0",'LANÇAMENTOS'!$AJ$6:$AJ$2005,"&gt;="&amp;1,'LANÇAMENTOS'!$AJ$6:$AJ$2005,"&lt;="&amp;7)</f>
        <v/>
      </c>
      <c r="D26" s="23">
        <f>IF(SUM($B$26:$B$31)=0,"",$B26/SUM($B$26:$B$31))</f>
        <v/>
      </c>
      <c r="E26" s="24" t="n">
        <v>1</v>
      </c>
      <c r="F26" s="17" t="n">
        <v>7</v>
      </c>
      <c r="G26" s="25" t="inlineStr">
        <is>
          <t>Pagar imediatamente (já com juros)</t>
        </is>
      </c>
    </row>
    <row r="27">
      <c r="A27" s="9" t="inlineStr">
        <is>
          <t>8 a 15 dias</t>
        </is>
      </c>
      <c r="B27" s="18">
        <f>SUMIFS('LANÇAMENTOS'!$W$6:$W$2005,'LANÇAMENTOS'!$E$6:$E$2005,"Saída",'LANÇAMENTOS'!$W$6:$W$2005,"&gt;0",'LANÇAMENTOS'!$AJ$6:$AJ$2005,"&gt;="&amp;8,'LANÇAMENTOS'!$AJ$6:$AJ$2005,"&lt;="&amp;15)</f>
        <v/>
      </c>
      <c r="C27" s="24">
        <f>COUNTIFS('LANÇAMENTOS'!$E$6:$E$2005,"Saída",'LANÇAMENTOS'!$W$6:$W$2005,"&gt;0",'LANÇAMENTOS'!$AJ$6:$AJ$2005,"&gt;="&amp;8,'LANÇAMENTOS'!$AJ$6:$AJ$2005,"&lt;="&amp;15)</f>
        <v/>
      </c>
      <c r="D27" s="23">
        <f>IF(SUM($B$26:$B$31)=0,"",$B27/SUM($B$26:$B$31))</f>
        <v/>
      </c>
      <c r="E27" s="24" t="n">
        <v>8</v>
      </c>
      <c r="F27" s="17" t="n">
        <v>15</v>
      </c>
      <c r="G27" s="25" t="inlineStr">
        <is>
          <t>Pagar nesta semana</t>
        </is>
      </c>
    </row>
    <row r="28">
      <c r="A28" s="9" t="inlineStr">
        <is>
          <t>16 a 30 dias</t>
        </is>
      </c>
      <c r="B28" s="18">
        <f>SUMIFS('LANÇAMENTOS'!$W$6:$W$2005,'LANÇAMENTOS'!$E$6:$E$2005,"Saída",'LANÇAMENTOS'!$W$6:$W$2005,"&gt;0",'LANÇAMENTOS'!$AJ$6:$AJ$2005,"&gt;="&amp;16,'LANÇAMENTOS'!$AJ$6:$AJ$2005,"&lt;="&amp;30)</f>
        <v/>
      </c>
      <c r="C28" s="24">
        <f>COUNTIFS('LANÇAMENTOS'!$E$6:$E$2005,"Saída",'LANÇAMENTOS'!$W$6:$W$2005,"&gt;0",'LANÇAMENTOS'!$AJ$6:$AJ$2005,"&gt;="&amp;16,'LANÇAMENTOS'!$AJ$6:$AJ$2005,"&lt;="&amp;30)</f>
        <v/>
      </c>
      <c r="D28" s="23">
        <f>IF(SUM($B$26:$B$31)=0,"",$B28/SUM($B$26:$B$31))</f>
        <v/>
      </c>
      <c r="E28" s="24" t="n">
        <v>16</v>
      </c>
      <c r="F28" s="17" t="n">
        <v>30</v>
      </c>
      <c r="G28" s="25" t="inlineStr">
        <is>
          <t>Programar para a próxima semana</t>
        </is>
      </c>
    </row>
    <row r="29">
      <c r="A29" s="9" t="inlineStr">
        <is>
          <t>31 a 60 dias</t>
        </is>
      </c>
      <c r="B29" s="18">
        <f>SUMIFS('LANÇAMENTOS'!$W$6:$W$2005,'LANÇAMENTOS'!$E$6:$E$2005,"Saída",'LANÇAMENTOS'!$W$6:$W$2005,"&gt;0",'LANÇAMENTOS'!$AJ$6:$AJ$2005,"&gt;="&amp;31,'LANÇAMENTOS'!$AJ$6:$AJ$2005,"&lt;="&amp;60)</f>
        <v/>
      </c>
      <c r="C29" s="24">
        <f>COUNTIFS('LANÇAMENTOS'!$E$6:$E$2005,"Saída",'LANÇAMENTOS'!$W$6:$W$2005,"&gt;0",'LANÇAMENTOS'!$AJ$6:$AJ$2005,"&gt;="&amp;31,'LANÇAMENTOS'!$AJ$6:$AJ$2005,"&lt;="&amp;60)</f>
        <v/>
      </c>
      <c r="D29" s="23">
        <f>IF(SUM($B$26:$B$31)=0,"",$B29/SUM($B$26:$B$31))</f>
        <v/>
      </c>
      <c r="E29" s="24" t="n">
        <v>31</v>
      </c>
      <c r="F29" s="17" t="n">
        <v>60</v>
      </c>
      <c r="G29" s="25" t="inlineStr">
        <is>
          <t>Negociar prazo ou parcelar</t>
        </is>
      </c>
    </row>
    <row r="30">
      <c r="A30" s="9" t="inlineStr">
        <is>
          <t>61 a 90 dias</t>
        </is>
      </c>
      <c r="B30" s="18">
        <f>SUMIFS('LANÇAMENTOS'!$W$6:$W$2005,'LANÇAMENTOS'!$E$6:$E$2005,"Saída",'LANÇAMENTOS'!$W$6:$W$2005,"&gt;0",'LANÇAMENTOS'!$AJ$6:$AJ$2005,"&gt;="&amp;61,'LANÇAMENTOS'!$AJ$6:$AJ$2005,"&lt;="&amp;90)</f>
        <v/>
      </c>
      <c r="C30" s="24">
        <f>COUNTIFS('LANÇAMENTOS'!$E$6:$E$2005,"Saída",'LANÇAMENTOS'!$W$6:$W$2005,"&gt;0",'LANÇAMENTOS'!$AJ$6:$AJ$2005,"&gt;="&amp;61,'LANÇAMENTOS'!$AJ$6:$AJ$2005,"&lt;="&amp;90)</f>
        <v/>
      </c>
      <c r="D30" s="23">
        <f>IF(SUM($B$26:$B$31)=0,"",$B30/SUM($B$26:$B$31))</f>
        <v/>
      </c>
      <c r="E30" s="24" t="n">
        <v>61</v>
      </c>
      <c r="F30" s="17" t="n">
        <v>90</v>
      </c>
      <c r="G30" s="25" t="inlineStr">
        <is>
          <t>Renegociar/rever contrato</t>
        </is>
      </c>
    </row>
    <row r="31">
      <c r="A31" s="9" t="inlineStr">
        <is>
          <t>Mais de 90 dias</t>
        </is>
      </c>
      <c r="B31" s="18">
        <f>SUMIFS('LANÇAMENTOS'!$W$6:$W$2005,'LANÇAMENTOS'!$E$6:$E$2005,"Saída",'LANÇAMENTOS'!$W$6:$W$2005,"&gt;0",'LANÇAMENTOS'!$AJ$6:$AJ$2005,"&gt;="&amp;91,'LANÇAMENTOS'!$AJ$6:$AJ$2005,"&lt;="&amp;99999)</f>
        <v/>
      </c>
      <c r="C31" s="24">
        <f>COUNTIFS('LANÇAMENTOS'!$E$6:$E$2005,"Saída",'LANÇAMENTOS'!$W$6:$W$2005,"&gt;0",'LANÇAMENTOS'!$AJ$6:$AJ$2005,"&gt;="&amp;91,'LANÇAMENTOS'!$AJ$6:$AJ$2005,"&lt;="&amp;99999)</f>
        <v/>
      </c>
      <c r="D31" s="23">
        <f>IF(SUM($B$26:$B$31)=0,"",$B31/SUM($B$26:$B$31))</f>
        <v/>
      </c>
      <c r="E31" s="24" t="n">
        <v>91</v>
      </c>
      <c r="F31" s="17" t="inlineStr">
        <is>
          <t>90+</t>
        </is>
      </c>
      <c r="G31" s="25" t="inlineStr">
        <is>
          <t>Risco de negativação — ação urgente</t>
        </is>
      </c>
    </row>
    <row r="32">
      <c r="A32" s="37" t="inlineStr">
        <is>
          <t>TOTAL VENCIDO</t>
        </is>
      </c>
      <c r="B32" s="38">
        <f>SUM($B$26:$B$31)</f>
        <v/>
      </c>
      <c r="C32" s="41">
        <f>SUM($C$26:$C$31)</f>
        <v/>
      </c>
    </row>
    <row r="34" ht="20" customHeight="1">
      <c r="A34" s="4" t="inlineStr">
        <is>
          <t>4. PRÓXIMOS VENCIMENTOS — 20 TÍTULOS MAIS URGENTES (ordem cronológica)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30" customHeight="1">
      <c r="A35" s="34" t="inlineStr">
        <is>
          <t>Vencimento</t>
        </is>
      </c>
      <c r="B35" s="34" t="inlineStr">
        <is>
          <t>Fornecedor</t>
        </is>
      </c>
      <c r="C35" s="34" t="inlineStr">
        <is>
          <t>Descrição</t>
        </is>
      </c>
      <c r="D35" s="34" t="inlineStr">
        <is>
          <t>Categoria</t>
        </is>
      </c>
      <c r="E35" s="34" t="inlineStr">
        <is>
          <t>Subcategoria</t>
        </is>
      </c>
      <c r="F35" s="34" t="inlineStr">
        <is>
          <t>Situação</t>
        </is>
      </c>
      <c r="G35" s="34" t="inlineStr">
        <is>
          <t>Valor em aberto</t>
        </is>
      </c>
      <c r="H35" s="34" t="inlineStr">
        <is>
          <t>Dias p/ vencer</t>
        </is>
      </c>
      <c r="I35" s="34" t="inlineStr">
        <is>
          <t>Chave (ordem)</t>
        </is>
      </c>
    </row>
    <row r="36">
      <c r="A36" s="30">
        <f>IF($I36="","",INDEX('LANÇAMENTOS'!$C$6:$C$2005,MATCH($I36,'LANÇAMENTOS'!$AM$6:$AM$2005,0)))</f>
        <v/>
      </c>
      <c r="B36" s="9">
        <f>IF($I36="","",INDEX('LANÇAMENTOS'!$I$6:$I$2005,MATCH($I36,'LANÇAMENTOS'!$AM$6:$AM$2005,0)))</f>
        <v/>
      </c>
      <c r="C36" s="9">
        <f>IF($I36="","",INDEX('LANÇAMENTOS'!$J$6:$J$2005,MATCH($I36,'LANÇAMENTOS'!$AM$6:$AM$2005,0)))</f>
        <v/>
      </c>
      <c r="D36" s="17">
        <f>IF($I36="","",INDEX('LANÇAMENTOS'!$F$6:$F$2005,MATCH($I36,'LANÇAMENTOS'!$AM$6:$AM$2005,0)))</f>
        <v/>
      </c>
      <c r="E36" s="9">
        <f>IF($I36="","",INDEX('LANÇAMENTOS'!$G$6:$G$2005,MATCH($I36,'LANÇAMENTOS'!$AM$6:$AM$2005,0)))</f>
        <v/>
      </c>
      <c r="F36" s="17">
        <f>IF($I36="","",INDEX('LANÇAMENTOS'!$Y$6:$Y$2005,MATCH($I36,'LANÇAMENTOS'!$AM$6:$AM$2005,0)))</f>
        <v/>
      </c>
      <c r="G36" s="18">
        <f>IF($I36="","",INDEX('LANÇAMENTOS'!$W$6:$W$2005,MATCH($I36,'LANÇAMENTOS'!$AM$6:$AM$2005,0)))</f>
        <v/>
      </c>
      <c r="H36" s="24">
        <f>IF($I36="","",INDEX('LANÇAMENTOS'!$AI$6:$AI$2005,MATCH($I36,'LANÇAMENTOS'!$AM$6:$AM$2005,0)))</f>
        <v/>
      </c>
      <c r="I36" s="17">
        <f>IFERROR(SMALL('LANÇAMENTOS'!$AM$6:$AM$2005,1),"")</f>
        <v/>
      </c>
    </row>
    <row r="37">
      <c r="A37" s="30">
        <f>IF($I37="","",INDEX('LANÇAMENTOS'!$C$6:$C$2005,MATCH($I37,'LANÇAMENTOS'!$AM$6:$AM$2005,0)))</f>
        <v/>
      </c>
      <c r="B37" s="9">
        <f>IF($I37="","",INDEX('LANÇAMENTOS'!$I$6:$I$2005,MATCH($I37,'LANÇAMENTOS'!$AM$6:$AM$2005,0)))</f>
        <v/>
      </c>
      <c r="C37" s="9">
        <f>IF($I37="","",INDEX('LANÇAMENTOS'!$J$6:$J$2005,MATCH($I37,'LANÇAMENTOS'!$AM$6:$AM$2005,0)))</f>
        <v/>
      </c>
      <c r="D37" s="17">
        <f>IF($I37="","",INDEX('LANÇAMENTOS'!$F$6:$F$2005,MATCH($I37,'LANÇAMENTOS'!$AM$6:$AM$2005,0)))</f>
        <v/>
      </c>
      <c r="E37" s="9">
        <f>IF($I37="","",INDEX('LANÇAMENTOS'!$G$6:$G$2005,MATCH($I37,'LANÇAMENTOS'!$AM$6:$AM$2005,0)))</f>
        <v/>
      </c>
      <c r="F37" s="17">
        <f>IF($I37="","",INDEX('LANÇAMENTOS'!$Y$6:$Y$2005,MATCH($I37,'LANÇAMENTOS'!$AM$6:$AM$2005,0)))</f>
        <v/>
      </c>
      <c r="G37" s="18">
        <f>IF($I37="","",INDEX('LANÇAMENTOS'!$W$6:$W$2005,MATCH($I37,'LANÇAMENTOS'!$AM$6:$AM$2005,0)))</f>
        <v/>
      </c>
      <c r="H37" s="24">
        <f>IF($I37="","",INDEX('LANÇAMENTOS'!$AI$6:$AI$2005,MATCH($I37,'LANÇAMENTOS'!$AM$6:$AM$2005,0)))</f>
        <v/>
      </c>
      <c r="I37" s="17">
        <f>IFERROR(SMALL('LANÇAMENTOS'!$AM$6:$AM$2005,2),"")</f>
        <v/>
      </c>
    </row>
    <row r="38">
      <c r="A38" s="30">
        <f>IF($I38="","",INDEX('LANÇAMENTOS'!$C$6:$C$2005,MATCH($I38,'LANÇAMENTOS'!$AM$6:$AM$2005,0)))</f>
        <v/>
      </c>
      <c r="B38" s="9">
        <f>IF($I38="","",INDEX('LANÇAMENTOS'!$I$6:$I$2005,MATCH($I38,'LANÇAMENTOS'!$AM$6:$AM$2005,0)))</f>
        <v/>
      </c>
      <c r="C38" s="9">
        <f>IF($I38="","",INDEX('LANÇAMENTOS'!$J$6:$J$2005,MATCH($I38,'LANÇAMENTOS'!$AM$6:$AM$2005,0)))</f>
        <v/>
      </c>
      <c r="D38" s="17">
        <f>IF($I38="","",INDEX('LANÇAMENTOS'!$F$6:$F$2005,MATCH($I38,'LANÇAMENTOS'!$AM$6:$AM$2005,0)))</f>
        <v/>
      </c>
      <c r="E38" s="9">
        <f>IF($I38="","",INDEX('LANÇAMENTOS'!$G$6:$G$2005,MATCH($I38,'LANÇAMENTOS'!$AM$6:$AM$2005,0)))</f>
        <v/>
      </c>
      <c r="F38" s="17">
        <f>IF($I38="","",INDEX('LANÇAMENTOS'!$Y$6:$Y$2005,MATCH($I38,'LANÇAMENTOS'!$AM$6:$AM$2005,0)))</f>
        <v/>
      </c>
      <c r="G38" s="18">
        <f>IF($I38="","",INDEX('LANÇAMENTOS'!$W$6:$W$2005,MATCH($I38,'LANÇAMENTOS'!$AM$6:$AM$2005,0)))</f>
        <v/>
      </c>
      <c r="H38" s="24">
        <f>IF($I38="","",INDEX('LANÇAMENTOS'!$AI$6:$AI$2005,MATCH($I38,'LANÇAMENTOS'!$AM$6:$AM$2005,0)))</f>
        <v/>
      </c>
      <c r="I38" s="17">
        <f>IFERROR(SMALL('LANÇAMENTOS'!$AM$6:$AM$2005,3),"")</f>
        <v/>
      </c>
    </row>
    <row r="39">
      <c r="A39" s="30">
        <f>IF($I39="","",INDEX('LANÇAMENTOS'!$C$6:$C$2005,MATCH($I39,'LANÇAMENTOS'!$AM$6:$AM$2005,0)))</f>
        <v/>
      </c>
      <c r="B39" s="9">
        <f>IF($I39="","",INDEX('LANÇAMENTOS'!$I$6:$I$2005,MATCH($I39,'LANÇAMENTOS'!$AM$6:$AM$2005,0)))</f>
        <v/>
      </c>
      <c r="C39" s="9">
        <f>IF($I39="","",INDEX('LANÇAMENTOS'!$J$6:$J$2005,MATCH($I39,'LANÇAMENTOS'!$AM$6:$AM$2005,0)))</f>
        <v/>
      </c>
      <c r="D39" s="17">
        <f>IF($I39="","",INDEX('LANÇAMENTOS'!$F$6:$F$2005,MATCH($I39,'LANÇAMENTOS'!$AM$6:$AM$2005,0)))</f>
        <v/>
      </c>
      <c r="E39" s="9">
        <f>IF($I39="","",INDEX('LANÇAMENTOS'!$G$6:$G$2005,MATCH($I39,'LANÇAMENTOS'!$AM$6:$AM$2005,0)))</f>
        <v/>
      </c>
      <c r="F39" s="17">
        <f>IF($I39="","",INDEX('LANÇAMENTOS'!$Y$6:$Y$2005,MATCH($I39,'LANÇAMENTOS'!$AM$6:$AM$2005,0)))</f>
        <v/>
      </c>
      <c r="G39" s="18">
        <f>IF($I39="","",INDEX('LANÇAMENTOS'!$W$6:$W$2005,MATCH($I39,'LANÇAMENTOS'!$AM$6:$AM$2005,0)))</f>
        <v/>
      </c>
      <c r="H39" s="24">
        <f>IF($I39="","",INDEX('LANÇAMENTOS'!$AI$6:$AI$2005,MATCH($I39,'LANÇAMENTOS'!$AM$6:$AM$2005,0)))</f>
        <v/>
      </c>
      <c r="I39" s="17">
        <f>IFERROR(SMALL('LANÇAMENTOS'!$AM$6:$AM$2005,4),"")</f>
        <v/>
      </c>
    </row>
    <row r="40">
      <c r="A40" s="30">
        <f>IF($I40="","",INDEX('LANÇAMENTOS'!$C$6:$C$2005,MATCH($I40,'LANÇAMENTOS'!$AM$6:$AM$2005,0)))</f>
        <v/>
      </c>
      <c r="B40" s="9">
        <f>IF($I40="","",INDEX('LANÇAMENTOS'!$I$6:$I$2005,MATCH($I40,'LANÇAMENTOS'!$AM$6:$AM$2005,0)))</f>
        <v/>
      </c>
      <c r="C40" s="9">
        <f>IF($I40="","",INDEX('LANÇAMENTOS'!$J$6:$J$2005,MATCH($I40,'LANÇAMENTOS'!$AM$6:$AM$2005,0)))</f>
        <v/>
      </c>
      <c r="D40" s="17">
        <f>IF($I40="","",INDEX('LANÇAMENTOS'!$F$6:$F$2005,MATCH($I40,'LANÇAMENTOS'!$AM$6:$AM$2005,0)))</f>
        <v/>
      </c>
      <c r="E40" s="9">
        <f>IF($I40="","",INDEX('LANÇAMENTOS'!$G$6:$G$2005,MATCH($I40,'LANÇAMENTOS'!$AM$6:$AM$2005,0)))</f>
        <v/>
      </c>
      <c r="F40" s="17">
        <f>IF($I40="","",INDEX('LANÇAMENTOS'!$Y$6:$Y$2005,MATCH($I40,'LANÇAMENTOS'!$AM$6:$AM$2005,0)))</f>
        <v/>
      </c>
      <c r="G40" s="18">
        <f>IF($I40="","",INDEX('LANÇAMENTOS'!$W$6:$W$2005,MATCH($I40,'LANÇAMENTOS'!$AM$6:$AM$2005,0)))</f>
        <v/>
      </c>
      <c r="H40" s="24">
        <f>IF($I40="","",INDEX('LANÇAMENTOS'!$AI$6:$AI$2005,MATCH($I40,'LANÇAMENTOS'!$AM$6:$AM$2005,0)))</f>
        <v/>
      </c>
      <c r="I40" s="17">
        <f>IFERROR(SMALL('LANÇAMENTOS'!$AM$6:$AM$2005,5),"")</f>
        <v/>
      </c>
    </row>
    <row r="41">
      <c r="A41" s="30">
        <f>IF($I41="","",INDEX('LANÇAMENTOS'!$C$6:$C$2005,MATCH($I41,'LANÇAMENTOS'!$AM$6:$AM$2005,0)))</f>
        <v/>
      </c>
      <c r="B41" s="9">
        <f>IF($I41="","",INDEX('LANÇAMENTOS'!$I$6:$I$2005,MATCH($I41,'LANÇAMENTOS'!$AM$6:$AM$2005,0)))</f>
        <v/>
      </c>
      <c r="C41" s="9">
        <f>IF($I41="","",INDEX('LANÇAMENTOS'!$J$6:$J$2005,MATCH($I41,'LANÇAMENTOS'!$AM$6:$AM$2005,0)))</f>
        <v/>
      </c>
      <c r="D41" s="17">
        <f>IF($I41="","",INDEX('LANÇAMENTOS'!$F$6:$F$2005,MATCH($I41,'LANÇAMENTOS'!$AM$6:$AM$2005,0)))</f>
        <v/>
      </c>
      <c r="E41" s="9">
        <f>IF($I41="","",INDEX('LANÇAMENTOS'!$G$6:$G$2005,MATCH($I41,'LANÇAMENTOS'!$AM$6:$AM$2005,0)))</f>
        <v/>
      </c>
      <c r="F41" s="17">
        <f>IF($I41="","",INDEX('LANÇAMENTOS'!$Y$6:$Y$2005,MATCH($I41,'LANÇAMENTOS'!$AM$6:$AM$2005,0)))</f>
        <v/>
      </c>
      <c r="G41" s="18">
        <f>IF($I41="","",INDEX('LANÇAMENTOS'!$W$6:$W$2005,MATCH($I41,'LANÇAMENTOS'!$AM$6:$AM$2005,0)))</f>
        <v/>
      </c>
      <c r="H41" s="24">
        <f>IF($I41="","",INDEX('LANÇAMENTOS'!$AI$6:$AI$2005,MATCH($I41,'LANÇAMENTOS'!$AM$6:$AM$2005,0)))</f>
        <v/>
      </c>
      <c r="I41" s="17">
        <f>IFERROR(SMALL('LANÇAMENTOS'!$AM$6:$AM$2005,6),"")</f>
        <v/>
      </c>
    </row>
    <row r="42">
      <c r="A42" s="30">
        <f>IF($I42="","",INDEX('LANÇAMENTOS'!$C$6:$C$2005,MATCH($I42,'LANÇAMENTOS'!$AM$6:$AM$2005,0)))</f>
        <v/>
      </c>
      <c r="B42" s="9">
        <f>IF($I42="","",INDEX('LANÇAMENTOS'!$I$6:$I$2005,MATCH($I42,'LANÇAMENTOS'!$AM$6:$AM$2005,0)))</f>
        <v/>
      </c>
      <c r="C42" s="9">
        <f>IF($I42="","",INDEX('LANÇAMENTOS'!$J$6:$J$2005,MATCH($I42,'LANÇAMENTOS'!$AM$6:$AM$2005,0)))</f>
        <v/>
      </c>
      <c r="D42" s="17">
        <f>IF($I42="","",INDEX('LANÇAMENTOS'!$F$6:$F$2005,MATCH($I42,'LANÇAMENTOS'!$AM$6:$AM$2005,0)))</f>
        <v/>
      </c>
      <c r="E42" s="9">
        <f>IF($I42="","",INDEX('LANÇAMENTOS'!$G$6:$G$2005,MATCH($I42,'LANÇAMENTOS'!$AM$6:$AM$2005,0)))</f>
        <v/>
      </c>
      <c r="F42" s="17">
        <f>IF($I42="","",INDEX('LANÇAMENTOS'!$Y$6:$Y$2005,MATCH($I42,'LANÇAMENTOS'!$AM$6:$AM$2005,0)))</f>
        <v/>
      </c>
      <c r="G42" s="18">
        <f>IF($I42="","",INDEX('LANÇAMENTOS'!$W$6:$W$2005,MATCH($I42,'LANÇAMENTOS'!$AM$6:$AM$2005,0)))</f>
        <v/>
      </c>
      <c r="H42" s="24">
        <f>IF($I42="","",INDEX('LANÇAMENTOS'!$AI$6:$AI$2005,MATCH($I42,'LANÇAMENTOS'!$AM$6:$AM$2005,0)))</f>
        <v/>
      </c>
      <c r="I42" s="17">
        <f>IFERROR(SMALL('LANÇAMENTOS'!$AM$6:$AM$2005,7),"")</f>
        <v/>
      </c>
    </row>
    <row r="43">
      <c r="A43" s="30">
        <f>IF($I43="","",INDEX('LANÇAMENTOS'!$C$6:$C$2005,MATCH($I43,'LANÇAMENTOS'!$AM$6:$AM$2005,0)))</f>
        <v/>
      </c>
      <c r="B43" s="9">
        <f>IF($I43="","",INDEX('LANÇAMENTOS'!$I$6:$I$2005,MATCH($I43,'LANÇAMENTOS'!$AM$6:$AM$2005,0)))</f>
        <v/>
      </c>
      <c r="C43" s="9">
        <f>IF($I43="","",INDEX('LANÇAMENTOS'!$J$6:$J$2005,MATCH($I43,'LANÇAMENTOS'!$AM$6:$AM$2005,0)))</f>
        <v/>
      </c>
      <c r="D43" s="17">
        <f>IF($I43="","",INDEX('LANÇAMENTOS'!$F$6:$F$2005,MATCH($I43,'LANÇAMENTOS'!$AM$6:$AM$2005,0)))</f>
        <v/>
      </c>
      <c r="E43" s="9">
        <f>IF($I43="","",INDEX('LANÇAMENTOS'!$G$6:$G$2005,MATCH($I43,'LANÇAMENTOS'!$AM$6:$AM$2005,0)))</f>
        <v/>
      </c>
      <c r="F43" s="17">
        <f>IF($I43="","",INDEX('LANÇAMENTOS'!$Y$6:$Y$2005,MATCH($I43,'LANÇAMENTOS'!$AM$6:$AM$2005,0)))</f>
        <v/>
      </c>
      <c r="G43" s="18">
        <f>IF($I43="","",INDEX('LANÇAMENTOS'!$W$6:$W$2005,MATCH($I43,'LANÇAMENTOS'!$AM$6:$AM$2005,0)))</f>
        <v/>
      </c>
      <c r="H43" s="24">
        <f>IF($I43="","",INDEX('LANÇAMENTOS'!$AI$6:$AI$2005,MATCH($I43,'LANÇAMENTOS'!$AM$6:$AM$2005,0)))</f>
        <v/>
      </c>
      <c r="I43" s="17">
        <f>IFERROR(SMALL('LANÇAMENTOS'!$AM$6:$AM$2005,8),"")</f>
        <v/>
      </c>
    </row>
    <row r="44">
      <c r="A44" s="30">
        <f>IF($I44="","",INDEX('LANÇAMENTOS'!$C$6:$C$2005,MATCH($I44,'LANÇAMENTOS'!$AM$6:$AM$2005,0)))</f>
        <v/>
      </c>
      <c r="B44" s="9">
        <f>IF($I44="","",INDEX('LANÇAMENTOS'!$I$6:$I$2005,MATCH($I44,'LANÇAMENTOS'!$AM$6:$AM$2005,0)))</f>
        <v/>
      </c>
      <c r="C44" s="9">
        <f>IF($I44="","",INDEX('LANÇAMENTOS'!$J$6:$J$2005,MATCH($I44,'LANÇAMENTOS'!$AM$6:$AM$2005,0)))</f>
        <v/>
      </c>
      <c r="D44" s="17">
        <f>IF($I44="","",INDEX('LANÇAMENTOS'!$F$6:$F$2005,MATCH($I44,'LANÇAMENTOS'!$AM$6:$AM$2005,0)))</f>
        <v/>
      </c>
      <c r="E44" s="9">
        <f>IF($I44="","",INDEX('LANÇAMENTOS'!$G$6:$G$2005,MATCH($I44,'LANÇAMENTOS'!$AM$6:$AM$2005,0)))</f>
        <v/>
      </c>
      <c r="F44" s="17">
        <f>IF($I44="","",INDEX('LANÇAMENTOS'!$Y$6:$Y$2005,MATCH($I44,'LANÇAMENTOS'!$AM$6:$AM$2005,0)))</f>
        <v/>
      </c>
      <c r="G44" s="18">
        <f>IF($I44="","",INDEX('LANÇAMENTOS'!$W$6:$W$2005,MATCH($I44,'LANÇAMENTOS'!$AM$6:$AM$2005,0)))</f>
        <v/>
      </c>
      <c r="H44" s="24">
        <f>IF($I44="","",INDEX('LANÇAMENTOS'!$AI$6:$AI$2005,MATCH($I44,'LANÇAMENTOS'!$AM$6:$AM$2005,0)))</f>
        <v/>
      </c>
      <c r="I44" s="17">
        <f>IFERROR(SMALL('LANÇAMENTOS'!$AM$6:$AM$2005,9),"")</f>
        <v/>
      </c>
    </row>
    <row r="45">
      <c r="A45" s="30">
        <f>IF($I45="","",INDEX('LANÇAMENTOS'!$C$6:$C$2005,MATCH($I45,'LANÇAMENTOS'!$AM$6:$AM$2005,0)))</f>
        <v/>
      </c>
      <c r="B45" s="9">
        <f>IF($I45="","",INDEX('LANÇAMENTOS'!$I$6:$I$2005,MATCH($I45,'LANÇAMENTOS'!$AM$6:$AM$2005,0)))</f>
        <v/>
      </c>
      <c r="C45" s="9">
        <f>IF($I45="","",INDEX('LANÇAMENTOS'!$J$6:$J$2005,MATCH($I45,'LANÇAMENTOS'!$AM$6:$AM$2005,0)))</f>
        <v/>
      </c>
      <c r="D45" s="17">
        <f>IF($I45="","",INDEX('LANÇAMENTOS'!$F$6:$F$2005,MATCH($I45,'LANÇAMENTOS'!$AM$6:$AM$2005,0)))</f>
        <v/>
      </c>
      <c r="E45" s="9">
        <f>IF($I45="","",INDEX('LANÇAMENTOS'!$G$6:$G$2005,MATCH($I45,'LANÇAMENTOS'!$AM$6:$AM$2005,0)))</f>
        <v/>
      </c>
      <c r="F45" s="17">
        <f>IF($I45="","",INDEX('LANÇAMENTOS'!$Y$6:$Y$2005,MATCH($I45,'LANÇAMENTOS'!$AM$6:$AM$2005,0)))</f>
        <v/>
      </c>
      <c r="G45" s="18">
        <f>IF($I45="","",INDEX('LANÇAMENTOS'!$W$6:$W$2005,MATCH($I45,'LANÇAMENTOS'!$AM$6:$AM$2005,0)))</f>
        <v/>
      </c>
      <c r="H45" s="24">
        <f>IF($I45="","",INDEX('LANÇAMENTOS'!$AI$6:$AI$2005,MATCH($I45,'LANÇAMENTOS'!$AM$6:$AM$2005,0)))</f>
        <v/>
      </c>
      <c r="I45" s="17">
        <f>IFERROR(SMALL('LANÇAMENTOS'!$AM$6:$AM$2005,10),"")</f>
        <v/>
      </c>
    </row>
    <row r="46">
      <c r="A46" s="30">
        <f>IF($I46="","",INDEX('LANÇAMENTOS'!$C$6:$C$2005,MATCH($I46,'LANÇAMENTOS'!$AM$6:$AM$2005,0)))</f>
        <v/>
      </c>
      <c r="B46" s="9">
        <f>IF($I46="","",INDEX('LANÇAMENTOS'!$I$6:$I$2005,MATCH($I46,'LANÇAMENTOS'!$AM$6:$AM$2005,0)))</f>
        <v/>
      </c>
      <c r="C46" s="9">
        <f>IF($I46="","",INDEX('LANÇAMENTOS'!$J$6:$J$2005,MATCH($I46,'LANÇAMENTOS'!$AM$6:$AM$2005,0)))</f>
        <v/>
      </c>
      <c r="D46" s="17">
        <f>IF($I46="","",INDEX('LANÇAMENTOS'!$F$6:$F$2005,MATCH($I46,'LANÇAMENTOS'!$AM$6:$AM$2005,0)))</f>
        <v/>
      </c>
      <c r="E46" s="9">
        <f>IF($I46="","",INDEX('LANÇAMENTOS'!$G$6:$G$2005,MATCH($I46,'LANÇAMENTOS'!$AM$6:$AM$2005,0)))</f>
        <v/>
      </c>
      <c r="F46" s="17">
        <f>IF($I46="","",INDEX('LANÇAMENTOS'!$Y$6:$Y$2005,MATCH($I46,'LANÇAMENTOS'!$AM$6:$AM$2005,0)))</f>
        <v/>
      </c>
      <c r="G46" s="18">
        <f>IF($I46="","",INDEX('LANÇAMENTOS'!$W$6:$W$2005,MATCH($I46,'LANÇAMENTOS'!$AM$6:$AM$2005,0)))</f>
        <v/>
      </c>
      <c r="H46" s="24">
        <f>IF($I46="","",INDEX('LANÇAMENTOS'!$AI$6:$AI$2005,MATCH($I46,'LANÇAMENTOS'!$AM$6:$AM$2005,0)))</f>
        <v/>
      </c>
      <c r="I46" s="17">
        <f>IFERROR(SMALL('LANÇAMENTOS'!$AM$6:$AM$2005,11),"")</f>
        <v/>
      </c>
    </row>
    <row r="47">
      <c r="A47" s="30">
        <f>IF($I47="","",INDEX('LANÇAMENTOS'!$C$6:$C$2005,MATCH($I47,'LANÇAMENTOS'!$AM$6:$AM$2005,0)))</f>
        <v/>
      </c>
      <c r="B47" s="9">
        <f>IF($I47="","",INDEX('LANÇAMENTOS'!$I$6:$I$2005,MATCH($I47,'LANÇAMENTOS'!$AM$6:$AM$2005,0)))</f>
        <v/>
      </c>
      <c r="C47" s="9">
        <f>IF($I47="","",INDEX('LANÇAMENTOS'!$J$6:$J$2005,MATCH($I47,'LANÇAMENTOS'!$AM$6:$AM$2005,0)))</f>
        <v/>
      </c>
      <c r="D47" s="17">
        <f>IF($I47="","",INDEX('LANÇAMENTOS'!$F$6:$F$2005,MATCH($I47,'LANÇAMENTOS'!$AM$6:$AM$2005,0)))</f>
        <v/>
      </c>
      <c r="E47" s="9">
        <f>IF($I47="","",INDEX('LANÇAMENTOS'!$G$6:$G$2005,MATCH($I47,'LANÇAMENTOS'!$AM$6:$AM$2005,0)))</f>
        <v/>
      </c>
      <c r="F47" s="17">
        <f>IF($I47="","",INDEX('LANÇAMENTOS'!$Y$6:$Y$2005,MATCH($I47,'LANÇAMENTOS'!$AM$6:$AM$2005,0)))</f>
        <v/>
      </c>
      <c r="G47" s="18">
        <f>IF($I47="","",INDEX('LANÇAMENTOS'!$W$6:$W$2005,MATCH($I47,'LANÇAMENTOS'!$AM$6:$AM$2005,0)))</f>
        <v/>
      </c>
      <c r="H47" s="24">
        <f>IF($I47="","",INDEX('LANÇAMENTOS'!$AI$6:$AI$2005,MATCH($I47,'LANÇAMENTOS'!$AM$6:$AM$2005,0)))</f>
        <v/>
      </c>
      <c r="I47" s="17">
        <f>IFERROR(SMALL('LANÇAMENTOS'!$AM$6:$AM$2005,12),"")</f>
        <v/>
      </c>
    </row>
    <row r="48">
      <c r="A48" s="30">
        <f>IF($I48="","",INDEX('LANÇAMENTOS'!$C$6:$C$2005,MATCH($I48,'LANÇAMENTOS'!$AM$6:$AM$2005,0)))</f>
        <v/>
      </c>
      <c r="B48" s="9">
        <f>IF($I48="","",INDEX('LANÇAMENTOS'!$I$6:$I$2005,MATCH($I48,'LANÇAMENTOS'!$AM$6:$AM$2005,0)))</f>
        <v/>
      </c>
      <c r="C48" s="9">
        <f>IF($I48="","",INDEX('LANÇAMENTOS'!$J$6:$J$2005,MATCH($I48,'LANÇAMENTOS'!$AM$6:$AM$2005,0)))</f>
        <v/>
      </c>
      <c r="D48" s="17">
        <f>IF($I48="","",INDEX('LANÇAMENTOS'!$F$6:$F$2005,MATCH($I48,'LANÇAMENTOS'!$AM$6:$AM$2005,0)))</f>
        <v/>
      </c>
      <c r="E48" s="9">
        <f>IF($I48="","",INDEX('LANÇAMENTOS'!$G$6:$G$2005,MATCH($I48,'LANÇAMENTOS'!$AM$6:$AM$2005,0)))</f>
        <v/>
      </c>
      <c r="F48" s="17">
        <f>IF($I48="","",INDEX('LANÇAMENTOS'!$Y$6:$Y$2005,MATCH($I48,'LANÇAMENTOS'!$AM$6:$AM$2005,0)))</f>
        <v/>
      </c>
      <c r="G48" s="18">
        <f>IF($I48="","",INDEX('LANÇAMENTOS'!$W$6:$W$2005,MATCH($I48,'LANÇAMENTOS'!$AM$6:$AM$2005,0)))</f>
        <v/>
      </c>
      <c r="H48" s="24">
        <f>IF($I48="","",INDEX('LANÇAMENTOS'!$AI$6:$AI$2005,MATCH($I48,'LANÇAMENTOS'!$AM$6:$AM$2005,0)))</f>
        <v/>
      </c>
      <c r="I48" s="17">
        <f>IFERROR(SMALL('LANÇAMENTOS'!$AM$6:$AM$2005,13),"")</f>
        <v/>
      </c>
    </row>
    <row r="49">
      <c r="A49" s="30">
        <f>IF($I49="","",INDEX('LANÇAMENTOS'!$C$6:$C$2005,MATCH($I49,'LANÇAMENTOS'!$AM$6:$AM$2005,0)))</f>
        <v/>
      </c>
      <c r="B49" s="9">
        <f>IF($I49="","",INDEX('LANÇAMENTOS'!$I$6:$I$2005,MATCH($I49,'LANÇAMENTOS'!$AM$6:$AM$2005,0)))</f>
        <v/>
      </c>
      <c r="C49" s="9">
        <f>IF($I49="","",INDEX('LANÇAMENTOS'!$J$6:$J$2005,MATCH($I49,'LANÇAMENTOS'!$AM$6:$AM$2005,0)))</f>
        <v/>
      </c>
      <c r="D49" s="17">
        <f>IF($I49="","",INDEX('LANÇAMENTOS'!$F$6:$F$2005,MATCH($I49,'LANÇAMENTOS'!$AM$6:$AM$2005,0)))</f>
        <v/>
      </c>
      <c r="E49" s="9">
        <f>IF($I49="","",INDEX('LANÇAMENTOS'!$G$6:$G$2005,MATCH($I49,'LANÇAMENTOS'!$AM$6:$AM$2005,0)))</f>
        <v/>
      </c>
      <c r="F49" s="17">
        <f>IF($I49="","",INDEX('LANÇAMENTOS'!$Y$6:$Y$2005,MATCH($I49,'LANÇAMENTOS'!$AM$6:$AM$2005,0)))</f>
        <v/>
      </c>
      <c r="G49" s="18">
        <f>IF($I49="","",INDEX('LANÇAMENTOS'!$W$6:$W$2005,MATCH($I49,'LANÇAMENTOS'!$AM$6:$AM$2005,0)))</f>
        <v/>
      </c>
      <c r="H49" s="24">
        <f>IF($I49="","",INDEX('LANÇAMENTOS'!$AI$6:$AI$2005,MATCH($I49,'LANÇAMENTOS'!$AM$6:$AM$2005,0)))</f>
        <v/>
      </c>
      <c r="I49" s="17">
        <f>IFERROR(SMALL('LANÇAMENTOS'!$AM$6:$AM$2005,14),"")</f>
        <v/>
      </c>
    </row>
    <row r="50">
      <c r="A50" s="30">
        <f>IF($I50="","",INDEX('LANÇAMENTOS'!$C$6:$C$2005,MATCH($I50,'LANÇAMENTOS'!$AM$6:$AM$2005,0)))</f>
        <v/>
      </c>
      <c r="B50" s="9">
        <f>IF($I50="","",INDEX('LANÇAMENTOS'!$I$6:$I$2005,MATCH($I50,'LANÇAMENTOS'!$AM$6:$AM$2005,0)))</f>
        <v/>
      </c>
      <c r="C50" s="9">
        <f>IF($I50="","",INDEX('LANÇAMENTOS'!$J$6:$J$2005,MATCH($I50,'LANÇAMENTOS'!$AM$6:$AM$2005,0)))</f>
        <v/>
      </c>
      <c r="D50" s="17">
        <f>IF($I50="","",INDEX('LANÇAMENTOS'!$F$6:$F$2005,MATCH($I50,'LANÇAMENTOS'!$AM$6:$AM$2005,0)))</f>
        <v/>
      </c>
      <c r="E50" s="9">
        <f>IF($I50="","",INDEX('LANÇAMENTOS'!$G$6:$G$2005,MATCH($I50,'LANÇAMENTOS'!$AM$6:$AM$2005,0)))</f>
        <v/>
      </c>
      <c r="F50" s="17">
        <f>IF($I50="","",INDEX('LANÇAMENTOS'!$Y$6:$Y$2005,MATCH($I50,'LANÇAMENTOS'!$AM$6:$AM$2005,0)))</f>
        <v/>
      </c>
      <c r="G50" s="18">
        <f>IF($I50="","",INDEX('LANÇAMENTOS'!$W$6:$W$2005,MATCH($I50,'LANÇAMENTOS'!$AM$6:$AM$2005,0)))</f>
        <v/>
      </c>
      <c r="H50" s="24">
        <f>IF($I50="","",INDEX('LANÇAMENTOS'!$AI$6:$AI$2005,MATCH($I50,'LANÇAMENTOS'!$AM$6:$AM$2005,0)))</f>
        <v/>
      </c>
      <c r="I50" s="17">
        <f>IFERROR(SMALL('LANÇAMENTOS'!$AM$6:$AM$2005,15),"")</f>
        <v/>
      </c>
    </row>
    <row r="51">
      <c r="A51" s="30">
        <f>IF($I51="","",INDEX('LANÇAMENTOS'!$C$6:$C$2005,MATCH($I51,'LANÇAMENTOS'!$AM$6:$AM$2005,0)))</f>
        <v/>
      </c>
      <c r="B51" s="9">
        <f>IF($I51="","",INDEX('LANÇAMENTOS'!$I$6:$I$2005,MATCH($I51,'LANÇAMENTOS'!$AM$6:$AM$2005,0)))</f>
        <v/>
      </c>
      <c r="C51" s="9">
        <f>IF($I51="","",INDEX('LANÇAMENTOS'!$J$6:$J$2005,MATCH($I51,'LANÇAMENTOS'!$AM$6:$AM$2005,0)))</f>
        <v/>
      </c>
      <c r="D51" s="17">
        <f>IF($I51="","",INDEX('LANÇAMENTOS'!$F$6:$F$2005,MATCH($I51,'LANÇAMENTOS'!$AM$6:$AM$2005,0)))</f>
        <v/>
      </c>
      <c r="E51" s="9">
        <f>IF($I51="","",INDEX('LANÇAMENTOS'!$G$6:$G$2005,MATCH($I51,'LANÇAMENTOS'!$AM$6:$AM$2005,0)))</f>
        <v/>
      </c>
      <c r="F51" s="17">
        <f>IF($I51="","",INDEX('LANÇAMENTOS'!$Y$6:$Y$2005,MATCH($I51,'LANÇAMENTOS'!$AM$6:$AM$2005,0)))</f>
        <v/>
      </c>
      <c r="G51" s="18">
        <f>IF($I51="","",INDEX('LANÇAMENTOS'!$W$6:$W$2005,MATCH($I51,'LANÇAMENTOS'!$AM$6:$AM$2005,0)))</f>
        <v/>
      </c>
      <c r="H51" s="24">
        <f>IF($I51="","",INDEX('LANÇAMENTOS'!$AI$6:$AI$2005,MATCH($I51,'LANÇAMENTOS'!$AM$6:$AM$2005,0)))</f>
        <v/>
      </c>
      <c r="I51" s="17">
        <f>IFERROR(SMALL('LANÇAMENTOS'!$AM$6:$AM$2005,16),"")</f>
        <v/>
      </c>
    </row>
    <row r="52">
      <c r="A52" s="30">
        <f>IF($I52="","",INDEX('LANÇAMENTOS'!$C$6:$C$2005,MATCH($I52,'LANÇAMENTOS'!$AM$6:$AM$2005,0)))</f>
        <v/>
      </c>
      <c r="B52" s="9">
        <f>IF($I52="","",INDEX('LANÇAMENTOS'!$I$6:$I$2005,MATCH($I52,'LANÇAMENTOS'!$AM$6:$AM$2005,0)))</f>
        <v/>
      </c>
      <c r="C52" s="9">
        <f>IF($I52="","",INDEX('LANÇAMENTOS'!$J$6:$J$2005,MATCH($I52,'LANÇAMENTOS'!$AM$6:$AM$2005,0)))</f>
        <v/>
      </c>
      <c r="D52" s="17">
        <f>IF($I52="","",INDEX('LANÇAMENTOS'!$F$6:$F$2005,MATCH($I52,'LANÇAMENTOS'!$AM$6:$AM$2005,0)))</f>
        <v/>
      </c>
      <c r="E52" s="9">
        <f>IF($I52="","",INDEX('LANÇAMENTOS'!$G$6:$G$2005,MATCH($I52,'LANÇAMENTOS'!$AM$6:$AM$2005,0)))</f>
        <v/>
      </c>
      <c r="F52" s="17">
        <f>IF($I52="","",INDEX('LANÇAMENTOS'!$Y$6:$Y$2005,MATCH($I52,'LANÇAMENTOS'!$AM$6:$AM$2005,0)))</f>
        <v/>
      </c>
      <c r="G52" s="18">
        <f>IF($I52="","",INDEX('LANÇAMENTOS'!$W$6:$W$2005,MATCH($I52,'LANÇAMENTOS'!$AM$6:$AM$2005,0)))</f>
        <v/>
      </c>
      <c r="H52" s="24">
        <f>IF($I52="","",INDEX('LANÇAMENTOS'!$AI$6:$AI$2005,MATCH($I52,'LANÇAMENTOS'!$AM$6:$AM$2005,0)))</f>
        <v/>
      </c>
      <c r="I52" s="17">
        <f>IFERROR(SMALL('LANÇAMENTOS'!$AM$6:$AM$2005,17),"")</f>
        <v/>
      </c>
    </row>
    <row r="53">
      <c r="A53" s="30">
        <f>IF($I53="","",INDEX('LANÇAMENTOS'!$C$6:$C$2005,MATCH($I53,'LANÇAMENTOS'!$AM$6:$AM$2005,0)))</f>
        <v/>
      </c>
      <c r="B53" s="9">
        <f>IF($I53="","",INDEX('LANÇAMENTOS'!$I$6:$I$2005,MATCH($I53,'LANÇAMENTOS'!$AM$6:$AM$2005,0)))</f>
        <v/>
      </c>
      <c r="C53" s="9">
        <f>IF($I53="","",INDEX('LANÇAMENTOS'!$J$6:$J$2005,MATCH($I53,'LANÇAMENTOS'!$AM$6:$AM$2005,0)))</f>
        <v/>
      </c>
      <c r="D53" s="17">
        <f>IF($I53="","",INDEX('LANÇAMENTOS'!$F$6:$F$2005,MATCH($I53,'LANÇAMENTOS'!$AM$6:$AM$2005,0)))</f>
        <v/>
      </c>
      <c r="E53" s="9">
        <f>IF($I53="","",INDEX('LANÇAMENTOS'!$G$6:$G$2005,MATCH($I53,'LANÇAMENTOS'!$AM$6:$AM$2005,0)))</f>
        <v/>
      </c>
      <c r="F53" s="17">
        <f>IF($I53="","",INDEX('LANÇAMENTOS'!$Y$6:$Y$2005,MATCH($I53,'LANÇAMENTOS'!$AM$6:$AM$2005,0)))</f>
        <v/>
      </c>
      <c r="G53" s="18">
        <f>IF($I53="","",INDEX('LANÇAMENTOS'!$W$6:$W$2005,MATCH($I53,'LANÇAMENTOS'!$AM$6:$AM$2005,0)))</f>
        <v/>
      </c>
      <c r="H53" s="24">
        <f>IF($I53="","",INDEX('LANÇAMENTOS'!$AI$6:$AI$2005,MATCH($I53,'LANÇAMENTOS'!$AM$6:$AM$2005,0)))</f>
        <v/>
      </c>
      <c r="I53" s="17">
        <f>IFERROR(SMALL('LANÇAMENTOS'!$AM$6:$AM$2005,18),"")</f>
        <v/>
      </c>
    </row>
    <row r="54">
      <c r="A54" s="30">
        <f>IF($I54="","",INDEX('LANÇAMENTOS'!$C$6:$C$2005,MATCH($I54,'LANÇAMENTOS'!$AM$6:$AM$2005,0)))</f>
        <v/>
      </c>
      <c r="B54" s="9">
        <f>IF($I54="","",INDEX('LANÇAMENTOS'!$I$6:$I$2005,MATCH($I54,'LANÇAMENTOS'!$AM$6:$AM$2005,0)))</f>
        <v/>
      </c>
      <c r="C54" s="9">
        <f>IF($I54="","",INDEX('LANÇAMENTOS'!$J$6:$J$2005,MATCH($I54,'LANÇAMENTOS'!$AM$6:$AM$2005,0)))</f>
        <v/>
      </c>
      <c r="D54" s="17">
        <f>IF($I54="","",INDEX('LANÇAMENTOS'!$F$6:$F$2005,MATCH($I54,'LANÇAMENTOS'!$AM$6:$AM$2005,0)))</f>
        <v/>
      </c>
      <c r="E54" s="9">
        <f>IF($I54="","",INDEX('LANÇAMENTOS'!$G$6:$G$2005,MATCH($I54,'LANÇAMENTOS'!$AM$6:$AM$2005,0)))</f>
        <v/>
      </c>
      <c r="F54" s="17">
        <f>IF($I54="","",INDEX('LANÇAMENTOS'!$Y$6:$Y$2005,MATCH($I54,'LANÇAMENTOS'!$AM$6:$AM$2005,0)))</f>
        <v/>
      </c>
      <c r="G54" s="18">
        <f>IF($I54="","",INDEX('LANÇAMENTOS'!$W$6:$W$2005,MATCH($I54,'LANÇAMENTOS'!$AM$6:$AM$2005,0)))</f>
        <v/>
      </c>
      <c r="H54" s="24">
        <f>IF($I54="","",INDEX('LANÇAMENTOS'!$AI$6:$AI$2005,MATCH($I54,'LANÇAMENTOS'!$AM$6:$AM$2005,0)))</f>
        <v/>
      </c>
      <c r="I54" s="17">
        <f>IFERROR(SMALL('LANÇAMENTOS'!$AM$6:$AM$2005,19),"")</f>
        <v/>
      </c>
    </row>
    <row r="55">
      <c r="A55" s="30">
        <f>IF($I55="","",INDEX('LANÇAMENTOS'!$C$6:$C$2005,MATCH($I55,'LANÇAMENTOS'!$AM$6:$AM$2005,0)))</f>
        <v/>
      </c>
      <c r="B55" s="9">
        <f>IF($I55="","",INDEX('LANÇAMENTOS'!$I$6:$I$2005,MATCH($I55,'LANÇAMENTOS'!$AM$6:$AM$2005,0)))</f>
        <v/>
      </c>
      <c r="C55" s="9">
        <f>IF($I55="","",INDEX('LANÇAMENTOS'!$J$6:$J$2005,MATCH($I55,'LANÇAMENTOS'!$AM$6:$AM$2005,0)))</f>
        <v/>
      </c>
      <c r="D55" s="17">
        <f>IF($I55="","",INDEX('LANÇAMENTOS'!$F$6:$F$2005,MATCH($I55,'LANÇAMENTOS'!$AM$6:$AM$2005,0)))</f>
        <v/>
      </c>
      <c r="E55" s="9">
        <f>IF($I55="","",INDEX('LANÇAMENTOS'!$G$6:$G$2005,MATCH($I55,'LANÇAMENTOS'!$AM$6:$AM$2005,0)))</f>
        <v/>
      </c>
      <c r="F55" s="17">
        <f>IF($I55="","",INDEX('LANÇAMENTOS'!$Y$6:$Y$2005,MATCH($I55,'LANÇAMENTOS'!$AM$6:$AM$2005,0)))</f>
        <v/>
      </c>
      <c r="G55" s="18">
        <f>IF($I55="","",INDEX('LANÇAMENTOS'!$W$6:$W$2005,MATCH($I55,'LANÇAMENTOS'!$AM$6:$AM$2005,0)))</f>
        <v/>
      </c>
      <c r="H55" s="24">
        <f>IF($I55="","",INDEX('LANÇAMENTOS'!$AI$6:$AI$2005,MATCH($I55,'LANÇAMENTOS'!$AM$6:$AM$2005,0)))</f>
        <v/>
      </c>
      <c r="I55" s="17">
        <f>IFERROR(SMALL('LANÇAMENTOS'!$AM$6:$AM$2005,20),"")</f>
        <v/>
      </c>
    </row>
    <row r="56">
      <c r="A56" s="37" t="inlineStr">
        <is>
          <t>TOTAL DOS 20 TÍTULOS</t>
        </is>
      </c>
      <c r="G56" s="38">
        <f>SUM($G$36:$G$55)</f>
        <v/>
      </c>
    </row>
    <row r="57">
      <c r="A57" s="3" t="inlineStr">
        <is>
          <t>A coluna 'Situação' é classificada automaticamente pela data de vencimento e a coluna 'Dias p/ vencer' mostra quantos dias faltam (negativo = atrasado).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9" ht="20" customHeight="1">
      <c r="A59" s="4" t="inlineStr">
        <is>
          <t>5. CONTAS A PAGAR POR FORNECEDOR (cadastro da aba CADASTRO DE FORNECEDORES)</t>
        </is>
      </c>
      <c r="B59" s="4" t="n"/>
      <c r="C59" s="4" t="n"/>
      <c r="D59" s="4" t="n"/>
      <c r="E59" s="4" t="n"/>
      <c r="F59" s="4" t="n"/>
      <c r="G59" s="4" t="n"/>
      <c r="H59" s="4" t="n"/>
    </row>
    <row r="60" ht="30" customHeight="1">
      <c r="A60" s="34" t="inlineStr">
        <is>
          <t>Fornecedor</t>
        </is>
      </c>
      <c r="B60" s="34" t="inlineStr">
        <is>
          <t>Em aberto</t>
        </is>
      </c>
      <c r="C60" s="34" t="inlineStr">
        <is>
          <t>Vencido</t>
        </is>
      </c>
      <c r="D60" s="34" t="inlineStr">
        <is>
          <t>A vencer</t>
        </is>
      </c>
      <c r="E60" s="34" t="inlineStr">
        <is>
          <t>Pago no ano</t>
        </is>
      </c>
      <c r="F60" s="34" t="inlineStr">
        <is>
          <t>% do total em aberto</t>
        </is>
      </c>
      <c r="G60" s="34" t="inlineStr">
        <is>
          <t>Qtd. títulos em aberto</t>
        </is>
      </c>
    </row>
    <row r="61">
      <c r="A61" s="9">
        <f>'CADASTRO DE FORNECEDORES'!$B$6</f>
        <v/>
      </c>
      <c r="B61" s="18">
        <f>IF('CADASTRO DE FORNECEDORES'!$B$6="","",SUMIFS('LANÇAMENTOS'!$W$6:$W$2005,'LANÇAMENTOS'!$I$6:$I$2005,'CADASTRO DE FORNECEDORES'!$B$6,'LANÇAMENTOS'!$E$6:$E$2005,"Saída",'LANÇAMENTOS'!$W$6:$W$2005,"&gt;0"))</f>
        <v/>
      </c>
      <c r="C61" s="18">
        <f>IF('CADASTRO DE FORNECEDORES'!$B$6="","",SUMIFS('LANÇAMENTOS'!$W$6:$W$2005,'LANÇAMENTOS'!$I$6:$I$2005,'CADASTRO DE FORNECEDORES'!$B$6,'LANÇAMENTOS'!$E$6:$E$2005,"Saída",'LANÇAMENTOS'!$W$6:$W$2005,"&gt;0",'LANÇAMENTOS'!$C$6:$C$2005,"&lt;"&amp;TODAY()))</f>
        <v/>
      </c>
      <c r="D61" s="18">
        <f>IF('CADASTRO DE FORNECEDORES'!$B$6="","",$B61-$C61)</f>
        <v/>
      </c>
      <c r="E61" s="18">
        <f>IF('CADASTRO DE FORNECEDORES'!$B$6="","",SUMIFS('LANÇAMENTOS'!$V$6:$V$2005,'LANÇAMENTOS'!$I$6:$I$2005,'CADASTRO DE FORNECEDORES'!$B$6,'LANÇAMENTOS'!$E$6:$E$2005,"Saída",'LANÇAMENTOS'!$D$6:$D$2005,"&gt;="&amp;DATE('CONFIGURAÇÕES'!$B$18,1,1),'LANÇAMENTOS'!$D$6:$D$2005,"&lt;="&amp;DATE('CONFIGURAÇÕES'!$B$18,12,31)))</f>
        <v/>
      </c>
      <c r="F61" s="23">
        <f>IFERROR($B61/SUM($B$61:$B$120),"")</f>
        <v/>
      </c>
      <c r="G61" s="24">
        <f>IF('CADASTRO DE FORNECEDORES'!$B$6="","",COUNTIFS('LANÇAMENTOS'!$I$6:$I$2005,'CADASTRO DE FORNECEDORES'!$B$6,'LANÇAMENTOS'!$E$6:$E$2005,"Saída",'LANÇAMENTOS'!$W$6:$W$2005,"&gt;0"))</f>
        <v/>
      </c>
    </row>
    <row r="62">
      <c r="A62" s="9">
        <f>'CADASTRO DE FORNECEDORES'!$B$7</f>
        <v/>
      </c>
      <c r="B62" s="18">
        <f>IF('CADASTRO DE FORNECEDORES'!$B$7="","",SUMIFS('LANÇAMENTOS'!$W$6:$W$2005,'LANÇAMENTOS'!$I$6:$I$2005,'CADASTRO DE FORNECEDORES'!$B$7,'LANÇAMENTOS'!$E$6:$E$2005,"Saída",'LANÇAMENTOS'!$W$6:$W$2005,"&gt;0"))</f>
        <v/>
      </c>
      <c r="C62" s="18">
        <f>IF('CADASTRO DE FORNECEDORES'!$B$7="","",SUMIFS('LANÇAMENTOS'!$W$6:$W$2005,'LANÇAMENTOS'!$I$6:$I$2005,'CADASTRO DE FORNECEDORES'!$B$7,'LANÇAMENTOS'!$E$6:$E$2005,"Saída",'LANÇAMENTOS'!$W$6:$W$2005,"&gt;0",'LANÇAMENTOS'!$C$6:$C$2005,"&lt;"&amp;TODAY()))</f>
        <v/>
      </c>
      <c r="D62" s="18">
        <f>IF('CADASTRO DE FORNECEDORES'!$B$7="","",$B62-$C62)</f>
        <v/>
      </c>
      <c r="E62" s="18">
        <f>IF('CADASTRO DE FORNECEDORES'!$B$7="","",SUMIFS('LANÇAMENTOS'!$V$6:$V$2005,'LANÇAMENTOS'!$I$6:$I$2005,'CADASTRO DE FORNECEDORES'!$B$7,'LANÇAMENTOS'!$E$6:$E$2005,"Saída",'LANÇAMENTOS'!$D$6:$D$2005,"&gt;="&amp;DATE('CONFIGURAÇÕES'!$B$18,1,1),'LANÇAMENTOS'!$D$6:$D$2005,"&lt;="&amp;DATE('CONFIGURAÇÕES'!$B$18,12,31)))</f>
        <v/>
      </c>
      <c r="F62" s="23">
        <f>IFERROR($B62/SUM($B$61:$B$120),"")</f>
        <v/>
      </c>
      <c r="G62" s="24">
        <f>IF('CADASTRO DE FORNECEDORES'!$B$7="","",COUNTIFS('LANÇAMENTOS'!$I$6:$I$2005,'CADASTRO DE FORNECEDORES'!$B$7,'LANÇAMENTOS'!$E$6:$E$2005,"Saída",'LANÇAMENTOS'!$W$6:$W$2005,"&gt;0"))</f>
        <v/>
      </c>
    </row>
    <row r="63">
      <c r="A63" s="9">
        <f>'CADASTRO DE FORNECEDORES'!$B$8</f>
        <v/>
      </c>
      <c r="B63" s="18">
        <f>IF('CADASTRO DE FORNECEDORES'!$B$8="","",SUMIFS('LANÇAMENTOS'!$W$6:$W$2005,'LANÇAMENTOS'!$I$6:$I$2005,'CADASTRO DE FORNECEDORES'!$B$8,'LANÇAMENTOS'!$E$6:$E$2005,"Saída",'LANÇAMENTOS'!$W$6:$W$2005,"&gt;0"))</f>
        <v/>
      </c>
      <c r="C63" s="18">
        <f>IF('CADASTRO DE FORNECEDORES'!$B$8="","",SUMIFS('LANÇAMENTOS'!$W$6:$W$2005,'LANÇAMENTOS'!$I$6:$I$2005,'CADASTRO DE FORNECEDORES'!$B$8,'LANÇAMENTOS'!$E$6:$E$2005,"Saída",'LANÇAMENTOS'!$W$6:$W$2005,"&gt;0",'LANÇAMENTOS'!$C$6:$C$2005,"&lt;"&amp;TODAY()))</f>
        <v/>
      </c>
      <c r="D63" s="18">
        <f>IF('CADASTRO DE FORNECEDORES'!$B$8="","",$B63-$C63)</f>
        <v/>
      </c>
      <c r="E63" s="18">
        <f>IF('CADASTRO DE FORNECEDORES'!$B$8="","",SUMIFS('LANÇAMENTOS'!$V$6:$V$2005,'LANÇAMENTOS'!$I$6:$I$2005,'CADASTRO DE FORNECEDORES'!$B$8,'LANÇAMENTOS'!$E$6:$E$2005,"Saída",'LANÇAMENTOS'!$D$6:$D$2005,"&gt;="&amp;DATE('CONFIGURAÇÕES'!$B$18,1,1),'LANÇAMENTOS'!$D$6:$D$2005,"&lt;="&amp;DATE('CONFIGURAÇÕES'!$B$18,12,31)))</f>
        <v/>
      </c>
      <c r="F63" s="23">
        <f>IFERROR($B63/SUM($B$61:$B$120),"")</f>
        <v/>
      </c>
      <c r="G63" s="24">
        <f>IF('CADASTRO DE FORNECEDORES'!$B$8="","",COUNTIFS('LANÇAMENTOS'!$I$6:$I$2005,'CADASTRO DE FORNECEDORES'!$B$8,'LANÇAMENTOS'!$E$6:$E$2005,"Saída",'LANÇAMENTOS'!$W$6:$W$2005,"&gt;0"))</f>
        <v/>
      </c>
    </row>
    <row r="64">
      <c r="A64" s="9">
        <f>'CADASTRO DE FORNECEDORES'!$B$9</f>
        <v/>
      </c>
      <c r="B64" s="18">
        <f>IF('CADASTRO DE FORNECEDORES'!$B$9="","",SUMIFS('LANÇAMENTOS'!$W$6:$W$2005,'LANÇAMENTOS'!$I$6:$I$2005,'CADASTRO DE FORNECEDORES'!$B$9,'LANÇAMENTOS'!$E$6:$E$2005,"Saída",'LANÇAMENTOS'!$W$6:$W$2005,"&gt;0"))</f>
        <v/>
      </c>
      <c r="C64" s="18">
        <f>IF('CADASTRO DE FORNECEDORES'!$B$9="","",SUMIFS('LANÇAMENTOS'!$W$6:$W$2005,'LANÇAMENTOS'!$I$6:$I$2005,'CADASTRO DE FORNECEDORES'!$B$9,'LANÇAMENTOS'!$E$6:$E$2005,"Saída",'LANÇAMENTOS'!$W$6:$W$2005,"&gt;0",'LANÇAMENTOS'!$C$6:$C$2005,"&lt;"&amp;TODAY()))</f>
        <v/>
      </c>
      <c r="D64" s="18">
        <f>IF('CADASTRO DE FORNECEDORES'!$B$9="","",$B64-$C64)</f>
        <v/>
      </c>
      <c r="E64" s="18">
        <f>IF('CADASTRO DE FORNECEDORES'!$B$9="","",SUMIFS('LANÇAMENTOS'!$V$6:$V$2005,'LANÇAMENTOS'!$I$6:$I$2005,'CADASTRO DE FORNECEDORES'!$B$9,'LANÇAMENTOS'!$E$6:$E$2005,"Saída",'LANÇAMENTOS'!$D$6:$D$2005,"&gt;="&amp;DATE('CONFIGURAÇÕES'!$B$18,1,1),'LANÇAMENTOS'!$D$6:$D$2005,"&lt;="&amp;DATE('CONFIGURAÇÕES'!$B$18,12,31)))</f>
        <v/>
      </c>
      <c r="F64" s="23">
        <f>IFERROR($B64/SUM($B$61:$B$120),"")</f>
        <v/>
      </c>
      <c r="G64" s="24">
        <f>IF('CADASTRO DE FORNECEDORES'!$B$9="","",COUNTIFS('LANÇAMENTOS'!$I$6:$I$2005,'CADASTRO DE FORNECEDORES'!$B$9,'LANÇAMENTOS'!$E$6:$E$2005,"Saída",'LANÇAMENTOS'!$W$6:$W$2005,"&gt;0"))</f>
        <v/>
      </c>
    </row>
    <row r="65">
      <c r="A65" s="9">
        <f>'CADASTRO DE FORNECEDORES'!$B$10</f>
        <v/>
      </c>
      <c r="B65" s="18">
        <f>IF('CADASTRO DE FORNECEDORES'!$B$10="","",SUMIFS('LANÇAMENTOS'!$W$6:$W$2005,'LANÇAMENTOS'!$I$6:$I$2005,'CADASTRO DE FORNECEDORES'!$B$10,'LANÇAMENTOS'!$E$6:$E$2005,"Saída",'LANÇAMENTOS'!$W$6:$W$2005,"&gt;0"))</f>
        <v/>
      </c>
      <c r="C65" s="18">
        <f>IF('CADASTRO DE FORNECEDORES'!$B$10="","",SUMIFS('LANÇAMENTOS'!$W$6:$W$2005,'LANÇAMENTOS'!$I$6:$I$2005,'CADASTRO DE FORNECEDORES'!$B$10,'LANÇAMENTOS'!$E$6:$E$2005,"Saída",'LANÇAMENTOS'!$W$6:$W$2005,"&gt;0",'LANÇAMENTOS'!$C$6:$C$2005,"&lt;"&amp;TODAY()))</f>
        <v/>
      </c>
      <c r="D65" s="18">
        <f>IF('CADASTRO DE FORNECEDORES'!$B$10="","",$B65-$C65)</f>
        <v/>
      </c>
      <c r="E65" s="18">
        <f>IF('CADASTRO DE FORNECEDORES'!$B$10="","",SUMIFS('LANÇAMENTOS'!$V$6:$V$2005,'LANÇAMENTOS'!$I$6:$I$2005,'CADASTRO DE FORNECEDORES'!$B$10,'LANÇAMENTOS'!$E$6:$E$2005,"Saída",'LANÇAMENTOS'!$D$6:$D$2005,"&gt;="&amp;DATE('CONFIGURAÇÕES'!$B$18,1,1),'LANÇAMENTOS'!$D$6:$D$2005,"&lt;="&amp;DATE('CONFIGURAÇÕES'!$B$18,12,31)))</f>
        <v/>
      </c>
      <c r="F65" s="23">
        <f>IFERROR($B65/SUM($B$61:$B$120),"")</f>
        <v/>
      </c>
      <c r="G65" s="24">
        <f>IF('CADASTRO DE FORNECEDORES'!$B$10="","",COUNTIFS('LANÇAMENTOS'!$I$6:$I$2005,'CADASTRO DE FORNECEDORES'!$B$10,'LANÇAMENTOS'!$E$6:$E$2005,"Saída",'LANÇAMENTOS'!$W$6:$W$2005,"&gt;0"))</f>
        <v/>
      </c>
    </row>
    <row r="66">
      <c r="A66" s="9">
        <f>'CADASTRO DE FORNECEDORES'!$B$11</f>
        <v/>
      </c>
      <c r="B66" s="18">
        <f>IF('CADASTRO DE FORNECEDORES'!$B$11="","",SUMIFS('LANÇAMENTOS'!$W$6:$W$2005,'LANÇAMENTOS'!$I$6:$I$2005,'CADASTRO DE FORNECEDORES'!$B$11,'LANÇAMENTOS'!$E$6:$E$2005,"Saída",'LANÇAMENTOS'!$W$6:$W$2005,"&gt;0"))</f>
        <v/>
      </c>
      <c r="C66" s="18">
        <f>IF('CADASTRO DE FORNECEDORES'!$B$11="","",SUMIFS('LANÇAMENTOS'!$W$6:$W$2005,'LANÇAMENTOS'!$I$6:$I$2005,'CADASTRO DE FORNECEDORES'!$B$11,'LANÇAMENTOS'!$E$6:$E$2005,"Saída",'LANÇAMENTOS'!$W$6:$W$2005,"&gt;0",'LANÇAMENTOS'!$C$6:$C$2005,"&lt;"&amp;TODAY()))</f>
        <v/>
      </c>
      <c r="D66" s="18">
        <f>IF('CADASTRO DE FORNECEDORES'!$B$11="","",$B66-$C66)</f>
        <v/>
      </c>
      <c r="E66" s="18">
        <f>IF('CADASTRO DE FORNECEDORES'!$B$11="","",SUMIFS('LANÇAMENTOS'!$V$6:$V$2005,'LANÇAMENTOS'!$I$6:$I$2005,'CADASTRO DE FORNECEDORES'!$B$11,'LANÇAMENTOS'!$E$6:$E$2005,"Saída",'LANÇAMENTOS'!$D$6:$D$2005,"&gt;="&amp;DATE('CONFIGURAÇÕES'!$B$18,1,1),'LANÇAMENTOS'!$D$6:$D$2005,"&lt;="&amp;DATE('CONFIGURAÇÕES'!$B$18,12,31)))</f>
        <v/>
      </c>
      <c r="F66" s="23">
        <f>IFERROR($B66/SUM($B$61:$B$120),"")</f>
        <v/>
      </c>
      <c r="G66" s="24">
        <f>IF('CADASTRO DE FORNECEDORES'!$B$11="","",COUNTIFS('LANÇAMENTOS'!$I$6:$I$2005,'CADASTRO DE FORNECEDORES'!$B$11,'LANÇAMENTOS'!$E$6:$E$2005,"Saída",'LANÇAMENTOS'!$W$6:$W$2005,"&gt;0"))</f>
        <v/>
      </c>
    </row>
    <row r="67">
      <c r="A67" s="9">
        <f>'CADASTRO DE FORNECEDORES'!$B$12</f>
        <v/>
      </c>
      <c r="B67" s="18">
        <f>IF('CADASTRO DE FORNECEDORES'!$B$12="","",SUMIFS('LANÇAMENTOS'!$W$6:$W$2005,'LANÇAMENTOS'!$I$6:$I$2005,'CADASTRO DE FORNECEDORES'!$B$12,'LANÇAMENTOS'!$E$6:$E$2005,"Saída",'LANÇAMENTOS'!$W$6:$W$2005,"&gt;0"))</f>
        <v/>
      </c>
      <c r="C67" s="18">
        <f>IF('CADASTRO DE FORNECEDORES'!$B$12="","",SUMIFS('LANÇAMENTOS'!$W$6:$W$2005,'LANÇAMENTOS'!$I$6:$I$2005,'CADASTRO DE FORNECEDORES'!$B$12,'LANÇAMENTOS'!$E$6:$E$2005,"Saída",'LANÇAMENTOS'!$W$6:$W$2005,"&gt;0",'LANÇAMENTOS'!$C$6:$C$2005,"&lt;"&amp;TODAY()))</f>
        <v/>
      </c>
      <c r="D67" s="18">
        <f>IF('CADASTRO DE FORNECEDORES'!$B$12="","",$B67-$C67)</f>
        <v/>
      </c>
      <c r="E67" s="18">
        <f>IF('CADASTRO DE FORNECEDORES'!$B$12="","",SUMIFS('LANÇAMENTOS'!$V$6:$V$2005,'LANÇAMENTOS'!$I$6:$I$2005,'CADASTRO DE FORNECEDORES'!$B$12,'LANÇAMENTOS'!$E$6:$E$2005,"Saída",'LANÇAMENTOS'!$D$6:$D$2005,"&gt;="&amp;DATE('CONFIGURAÇÕES'!$B$18,1,1),'LANÇAMENTOS'!$D$6:$D$2005,"&lt;="&amp;DATE('CONFIGURAÇÕES'!$B$18,12,31)))</f>
        <v/>
      </c>
      <c r="F67" s="23">
        <f>IFERROR($B67/SUM($B$61:$B$120),"")</f>
        <v/>
      </c>
      <c r="G67" s="24">
        <f>IF('CADASTRO DE FORNECEDORES'!$B$12="","",COUNTIFS('LANÇAMENTOS'!$I$6:$I$2005,'CADASTRO DE FORNECEDORES'!$B$12,'LANÇAMENTOS'!$E$6:$E$2005,"Saída",'LANÇAMENTOS'!$W$6:$W$2005,"&gt;0"))</f>
        <v/>
      </c>
    </row>
    <row r="68">
      <c r="A68" s="9">
        <f>'CADASTRO DE FORNECEDORES'!$B$13</f>
        <v/>
      </c>
      <c r="B68" s="18">
        <f>IF('CADASTRO DE FORNECEDORES'!$B$13="","",SUMIFS('LANÇAMENTOS'!$W$6:$W$2005,'LANÇAMENTOS'!$I$6:$I$2005,'CADASTRO DE FORNECEDORES'!$B$13,'LANÇAMENTOS'!$E$6:$E$2005,"Saída",'LANÇAMENTOS'!$W$6:$W$2005,"&gt;0"))</f>
        <v/>
      </c>
      <c r="C68" s="18">
        <f>IF('CADASTRO DE FORNECEDORES'!$B$13="","",SUMIFS('LANÇAMENTOS'!$W$6:$W$2005,'LANÇAMENTOS'!$I$6:$I$2005,'CADASTRO DE FORNECEDORES'!$B$13,'LANÇAMENTOS'!$E$6:$E$2005,"Saída",'LANÇAMENTOS'!$W$6:$W$2005,"&gt;0",'LANÇAMENTOS'!$C$6:$C$2005,"&lt;"&amp;TODAY()))</f>
        <v/>
      </c>
      <c r="D68" s="18">
        <f>IF('CADASTRO DE FORNECEDORES'!$B$13="","",$B68-$C68)</f>
        <v/>
      </c>
      <c r="E68" s="18">
        <f>IF('CADASTRO DE FORNECEDORES'!$B$13="","",SUMIFS('LANÇAMENTOS'!$V$6:$V$2005,'LANÇAMENTOS'!$I$6:$I$2005,'CADASTRO DE FORNECEDORES'!$B$13,'LANÇAMENTOS'!$E$6:$E$2005,"Saída",'LANÇAMENTOS'!$D$6:$D$2005,"&gt;="&amp;DATE('CONFIGURAÇÕES'!$B$18,1,1),'LANÇAMENTOS'!$D$6:$D$2005,"&lt;="&amp;DATE('CONFIGURAÇÕES'!$B$18,12,31)))</f>
        <v/>
      </c>
      <c r="F68" s="23">
        <f>IFERROR($B68/SUM($B$61:$B$120),"")</f>
        <v/>
      </c>
      <c r="G68" s="24">
        <f>IF('CADASTRO DE FORNECEDORES'!$B$13="","",COUNTIFS('LANÇAMENTOS'!$I$6:$I$2005,'CADASTRO DE FORNECEDORES'!$B$13,'LANÇAMENTOS'!$E$6:$E$2005,"Saída",'LANÇAMENTOS'!$W$6:$W$2005,"&gt;0"))</f>
        <v/>
      </c>
    </row>
    <row r="69">
      <c r="A69" s="9">
        <f>'CADASTRO DE FORNECEDORES'!$B$14</f>
        <v/>
      </c>
      <c r="B69" s="18">
        <f>IF('CADASTRO DE FORNECEDORES'!$B$14="","",SUMIFS('LANÇAMENTOS'!$W$6:$W$2005,'LANÇAMENTOS'!$I$6:$I$2005,'CADASTRO DE FORNECEDORES'!$B$14,'LANÇAMENTOS'!$E$6:$E$2005,"Saída",'LANÇAMENTOS'!$W$6:$W$2005,"&gt;0"))</f>
        <v/>
      </c>
      <c r="C69" s="18">
        <f>IF('CADASTRO DE FORNECEDORES'!$B$14="","",SUMIFS('LANÇAMENTOS'!$W$6:$W$2005,'LANÇAMENTOS'!$I$6:$I$2005,'CADASTRO DE FORNECEDORES'!$B$14,'LANÇAMENTOS'!$E$6:$E$2005,"Saída",'LANÇAMENTOS'!$W$6:$W$2005,"&gt;0",'LANÇAMENTOS'!$C$6:$C$2005,"&lt;"&amp;TODAY()))</f>
        <v/>
      </c>
      <c r="D69" s="18">
        <f>IF('CADASTRO DE FORNECEDORES'!$B$14="","",$B69-$C69)</f>
        <v/>
      </c>
      <c r="E69" s="18">
        <f>IF('CADASTRO DE FORNECEDORES'!$B$14="","",SUMIFS('LANÇAMENTOS'!$V$6:$V$2005,'LANÇAMENTOS'!$I$6:$I$2005,'CADASTRO DE FORNECEDORES'!$B$14,'LANÇAMENTOS'!$E$6:$E$2005,"Saída",'LANÇAMENTOS'!$D$6:$D$2005,"&gt;="&amp;DATE('CONFIGURAÇÕES'!$B$18,1,1),'LANÇAMENTOS'!$D$6:$D$2005,"&lt;="&amp;DATE('CONFIGURAÇÕES'!$B$18,12,31)))</f>
        <v/>
      </c>
      <c r="F69" s="23">
        <f>IFERROR($B69/SUM($B$61:$B$120),"")</f>
        <v/>
      </c>
      <c r="G69" s="24">
        <f>IF('CADASTRO DE FORNECEDORES'!$B$14="","",COUNTIFS('LANÇAMENTOS'!$I$6:$I$2005,'CADASTRO DE FORNECEDORES'!$B$14,'LANÇAMENTOS'!$E$6:$E$2005,"Saída",'LANÇAMENTOS'!$W$6:$W$2005,"&gt;0"))</f>
        <v/>
      </c>
    </row>
    <row r="70">
      <c r="A70" s="9">
        <f>'CADASTRO DE FORNECEDORES'!$B$15</f>
        <v/>
      </c>
      <c r="B70" s="18">
        <f>IF('CADASTRO DE FORNECEDORES'!$B$15="","",SUMIFS('LANÇAMENTOS'!$W$6:$W$2005,'LANÇAMENTOS'!$I$6:$I$2005,'CADASTRO DE FORNECEDORES'!$B$15,'LANÇAMENTOS'!$E$6:$E$2005,"Saída",'LANÇAMENTOS'!$W$6:$W$2005,"&gt;0"))</f>
        <v/>
      </c>
      <c r="C70" s="18">
        <f>IF('CADASTRO DE FORNECEDORES'!$B$15="","",SUMIFS('LANÇAMENTOS'!$W$6:$W$2005,'LANÇAMENTOS'!$I$6:$I$2005,'CADASTRO DE FORNECEDORES'!$B$15,'LANÇAMENTOS'!$E$6:$E$2005,"Saída",'LANÇAMENTOS'!$W$6:$W$2005,"&gt;0",'LANÇAMENTOS'!$C$6:$C$2005,"&lt;"&amp;TODAY()))</f>
        <v/>
      </c>
      <c r="D70" s="18">
        <f>IF('CADASTRO DE FORNECEDORES'!$B$15="","",$B70-$C70)</f>
        <v/>
      </c>
      <c r="E70" s="18">
        <f>IF('CADASTRO DE FORNECEDORES'!$B$15="","",SUMIFS('LANÇAMENTOS'!$V$6:$V$2005,'LANÇAMENTOS'!$I$6:$I$2005,'CADASTRO DE FORNECEDORES'!$B$15,'LANÇAMENTOS'!$E$6:$E$2005,"Saída",'LANÇAMENTOS'!$D$6:$D$2005,"&gt;="&amp;DATE('CONFIGURAÇÕES'!$B$18,1,1),'LANÇAMENTOS'!$D$6:$D$2005,"&lt;="&amp;DATE('CONFIGURAÇÕES'!$B$18,12,31)))</f>
        <v/>
      </c>
      <c r="F70" s="23">
        <f>IFERROR($B70/SUM($B$61:$B$120),"")</f>
        <v/>
      </c>
      <c r="G70" s="24">
        <f>IF('CADASTRO DE FORNECEDORES'!$B$15="","",COUNTIFS('LANÇAMENTOS'!$I$6:$I$2005,'CADASTRO DE FORNECEDORES'!$B$15,'LANÇAMENTOS'!$E$6:$E$2005,"Saída",'LANÇAMENTOS'!$W$6:$W$2005,"&gt;0"))</f>
        <v/>
      </c>
    </row>
    <row r="71">
      <c r="A71" s="9">
        <f>'CADASTRO DE FORNECEDORES'!$B$16</f>
        <v/>
      </c>
      <c r="B71" s="18">
        <f>IF('CADASTRO DE FORNECEDORES'!$B$16="","",SUMIFS('LANÇAMENTOS'!$W$6:$W$2005,'LANÇAMENTOS'!$I$6:$I$2005,'CADASTRO DE FORNECEDORES'!$B$16,'LANÇAMENTOS'!$E$6:$E$2005,"Saída",'LANÇAMENTOS'!$W$6:$W$2005,"&gt;0"))</f>
        <v/>
      </c>
      <c r="C71" s="18">
        <f>IF('CADASTRO DE FORNECEDORES'!$B$16="","",SUMIFS('LANÇAMENTOS'!$W$6:$W$2005,'LANÇAMENTOS'!$I$6:$I$2005,'CADASTRO DE FORNECEDORES'!$B$16,'LANÇAMENTOS'!$E$6:$E$2005,"Saída",'LANÇAMENTOS'!$W$6:$W$2005,"&gt;0",'LANÇAMENTOS'!$C$6:$C$2005,"&lt;"&amp;TODAY()))</f>
        <v/>
      </c>
      <c r="D71" s="18">
        <f>IF('CADASTRO DE FORNECEDORES'!$B$16="","",$B71-$C71)</f>
        <v/>
      </c>
      <c r="E71" s="18">
        <f>IF('CADASTRO DE FORNECEDORES'!$B$16="","",SUMIFS('LANÇAMENTOS'!$V$6:$V$2005,'LANÇAMENTOS'!$I$6:$I$2005,'CADASTRO DE FORNECEDORES'!$B$16,'LANÇAMENTOS'!$E$6:$E$2005,"Saída",'LANÇAMENTOS'!$D$6:$D$2005,"&gt;="&amp;DATE('CONFIGURAÇÕES'!$B$18,1,1),'LANÇAMENTOS'!$D$6:$D$2005,"&lt;="&amp;DATE('CONFIGURAÇÕES'!$B$18,12,31)))</f>
        <v/>
      </c>
      <c r="F71" s="23">
        <f>IFERROR($B71/SUM($B$61:$B$120),"")</f>
        <v/>
      </c>
      <c r="G71" s="24">
        <f>IF('CADASTRO DE FORNECEDORES'!$B$16="","",COUNTIFS('LANÇAMENTOS'!$I$6:$I$2005,'CADASTRO DE FORNECEDORES'!$B$16,'LANÇAMENTOS'!$E$6:$E$2005,"Saída",'LANÇAMENTOS'!$W$6:$W$2005,"&gt;0"))</f>
        <v/>
      </c>
    </row>
    <row r="72">
      <c r="A72" s="9">
        <f>'CADASTRO DE FORNECEDORES'!$B$17</f>
        <v/>
      </c>
      <c r="B72" s="18">
        <f>IF('CADASTRO DE FORNECEDORES'!$B$17="","",SUMIFS('LANÇAMENTOS'!$W$6:$W$2005,'LANÇAMENTOS'!$I$6:$I$2005,'CADASTRO DE FORNECEDORES'!$B$17,'LANÇAMENTOS'!$E$6:$E$2005,"Saída",'LANÇAMENTOS'!$W$6:$W$2005,"&gt;0"))</f>
        <v/>
      </c>
      <c r="C72" s="18">
        <f>IF('CADASTRO DE FORNECEDORES'!$B$17="","",SUMIFS('LANÇAMENTOS'!$W$6:$W$2005,'LANÇAMENTOS'!$I$6:$I$2005,'CADASTRO DE FORNECEDORES'!$B$17,'LANÇAMENTOS'!$E$6:$E$2005,"Saída",'LANÇAMENTOS'!$W$6:$W$2005,"&gt;0",'LANÇAMENTOS'!$C$6:$C$2005,"&lt;"&amp;TODAY()))</f>
        <v/>
      </c>
      <c r="D72" s="18">
        <f>IF('CADASTRO DE FORNECEDORES'!$B$17="","",$B72-$C72)</f>
        <v/>
      </c>
      <c r="E72" s="18">
        <f>IF('CADASTRO DE FORNECEDORES'!$B$17="","",SUMIFS('LANÇAMENTOS'!$V$6:$V$2005,'LANÇAMENTOS'!$I$6:$I$2005,'CADASTRO DE FORNECEDORES'!$B$17,'LANÇAMENTOS'!$E$6:$E$2005,"Saída",'LANÇAMENTOS'!$D$6:$D$2005,"&gt;="&amp;DATE('CONFIGURAÇÕES'!$B$18,1,1),'LANÇAMENTOS'!$D$6:$D$2005,"&lt;="&amp;DATE('CONFIGURAÇÕES'!$B$18,12,31)))</f>
        <v/>
      </c>
      <c r="F72" s="23">
        <f>IFERROR($B72/SUM($B$61:$B$120),"")</f>
        <v/>
      </c>
      <c r="G72" s="24">
        <f>IF('CADASTRO DE FORNECEDORES'!$B$17="","",COUNTIFS('LANÇAMENTOS'!$I$6:$I$2005,'CADASTRO DE FORNECEDORES'!$B$17,'LANÇAMENTOS'!$E$6:$E$2005,"Saída",'LANÇAMENTOS'!$W$6:$W$2005,"&gt;0"))</f>
        <v/>
      </c>
    </row>
    <row r="73">
      <c r="A73" s="9">
        <f>'CADASTRO DE FORNECEDORES'!$B$18</f>
        <v/>
      </c>
      <c r="B73" s="18">
        <f>IF('CADASTRO DE FORNECEDORES'!$B$18="","",SUMIFS('LANÇAMENTOS'!$W$6:$W$2005,'LANÇAMENTOS'!$I$6:$I$2005,'CADASTRO DE FORNECEDORES'!$B$18,'LANÇAMENTOS'!$E$6:$E$2005,"Saída",'LANÇAMENTOS'!$W$6:$W$2005,"&gt;0"))</f>
        <v/>
      </c>
      <c r="C73" s="18">
        <f>IF('CADASTRO DE FORNECEDORES'!$B$18="","",SUMIFS('LANÇAMENTOS'!$W$6:$W$2005,'LANÇAMENTOS'!$I$6:$I$2005,'CADASTRO DE FORNECEDORES'!$B$18,'LANÇAMENTOS'!$E$6:$E$2005,"Saída",'LANÇAMENTOS'!$W$6:$W$2005,"&gt;0",'LANÇAMENTOS'!$C$6:$C$2005,"&lt;"&amp;TODAY()))</f>
        <v/>
      </c>
      <c r="D73" s="18">
        <f>IF('CADASTRO DE FORNECEDORES'!$B$18="","",$B73-$C73)</f>
        <v/>
      </c>
      <c r="E73" s="18">
        <f>IF('CADASTRO DE FORNECEDORES'!$B$18="","",SUMIFS('LANÇAMENTOS'!$V$6:$V$2005,'LANÇAMENTOS'!$I$6:$I$2005,'CADASTRO DE FORNECEDORES'!$B$18,'LANÇAMENTOS'!$E$6:$E$2005,"Saída",'LANÇAMENTOS'!$D$6:$D$2005,"&gt;="&amp;DATE('CONFIGURAÇÕES'!$B$18,1,1),'LANÇAMENTOS'!$D$6:$D$2005,"&lt;="&amp;DATE('CONFIGURAÇÕES'!$B$18,12,31)))</f>
        <v/>
      </c>
      <c r="F73" s="23">
        <f>IFERROR($B73/SUM($B$61:$B$120),"")</f>
        <v/>
      </c>
      <c r="G73" s="24">
        <f>IF('CADASTRO DE FORNECEDORES'!$B$18="","",COUNTIFS('LANÇAMENTOS'!$I$6:$I$2005,'CADASTRO DE FORNECEDORES'!$B$18,'LANÇAMENTOS'!$E$6:$E$2005,"Saída",'LANÇAMENTOS'!$W$6:$W$2005,"&gt;0"))</f>
        <v/>
      </c>
    </row>
    <row r="74">
      <c r="A74" s="9">
        <f>'CADASTRO DE FORNECEDORES'!$B$19</f>
        <v/>
      </c>
      <c r="B74" s="18">
        <f>IF('CADASTRO DE FORNECEDORES'!$B$19="","",SUMIFS('LANÇAMENTOS'!$W$6:$W$2005,'LANÇAMENTOS'!$I$6:$I$2005,'CADASTRO DE FORNECEDORES'!$B$19,'LANÇAMENTOS'!$E$6:$E$2005,"Saída",'LANÇAMENTOS'!$W$6:$W$2005,"&gt;0"))</f>
        <v/>
      </c>
      <c r="C74" s="18">
        <f>IF('CADASTRO DE FORNECEDORES'!$B$19="","",SUMIFS('LANÇAMENTOS'!$W$6:$W$2005,'LANÇAMENTOS'!$I$6:$I$2005,'CADASTRO DE FORNECEDORES'!$B$19,'LANÇAMENTOS'!$E$6:$E$2005,"Saída",'LANÇAMENTOS'!$W$6:$W$2005,"&gt;0",'LANÇAMENTOS'!$C$6:$C$2005,"&lt;"&amp;TODAY()))</f>
        <v/>
      </c>
      <c r="D74" s="18">
        <f>IF('CADASTRO DE FORNECEDORES'!$B$19="","",$B74-$C74)</f>
        <v/>
      </c>
      <c r="E74" s="18">
        <f>IF('CADASTRO DE FORNECEDORES'!$B$19="","",SUMIFS('LANÇAMENTOS'!$V$6:$V$2005,'LANÇAMENTOS'!$I$6:$I$2005,'CADASTRO DE FORNECEDORES'!$B$19,'LANÇAMENTOS'!$E$6:$E$2005,"Saída",'LANÇAMENTOS'!$D$6:$D$2005,"&gt;="&amp;DATE('CONFIGURAÇÕES'!$B$18,1,1),'LANÇAMENTOS'!$D$6:$D$2005,"&lt;="&amp;DATE('CONFIGURAÇÕES'!$B$18,12,31)))</f>
        <v/>
      </c>
      <c r="F74" s="23">
        <f>IFERROR($B74/SUM($B$61:$B$120),"")</f>
        <v/>
      </c>
      <c r="G74" s="24">
        <f>IF('CADASTRO DE FORNECEDORES'!$B$19="","",COUNTIFS('LANÇAMENTOS'!$I$6:$I$2005,'CADASTRO DE FORNECEDORES'!$B$19,'LANÇAMENTOS'!$E$6:$E$2005,"Saída",'LANÇAMENTOS'!$W$6:$W$2005,"&gt;0"))</f>
        <v/>
      </c>
    </row>
    <row r="75">
      <c r="A75" s="9">
        <f>'CADASTRO DE FORNECEDORES'!$B$20</f>
        <v/>
      </c>
      <c r="B75" s="18">
        <f>IF('CADASTRO DE FORNECEDORES'!$B$20="","",SUMIFS('LANÇAMENTOS'!$W$6:$W$2005,'LANÇAMENTOS'!$I$6:$I$2005,'CADASTRO DE FORNECEDORES'!$B$20,'LANÇAMENTOS'!$E$6:$E$2005,"Saída",'LANÇAMENTOS'!$W$6:$W$2005,"&gt;0"))</f>
        <v/>
      </c>
      <c r="C75" s="18">
        <f>IF('CADASTRO DE FORNECEDORES'!$B$20="","",SUMIFS('LANÇAMENTOS'!$W$6:$W$2005,'LANÇAMENTOS'!$I$6:$I$2005,'CADASTRO DE FORNECEDORES'!$B$20,'LANÇAMENTOS'!$E$6:$E$2005,"Saída",'LANÇAMENTOS'!$W$6:$W$2005,"&gt;0",'LANÇAMENTOS'!$C$6:$C$2005,"&lt;"&amp;TODAY()))</f>
        <v/>
      </c>
      <c r="D75" s="18">
        <f>IF('CADASTRO DE FORNECEDORES'!$B$20="","",$B75-$C75)</f>
        <v/>
      </c>
      <c r="E75" s="18">
        <f>IF('CADASTRO DE FORNECEDORES'!$B$20="","",SUMIFS('LANÇAMENTOS'!$V$6:$V$2005,'LANÇAMENTOS'!$I$6:$I$2005,'CADASTRO DE FORNECEDORES'!$B$20,'LANÇAMENTOS'!$E$6:$E$2005,"Saída",'LANÇAMENTOS'!$D$6:$D$2005,"&gt;="&amp;DATE('CONFIGURAÇÕES'!$B$18,1,1),'LANÇAMENTOS'!$D$6:$D$2005,"&lt;="&amp;DATE('CONFIGURAÇÕES'!$B$18,12,31)))</f>
        <v/>
      </c>
      <c r="F75" s="23">
        <f>IFERROR($B75/SUM($B$61:$B$120),"")</f>
        <v/>
      </c>
      <c r="G75" s="24">
        <f>IF('CADASTRO DE FORNECEDORES'!$B$20="","",COUNTIFS('LANÇAMENTOS'!$I$6:$I$2005,'CADASTRO DE FORNECEDORES'!$B$20,'LANÇAMENTOS'!$E$6:$E$2005,"Saída",'LANÇAMENTOS'!$W$6:$W$2005,"&gt;0"))</f>
        <v/>
      </c>
    </row>
    <row r="76">
      <c r="A76" s="9">
        <f>'CADASTRO DE FORNECEDORES'!$B$21</f>
        <v/>
      </c>
      <c r="B76" s="18">
        <f>IF('CADASTRO DE FORNECEDORES'!$B$21="","",SUMIFS('LANÇAMENTOS'!$W$6:$W$2005,'LANÇAMENTOS'!$I$6:$I$2005,'CADASTRO DE FORNECEDORES'!$B$21,'LANÇAMENTOS'!$E$6:$E$2005,"Saída",'LANÇAMENTOS'!$W$6:$W$2005,"&gt;0"))</f>
        <v/>
      </c>
      <c r="C76" s="18">
        <f>IF('CADASTRO DE FORNECEDORES'!$B$21="","",SUMIFS('LANÇAMENTOS'!$W$6:$W$2005,'LANÇAMENTOS'!$I$6:$I$2005,'CADASTRO DE FORNECEDORES'!$B$21,'LANÇAMENTOS'!$E$6:$E$2005,"Saída",'LANÇAMENTOS'!$W$6:$W$2005,"&gt;0",'LANÇAMENTOS'!$C$6:$C$2005,"&lt;"&amp;TODAY()))</f>
        <v/>
      </c>
      <c r="D76" s="18">
        <f>IF('CADASTRO DE FORNECEDORES'!$B$21="","",$B76-$C76)</f>
        <v/>
      </c>
      <c r="E76" s="18">
        <f>IF('CADASTRO DE FORNECEDORES'!$B$21="","",SUMIFS('LANÇAMENTOS'!$V$6:$V$2005,'LANÇAMENTOS'!$I$6:$I$2005,'CADASTRO DE FORNECEDORES'!$B$21,'LANÇAMENTOS'!$E$6:$E$2005,"Saída",'LANÇAMENTOS'!$D$6:$D$2005,"&gt;="&amp;DATE('CONFIGURAÇÕES'!$B$18,1,1),'LANÇAMENTOS'!$D$6:$D$2005,"&lt;="&amp;DATE('CONFIGURAÇÕES'!$B$18,12,31)))</f>
        <v/>
      </c>
      <c r="F76" s="23">
        <f>IFERROR($B76/SUM($B$61:$B$120),"")</f>
        <v/>
      </c>
      <c r="G76" s="24">
        <f>IF('CADASTRO DE FORNECEDORES'!$B$21="","",COUNTIFS('LANÇAMENTOS'!$I$6:$I$2005,'CADASTRO DE FORNECEDORES'!$B$21,'LANÇAMENTOS'!$E$6:$E$2005,"Saída",'LANÇAMENTOS'!$W$6:$W$2005,"&gt;0"))</f>
        <v/>
      </c>
    </row>
    <row r="77">
      <c r="A77" s="9">
        <f>'CADASTRO DE FORNECEDORES'!$B$22</f>
        <v/>
      </c>
      <c r="B77" s="18">
        <f>IF('CADASTRO DE FORNECEDORES'!$B$22="","",SUMIFS('LANÇAMENTOS'!$W$6:$W$2005,'LANÇAMENTOS'!$I$6:$I$2005,'CADASTRO DE FORNECEDORES'!$B$22,'LANÇAMENTOS'!$E$6:$E$2005,"Saída",'LANÇAMENTOS'!$W$6:$W$2005,"&gt;0"))</f>
        <v/>
      </c>
      <c r="C77" s="18">
        <f>IF('CADASTRO DE FORNECEDORES'!$B$22="","",SUMIFS('LANÇAMENTOS'!$W$6:$W$2005,'LANÇAMENTOS'!$I$6:$I$2005,'CADASTRO DE FORNECEDORES'!$B$22,'LANÇAMENTOS'!$E$6:$E$2005,"Saída",'LANÇAMENTOS'!$W$6:$W$2005,"&gt;0",'LANÇAMENTOS'!$C$6:$C$2005,"&lt;"&amp;TODAY()))</f>
        <v/>
      </c>
      <c r="D77" s="18">
        <f>IF('CADASTRO DE FORNECEDORES'!$B$22="","",$B77-$C77)</f>
        <v/>
      </c>
      <c r="E77" s="18">
        <f>IF('CADASTRO DE FORNECEDORES'!$B$22="","",SUMIFS('LANÇAMENTOS'!$V$6:$V$2005,'LANÇAMENTOS'!$I$6:$I$2005,'CADASTRO DE FORNECEDORES'!$B$22,'LANÇAMENTOS'!$E$6:$E$2005,"Saída",'LANÇAMENTOS'!$D$6:$D$2005,"&gt;="&amp;DATE('CONFIGURAÇÕES'!$B$18,1,1),'LANÇAMENTOS'!$D$6:$D$2005,"&lt;="&amp;DATE('CONFIGURAÇÕES'!$B$18,12,31)))</f>
        <v/>
      </c>
      <c r="F77" s="23">
        <f>IFERROR($B77/SUM($B$61:$B$120),"")</f>
        <v/>
      </c>
      <c r="G77" s="24">
        <f>IF('CADASTRO DE FORNECEDORES'!$B$22="","",COUNTIFS('LANÇAMENTOS'!$I$6:$I$2005,'CADASTRO DE FORNECEDORES'!$B$22,'LANÇAMENTOS'!$E$6:$E$2005,"Saída",'LANÇAMENTOS'!$W$6:$W$2005,"&gt;0"))</f>
        <v/>
      </c>
    </row>
    <row r="78">
      <c r="A78" s="9">
        <f>'CADASTRO DE FORNECEDORES'!$B$23</f>
        <v/>
      </c>
      <c r="B78" s="18">
        <f>IF('CADASTRO DE FORNECEDORES'!$B$23="","",SUMIFS('LANÇAMENTOS'!$W$6:$W$2005,'LANÇAMENTOS'!$I$6:$I$2005,'CADASTRO DE FORNECEDORES'!$B$23,'LANÇAMENTOS'!$E$6:$E$2005,"Saída",'LANÇAMENTOS'!$W$6:$W$2005,"&gt;0"))</f>
        <v/>
      </c>
      <c r="C78" s="18">
        <f>IF('CADASTRO DE FORNECEDORES'!$B$23="","",SUMIFS('LANÇAMENTOS'!$W$6:$W$2005,'LANÇAMENTOS'!$I$6:$I$2005,'CADASTRO DE FORNECEDORES'!$B$23,'LANÇAMENTOS'!$E$6:$E$2005,"Saída",'LANÇAMENTOS'!$W$6:$W$2005,"&gt;0",'LANÇAMENTOS'!$C$6:$C$2005,"&lt;"&amp;TODAY()))</f>
        <v/>
      </c>
      <c r="D78" s="18">
        <f>IF('CADASTRO DE FORNECEDORES'!$B$23="","",$B78-$C78)</f>
        <v/>
      </c>
      <c r="E78" s="18">
        <f>IF('CADASTRO DE FORNECEDORES'!$B$23="","",SUMIFS('LANÇAMENTOS'!$V$6:$V$2005,'LANÇAMENTOS'!$I$6:$I$2005,'CADASTRO DE FORNECEDORES'!$B$23,'LANÇAMENTOS'!$E$6:$E$2005,"Saída",'LANÇAMENTOS'!$D$6:$D$2005,"&gt;="&amp;DATE('CONFIGURAÇÕES'!$B$18,1,1),'LANÇAMENTOS'!$D$6:$D$2005,"&lt;="&amp;DATE('CONFIGURAÇÕES'!$B$18,12,31)))</f>
        <v/>
      </c>
      <c r="F78" s="23">
        <f>IFERROR($B78/SUM($B$61:$B$120),"")</f>
        <v/>
      </c>
      <c r="G78" s="24">
        <f>IF('CADASTRO DE FORNECEDORES'!$B$23="","",COUNTIFS('LANÇAMENTOS'!$I$6:$I$2005,'CADASTRO DE FORNECEDORES'!$B$23,'LANÇAMENTOS'!$E$6:$E$2005,"Saída",'LANÇAMENTOS'!$W$6:$W$2005,"&gt;0"))</f>
        <v/>
      </c>
    </row>
    <row r="79">
      <c r="A79" s="9">
        <f>'CADASTRO DE FORNECEDORES'!$B$24</f>
        <v/>
      </c>
      <c r="B79" s="18">
        <f>IF('CADASTRO DE FORNECEDORES'!$B$24="","",SUMIFS('LANÇAMENTOS'!$W$6:$W$2005,'LANÇAMENTOS'!$I$6:$I$2005,'CADASTRO DE FORNECEDORES'!$B$24,'LANÇAMENTOS'!$E$6:$E$2005,"Saída",'LANÇAMENTOS'!$W$6:$W$2005,"&gt;0"))</f>
        <v/>
      </c>
      <c r="C79" s="18">
        <f>IF('CADASTRO DE FORNECEDORES'!$B$24="","",SUMIFS('LANÇAMENTOS'!$W$6:$W$2005,'LANÇAMENTOS'!$I$6:$I$2005,'CADASTRO DE FORNECEDORES'!$B$24,'LANÇAMENTOS'!$E$6:$E$2005,"Saída",'LANÇAMENTOS'!$W$6:$W$2005,"&gt;0",'LANÇAMENTOS'!$C$6:$C$2005,"&lt;"&amp;TODAY()))</f>
        <v/>
      </c>
      <c r="D79" s="18">
        <f>IF('CADASTRO DE FORNECEDORES'!$B$24="","",$B79-$C79)</f>
        <v/>
      </c>
      <c r="E79" s="18">
        <f>IF('CADASTRO DE FORNECEDORES'!$B$24="","",SUMIFS('LANÇAMENTOS'!$V$6:$V$2005,'LANÇAMENTOS'!$I$6:$I$2005,'CADASTRO DE FORNECEDORES'!$B$24,'LANÇAMENTOS'!$E$6:$E$2005,"Saída",'LANÇAMENTOS'!$D$6:$D$2005,"&gt;="&amp;DATE('CONFIGURAÇÕES'!$B$18,1,1),'LANÇAMENTOS'!$D$6:$D$2005,"&lt;="&amp;DATE('CONFIGURAÇÕES'!$B$18,12,31)))</f>
        <v/>
      </c>
      <c r="F79" s="23">
        <f>IFERROR($B79/SUM($B$61:$B$120),"")</f>
        <v/>
      </c>
      <c r="G79" s="24">
        <f>IF('CADASTRO DE FORNECEDORES'!$B$24="","",COUNTIFS('LANÇAMENTOS'!$I$6:$I$2005,'CADASTRO DE FORNECEDORES'!$B$24,'LANÇAMENTOS'!$E$6:$E$2005,"Saída",'LANÇAMENTOS'!$W$6:$W$2005,"&gt;0"))</f>
        <v/>
      </c>
    </row>
    <row r="80">
      <c r="A80" s="9">
        <f>'CADASTRO DE FORNECEDORES'!$B$25</f>
        <v/>
      </c>
      <c r="B80" s="18">
        <f>IF('CADASTRO DE FORNECEDORES'!$B$25="","",SUMIFS('LANÇAMENTOS'!$W$6:$W$2005,'LANÇAMENTOS'!$I$6:$I$2005,'CADASTRO DE FORNECEDORES'!$B$25,'LANÇAMENTOS'!$E$6:$E$2005,"Saída",'LANÇAMENTOS'!$W$6:$W$2005,"&gt;0"))</f>
        <v/>
      </c>
      <c r="C80" s="18">
        <f>IF('CADASTRO DE FORNECEDORES'!$B$25="","",SUMIFS('LANÇAMENTOS'!$W$6:$W$2005,'LANÇAMENTOS'!$I$6:$I$2005,'CADASTRO DE FORNECEDORES'!$B$25,'LANÇAMENTOS'!$E$6:$E$2005,"Saída",'LANÇAMENTOS'!$W$6:$W$2005,"&gt;0",'LANÇAMENTOS'!$C$6:$C$2005,"&lt;"&amp;TODAY()))</f>
        <v/>
      </c>
      <c r="D80" s="18">
        <f>IF('CADASTRO DE FORNECEDORES'!$B$25="","",$B80-$C80)</f>
        <v/>
      </c>
      <c r="E80" s="18">
        <f>IF('CADASTRO DE FORNECEDORES'!$B$25="","",SUMIFS('LANÇAMENTOS'!$V$6:$V$2005,'LANÇAMENTOS'!$I$6:$I$2005,'CADASTRO DE FORNECEDORES'!$B$25,'LANÇAMENTOS'!$E$6:$E$2005,"Saída",'LANÇAMENTOS'!$D$6:$D$2005,"&gt;="&amp;DATE('CONFIGURAÇÕES'!$B$18,1,1),'LANÇAMENTOS'!$D$6:$D$2005,"&lt;="&amp;DATE('CONFIGURAÇÕES'!$B$18,12,31)))</f>
        <v/>
      </c>
      <c r="F80" s="23">
        <f>IFERROR($B80/SUM($B$61:$B$120),"")</f>
        <v/>
      </c>
      <c r="G80" s="24">
        <f>IF('CADASTRO DE FORNECEDORES'!$B$25="","",COUNTIFS('LANÇAMENTOS'!$I$6:$I$2005,'CADASTRO DE FORNECEDORES'!$B$25,'LANÇAMENTOS'!$E$6:$E$2005,"Saída",'LANÇAMENTOS'!$W$6:$W$2005,"&gt;0"))</f>
        <v/>
      </c>
    </row>
    <row r="81">
      <c r="A81" s="9">
        <f>'CADASTRO DE FORNECEDORES'!$B$26</f>
        <v/>
      </c>
      <c r="B81" s="18">
        <f>IF('CADASTRO DE FORNECEDORES'!$B$26="","",SUMIFS('LANÇAMENTOS'!$W$6:$W$2005,'LANÇAMENTOS'!$I$6:$I$2005,'CADASTRO DE FORNECEDORES'!$B$26,'LANÇAMENTOS'!$E$6:$E$2005,"Saída",'LANÇAMENTOS'!$W$6:$W$2005,"&gt;0"))</f>
        <v/>
      </c>
      <c r="C81" s="18">
        <f>IF('CADASTRO DE FORNECEDORES'!$B$26="","",SUMIFS('LANÇAMENTOS'!$W$6:$W$2005,'LANÇAMENTOS'!$I$6:$I$2005,'CADASTRO DE FORNECEDORES'!$B$26,'LANÇAMENTOS'!$E$6:$E$2005,"Saída",'LANÇAMENTOS'!$W$6:$W$2005,"&gt;0",'LANÇAMENTOS'!$C$6:$C$2005,"&lt;"&amp;TODAY()))</f>
        <v/>
      </c>
      <c r="D81" s="18">
        <f>IF('CADASTRO DE FORNECEDORES'!$B$26="","",$B81-$C81)</f>
        <v/>
      </c>
      <c r="E81" s="18">
        <f>IF('CADASTRO DE FORNECEDORES'!$B$26="","",SUMIFS('LANÇAMENTOS'!$V$6:$V$2005,'LANÇAMENTOS'!$I$6:$I$2005,'CADASTRO DE FORNECEDORES'!$B$26,'LANÇAMENTOS'!$E$6:$E$2005,"Saída",'LANÇAMENTOS'!$D$6:$D$2005,"&gt;="&amp;DATE('CONFIGURAÇÕES'!$B$18,1,1),'LANÇAMENTOS'!$D$6:$D$2005,"&lt;="&amp;DATE('CONFIGURAÇÕES'!$B$18,12,31)))</f>
        <v/>
      </c>
      <c r="F81" s="23">
        <f>IFERROR($B81/SUM($B$61:$B$120),"")</f>
        <v/>
      </c>
      <c r="G81" s="24">
        <f>IF('CADASTRO DE FORNECEDORES'!$B$26="","",COUNTIFS('LANÇAMENTOS'!$I$6:$I$2005,'CADASTRO DE FORNECEDORES'!$B$26,'LANÇAMENTOS'!$E$6:$E$2005,"Saída",'LANÇAMENTOS'!$W$6:$W$2005,"&gt;0"))</f>
        <v/>
      </c>
    </row>
    <row r="82">
      <c r="A82" s="9">
        <f>'CADASTRO DE FORNECEDORES'!$B$27</f>
        <v/>
      </c>
      <c r="B82" s="18">
        <f>IF('CADASTRO DE FORNECEDORES'!$B$27="","",SUMIFS('LANÇAMENTOS'!$W$6:$W$2005,'LANÇAMENTOS'!$I$6:$I$2005,'CADASTRO DE FORNECEDORES'!$B$27,'LANÇAMENTOS'!$E$6:$E$2005,"Saída",'LANÇAMENTOS'!$W$6:$W$2005,"&gt;0"))</f>
        <v/>
      </c>
      <c r="C82" s="18">
        <f>IF('CADASTRO DE FORNECEDORES'!$B$27="","",SUMIFS('LANÇAMENTOS'!$W$6:$W$2005,'LANÇAMENTOS'!$I$6:$I$2005,'CADASTRO DE FORNECEDORES'!$B$27,'LANÇAMENTOS'!$E$6:$E$2005,"Saída",'LANÇAMENTOS'!$W$6:$W$2005,"&gt;0",'LANÇAMENTOS'!$C$6:$C$2005,"&lt;"&amp;TODAY()))</f>
        <v/>
      </c>
      <c r="D82" s="18">
        <f>IF('CADASTRO DE FORNECEDORES'!$B$27="","",$B82-$C82)</f>
        <v/>
      </c>
      <c r="E82" s="18">
        <f>IF('CADASTRO DE FORNECEDORES'!$B$27="","",SUMIFS('LANÇAMENTOS'!$V$6:$V$2005,'LANÇAMENTOS'!$I$6:$I$2005,'CADASTRO DE FORNECEDORES'!$B$27,'LANÇAMENTOS'!$E$6:$E$2005,"Saída",'LANÇAMENTOS'!$D$6:$D$2005,"&gt;="&amp;DATE('CONFIGURAÇÕES'!$B$18,1,1),'LANÇAMENTOS'!$D$6:$D$2005,"&lt;="&amp;DATE('CONFIGURAÇÕES'!$B$18,12,31)))</f>
        <v/>
      </c>
      <c r="F82" s="23">
        <f>IFERROR($B82/SUM($B$61:$B$120),"")</f>
        <v/>
      </c>
      <c r="G82" s="24">
        <f>IF('CADASTRO DE FORNECEDORES'!$B$27="","",COUNTIFS('LANÇAMENTOS'!$I$6:$I$2005,'CADASTRO DE FORNECEDORES'!$B$27,'LANÇAMENTOS'!$E$6:$E$2005,"Saída",'LANÇAMENTOS'!$W$6:$W$2005,"&gt;0"))</f>
        <v/>
      </c>
    </row>
    <row r="83">
      <c r="A83" s="9">
        <f>'CADASTRO DE FORNECEDORES'!$B$28</f>
        <v/>
      </c>
      <c r="B83" s="18">
        <f>IF('CADASTRO DE FORNECEDORES'!$B$28="","",SUMIFS('LANÇAMENTOS'!$W$6:$W$2005,'LANÇAMENTOS'!$I$6:$I$2005,'CADASTRO DE FORNECEDORES'!$B$28,'LANÇAMENTOS'!$E$6:$E$2005,"Saída",'LANÇAMENTOS'!$W$6:$W$2005,"&gt;0"))</f>
        <v/>
      </c>
      <c r="C83" s="18">
        <f>IF('CADASTRO DE FORNECEDORES'!$B$28="","",SUMIFS('LANÇAMENTOS'!$W$6:$W$2005,'LANÇAMENTOS'!$I$6:$I$2005,'CADASTRO DE FORNECEDORES'!$B$28,'LANÇAMENTOS'!$E$6:$E$2005,"Saída",'LANÇAMENTOS'!$W$6:$W$2005,"&gt;0",'LANÇAMENTOS'!$C$6:$C$2005,"&lt;"&amp;TODAY()))</f>
        <v/>
      </c>
      <c r="D83" s="18">
        <f>IF('CADASTRO DE FORNECEDORES'!$B$28="","",$B83-$C83)</f>
        <v/>
      </c>
      <c r="E83" s="18">
        <f>IF('CADASTRO DE FORNECEDORES'!$B$28="","",SUMIFS('LANÇAMENTOS'!$V$6:$V$2005,'LANÇAMENTOS'!$I$6:$I$2005,'CADASTRO DE FORNECEDORES'!$B$28,'LANÇAMENTOS'!$E$6:$E$2005,"Saída",'LANÇAMENTOS'!$D$6:$D$2005,"&gt;="&amp;DATE('CONFIGURAÇÕES'!$B$18,1,1),'LANÇAMENTOS'!$D$6:$D$2005,"&lt;="&amp;DATE('CONFIGURAÇÕES'!$B$18,12,31)))</f>
        <v/>
      </c>
      <c r="F83" s="23">
        <f>IFERROR($B83/SUM($B$61:$B$120),"")</f>
        <v/>
      </c>
      <c r="G83" s="24">
        <f>IF('CADASTRO DE FORNECEDORES'!$B$28="","",COUNTIFS('LANÇAMENTOS'!$I$6:$I$2005,'CADASTRO DE FORNECEDORES'!$B$28,'LANÇAMENTOS'!$E$6:$E$2005,"Saída",'LANÇAMENTOS'!$W$6:$W$2005,"&gt;0"))</f>
        <v/>
      </c>
    </row>
    <row r="84">
      <c r="A84" s="9">
        <f>'CADASTRO DE FORNECEDORES'!$B$29</f>
        <v/>
      </c>
      <c r="B84" s="18">
        <f>IF('CADASTRO DE FORNECEDORES'!$B$29="","",SUMIFS('LANÇAMENTOS'!$W$6:$W$2005,'LANÇAMENTOS'!$I$6:$I$2005,'CADASTRO DE FORNECEDORES'!$B$29,'LANÇAMENTOS'!$E$6:$E$2005,"Saída",'LANÇAMENTOS'!$W$6:$W$2005,"&gt;0"))</f>
        <v/>
      </c>
      <c r="C84" s="18">
        <f>IF('CADASTRO DE FORNECEDORES'!$B$29="","",SUMIFS('LANÇAMENTOS'!$W$6:$W$2005,'LANÇAMENTOS'!$I$6:$I$2005,'CADASTRO DE FORNECEDORES'!$B$29,'LANÇAMENTOS'!$E$6:$E$2005,"Saída",'LANÇAMENTOS'!$W$6:$W$2005,"&gt;0",'LANÇAMENTOS'!$C$6:$C$2005,"&lt;"&amp;TODAY()))</f>
        <v/>
      </c>
      <c r="D84" s="18">
        <f>IF('CADASTRO DE FORNECEDORES'!$B$29="","",$B84-$C84)</f>
        <v/>
      </c>
      <c r="E84" s="18">
        <f>IF('CADASTRO DE FORNECEDORES'!$B$29="","",SUMIFS('LANÇAMENTOS'!$V$6:$V$2005,'LANÇAMENTOS'!$I$6:$I$2005,'CADASTRO DE FORNECEDORES'!$B$29,'LANÇAMENTOS'!$E$6:$E$2005,"Saída",'LANÇAMENTOS'!$D$6:$D$2005,"&gt;="&amp;DATE('CONFIGURAÇÕES'!$B$18,1,1),'LANÇAMENTOS'!$D$6:$D$2005,"&lt;="&amp;DATE('CONFIGURAÇÕES'!$B$18,12,31)))</f>
        <v/>
      </c>
      <c r="F84" s="23">
        <f>IFERROR($B84/SUM($B$61:$B$120),"")</f>
        <v/>
      </c>
      <c r="G84" s="24">
        <f>IF('CADASTRO DE FORNECEDORES'!$B$29="","",COUNTIFS('LANÇAMENTOS'!$I$6:$I$2005,'CADASTRO DE FORNECEDORES'!$B$29,'LANÇAMENTOS'!$E$6:$E$2005,"Saída",'LANÇAMENTOS'!$W$6:$W$2005,"&gt;0"))</f>
        <v/>
      </c>
    </row>
    <row r="85">
      <c r="A85" s="9">
        <f>'CADASTRO DE FORNECEDORES'!$B$30</f>
        <v/>
      </c>
      <c r="B85" s="18">
        <f>IF('CADASTRO DE FORNECEDORES'!$B$30="","",SUMIFS('LANÇAMENTOS'!$W$6:$W$2005,'LANÇAMENTOS'!$I$6:$I$2005,'CADASTRO DE FORNECEDORES'!$B$30,'LANÇAMENTOS'!$E$6:$E$2005,"Saída",'LANÇAMENTOS'!$W$6:$W$2005,"&gt;0"))</f>
        <v/>
      </c>
      <c r="C85" s="18">
        <f>IF('CADASTRO DE FORNECEDORES'!$B$30="","",SUMIFS('LANÇAMENTOS'!$W$6:$W$2005,'LANÇAMENTOS'!$I$6:$I$2005,'CADASTRO DE FORNECEDORES'!$B$30,'LANÇAMENTOS'!$E$6:$E$2005,"Saída",'LANÇAMENTOS'!$W$6:$W$2005,"&gt;0",'LANÇAMENTOS'!$C$6:$C$2005,"&lt;"&amp;TODAY()))</f>
        <v/>
      </c>
      <c r="D85" s="18">
        <f>IF('CADASTRO DE FORNECEDORES'!$B$30="","",$B85-$C85)</f>
        <v/>
      </c>
      <c r="E85" s="18">
        <f>IF('CADASTRO DE FORNECEDORES'!$B$30="","",SUMIFS('LANÇAMENTOS'!$V$6:$V$2005,'LANÇAMENTOS'!$I$6:$I$2005,'CADASTRO DE FORNECEDORES'!$B$30,'LANÇAMENTOS'!$E$6:$E$2005,"Saída",'LANÇAMENTOS'!$D$6:$D$2005,"&gt;="&amp;DATE('CONFIGURAÇÕES'!$B$18,1,1),'LANÇAMENTOS'!$D$6:$D$2005,"&lt;="&amp;DATE('CONFIGURAÇÕES'!$B$18,12,31)))</f>
        <v/>
      </c>
      <c r="F85" s="23">
        <f>IFERROR($B85/SUM($B$61:$B$120),"")</f>
        <v/>
      </c>
      <c r="G85" s="24">
        <f>IF('CADASTRO DE FORNECEDORES'!$B$30="","",COUNTIFS('LANÇAMENTOS'!$I$6:$I$2005,'CADASTRO DE FORNECEDORES'!$B$30,'LANÇAMENTOS'!$E$6:$E$2005,"Saída",'LANÇAMENTOS'!$W$6:$W$2005,"&gt;0"))</f>
        <v/>
      </c>
    </row>
    <row r="86">
      <c r="A86" s="9">
        <f>'CADASTRO DE FORNECEDORES'!$B$31</f>
        <v/>
      </c>
      <c r="B86" s="18">
        <f>IF('CADASTRO DE FORNECEDORES'!$B$31="","",SUMIFS('LANÇAMENTOS'!$W$6:$W$2005,'LANÇAMENTOS'!$I$6:$I$2005,'CADASTRO DE FORNECEDORES'!$B$31,'LANÇAMENTOS'!$E$6:$E$2005,"Saída",'LANÇAMENTOS'!$W$6:$W$2005,"&gt;0"))</f>
        <v/>
      </c>
      <c r="C86" s="18">
        <f>IF('CADASTRO DE FORNECEDORES'!$B$31="","",SUMIFS('LANÇAMENTOS'!$W$6:$W$2005,'LANÇAMENTOS'!$I$6:$I$2005,'CADASTRO DE FORNECEDORES'!$B$31,'LANÇAMENTOS'!$E$6:$E$2005,"Saída",'LANÇAMENTOS'!$W$6:$W$2005,"&gt;0",'LANÇAMENTOS'!$C$6:$C$2005,"&lt;"&amp;TODAY()))</f>
        <v/>
      </c>
      <c r="D86" s="18">
        <f>IF('CADASTRO DE FORNECEDORES'!$B$31="","",$B86-$C86)</f>
        <v/>
      </c>
      <c r="E86" s="18">
        <f>IF('CADASTRO DE FORNECEDORES'!$B$31="","",SUMIFS('LANÇAMENTOS'!$V$6:$V$2005,'LANÇAMENTOS'!$I$6:$I$2005,'CADASTRO DE FORNECEDORES'!$B$31,'LANÇAMENTOS'!$E$6:$E$2005,"Saída",'LANÇAMENTOS'!$D$6:$D$2005,"&gt;="&amp;DATE('CONFIGURAÇÕES'!$B$18,1,1),'LANÇAMENTOS'!$D$6:$D$2005,"&lt;="&amp;DATE('CONFIGURAÇÕES'!$B$18,12,31)))</f>
        <v/>
      </c>
      <c r="F86" s="23">
        <f>IFERROR($B86/SUM($B$61:$B$120),"")</f>
        <v/>
      </c>
      <c r="G86" s="24">
        <f>IF('CADASTRO DE FORNECEDORES'!$B$31="","",COUNTIFS('LANÇAMENTOS'!$I$6:$I$2005,'CADASTRO DE FORNECEDORES'!$B$31,'LANÇAMENTOS'!$E$6:$E$2005,"Saída",'LANÇAMENTOS'!$W$6:$W$2005,"&gt;0"))</f>
        <v/>
      </c>
    </row>
    <row r="87">
      <c r="A87" s="9">
        <f>'CADASTRO DE FORNECEDORES'!$B$32</f>
        <v/>
      </c>
      <c r="B87" s="18">
        <f>IF('CADASTRO DE FORNECEDORES'!$B$32="","",SUMIFS('LANÇAMENTOS'!$W$6:$W$2005,'LANÇAMENTOS'!$I$6:$I$2005,'CADASTRO DE FORNECEDORES'!$B$32,'LANÇAMENTOS'!$E$6:$E$2005,"Saída",'LANÇAMENTOS'!$W$6:$W$2005,"&gt;0"))</f>
        <v/>
      </c>
      <c r="C87" s="18">
        <f>IF('CADASTRO DE FORNECEDORES'!$B$32="","",SUMIFS('LANÇAMENTOS'!$W$6:$W$2005,'LANÇAMENTOS'!$I$6:$I$2005,'CADASTRO DE FORNECEDORES'!$B$32,'LANÇAMENTOS'!$E$6:$E$2005,"Saída",'LANÇAMENTOS'!$W$6:$W$2005,"&gt;0",'LANÇAMENTOS'!$C$6:$C$2005,"&lt;"&amp;TODAY()))</f>
        <v/>
      </c>
      <c r="D87" s="18">
        <f>IF('CADASTRO DE FORNECEDORES'!$B$32="","",$B87-$C87)</f>
        <v/>
      </c>
      <c r="E87" s="18">
        <f>IF('CADASTRO DE FORNECEDORES'!$B$32="","",SUMIFS('LANÇAMENTOS'!$V$6:$V$2005,'LANÇAMENTOS'!$I$6:$I$2005,'CADASTRO DE FORNECEDORES'!$B$32,'LANÇAMENTOS'!$E$6:$E$2005,"Saída",'LANÇAMENTOS'!$D$6:$D$2005,"&gt;="&amp;DATE('CONFIGURAÇÕES'!$B$18,1,1),'LANÇAMENTOS'!$D$6:$D$2005,"&lt;="&amp;DATE('CONFIGURAÇÕES'!$B$18,12,31)))</f>
        <v/>
      </c>
      <c r="F87" s="23">
        <f>IFERROR($B87/SUM($B$61:$B$120),"")</f>
        <v/>
      </c>
      <c r="G87" s="24">
        <f>IF('CADASTRO DE FORNECEDORES'!$B$32="","",COUNTIFS('LANÇAMENTOS'!$I$6:$I$2005,'CADASTRO DE FORNECEDORES'!$B$32,'LANÇAMENTOS'!$E$6:$E$2005,"Saída",'LANÇAMENTOS'!$W$6:$W$2005,"&gt;0"))</f>
        <v/>
      </c>
    </row>
    <row r="88">
      <c r="A88" s="9">
        <f>'CADASTRO DE FORNECEDORES'!$B$33</f>
        <v/>
      </c>
      <c r="B88" s="18">
        <f>IF('CADASTRO DE FORNECEDORES'!$B$33="","",SUMIFS('LANÇAMENTOS'!$W$6:$W$2005,'LANÇAMENTOS'!$I$6:$I$2005,'CADASTRO DE FORNECEDORES'!$B$33,'LANÇAMENTOS'!$E$6:$E$2005,"Saída",'LANÇAMENTOS'!$W$6:$W$2005,"&gt;0"))</f>
        <v/>
      </c>
      <c r="C88" s="18">
        <f>IF('CADASTRO DE FORNECEDORES'!$B$33="","",SUMIFS('LANÇAMENTOS'!$W$6:$W$2005,'LANÇAMENTOS'!$I$6:$I$2005,'CADASTRO DE FORNECEDORES'!$B$33,'LANÇAMENTOS'!$E$6:$E$2005,"Saída",'LANÇAMENTOS'!$W$6:$W$2005,"&gt;0",'LANÇAMENTOS'!$C$6:$C$2005,"&lt;"&amp;TODAY()))</f>
        <v/>
      </c>
      <c r="D88" s="18">
        <f>IF('CADASTRO DE FORNECEDORES'!$B$33="","",$B88-$C88)</f>
        <v/>
      </c>
      <c r="E88" s="18">
        <f>IF('CADASTRO DE FORNECEDORES'!$B$33="","",SUMIFS('LANÇAMENTOS'!$V$6:$V$2005,'LANÇAMENTOS'!$I$6:$I$2005,'CADASTRO DE FORNECEDORES'!$B$33,'LANÇAMENTOS'!$E$6:$E$2005,"Saída",'LANÇAMENTOS'!$D$6:$D$2005,"&gt;="&amp;DATE('CONFIGURAÇÕES'!$B$18,1,1),'LANÇAMENTOS'!$D$6:$D$2005,"&lt;="&amp;DATE('CONFIGURAÇÕES'!$B$18,12,31)))</f>
        <v/>
      </c>
      <c r="F88" s="23">
        <f>IFERROR($B88/SUM($B$61:$B$120),"")</f>
        <v/>
      </c>
      <c r="G88" s="24">
        <f>IF('CADASTRO DE FORNECEDORES'!$B$33="","",COUNTIFS('LANÇAMENTOS'!$I$6:$I$2005,'CADASTRO DE FORNECEDORES'!$B$33,'LANÇAMENTOS'!$E$6:$E$2005,"Saída",'LANÇAMENTOS'!$W$6:$W$2005,"&gt;0"))</f>
        <v/>
      </c>
    </row>
    <row r="89">
      <c r="A89" s="9">
        <f>'CADASTRO DE FORNECEDORES'!$B$34</f>
        <v/>
      </c>
      <c r="B89" s="18">
        <f>IF('CADASTRO DE FORNECEDORES'!$B$34="","",SUMIFS('LANÇAMENTOS'!$W$6:$W$2005,'LANÇAMENTOS'!$I$6:$I$2005,'CADASTRO DE FORNECEDORES'!$B$34,'LANÇAMENTOS'!$E$6:$E$2005,"Saída",'LANÇAMENTOS'!$W$6:$W$2005,"&gt;0"))</f>
        <v/>
      </c>
      <c r="C89" s="18">
        <f>IF('CADASTRO DE FORNECEDORES'!$B$34="","",SUMIFS('LANÇAMENTOS'!$W$6:$W$2005,'LANÇAMENTOS'!$I$6:$I$2005,'CADASTRO DE FORNECEDORES'!$B$34,'LANÇAMENTOS'!$E$6:$E$2005,"Saída",'LANÇAMENTOS'!$W$6:$W$2005,"&gt;0",'LANÇAMENTOS'!$C$6:$C$2005,"&lt;"&amp;TODAY()))</f>
        <v/>
      </c>
      <c r="D89" s="18">
        <f>IF('CADASTRO DE FORNECEDORES'!$B$34="","",$B89-$C89)</f>
        <v/>
      </c>
      <c r="E89" s="18">
        <f>IF('CADASTRO DE FORNECEDORES'!$B$34="","",SUMIFS('LANÇAMENTOS'!$V$6:$V$2005,'LANÇAMENTOS'!$I$6:$I$2005,'CADASTRO DE FORNECEDORES'!$B$34,'LANÇAMENTOS'!$E$6:$E$2005,"Saída",'LANÇAMENTOS'!$D$6:$D$2005,"&gt;="&amp;DATE('CONFIGURAÇÕES'!$B$18,1,1),'LANÇAMENTOS'!$D$6:$D$2005,"&lt;="&amp;DATE('CONFIGURAÇÕES'!$B$18,12,31)))</f>
        <v/>
      </c>
      <c r="F89" s="23">
        <f>IFERROR($B89/SUM($B$61:$B$120),"")</f>
        <v/>
      </c>
      <c r="G89" s="24">
        <f>IF('CADASTRO DE FORNECEDORES'!$B$34="","",COUNTIFS('LANÇAMENTOS'!$I$6:$I$2005,'CADASTRO DE FORNECEDORES'!$B$34,'LANÇAMENTOS'!$E$6:$E$2005,"Saída",'LANÇAMENTOS'!$W$6:$W$2005,"&gt;0"))</f>
        <v/>
      </c>
    </row>
    <row r="90">
      <c r="A90" s="9">
        <f>'CADASTRO DE FORNECEDORES'!$B$35</f>
        <v/>
      </c>
      <c r="B90" s="18">
        <f>IF('CADASTRO DE FORNECEDORES'!$B$35="","",SUMIFS('LANÇAMENTOS'!$W$6:$W$2005,'LANÇAMENTOS'!$I$6:$I$2005,'CADASTRO DE FORNECEDORES'!$B$35,'LANÇAMENTOS'!$E$6:$E$2005,"Saída",'LANÇAMENTOS'!$W$6:$W$2005,"&gt;0"))</f>
        <v/>
      </c>
      <c r="C90" s="18">
        <f>IF('CADASTRO DE FORNECEDORES'!$B$35="","",SUMIFS('LANÇAMENTOS'!$W$6:$W$2005,'LANÇAMENTOS'!$I$6:$I$2005,'CADASTRO DE FORNECEDORES'!$B$35,'LANÇAMENTOS'!$E$6:$E$2005,"Saída",'LANÇAMENTOS'!$W$6:$W$2005,"&gt;0",'LANÇAMENTOS'!$C$6:$C$2005,"&lt;"&amp;TODAY()))</f>
        <v/>
      </c>
      <c r="D90" s="18">
        <f>IF('CADASTRO DE FORNECEDORES'!$B$35="","",$B90-$C90)</f>
        <v/>
      </c>
      <c r="E90" s="18">
        <f>IF('CADASTRO DE FORNECEDORES'!$B$35="","",SUMIFS('LANÇAMENTOS'!$V$6:$V$2005,'LANÇAMENTOS'!$I$6:$I$2005,'CADASTRO DE FORNECEDORES'!$B$35,'LANÇAMENTOS'!$E$6:$E$2005,"Saída",'LANÇAMENTOS'!$D$6:$D$2005,"&gt;="&amp;DATE('CONFIGURAÇÕES'!$B$18,1,1),'LANÇAMENTOS'!$D$6:$D$2005,"&lt;="&amp;DATE('CONFIGURAÇÕES'!$B$18,12,31)))</f>
        <v/>
      </c>
      <c r="F90" s="23">
        <f>IFERROR($B90/SUM($B$61:$B$120),"")</f>
        <v/>
      </c>
      <c r="G90" s="24">
        <f>IF('CADASTRO DE FORNECEDORES'!$B$35="","",COUNTIFS('LANÇAMENTOS'!$I$6:$I$2005,'CADASTRO DE FORNECEDORES'!$B$35,'LANÇAMENTOS'!$E$6:$E$2005,"Saída",'LANÇAMENTOS'!$W$6:$W$2005,"&gt;0"))</f>
        <v/>
      </c>
    </row>
    <row r="91">
      <c r="A91" s="9">
        <f>'CADASTRO DE FORNECEDORES'!$B$36</f>
        <v/>
      </c>
      <c r="B91" s="18">
        <f>IF('CADASTRO DE FORNECEDORES'!$B$36="","",SUMIFS('LANÇAMENTOS'!$W$6:$W$2005,'LANÇAMENTOS'!$I$6:$I$2005,'CADASTRO DE FORNECEDORES'!$B$36,'LANÇAMENTOS'!$E$6:$E$2005,"Saída",'LANÇAMENTOS'!$W$6:$W$2005,"&gt;0"))</f>
        <v/>
      </c>
      <c r="C91" s="18">
        <f>IF('CADASTRO DE FORNECEDORES'!$B$36="","",SUMIFS('LANÇAMENTOS'!$W$6:$W$2005,'LANÇAMENTOS'!$I$6:$I$2005,'CADASTRO DE FORNECEDORES'!$B$36,'LANÇAMENTOS'!$E$6:$E$2005,"Saída",'LANÇAMENTOS'!$W$6:$W$2005,"&gt;0",'LANÇAMENTOS'!$C$6:$C$2005,"&lt;"&amp;TODAY()))</f>
        <v/>
      </c>
      <c r="D91" s="18">
        <f>IF('CADASTRO DE FORNECEDORES'!$B$36="","",$B91-$C91)</f>
        <v/>
      </c>
      <c r="E91" s="18">
        <f>IF('CADASTRO DE FORNECEDORES'!$B$36="","",SUMIFS('LANÇAMENTOS'!$V$6:$V$2005,'LANÇAMENTOS'!$I$6:$I$2005,'CADASTRO DE FORNECEDORES'!$B$36,'LANÇAMENTOS'!$E$6:$E$2005,"Saída",'LANÇAMENTOS'!$D$6:$D$2005,"&gt;="&amp;DATE('CONFIGURAÇÕES'!$B$18,1,1),'LANÇAMENTOS'!$D$6:$D$2005,"&lt;="&amp;DATE('CONFIGURAÇÕES'!$B$18,12,31)))</f>
        <v/>
      </c>
      <c r="F91" s="23">
        <f>IFERROR($B91/SUM($B$61:$B$120),"")</f>
        <v/>
      </c>
      <c r="G91" s="24">
        <f>IF('CADASTRO DE FORNECEDORES'!$B$36="","",COUNTIFS('LANÇAMENTOS'!$I$6:$I$2005,'CADASTRO DE FORNECEDORES'!$B$36,'LANÇAMENTOS'!$E$6:$E$2005,"Saída",'LANÇAMENTOS'!$W$6:$W$2005,"&gt;0"))</f>
        <v/>
      </c>
    </row>
    <row r="92">
      <c r="A92" s="9">
        <f>'CADASTRO DE FORNECEDORES'!$B$37</f>
        <v/>
      </c>
      <c r="B92" s="18">
        <f>IF('CADASTRO DE FORNECEDORES'!$B$37="","",SUMIFS('LANÇAMENTOS'!$W$6:$W$2005,'LANÇAMENTOS'!$I$6:$I$2005,'CADASTRO DE FORNECEDORES'!$B$37,'LANÇAMENTOS'!$E$6:$E$2005,"Saída",'LANÇAMENTOS'!$W$6:$W$2005,"&gt;0"))</f>
        <v/>
      </c>
      <c r="C92" s="18">
        <f>IF('CADASTRO DE FORNECEDORES'!$B$37="","",SUMIFS('LANÇAMENTOS'!$W$6:$W$2005,'LANÇAMENTOS'!$I$6:$I$2005,'CADASTRO DE FORNECEDORES'!$B$37,'LANÇAMENTOS'!$E$6:$E$2005,"Saída",'LANÇAMENTOS'!$W$6:$W$2005,"&gt;0",'LANÇAMENTOS'!$C$6:$C$2005,"&lt;"&amp;TODAY()))</f>
        <v/>
      </c>
      <c r="D92" s="18">
        <f>IF('CADASTRO DE FORNECEDORES'!$B$37="","",$B92-$C92)</f>
        <v/>
      </c>
      <c r="E92" s="18">
        <f>IF('CADASTRO DE FORNECEDORES'!$B$37="","",SUMIFS('LANÇAMENTOS'!$V$6:$V$2005,'LANÇAMENTOS'!$I$6:$I$2005,'CADASTRO DE FORNECEDORES'!$B$37,'LANÇAMENTOS'!$E$6:$E$2005,"Saída",'LANÇAMENTOS'!$D$6:$D$2005,"&gt;="&amp;DATE('CONFIGURAÇÕES'!$B$18,1,1),'LANÇAMENTOS'!$D$6:$D$2005,"&lt;="&amp;DATE('CONFIGURAÇÕES'!$B$18,12,31)))</f>
        <v/>
      </c>
      <c r="F92" s="23">
        <f>IFERROR($B92/SUM($B$61:$B$120),"")</f>
        <v/>
      </c>
      <c r="G92" s="24">
        <f>IF('CADASTRO DE FORNECEDORES'!$B$37="","",COUNTIFS('LANÇAMENTOS'!$I$6:$I$2005,'CADASTRO DE FORNECEDORES'!$B$37,'LANÇAMENTOS'!$E$6:$E$2005,"Saída",'LANÇAMENTOS'!$W$6:$W$2005,"&gt;0"))</f>
        <v/>
      </c>
    </row>
    <row r="93">
      <c r="A93" s="9">
        <f>'CADASTRO DE FORNECEDORES'!$B$38</f>
        <v/>
      </c>
      <c r="B93" s="18">
        <f>IF('CADASTRO DE FORNECEDORES'!$B$38="","",SUMIFS('LANÇAMENTOS'!$W$6:$W$2005,'LANÇAMENTOS'!$I$6:$I$2005,'CADASTRO DE FORNECEDORES'!$B$38,'LANÇAMENTOS'!$E$6:$E$2005,"Saída",'LANÇAMENTOS'!$W$6:$W$2005,"&gt;0"))</f>
        <v/>
      </c>
      <c r="C93" s="18">
        <f>IF('CADASTRO DE FORNECEDORES'!$B$38="","",SUMIFS('LANÇAMENTOS'!$W$6:$W$2005,'LANÇAMENTOS'!$I$6:$I$2005,'CADASTRO DE FORNECEDORES'!$B$38,'LANÇAMENTOS'!$E$6:$E$2005,"Saída",'LANÇAMENTOS'!$W$6:$W$2005,"&gt;0",'LANÇAMENTOS'!$C$6:$C$2005,"&lt;"&amp;TODAY()))</f>
        <v/>
      </c>
      <c r="D93" s="18">
        <f>IF('CADASTRO DE FORNECEDORES'!$B$38="","",$B93-$C93)</f>
        <v/>
      </c>
      <c r="E93" s="18">
        <f>IF('CADASTRO DE FORNECEDORES'!$B$38="","",SUMIFS('LANÇAMENTOS'!$V$6:$V$2005,'LANÇAMENTOS'!$I$6:$I$2005,'CADASTRO DE FORNECEDORES'!$B$38,'LANÇAMENTOS'!$E$6:$E$2005,"Saída",'LANÇAMENTOS'!$D$6:$D$2005,"&gt;="&amp;DATE('CONFIGURAÇÕES'!$B$18,1,1),'LANÇAMENTOS'!$D$6:$D$2005,"&lt;="&amp;DATE('CONFIGURAÇÕES'!$B$18,12,31)))</f>
        <v/>
      </c>
      <c r="F93" s="23">
        <f>IFERROR($B93/SUM($B$61:$B$120),"")</f>
        <v/>
      </c>
      <c r="G93" s="24">
        <f>IF('CADASTRO DE FORNECEDORES'!$B$38="","",COUNTIFS('LANÇAMENTOS'!$I$6:$I$2005,'CADASTRO DE FORNECEDORES'!$B$38,'LANÇAMENTOS'!$E$6:$E$2005,"Saída",'LANÇAMENTOS'!$W$6:$W$2005,"&gt;0"))</f>
        <v/>
      </c>
    </row>
    <row r="94">
      <c r="A94" s="9">
        <f>'CADASTRO DE FORNECEDORES'!$B$39</f>
        <v/>
      </c>
      <c r="B94" s="18">
        <f>IF('CADASTRO DE FORNECEDORES'!$B$39="","",SUMIFS('LANÇAMENTOS'!$W$6:$W$2005,'LANÇAMENTOS'!$I$6:$I$2005,'CADASTRO DE FORNECEDORES'!$B$39,'LANÇAMENTOS'!$E$6:$E$2005,"Saída",'LANÇAMENTOS'!$W$6:$W$2005,"&gt;0"))</f>
        <v/>
      </c>
      <c r="C94" s="18">
        <f>IF('CADASTRO DE FORNECEDORES'!$B$39="","",SUMIFS('LANÇAMENTOS'!$W$6:$W$2005,'LANÇAMENTOS'!$I$6:$I$2005,'CADASTRO DE FORNECEDORES'!$B$39,'LANÇAMENTOS'!$E$6:$E$2005,"Saída",'LANÇAMENTOS'!$W$6:$W$2005,"&gt;0",'LANÇAMENTOS'!$C$6:$C$2005,"&lt;"&amp;TODAY()))</f>
        <v/>
      </c>
      <c r="D94" s="18">
        <f>IF('CADASTRO DE FORNECEDORES'!$B$39="","",$B94-$C94)</f>
        <v/>
      </c>
      <c r="E94" s="18">
        <f>IF('CADASTRO DE FORNECEDORES'!$B$39="","",SUMIFS('LANÇAMENTOS'!$V$6:$V$2005,'LANÇAMENTOS'!$I$6:$I$2005,'CADASTRO DE FORNECEDORES'!$B$39,'LANÇAMENTOS'!$E$6:$E$2005,"Saída",'LANÇAMENTOS'!$D$6:$D$2005,"&gt;="&amp;DATE('CONFIGURAÇÕES'!$B$18,1,1),'LANÇAMENTOS'!$D$6:$D$2005,"&lt;="&amp;DATE('CONFIGURAÇÕES'!$B$18,12,31)))</f>
        <v/>
      </c>
      <c r="F94" s="23">
        <f>IFERROR($B94/SUM($B$61:$B$120),"")</f>
        <v/>
      </c>
      <c r="G94" s="24">
        <f>IF('CADASTRO DE FORNECEDORES'!$B$39="","",COUNTIFS('LANÇAMENTOS'!$I$6:$I$2005,'CADASTRO DE FORNECEDORES'!$B$39,'LANÇAMENTOS'!$E$6:$E$2005,"Saída",'LANÇAMENTOS'!$W$6:$W$2005,"&gt;0"))</f>
        <v/>
      </c>
    </row>
    <row r="95">
      <c r="A95" s="9">
        <f>'CADASTRO DE FORNECEDORES'!$B$40</f>
        <v/>
      </c>
      <c r="B95" s="18">
        <f>IF('CADASTRO DE FORNECEDORES'!$B$40="","",SUMIFS('LANÇAMENTOS'!$W$6:$W$2005,'LANÇAMENTOS'!$I$6:$I$2005,'CADASTRO DE FORNECEDORES'!$B$40,'LANÇAMENTOS'!$E$6:$E$2005,"Saída",'LANÇAMENTOS'!$W$6:$W$2005,"&gt;0"))</f>
        <v/>
      </c>
      <c r="C95" s="18">
        <f>IF('CADASTRO DE FORNECEDORES'!$B$40="","",SUMIFS('LANÇAMENTOS'!$W$6:$W$2005,'LANÇAMENTOS'!$I$6:$I$2005,'CADASTRO DE FORNECEDORES'!$B$40,'LANÇAMENTOS'!$E$6:$E$2005,"Saída",'LANÇAMENTOS'!$W$6:$W$2005,"&gt;0",'LANÇAMENTOS'!$C$6:$C$2005,"&lt;"&amp;TODAY()))</f>
        <v/>
      </c>
      <c r="D95" s="18">
        <f>IF('CADASTRO DE FORNECEDORES'!$B$40="","",$B95-$C95)</f>
        <v/>
      </c>
      <c r="E95" s="18">
        <f>IF('CADASTRO DE FORNECEDORES'!$B$40="","",SUMIFS('LANÇAMENTOS'!$V$6:$V$2005,'LANÇAMENTOS'!$I$6:$I$2005,'CADASTRO DE FORNECEDORES'!$B$40,'LANÇAMENTOS'!$E$6:$E$2005,"Saída",'LANÇAMENTOS'!$D$6:$D$2005,"&gt;="&amp;DATE('CONFIGURAÇÕES'!$B$18,1,1),'LANÇAMENTOS'!$D$6:$D$2005,"&lt;="&amp;DATE('CONFIGURAÇÕES'!$B$18,12,31)))</f>
        <v/>
      </c>
      <c r="F95" s="23">
        <f>IFERROR($B95/SUM($B$61:$B$120),"")</f>
        <v/>
      </c>
      <c r="G95" s="24">
        <f>IF('CADASTRO DE FORNECEDORES'!$B$40="","",COUNTIFS('LANÇAMENTOS'!$I$6:$I$2005,'CADASTRO DE FORNECEDORES'!$B$40,'LANÇAMENTOS'!$E$6:$E$2005,"Saída",'LANÇAMENTOS'!$W$6:$W$2005,"&gt;0"))</f>
        <v/>
      </c>
    </row>
    <row r="96">
      <c r="A96" s="9">
        <f>'CADASTRO DE FORNECEDORES'!$B$41</f>
        <v/>
      </c>
      <c r="B96" s="18">
        <f>IF('CADASTRO DE FORNECEDORES'!$B$41="","",SUMIFS('LANÇAMENTOS'!$W$6:$W$2005,'LANÇAMENTOS'!$I$6:$I$2005,'CADASTRO DE FORNECEDORES'!$B$41,'LANÇAMENTOS'!$E$6:$E$2005,"Saída",'LANÇAMENTOS'!$W$6:$W$2005,"&gt;0"))</f>
        <v/>
      </c>
      <c r="C96" s="18">
        <f>IF('CADASTRO DE FORNECEDORES'!$B$41="","",SUMIFS('LANÇAMENTOS'!$W$6:$W$2005,'LANÇAMENTOS'!$I$6:$I$2005,'CADASTRO DE FORNECEDORES'!$B$41,'LANÇAMENTOS'!$E$6:$E$2005,"Saída",'LANÇAMENTOS'!$W$6:$W$2005,"&gt;0",'LANÇAMENTOS'!$C$6:$C$2005,"&lt;"&amp;TODAY()))</f>
        <v/>
      </c>
      <c r="D96" s="18">
        <f>IF('CADASTRO DE FORNECEDORES'!$B$41="","",$B96-$C96)</f>
        <v/>
      </c>
      <c r="E96" s="18">
        <f>IF('CADASTRO DE FORNECEDORES'!$B$41="","",SUMIFS('LANÇAMENTOS'!$V$6:$V$2005,'LANÇAMENTOS'!$I$6:$I$2005,'CADASTRO DE FORNECEDORES'!$B$41,'LANÇAMENTOS'!$E$6:$E$2005,"Saída",'LANÇAMENTOS'!$D$6:$D$2005,"&gt;="&amp;DATE('CONFIGURAÇÕES'!$B$18,1,1),'LANÇAMENTOS'!$D$6:$D$2005,"&lt;="&amp;DATE('CONFIGURAÇÕES'!$B$18,12,31)))</f>
        <v/>
      </c>
      <c r="F96" s="23">
        <f>IFERROR($B96/SUM($B$61:$B$120),"")</f>
        <v/>
      </c>
      <c r="G96" s="24">
        <f>IF('CADASTRO DE FORNECEDORES'!$B$41="","",COUNTIFS('LANÇAMENTOS'!$I$6:$I$2005,'CADASTRO DE FORNECEDORES'!$B$41,'LANÇAMENTOS'!$E$6:$E$2005,"Saída",'LANÇAMENTOS'!$W$6:$W$2005,"&gt;0"))</f>
        <v/>
      </c>
    </row>
    <row r="97">
      <c r="A97" s="9">
        <f>'CADASTRO DE FORNECEDORES'!$B$42</f>
        <v/>
      </c>
      <c r="B97" s="18">
        <f>IF('CADASTRO DE FORNECEDORES'!$B$42="","",SUMIFS('LANÇAMENTOS'!$W$6:$W$2005,'LANÇAMENTOS'!$I$6:$I$2005,'CADASTRO DE FORNECEDORES'!$B$42,'LANÇAMENTOS'!$E$6:$E$2005,"Saída",'LANÇAMENTOS'!$W$6:$W$2005,"&gt;0"))</f>
        <v/>
      </c>
      <c r="C97" s="18">
        <f>IF('CADASTRO DE FORNECEDORES'!$B$42="","",SUMIFS('LANÇAMENTOS'!$W$6:$W$2005,'LANÇAMENTOS'!$I$6:$I$2005,'CADASTRO DE FORNECEDORES'!$B$42,'LANÇAMENTOS'!$E$6:$E$2005,"Saída",'LANÇAMENTOS'!$W$6:$W$2005,"&gt;0",'LANÇAMENTOS'!$C$6:$C$2005,"&lt;"&amp;TODAY()))</f>
        <v/>
      </c>
      <c r="D97" s="18">
        <f>IF('CADASTRO DE FORNECEDORES'!$B$42="","",$B97-$C97)</f>
        <v/>
      </c>
      <c r="E97" s="18">
        <f>IF('CADASTRO DE FORNECEDORES'!$B$42="","",SUMIFS('LANÇAMENTOS'!$V$6:$V$2005,'LANÇAMENTOS'!$I$6:$I$2005,'CADASTRO DE FORNECEDORES'!$B$42,'LANÇAMENTOS'!$E$6:$E$2005,"Saída",'LANÇAMENTOS'!$D$6:$D$2005,"&gt;="&amp;DATE('CONFIGURAÇÕES'!$B$18,1,1),'LANÇAMENTOS'!$D$6:$D$2005,"&lt;="&amp;DATE('CONFIGURAÇÕES'!$B$18,12,31)))</f>
        <v/>
      </c>
      <c r="F97" s="23">
        <f>IFERROR($B97/SUM($B$61:$B$120),"")</f>
        <v/>
      </c>
      <c r="G97" s="24">
        <f>IF('CADASTRO DE FORNECEDORES'!$B$42="","",COUNTIFS('LANÇAMENTOS'!$I$6:$I$2005,'CADASTRO DE FORNECEDORES'!$B$42,'LANÇAMENTOS'!$E$6:$E$2005,"Saída",'LANÇAMENTOS'!$W$6:$W$2005,"&gt;0"))</f>
        <v/>
      </c>
    </row>
    <row r="98">
      <c r="A98" s="9">
        <f>'CADASTRO DE FORNECEDORES'!$B$43</f>
        <v/>
      </c>
      <c r="B98" s="18">
        <f>IF('CADASTRO DE FORNECEDORES'!$B$43="","",SUMIFS('LANÇAMENTOS'!$W$6:$W$2005,'LANÇAMENTOS'!$I$6:$I$2005,'CADASTRO DE FORNECEDORES'!$B$43,'LANÇAMENTOS'!$E$6:$E$2005,"Saída",'LANÇAMENTOS'!$W$6:$W$2005,"&gt;0"))</f>
        <v/>
      </c>
      <c r="C98" s="18">
        <f>IF('CADASTRO DE FORNECEDORES'!$B$43="","",SUMIFS('LANÇAMENTOS'!$W$6:$W$2005,'LANÇAMENTOS'!$I$6:$I$2005,'CADASTRO DE FORNECEDORES'!$B$43,'LANÇAMENTOS'!$E$6:$E$2005,"Saída",'LANÇAMENTOS'!$W$6:$W$2005,"&gt;0",'LANÇAMENTOS'!$C$6:$C$2005,"&lt;"&amp;TODAY()))</f>
        <v/>
      </c>
      <c r="D98" s="18">
        <f>IF('CADASTRO DE FORNECEDORES'!$B$43="","",$B98-$C98)</f>
        <v/>
      </c>
      <c r="E98" s="18">
        <f>IF('CADASTRO DE FORNECEDORES'!$B$43="","",SUMIFS('LANÇAMENTOS'!$V$6:$V$2005,'LANÇAMENTOS'!$I$6:$I$2005,'CADASTRO DE FORNECEDORES'!$B$43,'LANÇAMENTOS'!$E$6:$E$2005,"Saída",'LANÇAMENTOS'!$D$6:$D$2005,"&gt;="&amp;DATE('CONFIGURAÇÕES'!$B$18,1,1),'LANÇAMENTOS'!$D$6:$D$2005,"&lt;="&amp;DATE('CONFIGURAÇÕES'!$B$18,12,31)))</f>
        <v/>
      </c>
      <c r="F98" s="23">
        <f>IFERROR($B98/SUM($B$61:$B$120),"")</f>
        <v/>
      </c>
      <c r="G98" s="24">
        <f>IF('CADASTRO DE FORNECEDORES'!$B$43="","",COUNTIFS('LANÇAMENTOS'!$I$6:$I$2005,'CADASTRO DE FORNECEDORES'!$B$43,'LANÇAMENTOS'!$E$6:$E$2005,"Saída",'LANÇAMENTOS'!$W$6:$W$2005,"&gt;0"))</f>
        <v/>
      </c>
    </row>
    <row r="99">
      <c r="A99" s="9">
        <f>'CADASTRO DE FORNECEDORES'!$B$44</f>
        <v/>
      </c>
      <c r="B99" s="18">
        <f>IF('CADASTRO DE FORNECEDORES'!$B$44="","",SUMIFS('LANÇAMENTOS'!$W$6:$W$2005,'LANÇAMENTOS'!$I$6:$I$2005,'CADASTRO DE FORNECEDORES'!$B$44,'LANÇAMENTOS'!$E$6:$E$2005,"Saída",'LANÇAMENTOS'!$W$6:$W$2005,"&gt;0"))</f>
        <v/>
      </c>
      <c r="C99" s="18">
        <f>IF('CADASTRO DE FORNECEDORES'!$B$44="","",SUMIFS('LANÇAMENTOS'!$W$6:$W$2005,'LANÇAMENTOS'!$I$6:$I$2005,'CADASTRO DE FORNECEDORES'!$B$44,'LANÇAMENTOS'!$E$6:$E$2005,"Saída",'LANÇAMENTOS'!$W$6:$W$2005,"&gt;0",'LANÇAMENTOS'!$C$6:$C$2005,"&lt;"&amp;TODAY()))</f>
        <v/>
      </c>
      <c r="D99" s="18">
        <f>IF('CADASTRO DE FORNECEDORES'!$B$44="","",$B99-$C99)</f>
        <v/>
      </c>
      <c r="E99" s="18">
        <f>IF('CADASTRO DE FORNECEDORES'!$B$44="","",SUMIFS('LANÇAMENTOS'!$V$6:$V$2005,'LANÇAMENTOS'!$I$6:$I$2005,'CADASTRO DE FORNECEDORES'!$B$44,'LANÇAMENTOS'!$E$6:$E$2005,"Saída",'LANÇAMENTOS'!$D$6:$D$2005,"&gt;="&amp;DATE('CONFIGURAÇÕES'!$B$18,1,1),'LANÇAMENTOS'!$D$6:$D$2005,"&lt;="&amp;DATE('CONFIGURAÇÕES'!$B$18,12,31)))</f>
        <v/>
      </c>
      <c r="F99" s="23">
        <f>IFERROR($B99/SUM($B$61:$B$120),"")</f>
        <v/>
      </c>
      <c r="G99" s="24">
        <f>IF('CADASTRO DE FORNECEDORES'!$B$44="","",COUNTIFS('LANÇAMENTOS'!$I$6:$I$2005,'CADASTRO DE FORNECEDORES'!$B$44,'LANÇAMENTOS'!$E$6:$E$2005,"Saída",'LANÇAMENTOS'!$W$6:$W$2005,"&gt;0"))</f>
        <v/>
      </c>
    </row>
    <row r="100">
      <c r="A100" s="9">
        <f>'CADASTRO DE FORNECEDORES'!$B$45</f>
        <v/>
      </c>
      <c r="B100" s="18">
        <f>IF('CADASTRO DE FORNECEDORES'!$B$45="","",SUMIFS('LANÇAMENTOS'!$W$6:$W$2005,'LANÇAMENTOS'!$I$6:$I$2005,'CADASTRO DE FORNECEDORES'!$B$45,'LANÇAMENTOS'!$E$6:$E$2005,"Saída",'LANÇAMENTOS'!$W$6:$W$2005,"&gt;0"))</f>
        <v/>
      </c>
      <c r="C100" s="18">
        <f>IF('CADASTRO DE FORNECEDORES'!$B$45="","",SUMIFS('LANÇAMENTOS'!$W$6:$W$2005,'LANÇAMENTOS'!$I$6:$I$2005,'CADASTRO DE FORNECEDORES'!$B$45,'LANÇAMENTOS'!$E$6:$E$2005,"Saída",'LANÇAMENTOS'!$W$6:$W$2005,"&gt;0",'LANÇAMENTOS'!$C$6:$C$2005,"&lt;"&amp;TODAY()))</f>
        <v/>
      </c>
      <c r="D100" s="18">
        <f>IF('CADASTRO DE FORNECEDORES'!$B$45="","",$B100-$C100)</f>
        <v/>
      </c>
      <c r="E100" s="18">
        <f>IF('CADASTRO DE FORNECEDORES'!$B$45="","",SUMIFS('LANÇAMENTOS'!$V$6:$V$2005,'LANÇAMENTOS'!$I$6:$I$2005,'CADASTRO DE FORNECEDORES'!$B$45,'LANÇAMENTOS'!$E$6:$E$2005,"Saída",'LANÇAMENTOS'!$D$6:$D$2005,"&gt;="&amp;DATE('CONFIGURAÇÕES'!$B$18,1,1),'LANÇAMENTOS'!$D$6:$D$2005,"&lt;="&amp;DATE('CONFIGURAÇÕES'!$B$18,12,31)))</f>
        <v/>
      </c>
      <c r="F100" s="23">
        <f>IFERROR($B100/SUM($B$61:$B$120),"")</f>
        <v/>
      </c>
      <c r="G100" s="24">
        <f>IF('CADASTRO DE FORNECEDORES'!$B$45="","",COUNTIFS('LANÇAMENTOS'!$I$6:$I$2005,'CADASTRO DE FORNECEDORES'!$B$45,'LANÇAMENTOS'!$E$6:$E$2005,"Saída",'LANÇAMENTOS'!$W$6:$W$2005,"&gt;0"))</f>
        <v/>
      </c>
    </row>
    <row r="101">
      <c r="A101" s="9">
        <f>'CADASTRO DE FORNECEDORES'!$B$46</f>
        <v/>
      </c>
      <c r="B101" s="18">
        <f>IF('CADASTRO DE FORNECEDORES'!$B$46="","",SUMIFS('LANÇAMENTOS'!$W$6:$W$2005,'LANÇAMENTOS'!$I$6:$I$2005,'CADASTRO DE FORNECEDORES'!$B$46,'LANÇAMENTOS'!$E$6:$E$2005,"Saída",'LANÇAMENTOS'!$W$6:$W$2005,"&gt;0"))</f>
        <v/>
      </c>
      <c r="C101" s="18">
        <f>IF('CADASTRO DE FORNECEDORES'!$B$46="","",SUMIFS('LANÇAMENTOS'!$W$6:$W$2005,'LANÇAMENTOS'!$I$6:$I$2005,'CADASTRO DE FORNECEDORES'!$B$46,'LANÇAMENTOS'!$E$6:$E$2005,"Saída",'LANÇAMENTOS'!$W$6:$W$2005,"&gt;0",'LANÇAMENTOS'!$C$6:$C$2005,"&lt;"&amp;TODAY()))</f>
        <v/>
      </c>
      <c r="D101" s="18">
        <f>IF('CADASTRO DE FORNECEDORES'!$B$46="","",$B101-$C101)</f>
        <v/>
      </c>
      <c r="E101" s="18">
        <f>IF('CADASTRO DE FORNECEDORES'!$B$46="","",SUMIFS('LANÇAMENTOS'!$V$6:$V$2005,'LANÇAMENTOS'!$I$6:$I$2005,'CADASTRO DE FORNECEDORES'!$B$46,'LANÇAMENTOS'!$E$6:$E$2005,"Saída",'LANÇAMENTOS'!$D$6:$D$2005,"&gt;="&amp;DATE('CONFIGURAÇÕES'!$B$18,1,1),'LANÇAMENTOS'!$D$6:$D$2005,"&lt;="&amp;DATE('CONFIGURAÇÕES'!$B$18,12,31)))</f>
        <v/>
      </c>
      <c r="F101" s="23">
        <f>IFERROR($B101/SUM($B$61:$B$120),"")</f>
        <v/>
      </c>
      <c r="G101" s="24">
        <f>IF('CADASTRO DE FORNECEDORES'!$B$46="","",COUNTIFS('LANÇAMENTOS'!$I$6:$I$2005,'CADASTRO DE FORNECEDORES'!$B$46,'LANÇAMENTOS'!$E$6:$E$2005,"Saída",'LANÇAMENTOS'!$W$6:$W$2005,"&gt;0"))</f>
        <v/>
      </c>
    </row>
    <row r="102">
      <c r="A102" s="9">
        <f>'CADASTRO DE FORNECEDORES'!$B$47</f>
        <v/>
      </c>
      <c r="B102" s="18">
        <f>IF('CADASTRO DE FORNECEDORES'!$B$47="","",SUMIFS('LANÇAMENTOS'!$W$6:$W$2005,'LANÇAMENTOS'!$I$6:$I$2005,'CADASTRO DE FORNECEDORES'!$B$47,'LANÇAMENTOS'!$E$6:$E$2005,"Saída",'LANÇAMENTOS'!$W$6:$W$2005,"&gt;0"))</f>
        <v/>
      </c>
      <c r="C102" s="18">
        <f>IF('CADASTRO DE FORNECEDORES'!$B$47="","",SUMIFS('LANÇAMENTOS'!$W$6:$W$2005,'LANÇAMENTOS'!$I$6:$I$2005,'CADASTRO DE FORNECEDORES'!$B$47,'LANÇAMENTOS'!$E$6:$E$2005,"Saída",'LANÇAMENTOS'!$W$6:$W$2005,"&gt;0",'LANÇAMENTOS'!$C$6:$C$2005,"&lt;"&amp;TODAY()))</f>
        <v/>
      </c>
      <c r="D102" s="18">
        <f>IF('CADASTRO DE FORNECEDORES'!$B$47="","",$B102-$C102)</f>
        <v/>
      </c>
      <c r="E102" s="18">
        <f>IF('CADASTRO DE FORNECEDORES'!$B$47="","",SUMIFS('LANÇAMENTOS'!$V$6:$V$2005,'LANÇAMENTOS'!$I$6:$I$2005,'CADASTRO DE FORNECEDORES'!$B$47,'LANÇAMENTOS'!$E$6:$E$2005,"Saída",'LANÇAMENTOS'!$D$6:$D$2005,"&gt;="&amp;DATE('CONFIGURAÇÕES'!$B$18,1,1),'LANÇAMENTOS'!$D$6:$D$2005,"&lt;="&amp;DATE('CONFIGURAÇÕES'!$B$18,12,31)))</f>
        <v/>
      </c>
      <c r="F102" s="23">
        <f>IFERROR($B102/SUM($B$61:$B$120),"")</f>
        <v/>
      </c>
      <c r="G102" s="24">
        <f>IF('CADASTRO DE FORNECEDORES'!$B$47="","",COUNTIFS('LANÇAMENTOS'!$I$6:$I$2005,'CADASTRO DE FORNECEDORES'!$B$47,'LANÇAMENTOS'!$E$6:$E$2005,"Saída",'LANÇAMENTOS'!$W$6:$W$2005,"&gt;0"))</f>
        <v/>
      </c>
    </row>
    <row r="103">
      <c r="A103" s="9">
        <f>'CADASTRO DE FORNECEDORES'!$B$48</f>
        <v/>
      </c>
      <c r="B103" s="18">
        <f>IF('CADASTRO DE FORNECEDORES'!$B$48="","",SUMIFS('LANÇAMENTOS'!$W$6:$W$2005,'LANÇAMENTOS'!$I$6:$I$2005,'CADASTRO DE FORNECEDORES'!$B$48,'LANÇAMENTOS'!$E$6:$E$2005,"Saída",'LANÇAMENTOS'!$W$6:$W$2005,"&gt;0"))</f>
        <v/>
      </c>
      <c r="C103" s="18">
        <f>IF('CADASTRO DE FORNECEDORES'!$B$48="","",SUMIFS('LANÇAMENTOS'!$W$6:$W$2005,'LANÇAMENTOS'!$I$6:$I$2005,'CADASTRO DE FORNECEDORES'!$B$48,'LANÇAMENTOS'!$E$6:$E$2005,"Saída",'LANÇAMENTOS'!$W$6:$W$2005,"&gt;0",'LANÇAMENTOS'!$C$6:$C$2005,"&lt;"&amp;TODAY()))</f>
        <v/>
      </c>
      <c r="D103" s="18">
        <f>IF('CADASTRO DE FORNECEDORES'!$B$48="","",$B103-$C103)</f>
        <v/>
      </c>
      <c r="E103" s="18">
        <f>IF('CADASTRO DE FORNECEDORES'!$B$48="","",SUMIFS('LANÇAMENTOS'!$V$6:$V$2005,'LANÇAMENTOS'!$I$6:$I$2005,'CADASTRO DE FORNECEDORES'!$B$48,'LANÇAMENTOS'!$E$6:$E$2005,"Saída",'LANÇAMENTOS'!$D$6:$D$2005,"&gt;="&amp;DATE('CONFIGURAÇÕES'!$B$18,1,1),'LANÇAMENTOS'!$D$6:$D$2005,"&lt;="&amp;DATE('CONFIGURAÇÕES'!$B$18,12,31)))</f>
        <v/>
      </c>
      <c r="F103" s="23">
        <f>IFERROR($B103/SUM($B$61:$B$120),"")</f>
        <v/>
      </c>
      <c r="G103" s="24">
        <f>IF('CADASTRO DE FORNECEDORES'!$B$48="","",COUNTIFS('LANÇAMENTOS'!$I$6:$I$2005,'CADASTRO DE FORNECEDORES'!$B$48,'LANÇAMENTOS'!$E$6:$E$2005,"Saída",'LANÇAMENTOS'!$W$6:$W$2005,"&gt;0"))</f>
        <v/>
      </c>
    </row>
    <row r="104">
      <c r="A104" s="9">
        <f>'CADASTRO DE FORNECEDORES'!$B$49</f>
        <v/>
      </c>
      <c r="B104" s="18">
        <f>IF('CADASTRO DE FORNECEDORES'!$B$49="","",SUMIFS('LANÇAMENTOS'!$W$6:$W$2005,'LANÇAMENTOS'!$I$6:$I$2005,'CADASTRO DE FORNECEDORES'!$B$49,'LANÇAMENTOS'!$E$6:$E$2005,"Saída",'LANÇAMENTOS'!$W$6:$W$2005,"&gt;0"))</f>
        <v/>
      </c>
      <c r="C104" s="18">
        <f>IF('CADASTRO DE FORNECEDORES'!$B$49="","",SUMIFS('LANÇAMENTOS'!$W$6:$W$2005,'LANÇAMENTOS'!$I$6:$I$2005,'CADASTRO DE FORNECEDORES'!$B$49,'LANÇAMENTOS'!$E$6:$E$2005,"Saída",'LANÇAMENTOS'!$W$6:$W$2005,"&gt;0",'LANÇAMENTOS'!$C$6:$C$2005,"&lt;"&amp;TODAY()))</f>
        <v/>
      </c>
      <c r="D104" s="18">
        <f>IF('CADASTRO DE FORNECEDORES'!$B$49="","",$B104-$C104)</f>
        <v/>
      </c>
      <c r="E104" s="18">
        <f>IF('CADASTRO DE FORNECEDORES'!$B$49="","",SUMIFS('LANÇAMENTOS'!$V$6:$V$2005,'LANÇAMENTOS'!$I$6:$I$2005,'CADASTRO DE FORNECEDORES'!$B$49,'LANÇAMENTOS'!$E$6:$E$2005,"Saída",'LANÇAMENTOS'!$D$6:$D$2005,"&gt;="&amp;DATE('CONFIGURAÇÕES'!$B$18,1,1),'LANÇAMENTOS'!$D$6:$D$2005,"&lt;="&amp;DATE('CONFIGURAÇÕES'!$B$18,12,31)))</f>
        <v/>
      </c>
      <c r="F104" s="23">
        <f>IFERROR($B104/SUM($B$61:$B$120),"")</f>
        <v/>
      </c>
      <c r="G104" s="24">
        <f>IF('CADASTRO DE FORNECEDORES'!$B$49="","",COUNTIFS('LANÇAMENTOS'!$I$6:$I$2005,'CADASTRO DE FORNECEDORES'!$B$49,'LANÇAMENTOS'!$E$6:$E$2005,"Saída",'LANÇAMENTOS'!$W$6:$W$2005,"&gt;0"))</f>
        <v/>
      </c>
    </row>
    <row r="105">
      <c r="A105" s="9">
        <f>'CADASTRO DE FORNECEDORES'!$B$50</f>
        <v/>
      </c>
      <c r="B105" s="18">
        <f>IF('CADASTRO DE FORNECEDORES'!$B$50="","",SUMIFS('LANÇAMENTOS'!$W$6:$W$2005,'LANÇAMENTOS'!$I$6:$I$2005,'CADASTRO DE FORNECEDORES'!$B$50,'LANÇAMENTOS'!$E$6:$E$2005,"Saída",'LANÇAMENTOS'!$W$6:$W$2005,"&gt;0"))</f>
        <v/>
      </c>
      <c r="C105" s="18">
        <f>IF('CADASTRO DE FORNECEDORES'!$B$50="","",SUMIFS('LANÇAMENTOS'!$W$6:$W$2005,'LANÇAMENTOS'!$I$6:$I$2005,'CADASTRO DE FORNECEDORES'!$B$50,'LANÇAMENTOS'!$E$6:$E$2005,"Saída",'LANÇAMENTOS'!$W$6:$W$2005,"&gt;0",'LANÇAMENTOS'!$C$6:$C$2005,"&lt;"&amp;TODAY()))</f>
        <v/>
      </c>
      <c r="D105" s="18">
        <f>IF('CADASTRO DE FORNECEDORES'!$B$50="","",$B105-$C105)</f>
        <v/>
      </c>
      <c r="E105" s="18">
        <f>IF('CADASTRO DE FORNECEDORES'!$B$50="","",SUMIFS('LANÇAMENTOS'!$V$6:$V$2005,'LANÇAMENTOS'!$I$6:$I$2005,'CADASTRO DE FORNECEDORES'!$B$50,'LANÇAMENTOS'!$E$6:$E$2005,"Saída",'LANÇAMENTOS'!$D$6:$D$2005,"&gt;="&amp;DATE('CONFIGURAÇÕES'!$B$18,1,1),'LANÇAMENTOS'!$D$6:$D$2005,"&lt;="&amp;DATE('CONFIGURAÇÕES'!$B$18,12,31)))</f>
        <v/>
      </c>
      <c r="F105" s="23">
        <f>IFERROR($B105/SUM($B$61:$B$120),"")</f>
        <v/>
      </c>
      <c r="G105" s="24">
        <f>IF('CADASTRO DE FORNECEDORES'!$B$50="","",COUNTIFS('LANÇAMENTOS'!$I$6:$I$2005,'CADASTRO DE FORNECEDORES'!$B$50,'LANÇAMENTOS'!$E$6:$E$2005,"Saída",'LANÇAMENTOS'!$W$6:$W$2005,"&gt;0"))</f>
        <v/>
      </c>
    </row>
    <row r="106">
      <c r="A106" s="9">
        <f>'CADASTRO DE FORNECEDORES'!$B$51</f>
        <v/>
      </c>
      <c r="B106" s="18">
        <f>IF('CADASTRO DE FORNECEDORES'!$B$51="","",SUMIFS('LANÇAMENTOS'!$W$6:$W$2005,'LANÇAMENTOS'!$I$6:$I$2005,'CADASTRO DE FORNECEDORES'!$B$51,'LANÇAMENTOS'!$E$6:$E$2005,"Saída",'LANÇAMENTOS'!$W$6:$W$2005,"&gt;0"))</f>
        <v/>
      </c>
      <c r="C106" s="18">
        <f>IF('CADASTRO DE FORNECEDORES'!$B$51="","",SUMIFS('LANÇAMENTOS'!$W$6:$W$2005,'LANÇAMENTOS'!$I$6:$I$2005,'CADASTRO DE FORNECEDORES'!$B$51,'LANÇAMENTOS'!$E$6:$E$2005,"Saída",'LANÇAMENTOS'!$W$6:$W$2005,"&gt;0",'LANÇAMENTOS'!$C$6:$C$2005,"&lt;"&amp;TODAY()))</f>
        <v/>
      </c>
      <c r="D106" s="18">
        <f>IF('CADASTRO DE FORNECEDORES'!$B$51="","",$B106-$C106)</f>
        <v/>
      </c>
      <c r="E106" s="18">
        <f>IF('CADASTRO DE FORNECEDORES'!$B$51="","",SUMIFS('LANÇAMENTOS'!$V$6:$V$2005,'LANÇAMENTOS'!$I$6:$I$2005,'CADASTRO DE FORNECEDORES'!$B$51,'LANÇAMENTOS'!$E$6:$E$2005,"Saída",'LANÇAMENTOS'!$D$6:$D$2005,"&gt;="&amp;DATE('CONFIGURAÇÕES'!$B$18,1,1),'LANÇAMENTOS'!$D$6:$D$2005,"&lt;="&amp;DATE('CONFIGURAÇÕES'!$B$18,12,31)))</f>
        <v/>
      </c>
      <c r="F106" s="23">
        <f>IFERROR($B106/SUM($B$61:$B$120),"")</f>
        <v/>
      </c>
      <c r="G106" s="24">
        <f>IF('CADASTRO DE FORNECEDORES'!$B$51="","",COUNTIFS('LANÇAMENTOS'!$I$6:$I$2005,'CADASTRO DE FORNECEDORES'!$B$51,'LANÇAMENTOS'!$E$6:$E$2005,"Saída",'LANÇAMENTOS'!$W$6:$W$2005,"&gt;0"))</f>
        <v/>
      </c>
    </row>
    <row r="107">
      <c r="A107" s="9">
        <f>'CADASTRO DE FORNECEDORES'!$B$52</f>
        <v/>
      </c>
      <c r="B107" s="18">
        <f>IF('CADASTRO DE FORNECEDORES'!$B$52="","",SUMIFS('LANÇAMENTOS'!$W$6:$W$2005,'LANÇAMENTOS'!$I$6:$I$2005,'CADASTRO DE FORNECEDORES'!$B$52,'LANÇAMENTOS'!$E$6:$E$2005,"Saída",'LANÇAMENTOS'!$W$6:$W$2005,"&gt;0"))</f>
        <v/>
      </c>
      <c r="C107" s="18">
        <f>IF('CADASTRO DE FORNECEDORES'!$B$52="","",SUMIFS('LANÇAMENTOS'!$W$6:$W$2005,'LANÇAMENTOS'!$I$6:$I$2005,'CADASTRO DE FORNECEDORES'!$B$52,'LANÇAMENTOS'!$E$6:$E$2005,"Saída",'LANÇAMENTOS'!$W$6:$W$2005,"&gt;0",'LANÇAMENTOS'!$C$6:$C$2005,"&lt;"&amp;TODAY()))</f>
        <v/>
      </c>
      <c r="D107" s="18">
        <f>IF('CADASTRO DE FORNECEDORES'!$B$52="","",$B107-$C107)</f>
        <v/>
      </c>
      <c r="E107" s="18">
        <f>IF('CADASTRO DE FORNECEDORES'!$B$52="","",SUMIFS('LANÇAMENTOS'!$V$6:$V$2005,'LANÇAMENTOS'!$I$6:$I$2005,'CADASTRO DE FORNECEDORES'!$B$52,'LANÇAMENTOS'!$E$6:$E$2005,"Saída",'LANÇAMENTOS'!$D$6:$D$2005,"&gt;="&amp;DATE('CONFIGURAÇÕES'!$B$18,1,1),'LANÇAMENTOS'!$D$6:$D$2005,"&lt;="&amp;DATE('CONFIGURAÇÕES'!$B$18,12,31)))</f>
        <v/>
      </c>
      <c r="F107" s="23">
        <f>IFERROR($B107/SUM($B$61:$B$120),"")</f>
        <v/>
      </c>
      <c r="G107" s="24">
        <f>IF('CADASTRO DE FORNECEDORES'!$B$52="","",COUNTIFS('LANÇAMENTOS'!$I$6:$I$2005,'CADASTRO DE FORNECEDORES'!$B$52,'LANÇAMENTOS'!$E$6:$E$2005,"Saída",'LANÇAMENTOS'!$W$6:$W$2005,"&gt;0"))</f>
        <v/>
      </c>
    </row>
    <row r="108">
      <c r="A108" s="9">
        <f>'CADASTRO DE FORNECEDORES'!$B$53</f>
        <v/>
      </c>
      <c r="B108" s="18">
        <f>IF('CADASTRO DE FORNECEDORES'!$B$53="","",SUMIFS('LANÇAMENTOS'!$W$6:$W$2005,'LANÇAMENTOS'!$I$6:$I$2005,'CADASTRO DE FORNECEDORES'!$B$53,'LANÇAMENTOS'!$E$6:$E$2005,"Saída",'LANÇAMENTOS'!$W$6:$W$2005,"&gt;0"))</f>
        <v/>
      </c>
      <c r="C108" s="18">
        <f>IF('CADASTRO DE FORNECEDORES'!$B$53="","",SUMIFS('LANÇAMENTOS'!$W$6:$W$2005,'LANÇAMENTOS'!$I$6:$I$2005,'CADASTRO DE FORNECEDORES'!$B$53,'LANÇAMENTOS'!$E$6:$E$2005,"Saída",'LANÇAMENTOS'!$W$6:$W$2005,"&gt;0",'LANÇAMENTOS'!$C$6:$C$2005,"&lt;"&amp;TODAY()))</f>
        <v/>
      </c>
      <c r="D108" s="18">
        <f>IF('CADASTRO DE FORNECEDORES'!$B$53="","",$B108-$C108)</f>
        <v/>
      </c>
      <c r="E108" s="18">
        <f>IF('CADASTRO DE FORNECEDORES'!$B$53="","",SUMIFS('LANÇAMENTOS'!$V$6:$V$2005,'LANÇAMENTOS'!$I$6:$I$2005,'CADASTRO DE FORNECEDORES'!$B$53,'LANÇAMENTOS'!$E$6:$E$2005,"Saída",'LANÇAMENTOS'!$D$6:$D$2005,"&gt;="&amp;DATE('CONFIGURAÇÕES'!$B$18,1,1),'LANÇAMENTOS'!$D$6:$D$2005,"&lt;="&amp;DATE('CONFIGURAÇÕES'!$B$18,12,31)))</f>
        <v/>
      </c>
      <c r="F108" s="23">
        <f>IFERROR($B108/SUM($B$61:$B$120),"")</f>
        <v/>
      </c>
      <c r="G108" s="24">
        <f>IF('CADASTRO DE FORNECEDORES'!$B$53="","",COUNTIFS('LANÇAMENTOS'!$I$6:$I$2005,'CADASTRO DE FORNECEDORES'!$B$53,'LANÇAMENTOS'!$E$6:$E$2005,"Saída",'LANÇAMENTOS'!$W$6:$W$2005,"&gt;0"))</f>
        <v/>
      </c>
    </row>
    <row r="109">
      <c r="A109" s="9">
        <f>'CADASTRO DE FORNECEDORES'!$B$54</f>
        <v/>
      </c>
      <c r="B109" s="18">
        <f>IF('CADASTRO DE FORNECEDORES'!$B$54="","",SUMIFS('LANÇAMENTOS'!$W$6:$W$2005,'LANÇAMENTOS'!$I$6:$I$2005,'CADASTRO DE FORNECEDORES'!$B$54,'LANÇAMENTOS'!$E$6:$E$2005,"Saída",'LANÇAMENTOS'!$W$6:$W$2005,"&gt;0"))</f>
        <v/>
      </c>
      <c r="C109" s="18">
        <f>IF('CADASTRO DE FORNECEDORES'!$B$54="","",SUMIFS('LANÇAMENTOS'!$W$6:$W$2005,'LANÇAMENTOS'!$I$6:$I$2005,'CADASTRO DE FORNECEDORES'!$B$54,'LANÇAMENTOS'!$E$6:$E$2005,"Saída",'LANÇAMENTOS'!$W$6:$W$2005,"&gt;0",'LANÇAMENTOS'!$C$6:$C$2005,"&lt;"&amp;TODAY()))</f>
        <v/>
      </c>
      <c r="D109" s="18">
        <f>IF('CADASTRO DE FORNECEDORES'!$B$54="","",$B109-$C109)</f>
        <v/>
      </c>
      <c r="E109" s="18">
        <f>IF('CADASTRO DE FORNECEDORES'!$B$54="","",SUMIFS('LANÇAMENTOS'!$V$6:$V$2005,'LANÇAMENTOS'!$I$6:$I$2005,'CADASTRO DE FORNECEDORES'!$B$54,'LANÇAMENTOS'!$E$6:$E$2005,"Saída",'LANÇAMENTOS'!$D$6:$D$2005,"&gt;="&amp;DATE('CONFIGURAÇÕES'!$B$18,1,1),'LANÇAMENTOS'!$D$6:$D$2005,"&lt;="&amp;DATE('CONFIGURAÇÕES'!$B$18,12,31)))</f>
        <v/>
      </c>
      <c r="F109" s="23">
        <f>IFERROR($B109/SUM($B$61:$B$120),"")</f>
        <v/>
      </c>
      <c r="G109" s="24">
        <f>IF('CADASTRO DE FORNECEDORES'!$B$54="","",COUNTIFS('LANÇAMENTOS'!$I$6:$I$2005,'CADASTRO DE FORNECEDORES'!$B$54,'LANÇAMENTOS'!$E$6:$E$2005,"Saída",'LANÇAMENTOS'!$W$6:$W$2005,"&gt;0"))</f>
        <v/>
      </c>
    </row>
    <row r="110">
      <c r="A110" s="9">
        <f>'CADASTRO DE FORNECEDORES'!$B$55</f>
        <v/>
      </c>
      <c r="B110" s="18">
        <f>IF('CADASTRO DE FORNECEDORES'!$B$55="","",SUMIFS('LANÇAMENTOS'!$W$6:$W$2005,'LANÇAMENTOS'!$I$6:$I$2005,'CADASTRO DE FORNECEDORES'!$B$55,'LANÇAMENTOS'!$E$6:$E$2005,"Saída",'LANÇAMENTOS'!$W$6:$W$2005,"&gt;0"))</f>
        <v/>
      </c>
      <c r="C110" s="18">
        <f>IF('CADASTRO DE FORNECEDORES'!$B$55="","",SUMIFS('LANÇAMENTOS'!$W$6:$W$2005,'LANÇAMENTOS'!$I$6:$I$2005,'CADASTRO DE FORNECEDORES'!$B$55,'LANÇAMENTOS'!$E$6:$E$2005,"Saída",'LANÇAMENTOS'!$W$6:$W$2005,"&gt;0",'LANÇAMENTOS'!$C$6:$C$2005,"&lt;"&amp;TODAY()))</f>
        <v/>
      </c>
      <c r="D110" s="18">
        <f>IF('CADASTRO DE FORNECEDORES'!$B$55="","",$B110-$C110)</f>
        <v/>
      </c>
      <c r="E110" s="18">
        <f>IF('CADASTRO DE FORNECEDORES'!$B$55="","",SUMIFS('LANÇAMENTOS'!$V$6:$V$2005,'LANÇAMENTOS'!$I$6:$I$2005,'CADASTRO DE FORNECEDORES'!$B$55,'LANÇAMENTOS'!$E$6:$E$2005,"Saída",'LANÇAMENTOS'!$D$6:$D$2005,"&gt;="&amp;DATE('CONFIGURAÇÕES'!$B$18,1,1),'LANÇAMENTOS'!$D$6:$D$2005,"&lt;="&amp;DATE('CONFIGURAÇÕES'!$B$18,12,31)))</f>
        <v/>
      </c>
      <c r="F110" s="23">
        <f>IFERROR($B110/SUM($B$61:$B$120),"")</f>
        <v/>
      </c>
      <c r="G110" s="24">
        <f>IF('CADASTRO DE FORNECEDORES'!$B$55="","",COUNTIFS('LANÇAMENTOS'!$I$6:$I$2005,'CADASTRO DE FORNECEDORES'!$B$55,'LANÇAMENTOS'!$E$6:$E$2005,"Saída",'LANÇAMENTOS'!$W$6:$W$2005,"&gt;0"))</f>
        <v/>
      </c>
    </row>
    <row r="111">
      <c r="A111" s="9">
        <f>'CADASTRO DE FORNECEDORES'!$B$56</f>
        <v/>
      </c>
      <c r="B111" s="18">
        <f>IF('CADASTRO DE FORNECEDORES'!$B$56="","",SUMIFS('LANÇAMENTOS'!$W$6:$W$2005,'LANÇAMENTOS'!$I$6:$I$2005,'CADASTRO DE FORNECEDORES'!$B$56,'LANÇAMENTOS'!$E$6:$E$2005,"Saída",'LANÇAMENTOS'!$W$6:$W$2005,"&gt;0"))</f>
        <v/>
      </c>
      <c r="C111" s="18">
        <f>IF('CADASTRO DE FORNECEDORES'!$B$56="","",SUMIFS('LANÇAMENTOS'!$W$6:$W$2005,'LANÇAMENTOS'!$I$6:$I$2005,'CADASTRO DE FORNECEDORES'!$B$56,'LANÇAMENTOS'!$E$6:$E$2005,"Saída",'LANÇAMENTOS'!$W$6:$W$2005,"&gt;0",'LANÇAMENTOS'!$C$6:$C$2005,"&lt;"&amp;TODAY()))</f>
        <v/>
      </c>
      <c r="D111" s="18">
        <f>IF('CADASTRO DE FORNECEDORES'!$B$56="","",$B111-$C111)</f>
        <v/>
      </c>
      <c r="E111" s="18">
        <f>IF('CADASTRO DE FORNECEDORES'!$B$56="","",SUMIFS('LANÇAMENTOS'!$V$6:$V$2005,'LANÇAMENTOS'!$I$6:$I$2005,'CADASTRO DE FORNECEDORES'!$B$56,'LANÇAMENTOS'!$E$6:$E$2005,"Saída",'LANÇAMENTOS'!$D$6:$D$2005,"&gt;="&amp;DATE('CONFIGURAÇÕES'!$B$18,1,1),'LANÇAMENTOS'!$D$6:$D$2005,"&lt;="&amp;DATE('CONFIGURAÇÕES'!$B$18,12,31)))</f>
        <v/>
      </c>
      <c r="F111" s="23">
        <f>IFERROR($B111/SUM($B$61:$B$120),"")</f>
        <v/>
      </c>
      <c r="G111" s="24">
        <f>IF('CADASTRO DE FORNECEDORES'!$B$56="","",COUNTIFS('LANÇAMENTOS'!$I$6:$I$2005,'CADASTRO DE FORNECEDORES'!$B$56,'LANÇAMENTOS'!$E$6:$E$2005,"Saída",'LANÇAMENTOS'!$W$6:$W$2005,"&gt;0"))</f>
        <v/>
      </c>
    </row>
    <row r="112">
      <c r="A112" s="9">
        <f>'CADASTRO DE FORNECEDORES'!$B$57</f>
        <v/>
      </c>
      <c r="B112" s="18">
        <f>IF('CADASTRO DE FORNECEDORES'!$B$57="","",SUMIFS('LANÇAMENTOS'!$W$6:$W$2005,'LANÇAMENTOS'!$I$6:$I$2005,'CADASTRO DE FORNECEDORES'!$B$57,'LANÇAMENTOS'!$E$6:$E$2005,"Saída",'LANÇAMENTOS'!$W$6:$W$2005,"&gt;0"))</f>
        <v/>
      </c>
      <c r="C112" s="18">
        <f>IF('CADASTRO DE FORNECEDORES'!$B$57="","",SUMIFS('LANÇAMENTOS'!$W$6:$W$2005,'LANÇAMENTOS'!$I$6:$I$2005,'CADASTRO DE FORNECEDORES'!$B$57,'LANÇAMENTOS'!$E$6:$E$2005,"Saída",'LANÇAMENTOS'!$W$6:$W$2005,"&gt;0",'LANÇAMENTOS'!$C$6:$C$2005,"&lt;"&amp;TODAY()))</f>
        <v/>
      </c>
      <c r="D112" s="18">
        <f>IF('CADASTRO DE FORNECEDORES'!$B$57="","",$B112-$C112)</f>
        <v/>
      </c>
      <c r="E112" s="18">
        <f>IF('CADASTRO DE FORNECEDORES'!$B$57="","",SUMIFS('LANÇAMENTOS'!$V$6:$V$2005,'LANÇAMENTOS'!$I$6:$I$2005,'CADASTRO DE FORNECEDORES'!$B$57,'LANÇAMENTOS'!$E$6:$E$2005,"Saída",'LANÇAMENTOS'!$D$6:$D$2005,"&gt;="&amp;DATE('CONFIGURAÇÕES'!$B$18,1,1),'LANÇAMENTOS'!$D$6:$D$2005,"&lt;="&amp;DATE('CONFIGURAÇÕES'!$B$18,12,31)))</f>
        <v/>
      </c>
      <c r="F112" s="23">
        <f>IFERROR($B112/SUM($B$61:$B$120),"")</f>
        <v/>
      </c>
      <c r="G112" s="24">
        <f>IF('CADASTRO DE FORNECEDORES'!$B$57="","",COUNTIFS('LANÇAMENTOS'!$I$6:$I$2005,'CADASTRO DE FORNECEDORES'!$B$57,'LANÇAMENTOS'!$E$6:$E$2005,"Saída",'LANÇAMENTOS'!$W$6:$W$2005,"&gt;0"))</f>
        <v/>
      </c>
    </row>
    <row r="113">
      <c r="A113" s="9">
        <f>'CADASTRO DE FORNECEDORES'!$B$58</f>
        <v/>
      </c>
      <c r="B113" s="18">
        <f>IF('CADASTRO DE FORNECEDORES'!$B$58="","",SUMIFS('LANÇAMENTOS'!$W$6:$W$2005,'LANÇAMENTOS'!$I$6:$I$2005,'CADASTRO DE FORNECEDORES'!$B$58,'LANÇAMENTOS'!$E$6:$E$2005,"Saída",'LANÇAMENTOS'!$W$6:$W$2005,"&gt;0"))</f>
        <v/>
      </c>
      <c r="C113" s="18">
        <f>IF('CADASTRO DE FORNECEDORES'!$B$58="","",SUMIFS('LANÇAMENTOS'!$W$6:$W$2005,'LANÇAMENTOS'!$I$6:$I$2005,'CADASTRO DE FORNECEDORES'!$B$58,'LANÇAMENTOS'!$E$6:$E$2005,"Saída",'LANÇAMENTOS'!$W$6:$W$2005,"&gt;0",'LANÇAMENTOS'!$C$6:$C$2005,"&lt;"&amp;TODAY()))</f>
        <v/>
      </c>
      <c r="D113" s="18">
        <f>IF('CADASTRO DE FORNECEDORES'!$B$58="","",$B113-$C113)</f>
        <v/>
      </c>
      <c r="E113" s="18">
        <f>IF('CADASTRO DE FORNECEDORES'!$B$58="","",SUMIFS('LANÇAMENTOS'!$V$6:$V$2005,'LANÇAMENTOS'!$I$6:$I$2005,'CADASTRO DE FORNECEDORES'!$B$58,'LANÇAMENTOS'!$E$6:$E$2005,"Saída",'LANÇAMENTOS'!$D$6:$D$2005,"&gt;="&amp;DATE('CONFIGURAÇÕES'!$B$18,1,1),'LANÇAMENTOS'!$D$6:$D$2005,"&lt;="&amp;DATE('CONFIGURAÇÕES'!$B$18,12,31)))</f>
        <v/>
      </c>
      <c r="F113" s="23">
        <f>IFERROR($B113/SUM($B$61:$B$120),"")</f>
        <v/>
      </c>
      <c r="G113" s="24">
        <f>IF('CADASTRO DE FORNECEDORES'!$B$58="","",COUNTIFS('LANÇAMENTOS'!$I$6:$I$2005,'CADASTRO DE FORNECEDORES'!$B$58,'LANÇAMENTOS'!$E$6:$E$2005,"Saída",'LANÇAMENTOS'!$W$6:$W$2005,"&gt;0"))</f>
        <v/>
      </c>
    </row>
    <row r="114">
      <c r="A114" s="9">
        <f>'CADASTRO DE FORNECEDORES'!$B$59</f>
        <v/>
      </c>
      <c r="B114" s="18">
        <f>IF('CADASTRO DE FORNECEDORES'!$B$59="","",SUMIFS('LANÇAMENTOS'!$W$6:$W$2005,'LANÇAMENTOS'!$I$6:$I$2005,'CADASTRO DE FORNECEDORES'!$B$59,'LANÇAMENTOS'!$E$6:$E$2005,"Saída",'LANÇAMENTOS'!$W$6:$W$2005,"&gt;0"))</f>
        <v/>
      </c>
      <c r="C114" s="18">
        <f>IF('CADASTRO DE FORNECEDORES'!$B$59="","",SUMIFS('LANÇAMENTOS'!$W$6:$W$2005,'LANÇAMENTOS'!$I$6:$I$2005,'CADASTRO DE FORNECEDORES'!$B$59,'LANÇAMENTOS'!$E$6:$E$2005,"Saída",'LANÇAMENTOS'!$W$6:$W$2005,"&gt;0",'LANÇAMENTOS'!$C$6:$C$2005,"&lt;"&amp;TODAY()))</f>
        <v/>
      </c>
      <c r="D114" s="18">
        <f>IF('CADASTRO DE FORNECEDORES'!$B$59="","",$B114-$C114)</f>
        <v/>
      </c>
      <c r="E114" s="18">
        <f>IF('CADASTRO DE FORNECEDORES'!$B$59="","",SUMIFS('LANÇAMENTOS'!$V$6:$V$2005,'LANÇAMENTOS'!$I$6:$I$2005,'CADASTRO DE FORNECEDORES'!$B$59,'LANÇAMENTOS'!$E$6:$E$2005,"Saída",'LANÇAMENTOS'!$D$6:$D$2005,"&gt;="&amp;DATE('CONFIGURAÇÕES'!$B$18,1,1),'LANÇAMENTOS'!$D$6:$D$2005,"&lt;="&amp;DATE('CONFIGURAÇÕES'!$B$18,12,31)))</f>
        <v/>
      </c>
      <c r="F114" s="23">
        <f>IFERROR($B114/SUM($B$61:$B$120),"")</f>
        <v/>
      </c>
      <c r="G114" s="24">
        <f>IF('CADASTRO DE FORNECEDORES'!$B$59="","",COUNTIFS('LANÇAMENTOS'!$I$6:$I$2005,'CADASTRO DE FORNECEDORES'!$B$59,'LANÇAMENTOS'!$E$6:$E$2005,"Saída",'LANÇAMENTOS'!$W$6:$W$2005,"&gt;0"))</f>
        <v/>
      </c>
    </row>
    <row r="115">
      <c r="A115" s="9">
        <f>'CADASTRO DE FORNECEDORES'!$B$60</f>
        <v/>
      </c>
      <c r="B115" s="18">
        <f>IF('CADASTRO DE FORNECEDORES'!$B$60="","",SUMIFS('LANÇAMENTOS'!$W$6:$W$2005,'LANÇAMENTOS'!$I$6:$I$2005,'CADASTRO DE FORNECEDORES'!$B$60,'LANÇAMENTOS'!$E$6:$E$2005,"Saída",'LANÇAMENTOS'!$W$6:$W$2005,"&gt;0"))</f>
        <v/>
      </c>
      <c r="C115" s="18">
        <f>IF('CADASTRO DE FORNECEDORES'!$B$60="","",SUMIFS('LANÇAMENTOS'!$W$6:$W$2005,'LANÇAMENTOS'!$I$6:$I$2005,'CADASTRO DE FORNECEDORES'!$B$60,'LANÇAMENTOS'!$E$6:$E$2005,"Saída",'LANÇAMENTOS'!$W$6:$W$2005,"&gt;0",'LANÇAMENTOS'!$C$6:$C$2005,"&lt;"&amp;TODAY()))</f>
        <v/>
      </c>
      <c r="D115" s="18">
        <f>IF('CADASTRO DE FORNECEDORES'!$B$60="","",$B115-$C115)</f>
        <v/>
      </c>
      <c r="E115" s="18">
        <f>IF('CADASTRO DE FORNECEDORES'!$B$60="","",SUMIFS('LANÇAMENTOS'!$V$6:$V$2005,'LANÇAMENTOS'!$I$6:$I$2005,'CADASTRO DE FORNECEDORES'!$B$60,'LANÇAMENTOS'!$E$6:$E$2005,"Saída",'LANÇAMENTOS'!$D$6:$D$2005,"&gt;="&amp;DATE('CONFIGURAÇÕES'!$B$18,1,1),'LANÇAMENTOS'!$D$6:$D$2005,"&lt;="&amp;DATE('CONFIGURAÇÕES'!$B$18,12,31)))</f>
        <v/>
      </c>
      <c r="F115" s="23">
        <f>IFERROR($B115/SUM($B$61:$B$120),"")</f>
        <v/>
      </c>
      <c r="G115" s="24">
        <f>IF('CADASTRO DE FORNECEDORES'!$B$60="","",COUNTIFS('LANÇAMENTOS'!$I$6:$I$2005,'CADASTRO DE FORNECEDORES'!$B$60,'LANÇAMENTOS'!$E$6:$E$2005,"Saída",'LANÇAMENTOS'!$W$6:$W$2005,"&gt;0"))</f>
        <v/>
      </c>
    </row>
    <row r="116">
      <c r="A116" s="9">
        <f>'CADASTRO DE FORNECEDORES'!$B$61</f>
        <v/>
      </c>
      <c r="B116" s="18">
        <f>IF('CADASTRO DE FORNECEDORES'!$B$61="","",SUMIFS('LANÇAMENTOS'!$W$6:$W$2005,'LANÇAMENTOS'!$I$6:$I$2005,'CADASTRO DE FORNECEDORES'!$B$61,'LANÇAMENTOS'!$E$6:$E$2005,"Saída",'LANÇAMENTOS'!$W$6:$W$2005,"&gt;0"))</f>
        <v/>
      </c>
      <c r="C116" s="18">
        <f>IF('CADASTRO DE FORNECEDORES'!$B$61="","",SUMIFS('LANÇAMENTOS'!$W$6:$W$2005,'LANÇAMENTOS'!$I$6:$I$2005,'CADASTRO DE FORNECEDORES'!$B$61,'LANÇAMENTOS'!$E$6:$E$2005,"Saída",'LANÇAMENTOS'!$W$6:$W$2005,"&gt;0",'LANÇAMENTOS'!$C$6:$C$2005,"&lt;"&amp;TODAY()))</f>
        <v/>
      </c>
      <c r="D116" s="18">
        <f>IF('CADASTRO DE FORNECEDORES'!$B$61="","",$B116-$C116)</f>
        <v/>
      </c>
      <c r="E116" s="18">
        <f>IF('CADASTRO DE FORNECEDORES'!$B$61="","",SUMIFS('LANÇAMENTOS'!$V$6:$V$2005,'LANÇAMENTOS'!$I$6:$I$2005,'CADASTRO DE FORNECEDORES'!$B$61,'LANÇAMENTOS'!$E$6:$E$2005,"Saída",'LANÇAMENTOS'!$D$6:$D$2005,"&gt;="&amp;DATE('CONFIGURAÇÕES'!$B$18,1,1),'LANÇAMENTOS'!$D$6:$D$2005,"&lt;="&amp;DATE('CONFIGURAÇÕES'!$B$18,12,31)))</f>
        <v/>
      </c>
      <c r="F116" s="23">
        <f>IFERROR($B116/SUM($B$61:$B$120),"")</f>
        <v/>
      </c>
      <c r="G116" s="24">
        <f>IF('CADASTRO DE FORNECEDORES'!$B$61="","",COUNTIFS('LANÇAMENTOS'!$I$6:$I$2005,'CADASTRO DE FORNECEDORES'!$B$61,'LANÇAMENTOS'!$E$6:$E$2005,"Saída",'LANÇAMENTOS'!$W$6:$W$2005,"&gt;0"))</f>
        <v/>
      </c>
    </row>
    <row r="117">
      <c r="A117" s="9">
        <f>'CADASTRO DE FORNECEDORES'!$B$62</f>
        <v/>
      </c>
      <c r="B117" s="18">
        <f>IF('CADASTRO DE FORNECEDORES'!$B$62="","",SUMIFS('LANÇAMENTOS'!$W$6:$W$2005,'LANÇAMENTOS'!$I$6:$I$2005,'CADASTRO DE FORNECEDORES'!$B$62,'LANÇAMENTOS'!$E$6:$E$2005,"Saída",'LANÇAMENTOS'!$W$6:$W$2005,"&gt;0"))</f>
        <v/>
      </c>
      <c r="C117" s="18">
        <f>IF('CADASTRO DE FORNECEDORES'!$B$62="","",SUMIFS('LANÇAMENTOS'!$W$6:$W$2005,'LANÇAMENTOS'!$I$6:$I$2005,'CADASTRO DE FORNECEDORES'!$B$62,'LANÇAMENTOS'!$E$6:$E$2005,"Saída",'LANÇAMENTOS'!$W$6:$W$2005,"&gt;0",'LANÇAMENTOS'!$C$6:$C$2005,"&lt;"&amp;TODAY()))</f>
        <v/>
      </c>
      <c r="D117" s="18">
        <f>IF('CADASTRO DE FORNECEDORES'!$B$62="","",$B117-$C117)</f>
        <v/>
      </c>
      <c r="E117" s="18">
        <f>IF('CADASTRO DE FORNECEDORES'!$B$62="","",SUMIFS('LANÇAMENTOS'!$V$6:$V$2005,'LANÇAMENTOS'!$I$6:$I$2005,'CADASTRO DE FORNECEDORES'!$B$62,'LANÇAMENTOS'!$E$6:$E$2005,"Saída",'LANÇAMENTOS'!$D$6:$D$2005,"&gt;="&amp;DATE('CONFIGURAÇÕES'!$B$18,1,1),'LANÇAMENTOS'!$D$6:$D$2005,"&lt;="&amp;DATE('CONFIGURAÇÕES'!$B$18,12,31)))</f>
        <v/>
      </c>
      <c r="F117" s="23">
        <f>IFERROR($B117/SUM($B$61:$B$120),"")</f>
        <v/>
      </c>
      <c r="G117" s="24">
        <f>IF('CADASTRO DE FORNECEDORES'!$B$62="","",COUNTIFS('LANÇAMENTOS'!$I$6:$I$2005,'CADASTRO DE FORNECEDORES'!$B$62,'LANÇAMENTOS'!$E$6:$E$2005,"Saída",'LANÇAMENTOS'!$W$6:$W$2005,"&gt;0"))</f>
        <v/>
      </c>
    </row>
    <row r="118">
      <c r="A118" s="9">
        <f>'CADASTRO DE FORNECEDORES'!$B$63</f>
        <v/>
      </c>
      <c r="B118" s="18">
        <f>IF('CADASTRO DE FORNECEDORES'!$B$63="","",SUMIFS('LANÇAMENTOS'!$W$6:$W$2005,'LANÇAMENTOS'!$I$6:$I$2005,'CADASTRO DE FORNECEDORES'!$B$63,'LANÇAMENTOS'!$E$6:$E$2005,"Saída",'LANÇAMENTOS'!$W$6:$W$2005,"&gt;0"))</f>
        <v/>
      </c>
      <c r="C118" s="18">
        <f>IF('CADASTRO DE FORNECEDORES'!$B$63="","",SUMIFS('LANÇAMENTOS'!$W$6:$W$2005,'LANÇAMENTOS'!$I$6:$I$2005,'CADASTRO DE FORNECEDORES'!$B$63,'LANÇAMENTOS'!$E$6:$E$2005,"Saída",'LANÇAMENTOS'!$W$6:$W$2005,"&gt;0",'LANÇAMENTOS'!$C$6:$C$2005,"&lt;"&amp;TODAY()))</f>
        <v/>
      </c>
      <c r="D118" s="18">
        <f>IF('CADASTRO DE FORNECEDORES'!$B$63="","",$B118-$C118)</f>
        <v/>
      </c>
      <c r="E118" s="18">
        <f>IF('CADASTRO DE FORNECEDORES'!$B$63="","",SUMIFS('LANÇAMENTOS'!$V$6:$V$2005,'LANÇAMENTOS'!$I$6:$I$2005,'CADASTRO DE FORNECEDORES'!$B$63,'LANÇAMENTOS'!$E$6:$E$2005,"Saída",'LANÇAMENTOS'!$D$6:$D$2005,"&gt;="&amp;DATE('CONFIGURAÇÕES'!$B$18,1,1),'LANÇAMENTOS'!$D$6:$D$2005,"&lt;="&amp;DATE('CONFIGURAÇÕES'!$B$18,12,31)))</f>
        <v/>
      </c>
      <c r="F118" s="23">
        <f>IFERROR($B118/SUM($B$61:$B$120),"")</f>
        <v/>
      </c>
      <c r="G118" s="24">
        <f>IF('CADASTRO DE FORNECEDORES'!$B$63="","",COUNTIFS('LANÇAMENTOS'!$I$6:$I$2005,'CADASTRO DE FORNECEDORES'!$B$63,'LANÇAMENTOS'!$E$6:$E$2005,"Saída",'LANÇAMENTOS'!$W$6:$W$2005,"&gt;0"))</f>
        <v/>
      </c>
    </row>
    <row r="119">
      <c r="A119" s="9">
        <f>'CADASTRO DE FORNECEDORES'!$B$64</f>
        <v/>
      </c>
      <c r="B119" s="18">
        <f>IF('CADASTRO DE FORNECEDORES'!$B$64="","",SUMIFS('LANÇAMENTOS'!$W$6:$W$2005,'LANÇAMENTOS'!$I$6:$I$2005,'CADASTRO DE FORNECEDORES'!$B$64,'LANÇAMENTOS'!$E$6:$E$2005,"Saída",'LANÇAMENTOS'!$W$6:$W$2005,"&gt;0"))</f>
        <v/>
      </c>
      <c r="C119" s="18">
        <f>IF('CADASTRO DE FORNECEDORES'!$B$64="","",SUMIFS('LANÇAMENTOS'!$W$6:$W$2005,'LANÇAMENTOS'!$I$6:$I$2005,'CADASTRO DE FORNECEDORES'!$B$64,'LANÇAMENTOS'!$E$6:$E$2005,"Saída",'LANÇAMENTOS'!$W$6:$W$2005,"&gt;0",'LANÇAMENTOS'!$C$6:$C$2005,"&lt;"&amp;TODAY()))</f>
        <v/>
      </c>
      <c r="D119" s="18">
        <f>IF('CADASTRO DE FORNECEDORES'!$B$64="","",$B119-$C119)</f>
        <v/>
      </c>
      <c r="E119" s="18">
        <f>IF('CADASTRO DE FORNECEDORES'!$B$64="","",SUMIFS('LANÇAMENTOS'!$V$6:$V$2005,'LANÇAMENTOS'!$I$6:$I$2005,'CADASTRO DE FORNECEDORES'!$B$64,'LANÇAMENTOS'!$E$6:$E$2005,"Saída",'LANÇAMENTOS'!$D$6:$D$2005,"&gt;="&amp;DATE('CONFIGURAÇÕES'!$B$18,1,1),'LANÇAMENTOS'!$D$6:$D$2005,"&lt;="&amp;DATE('CONFIGURAÇÕES'!$B$18,12,31)))</f>
        <v/>
      </c>
      <c r="F119" s="23">
        <f>IFERROR($B119/SUM($B$61:$B$120),"")</f>
        <v/>
      </c>
      <c r="G119" s="24">
        <f>IF('CADASTRO DE FORNECEDORES'!$B$64="","",COUNTIFS('LANÇAMENTOS'!$I$6:$I$2005,'CADASTRO DE FORNECEDORES'!$B$64,'LANÇAMENTOS'!$E$6:$E$2005,"Saída",'LANÇAMENTOS'!$W$6:$W$2005,"&gt;0"))</f>
        <v/>
      </c>
    </row>
    <row r="120">
      <c r="A120" s="9">
        <f>'CADASTRO DE FORNECEDORES'!$B$65</f>
        <v/>
      </c>
      <c r="B120" s="18">
        <f>IF('CADASTRO DE FORNECEDORES'!$B$65="","",SUMIFS('LANÇAMENTOS'!$W$6:$W$2005,'LANÇAMENTOS'!$I$6:$I$2005,'CADASTRO DE FORNECEDORES'!$B$65,'LANÇAMENTOS'!$E$6:$E$2005,"Saída",'LANÇAMENTOS'!$W$6:$W$2005,"&gt;0"))</f>
        <v/>
      </c>
      <c r="C120" s="18">
        <f>IF('CADASTRO DE FORNECEDORES'!$B$65="","",SUMIFS('LANÇAMENTOS'!$W$6:$W$2005,'LANÇAMENTOS'!$I$6:$I$2005,'CADASTRO DE FORNECEDORES'!$B$65,'LANÇAMENTOS'!$E$6:$E$2005,"Saída",'LANÇAMENTOS'!$W$6:$W$2005,"&gt;0",'LANÇAMENTOS'!$C$6:$C$2005,"&lt;"&amp;TODAY()))</f>
        <v/>
      </c>
      <c r="D120" s="18">
        <f>IF('CADASTRO DE FORNECEDORES'!$B$65="","",$B120-$C120)</f>
        <v/>
      </c>
      <c r="E120" s="18">
        <f>IF('CADASTRO DE FORNECEDORES'!$B$65="","",SUMIFS('LANÇAMENTOS'!$V$6:$V$2005,'LANÇAMENTOS'!$I$6:$I$2005,'CADASTRO DE FORNECEDORES'!$B$65,'LANÇAMENTOS'!$E$6:$E$2005,"Saída",'LANÇAMENTOS'!$D$6:$D$2005,"&gt;="&amp;DATE('CONFIGURAÇÕES'!$B$18,1,1),'LANÇAMENTOS'!$D$6:$D$2005,"&lt;="&amp;DATE('CONFIGURAÇÕES'!$B$18,12,31)))</f>
        <v/>
      </c>
      <c r="F120" s="23">
        <f>IFERROR($B120/SUM($B$61:$B$120),"")</f>
        <v/>
      </c>
      <c r="G120" s="24">
        <f>IF('CADASTRO DE FORNECEDORES'!$B$65="","",COUNTIFS('LANÇAMENTOS'!$I$6:$I$2005,'CADASTRO DE FORNECEDORES'!$B$65,'LANÇAMENTOS'!$E$6:$E$2005,"Saída",'LANÇAMENTOS'!$W$6:$W$2005,"&gt;0"))</f>
        <v/>
      </c>
    </row>
    <row r="121">
      <c r="A121" s="37" t="inlineStr">
        <is>
          <t>TOTAL</t>
        </is>
      </c>
      <c r="B121" s="38">
        <f>SUM(B61:B120)</f>
        <v/>
      </c>
      <c r="C121" s="38">
        <f>SUM(C61:C120)</f>
        <v/>
      </c>
      <c r="D121" s="38">
        <f>SUM(D61:D120)</f>
        <v/>
      </c>
      <c r="E121" s="38">
        <f>SUM(E61:E120)</f>
        <v/>
      </c>
      <c r="G121" s="38">
        <f>SUM(G61:G120)</f>
        <v/>
      </c>
    </row>
    <row r="123" ht="20" customHeight="1">
      <c r="A123" s="4" t="inlineStr">
        <is>
          <t>6. PRAZOS E COMPROMETIMENTO</t>
        </is>
      </c>
      <c r="B123" s="4" t="n"/>
      <c r="C123" s="4" t="n"/>
      <c r="D123" s="4" t="n"/>
      <c r="E123" s="4" t="n"/>
      <c r="F123" s="4" t="n"/>
      <c r="G123" s="4" t="n"/>
      <c r="H123" s="4" t="n"/>
    </row>
    <row r="124" ht="22" customHeight="1">
      <c r="A124" s="34" t="inlineStr">
        <is>
          <t>Indicador</t>
        </is>
      </c>
      <c r="B124" s="34" t="inlineStr">
        <is>
          <t>Valor</t>
        </is>
      </c>
      <c r="C124" s="34" t="inlineStr">
        <is>
          <t>Meta / referência</t>
        </is>
      </c>
      <c r="D124" s="34" t="inlineStr">
        <is>
          <t>Leitura</t>
        </is>
      </c>
    </row>
    <row r="125">
      <c r="A125" s="9" t="inlineStr">
        <is>
          <t>Prazo médio de pagamento real (dias)</t>
        </is>
      </c>
      <c r="B125" s="24">
        <f>IFERROR(SUMIFS('LANÇAMENTOS'!$AL$6:$AL$2005,'LANÇAMENTOS'!$E$6:$E$2005,"Saída")/SUMIFS('LANÇAMENTOS'!$V$6:$V$2005,'LANÇAMENTOS'!$E$6:$E$2005,"Saída"),"")</f>
        <v/>
      </c>
      <c r="C125" s="24">
        <f>'CONFIGURAÇÕES'!$B$28</f>
        <v/>
      </c>
      <c r="D125" s="25" t="inlineStr">
        <is>
          <t>Média ponderada dos dias entre a competência e o pagamento efetivo.</t>
        </is>
      </c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</row>
    <row r="126">
      <c r="A126" s="9" t="inlineStr">
        <is>
          <t>Prazo médio concedido pelos fornecedores (dias)</t>
        </is>
      </c>
      <c r="B126" s="24">
        <f>IFERROR((SUMIFS('LANÇAMENTOS'!$C$6:$C$2005,'LANÇAMENTOS'!$E$6:$E$2005,"Saída",'LANÇAMENTOS'!$W$6:$W$2005,"&gt;0")-SUMIFS('LANÇAMENTOS'!$B$6:$B$2005,'LANÇAMENTOS'!$E$6:$E$2005,"Saída",'LANÇAMENTOS'!$W$6:$W$2005,"&gt;0"))/MAX(1,COUNTIFS('LANÇAMENTOS'!$E$6:$E$2005,"Saída",'LANÇAMENTOS'!$W$6:$W$2005,"&gt;0")),"")</f>
        <v/>
      </c>
      <c r="C126" s="24" t="inlineStr">
        <is>
          <t>—</t>
        </is>
      </c>
      <c r="D126" s="25" t="inlineStr">
        <is>
          <t>Média de dias entre a competência e o vencimento dos títulos em aberto.</t>
        </is>
      </c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</row>
    <row r="127">
      <c r="A127" s="9" t="inlineStr">
        <is>
          <t>Saídas previstas para os próximos 7 dias</t>
        </is>
      </c>
      <c r="B127" s="18">
        <f>SUMIFS('LANÇAMENTOS'!$W$6:$W$2005,'LANÇAMENTOS'!$E$6:$E$2005,"Saída",'LANÇAMENTOS'!$W$6:$W$2005,"&gt;0",'LANÇAMENTOS'!$C$6:$C$2005,"&gt;="&amp;TODAY(),'LANÇAMENTOS'!$C$6:$C$2005,"&lt;="&amp;TODAY()+7)</f>
        <v/>
      </c>
      <c r="C127" s="18" t="inlineStr">
        <is>
          <t>—</t>
        </is>
      </c>
      <c r="D127" s="25" t="inlineStr">
        <is>
          <t>Comparar com o caixa disponível e com os recebimentos da semana.</t>
        </is>
      </c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</row>
    <row r="128">
      <c r="A128" s="9" t="inlineStr">
        <is>
          <t>Saídas previstas para os próximos 30 dias</t>
        </is>
      </c>
      <c r="B128" s="18">
        <f>SUMIFS('LANÇAMENTOS'!$W$6:$W$2005,'LANÇAMENTOS'!$E$6:$E$2005,"Saída",'LANÇAMENTOS'!$W$6:$W$2005,"&gt;0",'LANÇAMENTOS'!$C$6:$C$2005,"&gt;="&amp;TODAY(),'LANÇAMENTOS'!$C$6:$C$2005,"&lt;="&amp;TODAY()+30)</f>
        <v/>
      </c>
      <c r="C128" s="18" t="inlineStr">
        <is>
          <t>—</t>
        </is>
      </c>
      <c r="D128" s="25" t="inlineStr">
        <is>
          <t>Planeje o fluxo de caixa do mês.</t>
        </is>
      </c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</row>
    <row r="129">
      <c r="A129" s="9" t="inlineStr">
        <is>
          <t>Saldo de caixa disponível hoje</t>
        </is>
      </c>
      <c r="B129" s="18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C129" s="18" t="inlineStr">
        <is>
          <t>—</t>
        </is>
      </c>
      <c r="D129" s="25" t="inlineStr">
        <is>
          <t>Caixa atual para honrar os compromissos.</t>
        </is>
      </c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</row>
    <row r="130">
      <c r="A130" s="9" t="inlineStr">
        <is>
          <t>Cobertura do caixa (próximos 30 dias)</t>
        </is>
      </c>
      <c r="B130" s="23">
        <f>IFERROR(SUMIFS('LANÇAMENTOS'!$W$6:$W$2005,'LANÇAMENTOS'!$E$6:$E$2005,"Saída",'LANÇAMENTOS'!$W$6:$W$2005,"&gt;0",'LANÇAMENTOS'!$C$6:$C$2005,"&gt;="&amp;TODAY(),'LANÇAMENTOS'!$C$6:$C$2005,"&lt;="&amp;TODAY()+30)/$B$129,"")</f>
        <v/>
      </c>
      <c r="C130" s="18" t="inlineStr">
        <is>
          <t>—</t>
        </is>
      </c>
      <c r="D130" s="25" t="inlineStr">
        <is>
          <t>Quanto das saídas de 30 dias o caixa cobre. Abaixo de 1,0 exige antecipação de recebíveis.</t>
        </is>
      </c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40">
    <mergeCell ref="A5:J5"/>
    <mergeCell ref="C6:D6"/>
    <mergeCell ref="A59:H59"/>
    <mergeCell ref="A24:H24"/>
    <mergeCell ref="A11:B11"/>
    <mergeCell ref="G11:H11"/>
    <mergeCell ref="G8:H8"/>
    <mergeCell ref="D126:O126"/>
    <mergeCell ref="A123:H123"/>
    <mergeCell ref="E8:F8"/>
    <mergeCell ref="A6:B6"/>
    <mergeCell ref="A3:O3"/>
    <mergeCell ref="D125:O125"/>
    <mergeCell ref="A57:O57"/>
    <mergeCell ref="C10:D10"/>
    <mergeCell ref="A7:B7"/>
    <mergeCell ref="G7:H7"/>
    <mergeCell ref="E10:F10"/>
    <mergeCell ref="G10:H10"/>
    <mergeCell ref="G6:H6"/>
    <mergeCell ref="C9:D9"/>
    <mergeCell ref="D127:O127"/>
    <mergeCell ref="E9:F9"/>
    <mergeCell ref="D130:O130"/>
    <mergeCell ref="A1:J1"/>
    <mergeCell ref="E6:F6"/>
    <mergeCell ref="C11:D11"/>
    <mergeCell ref="E11:F11"/>
    <mergeCell ref="D129:O129"/>
    <mergeCell ref="A34:I34"/>
    <mergeCell ref="A8:B8"/>
    <mergeCell ref="C8:D8"/>
    <mergeCell ref="C7:D7"/>
    <mergeCell ref="E7:F7"/>
    <mergeCell ref="D128:O128"/>
    <mergeCell ref="A10:B10"/>
    <mergeCell ref="A13:H13"/>
    <mergeCell ref="A2:J2"/>
    <mergeCell ref="A9:B9"/>
    <mergeCell ref="G9:H9"/>
  </mergeCells>
  <conditionalFormatting sqref="A15:A21">
    <cfRule type="expression" priority="1" dxfId="2" stopIfTrue="0">
      <formula>ISNUMBER(SEARCH("Vencido",A15))</formula>
    </cfRule>
    <cfRule type="expression" priority="2" dxfId="3" stopIfTrue="0">
      <formula>ISNUMBER(SEARCH("Vence",A15))</formula>
    </cfRule>
    <cfRule type="expression" priority="3" dxfId="4" stopIfTrue="0">
      <formula>ISNUMBER(SEARCH("Pago",A15))</formula>
    </cfRule>
  </conditionalFormatting>
  <conditionalFormatting sqref="B26:B31">
    <cfRule type="dataBar" priority="4">
      <dataBar showValue="1">
        <cfvo type="num" val="0"/>
        <cfvo type="max"/>
        <color rgb="002E75B6"/>
      </dataBar>
    </cfRule>
  </conditionalFormatting>
  <conditionalFormatting sqref="G26:G31">
    <cfRule type="expression" priority="5" dxfId="2" stopIfTrue="0">
      <formula>ISNUMBER(SEARCH("imediatamente",G26))</formula>
    </cfRule>
  </conditionalFormatting>
  <conditionalFormatting sqref="F36:F55">
    <cfRule type="expression" priority="6" dxfId="0">
      <formula>=$F36="Vencido"</formula>
    </cfRule>
    <cfRule type="expression" priority="7" dxfId="1">
      <formula>=$F36="Vence hoje"</formula>
    </cfRule>
  </conditionalFormatting>
  <conditionalFormatting sqref="B61:B120">
    <cfRule type="dataBar" priority="8">
      <dataBar showValue="1">
        <cfvo type="num" val="0"/>
        <cfvo type="max"/>
        <color rgb="002E75B6"/>
      </dataBar>
    </cfRule>
  </conditionalFormatting>
  <conditionalFormatting sqref="B130">
    <cfRule type="expression" priority="9" dxfId="0">
      <formula>=B130&lt;1</formula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1F6F3F"/>
    <outlinePr summaryBelow="1" summaryRight="1"/>
    <pageSetUpPr fitToPage="1"/>
  </sheetPr>
  <dimension ref="A1:O118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24" customWidth="1" min="4" max="4"/>
    <col width="24" customWidth="1" min="5" max="5"/>
    <col width="16" customWidth="1" min="6" max="6"/>
    <col width="16" customWidth="1" min="7" max="7"/>
    <col width="13" customWidth="1" min="8" max="8"/>
    <col hidden="1"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</cols>
  <sheetData>
    <row r="1" ht="24" customHeight="1">
      <c r="A1" s="26" t="inlineStr">
        <is>
          <t>CONTAS A RECEBER (CLIENTES) — O QUE A EMPRESA TEM A RECEBER</t>
        </is>
      </c>
    </row>
    <row r="2">
      <c r="A2" s="27" t="inlineStr">
        <is>
          <t>Carteira de recebíveis com classificação automática por vencimento, prazos médios, ticket médio e ranking de clientes. Alimentada pela aba LANÇAMENTOS.</t>
        </is>
      </c>
    </row>
    <row r="3" ht="24" customHeight="1">
      <c r="A3" s="3" t="inlineStr">
        <is>
          <t>⚠ DADOS DE EXEMPLO. Cada título é um lançamento de entrada na aba LANÇAMENTOS; esta aba organiza a carteira e sinaliza os atrasos. Veja a aba INADIMPLÊNCIA para a análise de atrasos.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5" ht="20" customHeight="1">
      <c r="A5" s="4" t="inlineStr">
        <is>
          <t>1. INDICADORES DA CARTEIRA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6" customHeight="1">
      <c r="A6" s="5" t="inlineStr">
        <is>
          <t>Total a receber em aberto</t>
        </is>
      </c>
      <c r="B6" s="5" t="n"/>
      <c r="C6" s="5" t="inlineStr">
        <is>
          <t>Vencido a receber</t>
        </is>
      </c>
      <c r="D6" s="5" t="n"/>
      <c r="E6" s="5" t="inlineStr">
        <is>
          <t>Vence hoje</t>
        </is>
      </c>
      <c r="F6" s="5" t="n"/>
      <c r="G6" s="5" t="inlineStr">
        <is>
          <t>Próximos 7 dias</t>
        </is>
      </c>
      <c r="H6" s="5" t="n"/>
    </row>
    <row r="7" ht="30" customHeight="1">
      <c r="A7" s="6">
        <f>SUMIFS('LANÇAMENTOS'!$W$6:$W$2005,'LANÇAMENTOS'!$E$6:$E$2005,"Entrada",'LANÇAMENTOS'!$W$6:$W$2005,"&gt;0")</f>
        <v/>
      </c>
      <c r="B7" s="6" t="n"/>
      <c r="C7" s="6">
        <f>SUMIFS('LANÇAMENTOS'!$W$6:$W$2005,'LANÇAMENTOS'!$E$6:$E$2005,"Entrada",'LANÇAMENTOS'!$W$6:$W$2005,"&gt;0",'LANÇAMENTOS'!$C$6:$C$2005,"&lt;"&amp;TODAY())</f>
        <v/>
      </c>
      <c r="D7" s="6" t="n"/>
      <c r="E7" s="6">
        <f>SUMIFS('LANÇAMENTOS'!$W$6:$W$2005,'LANÇAMENTOS'!$E$6:$E$2005,"Entrada",'LANÇAMENTOS'!$W$6:$W$2005,"&gt;0",'LANÇAMENTOS'!$C$6:$C$2005,"="&amp;TODAY())</f>
        <v/>
      </c>
      <c r="F7" s="6" t="n"/>
      <c r="G7" s="6">
        <f>SUMIFS('LANÇAMENTOS'!$W$6:$W$2005,'LANÇAMENTOS'!$E$6:$E$2005,"Entrada",'LANÇAMENTOS'!$W$6:$W$2005,"&gt;0",'LANÇAMENTOS'!$C$6:$C$2005,"&gt;"&amp;TODAY(),'LANÇAMENTOS'!$C$6:$C$2005,"&lt;="&amp;TODAY()+7)</f>
        <v/>
      </c>
      <c r="H7" s="6" t="n"/>
    </row>
    <row r="8" ht="16" customHeight="1">
      <c r="A8" s="40" t="inlineStr">
        <is>
          <t>Carteira total a receber</t>
        </is>
      </c>
      <c r="B8" s="40" t="n"/>
      <c r="C8" s="40" t="inlineStr">
        <is>
          <t>Cobrança prioritária</t>
        </is>
      </c>
      <c r="D8" s="40" t="n"/>
      <c r="E8" s="40" t="inlineStr">
        <is>
          <t>Recebimento esperado hoje</t>
        </is>
      </c>
      <c r="F8" s="40" t="n"/>
      <c r="G8" s="40" t="inlineStr">
        <is>
          <t>Entradas da semana</t>
        </is>
      </c>
      <c r="H8" s="40" t="n"/>
    </row>
    <row r="9" ht="26" customHeight="1">
      <c r="A9" s="5" t="inlineStr">
        <is>
          <t>Próximos 30 dias</t>
        </is>
      </c>
      <c r="B9" s="5" t="n"/>
      <c r="C9" s="5" t="inlineStr">
        <is>
          <t>Recebido no ano</t>
        </is>
      </c>
      <c r="D9" s="5" t="n"/>
      <c r="E9" s="5" t="inlineStr">
        <is>
          <t>Ticket médio por cliente</t>
        </is>
      </c>
      <c r="F9" s="5" t="n"/>
      <c r="G9" s="5" t="inlineStr">
        <is>
          <t>Títulos vencidos (qtd.)</t>
        </is>
      </c>
      <c r="H9" s="5" t="n"/>
    </row>
    <row r="10" ht="30" customHeight="1">
      <c r="A10" s="6">
        <f>SUMIFS('LANÇAMENTOS'!$W$6:$W$2005,'LANÇAMENTOS'!$E$6:$E$2005,"Entrada",'LANÇAMENTOS'!$W$6:$W$2005,"&gt;0",'LANÇAMENTOS'!$C$6:$C$2005,"&gt;"&amp;TODAY()+7,'LANÇAMENTOS'!$C$6:$C$2005,"&lt;="&amp;TODAY()+30)</f>
        <v/>
      </c>
      <c r="B10" s="6" t="n"/>
      <c r="C10" s="6">
        <f>SUMIFS('LANÇAMENTOS'!$V$6:$V$2005,'LANÇAMENTOS'!$E$6:$E$2005,"Entrada",'LANÇAMENTOS'!$D$6:$D$2005,"&gt;="&amp;DATE('CONFIGURAÇÕES'!$B$18,1,1),'LANÇAMENTOS'!$D$6:$D$2005,"&lt;="&amp;DATE('CONFIGURAÇÕES'!$B$18,12,31))</f>
        <v/>
      </c>
      <c r="D10" s="6" t="n"/>
      <c r="E10" s="6">
        <f>IFERROR(SUMIFS('LANÇAMENTOS'!$V$6:$V$2005,'LANÇAMENTOS'!$E$6:$E$2005,"Entrada",'LANÇAMENTOS'!$D$6:$D$2005,"&gt;="&amp;DATE('CONFIGURAÇÕES'!$B$18,1,1),'LANÇAMENTOS'!$D$6:$D$2005,"&lt;="&amp;DATE('CONFIGURAÇÕES'!$B$18,12,31))/SUMPRODUCT((COUNTIFS('LANÇAMENTOS'!$I$6:$I$2005,'CADASTRO DE CLIENTES'!$C$6:$C$65,'LANÇAMENTOS'!$AA$6:$AA$2005,'CONFIGURAÇÕES'!$B$18)&gt;0)*1),"")</f>
        <v/>
      </c>
      <c r="F10" s="6" t="n"/>
      <c r="G10" s="16">
        <f>COUNTIFS('LANÇAMENTOS'!$E$6:$E$2005,"Entrada",'LANÇAMENTOS'!$W$6:$W$2005,"&gt;0",'LANÇAMENTOS'!$C$6:$C$2005,"&lt;"&amp;TODAY())</f>
        <v/>
      </c>
      <c r="H10" s="16" t="n"/>
    </row>
    <row r="11" ht="16" customHeight="1">
      <c r="A11" s="40" t="inlineStr">
        <is>
          <t>Entradas do mês</t>
        </is>
      </c>
      <c r="B11" s="40" t="n"/>
      <c r="C11" s="40" t="inlineStr">
        <is>
          <t>Ano de análise</t>
        </is>
      </c>
      <c r="D11" s="40" t="n"/>
      <c r="E11" s="40" t="inlineStr">
        <is>
          <t>Recebido ÷ clientes que compraram</t>
        </is>
      </c>
      <c r="F11" s="40" t="n"/>
      <c r="G11" s="40" t="inlineStr">
        <is>
          <t>Quantidade em atraso</t>
        </is>
      </c>
      <c r="H11" s="40" t="n"/>
    </row>
    <row r="13" ht="20" customHeight="1">
      <c r="A13" s="4" t="inlineStr">
        <is>
          <t>2. CLASSIFICAÇÃO AUTOMÁTICA DA CARTEIRA</t>
        </is>
      </c>
      <c r="B13" s="4" t="n"/>
      <c r="C13" s="4" t="n"/>
      <c r="D13" s="4" t="n"/>
      <c r="E13" s="4" t="n"/>
      <c r="F13" s="4" t="n"/>
      <c r="G13" s="4" t="n"/>
      <c r="H13" s="4" t="n"/>
    </row>
    <row r="14" ht="30" customHeight="1">
      <c r="A14" s="34" t="inlineStr">
        <is>
          <t>Situação</t>
        </is>
      </c>
      <c r="B14" s="34" t="inlineStr">
        <is>
          <t>Valor</t>
        </is>
      </c>
      <c r="C14" s="34" t="inlineStr">
        <is>
          <t>Qtd. títulos</t>
        </is>
      </c>
      <c r="D14" s="34" t="inlineStr">
        <is>
          <t>% do total a receber</t>
        </is>
      </c>
      <c r="E14" s="34" t="inlineStr">
        <is>
          <t>Como o sistema classifica</t>
        </is>
      </c>
    </row>
    <row r="15">
      <c r="A15" s="9" t="inlineStr">
        <is>
          <t>Vencido</t>
        </is>
      </c>
      <c r="B15" s="18">
        <f>SUMIFS('LANÇAMENTOS'!$W$6:$W$2005,'LANÇAMENTOS'!$E$6:$E$2005,"Entrada",'LANÇAMENTOS'!$W$6:$W$2005,"&gt;0",'LANÇAMENTOS'!$C$6:$C$2005,"&lt;"&amp;TODAY())</f>
        <v/>
      </c>
      <c r="C15" s="24">
        <f>COUNTIFS('LANÇAMENTOS'!$E$6:$E$2005,"Entrada",'LANÇAMENTOS'!$W$6:$W$2005,"&gt;0",'LANÇAMENTOS'!$C$6:$C$2005,"&lt;"&amp;TODAY())</f>
        <v/>
      </c>
      <c r="D15" s="23">
        <f>IF(SUM($B$15:$B$19)=0,"",$B15/SUM($B$15:$B$19))</f>
        <v/>
      </c>
      <c r="E15" s="25" t="inlineStr">
        <is>
          <t>Vencimento anterior a hoje e ainda em aberto</t>
        </is>
      </c>
    </row>
    <row r="16">
      <c r="A16" s="9" t="inlineStr">
        <is>
          <t>Vence hoje</t>
        </is>
      </c>
      <c r="B16" s="18">
        <f>SUMIFS('LANÇAMENTOS'!$W$6:$W$2005,'LANÇAMENTOS'!$E$6:$E$2005,"Entrada",'LANÇAMENTOS'!$W$6:$W$2005,"&gt;0",'LANÇAMENTOS'!$C$6:$C$2005,"="&amp;TODAY())</f>
        <v/>
      </c>
      <c r="C16" s="24">
        <f>COUNTIFS('LANÇAMENTOS'!$E$6:$E$2005,"Entrada",'LANÇAMENTOS'!$W$6:$W$2005,"&gt;0",'LANÇAMENTOS'!$C$6:$C$2005,"="&amp;TODAY())</f>
        <v/>
      </c>
      <c r="D16" s="23">
        <f>IF(SUM($B$15:$B$19)=0,"",$B16/SUM($B$15:$B$19))</f>
        <v/>
      </c>
      <c r="E16" s="25" t="inlineStr">
        <is>
          <t>Vencimento igual à data de hoje</t>
        </is>
      </c>
    </row>
    <row r="17">
      <c r="A17" s="9" t="inlineStr">
        <is>
          <t>Vence em 7 dias</t>
        </is>
      </c>
      <c r="B17" s="18">
        <f>SUMIFS('LANÇAMENTOS'!$W$6:$W$2005,'LANÇAMENTOS'!$E$6:$E$2005,"Entrada",'LANÇAMENTOS'!$W$6:$W$2005,"&gt;0",'LANÇAMENTOS'!$C$6:$C$2005,"&gt;"&amp;TODAY(),'LANÇAMENTOS'!$C$6:$C$2005,"&lt;="&amp;TODAY()+7)</f>
        <v/>
      </c>
      <c r="C17" s="24">
        <f>COUNTIFS('LANÇAMENTOS'!$E$6:$E$2005,"Entrada",'LANÇAMENTOS'!$W$6:$W$2005,"&gt;0",'LANÇAMENTOS'!$C$6:$C$2005,"&gt;"&amp;TODAY(),'LANÇAMENTOS'!$C$6:$C$2005,"&lt;="&amp;TODAY()+7)</f>
        <v/>
      </c>
      <c r="D17" s="23">
        <f>IF(SUM($B$15:$B$19)=0,"",$B17/SUM($B$15:$B$19))</f>
        <v/>
      </c>
      <c r="E17" s="25" t="inlineStr">
        <is>
          <t>Vence nos próximos 7 dias</t>
        </is>
      </c>
    </row>
    <row r="18">
      <c r="A18" s="9" t="inlineStr">
        <is>
          <t>Vence em 30 dias</t>
        </is>
      </c>
      <c r="B18" s="18">
        <f>SUMIFS('LANÇAMENTOS'!$W$6:$W$2005,'LANÇAMENTOS'!$E$6:$E$2005,"Entrada",'LANÇAMENTOS'!$W$6:$W$2005,"&gt;0",'LANÇAMENTOS'!$C$6:$C$2005,"&gt;"&amp;TODAY()+7,'LANÇAMENTOS'!$C$6:$C$2005,"&lt;="&amp;TODAY()+30)</f>
        <v/>
      </c>
      <c r="C18" s="24">
        <f>COUNTIFS('LANÇAMENTOS'!$E$6:$E$2005,"Entrada",'LANÇAMENTOS'!$W$6:$W$2005,"&gt;0",'LANÇAMENTOS'!$C$6:$C$2005,"&gt;"&amp;TODAY()+7,'LANÇAMENTOS'!$C$6:$C$2005,"&lt;="&amp;TODAY()+30)</f>
        <v/>
      </c>
      <c r="D18" s="23">
        <f>IF(SUM($B$15:$B$19)=0,"",$B18/SUM($B$15:$B$19))</f>
        <v/>
      </c>
      <c r="E18" s="25" t="inlineStr">
        <is>
          <t>Vence entre 8 e 30 dias</t>
        </is>
      </c>
    </row>
    <row r="19">
      <c r="A19" s="9" t="inlineStr">
        <is>
          <t>Futuro (mais de 30 dias)</t>
        </is>
      </c>
      <c r="B19" s="18">
        <f>SUMIFS('LANÇAMENTOS'!$W$6:$W$2005,'LANÇAMENTOS'!$E$6:$E$2005,"Entrada",'LANÇAMENTOS'!$W$6:$W$2005,"&gt;0",'LANÇAMENTOS'!$C$6:$C$2005,"&gt;"&amp;TODAY()+30)</f>
        <v/>
      </c>
      <c r="C19" s="24">
        <f>COUNTIFS('LANÇAMENTOS'!$E$6:$E$2005,"Entrada",'LANÇAMENTOS'!$W$6:$W$2005,"&gt;0",'LANÇAMENTOS'!$C$6:$C$2005,"&gt;"&amp;TODAY()+30)</f>
        <v/>
      </c>
      <c r="D19" s="23">
        <f>IF(SUM($B$15:$B$19)=0,"",$B19/SUM($B$15:$B$19))</f>
        <v/>
      </c>
      <c r="E19" s="25" t="inlineStr">
        <is>
          <t>Vence em mais de 30 dias</t>
        </is>
      </c>
    </row>
    <row r="20">
      <c r="A20" s="9" t="inlineStr">
        <is>
          <t>Recebido / liquidado</t>
        </is>
      </c>
      <c r="B20" s="18">
        <f>SUMIFS('LANÇAMENTOS'!$W$6:$W$2005,'LANÇAMENTOS'!$E$6:$E$2005,"Entrada",'LANÇAMENTOS'!$W$6:$W$2005,"=0",'LANÇAMENTOS'!$X$6:$X$2005,"Recebido")</f>
        <v/>
      </c>
      <c r="C20" s="24">
        <f>COUNTIFS('LANÇAMENTOS'!$E$6:$E$2005,"Entrada",'LANÇAMENTOS'!$W$6:$W$2005,"=0",'LANÇAMENTOS'!$X$6:$X$2005,"Recebido")</f>
        <v/>
      </c>
      <c r="D20" s="23">
        <f>IF(SUM($B$15:$B$19)=0,"",$B20/SUM($B$15:$B$19))</f>
        <v/>
      </c>
      <c r="E20" s="25" t="inlineStr">
        <is>
          <t>Já recebido</t>
        </is>
      </c>
    </row>
    <row r="21">
      <c r="A21" s="9" t="inlineStr">
        <is>
          <t>Cancelado</t>
        </is>
      </c>
      <c r="B21" s="18">
        <f>SUMIFS('LANÇAMENTOS'!$W$6:$W$2005,'LANÇAMENTOS'!$E$6:$E$2005,"Entrada",'LANÇAMENTOS'!$X$6:$X$2005,"Cancelado")</f>
        <v/>
      </c>
      <c r="C21" s="24">
        <f>COUNTIFS('LANÇAMENTOS'!$E$6:$E$2005,"Entrada",'LANÇAMENTOS'!$X$6:$X$2005,"Cancelado")</f>
        <v/>
      </c>
      <c r="D21" s="23">
        <f>IF(SUM($B$15:$B$19)=0,"",$B21/SUM($B$15:$B$19))</f>
        <v/>
      </c>
      <c r="E21" s="25" t="inlineStr">
        <is>
          <t>Lançamento cancelado — não afeta o caixa</t>
        </is>
      </c>
    </row>
    <row r="22">
      <c r="A22" s="37" t="inlineStr">
        <is>
          <t>TOTAL A RECEBER (vencido + a vencer)</t>
        </is>
      </c>
      <c r="B22" s="38">
        <f>SUM($B$15:$B$19)</f>
        <v/>
      </c>
      <c r="C22" s="41">
        <f>SUM($C$15:$C$19)</f>
        <v/>
      </c>
    </row>
    <row r="24" ht="20" customHeight="1">
      <c r="A24" s="4" t="inlineStr">
        <is>
          <t>3. PRÓXIMOS RECEBIMENTOS — 20 TÍTULOS MAIS PRÓXIMOS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30" customHeight="1">
      <c r="A25" s="34" t="inlineStr">
        <is>
          <t>Vencimento</t>
        </is>
      </c>
      <c r="B25" s="34" t="inlineStr">
        <is>
          <t>Cliente</t>
        </is>
      </c>
      <c r="C25" s="34" t="inlineStr">
        <is>
          <t>Descrição</t>
        </is>
      </c>
      <c r="D25" s="34" t="inlineStr">
        <is>
          <t>Categoria</t>
        </is>
      </c>
      <c r="E25" s="34" t="inlineStr">
        <is>
          <t>Subcategoria</t>
        </is>
      </c>
      <c r="F25" s="34" t="inlineStr">
        <is>
          <t>Situação</t>
        </is>
      </c>
      <c r="G25" s="34" t="inlineStr">
        <is>
          <t>Valor em aberto</t>
        </is>
      </c>
      <c r="H25" s="34" t="inlineStr">
        <is>
          <t>Dias p/ vencer</t>
        </is>
      </c>
      <c r="I25" s="34" t="inlineStr">
        <is>
          <t>Chave (ordem)</t>
        </is>
      </c>
    </row>
    <row r="26">
      <c r="A26" s="30">
        <f>IF($I26="","",INDEX('LANÇAMENTOS'!$C$6:$C$2005,MATCH($I26,'LANÇAMENTOS'!$AN$6:$AN$2005,0)))</f>
        <v/>
      </c>
      <c r="B26" s="9">
        <f>IF($I26="","",INDEX('LANÇAMENTOS'!$I$6:$I$2005,MATCH($I26,'LANÇAMENTOS'!$AN$6:$AN$2005,0)))</f>
        <v/>
      </c>
      <c r="C26" s="9">
        <f>IF($I26="","",INDEX('LANÇAMENTOS'!$J$6:$J$2005,MATCH($I26,'LANÇAMENTOS'!$AN$6:$AN$2005,0)))</f>
        <v/>
      </c>
      <c r="D26" s="17">
        <f>IF($I26="","",INDEX('LANÇAMENTOS'!$F$6:$F$2005,MATCH($I26,'LANÇAMENTOS'!$AN$6:$AN$2005,0)))</f>
        <v/>
      </c>
      <c r="E26" s="9">
        <f>IF($I26="","",INDEX('LANÇAMENTOS'!$G$6:$G$2005,MATCH($I26,'LANÇAMENTOS'!$AN$6:$AN$2005,0)))</f>
        <v/>
      </c>
      <c r="F26" s="17">
        <f>IF($I26="","",INDEX('LANÇAMENTOS'!$Y$6:$Y$2005,MATCH($I26,'LANÇAMENTOS'!$AN$6:$AN$2005,0)))</f>
        <v/>
      </c>
      <c r="G26" s="18">
        <f>IF($I26="","",INDEX('LANÇAMENTOS'!$W$6:$W$2005,MATCH($I26,'LANÇAMENTOS'!$AN$6:$AN$2005,0)))</f>
        <v/>
      </c>
      <c r="H26" s="24">
        <f>IF($I26="","",INDEX('LANÇAMENTOS'!$AI$6:$AI$2005,MATCH($I26,'LANÇAMENTOS'!$AN$6:$AN$2005,0)))</f>
        <v/>
      </c>
      <c r="I26" s="17">
        <f>IFERROR(SMALL('LANÇAMENTOS'!$AN$6:$AN$2005,1),"")</f>
        <v/>
      </c>
    </row>
    <row r="27">
      <c r="A27" s="30">
        <f>IF($I27="","",INDEX('LANÇAMENTOS'!$C$6:$C$2005,MATCH($I27,'LANÇAMENTOS'!$AN$6:$AN$2005,0)))</f>
        <v/>
      </c>
      <c r="B27" s="9">
        <f>IF($I27="","",INDEX('LANÇAMENTOS'!$I$6:$I$2005,MATCH($I27,'LANÇAMENTOS'!$AN$6:$AN$2005,0)))</f>
        <v/>
      </c>
      <c r="C27" s="9">
        <f>IF($I27="","",INDEX('LANÇAMENTOS'!$J$6:$J$2005,MATCH($I27,'LANÇAMENTOS'!$AN$6:$AN$2005,0)))</f>
        <v/>
      </c>
      <c r="D27" s="17">
        <f>IF($I27="","",INDEX('LANÇAMENTOS'!$F$6:$F$2005,MATCH($I27,'LANÇAMENTOS'!$AN$6:$AN$2005,0)))</f>
        <v/>
      </c>
      <c r="E27" s="9">
        <f>IF($I27="","",INDEX('LANÇAMENTOS'!$G$6:$G$2005,MATCH($I27,'LANÇAMENTOS'!$AN$6:$AN$2005,0)))</f>
        <v/>
      </c>
      <c r="F27" s="17">
        <f>IF($I27="","",INDEX('LANÇAMENTOS'!$Y$6:$Y$2005,MATCH($I27,'LANÇAMENTOS'!$AN$6:$AN$2005,0)))</f>
        <v/>
      </c>
      <c r="G27" s="18">
        <f>IF($I27="","",INDEX('LANÇAMENTOS'!$W$6:$W$2005,MATCH($I27,'LANÇAMENTOS'!$AN$6:$AN$2005,0)))</f>
        <v/>
      </c>
      <c r="H27" s="24">
        <f>IF($I27="","",INDEX('LANÇAMENTOS'!$AI$6:$AI$2005,MATCH($I27,'LANÇAMENTOS'!$AN$6:$AN$2005,0)))</f>
        <v/>
      </c>
      <c r="I27" s="17">
        <f>IFERROR(SMALL('LANÇAMENTOS'!$AN$6:$AN$2005,2),"")</f>
        <v/>
      </c>
    </row>
    <row r="28">
      <c r="A28" s="30">
        <f>IF($I28="","",INDEX('LANÇAMENTOS'!$C$6:$C$2005,MATCH($I28,'LANÇAMENTOS'!$AN$6:$AN$2005,0)))</f>
        <v/>
      </c>
      <c r="B28" s="9">
        <f>IF($I28="","",INDEX('LANÇAMENTOS'!$I$6:$I$2005,MATCH($I28,'LANÇAMENTOS'!$AN$6:$AN$2005,0)))</f>
        <v/>
      </c>
      <c r="C28" s="9">
        <f>IF($I28="","",INDEX('LANÇAMENTOS'!$J$6:$J$2005,MATCH($I28,'LANÇAMENTOS'!$AN$6:$AN$2005,0)))</f>
        <v/>
      </c>
      <c r="D28" s="17">
        <f>IF($I28="","",INDEX('LANÇAMENTOS'!$F$6:$F$2005,MATCH($I28,'LANÇAMENTOS'!$AN$6:$AN$2005,0)))</f>
        <v/>
      </c>
      <c r="E28" s="9">
        <f>IF($I28="","",INDEX('LANÇAMENTOS'!$G$6:$G$2005,MATCH($I28,'LANÇAMENTOS'!$AN$6:$AN$2005,0)))</f>
        <v/>
      </c>
      <c r="F28" s="17">
        <f>IF($I28="","",INDEX('LANÇAMENTOS'!$Y$6:$Y$2005,MATCH($I28,'LANÇAMENTOS'!$AN$6:$AN$2005,0)))</f>
        <v/>
      </c>
      <c r="G28" s="18">
        <f>IF($I28="","",INDEX('LANÇAMENTOS'!$W$6:$W$2005,MATCH($I28,'LANÇAMENTOS'!$AN$6:$AN$2005,0)))</f>
        <v/>
      </c>
      <c r="H28" s="24">
        <f>IF($I28="","",INDEX('LANÇAMENTOS'!$AI$6:$AI$2005,MATCH($I28,'LANÇAMENTOS'!$AN$6:$AN$2005,0)))</f>
        <v/>
      </c>
      <c r="I28" s="17">
        <f>IFERROR(SMALL('LANÇAMENTOS'!$AN$6:$AN$2005,3),"")</f>
        <v/>
      </c>
    </row>
    <row r="29">
      <c r="A29" s="30">
        <f>IF($I29="","",INDEX('LANÇAMENTOS'!$C$6:$C$2005,MATCH($I29,'LANÇAMENTOS'!$AN$6:$AN$2005,0)))</f>
        <v/>
      </c>
      <c r="B29" s="9">
        <f>IF($I29="","",INDEX('LANÇAMENTOS'!$I$6:$I$2005,MATCH($I29,'LANÇAMENTOS'!$AN$6:$AN$2005,0)))</f>
        <v/>
      </c>
      <c r="C29" s="9">
        <f>IF($I29="","",INDEX('LANÇAMENTOS'!$J$6:$J$2005,MATCH($I29,'LANÇAMENTOS'!$AN$6:$AN$2005,0)))</f>
        <v/>
      </c>
      <c r="D29" s="17">
        <f>IF($I29="","",INDEX('LANÇAMENTOS'!$F$6:$F$2005,MATCH($I29,'LANÇAMENTOS'!$AN$6:$AN$2005,0)))</f>
        <v/>
      </c>
      <c r="E29" s="9">
        <f>IF($I29="","",INDEX('LANÇAMENTOS'!$G$6:$G$2005,MATCH($I29,'LANÇAMENTOS'!$AN$6:$AN$2005,0)))</f>
        <v/>
      </c>
      <c r="F29" s="17">
        <f>IF($I29="","",INDEX('LANÇAMENTOS'!$Y$6:$Y$2005,MATCH($I29,'LANÇAMENTOS'!$AN$6:$AN$2005,0)))</f>
        <v/>
      </c>
      <c r="G29" s="18">
        <f>IF($I29="","",INDEX('LANÇAMENTOS'!$W$6:$W$2005,MATCH($I29,'LANÇAMENTOS'!$AN$6:$AN$2005,0)))</f>
        <v/>
      </c>
      <c r="H29" s="24">
        <f>IF($I29="","",INDEX('LANÇAMENTOS'!$AI$6:$AI$2005,MATCH($I29,'LANÇAMENTOS'!$AN$6:$AN$2005,0)))</f>
        <v/>
      </c>
      <c r="I29" s="17">
        <f>IFERROR(SMALL('LANÇAMENTOS'!$AN$6:$AN$2005,4),"")</f>
        <v/>
      </c>
    </row>
    <row r="30">
      <c r="A30" s="30">
        <f>IF($I30="","",INDEX('LANÇAMENTOS'!$C$6:$C$2005,MATCH($I30,'LANÇAMENTOS'!$AN$6:$AN$2005,0)))</f>
        <v/>
      </c>
      <c r="B30" s="9">
        <f>IF($I30="","",INDEX('LANÇAMENTOS'!$I$6:$I$2005,MATCH($I30,'LANÇAMENTOS'!$AN$6:$AN$2005,0)))</f>
        <v/>
      </c>
      <c r="C30" s="9">
        <f>IF($I30="","",INDEX('LANÇAMENTOS'!$J$6:$J$2005,MATCH($I30,'LANÇAMENTOS'!$AN$6:$AN$2005,0)))</f>
        <v/>
      </c>
      <c r="D30" s="17">
        <f>IF($I30="","",INDEX('LANÇAMENTOS'!$F$6:$F$2005,MATCH($I30,'LANÇAMENTOS'!$AN$6:$AN$2005,0)))</f>
        <v/>
      </c>
      <c r="E30" s="9">
        <f>IF($I30="","",INDEX('LANÇAMENTOS'!$G$6:$G$2005,MATCH($I30,'LANÇAMENTOS'!$AN$6:$AN$2005,0)))</f>
        <v/>
      </c>
      <c r="F30" s="17">
        <f>IF($I30="","",INDEX('LANÇAMENTOS'!$Y$6:$Y$2005,MATCH($I30,'LANÇAMENTOS'!$AN$6:$AN$2005,0)))</f>
        <v/>
      </c>
      <c r="G30" s="18">
        <f>IF($I30="","",INDEX('LANÇAMENTOS'!$W$6:$W$2005,MATCH($I30,'LANÇAMENTOS'!$AN$6:$AN$2005,0)))</f>
        <v/>
      </c>
      <c r="H30" s="24">
        <f>IF($I30="","",INDEX('LANÇAMENTOS'!$AI$6:$AI$2005,MATCH($I30,'LANÇAMENTOS'!$AN$6:$AN$2005,0)))</f>
        <v/>
      </c>
      <c r="I30" s="17">
        <f>IFERROR(SMALL('LANÇAMENTOS'!$AN$6:$AN$2005,5),"")</f>
        <v/>
      </c>
    </row>
    <row r="31">
      <c r="A31" s="30">
        <f>IF($I31="","",INDEX('LANÇAMENTOS'!$C$6:$C$2005,MATCH($I31,'LANÇAMENTOS'!$AN$6:$AN$2005,0)))</f>
        <v/>
      </c>
      <c r="B31" s="9">
        <f>IF($I31="","",INDEX('LANÇAMENTOS'!$I$6:$I$2005,MATCH($I31,'LANÇAMENTOS'!$AN$6:$AN$2005,0)))</f>
        <v/>
      </c>
      <c r="C31" s="9">
        <f>IF($I31="","",INDEX('LANÇAMENTOS'!$J$6:$J$2005,MATCH($I31,'LANÇAMENTOS'!$AN$6:$AN$2005,0)))</f>
        <v/>
      </c>
      <c r="D31" s="17">
        <f>IF($I31="","",INDEX('LANÇAMENTOS'!$F$6:$F$2005,MATCH($I31,'LANÇAMENTOS'!$AN$6:$AN$2005,0)))</f>
        <v/>
      </c>
      <c r="E31" s="9">
        <f>IF($I31="","",INDEX('LANÇAMENTOS'!$G$6:$G$2005,MATCH($I31,'LANÇAMENTOS'!$AN$6:$AN$2005,0)))</f>
        <v/>
      </c>
      <c r="F31" s="17">
        <f>IF($I31="","",INDEX('LANÇAMENTOS'!$Y$6:$Y$2005,MATCH($I31,'LANÇAMENTOS'!$AN$6:$AN$2005,0)))</f>
        <v/>
      </c>
      <c r="G31" s="18">
        <f>IF($I31="","",INDEX('LANÇAMENTOS'!$W$6:$W$2005,MATCH($I31,'LANÇAMENTOS'!$AN$6:$AN$2005,0)))</f>
        <v/>
      </c>
      <c r="H31" s="24">
        <f>IF($I31="","",INDEX('LANÇAMENTOS'!$AI$6:$AI$2005,MATCH($I31,'LANÇAMENTOS'!$AN$6:$AN$2005,0)))</f>
        <v/>
      </c>
      <c r="I31" s="17">
        <f>IFERROR(SMALL('LANÇAMENTOS'!$AN$6:$AN$2005,6),"")</f>
        <v/>
      </c>
    </row>
    <row r="32">
      <c r="A32" s="30">
        <f>IF($I32="","",INDEX('LANÇAMENTOS'!$C$6:$C$2005,MATCH($I32,'LANÇAMENTOS'!$AN$6:$AN$2005,0)))</f>
        <v/>
      </c>
      <c r="B32" s="9">
        <f>IF($I32="","",INDEX('LANÇAMENTOS'!$I$6:$I$2005,MATCH($I32,'LANÇAMENTOS'!$AN$6:$AN$2005,0)))</f>
        <v/>
      </c>
      <c r="C32" s="9">
        <f>IF($I32="","",INDEX('LANÇAMENTOS'!$J$6:$J$2005,MATCH($I32,'LANÇAMENTOS'!$AN$6:$AN$2005,0)))</f>
        <v/>
      </c>
      <c r="D32" s="17">
        <f>IF($I32="","",INDEX('LANÇAMENTOS'!$F$6:$F$2005,MATCH($I32,'LANÇAMENTOS'!$AN$6:$AN$2005,0)))</f>
        <v/>
      </c>
      <c r="E32" s="9">
        <f>IF($I32="","",INDEX('LANÇAMENTOS'!$G$6:$G$2005,MATCH($I32,'LANÇAMENTOS'!$AN$6:$AN$2005,0)))</f>
        <v/>
      </c>
      <c r="F32" s="17">
        <f>IF($I32="","",INDEX('LANÇAMENTOS'!$Y$6:$Y$2005,MATCH($I32,'LANÇAMENTOS'!$AN$6:$AN$2005,0)))</f>
        <v/>
      </c>
      <c r="G32" s="18">
        <f>IF($I32="","",INDEX('LANÇAMENTOS'!$W$6:$W$2005,MATCH($I32,'LANÇAMENTOS'!$AN$6:$AN$2005,0)))</f>
        <v/>
      </c>
      <c r="H32" s="24">
        <f>IF($I32="","",INDEX('LANÇAMENTOS'!$AI$6:$AI$2005,MATCH($I32,'LANÇAMENTOS'!$AN$6:$AN$2005,0)))</f>
        <v/>
      </c>
      <c r="I32" s="17">
        <f>IFERROR(SMALL('LANÇAMENTOS'!$AN$6:$AN$2005,7),"")</f>
        <v/>
      </c>
    </row>
    <row r="33">
      <c r="A33" s="30">
        <f>IF($I33="","",INDEX('LANÇAMENTOS'!$C$6:$C$2005,MATCH($I33,'LANÇAMENTOS'!$AN$6:$AN$2005,0)))</f>
        <v/>
      </c>
      <c r="B33" s="9">
        <f>IF($I33="","",INDEX('LANÇAMENTOS'!$I$6:$I$2005,MATCH($I33,'LANÇAMENTOS'!$AN$6:$AN$2005,0)))</f>
        <v/>
      </c>
      <c r="C33" s="9">
        <f>IF($I33="","",INDEX('LANÇAMENTOS'!$J$6:$J$2005,MATCH($I33,'LANÇAMENTOS'!$AN$6:$AN$2005,0)))</f>
        <v/>
      </c>
      <c r="D33" s="17">
        <f>IF($I33="","",INDEX('LANÇAMENTOS'!$F$6:$F$2005,MATCH($I33,'LANÇAMENTOS'!$AN$6:$AN$2005,0)))</f>
        <v/>
      </c>
      <c r="E33" s="9">
        <f>IF($I33="","",INDEX('LANÇAMENTOS'!$G$6:$G$2005,MATCH($I33,'LANÇAMENTOS'!$AN$6:$AN$2005,0)))</f>
        <v/>
      </c>
      <c r="F33" s="17">
        <f>IF($I33="","",INDEX('LANÇAMENTOS'!$Y$6:$Y$2005,MATCH($I33,'LANÇAMENTOS'!$AN$6:$AN$2005,0)))</f>
        <v/>
      </c>
      <c r="G33" s="18">
        <f>IF($I33="","",INDEX('LANÇAMENTOS'!$W$6:$W$2005,MATCH($I33,'LANÇAMENTOS'!$AN$6:$AN$2005,0)))</f>
        <v/>
      </c>
      <c r="H33" s="24">
        <f>IF($I33="","",INDEX('LANÇAMENTOS'!$AI$6:$AI$2005,MATCH($I33,'LANÇAMENTOS'!$AN$6:$AN$2005,0)))</f>
        <v/>
      </c>
      <c r="I33" s="17">
        <f>IFERROR(SMALL('LANÇAMENTOS'!$AN$6:$AN$2005,8),"")</f>
        <v/>
      </c>
    </row>
    <row r="34">
      <c r="A34" s="30">
        <f>IF($I34="","",INDEX('LANÇAMENTOS'!$C$6:$C$2005,MATCH($I34,'LANÇAMENTOS'!$AN$6:$AN$2005,0)))</f>
        <v/>
      </c>
      <c r="B34" s="9">
        <f>IF($I34="","",INDEX('LANÇAMENTOS'!$I$6:$I$2005,MATCH($I34,'LANÇAMENTOS'!$AN$6:$AN$2005,0)))</f>
        <v/>
      </c>
      <c r="C34" s="9">
        <f>IF($I34="","",INDEX('LANÇAMENTOS'!$J$6:$J$2005,MATCH($I34,'LANÇAMENTOS'!$AN$6:$AN$2005,0)))</f>
        <v/>
      </c>
      <c r="D34" s="17">
        <f>IF($I34="","",INDEX('LANÇAMENTOS'!$F$6:$F$2005,MATCH($I34,'LANÇAMENTOS'!$AN$6:$AN$2005,0)))</f>
        <v/>
      </c>
      <c r="E34" s="9">
        <f>IF($I34="","",INDEX('LANÇAMENTOS'!$G$6:$G$2005,MATCH($I34,'LANÇAMENTOS'!$AN$6:$AN$2005,0)))</f>
        <v/>
      </c>
      <c r="F34" s="17">
        <f>IF($I34="","",INDEX('LANÇAMENTOS'!$Y$6:$Y$2005,MATCH($I34,'LANÇAMENTOS'!$AN$6:$AN$2005,0)))</f>
        <v/>
      </c>
      <c r="G34" s="18">
        <f>IF($I34="","",INDEX('LANÇAMENTOS'!$W$6:$W$2005,MATCH($I34,'LANÇAMENTOS'!$AN$6:$AN$2005,0)))</f>
        <v/>
      </c>
      <c r="H34" s="24">
        <f>IF($I34="","",INDEX('LANÇAMENTOS'!$AI$6:$AI$2005,MATCH($I34,'LANÇAMENTOS'!$AN$6:$AN$2005,0)))</f>
        <v/>
      </c>
      <c r="I34" s="17">
        <f>IFERROR(SMALL('LANÇAMENTOS'!$AN$6:$AN$2005,9),"")</f>
        <v/>
      </c>
    </row>
    <row r="35">
      <c r="A35" s="30">
        <f>IF($I35="","",INDEX('LANÇAMENTOS'!$C$6:$C$2005,MATCH($I35,'LANÇAMENTOS'!$AN$6:$AN$2005,0)))</f>
        <v/>
      </c>
      <c r="B35" s="9">
        <f>IF($I35="","",INDEX('LANÇAMENTOS'!$I$6:$I$2005,MATCH($I35,'LANÇAMENTOS'!$AN$6:$AN$2005,0)))</f>
        <v/>
      </c>
      <c r="C35" s="9">
        <f>IF($I35="","",INDEX('LANÇAMENTOS'!$J$6:$J$2005,MATCH($I35,'LANÇAMENTOS'!$AN$6:$AN$2005,0)))</f>
        <v/>
      </c>
      <c r="D35" s="17">
        <f>IF($I35="","",INDEX('LANÇAMENTOS'!$F$6:$F$2005,MATCH($I35,'LANÇAMENTOS'!$AN$6:$AN$2005,0)))</f>
        <v/>
      </c>
      <c r="E35" s="9">
        <f>IF($I35="","",INDEX('LANÇAMENTOS'!$G$6:$G$2005,MATCH($I35,'LANÇAMENTOS'!$AN$6:$AN$2005,0)))</f>
        <v/>
      </c>
      <c r="F35" s="17">
        <f>IF($I35="","",INDEX('LANÇAMENTOS'!$Y$6:$Y$2005,MATCH($I35,'LANÇAMENTOS'!$AN$6:$AN$2005,0)))</f>
        <v/>
      </c>
      <c r="G35" s="18">
        <f>IF($I35="","",INDEX('LANÇAMENTOS'!$W$6:$W$2005,MATCH($I35,'LANÇAMENTOS'!$AN$6:$AN$2005,0)))</f>
        <v/>
      </c>
      <c r="H35" s="24">
        <f>IF($I35="","",INDEX('LANÇAMENTOS'!$AI$6:$AI$2005,MATCH($I35,'LANÇAMENTOS'!$AN$6:$AN$2005,0)))</f>
        <v/>
      </c>
      <c r="I35" s="17">
        <f>IFERROR(SMALL('LANÇAMENTOS'!$AN$6:$AN$2005,10),"")</f>
        <v/>
      </c>
    </row>
    <row r="36">
      <c r="A36" s="30">
        <f>IF($I36="","",INDEX('LANÇAMENTOS'!$C$6:$C$2005,MATCH($I36,'LANÇAMENTOS'!$AN$6:$AN$2005,0)))</f>
        <v/>
      </c>
      <c r="B36" s="9">
        <f>IF($I36="","",INDEX('LANÇAMENTOS'!$I$6:$I$2005,MATCH($I36,'LANÇAMENTOS'!$AN$6:$AN$2005,0)))</f>
        <v/>
      </c>
      <c r="C36" s="9">
        <f>IF($I36="","",INDEX('LANÇAMENTOS'!$J$6:$J$2005,MATCH($I36,'LANÇAMENTOS'!$AN$6:$AN$2005,0)))</f>
        <v/>
      </c>
      <c r="D36" s="17">
        <f>IF($I36="","",INDEX('LANÇAMENTOS'!$F$6:$F$2005,MATCH($I36,'LANÇAMENTOS'!$AN$6:$AN$2005,0)))</f>
        <v/>
      </c>
      <c r="E36" s="9">
        <f>IF($I36="","",INDEX('LANÇAMENTOS'!$G$6:$G$2005,MATCH($I36,'LANÇAMENTOS'!$AN$6:$AN$2005,0)))</f>
        <v/>
      </c>
      <c r="F36" s="17">
        <f>IF($I36="","",INDEX('LANÇAMENTOS'!$Y$6:$Y$2005,MATCH($I36,'LANÇAMENTOS'!$AN$6:$AN$2005,0)))</f>
        <v/>
      </c>
      <c r="G36" s="18">
        <f>IF($I36="","",INDEX('LANÇAMENTOS'!$W$6:$W$2005,MATCH($I36,'LANÇAMENTOS'!$AN$6:$AN$2005,0)))</f>
        <v/>
      </c>
      <c r="H36" s="24">
        <f>IF($I36="","",INDEX('LANÇAMENTOS'!$AI$6:$AI$2005,MATCH($I36,'LANÇAMENTOS'!$AN$6:$AN$2005,0)))</f>
        <v/>
      </c>
      <c r="I36" s="17">
        <f>IFERROR(SMALL('LANÇAMENTOS'!$AN$6:$AN$2005,11),"")</f>
        <v/>
      </c>
    </row>
    <row r="37">
      <c r="A37" s="30">
        <f>IF($I37="","",INDEX('LANÇAMENTOS'!$C$6:$C$2005,MATCH($I37,'LANÇAMENTOS'!$AN$6:$AN$2005,0)))</f>
        <v/>
      </c>
      <c r="B37" s="9">
        <f>IF($I37="","",INDEX('LANÇAMENTOS'!$I$6:$I$2005,MATCH($I37,'LANÇAMENTOS'!$AN$6:$AN$2005,0)))</f>
        <v/>
      </c>
      <c r="C37" s="9">
        <f>IF($I37="","",INDEX('LANÇAMENTOS'!$J$6:$J$2005,MATCH($I37,'LANÇAMENTOS'!$AN$6:$AN$2005,0)))</f>
        <v/>
      </c>
      <c r="D37" s="17">
        <f>IF($I37="","",INDEX('LANÇAMENTOS'!$F$6:$F$2005,MATCH($I37,'LANÇAMENTOS'!$AN$6:$AN$2005,0)))</f>
        <v/>
      </c>
      <c r="E37" s="9">
        <f>IF($I37="","",INDEX('LANÇAMENTOS'!$G$6:$G$2005,MATCH($I37,'LANÇAMENTOS'!$AN$6:$AN$2005,0)))</f>
        <v/>
      </c>
      <c r="F37" s="17">
        <f>IF($I37="","",INDEX('LANÇAMENTOS'!$Y$6:$Y$2005,MATCH($I37,'LANÇAMENTOS'!$AN$6:$AN$2005,0)))</f>
        <v/>
      </c>
      <c r="G37" s="18">
        <f>IF($I37="","",INDEX('LANÇAMENTOS'!$W$6:$W$2005,MATCH($I37,'LANÇAMENTOS'!$AN$6:$AN$2005,0)))</f>
        <v/>
      </c>
      <c r="H37" s="24">
        <f>IF($I37="","",INDEX('LANÇAMENTOS'!$AI$6:$AI$2005,MATCH($I37,'LANÇAMENTOS'!$AN$6:$AN$2005,0)))</f>
        <v/>
      </c>
      <c r="I37" s="17">
        <f>IFERROR(SMALL('LANÇAMENTOS'!$AN$6:$AN$2005,12),"")</f>
        <v/>
      </c>
    </row>
    <row r="38">
      <c r="A38" s="30">
        <f>IF($I38="","",INDEX('LANÇAMENTOS'!$C$6:$C$2005,MATCH($I38,'LANÇAMENTOS'!$AN$6:$AN$2005,0)))</f>
        <v/>
      </c>
      <c r="B38" s="9">
        <f>IF($I38="","",INDEX('LANÇAMENTOS'!$I$6:$I$2005,MATCH($I38,'LANÇAMENTOS'!$AN$6:$AN$2005,0)))</f>
        <v/>
      </c>
      <c r="C38" s="9">
        <f>IF($I38="","",INDEX('LANÇAMENTOS'!$J$6:$J$2005,MATCH($I38,'LANÇAMENTOS'!$AN$6:$AN$2005,0)))</f>
        <v/>
      </c>
      <c r="D38" s="17">
        <f>IF($I38="","",INDEX('LANÇAMENTOS'!$F$6:$F$2005,MATCH($I38,'LANÇAMENTOS'!$AN$6:$AN$2005,0)))</f>
        <v/>
      </c>
      <c r="E38" s="9">
        <f>IF($I38="","",INDEX('LANÇAMENTOS'!$G$6:$G$2005,MATCH($I38,'LANÇAMENTOS'!$AN$6:$AN$2005,0)))</f>
        <v/>
      </c>
      <c r="F38" s="17">
        <f>IF($I38="","",INDEX('LANÇAMENTOS'!$Y$6:$Y$2005,MATCH($I38,'LANÇAMENTOS'!$AN$6:$AN$2005,0)))</f>
        <v/>
      </c>
      <c r="G38" s="18">
        <f>IF($I38="","",INDEX('LANÇAMENTOS'!$W$6:$W$2005,MATCH($I38,'LANÇAMENTOS'!$AN$6:$AN$2005,0)))</f>
        <v/>
      </c>
      <c r="H38" s="24">
        <f>IF($I38="","",INDEX('LANÇAMENTOS'!$AI$6:$AI$2005,MATCH($I38,'LANÇAMENTOS'!$AN$6:$AN$2005,0)))</f>
        <v/>
      </c>
      <c r="I38" s="17">
        <f>IFERROR(SMALL('LANÇAMENTOS'!$AN$6:$AN$2005,13),"")</f>
        <v/>
      </c>
    </row>
    <row r="39">
      <c r="A39" s="30">
        <f>IF($I39="","",INDEX('LANÇAMENTOS'!$C$6:$C$2005,MATCH($I39,'LANÇAMENTOS'!$AN$6:$AN$2005,0)))</f>
        <v/>
      </c>
      <c r="B39" s="9">
        <f>IF($I39="","",INDEX('LANÇAMENTOS'!$I$6:$I$2005,MATCH($I39,'LANÇAMENTOS'!$AN$6:$AN$2005,0)))</f>
        <v/>
      </c>
      <c r="C39" s="9">
        <f>IF($I39="","",INDEX('LANÇAMENTOS'!$J$6:$J$2005,MATCH($I39,'LANÇAMENTOS'!$AN$6:$AN$2005,0)))</f>
        <v/>
      </c>
      <c r="D39" s="17">
        <f>IF($I39="","",INDEX('LANÇAMENTOS'!$F$6:$F$2005,MATCH($I39,'LANÇAMENTOS'!$AN$6:$AN$2005,0)))</f>
        <v/>
      </c>
      <c r="E39" s="9">
        <f>IF($I39="","",INDEX('LANÇAMENTOS'!$G$6:$G$2005,MATCH($I39,'LANÇAMENTOS'!$AN$6:$AN$2005,0)))</f>
        <v/>
      </c>
      <c r="F39" s="17">
        <f>IF($I39="","",INDEX('LANÇAMENTOS'!$Y$6:$Y$2005,MATCH($I39,'LANÇAMENTOS'!$AN$6:$AN$2005,0)))</f>
        <v/>
      </c>
      <c r="G39" s="18">
        <f>IF($I39="","",INDEX('LANÇAMENTOS'!$W$6:$W$2005,MATCH($I39,'LANÇAMENTOS'!$AN$6:$AN$2005,0)))</f>
        <v/>
      </c>
      <c r="H39" s="24">
        <f>IF($I39="","",INDEX('LANÇAMENTOS'!$AI$6:$AI$2005,MATCH($I39,'LANÇAMENTOS'!$AN$6:$AN$2005,0)))</f>
        <v/>
      </c>
      <c r="I39" s="17">
        <f>IFERROR(SMALL('LANÇAMENTOS'!$AN$6:$AN$2005,14),"")</f>
        <v/>
      </c>
    </row>
    <row r="40">
      <c r="A40" s="30">
        <f>IF($I40="","",INDEX('LANÇAMENTOS'!$C$6:$C$2005,MATCH($I40,'LANÇAMENTOS'!$AN$6:$AN$2005,0)))</f>
        <v/>
      </c>
      <c r="B40" s="9">
        <f>IF($I40="","",INDEX('LANÇAMENTOS'!$I$6:$I$2005,MATCH($I40,'LANÇAMENTOS'!$AN$6:$AN$2005,0)))</f>
        <v/>
      </c>
      <c r="C40" s="9">
        <f>IF($I40="","",INDEX('LANÇAMENTOS'!$J$6:$J$2005,MATCH($I40,'LANÇAMENTOS'!$AN$6:$AN$2005,0)))</f>
        <v/>
      </c>
      <c r="D40" s="17">
        <f>IF($I40="","",INDEX('LANÇAMENTOS'!$F$6:$F$2005,MATCH($I40,'LANÇAMENTOS'!$AN$6:$AN$2005,0)))</f>
        <v/>
      </c>
      <c r="E40" s="9">
        <f>IF($I40="","",INDEX('LANÇAMENTOS'!$G$6:$G$2005,MATCH($I40,'LANÇAMENTOS'!$AN$6:$AN$2005,0)))</f>
        <v/>
      </c>
      <c r="F40" s="17">
        <f>IF($I40="","",INDEX('LANÇAMENTOS'!$Y$6:$Y$2005,MATCH($I40,'LANÇAMENTOS'!$AN$6:$AN$2005,0)))</f>
        <v/>
      </c>
      <c r="G40" s="18">
        <f>IF($I40="","",INDEX('LANÇAMENTOS'!$W$6:$W$2005,MATCH($I40,'LANÇAMENTOS'!$AN$6:$AN$2005,0)))</f>
        <v/>
      </c>
      <c r="H40" s="24">
        <f>IF($I40="","",INDEX('LANÇAMENTOS'!$AI$6:$AI$2005,MATCH($I40,'LANÇAMENTOS'!$AN$6:$AN$2005,0)))</f>
        <v/>
      </c>
      <c r="I40" s="17">
        <f>IFERROR(SMALL('LANÇAMENTOS'!$AN$6:$AN$2005,15),"")</f>
        <v/>
      </c>
    </row>
    <row r="41">
      <c r="A41" s="30">
        <f>IF($I41="","",INDEX('LANÇAMENTOS'!$C$6:$C$2005,MATCH($I41,'LANÇAMENTOS'!$AN$6:$AN$2005,0)))</f>
        <v/>
      </c>
      <c r="B41" s="9">
        <f>IF($I41="","",INDEX('LANÇAMENTOS'!$I$6:$I$2005,MATCH($I41,'LANÇAMENTOS'!$AN$6:$AN$2005,0)))</f>
        <v/>
      </c>
      <c r="C41" s="9">
        <f>IF($I41="","",INDEX('LANÇAMENTOS'!$J$6:$J$2005,MATCH($I41,'LANÇAMENTOS'!$AN$6:$AN$2005,0)))</f>
        <v/>
      </c>
      <c r="D41" s="17">
        <f>IF($I41="","",INDEX('LANÇAMENTOS'!$F$6:$F$2005,MATCH($I41,'LANÇAMENTOS'!$AN$6:$AN$2005,0)))</f>
        <v/>
      </c>
      <c r="E41" s="9">
        <f>IF($I41="","",INDEX('LANÇAMENTOS'!$G$6:$G$2005,MATCH($I41,'LANÇAMENTOS'!$AN$6:$AN$2005,0)))</f>
        <v/>
      </c>
      <c r="F41" s="17">
        <f>IF($I41="","",INDEX('LANÇAMENTOS'!$Y$6:$Y$2005,MATCH($I41,'LANÇAMENTOS'!$AN$6:$AN$2005,0)))</f>
        <v/>
      </c>
      <c r="G41" s="18">
        <f>IF($I41="","",INDEX('LANÇAMENTOS'!$W$6:$W$2005,MATCH($I41,'LANÇAMENTOS'!$AN$6:$AN$2005,0)))</f>
        <v/>
      </c>
      <c r="H41" s="24">
        <f>IF($I41="","",INDEX('LANÇAMENTOS'!$AI$6:$AI$2005,MATCH($I41,'LANÇAMENTOS'!$AN$6:$AN$2005,0)))</f>
        <v/>
      </c>
      <c r="I41" s="17">
        <f>IFERROR(SMALL('LANÇAMENTOS'!$AN$6:$AN$2005,16),"")</f>
        <v/>
      </c>
    </row>
    <row r="42">
      <c r="A42" s="30">
        <f>IF($I42="","",INDEX('LANÇAMENTOS'!$C$6:$C$2005,MATCH($I42,'LANÇAMENTOS'!$AN$6:$AN$2005,0)))</f>
        <v/>
      </c>
      <c r="B42" s="9">
        <f>IF($I42="","",INDEX('LANÇAMENTOS'!$I$6:$I$2005,MATCH($I42,'LANÇAMENTOS'!$AN$6:$AN$2005,0)))</f>
        <v/>
      </c>
      <c r="C42" s="9">
        <f>IF($I42="","",INDEX('LANÇAMENTOS'!$J$6:$J$2005,MATCH($I42,'LANÇAMENTOS'!$AN$6:$AN$2005,0)))</f>
        <v/>
      </c>
      <c r="D42" s="17">
        <f>IF($I42="","",INDEX('LANÇAMENTOS'!$F$6:$F$2005,MATCH($I42,'LANÇAMENTOS'!$AN$6:$AN$2005,0)))</f>
        <v/>
      </c>
      <c r="E42" s="9">
        <f>IF($I42="","",INDEX('LANÇAMENTOS'!$G$6:$G$2005,MATCH($I42,'LANÇAMENTOS'!$AN$6:$AN$2005,0)))</f>
        <v/>
      </c>
      <c r="F42" s="17">
        <f>IF($I42="","",INDEX('LANÇAMENTOS'!$Y$6:$Y$2005,MATCH($I42,'LANÇAMENTOS'!$AN$6:$AN$2005,0)))</f>
        <v/>
      </c>
      <c r="G42" s="18">
        <f>IF($I42="","",INDEX('LANÇAMENTOS'!$W$6:$W$2005,MATCH($I42,'LANÇAMENTOS'!$AN$6:$AN$2005,0)))</f>
        <v/>
      </c>
      <c r="H42" s="24">
        <f>IF($I42="","",INDEX('LANÇAMENTOS'!$AI$6:$AI$2005,MATCH($I42,'LANÇAMENTOS'!$AN$6:$AN$2005,0)))</f>
        <v/>
      </c>
      <c r="I42" s="17">
        <f>IFERROR(SMALL('LANÇAMENTOS'!$AN$6:$AN$2005,17),"")</f>
        <v/>
      </c>
    </row>
    <row r="43">
      <c r="A43" s="30">
        <f>IF($I43="","",INDEX('LANÇAMENTOS'!$C$6:$C$2005,MATCH($I43,'LANÇAMENTOS'!$AN$6:$AN$2005,0)))</f>
        <v/>
      </c>
      <c r="B43" s="9">
        <f>IF($I43="","",INDEX('LANÇAMENTOS'!$I$6:$I$2005,MATCH($I43,'LANÇAMENTOS'!$AN$6:$AN$2005,0)))</f>
        <v/>
      </c>
      <c r="C43" s="9">
        <f>IF($I43="","",INDEX('LANÇAMENTOS'!$J$6:$J$2005,MATCH($I43,'LANÇAMENTOS'!$AN$6:$AN$2005,0)))</f>
        <v/>
      </c>
      <c r="D43" s="17">
        <f>IF($I43="","",INDEX('LANÇAMENTOS'!$F$6:$F$2005,MATCH($I43,'LANÇAMENTOS'!$AN$6:$AN$2005,0)))</f>
        <v/>
      </c>
      <c r="E43" s="9">
        <f>IF($I43="","",INDEX('LANÇAMENTOS'!$G$6:$G$2005,MATCH($I43,'LANÇAMENTOS'!$AN$6:$AN$2005,0)))</f>
        <v/>
      </c>
      <c r="F43" s="17">
        <f>IF($I43="","",INDEX('LANÇAMENTOS'!$Y$6:$Y$2005,MATCH($I43,'LANÇAMENTOS'!$AN$6:$AN$2005,0)))</f>
        <v/>
      </c>
      <c r="G43" s="18">
        <f>IF($I43="","",INDEX('LANÇAMENTOS'!$W$6:$W$2005,MATCH($I43,'LANÇAMENTOS'!$AN$6:$AN$2005,0)))</f>
        <v/>
      </c>
      <c r="H43" s="24">
        <f>IF($I43="","",INDEX('LANÇAMENTOS'!$AI$6:$AI$2005,MATCH($I43,'LANÇAMENTOS'!$AN$6:$AN$2005,0)))</f>
        <v/>
      </c>
      <c r="I43" s="17">
        <f>IFERROR(SMALL('LANÇAMENTOS'!$AN$6:$AN$2005,18),"")</f>
        <v/>
      </c>
    </row>
    <row r="44">
      <c r="A44" s="30">
        <f>IF($I44="","",INDEX('LANÇAMENTOS'!$C$6:$C$2005,MATCH($I44,'LANÇAMENTOS'!$AN$6:$AN$2005,0)))</f>
        <v/>
      </c>
      <c r="B44" s="9">
        <f>IF($I44="","",INDEX('LANÇAMENTOS'!$I$6:$I$2005,MATCH($I44,'LANÇAMENTOS'!$AN$6:$AN$2005,0)))</f>
        <v/>
      </c>
      <c r="C44" s="9">
        <f>IF($I44="","",INDEX('LANÇAMENTOS'!$J$6:$J$2005,MATCH($I44,'LANÇAMENTOS'!$AN$6:$AN$2005,0)))</f>
        <v/>
      </c>
      <c r="D44" s="17">
        <f>IF($I44="","",INDEX('LANÇAMENTOS'!$F$6:$F$2005,MATCH($I44,'LANÇAMENTOS'!$AN$6:$AN$2005,0)))</f>
        <v/>
      </c>
      <c r="E44" s="9">
        <f>IF($I44="","",INDEX('LANÇAMENTOS'!$G$6:$G$2005,MATCH($I44,'LANÇAMENTOS'!$AN$6:$AN$2005,0)))</f>
        <v/>
      </c>
      <c r="F44" s="17">
        <f>IF($I44="","",INDEX('LANÇAMENTOS'!$Y$6:$Y$2005,MATCH($I44,'LANÇAMENTOS'!$AN$6:$AN$2005,0)))</f>
        <v/>
      </c>
      <c r="G44" s="18">
        <f>IF($I44="","",INDEX('LANÇAMENTOS'!$W$6:$W$2005,MATCH($I44,'LANÇAMENTOS'!$AN$6:$AN$2005,0)))</f>
        <v/>
      </c>
      <c r="H44" s="24">
        <f>IF($I44="","",INDEX('LANÇAMENTOS'!$AI$6:$AI$2005,MATCH($I44,'LANÇAMENTOS'!$AN$6:$AN$2005,0)))</f>
        <v/>
      </c>
      <c r="I44" s="17">
        <f>IFERROR(SMALL('LANÇAMENTOS'!$AN$6:$AN$2005,19),"")</f>
        <v/>
      </c>
    </row>
    <row r="45">
      <c r="A45" s="30">
        <f>IF($I45="","",INDEX('LANÇAMENTOS'!$C$6:$C$2005,MATCH($I45,'LANÇAMENTOS'!$AN$6:$AN$2005,0)))</f>
        <v/>
      </c>
      <c r="B45" s="9">
        <f>IF($I45="","",INDEX('LANÇAMENTOS'!$I$6:$I$2005,MATCH($I45,'LANÇAMENTOS'!$AN$6:$AN$2005,0)))</f>
        <v/>
      </c>
      <c r="C45" s="9">
        <f>IF($I45="","",INDEX('LANÇAMENTOS'!$J$6:$J$2005,MATCH($I45,'LANÇAMENTOS'!$AN$6:$AN$2005,0)))</f>
        <v/>
      </c>
      <c r="D45" s="17">
        <f>IF($I45="","",INDEX('LANÇAMENTOS'!$F$6:$F$2005,MATCH($I45,'LANÇAMENTOS'!$AN$6:$AN$2005,0)))</f>
        <v/>
      </c>
      <c r="E45" s="9">
        <f>IF($I45="","",INDEX('LANÇAMENTOS'!$G$6:$G$2005,MATCH($I45,'LANÇAMENTOS'!$AN$6:$AN$2005,0)))</f>
        <v/>
      </c>
      <c r="F45" s="17">
        <f>IF($I45="","",INDEX('LANÇAMENTOS'!$Y$6:$Y$2005,MATCH($I45,'LANÇAMENTOS'!$AN$6:$AN$2005,0)))</f>
        <v/>
      </c>
      <c r="G45" s="18">
        <f>IF($I45="","",INDEX('LANÇAMENTOS'!$W$6:$W$2005,MATCH($I45,'LANÇAMENTOS'!$AN$6:$AN$2005,0)))</f>
        <v/>
      </c>
      <c r="H45" s="24">
        <f>IF($I45="","",INDEX('LANÇAMENTOS'!$AI$6:$AI$2005,MATCH($I45,'LANÇAMENTOS'!$AN$6:$AN$2005,0)))</f>
        <v/>
      </c>
      <c r="I45" s="17">
        <f>IFERROR(SMALL('LANÇAMENTOS'!$AN$6:$AN$2005,20),"")</f>
        <v/>
      </c>
    </row>
    <row r="46">
      <c r="A46" s="37" t="inlineStr">
        <is>
          <t>TOTAL DOS 20 TÍTULOS</t>
        </is>
      </c>
      <c r="G46" s="38">
        <f>SUM($G$26:$G$45)</f>
        <v/>
      </c>
    </row>
    <row r="48" ht="20" customHeight="1">
      <c r="A48" s="4" t="inlineStr">
        <is>
          <t>4. CARTEIRA POR CLIENTE (cadastro da aba CADASTRO DE CLIENTES)</t>
        </is>
      </c>
      <c r="B48" s="4" t="n"/>
      <c r="C48" s="4" t="n"/>
      <c r="D48" s="4" t="n"/>
      <c r="E48" s="4" t="n"/>
      <c r="F48" s="4" t="n"/>
      <c r="G48" s="4" t="n"/>
      <c r="H48" s="4" t="n"/>
    </row>
    <row r="49" ht="30" customHeight="1">
      <c r="A49" s="34" t="inlineStr">
        <is>
          <t>Cliente</t>
        </is>
      </c>
      <c r="B49" s="34" t="inlineStr">
        <is>
          <t>Carteira em aberto</t>
        </is>
      </c>
      <c r="C49" s="34" t="inlineStr">
        <is>
          <t>Vencido</t>
        </is>
      </c>
      <c r="D49" s="34" t="inlineStr">
        <is>
          <t>A vencer</t>
        </is>
      </c>
      <c r="E49" s="34" t="inlineStr">
        <is>
          <t>Recebido no ano</t>
        </is>
      </c>
      <c r="F49" s="34" t="inlineStr">
        <is>
          <t>% do total em aberto</t>
        </is>
      </c>
      <c r="G49" s="34" t="inlineStr">
        <is>
          <t>Qtd. títulos em aberto</t>
        </is>
      </c>
      <c r="H49" s="34" t="inlineStr">
        <is>
          <t>Faturamento do ano</t>
        </is>
      </c>
      <c r="I49" s="34" t="inlineStr">
        <is>
          <t>% do faturamento</t>
        </is>
      </c>
    </row>
    <row r="50">
      <c r="A50" s="9">
        <f>'CADASTRO DE CLIENTES'!$B$6</f>
        <v/>
      </c>
      <c r="B50" s="18">
        <f>IF('CADASTRO DE CLIENTES'!$B$6="","",SUMIFS('LANÇAMENTOS'!$W$6:$W$2005,'LANÇAMENTOS'!$I$6:$I$2005,'CADASTRO DE CLIENTES'!$B$6,'LANÇAMENTOS'!$E$6:$E$2005,"Entrada",'LANÇAMENTOS'!$W$6:$W$2005,"&gt;0"))</f>
        <v/>
      </c>
      <c r="C50" s="18">
        <f>IF('CADASTRO DE CLIENTES'!$B$6="","",SUMIFS('LANÇAMENTOS'!$W$6:$W$2005,'LANÇAMENTOS'!$I$6:$I$2005,'CADASTRO DE CLIENTES'!$B$6,'LANÇAMENTOS'!$E$6:$E$2005,"Entrada",'LANÇAMENTOS'!$W$6:$W$2005,"&gt;0",'LANÇAMENTOS'!$C$6:$C$2005,"&lt;"&amp;TODAY()))</f>
        <v/>
      </c>
      <c r="D50" s="18">
        <f>IF('CADASTRO DE CLIENTES'!$B$6="","",$B50-$C50)</f>
        <v/>
      </c>
      <c r="E50" s="18">
        <f>IF('CADASTRO DE CLIENTES'!$B$6="","",SUMIFS('LANÇAMENTOS'!$V$6:$V$2005,'LANÇAMENTOS'!$I$6:$I$2005,'CADASTRO DE CLIENTES'!$B$6,'LANÇAMENTOS'!$E$6:$E$2005,"Entrada",'LANÇAMENTOS'!$D$6:$D$2005,"&gt;="&amp;DATE('CONFIGURAÇÕES'!$B$18,1,1),'LANÇAMENTOS'!$D$6:$D$2005,"&lt;="&amp;DATE('CONFIGURAÇÕES'!$B$18,12,31)))</f>
        <v/>
      </c>
      <c r="F50" s="23">
        <f>IFERROR($B50/SUM($B$50:$B$109),"")</f>
        <v/>
      </c>
      <c r="G50" s="24">
        <f>IF('CADASTRO DE CLIENTES'!$B$6="","",COUNTIFS('LANÇAMENTOS'!$I$6:$I$2005,'CADASTRO DE CLIENTES'!$B$6,'LANÇAMENTOS'!$E$6:$E$2005,"Entrada",'LANÇAMENTOS'!$W$6:$W$2005,"&gt;0"))</f>
        <v/>
      </c>
      <c r="H50" s="18">
        <f>IF('CADASTRO DE CLIENTES'!$B$6="","",SUMIFS('LANÇAMENTOS'!$AE$6:$AE$2005,'LANÇAMENTOS'!$I$6:$I$2005,'CADASTRO DE CLIENTES'!$B$6,'LANÇAMENTOS'!$AA$6:$AA$2005,'CONFIGURAÇÕES'!$B$18))</f>
        <v/>
      </c>
      <c r="I50" s="23">
        <f>IFERROR($H50/SUM($H$50:$H$109),"")</f>
        <v/>
      </c>
    </row>
    <row r="51">
      <c r="A51" s="9">
        <f>'CADASTRO DE CLIENTES'!$B$7</f>
        <v/>
      </c>
      <c r="B51" s="18">
        <f>IF('CADASTRO DE CLIENTES'!$B$7="","",SUMIFS('LANÇAMENTOS'!$W$6:$W$2005,'LANÇAMENTOS'!$I$6:$I$2005,'CADASTRO DE CLIENTES'!$B$7,'LANÇAMENTOS'!$E$6:$E$2005,"Entrada",'LANÇAMENTOS'!$W$6:$W$2005,"&gt;0"))</f>
        <v/>
      </c>
      <c r="C51" s="18">
        <f>IF('CADASTRO DE CLIENTES'!$B$7="","",SUMIFS('LANÇAMENTOS'!$W$6:$W$2005,'LANÇAMENTOS'!$I$6:$I$2005,'CADASTRO DE CLIENTES'!$B$7,'LANÇAMENTOS'!$E$6:$E$2005,"Entrada",'LANÇAMENTOS'!$W$6:$W$2005,"&gt;0",'LANÇAMENTOS'!$C$6:$C$2005,"&lt;"&amp;TODAY()))</f>
        <v/>
      </c>
      <c r="D51" s="18">
        <f>IF('CADASTRO DE CLIENTES'!$B$7="","",$B51-$C51)</f>
        <v/>
      </c>
      <c r="E51" s="18">
        <f>IF('CADASTRO DE CLIENTES'!$B$7="","",SUMIFS('LANÇAMENTOS'!$V$6:$V$2005,'LANÇAMENTOS'!$I$6:$I$2005,'CADASTRO DE CLIENTES'!$B$7,'LANÇAMENTOS'!$E$6:$E$2005,"Entrada",'LANÇAMENTOS'!$D$6:$D$2005,"&gt;="&amp;DATE('CONFIGURAÇÕES'!$B$18,1,1),'LANÇAMENTOS'!$D$6:$D$2005,"&lt;="&amp;DATE('CONFIGURAÇÕES'!$B$18,12,31)))</f>
        <v/>
      </c>
      <c r="F51" s="23">
        <f>IFERROR($B51/SUM($B$50:$B$109),"")</f>
        <v/>
      </c>
      <c r="G51" s="24">
        <f>IF('CADASTRO DE CLIENTES'!$B$7="","",COUNTIFS('LANÇAMENTOS'!$I$6:$I$2005,'CADASTRO DE CLIENTES'!$B$7,'LANÇAMENTOS'!$E$6:$E$2005,"Entrada",'LANÇAMENTOS'!$W$6:$W$2005,"&gt;0"))</f>
        <v/>
      </c>
      <c r="H51" s="18">
        <f>IF('CADASTRO DE CLIENTES'!$B$7="","",SUMIFS('LANÇAMENTOS'!$AE$6:$AE$2005,'LANÇAMENTOS'!$I$6:$I$2005,'CADASTRO DE CLIENTES'!$B$7,'LANÇAMENTOS'!$AA$6:$AA$2005,'CONFIGURAÇÕES'!$B$18))</f>
        <v/>
      </c>
      <c r="I51" s="23">
        <f>IFERROR($H51/SUM($H$50:$H$109),"")</f>
        <v/>
      </c>
    </row>
    <row r="52">
      <c r="A52" s="9">
        <f>'CADASTRO DE CLIENTES'!$B$8</f>
        <v/>
      </c>
      <c r="B52" s="18">
        <f>IF('CADASTRO DE CLIENTES'!$B$8="","",SUMIFS('LANÇAMENTOS'!$W$6:$W$2005,'LANÇAMENTOS'!$I$6:$I$2005,'CADASTRO DE CLIENTES'!$B$8,'LANÇAMENTOS'!$E$6:$E$2005,"Entrada",'LANÇAMENTOS'!$W$6:$W$2005,"&gt;0"))</f>
        <v/>
      </c>
      <c r="C52" s="18">
        <f>IF('CADASTRO DE CLIENTES'!$B$8="","",SUMIFS('LANÇAMENTOS'!$W$6:$W$2005,'LANÇAMENTOS'!$I$6:$I$2005,'CADASTRO DE CLIENTES'!$B$8,'LANÇAMENTOS'!$E$6:$E$2005,"Entrada",'LANÇAMENTOS'!$W$6:$W$2005,"&gt;0",'LANÇAMENTOS'!$C$6:$C$2005,"&lt;"&amp;TODAY()))</f>
        <v/>
      </c>
      <c r="D52" s="18">
        <f>IF('CADASTRO DE CLIENTES'!$B$8="","",$B52-$C52)</f>
        <v/>
      </c>
      <c r="E52" s="18">
        <f>IF('CADASTRO DE CLIENTES'!$B$8="","",SUMIFS('LANÇAMENTOS'!$V$6:$V$2005,'LANÇAMENTOS'!$I$6:$I$2005,'CADASTRO DE CLIENTES'!$B$8,'LANÇAMENTOS'!$E$6:$E$2005,"Entrada",'LANÇAMENTOS'!$D$6:$D$2005,"&gt;="&amp;DATE('CONFIGURAÇÕES'!$B$18,1,1),'LANÇAMENTOS'!$D$6:$D$2005,"&lt;="&amp;DATE('CONFIGURAÇÕES'!$B$18,12,31)))</f>
        <v/>
      </c>
      <c r="F52" s="23">
        <f>IFERROR($B52/SUM($B$50:$B$109),"")</f>
        <v/>
      </c>
      <c r="G52" s="24">
        <f>IF('CADASTRO DE CLIENTES'!$B$8="","",COUNTIFS('LANÇAMENTOS'!$I$6:$I$2005,'CADASTRO DE CLIENTES'!$B$8,'LANÇAMENTOS'!$E$6:$E$2005,"Entrada",'LANÇAMENTOS'!$W$6:$W$2005,"&gt;0"))</f>
        <v/>
      </c>
      <c r="H52" s="18">
        <f>IF('CADASTRO DE CLIENTES'!$B$8="","",SUMIFS('LANÇAMENTOS'!$AE$6:$AE$2005,'LANÇAMENTOS'!$I$6:$I$2005,'CADASTRO DE CLIENTES'!$B$8,'LANÇAMENTOS'!$AA$6:$AA$2005,'CONFIGURAÇÕES'!$B$18))</f>
        <v/>
      </c>
      <c r="I52" s="23">
        <f>IFERROR($H52/SUM($H$50:$H$109),"")</f>
        <v/>
      </c>
    </row>
    <row r="53">
      <c r="A53" s="9">
        <f>'CADASTRO DE CLIENTES'!$B$9</f>
        <v/>
      </c>
      <c r="B53" s="18">
        <f>IF('CADASTRO DE CLIENTES'!$B$9="","",SUMIFS('LANÇAMENTOS'!$W$6:$W$2005,'LANÇAMENTOS'!$I$6:$I$2005,'CADASTRO DE CLIENTES'!$B$9,'LANÇAMENTOS'!$E$6:$E$2005,"Entrada",'LANÇAMENTOS'!$W$6:$W$2005,"&gt;0"))</f>
        <v/>
      </c>
      <c r="C53" s="18">
        <f>IF('CADASTRO DE CLIENTES'!$B$9="","",SUMIFS('LANÇAMENTOS'!$W$6:$W$2005,'LANÇAMENTOS'!$I$6:$I$2005,'CADASTRO DE CLIENTES'!$B$9,'LANÇAMENTOS'!$E$6:$E$2005,"Entrada",'LANÇAMENTOS'!$W$6:$W$2005,"&gt;0",'LANÇAMENTOS'!$C$6:$C$2005,"&lt;"&amp;TODAY()))</f>
        <v/>
      </c>
      <c r="D53" s="18">
        <f>IF('CADASTRO DE CLIENTES'!$B$9="","",$B53-$C53)</f>
        <v/>
      </c>
      <c r="E53" s="18">
        <f>IF('CADASTRO DE CLIENTES'!$B$9="","",SUMIFS('LANÇAMENTOS'!$V$6:$V$2005,'LANÇAMENTOS'!$I$6:$I$2005,'CADASTRO DE CLIENTES'!$B$9,'LANÇAMENTOS'!$E$6:$E$2005,"Entrada",'LANÇAMENTOS'!$D$6:$D$2005,"&gt;="&amp;DATE('CONFIGURAÇÕES'!$B$18,1,1),'LANÇAMENTOS'!$D$6:$D$2005,"&lt;="&amp;DATE('CONFIGURAÇÕES'!$B$18,12,31)))</f>
        <v/>
      </c>
      <c r="F53" s="23">
        <f>IFERROR($B53/SUM($B$50:$B$109),"")</f>
        <v/>
      </c>
      <c r="G53" s="24">
        <f>IF('CADASTRO DE CLIENTES'!$B$9="","",COUNTIFS('LANÇAMENTOS'!$I$6:$I$2005,'CADASTRO DE CLIENTES'!$B$9,'LANÇAMENTOS'!$E$6:$E$2005,"Entrada",'LANÇAMENTOS'!$W$6:$W$2005,"&gt;0"))</f>
        <v/>
      </c>
      <c r="H53" s="18">
        <f>IF('CADASTRO DE CLIENTES'!$B$9="","",SUMIFS('LANÇAMENTOS'!$AE$6:$AE$2005,'LANÇAMENTOS'!$I$6:$I$2005,'CADASTRO DE CLIENTES'!$B$9,'LANÇAMENTOS'!$AA$6:$AA$2005,'CONFIGURAÇÕES'!$B$18))</f>
        <v/>
      </c>
      <c r="I53" s="23">
        <f>IFERROR($H53/SUM($H$50:$H$109),"")</f>
        <v/>
      </c>
    </row>
    <row r="54">
      <c r="A54" s="9">
        <f>'CADASTRO DE CLIENTES'!$B$10</f>
        <v/>
      </c>
      <c r="B54" s="18">
        <f>IF('CADASTRO DE CLIENTES'!$B$10="","",SUMIFS('LANÇAMENTOS'!$W$6:$W$2005,'LANÇAMENTOS'!$I$6:$I$2005,'CADASTRO DE CLIENTES'!$B$10,'LANÇAMENTOS'!$E$6:$E$2005,"Entrada",'LANÇAMENTOS'!$W$6:$W$2005,"&gt;0"))</f>
        <v/>
      </c>
      <c r="C54" s="18">
        <f>IF('CADASTRO DE CLIENTES'!$B$10="","",SUMIFS('LANÇAMENTOS'!$W$6:$W$2005,'LANÇAMENTOS'!$I$6:$I$2005,'CADASTRO DE CLIENTES'!$B$10,'LANÇAMENTOS'!$E$6:$E$2005,"Entrada",'LANÇAMENTOS'!$W$6:$W$2005,"&gt;0",'LANÇAMENTOS'!$C$6:$C$2005,"&lt;"&amp;TODAY()))</f>
        <v/>
      </c>
      <c r="D54" s="18">
        <f>IF('CADASTRO DE CLIENTES'!$B$10="","",$B54-$C54)</f>
        <v/>
      </c>
      <c r="E54" s="18">
        <f>IF('CADASTRO DE CLIENTES'!$B$10="","",SUMIFS('LANÇAMENTOS'!$V$6:$V$2005,'LANÇAMENTOS'!$I$6:$I$2005,'CADASTRO DE CLIENTES'!$B$10,'LANÇAMENTOS'!$E$6:$E$2005,"Entrada",'LANÇAMENTOS'!$D$6:$D$2005,"&gt;="&amp;DATE('CONFIGURAÇÕES'!$B$18,1,1),'LANÇAMENTOS'!$D$6:$D$2005,"&lt;="&amp;DATE('CONFIGURAÇÕES'!$B$18,12,31)))</f>
        <v/>
      </c>
      <c r="F54" s="23">
        <f>IFERROR($B54/SUM($B$50:$B$109),"")</f>
        <v/>
      </c>
      <c r="G54" s="24">
        <f>IF('CADASTRO DE CLIENTES'!$B$10="","",COUNTIFS('LANÇAMENTOS'!$I$6:$I$2005,'CADASTRO DE CLIENTES'!$B$10,'LANÇAMENTOS'!$E$6:$E$2005,"Entrada",'LANÇAMENTOS'!$W$6:$W$2005,"&gt;0"))</f>
        <v/>
      </c>
      <c r="H54" s="18">
        <f>IF('CADASTRO DE CLIENTES'!$B$10="","",SUMIFS('LANÇAMENTOS'!$AE$6:$AE$2005,'LANÇAMENTOS'!$I$6:$I$2005,'CADASTRO DE CLIENTES'!$B$10,'LANÇAMENTOS'!$AA$6:$AA$2005,'CONFIGURAÇÕES'!$B$18))</f>
        <v/>
      </c>
      <c r="I54" s="23">
        <f>IFERROR($H54/SUM($H$50:$H$109),"")</f>
        <v/>
      </c>
    </row>
    <row r="55">
      <c r="A55" s="9">
        <f>'CADASTRO DE CLIENTES'!$B$11</f>
        <v/>
      </c>
      <c r="B55" s="18">
        <f>IF('CADASTRO DE CLIENTES'!$B$11="","",SUMIFS('LANÇAMENTOS'!$W$6:$W$2005,'LANÇAMENTOS'!$I$6:$I$2005,'CADASTRO DE CLIENTES'!$B$11,'LANÇAMENTOS'!$E$6:$E$2005,"Entrada",'LANÇAMENTOS'!$W$6:$W$2005,"&gt;0"))</f>
        <v/>
      </c>
      <c r="C55" s="18">
        <f>IF('CADASTRO DE CLIENTES'!$B$11="","",SUMIFS('LANÇAMENTOS'!$W$6:$W$2005,'LANÇAMENTOS'!$I$6:$I$2005,'CADASTRO DE CLIENTES'!$B$11,'LANÇAMENTOS'!$E$6:$E$2005,"Entrada",'LANÇAMENTOS'!$W$6:$W$2005,"&gt;0",'LANÇAMENTOS'!$C$6:$C$2005,"&lt;"&amp;TODAY()))</f>
        <v/>
      </c>
      <c r="D55" s="18">
        <f>IF('CADASTRO DE CLIENTES'!$B$11="","",$B55-$C55)</f>
        <v/>
      </c>
      <c r="E55" s="18">
        <f>IF('CADASTRO DE CLIENTES'!$B$11="","",SUMIFS('LANÇAMENTOS'!$V$6:$V$2005,'LANÇAMENTOS'!$I$6:$I$2005,'CADASTRO DE CLIENTES'!$B$11,'LANÇAMENTOS'!$E$6:$E$2005,"Entrada",'LANÇAMENTOS'!$D$6:$D$2005,"&gt;="&amp;DATE('CONFIGURAÇÕES'!$B$18,1,1),'LANÇAMENTOS'!$D$6:$D$2005,"&lt;="&amp;DATE('CONFIGURAÇÕES'!$B$18,12,31)))</f>
        <v/>
      </c>
      <c r="F55" s="23">
        <f>IFERROR($B55/SUM($B$50:$B$109),"")</f>
        <v/>
      </c>
      <c r="G55" s="24">
        <f>IF('CADASTRO DE CLIENTES'!$B$11="","",COUNTIFS('LANÇAMENTOS'!$I$6:$I$2005,'CADASTRO DE CLIENTES'!$B$11,'LANÇAMENTOS'!$E$6:$E$2005,"Entrada",'LANÇAMENTOS'!$W$6:$W$2005,"&gt;0"))</f>
        <v/>
      </c>
      <c r="H55" s="18">
        <f>IF('CADASTRO DE CLIENTES'!$B$11="","",SUMIFS('LANÇAMENTOS'!$AE$6:$AE$2005,'LANÇAMENTOS'!$I$6:$I$2005,'CADASTRO DE CLIENTES'!$B$11,'LANÇAMENTOS'!$AA$6:$AA$2005,'CONFIGURAÇÕES'!$B$18))</f>
        <v/>
      </c>
      <c r="I55" s="23">
        <f>IFERROR($H55/SUM($H$50:$H$109),"")</f>
        <v/>
      </c>
    </row>
    <row r="56">
      <c r="A56" s="9">
        <f>'CADASTRO DE CLIENTES'!$B$12</f>
        <v/>
      </c>
      <c r="B56" s="18">
        <f>IF('CADASTRO DE CLIENTES'!$B$12="","",SUMIFS('LANÇAMENTOS'!$W$6:$W$2005,'LANÇAMENTOS'!$I$6:$I$2005,'CADASTRO DE CLIENTES'!$B$12,'LANÇAMENTOS'!$E$6:$E$2005,"Entrada",'LANÇAMENTOS'!$W$6:$W$2005,"&gt;0"))</f>
        <v/>
      </c>
      <c r="C56" s="18">
        <f>IF('CADASTRO DE CLIENTES'!$B$12="","",SUMIFS('LANÇAMENTOS'!$W$6:$W$2005,'LANÇAMENTOS'!$I$6:$I$2005,'CADASTRO DE CLIENTES'!$B$12,'LANÇAMENTOS'!$E$6:$E$2005,"Entrada",'LANÇAMENTOS'!$W$6:$W$2005,"&gt;0",'LANÇAMENTOS'!$C$6:$C$2005,"&lt;"&amp;TODAY()))</f>
        <v/>
      </c>
      <c r="D56" s="18">
        <f>IF('CADASTRO DE CLIENTES'!$B$12="","",$B56-$C56)</f>
        <v/>
      </c>
      <c r="E56" s="18">
        <f>IF('CADASTRO DE CLIENTES'!$B$12="","",SUMIFS('LANÇAMENTOS'!$V$6:$V$2005,'LANÇAMENTOS'!$I$6:$I$2005,'CADASTRO DE CLIENTES'!$B$12,'LANÇAMENTOS'!$E$6:$E$2005,"Entrada",'LANÇAMENTOS'!$D$6:$D$2005,"&gt;="&amp;DATE('CONFIGURAÇÕES'!$B$18,1,1),'LANÇAMENTOS'!$D$6:$D$2005,"&lt;="&amp;DATE('CONFIGURAÇÕES'!$B$18,12,31)))</f>
        <v/>
      </c>
      <c r="F56" s="23">
        <f>IFERROR($B56/SUM($B$50:$B$109),"")</f>
        <v/>
      </c>
      <c r="G56" s="24">
        <f>IF('CADASTRO DE CLIENTES'!$B$12="","",COUNTIFS('LANÇAMENTOS'!$I$6:$I$2005,'CADASTRO DE CLIENTES'!$B$12,'LANÇAMENTOS'!$E$6:$E$2005,"Entrada",'LANÇAMENTOS'!$W$6:$W$2005,"&gt;0"))</f>
        <v/>
      </c>
      <c r="H56" s="18">
        <f>IF('CADASTRO DE CLIENTES'!$B$12="","",SUMIFS('LANÇAMENTOS'!$AE$6:$AE$2005,'LANÇAMENTOS'!$I$6:$I$2005,'CADASTRO DE CLIENTES'!$B$12,'LANÇAMENTOS'!$AA$6:$AA$2005,'CONFIGURAÇÕES'!$B$18))</f>
        <v/>
      </c>
      <c r="I56" s="23">
        <f>IFERROR($H56/SUM($H$50:$H$109),"")</f>
        <v/>
      </c>
    </row>
    <row r="57">
      <c r="A57" s="9">
        <f>'CADASTRO DE CLIENTES'!$B$13</f>
        <v/>
      </c>
      <c r="B57" s="18">
        <f>IF('CADASTRO DE CLIENTES'!$B$13="","",SUMIFS('LANÇAMENTOS'!$W$6:$W$2005,'LANÇAMENTOS'!$I$6:$I$2005,'CADASTRO DE CLIENTES'!$B$13,'LANÇAMENTOS'!$E$6:$E$2005,"Entrada",'LANÇAMENTOS'!$W$6:$W$2005,"&gt;0"))</f>
        <v/>
      </c>
      <c r="C57" s="18">
        <f>IF('CADASTRO DE CLIENTES'!$B$13="","",SUMIFS('LANÇAMENTOS'!$W$6:$W$2005,'LANÇAMENTOS'!$I$6:$I$2005,'CADASTRO DE CLIENTES'!$B$13,'LANÇAMENTOS'!$E$6:$E$2005,"Entrada",'LANÇAMENTOS'!$W$6:$W$2005,"&gt;0",'LANÇAMENTOS'!$C$6:$C$2005,"&lt;"&amp;TODAY()))</f>
        <v/>
      </c>
      <c r="D57" s="18">
        <f>IF('CADASTRO DE CLIENTES'!$B$13="","",$B57-$C57)</f>
        <v/>
      </c>
      <c r="E57" s="18">
        <f>IF('CADASTRO DE CLIENTES'!$B$13="","",SUMIFS('LANÇAMENTOS'!$V$6:$V$2005,'LANÇAMENTOS'!$I$6:$I$2005,'CADASTRO DE CLIENTES'!$B$13,'LANÇAMENTOS'!$E$6:$E$2005,"Entrada",'LANÇAMENTOS'!$D$6:$D$2005,"&gt;="&amp;DATE('CONFIGURAÇÕES'!$B$18,1,1),'LANÇAMENTOS'!$D$6:$D$2005,"&lt;="&amp;DATE('CONFIGURAÇÕES'!$B$18,12,31)))</f>
        <v/>
      </c>
      <c r="F57" s="23">
        <f>IFERROR($B57/SUM($B$50:$B$109),"")</f>
        <v/>
      </c>
      <c r="G57" s="24">
        <f>IF('CADASTRO DE CLIENTES'!$B$13="","",COUNTIFS('LANÇAMENTOS'!$I$6:$I$2005,'CADASTRO DE CLIENTES'!$B$13,'LANÇAMENTOS'!$E$6:$E$2005,"Entrada",'LANÇAMENTOS'!$W$6:$W$2005,"&gt;0"))</f>
        <v/>
      </c>
      <c r="H57" s="18">
        <f>IF('CADASTRO DE CLIENTES'!$B$13="","",SUMIFS('LANÇAMENTOS'!$AE$6:$AE$2005,'LANÇAMENTOS'!$I$6:$I$2005,'CADASTRO DE CLIENTES'!$B$13,'LANÇAMENTOS'!$AA$6:$AA$2005,'CONFIGURAÇÕES'!$B$18))</f>
        <v/>
      </c>
      <c r="I57" s="23">
        <f>IFERROR($H57/SUM($H$50:$H$109),"")</f>
        <v/>
      </c>
    </row>
    <row r="58">
      <c r="A58" s="9">
        <f>'CADASTRO DE CLIENTES'!$B$14</f>
        <v/>
      </c>
      <c r="B58" s="18">
        <f>IF('CADASTRO DE CLIENTES'!$B$14="","",SUMIFS('LANÇAMENTOS'!$W$6:$W$2005,'LANÇAMENTOS'!$I$6:$I$2005,'CADASTRO DE CLIENTES'!$B$14,'LANÇAMENTOS'!$E$6:$E$2005,"Entrada",'LANÇAMENTOS'!$W$6:$W$2005,"&gt;0"))</f>
        <v/>
      </c>
      <c r="C58" s="18">
        <f>IF('CADASTRO DE CLIENTES'!$B$14="","",SUMIFS('LANÇAMENTOS'!$W$6:$W$2005,'LANÇAMENTOS'!$I$6:$I$2005,'CADASTRO DE CLIENTES'!$B$14,'LANÇAMENTOS'!$E$6:$E$2005,"Entrada",'LANÇAMENTOS'!$W$6:$W$2005,"&gt;0",'LANÇAMENTOS'!$C$6:$C$2005,"&lt;"&amp;TODAY()))</f>
        <v/>
      </c>
      <c r="D58" s="18">
        <f>IF('CADASTRO DE CLIENTES'!$B$14="","",$B58-$C58)</f>
        <v/>
      </c>
      <c r="E58" s="18">
        <f>IF('CADASTRO DE CLIENTES'!$B$14="","",SUMIFS('LANÇAMENTOS'!$V$6:$V$2005,'LANÇAMENTOS'!$I$6:$I$2005,'CADASTRO DE CLIENTES'!$B$14,'LANÇAMENTOS'!$E$6:$E$2005,"Entrada",'LANÇAMENTOS'!$D$6:$D$2005,"&gt;="&amp;DATE('CONFIGURAÇÕES'!$B$18,1,1),'LANÇAMENTOS'!$D$6:$D$2005,"&lt;="&amp;DATE('CONFIGURAÇÕES'!$B$18,12,31)))</f>
        <v/>
      </c>
      <c r="F58" s="23">
        <f>IFERROR($B58/SUM($B$50:$B$109),"")</f>
        <v/>
      </c>
      <c r="G58" s="24">
        <f>IF('CADASTRO DE CLIENTES'!$B$14="","",COUNTIFS('LANÇAMENTOS'!$I$6:$I$2005,'CADASTRO DE CLIENTES'!$B$14,'LANÇAMENTOS'!$E$6:$E$2005,"Entrada",'LANÇAMENTOS'!$W$6:$W$2005,"&gt;0"))</f>
        <v/>
      </c>
      <c r="H58" s="18">
        <f>IF('CADASTRO DE CLIENTES'!$B$14="","",SUMIFS('LANÇAMENTOS'!$AE$6:$AE$2005,'LANÇAMENTOS'!$I$6:$I$2005,'CADASTRO DE CLIENTES'!$B$14,'LANÇAMENTOS'!$AA$6:$AA$2005,'CONFIGURAÇÕES'!$B$18))</f>
        <v/>
      </c>
      <c r="I58" s="23">
        <f>IFERROR($H58/SUM($H$50:$H$109),"")</f>
        <v/>
      </c>
    </row>
    <row r="59">
      <c r="A59" s="9">
        <f>'CADASTRO DE CLIENTES'!$B$15</f>
        <v/>
      </c>
      <c r="B59" s="18">
        <f>IF('CADASTRO DE CLIENTES'!$B$15="","",SUMIFS('LANÇAMENTOS'!$W$6:$W$2005,'LANÇAMENTOS'!$I$6:$I$2005,'CADASTRO DE CLIENTES'!$B$15,'LANÇAMENTOS'!$E$6:$E$2005,"Entrada",'LANÇAMENTOS'!$W$6:$W$2005,"&gt;0"))</f>
        <v/>
      </c>
      <c r="C59" s="18">
        <f>IF('CADASTRO DE CLIENTES'!$B$15="","",SUMIFS('LANÇAMENTOS'!$W$6:$W$2005,'LANÇAMENTOS'!$I$6:$I$2005,'CADASTRO DE CLIENTES'!$B$15,'LANÇAMENTOS'!$E$6:$E$2005,"Entrada",'LANÇAMENTOS'!$W$6:$W$2005,"&gt;0",'LANÇAMENTOS'!$C$6:$C$2005,"&lt;"&amp;TODAY()))</f>
        <v/>
      </c>
      <c r="D59" s="18">
        <f>IF('CADASTRO DE CLIENTES'!$B$15="","",$B59-$C59)</f>
        <v/>
      </c>
      <c r="E59" s="18">
        <f>IF('CADASTRO DE CLIENTES'!$B$15="","",SUMIFS('LANÇAMENTOS'!$V$6:$V$2005,'LANÇAMENTOS'!$I$6:$I$2005,'CADASTRO DE CLIENTES'!$B$15,'LANÇAMENTOS'!$E$6:$E$2005,"Entrada",'LANÇAMENTOS'!$D$6:$D$2005,"&gt;="&amp;DATE('CONFIGURAÇÕES'!$B$18,1,1),'LANÇAMENTOS'!$D$6:$D$2005,"&lt;="&amp;DATE('CONFIGURAÇÕES'!$B$18,12,31)))</f>
        <v/>
      </c>
      <c r="F59" s="23">
        <f>IFERROR($B59/SUM($B$50:$B$109),"")</f>
        <v/>
      </c>
      <c r="G59" s="24">
        <f>IF('CADASTRO DE CLIENTES'!$B$15="","",COUNTIFS('LANÇAMENTOS'!$I$6:$I$2005,'CADASTRO DE CLIENTES'!$B$15,'LANÇAMENTOS'!$E$6:$E$2005,"Entrada",'LANÇAMENTOS'!$W$6:$W$2005,"&gt;0"))</f>
        <v/>
      </c>
      <c r="H59" s="18">
        <f>IF('CADASTRO DE CLIENTES'!$B$15="","",SUMIFS('LANÇAMENTOS'!$AE$6:$AE$2005,'LANÇAMENTOS'!$I$6:$I$2005,'CADASTRO DE CLIENTES'!$B$15,'LANÇAMENTOS'!$AA$6:$AA$2005,'CONFIGURAÇÕES'!$B$18))</f>
        <v/>
      </c>
      <c r="I59" s="23">
        <f>IFERROR($H59/SUM($H$50:$H$109),"")</f>
        <v/>
      </c>
    </row>
    <row r="60">
      <c r="A60" s="9">
        <f>'CADASTRO DE CLIENTES'!$B$16</f>
        <v/>
      </c>
      <c r="B60" s="18">
        <f>IF('CADASTRO DE CLIENTES'!$B$16="","",SUMIFS('LANÇAMENTOS'!$W$6:$W$2005,'LANÇAMENTOS'!$I$6:$I$2005,'CADASTRO DE CLIENTES'!$B$16,'LANÇAMENTOS'!$E$6:$E$2005,"Entrada",'LANÇAMENTOS'!$W$6:$W$2005,"&gt;0"))</f>
        <v/>
      </c>
      <c r="C60" s="18">
        <f>IF('CADASTRO DE CLIENTES'!$B$16="","",SUMIFS('LANÇAMENTOS'!$W$6:$W$2005,'LANÇAMENTOS'!$I$6:$I$2005,'CADASTRO DE CLIENTES'!$B$16,'LANÇAMENTOS'!$E$6:$E$2005,"Entrada",'LANÇAMENTOS'!$W$6:$W$2005,"&gt;0",'LANÇAMENTOS'!$C$6:$C$2005,"&lt;"&amp;TODAY()))</f>
        <v/>
      </c>
      <c r="D60" s="18">
        <f>IF('CADASTRO DE CLIENTES'!$B$16="","",$B60-$C60)</f>
        <v/>
      </c>
      <c r="E60" s="18">
        <f>IF('CADASTRO DE CLIENTES'!$B$16="","",SUMIFS('LANÇAMENTOS'!$V$6:$V$2005,'LANÇAMENTOS'!$I$6:$I$2005,'CADASTRO DE CLIENTES'!$B$16,'LANÇAMENTOS'!$E$6:$E$2005,"Entrada",'LANÇAMENTOS'!$D$6:$D$2005,"&gt;="&amp;DATE('CONFIGURAÇÕES'!$B$18,1,1),'LANÇAMENTOS'!$D$6:$D$2005,"&lt;="&amp;DATE('CONFIGURAÇÕES'!$B$18,12,31)))</f>
        <v/>
      </c>
      <c r="F60" s="23">
        <f>IFERROR($B60/SUM($B$50:$B$109),"")</f>
        <v/>
      </c>
      <c r="G60" s="24">
        <f>IF('CADASTRO DE CLIENTES'!$B$16="","",COUNTIFS('LANÇAMENTOS'!$I$6:$I$2005,'CADASTRO DE CLIENTES'!$B$16,'LANÇAMENTOS'!$E$6:$E$2005,"Entrada",'LANÇAMENTOS'!$W$6:$W$2005,"&gt;0"))</f>
        <v/>
      </c>
      <c r="H60" s="18">
        <f>IF('CADASTRO DE CLIENTES'!$B$16="","",SUMIFS('LANÇAMENTOS'!$AE$6:$AE$2005,'LANÇAMENTOS'!$I$6:$I$2005,'CADASTRO DE CLIENTES'!$B$16,'LANÇAMENTOS'!$AA$6:$AA$2005,'CONFIGURAÇÕES'!$B$18))</f>
        <v/>
      </c>
      <c r="I60" s="23">
        <f>IFERROR($H60/SUM($H$50:$H$109),"")</f>
        <v/>
      </c>
    </row>
    <row r="61">
      <c r="A61" s="9">
        <f>'CADASTRO DE CLIENTES'!$B$17</f>
        <v/>
      </c>
      <c r="B61" s="18">
        <f>IF('CADASTRO DE CLIENTES'!$B$17="","",SUMIFS('LANÇAMENTOS'!$W$6:$W$2005,'LANÇAMENTOS'!$I$6:$I$2005,'CADASTRO DE CLIENTES'!$B$17,'LANÇAMENTOS'!$E$6:$E$2005,"Entrada",'LANÇAMENTOS'!$W$6:$W$2005,"&gt;0"))</f>
        <v/>
      </c>
      <c r="C61" s="18">
        <f>IF('CADASTRO DE CLIENTES'!$B$17="","",SUMIFS('LANÇAMENTOS'!$W$6:$W$2005,'LANÇAMENTOS'!$I$6:$I$2005,'CADASTRO DE CLIENTES'!$B$17,'LANÇAMENTOS'!$E$6:$E$2005,"Entrada",'LANÇAMENTOS'!$W$6:$W$2005,"&gt;0",'LANÇAMENTOS'!$C$6:$C$2005,"&lt;"&amp;TODAY()))</f>
        <v/>
      </c>
      <c r="D61" s="18">
        <f>IF('CADASTRO DE CLIENTES'!$B$17="","",$B61-$C61)</f>
        <v/>
      </c>
      <c r="E61" s="18">
        <f>IF('CADASTRO DE CLIENTES'!$B$17="","",SUMIFS('LANÇAMENTOS'!$V$6:$V$2005,'LANÇAMENTOS'!$I$6:$I$2005,'CADASTRO DE CLIENTES'!$B$17,'LANÇAMENTOS'!$E$6:$E$2005,"Entrada",'LANÇAMENTOS'!$D$6:$D$2005,"&gt;="&amp;DATE('CONFIGURAÇÕES'!$B$18,1,1),'LANÇAMENTOS'!$D$6:$D$2005,"&lt;="&amp;DATE('CONFIGURAÇÕES'!$B$18,12,31)))</f>
        <v/>
      </c>
      <c r="F61" s="23">
        <f>IFERROR($B61/SUM($B$50:$B$109),"")</f>
        <v/>
      </c>
      <c r="G61" s="24">
        <f>IF('CADASTRO DE CLIENTES'!$B$17="","",COUNTIFS('LANÇAMENTOS'!$I$6:$I$2005,'CADASTRO DE CLIENTES'!$B$17,'LANÇAMENTOS'!$E$6:$E$2005,"Entrada",'LANÇAMENTOS'!$W$6:$W$2005,"&gt;0"))</f>
        <v/>
      </c>
      <c r="H61" s="18">
        <f>IF('CADASTRO DE CLIENTES'!$B$17="","",SUMIFS('LANÇAMENTOS'!$AE$6:$AE$2005,'LANÇAMENTOS'!$I$6:$I$2005,'CADASTRO DE CLIENTES'!$B$17,'LANÇAMENTOS'!$AA$6:$AA$2005,'CONFIGURAÇÕES'!$B$18))</f>
        <v/>
      </c>
      <c r="I61" s="23">
        <f>IFERROR($H61/SUM($H$50:$H$109),"")</f>
        <v/>
      </c>
    </row>
    <row r="62">
      <c r="A62" s="9">
        <f>'CADASTRO DE CLIENTES'!$B$18</f>
        <v/>
      </c>
      <c r="B62" s="18">
        <f>IF('CADASTRO DE CLIENTES'!$B$18="","",SUMIFS('LANÇAMENTOS'!$W$6:$W$2005,'LANÇAMENTOS'!$I$6:$I$2005,'CADASTRO DE CLIENTES'!$B$18,'LANÇAMENTOS'!$E$6:$E$2005,"Entrada",'LANÇAMENTOS'!$W$6:$W$2005,"&gt;0"))</f>
        <v/>
      </c>
      <c r="C62" s="18">
        <f>IF('CADASTRO DE CLIENTES'!$B$18="","",SUMIFS('LANÇAMENTOS'!$W$6:$W$2005,'LANÇAMENTOS'!$I$6:$I$2005,'CADASTRO DE CLIENTES'!$B$18,'LANÇAMENTOS'!$E$6:$E$2005,"Entrada",'LANÇAMENTOS'!$W$6:$W$2005,"&gt;0",'LANÇAMENTOS'!$C$6:$C$2005,"&lt;"&amp;TODAY()))</f>
        <v/>
      </c>
      <c r="D62" s="18">
        <f>IF('CADASTRO DE CLIENTES'!$B$18="","",$B62-$C62)</f>
        <v/>
      </c>
      <c r="E62" s="18">
        <f>IF('CADASTRO DE CLIENTES'!$B$18="","",SUMIFS('LANÇAMENTOS'!$V$6:$V$2005,'LANÇAMENTOS'!$I$6:$I$2005,'CADASTRO DE CLIENTES'!$B$18,'LANÇAMENTOS'!$E$6:$E$2005,"Entrada",'LANÇAMENTOS'!$D$6:$D$2005,"&gt;="&amp;DATE('CONFIGURAÇÕES'!$B$18,1,1),'LANÇAMENTOS'!$D$6:$D$2005,"&lt;="&amp;DATE('CONFIGURAÇÕES'!$B$18,12,31)))</f>
        <v/>
      </c>
      <c r="F62" s="23">
        <f>IFERROR($B62/SUM($B$50:$B$109),"")</f>
        <v/>
      </c>
      <c r="G62" s="24">
        <f>IF('CADASTRO DE CLIENTES'!$B$18="","",COUNTIFS('LANÇAMENTOS'!$I$6:$I$2005,'CADASTRO DE CLIENTES'!$B$18,'LANÇAMENTOS'!$E$6:$E$2005,"Entrada",'LANÇAMENTOS'!$W$6:$W$2005,"&gt;0"))</f>
        <v/>
      </c>
      <c r="H62" s="18">
        <f>IF('CADASTRO DE CLIENTES'!$B$18="","",SUMIFS('LANÇAMENTOS'!$AE$6:$AE$2005,'LANÇAMENTOS'!$I$6:$I$2005,'CADASTRO DE CLIENTES'!$B$18,'LANÇAMENTOS'!$AA$6:$AA$2005,'CONFIGURAÇÕES'!$B$18))</f>
        <v/>
      </c>
      <c r="I62" s="23">
        <f>IFERROR($H62/SUM($H$50:$H$109),"")</f>
        <v/>
      </c>
    </row>
    <row r="63">
      <c r="A63" s="9">
        <f>'CADASTRO DE CLIENTES'!$B$19</f>
        <v/>
      </c>
      <c r="B63" s="18">
        <f>IF('CADASTRO DE CLIENTES'!$B$19="","",SUMIFS('LANÇAMENTOS'!$W$6:$W$2005,'LANÇAMENTOS'!$I$6:$I$2005,'CADASTRO DE CLIENTES'!$B$19,'LANÇAMENTOS'!$E$6:$E$2005,"Entrada",'LANÇAMENTOS'!$W$6:$W$2005,"&gt;0"))</f>
        <v/>
      </c>
      <c r="C63" s="18">
        <f>IF('CADASTRO DE CLIENTES'!$B$19="","",SUMIFS('LANÇAMENTOS'!$W$6:$W$2005,'LANÇAMENTOS'!$I$6:$I$2005,'CADASTRO DE CLIENTES'!$B$19,'LANÇAMENTOS'!$E$6:$E$2005,"Entrada",'LANÇAMENTOS'!$W$6:$W$2005,"&gt;0",'LANÇAMENTOS'!$C$6:$C$2005,"&lt;"&amp;TODAY()))</f>
        <v/>
      </c>
      <c r="D63" s="18">
        <f>IF('CADASTRO DE CLIENTES'!$B$19="","",$B63-$C63)</f>
        <v/>
      </c>
      <c r="E63" s="18">
        <f>IF('CADASTRO DE CLIENTES'!$B$19="","",SUMIFS('LANÇAMENTOS'!$V$6:$V$2005,'LANÇAMENTOS'!$I$6:$I$2005,'CADASTRO DE CLIENTES'!$B$19,'LANÇAMENTOS'!$E$6:$E$2005,"Entrada",'LANÇAMENTOS'!$D$6:$D$2005,"&gt;="&amp;DATE('CONFIGURAÇÕES'!$B$18,1,1),'LANÇAMENTOS'!$D$6:$D$2005,"&lt;="&amp;DATE('CONFIGURAÇÕES'!$B$18,12,31)))</f>
        <v/>
      </c>
      <c r="F63" s="23">
        <f>IFERROR($B63/SUM($B$50:$B$109),"")</f>
        <v/>
      </c>
      <c r="G63" s="24">
        <f>IF('CADASTRO DE CLIENTES'!$B$19="","",COUNTIFS('LANÇAMENTOS'!$I$6:$I$2005,'CADASTRO DE CLIENTES'!$B$19,'LANÇAMENTOS'!$E$6:$E$2005,"Entrada",'LANÇAMENTOS'!$W$6:$W$2005,"&gt;0"))</f>
        <v/>
      </c>
      <c r="H63" s="18">
        <f>IF('CADASTRO DE CLIENTES'!$B$19="","",SUMIFS('LANÇAMENTOS'!$AE$6:$AE$2005,'LANÇAMENTOS'!$I$6:$I$2005,'CADASTRO DE CLIENTES'!$B$19,'LANÇAMENTOS'!$AA$6:$AA$2005,'CONFIGURAÇÕES'!$B$18))</f>
        <v/>
      </c>
      <c r="I63" s="23">
        <f>IFERROR($H63/SUM($H$50:$H$109),"")</f>
        <v/>
      </c>
    </row>
    <row r="64">
      <c r="A64" s="9">
        <f>'CADASTRO DE CLIENTES'!$B$20</f>
        <v/>
      </c>
      <c r="B64" s="18">
        <f>IF('CADASTRO DE CLIENTES'!$B$20="","",SUMIFS('LANÇAMENTOS'!$W$6:$W$2005,'LANÇAMENTOS'!$I$6:$I$2005,'CADASTRO DE CLIENTES'!$B$20,'LANÇAMENTOS'!$E$6:$E$2005,"Entrada",'LANÇAMENTOS'!$W$6:$W$2005,"&gt;0"))</f>
        <v/>
      </c>
      <c r="C64" s="18">
        <f>IF('CADASTRO DE CLIENTES'!$B$20="","",SUMIFS('LANÇAMENTOS'!$W$6:$W$2005,'LANÇAMENTOS'!$I$6:$I$2005,'CADASTRO DE CLIENTES'!$B$20,'LANÇAMENTOS'!$E$6:$E$2005,"Entrada",'LANÇAMENTOS'!$W$6:$W$2005,"&gt;0",'LANÇAMENTOS'!$C$6:$C$2005,"&lt;"&amp;TODAY()))</f>
        <v/>
      </c>
      <c r="D64" s="18">
        <f>IF('CADASTRO DE CLIENTES'!$B$20="","",$B64-$C64)</f>
        <v/>
      </c>
      <c r="E64" s="18">
        <f>IF('CADASTRO DE CLIENTES'!$B$20="","",SUMIFS('LANÇAMENTOS'!$V$6:$V$2005,'LANÇAMENTOS'!$I$6:$I$2005,'CADASTRO DE CLIENTES'!$B$20,'LANÇAMENTOS'!$E$6:$E$2005,"Entrada",'LANÇAMENTOS'!$D$6:$D$2005,"&gt;="&amp;DATE('CONFIGURAÇÕES'!$B$18,1,1),'LANÇAMENTOS'!$D$6:$D$2005,"&lt;="&amp;DATE('CONFIGURAÇÕES'!$B$18,12,31)))</f>
        <v/>
      </c>
      <c r="F64" s="23">
        <f>IFERROR($B64/SUM($B$50:$B$109),"")</f>
        <v/>
      </c>
      <c r="G64" s="24">
        <f>IF('CADASTRO DE CLIENTES'!$B$20="","",COUNTIFS('LANÇAMENTOS'!$I$6:$I$2005,'CADASTRO DE CLIENTES'!$B$20,'LANÇAMENTOS'!$E$6:$E$2005,"Entrada",'LANÇAMENTOS'!$W$6:$W$2005,"&gt;0"))</f>
        <v/>
      </c>
      <c r="H64" s="18">
        <f>IF('CADASTRO DE CLIENTES'!$B$20="","",SUMIFS('LANÇAMENTOS'!$AE$6:$AE$2005,'LANÇAMENTOS'!$I$6:$I$2005,'CADASTRO DE CLIENTES'!$B$20,'LANÇAMENTOS'!$AA$6:$AA$2005,'CONFIGURAÇÕES'!$B$18))</f>
        <v/>
      </c>
      <c r="I64" s="23">
        <f>IFERROR($H64/SUM($H$50:$H$109),"")</f>
        <v/>
      </c>
    </row>
    <row r="65">
      <c r="A65" s="9">
        <f>'CADASTRO DE CLIENTES'!$B$21</f>
        <v/>
      </c>
      <c r="B65" s="18">
        <f>IF('CADASTRO DE CLIENTES'!$B$21="","",SUMIFS('LANÇAMENTOS'!$W$6:$W$2005,'LANÇAMENTOS'!$I$6:$I$2005,'CADASTRO DE CLIENTES'!$B$21,'LANÇAMENTOS'!$E$6:$E$2005,"Entrada",'LANÇAMENTOS'!$W$6:$W$2005,"&gt;0"))</f>
        <v/>
      </c>
      <c r="C65" s="18">
        <f>IF('CADASTRO DE CLIENTES'!$B$21="","",SUMIFS('LANÇAMENTOS'!$W$6:$W$2005,'LANÇAMENTOS'!$I$6:$I$2005,'CADASTRO DE CLIENTES'!$B$21,'LANÇAMENTOS'!$E$6:$E$2005,"Entrada",'LANÇAMENTOS'!$W$6:$W$2005,"&gt;0",'LANÇAMENTOS'!$C$6:$C$2005,"&lt;"&amp;TODAY()))</f>
        <v/>
      </c>
      <c r="D65" s="18">
        <f>IF('CADASTRO DE CLIENTES'!$B$21="","",$B65-$C65)</f>
        <v/>
      </c>
      <c r="E65" s="18">
        <f>IF('CADASTRO DE CLIENTES'!$B$21="","",SUMIFS('LANÇAMENTOS'!$V$6:$V$2005,'LANÇAMENTOS'!$I$6:$I$2005,'CADASTRO DE CLIENTES'!$B$21,'LANÇAMENTOS'!$E$6:$E$2005,"Entrada",'LANÇAMENTOS'!$D$6:$D$2005,"&gt;="&amp;DATE('CONFIGURAÇÕES'!$B$18,1,1),'LANÇAMENTOS'!$D$6:$D$2005,"&lt;="&amp;DATE('CONFIGURAÇÕES'!$B$18,12,31)))</f>
        <v/>
      </c>
      <c r="F65" s="23">
        <f>IFERROR($B65/SUM($B$50:$B$109),"")</f>
        <v/>
      </c>
      <c r="G65" s="24">
        <f>IF('CADASTRO DE CLIENTES'!$B$21="","",COUNTIFS('LANÇAMENTOS'!$I$6:$I$2005,'CADASTRO DE CLIENTES'!$B$21,'LANÇAMENTOS'!$E$6:$E$2005,"Entrada",'LANÇAMENTOS'!$W$6:$W$2005,"&gt;0"))</f>
        <v/>
      </c>
      <c r="H65" s="18">
        <f>IF('CADASTRO DE CLIENTES'!$B$21="","",SUMIFS('LANÇAMENTOS'!$AE$6:$AE$2005,'LANÇAMENTOS'!$I$6:$I$2005,'CADASTRO DE CLIENTES'!$B$21,'LANÇAMENTOS'!$AA$6:$AA$2005,'CONFIGURAÇÕES'!$B$18))</f>
        <v/>
      </c>
      <c r="I65" s="23">
        <f>IFERROR($H65/SUM($H$50:$H$109),"")</f>
        <v/>
      </c>
    </row>
    <row r="66">
      <c r="A66" s="9">
        <f>'CADASTRO DE CLIENTES'!$B$22</f>
        <v/>
      </c>
      <c r="B66" s="18">
        <f>IF('CADASTRO DE CLIENTES'!$B$22="","",SUMIFS('LANÇAMENTOS'!$W$6:$W$2005,'LANÇAMENTOS'!$I$6:$I$2005,'CADASTRO DE CLIENTES'!$B$22,'LANÇAMENTOS'!$E$6:$E$2005,"Entrada",'LANÇAMENTOS'!$W$6:$W$2005,"&gt;0"))</f>
        <v/>
      </c>
      <c r="C66" s="18">
        <f>IF('CADASTRO DE CLIENTES'!$B$22="","",SUMIFS('LANÇAMENTOS'!$W$6:$W$2005,'LANÇAMENTOS'!$I$6:$I$2005,'CADASTRO DE CLIENTES'!$B$22,'LANÇAMENTOS'!$E$6:$E$2005,"Entrada",'LANÇAMENTOS'!$W$6:$W$2005,"&gt;0",'LANÇAMENTOS'!$C$6:$C$2005,"&lt;"&amp;TODAY()))</f>
        <v/>
      </c>
      <c r="D66" s="18">
        <f>IF('CADASTRO DE CLIENTES'!$B$22="","",$B66-$C66)</f>
        <v/>
      </c>
      <c r="E66" s="18">
        <f>IF('CADASTRO DE CLIENTES'!$B$22="","",SUMIFS('LANÇAMENTOS'!$V$6:$V$2005,'LANÇAMENTOS'!$I$6:$I$2005,'CADASTRO DE CLIENTES'!$B$22,'LANÇAMENTOS'!$E$6:$E$2005,"Entrada",'LANÇAMENTOS'!$D$6:$D$2005,"&gt;="&amp;DATE('CONFIGURAÇÕES'!$B$18,1,1),'LANÇAMENTOS'!$D$6:$D$2005,"&lt;="&amp;DATE('CONFIGURAÇÕES'!$B$18,12,31)))</f>
        <v/>
      </c>
      <c r="F66" s="23">
        <f>IFERROR($B66/SUM($B$50:$B$109),"")</f>
        <v/>
      </c>
      <c r="G66" s="24">
        <f>IF('CADASTRO DE CLIENTES'!$B$22="","",COUNTIFS('LANÇAMENTOS'!$I$6:$I$2005,'CADASTRO DE CLIENTES'!$B$22,'LANÇAMENTOS'!$E$6:$E$2005,"Entrada",'LANÇAMENTOS'!$W$6:$W$2005,"&gt;0"))</f>
        <v/>
      </c>
      <c r="H66" s="18">
        <f>IF('CADASTRO DE CLIENTES'!$B$22="","",SUMIFS('LANÇAMENTOS'!$AE$6:$AE$2005,'LANÇAMENTOS'!$I$6:$I$2005,'CADASTRO DE CLIENTES'!$B$22,'LANÇAMENTOS'!$AA$6:$AA$2005,'CONFIGURAÇÕES'!$B$18))</f>
        <v/>
      </c>
      <c r="I66" s="23">
        <f>IFERROR($H66/SUM($H$50:$H$109),"")</f>
        <v/>
      </c>
    </row>
    <row r="67">
      <c r="A67" s="9">
        <f>'CADASTRO DE CLIENTES'!$B$23</f>
        <v/>
      </c>
      <c r="B67" s="18">
        <f>IF('CADASTRO DE CLIENTES'!$B$23="","",SUMIFS('LANÇAMENTOS'!$W$6:$W$2005,'LANÇAMENTOS'!$I$6:$I$2005,'CADASTRO DE CLIENTES'!$B$23,'LANÇAMENTOS'!$E$6:$E$2005,"Entrada",'LANÇAMENTOS'!$W$6:$W$2005,"&gt;0"))</f>
        <v/>
      </c>
      <c r="C67" s="18">
        <f>IF('CADASTRO DE CLIENTES'!$B$23="","",SUMIFS('LANÇAMENTOS'!$W$6:$W$2005,'LANÇAMENTOS'!$I$6:$I$2005,'CADASTRO DE CLIENTES'!$B$23,'LANÇAMENTOS'!$E$6:$E$2005,"Entrada",'LANÇAMENTOS'!$W$6:$W$2005,"&gt;0",'LANÇAMENTOS'!$C$6:$C$2005,"&lt;"&amp;TODAY()))</f>
        <v/>
      </c>
      <c r="D67" s="18">
        <f>IF('CADASTRO DE CLIENTES'!$B$23="","",$B67-$C67)</f>
        <v/>
      </c>
      <c r="E67" s="18">
        <f>IF('CADASTRO DE CLIENTES'!$B$23="","",SUMIFS('LANÇAMENTOS'!$V$6:$V$2005,'LANÇAMENTOS'!$I$6:$I$2005,'CADASTRO DE CLIENTES'!$B$23,'LANÇAMENTOS'!$E$6:$E$2005,"Entrada",'LANÇAMENTOS'!$D$6:$D$2005,"&gt;="&amp;DATE('CONFIGURAÇÕES'!$B$18,1,1),'LANÇAMENTOS'!$D$6:$D$2005,"&lt;="&amp;DATE('CONFIGURAÇÕES'!$B$18,12,31)))</f>
        <v/>
      </c>
      <c r="F67" s="23">
        <f>IFERROR($B67/SUM($B$50:$B$109),"")</f>
        <v/>
      </c>
      <c r="G67" s="24">
        <f>IF('CADASTRO DE CLIENTES'!$B$23="","",COUNTIFS('LANÇAMENTOS'!$I$6:$I$2005,'CADASTRO DE CLIENTES'!$B$23,'LANÇAMENTOS'!$E$6:$E$2005,"Entrada",'LANÇAMENTOS'!$W$6:$W$2005,"&gt;0"))</f>
        <v/>
      </c>
      <c r="H67" s="18">
        <f>IF('CADASTRO DE CLIENTES'!$B$23="","",SUMIFS('LANÇAMENTOS'!$AE$6:$AE$2005,'LANÇAMENTOS'!$I$6:$I$2005,'CADASTRO DE CLIENTES'!$B$23,'LANÇAMENTOS'!$AA$6:$AA$2005,'CONFIGURAÇÕES'!$B$18))</f>
        <v/>
      </c>
      <c r="I67" s="23">
        <f>IFERROR($H67/SUM($H$50:$H$109),"")</f>
        <v/>
      </c>
    </row>
    <row r="68">
      <c r="A68" s="9">
        <f>'CADASTRO DE CLIENTES'!$B$24</f>
        <v/>
      </c>
      <c r="B68" s="18">
        <f>IF('CADASTRO DE CLIENTES'!$B$24="","",SUMIFS('LANÇAMENTOS'!$W$6:$W$2005,'LANÇAMENTOS'!$I$6:$I$2005,'CADASTRO DE CLIENTES'!$B$24,'LANÇAMENTOS'!$E$6:$E$2005,"Entrada",'LANÇAMENTOS'!$W$6:$W$2005,"&gt;0"))</f>
        <v/>
      </c>
      <c r="C68" s="18">
        <f>IF('CADASTRO DE CLIENTES'!$B$24="","",SUMIFS('LANÇAMENTOS'!$W$6:$W$2005,'LANÇAMENTOS'!$I$6:$I$2005,'CADASTRO DE CLIENTES'!$B$24,'LANÇAMENTOS'!$E$6:$E$2005,"Entrada",'LANÇAMENTOS'!$W$6:$W$2005,"&gt;0",'LANÇAMENTOS'!$C$6:$C$2005,"&lt;"&amp;TODAY()))</f>
        <v/>
      </c>
      <c r="D68" s="18">
        <f>IF('CADASTRO DE CLIENTES'!$B$24="","",$B68-$C68)</f>
        <v/>
      </c>
      <c r="E68" s="18">
        <f>IF('CADASTRO DE CLIENTES'!$B$24="","",SUMIFS('LANÇAMENTOS'!$V$6:$V$2005,'LANÇAMENTOS'!$I$6:$I$2005,'CADASTRO DE CLIENTES'!$B$24,'LANÇAMENTOS'!$E$6:$E$2005,"Entrada",'LANÇAMENTOS'!$D$6:$D$2005,"&gt;="&amp;DATE('CONFIGURAÇÕES'!$B$18,1,1),'LANÇAMENTOS'!$D$6:$D$2005,"&lt;="&amp;DATE('CONFIGURAÇÕES'!$B$18,12,31)))</f>
        <v/>
      </c>
      <c r="F68" s="23">
        <f>IFERROR($B68/SUM($B$50:$B$109),"")</f>
        <v/>
      </c>
      <c r="G68" s="24">
        <f>IF('CADASTRO DE CLIENTES'!$B$24="","",COUNTIFS('LANÇAMENTOS'!$I$6:$I$2005,'CADASTRO DE CLIENTES'!$B$24,'LANÇAMENTOS'!$E$6:$E$2005,"Entrada",'LANÇAMENTOS'!$W$6:$W$2005,"&gt;0"))</f>
        <v/>
      </c>
      <c r="H68" s="18">
        <f>IF('CADASTRO DE CLIENTES'!$B$24="","",SUMIFS('LANÇAMENTOS'!$AE$6:$AE$2005,'LANÇAMENTOS'!$I$6:$I$2005,'CADASTRO DE CLIENTES'!$B$24,'LANÇAMENTOS'!$AA$6:$AA$2005,'CONFIGURAÇÕES'!$B$18))</f>
        <v/>
      </c>
      <c r="I68" s="23">
        <f>IFERROR($H68/SUM($H$50:$H$109),"")</f>
        <v/>
      </c>
    </row>
    <row r="69">
      <c r="A69" s="9">
        <f>'CADASTRO DE CLIENTES'!$B$25</f>
        <v/>
      </c>
      <c r="B69" s="18">
        <f>IF('CADASTRO DE CLIENTES'!$B$25="","",SUMIFS('LANÇAMENTOS'!$W$6:$W$2005,'LANÇAMENTOS'!$I$6:$I$2005,'CADASTRO DE CLIENTES'!$B$25,'LANÇAMENTOS'!$E$6:$E$2005,"Entrada",'LANÇAMENTOS'!$W$6:$W$2005,"&gt;0"))</f>
        <v/>
      </c>
      <c r="C69" s="18">
        <f>IF('CADASTRO DE CLIENTES'!$B$25="","",SUMIFS('LANÇAMENTOS'!$W$6:$W$2005,'LANÇAMENTOS'!$I$6:$I$2005,'CADASTRO DE CLIENTES'!$B$25,'LANÇAMENTOS'!$E$6:$E$2005,"Entrada",'LANÇAMENTOS'!$W$6:$W$2005,"&gt;0",'LANÇAMENTOS'!$C$6:$C$2005,"&lt;"&amp;TODAY()))</f>
        <v/>
      </c>
      <c r="D69" s="18">
        <f>IF('CADASTRO DE CLIENTES'!$B$25="","",$B69-$C69)</f>
        <v/>
      </c>
      <c r="E69" s="18">
        <f>IF('CADASTRO DE CLIENTES'!$B$25="","",SUMIFS('LANÇAMENTOS'!$V$6:$V$2005,'LANÇAMENTOS'!$I$6:$I$2005,'CADASTRO DE CLIENTES'!$B$25,'LANÇAMENTOS'!$E$6:$E$2005,"Entrada",'LANÇAMENTOS'!$D$6:$D$2005,"&gt;="&amp;DATE('CONFIGURAÇÕES'!$B$18,1,1),'LANÇAMENTOS'!$D$6:$D$2005,"&lt;="&amp;DATE('CONFIGURAÇÕES'!$B$18,12,31)))</f>
        <v/>
      </c>
      <c r="F69" s="23">
        <f>IFERROR($B69/SUM($B$50:$B$109),"")</f>
        <v/>
      </c>
      <c r="G69" s="24">
        <f>IF('CADASTRO DE CLIENTES'!$B$25="","",COUNTIFS('LANÇAMENTOS'!$I$6:$I$2005,'CADASTRO DE CLIENTES'!$B$25,'LANÇAMENTOS'!$E$6:$E$2005,"Entrada",'LANÇAMENTOS'!$W$6:$W$2005,"&gt;0"))</f>
        <v/>
      </c>
      <c r="H69" s="18">
        <f>IF('CADASTRO DE CLIENTES'!$B$25="","",SUMIFS('LANÇAMENTOS'!$AE$6:$AE$2005,'LANÇAMENTOS'!$I$6:$I$2005,'CADASTRO DE CLIENTES'!$B$25,'LANÇAMENTOS'!$AA$6:$AA$2005,'CONFIGURAÇÕES'!$B$18))</f>
        <v/>
      </c>
      <c r="I69" s="23">
        <f>IFERROR($H69/SUM($H$50:$H$109),"")</f>
        <v/>
      </c>
    </row>
    <row r="70">
      <c r="A70" s="9">
        <f>'CADASTRO DE CLIENTES'!$B$26</f>
        <v/>
      </c>
      <c r="B70" s="18">
        <f>IF('CADASTRO DE CLIENTES'!$B$26="","",SUMIFS('LANÇAMENTOS'!$W$6:$W$2005,'LANÇAMENTOS'!$I$6:$I$2005,'CADASTRO DE CLIENTES'!$B$26,'LANÇAMENTOS'!$E$6:$E$2005,"Entrada",'LANÇAMENTOS'!$W$6:$W$2005,"&gt;0"))</f>
        <v/>
      </c>
      <c r="C70" s="18">
        <f>IF('CADASTRO DE CLIENTES'!$B$26="","",SUMIFS('LANÇAMENTOS'!$W$6:$W$2005,'LANÇAMENTOS'!$I$6:$I$2005,'CADASTRO DE CLIENTES'!$B$26,'LANÇAMENTOS'!$E$6:$E$2005,"Entrada",'LANÇAMENTOS'!$W$6:$W$2005,"&gt;0",'LANÇAMENTOS'!$C$6:$C$2005,"&lt;"&amp;TODAY()))</f>
        <v/>
      </c>
      <c r="D70" s="18">
        <f>IF('CADASTRO DE CLIENTES'!$B$26="","",$B70-$C70)</f>
        <v/>
      </c>
      <c r="E70" s="18">
        <f>IF('CADASTRO DE CLIENTES'!$B$26="","",SUMIFS('LANÇAMENTOS'!$V$6:$V$2005,'LANÇAMENTOS'!$I$6:$I$2005,'CADASTRO DE CLIENTES'!$B$26,'LANÇAMENTOS'!$E$6:$E$2005,"Entrada",'LANÇAMENTOS'!$D$6:$D$2005,"&gt;="&amp;DATE('CONFIGURAÇÕES'!$B$18,1,1),'LANÇAMENTOS'!$D$6:$D$2005,"&lt;="&amp;DATE('CONFIGURAÇÕES'!$B$18,12,31)))</f>
        <v/>
      </c>
      <c r="F70" s="23">
        <f>IFERROR($B70/SUM($B$50:$B$109),"")</f>
        <v/>
      </c>
      <c r="G70" s="24">
        <f>IF('CADASTRO DE CLIENTES'!$B$26="","",COUNTIFS('LANÇAMENTOS'!$I$6:$I$2005,'CADASTRO DE CLIENTES'!$B$26,'LANÇAMENTOS'!$E$6:$E$2005,"Entrada",'LANÇAMENTOS'!$W$6:$W$2005,"&gt;0"))</f>
        <v/>
      </c>
      <c r="H70" s="18">
        <f>IF('CADASTRO DE CLIENTES'!$B$26="","",SUMIFS('LANÇAMENTOS'!$AE$6:$AE$2005,'LANÇAMENTOS'!$I$6:$I$2005,'CADASTRO DE CLIENTES'!$B$26,'LANÇAMENTOS'!$AA$6:$AA$2005,'CONFIGURAÇÕES'!$B$18))</f>
        <v/>
      </c>
      <c r="I70" s="23">
        <f>IFERROR($H70/SUM($H$50:$H$109),"")</f>
        <v/>
      </c>
    </row>
    <row r="71">
      <c r="A71" s="9">
        <f>'CADASTRO DE CLIENTES'!$B$27</f>
        <v/>
      </c>
      <c r="B71" s="18">
        <f>IF('CADASTRO DE CLIENTES'!$B$27="","",SUMIFS('LANÇAMENTOS'!$W$6:$W$2005,'LANÇAMENTOS'!$I$6:$I$2005,'CADASTRO DE CLIENTES'!$B$27,'LANÇAMENTOS'!$E$6:$E$2005,"Entrada",'LANÇAMENTOS'!$W$6:$W$2005,"&gt;0"))</f>
        <v/>
      </c>
      <c r="C71" s="18">
        <f>IF('CADASTRO DE CLIENTES'!$B$27="","",SUMIFS('LANÇAMENTOS'!$W$6:$W$2005,'LANÇAMENTOS'!$I$6:$I$2005,'CADASTRO DE CLIENTES'!$B$27,'LANÇAMENTOS'!$E$6:$E$2005,"Entrada",'LANÇAMENTOS'!$W$6:$W$2005,"&gt;0",'LANÇAMENTOS'!$C$6:$C$2005,"&lt;"&amp;TODAY()))</f>
        <v/>
      </c>
      <c r="D71" s="18">
        <f>IF('CADASTRO DE CLIENTES'!$B$27="","",$B71-$C71)</f>
        <v/>
      </c>
      <c r="E71" s="18">
        <f>IF('CADASTRO DE CLIENTES'!$B$27="","",SUMIFS('LANÇAMENTOS'!$V$6:$V$2005,'LANÇAMENTOS'!$I$6:$I$2005,'CADASTRO DE CLIENTES'!$B$27,'LANÇAMENTOS'!$E$6:$E$2005,"Entrada",'LANÇAMENTOS'!$D$6:$D$2005,"&gt;="&amp;DATE('CONFIGURAÇÕES'!$B$18,1,1),'LANÇAMENTOS'!$D$6:$D$2005,"&lt;="&amp;DATE('CONFIGURAÇÕES'!$B$18,12,31)))</f>
        <v/>
      </c>
      <c r="F71" s="23">
        <f>IFERROR($B71/SUM($B$50:$B$109),"")</f>
        <v/>
      </c>
      <c r="G71" s="24">
        <f>IF('CADASTRO DE CLIENTES'!$B$27="","",COUNTIFS('LANÇAMENTOS'!$I$6:$I$2005,'CADASTRO DE CLIENTES'!$B$27,'LANÇAMENTOS'!$E$6:$E$2005,"Entrada",'LANÇAMENTOS'!$W$6:$W$2005,"&gt;0"))</f>
        <v/>
      </c>
      <c r="H71" s="18">
        <f>IF('CADASTRO DE CLIENTES'!$B$27="","",SUMIFS('LANÇAMENTOS'!$AE$6:$AE$2005,'LANÇAMENTOS'!$I$6:$I$2005,'CADASTRO DE CLIENTES'!$B$27,'LANÇAMENTOS'!$AA$6:$AA$2005,'CONFIGURAÇÕES'!$B$18))</f>
        <v/>
      </c>
      <c r="I71" s="23">
        <f>IFERROR($H71/SUM($H$50:$H$109),"")</f>
        <v/>
      </c>
    </row>
    <row r="72">
      <c r="A72" s="9">
        <f>'CADASTRO DE CLIENTES'!$B$28</f>
        <v/>
      </c>
      <c r="B72" s="18">
        <f>IF('CADASTRO DE CLIENTES'!$B$28="","",SUMIFS('LANÇAMENTOS'!$W$6:$W$2005,'LANÇAMENTOS'!$I$6:$I$2005,'CADASTRO DE CLIENTES'!$B$28,'LANÇAMENTOS'!$E$6:$E$2005,"Entrada",'LANÇAMENTOS'!$W$6:$W$2005,"&gt;0"))</f>
        <v/>
      </c>
      <c r="C72" s="18">
        <f>IF('CADASTRO DE CLIENTES'!$B$28="","",SUMIFS('LANÇAMENTOS'!$W$6:$W$2005,'LANÇAMENTOS'!$I$6:$I$2005,'CADASTRO DE CLIENTES'!$B$28,'LANÇAMENTOS'!$E$6:$E$2005,"Entrada",'LANÇAMENTOS'!$W$6:$W$2005,"&gt;0",'LANÇAMENTOS'!$C$6:$C$2005,"&lt;"&amp;TODAY()))</f>
        <v/>
      </c>
      <c r="D72" s="18">
        <f>IF('CADASTRO DE CLIENTES'!$B$28="","",$B72-$C72)</f>
        <v/>
      </c>
      <c r="E72" s="18">
        <f>IF('CADASTRO DE CLIENTES'!$B$28="","",SUMIFS('LANÇAMENTOS'!$V$6:$V$2005,'LANÇAMENTOS'!$I$6:$I$2005,'CADASTRO DE CLIENTES'!$B$28,'LANÇAMENTOS'!$E$6:$E$2005,"Entrada",'LANÇAMENTOS'!$D$6:$D$2005,"&gt;="&amp;DATE('CONFIGURAÇÕES'!$B$18,1,1),'LANÇAMENTOS'!$D$6:$D$2005,"&lt;="&amp;DATE('CONFIGURAÇÕES'!$B$18,12,31)))</f>
        <v/>
      </c>
      <c r="F72" s="23">
        <f>IFERROR($B72/SUM($B$50:$B$109),"")</f>
        <v/>
      </c>
      <c r="G72" s="24">
        <f>IF('CADASTRO DE CLIENTES'!$B$28="","",COUNTIFS('LANÇAMENTOS'!$I$6:$I$2005,'CADASTRO DE CLIENTES'!$B$28,'LANÇAMENTOS'!$E$6:$E$2005,"Entrada",'LANÇAMENTOS'!$W$6:$W$2005,"&gt;0"))</f>
        <v/>
      </c>
      <c r="H72" s="18">
        <f>IF('CADASTRO DE CLIENTES'!$B$28="","",SUMIFS('LANÇAMENTOS'!$AE$6:$AE$2005,'LANÇAMENTOS'!$I$6:$I$2005,'CADASTRO DE CLIENTES'!$B$28,'LANÇAMENTOS'!$AA$6:$AA$2005,'CONFIGURAÇÕES'!$B$18))</f>
        <v/>
      </c>
      <c r="I72" s="23">
        <f>IFERROR($H72/SUM($H$50:$H$109),"")</f>
        <v/>
      </c>
    </row>
    <row r="73">
      <c r="A73" s="9">
        <f>'CADASTRO DE CLIENTES'!$B$29</f>
        <v/>
      </c>
      <c r="B73" s="18">
        <f>IF('CADASTRO DE CLIENTES'!$B$29="","",SUMIFS('LANÇAMENTOS'!$W$6:$W$2005,'LANÇAMENTOS'!$I$6:$I$2005,'CADASTRO DE CLIENTES'!$B$29,'LANÇAMENTOS'!$E$6:$E$2005,"Entrada",'LANÇAMENTOS'!$W$6:$W$2005,"&gt;0"))</f>
        <v/>
      </c>
      <c r="C73" s="18">
        <f>IF('CADASTRO DE CLIENTES'!$B$29="","",SUMIFS('LANÇAMENTOS'!$W$6:$W$2005,'LANÇAMENTOS'!$I$6:$I$2005,'CADASTRO DE CLIENTES'!$B$29,'LANÇAMENTOS'!$E$6:$E$2005,"Entrada",'LANÇAMENTOS'!$W$6:$W$2005,"&gt;0",'LANÇAMENTOS'!$C$6:$C$2005,"&lt;"&amp;TODAY()))</f>
        <v/>
      </c>
      <c r="D73" s="18">
        <f>IF('CADASTRO DE CLIENTES'!$B$29="","",$B73-$C73)</f>
        <v/>
      </c>
      <c r="E73" s="18">
        <f>IF('CADASTRO DE CLIENTES'!$B$29="","",SUMIFS('LANÇAMENTOS'!$V$6:$V$2005,'LANÇAMENTOS'!$I$6:$I$2005,'CADASTRO DE CLIENTES'!$B$29,'LANÇAMENTOS'!$E$6:$E$2005,"Entrada",'LANÇAMENTOS'!$D$6:$D$2005,"&gt;="&amp;DATE('CONFIGURAÇÕES'!$B$18,1,1),'LANÇAMENTOS'!$D$6:$D$2005,"&lt;="&amp;DATE('CONFIGURAÇÕES'!$B$18,12,31)))</f>
        <v/>
      </c>
      <c r="F73" s="23">
        <f>IFERROR($B73/SUM($B$50:$B$109),"")</f>
        <v/>
      </c>
      <c r="G73" s="24">
        <f>IF('CADASTRO DE CLIENTES'!$B$29="","",COUNTIFS('LANÇAMENTOS'!$I$6:$I$2005,'CADASTRO DE CLIENTES'!$B$29,'LANÇAMENTOS'!$E$6:$E$2005,"Entrada",'LANÇAMENTOS'!$W$6:$W$2005,"&gt;0"))</f>
        <v/>
      </c>
      <c r="H73" s="18">
        <f>IF('CADASTRO DE CLIENTES'!$B$29="","",SUMIFS('LANÇAMENTOS'!$AE$6:$AE$2005,'LANÇAMENTOS'!$I$6:$I$2005,'CADASTRO DE CLIENTES'!$B$29,'LANÇAMENTOS'!$AA$6:$AA$2005,'CONFIGURAÇÕES'!$B$18))</f>
        <v/>
      </c>
      <c r="I73" s="23">
        <f>IFERROR($H73/SUM($H$50:$H$109),"")</f>
        <v/>
      </c>
    </row>
    <row r="74">
      <c r="A74" s="9">
        <f>'CADASTRO DE CLIENTES'!$B$30</f>
        <v/>
      </c>
      <c r="B74" s="18">
        <f>IF('CADASTRO DE CLIENTES'!$B$30="","",SUMIFS('LANÇAMENTOS'!$W$6:$W$2005,'LANÇAMENTOS'!$I$6:$I$2005,'CADASTRO DE CLIENTES'!$B$30,'LANÇAMENTOS'!$E$6:$E$2005,"Entrada",'LANÇAMENTOS'!$W$6:$W$2005,"&gt;0"))</f>
        <v/>
      </c>
      <c r="C74" s="18">
        <f>IF('CADASTRO DE CLIENTES'!$B$30="","",SUMIFS('LANÇAMENTOS'!$W$6:$W$2005,'LANÇAMENTOS'!$I$6:$I$2005,'CADASTRO DE CLIENTES'!$B$30,'LANÇAMENTOS'!$E$6:$E$2005,"Entrada",'LANÇAMENTOS'!$W$6:$W$2005,"&gt;0",'LANÇAMENTOS'!$C$6:$C$2005,"&lt;"&amp;TODAY()))</f>
        <v/>
      </c>
      <c r="D74" s="18">
        <f>IF('CADASTRO DE CLIENTES'!$B$30="","",$B74-$C74)</f>
        <v/>
      </c>
      <c r="E74" s="18">
        <f>IF('CADASTRO DE CLIENTES'!$B$30="","",SUMIFS('LANÇAMENTOS'!$V$6:$V$2005,'LANÇAMENTOS'!$I$6:$I$2005,'CADASTRO DE CLIENTES'!$B$30,'LANÇAMENTOS'!$E$6:$E$2005,"Entrada",'LANÇAMENTOS'!$D$6:$D$2005,"&gt;="&amp;DATE('CONFIGURAÇÕES'!$B$18,1,1),'LANÇAMENTOS'!$D$6:$D$2005,"&lt;="&amp;DATE('CONFIGURAÇÕES'!$B$18,12,31)))</f>
        <v/>
      </c>
      <c r="F74" s="23">
        <f>IFERROR($B74/SUM($B$50:$B$109),"")</f>
        <v/>
      </c>
      <c r="G74" s="24">
        <f>IF('CADASTRO DE CLIENTES'!$B$30="","",COUNTIFS('LANÇAMENTOS'!$I$6:$I$2005,'CADASTRO DE CLIENTES'!$B$30,'LANÇAMENTOS'!$E$6:$E$2005,"Entrada",'LANÇAMENTOS'!$W$6:$W$2005,"&gt;0"))</f>
        <v/>
      </c>
      <c r="H74" s="18">
        <f>IF('CADASTRO DE CLIENTES'!$B$30="","",SUMIFS('LANÇAMENTOS'!$AE$6:$AE$2005,'LANÇAMENTOS'!$I$6:$I$2005,'CADASTRO DE CLIENTES'!$B$30,'LANÇAMENTOS'!$AA$6:$AA$2005,'CONFIGURAÇÕES'!$B$18))</f>
        <v/>
      </c>
      <c r="I74" s="23">
        <f>IFERROR($H74/SUM($H$50:$H$109),"")</f>
        <v/>
      </c>
    </row>
    <row r="75">
      <c r="A75" s="9">
        <f>'CADASTRO DE CLIENTES'!$B$31</f>
        <v/>
      </c>
      <c r="B75" s="18">
        <f>IF('CADASTRO DE CLIENTES'!$B$31="","",SUMIFS('LANÇAMENTOS'!$W$6:$W$2005,'LANÇAMENTOS'!$I$6:$I$2005,'CADASTRO DE CLIENTES'!$B$31,'LANÇAMENTOS'!$E$6:$E$2005,"Entrada",'LANÇAMENTOS'!$W$6:$W$2005,"&gt;0"))</f>
        <v/>
      </c>
      <c r="C75" s="18">
        <f>IF('CADASTRO DE CLIENTES'!$B$31="","",SUMIFS('LANÇAMENTOS'!$W$6:$W$2005,'LANÇAMENTOS'!$I$6:$I$2005,'CADASTRO DE CLIENTES'!$B$31,'LANÇAMENTOS'!$E$6:$E$2005,"Entrada",'LANÇAMENTOS'!$W$6:$W$2005,"&gt;0",'LANÇAMENTOS'!$C$6:$C$2005,"&lt;"&amp;TODAY()))</f>
        <v/>
      </c>
      <c r="D75" s="18">
        <f>IF('CADASTRO DE CLIENTES'!$B$31="","",$B75-$C75)</f>
        <v/>
      </c>
      <c r="E75" s="18">
        <f>IF('CADASTRO DE CLIENTES'!$B$31="","",SUMIFS('LANÇAMENTOS'!$V$6:$V$2005,'LANÇAMENTOS'!$I$6:$I$2005,'CADASTRO DE CLIENTES'!$B$31,'LANÇAMENTOS'!$E$6:$E$2005,"Entrada",'LANÇAMENTOS'!$D$6:$D$2005,"&gt;="&amp;DATE('CONFIGURAÇÕES'!$B$18,1,1),'LANÇAMENTOS'!$D$6:$D$2005,"&lt;="&amp;DATE('CONFIGURAÇÕES'!$B$18,12,31)))</f>
        <v/>
      </c>
      <c r="F75" s="23">
        <f>IFERROR($B75/SUM($B$50:$B$109),"")</f>
        <v/>
      </c>
      <c r="G75" s="24">
        <f>IF('CADASTRO DE CLIENTES'!$B$31="","",COUNTIFS('LANÇAMENTOS'!$I$6:$I$2005,'CADASTRO DE CLIENTES'!$B$31,'LANÇAMENTOS'!$E$6:$E$2005,"Entrada",'LANÇAMENTOS'!$W$6:$W$2005,"&gt;0"))</f>
        <v/>
      </c>
      <c r="H75" s="18">
        <f>IF('CADASTRO DE CLIENTES'!$B$31="","",SUMIFS('LANÇAMENTOS'!$AE$6:$AE$2005,'LANÇAMENTOS'!$I$6:$I$2005,'CADASTRO DE CLIENTES'!$B$31,'LANÇAMENTOS'!$AA$6:$AA$2005,'CONFIGURAÇÕES'!$B$18))</f>
        <v/>
      </c>
      <c r="I75" s="23">
        <f>IFERROR($H75/SUM($H$50:$H$109),"")</f>
        <v/>
      </c>
    </row>
    <row r="76">
      <c r="A76" s="9">
        <f>'CADASTRO DE CLIENTES'!$B$32</f>
        <v/>
      </c>
      <c r="B76" s="18">
        <f>IF('CADASTRO DE CLIENTES'!$B$32="","",SUMIFS('LANÇAMENTOS'!$W$6:$W$2005,'LANÇAMENTOS'!$I$6:$I$2005,'CADASTRO DE CLIENTES'!$B$32,'LANÇAMENTOS'!$E$6:$E$2005,"Entrada",'LANÇAMENTOS'!$W$6:$W$2005,"&gt;0"))</f>
        <v/>
      </c>
      <c r="C76" s="18">
        <f>IF('CADASTRO DE CLIENTES'!$B$32="","",SUMIFS('LANÇAMENTOS'!$W$6:$W$2005,'LANÇAMENTOS'!$I$6:$I$2005,'CADASTRO DE CLIENTES'!$B$32,'LANÇAMENTOS'!$E$6:$E$2005,"Entrada",'LANÇAMENTOS'!$W$6:$W$2005,"&gt;0",'LANÇAMENTOS'!$C$6:$C$2005,"&lt;"&amp;TODAY()))</f>
        <v/>
      </c>
      <c r="D76" s="18">
        <f>IF('CADASTRO DE CLIENTES'!$B$32="","",$B76-$C76)</f>
        <v/>
      </c>
      <c r="E76" s="18">
        <f>IF('CADASTRO DE CLIENTES'!$B$32="","",SUMIFS('LANÇAMENTOS'!$V$6:$V$2005,'LANÇAMENTOS'!$I$6:$I$2005,'CADASTRO DE CLIENTES'!$B$32,'LANÇAMENTOS'!$E$6:$E$2005,"Entrada",'LANÇAMENTOS'!$D$6:$D$2005,"&gt;="&amp;DATE('CONFIGURAÇÕES'!$B$18,1,1),'LANÇAMENTOS'!$D$6:$D$2005,"&lt;="&amp;DATE('CONFIGURAÇÕES'!$B$18,12,31)))</f>
        <v/>
      </c>
      <c r="F76" s="23">
        <f>IFERROR($B76/SUM($B$50:$B$109),"")</f>
        <v/>
      </c>
      <c r="G76" s="24">
        <f>IF('CADASTRO DE CLIENTES'!$B$32="","",COUNTIFS('LANÇAMENTOS'!$I$6:$I$2005,'CADASTRO DE CLIENTES'!$B$32,'LANÇAMENTOS'!$E$6:$E$2005,"Entrada",'LANÇAMENTOS'!$W$6:$W$2005,"&gt;0"))</f>
        <v/>
      </c>
      <c r="H76" s="18">
        <f>IF('CADASTRO DE CLIENTES'!$B$32="","",SUMIFS('LANÇAMENTOS'!$AE$6:$AE$2005,'LANÇAMENTOS'!$I$6:$I$2005,'CADASTRO DE CLIENTES'!$B$32,'LANÇAMENTOS'!$AA$6:$AA$2005,'CONFIGURAÇÕES'!$B$18))</f>
        <v/>
      </c>
      <c r="I76" s="23">
        <f>IFERROR($H76/SUM($H$50:$H$109),"")</f>
        <v/>
      </c>
    </row>
    <row r="77">
      <c r="A77" s="9">
        <f>'CADASTRO DE CLIENTES'!$B$33</f>
        <v/>
      </c>
      <c r="B77" s="18">
        <f>IF('CADASTRO DE CLIENTES'!$B$33="","",SUMIFS('LANÇAMENTOS'!$W$6:$W$2005,'LANÇAMENTOS'!$I$6:$I$2005,'CADASTRO DE CLIENTES'!$B$33,'LANÇAMENTOS'!$E$6:$E$2005,"Entrada",'LANÇAMENTOS'!$W$6:$W$2005,"&gt;0"))</f>
        <v/>
      </c>
      <c r="C77" s="18">
        <f>IF('CADASTRO DE CLIENTES'!$B$33="","",SUMIFS('LANÇAMENTOS'!$W$6:$W$2005,'LANÇAMENTOS'!$I$6:$I$2005,'CADASTRO DE CLIENTES'!$B$33,'LANÇAMENTOS'!$E$6:$E$2005,"Entrada",'LANÇAMENTOS'!$W$6:$W$2005,"&gt;0",'LANÇAMENTOS'!$C$6:$C$2005,"&lt;"&amp;TODAY()))</f>
        <v/>
      </c>
      <c r="D77" s="18">
        <f>IF('CADASTRO DE CLIENTES'!$B$33="","",$B77-$C77)</f>
        <v/>
      </c>
      <c r="E77" s="18">
        <f>IF('CADASTRO DE CLIENTES'!$B$33="","",SUMIFS('LANÇAMENTOS'!$V$6:$V$2005,'LANÇAMENTOS'!$I$6:$I$2005,'CADASTRO DE CLIENTES'!$B$33,'LANÇAMENTOS'!$E$6:$E$2005,"Entrada",'LANÇAMENTOS'!$D$6:$D$2005,"&gt;="&amp;DATE('CONFIGURAÇÕES'!$B$18,1,1),'LANÇAMENTOS'!$D$6:$D$2005,"&lt;="&amp;DATE('CONFIGURAÇÕES'!$B$18,12,31)))</f>
        <v/>
      </c>
      <c r="F77" s="23">
        <f>IFERROR($B77/SUM($B$50:$B$109),"")</f>
        <v/>
      </c>
      <c r="G77" s="24">
        <f>IF('CADASTRO DE CLIENTES'!$B$33="","",COUNTIFS('LANÇAMENTOS'!$I$6:$I$2005,'CADASTRO DE CLIENTES'!$B$33,'LANÇAMENTOS'!$E$6:$E$2005,"Entrada",'LANÇAMENTOS'!$W$6:$W$2005,"&gt;0"))</f>
        <v/>
      </c>
      <c r="H77" s="18">
        <f>IF('CADASTRO DE CLIENTES'!$B$33="","",SUMIFS('LANÇAMENTOS'!$AE$6:$AE$2005,'LANÇAMENTOS'!$I$6:$I$2005,'CADASTRO DE CLIENTES'!$B$33,'LANÇAMENTOS'!$AA$6:$AA$2005,'CONFIGURAÇÕES'!$B$18))</f>
        <v/>
      </c>
      <c r="I77" s="23">
        <f>IFERROR($H77/SUM($H$50:$H$109),"")</f>
        <v/>
      </c>
    </row>
    <row r="78">
      <c r="A78" s="9">
        <f>'CADASTRO DE CLIENTES'!$B$34</f>
        <v/>
      </c>
      <c r="B78" s="18">
        <f>IF('CADASTRO DE CLIENTES'!$B$34="","",SUMIFS('LANÇAMENTOS'!$W$6:$W$2005,'LANÇAMENTOS'!$I$6:$I$2005,'CADASTRO DE CLIENTES'!$B$34,'LANÇAMENTOS'!$E$6:$E$2005,"Entrada",'LANÇAMENTOS'!$W$6:$W$2005,"&gt;0"))</f>
        <v/>
      </c>
      <c r="C78" s="18">
        <f>IF('CADASTRO DE CLIENTES'!$B$34="","",SUMIFS('LANÇAMENTOS'!$W$6:$W$2005,'LANÇAMENTOS'!$I$6:$I$2005,'CADASTRO DE CLIENTES'!$B$34,'LANÇAMENTOS'!$E$6:$E$2005,"Entrada",'LANÇAMENTOS'!$W$6:$W$2005,"&gt;0",'LANÇAMENTOS'!$C$6:$C$2005,"&lt;"&amp;TODAY()))</f>
        <v/>
      </c>
      <c r="D78" s="18">
        <f>IF('CADASTRO DE CLIENTES'!$B$34="","",$B78-$C78)</f>
        <v/>
      </c>
      <c r="E78" s="18">
        <f>IF('CADASTRO DE CLIENTES'!$B$34="","",SUMIFS('LANÇAMENTOS'!$V$6:$V$2005,'LANÇAMENTOS'!$I$6:$I$2005,'CADASTRO DE CLIENTES'!$B$34,'LANÇAMENTOS'!$E$6:$E$2005,"Entrada",'LANÇAMENTOS'!$D$6:$D$2005,"&gt;="&amp;DATE('CONFIGURAÇÕES'!$B$18,1,1),'LANÇAMENTOS'!$D$6:$D$2005,"&lt;="&amp;DATE('CONFIGURAÇÕES'!$B$18,12,31)))</f>
        <v/>
      </c>
      <c r="F78" s="23">
        <f>IFERROR($B78/SUM($B$50:$B$109),"")</f>
        <v/>
      </c>
      <c r="G78" s="24">
        <f>IF('CADASTRO DE CLIENTES'!$B$34="","",COUNTIFS('LANÇAMENTOS'!$I$6:$I$2005,'CADASTRO DE CLIENTES'!$B$34,'LANÇAMENTOS'!$E$6:$E$2005,"Entrada",'LANÇAMENTOS'!$W$6:$W$2005,"&gt;0"))</f>
        <v/>
      </c>
      <c r="H78" s="18">
        <f>IF('CADASTRO DE CLIENTES'!$B$34="","",SUMIFS('LANÇAMENTOS'!$AE$6:$AE$2005,'LANÇAMENTOS'!$I$6:$I$2005,'CADASTRO DE CLIENTES'!$B$34,'LANÇAMENTOS'!$AA$6:$AA$2005,'CONFIGURAÇÕES'!$B$18))</f>
        <v/>
      </c>
      <c r="I78" s="23">
        <f>IFERROR($H78/SUM($H$50:$H$109),"")</f>
        <v/>
      </c>
    </row>
    <row r="79">
      <c r="A79" s="9">
        <f>'CADASTRO DE CLIENTES'!$B$35</f>
        <v/>
      </c>
      <c r="B79" s="18">
        <f>IF('CADASTRO DE CLIENTES'!$B$35="","",SUMIFS('LANÇAMENTOS'!$W$6:$W$2005,'LANÇAMENTOS'!$I$6:$I$2005,'CADASTRO DE CLIENTES'!$B$35,'LANÇAMENTOS'!$E$6:$E$2005,"Entrada",'LANÇAMENTOS'!$W$6:$W$2005,"&gt;0"))</f>
        <v/>
      </c>
      <c r="C79" s="18">
        <f>IF('CADASTRO DE CLIENTES'!$B$35="","",SUMIFS('LANÇAMENTOS'!$W$6:$W$2005,'LANÇAMENTOS'!$I$6:$I$2005,'CADASTRO DE CLIENTES'!$B$35,'LANÇAMENTOS'!$E$6:$E$2005,"Entrada",'LANÇAMENTOS'!$W$6:$W$2005,"&gt;0",'LANÇAMENTOS'!$C$6:$C$2005,"&lt;"&amp;TODAY()))</f>
        <v/>
      </c>
      <c r="D79" s="18">
        <f>IF('CADASTRO DE CLIENTES'!$B$35="","",$B79-$C79)</f>
        <v/>
      </c>
      <c r="E79" s="18">
        <f>IF('CADASTRO DE CLIENTES'!$B$35="","",SUMIFS('LANÇAMENTOS'!$V$6:$V$2005,'LANÇAMENTOS'!$I$6:$I$2005,'CADASTRO DE CLIENTES'!$B$35,'LANÇAMENTOS'!$E$6:$E$2005,"Entrada",'LANÇAMENTOS'!$D$6:$D$2005,"&gt;="&amp;DATE('CONFIGURAÇÕES'!$B$18,1,1),'LANÇAMENTOS'!$D$6:$D$2005,"&lt;="&amp;DATE('CONFIGURAÇÕES'!$B$18,12,31)))</f>
        <v/>
      </c>
      <c r="F79" s="23">
        <f>IFERROR($B79/SUM($B$50:$B$109),"")</f>
        <v/>
      </c>
      <c r="G79" s="24">
        <f>IF('CADASTRO DE CLIENTES'!$B$35="","",COUNTIFS('LANÇAMENTOS'!$I$6:$I$2005,'CADASTRO DE CLIENTES'!$B$35,'LANÇAMENTOS'!$E$6:$E$2005,"Entrada",'LANÇAMENTOS'!$W$6:$W$2005,"&gt;0"))</f>
        <v/>
      </c>
      <c r="H79" s="18">
        <f>IF('CADASTRO DE CLIENTES'!$B$35="","",SUMIFS('LANÇAMENTOS'!$AE$6:$AE$2005,'LANÇAMENTOS'!$I$6:$I$2005,'CADASTRO DE CLIENTES'!$B$35,'LANÇAMENTOS'!$AA$6:$AA$2005,'CONFIGURAÇÕES'!$B$18))</f>
        <v/>
      </c>
      <c r="I79" s="23">
        <f>IFERROR($H79/SUM($H$50:$H$109),"")</f>
        <v/>
      </c>
    </row>
    <row r="80">
      <c r="A80" s="9">
        <f>'CADASTRO DE CLIENTES'!$B$36</f>
        <v/>
      </c>
      <c r="B80" s="18">
        <f>IF('CADASTRO DE CLIENTES'!$B$36="","",SUMIFS('LANÇAMENTOS'!$W$6:$W$2005,'LANÇAMENTOS'!$I$6:$I$2005,'CADASTRO DE CLIENTES'!$B$36,'LANÇAMENTOS'!$E$6:$E$2005,"Entrada",'LANÇAMENTOS'!$W$6:$W$2005,"&gt;0"))</f>
        <v/>
      </c>
      <c r="C80" s="18">
        <f>IF('CADASTRO DE CLIENTES'!$B$36="","",SUMIFS('LANÇAMENTOS'!$W$6:$W$2005,'LANÇAMENTOS'!$I$6:$I$2005,'CADASTRO DE CLIENTES'!$B$36,'LANÇAMENTOS'!$E$6:$E$2005,"Entrada",'LANÇAMENTOS'!$W$6:$W$2005,"&gt;0",'LANÇAMENTOS'!$C$6:$C$2005,"&lt;"&amp;TODAY()))</f>
        <v/>
      </c>
      <c r="D80" s="18">
        <f>IF('CADASTRO DE CLIENTES'!$B$36="","",$B80-$C80)</f>
        <v/>
      </c>
      <c r="E80" s="18">
        <f>IF('CADASTRO DE CLIENTES'!$B$36="","",SUMIFS('LANÇAMENTOS'!$V$6:$V$2005,'LANÇAMENTOS'!$I$6:$I$2005,'CADASTRO DE CLIENTES'!$B$36,'LANÇAMENTOS'!$E$6:$E$2005,"Entrada",'LANÇAMENTOS'!$D$6:$D$2005,"&gt;="&amp;DATE('CONFIGURAÇÕES'!$B$18,1,1),'LANÇAMENTOS'!$D$6:$D$2005,"&lt;="&amp;DATE('CONFIGURAÇÕES'!$B$18,12,31)))</f>
        <v/>
      </c>
      <c r="F80" s="23">
        <f>IFERROR($B80/SUM($B$50:$B$109),"")</f>
        <v/>
      </c>
      <c r="G80" s="24">
        <f>IF('CADASTRO DE CLIENTES'!$B$36="","",COUNTIFS('LANÇAMENTOS'!$I$6:$I$2005,'CADASTRO DE CLIENTES'!$B$36,'LANÇAMENTOS'!$E$6:$E$2005,"Entrada",'LANÇAMENTOS'!$W$6:$W$2005,"&gt;0"))</f>
        <v/>
      </c>
      <c r="H80" s="18">
        <f>IF('CADASTRO DE CLIENTES'!$B$36="","",SUMIFS('LANÇAMENTOS'!$AE$6:$AE$2005,'LANÇAMENTOS'!$I$6:$I$2005,'CADASTRO DE CLIENTES'!$B$36,'LANÇAMENTOS'!$AA$6:$AA$2005,'CONFIGURAÇÕES'!$B$18))</f>
        <v/>
      </c>
      <c r="I80" s="23">
        <f>IFERROR($H80/SUM($H$50:$H$109),"")</f>
        <v/>
      </c>
    </row>
    <row r="81">
      <c r="A81" s="9">
        <f>'CADASTRO DE CLIENTES'!$B$37</f>
        <v/>
      </c>
      <c r="B81" s="18">
        <f>IF('CADASTRO DE CLIENTES'!$B$37="","",SUMIFS('LANÇAMENTOS'!$W$6:$W$2005,'LANÇAMENTOS'!$I$6:$I$2005,'CADASTRO DE CLIENTES'!$B$37,'LANÇAMENTOS'!$E$6:$E$2005,"Entrada",'LANÇAMENTOS'!$W$6:$W$2005,"&gt;0"))</f>
        <v/>
      </c>
      <c r="C81" s="18">
        <f>IF('CADASTRO DE CLIENTES'!$B$37="","",SUMIFS('LANÇAMENTOS'!$W$6:$W$2005,'LANÇAMENTOS'!$I$6:$I$2005,'CADASTRO DE CLIENTES'!$B$37,'LANÇAMENTOS'!$E$6:$E$2005,"Entrada",'LANÇAMENTOS'!$W$6:$W$2005,"&gt;0",'LANÇAMENTOS'!$C$6:$C$2005,"&lt;"&amp;TODAY()))</f>
        <v/>
      </c>
      <c r="D81" s="18">
        <f>IF('CADASTRO DE CLIENTES'!$B$37="","",$B81-$C81)</f>
        <v/>
      </c>
      <c r="E81" s="18">
        <f>IF('CADASTRO DE CLIENTES'!$B$37="","",SUMIFS('LANÇAMENTOS'!$V$6:$V$2005,'LANÇAMENTOS'!$I$6:$I$2005,'CADASTRO DE CLIENTES'!$B$37,'LANÇAMENTOS'!$E$6:$E$2005,"Entrada",'LANÇAMENTOS'!$D$6:$D$2005,"&gt;="&amp;DATE('CONFIGURAÇÕES'!$B$18,1,1),'LANÇAMENTOS'!$D$6:$D$2005,"&lt;="&amp;DATE('CONFIGURAÇÕES'!$B$18,12,31)))</f>
        <v/>
      </c>
      <c r="F81" s="23">
        <f>IFERROR($B81/SUM($B$50:$B$109),"")</f>
        <v/>
      </c>
      <c r="G81" s="24">
        <f>IF('CADASTRO DE CLIENTES'!$B$37="","",COUNTIFS('LANÇAMENTOS'!$I$6:$I$2005,'CADASTRO DE CLIENTES'!$B$37,'LANÇAMENTOS'!$E$6:$E$2005,"Entrada",'LANÇAMENTOS'!$W$6:$W$2005,"&gt;0"))</f>
        <v/>
      </c>
      <c r="H81" s="18">
        <f>IF('CADASTRO DE CLIENTES'!$B$37="","",SUMIFS('LANÇAMENTOS'!$AE$6:$AE$2005,'LANÇAMENTOS'!$I$6:$I$2005,'CADASTRO DE CLIENTES'!$B$37,'LANÇAMENTOS'!$AA$6:$AA$2005,'CONFIGURAÇÕES'!$B$18))</f>
        <v/>
      </c>
      <c r="I81" s="23">
        <f>IFERROR($H81/SUM($H$50:$H$109),"")</f>
        <v/>
      </c>
    </row>
    <row r="82">
      <c r="A82" s="9">
        <f>'CADASTRO DE CLIENTES'!$B$38</f>
        <v/>
      </c>
      <c r="B82" s="18">
        <f>IF('CADASTRO DE CLIENTES'!$B$38="","",SUMIFS('LANÇAMENTOS'!$W$6:$W$2005,'LANÇAMENTOS'!$I$6:$I$2005,'CADASTRO DE CLIENTES'!$B$38,'LANÇAMENTOS'!$E$6:$E$2005,"Entrada",'LANÇAMENTOS'!$W$6:$W$2005,"&gt;0"))</f>
        <v/>
      </c>
      <c r="C82" s="18">
        <f>IF('CADASTRO DE CLIENTES'!$B$38="","",SUMIFS('LANÇAMENTOS'!$W$6:$W$2005,'LANÇAMENTOS'!$I$6:$I$2005,'CADASTRO DE CLIENTES'!$B$38,'LANÇAMENTOS'!$E$6:$E$2005,"Entrada",'LANÇAMENTOS'!$W$6:$W$2005,"&gt;0",'LANÇAMENTOS'!$C$6:$C$2005,"&lt;"&amp;TODAY()))</f>
        <v/>
      </c>
      <c r="D82" s="18">
        <f>IF('CADASTRO DE CLIENTES'!$B$38="","",$B82-$C82)</f>
        <v/>
      </c>
      <c r="E82" s="18">
        <f>IF('CADASTRO DE CLIENTES'!$B$38="","",SUMIFS('LANÇAMENTOS'!$V$6:$V$2005,'LANÇAMENTOS'!$I$6:$I$2005,'CADASTRO DE CLIENTES'!$B$38,'LANÇAMENTOS'!$E$6:$E$2005,"Entrada",'LANÇAMENTOS'!$D$6:$D$2005,"&gt;="&amp;DATE('CONFIGURAÇÕES'!$B$18,1,1),'LANÇAMENTOS'!$D$6:$D$2005,"&lt;="&amp;DATE('CONFIGURAÇÕES'!$B$18,12,31)))</f>
        <v/>
      </c>
      <c r="F82" s="23">
        <f>IFERROR($B82/SUM($B$50:$B$109),"")</f>
        <v/>
      </c>
      <c r="G82" s="24">
        <f>IF('CADASTRO DE CLIENTES'!$B$38="","",COUNTIFS('LANÇAMENTOS'!$I$6:$I$2005,'CADASTRO DE CLIENTES'!$B$38,'LANÇAMENTOS'!$E$6:$E$2005,"Entrada",'LANÇAMENTOS'!$W$6:$W$2005,"&gt;0"))</f>
        <v/>
      </c>
      <c r="H82" s="18">
        <f>IF('CADASTRO DE CLIENTES'!$B$38="","",SUMIFS('LANÇAMENTOS'!$AE$6:$AE$2005,'LANÇAMENTOS'!$I$6:$I$2005,'CADASTRO DE CLIENTES'!$B$38,'LANÇAMENTOS'!$AA$6:$AA$2005,'CONFIGURAÇÕES'!$B$18))</f>
        <v/>
      </c>
      <c r="I82" s="23">
        <f>IFERROR($H82/SUM($H$50:$H$109),"")</f>
        <v/>
      </c>
    </row>
    <row r="83">
      <c r="A83" s="9">
        <f>'CADASTRO DE CLIENTES'!$B$39</f>
        <v/>
      </c>
      <c r="B83" s="18">
        <f>IF('CADASTRO DE CLIENTES'!$B$39="","",SUMIFS('LANÇAMENTOS'!$W$6:$W$2005,'LANÇAMENTOS'!$I$6:$I$2005,'CADASTRO DE CLIENTES'!$B$39,'LANÇAMENTOS'!$E$6:$E$2005,"Entrada",'LANÇAMENTOS'!$W$6:$W$2005,"&gt;0"))</f>
        <v/>
      </c>
      <c r="C83" s="18">
        <f>IF('CADASTRO DE CLIENTES'!$B$39="","",SUMIFS('LANÇAMENTOS'!$W$6:$W$2005,'LANÇAMENTOS'!$I$6:$I$2005,'CADASTRO DE CLIENTES'!$B$39,'LANÇAMENTOS'!$E$6:$E$2005,"Entrada",'LANÇAMENTOS'!$W$6:$W$2005,"&gt;0",'LANÇAMENTOS'!$C$6:$C$2005,"&lt;"&amp;TODAY()))</f>
        <v/>
      </c>
      <c r="D83" s="18">
        <f>IF('CADASTRO DE CLIENTES'!$B$39="","",$B83-$C83)</f>
        <v/>
      </c>
      <c r="E83" s="18">
        <f>IF('CADASTRO DE CLIENTES'!$B$39="","",SUMIFS('LANÇAMENTOS'!$V$6:$V$2005,'LANÇAMENTOS'!$I$6:$I$2005,'CADASTRO DE CLIENTES'!$B$39,'LANÇAMENTOS'!$E$6:$E$2005,"Entrada",'LANÇAMENTOS'!$D$6:$D$2005,"&gt;="&amp;DATE('CONFIGURAÇÕES'!$B$18,1,1),'LANÇAMENTOS'!$D$6:$D$2005,"&lt;="&amp;DATE('CONFIGURAÇÕES'!$B$18,12,31)))</f>
        <v/>
      </c>
      <c r="F83" s="23">
        <f>IFERROR($B83/SUM($B$50:$B$109),"")</f>
        <v/>
      </c>
      <c r="G83" s="24">
        <f>IF('CADASTRO DE CLIENTES'!$B$39="","",COUNTIFS('LANÇAMENTOS'!$I$6:$I$2005,'CADASTRO DE CLIENTES'!$B$39,'LANÇAMENTOS'!$E$6:$E$2005,"Entrada",'LANÇAMENTOS'!$W$6:$W$2005,"&gt;0"))</f>
        <v/>
      </c>
      <c r="H83" s="18">
        <f>IF('CADASTRO DE CLIENTES'!$B$39="","",SUMIFS('LANÇAMENTOS'!$AE$6:$AE$2005,'LANÇAMENTOS'!$I$6:$I$2005,'CADASTRO DE CLIENTES'!$B$39,'LANÇAMENTOS'!$AA$6:$AA$2005,'CONFIGURAÇÕES'!$B$18))</f>
        <v/>
      </c>
      <c r="I83" s="23">
        <f>IFERROR($H83/SUM($H$50:$H$109),"")</f>
        <v/>
      </c>
    </row>
    <row r="84">
      <c r="A84" s="9">
        <f>'CADASTRO DE CLIENTES'!$B$40</f>
        <v/>
      </c>
      <c r="B84" s="18">
        <f>IF('CADASTRO DE CLIENTES'!$B$40="","",SUMIFS('LANÇAMENTOS'!$W$6:$W$2005,'LANÇAMENTOS'!$I$6:$I$2005,'CADASTRO DE CLIENTES'!$B$40,'LANÇAMENTOS'!$E$6:$E$2005,"Entrada",'LANÇAMENTOS'!$W$6:$W$2005,"&gt;0"))</f>
        <v/>
      </c>
      <c r="C84" s="18">
        <f>IF('CADASTRO DE CLIENTES'!$B$40="","",SUMIFS('LANÇAMENTOS'!$W$6:$W$2005,'LANÇAMENTOS'!$I$6:$I$2005,'CADASTRO DE CLIENTES'!$B$40,'LANÇAMENTOS'!$E$6:$E$2005,"Entrada",'LANÇAMENTOS'!$W$6:$W$2005,"&gt;0",'LANÇAMENTOS'!$C$6:$C$2005,"&lt;"&amp;TODAY()))</f>
        <v/>
      </c>
      <c r="D84" s="18">
        <f>IF('CADASTRO DE CLIENTES'!$B$40="","",$B84-$C84)</f>
        <v/>
      </c>
      <c r="E84" s="18">
        <f>IF('CADASTRO DE CLIENTES'!$B$40="","",SUMIFS('LANÇAMENTOS'!$V$6:$V$2005,'LANÇAMENTOS'!$I$6:$I$2005,'CADASTRO DE CLIENTES'!$B$40,'LANÇAMENTOS'!$E$6:$E$2005,"Entrada",'LANÇAMENTOS'!$D$6:$D$2005,"&gt;="&amp;DATE('CONFIGURAÇÕES'!$B$18,1,1),'LANÇAMENTOS'!$D$6:$D$2005,"&lt;="&amp;DATE('CONFIGURAÇÕES'!$B$18,12,31)))</f>
        <v/>
      </c>
      <c r="F84" s="23">
        <f>IFERROR($B84/SUM($B$50:$B$109),"")</f>
        <v/>
      </c>
      <c r="G84" s="24">
        <f>IF('CADASTRO DE CLIENTES'!$B$40="","",COUNTIFS('LANÇAMENTOS'!$I$6:$I$2005,'CADASTRO DE CLIENTES'!$B$40,'LANÇAMENTOS'!$E$6:$E$2005,"Entrada",'LANÇAMENTOS'!$W$6:$W$2005,"&gt;0"))</f>
        <v/>
      </c>
      <c r="H84" s="18">
        <f>IF('CADASTRO DE CLIENTES'!$B$40="","",SUMIFS('LANÇAMENTOS'!$AE$6:$AE$2005,'LANÇAMENTOS'!$I$6:$I$2005,'CADASTRO DE CLIENTES'!$B$40,'LANÇAMENTOS'!$AA$6:$AA$2005,'CONFIGURAÇÕES'!$B$18))</f>
        <v/>
      </c>
      <c r="I84" s="23">
        <f>IFERROR($H84/SUM($H$50:$H$109),"")</f>
        <v/>
      </c>
    </row>
    <row r="85">
      <c r="A85" s="9">
        <f>'CADASTRO DE CLIENTES'!$B$41</f>
        <v/>
      </c>
      <c r="B85" s="18">
        <f>IF('CADASTRO DE CLIENTES'!$B$41="","",SUMIFS('LANÇAMENTOS'!$W$6:$W$2005,'LANÇAMENTOS'!$I$6:$I$2005,'CADASTRO DE CLIENTES'!$B$41,'LANÇAMENTOS'!$E$6:$E$2005,"Entrada",'LANÇAMENTOS'!$W$6:$W$2005,"&gt;0"))</f>
        <v/>
      </c>
      <c r="C85" s="18">
        <f>IF('CADASTRO DE CLIENTES'!$B$41="","",SUMIFS('LANÇAMENTOS'!$W$6:$W$2005,'LANÇAMENTOS'!$I$6:$I$2005,'CADASTRO DE CLIENTES'!$B$41,'LANÇAMENTOS'!$E$6:$E$2005,"Entrada",'LANÇAMENTOS'!$W$6:$W$2005,"&gt;0",'LANÇAMENTOS'!$C$6:$C$2005,"&lt;"&amp;TODAY()))</f>
        <v/>
      </c>
      <c r="D85" s="18">
        <f>IF('CADASTRO DE CLIENTES'!$B$41="","",$B85-$C85)</f>
        <v/>
      </c>
      <c r="E85" s="18">
        <f>IF('CADASTRO DE CLIENTES'!$B$41="","",SUMIFS('LANÇAMENTOS'!$V$6:$V$2005,'LANÇAMENTOS'!$I$6:$I$2005,'CADASTRO DE CLIENTES'!$B$41,'LANÇAMENTOS'!$E$6:$E$2005,"Entrada",'LANÇAMENTOS'!$D$6:$D$2005,"&gt;="&amp;DATE('CONFIGURAÇÕES'!$B$18,1,1),'LANÇAMENTOS'!$D$6:$D$2005,"&lt;="&amp;DATE('CONFIGURAÇÕES'!$B$18,12,31)))</f>
        <v/>
      </c>
      <c r="F85" s="23">
        <f>IFERROR($B85/SUM($B$50:$B$109),"")</f>
        <v/>
      </c>
      <c r="G85" s="24">
        <f>IF('CADASTRO DE CLIENTES'!$B$41="","",COUNTIFS('LANÇAMENTOS'!$I$6:$I$2005,'CADASTRO DE CLIENTES'!$B$41,'LANÇAMENTOS'!$E$6:$E$2005,"Entrada",'LANÇAMENTOS'!$W$6:$W$2005,"&gt;0"))</f>
        <v/>
      </c>
      <c r="H85" s="18">
        <f>IF('CADASTRO DE CLIENTES'!$B$41="","",SUMIFS('LANÇAMENTOS'!$AE$6:$AE$2005,'LANÇAMENTOS'!$I$6:$I$2005,'CADASTRO DE CLIENTES'!$B$41,'LANÇAMENTOS'!$AA$6:$AA$2005,'CONFIGURAÇÕES'!$B$18))</f>
        <v/>
      </c>
      <c r="I85" s="23">
        <f>IFERROR($H85/SUM($H$50:$H$109),"")</f>
        <v/>
      </c>
    </row>
    <row r="86">
      <c r="A86" s="9">
        <f>'CADASTRO DE CLIENTES'!$B$42</f>
        <v/>
      </c>
      <c r="B86" s="18">
        <f>IF('CADASTRO DE CLIENTES'!$B$42="","",SUMIFS('LANÇAMENTOS'!$W$6:$W$2005,'LANÇAMENTOS'!$I$6:$I$2005,'CADASTRO DE CLIENTES'!$B$42,'LANÇAMENTOS'!$E$6:$E$2005,"Entrada",'LANÇAMENTOS'!$W$6:$W$2005,"&gt;0"))</f>
        <v/>
      </c>
      <c r="C86" s="18">
        <f>IF('CADASTRO DE CLIENTES'!$B$42="","",SUMIFS('LANÇAMENTOS'!$W$6:$W$2005,'LANÇAMENTOS'!$I$6:$I$2005,'CADASTRO DE CLIENTES'!$B$42,'LANÇAMENTOS'!$E$6:$E$2005,"Entrada",'LANÇAMENTOS'!$W$6:$W$2005,"&gt;0",'LANÇAMENTOS'!$C$6:$C$2005,"&lt;"&amp;TODAY()))</f>
        <v/>
      </c>
      <c r="D86" s="18">
        <f>IF('CADASTRO DE CLIENTES'!$B$42="","",$B86-$C86)</f>
        <v/>
      </c>
      <c r="E86" s="18">
        <f>IF('CADASTRO DE CLIENTES'!$B$42="","",SUMIFS('LANÇAMENTOS'!$V$6:$V$2005,'LANÇAMENTOS'!$I$6:$I$2005,'CADASTRO DE CLIENTES'!$B$42,'LANÇAMENTOS'!$E$6:$E$2005,"Entrada",'LANÇAMENTOS'!$D$6:$D$2005,"&gt;="&amp;DATE('CONFIGURAÇÕES'!$B$18,1,1),'LANÇAMENTOS'!$D$6:$D$2005,"&lt;="&amp;DATE('CONFIGURAÇÕES'!$B$18,12,31)))</f>
        <v/>
      </c>
      <c r="F86" s="23">
        <f>IFERROR($B86/SUM($B$50:$B$109),"")</f>
        <v/>
      </c>
      <c r="G86" s="24">
        <f>IF('CADASTRO DE CLIENTES'!$B$42="","",COUNTIFS('LANÇAMENTOS'!$I$6:$I$2005,'CADASTRO DE CLIENTES'!$B$42,'LANÇAMENTOS'!$E$6:$E$2005,"Entrada",'LANÇAMENTOS'!$W$6:$W$2005,"&gt;0"))</f>
        <v/>
      </c>
      <c r="H86" s="18">
        <f>IF('CADASTRO DE CLIENTES'!$B$42="","",SUMIFS('LANÇAMENTOS'!$AE$6:$AE$2005,'LANÇAMENTOS'!$I$6:$I$2005,'CADASTRO DE CLIENTES'!$B$42,'LANÇAMENTOS'!$AA$6:$AA$2005,'CONFIGURAÇÕES'!$B$18))</f>
        <v/>
      </c>
      <c r="I86" s="23">
        <f>IFERROR($H86/SUM($H$50:$H$109),"")</f>
        <v/>
      </c>
    </row>
    <row r="87">
      <c r="A87" s="9">
        <f>'CADASTRO DE CLIENTES'!$B$43</f>
        <v/>
      </c>
      <c r="B87" s="18">
        <f>IF('CADASTRO DE CLIENTES'!$B$43="","",SUMIFS('LANÇAMENTOS'!$W$6:$W$2005,'LANÇAMENTOS'!$I$6:$I$2005,'CADASTRO DE CLIENTES'!$B$43,'LANÇAMENTOS'!$E$6:$E$2005,"Entrada",'LANÇAMENTOS'!$W$6:$W$2005,"&gt;0"))</f>
        <v/>
      </c>
      <c r="C87" s="18">
        <f>IF('CADASTRO DE CLIENTES'!$B$43="","",SUMIFS('LANÇAMENTOS'!$W$6:$W$2005,'LANÇAMENTOS'!$I$6:$I$2005,'CADASTRO DE CLIENTES'!$B$43,'LANÇAMENTOS'!$E$6:$E$2005,"Entrada",'LANÇAMENTOS'!$W$6:$W$2005,"&gt;0",'LANÇAMENTOS'!$C$6:$C$2005,"&lt;"&amp;TODAY()))</f>
        <v/>
      </c>
      <c r="D87" s="18">
        <f>IF('CADASTRO DE CLIENTES'!$B$43="","",$B87-$C87)</f>
        <v/>
      </c>
      <c r="E87" s="18">
        <f>IF('CADASTRO DE CLIENTES'!$B$43="","",SUMIFS('LANÇAMENTOS'!$V$6:$V$2005,'LANÇAMENTOS'!$I$6:$I$2005,'CADASTRO DE CLIENTES'!$B$43,'LANÇAMENTOS'!$E$6:$E$2005,"Entrada",'LANÇAMENTOS'!$D$6:$D$2005,"&gt;="&amp;DATE('CONFIGURAÇÕES'!$B$18,1,1),'LANÇAMENTOS'!$D$6:$D$2005,"&lt;="&amp;DATE('CONFIGURAÇÕES'!$B$18,12,31)))</f>
        <v/>
      </c>
      <c r="F87" s="23">
        <f>IFERROR($B87/SUM($B$50:$B$109),"")</f>
        <v/>
      </c>
      <c r="G87" s="24">
        <f>IF('CADASTRO DE CLIENTES'!$B$43="","",COUNTIFS('LANÇAMENTOS'!$I$6:$I$2005,'CADASTRO DE CLIENTES'!$B$43,'LANÇAMENTOS'!$E$6:$E$2005,"Entrada",'LANÇAMENTOS'!$W$6:$W$2005,"&gt;0"))</f>
        <v/>
      </c>
      <c r="H87" s="18">
        <f>IF('CADASTRO DE CLIENTES'!$B$43="","",SUMIFS('LANÇAMENTOS'!$AE$6:$AE$2005,'LANÇAMENTOS'!$I$6:$I$2005,'CADASTRO DE CLIENTES'!$B$43,'LANÇAMENTOS'!$AA$6:$AA$2005,'CONFIGURAÇÕES'!$B$18))</f>
        <v/>
      </c>
      <c r="I87" s="23">
        <f>IFERROR($H87/SUM($H$50:$H$109),"")</f>
        <v/>
      </c>
    </row>
    <row r="88">
      <c r="A88" s="9">
        <f>'CADASTRO DE CLIENTES'!$B$44</f>
        <v/>
      </c>
      <c r="B88" s="18">
        <f>IF('CADASTRO DE CLIENTES'!$B$44="","",SUMIFS('LANÇAMENTOS'!$W$6:$W$2005,'LANÇAMENTOS'!$I$6:$I$2005,'CADASTRO DE CLIENTES'!$B$44,'LANÇAMENTOS'!$E$6:$E$2005,"Entrada",'LANÇAMENTOS'!$W$6:$W$2005,"&gt;0"))</f>
        <v/>
      </c>
      <c r="C88" s="18">
        <f>IF('CADASTRO DE CLIENTES'!$B$44="","",SUMIFS('LANÇAMENTOS'!$W$6:$W$2005,'LANÇAMENTOS'!$I$6:$I$2005,'CADASTRO DE CLIENTES'!$B$44,'LANÇAMENTOS'!$E$6:$E$2005,"Entrada",'LANÇAMENTOS'!$W$6:$W$2005,"&gt;0",'LANÇAMENTOS'!$C$6:$C$2005,"&lt;"&amp;TODAY()))</f>
        <v/>
      </c>
      <c r="D88" s="18">
        <f>IF('CADASTRO DE CLIENTES'!$B$44="","",$B88-$C88)</f>
        <v/>
      </c>
      <c r="E88" s="18">
        <f>IF('CADASTRO DE CLIENTES'!$B$44="","",SUMIFS('LANÇAMENTOS'!$V$6:$V$2005,'LANÇAMENTOS'!$I$6:$I$2005,'CADASTRO DE CLIENTES'!$B$44,'LANÇAMENTOS'!$E$6:$E$2005,"Entrada",'LANÇAMENTOS'!$D$6:$D$2005,"&gt;="&amp;DATE('CONFIGURAÇÕES'!$B$18,1,1),'LANÇAMENTOS'!$D$6:$D$2005,"&lt;="&amp;DATE('CONFIGURAÇÕES'!$B$18,12,31)))</f>
        <v/>
      </c>
      <c r="F88" s="23">
        <f>IFERROR($B88/SUM($B$50:$B$109),"")</f>
        <v/>
      </c>
      <c r="G88" s="24">
        <f>IF('CADASTRO DE CLIENTES'!$B$44="","",COUNTIFS('LANÇAMENTOS'!$I$6:$I$2005,'CADASTRO DE CLIENTES'!$B$44,'LANÇAMENTOS'!$E$6:$E$2005,"Entrada",'LANÇAMENTOS'!$W$6:$W$2005,"&gt;0"))</f>
        <v/>
      </c>
      <c r="H88" s="18">
        <f>IF('CADASTRO DE CLIENTES'!$B$44="","",SUMIFS('LANÇAMENTOS'!$AE$6:$AE$2005,'LANÇAMENTOS'!$I$6:$I$2005,'CADASTRO DE CLIENTES'!$B$44,'LANÇAMENTOS'!$AA$6:$AA$2005,'CONFIGURAÇÕES'!$B$18))</f>
        <v/>
      </c>
      <c r="I88" s="23">
        <f>IFERROR($H88/SUM($H$50:$H$109),"")</f>
        <v/>
      </c>
    </row>
    <row r="89">
      <c r="A89" s="9">
        <f>'CADASTRO DE CLIENTES'!$B$45</f>
        <v/>
      </c>
      <c r="B89" s="18">
        <f>IF('CADASTRO DE CLIENTES'!$B$45="","",SUMIFS('LANÇAMENTOS'!$W$6:$W$2005,'LANÇAMENTOS'!$I$6:$I$2005,'CADASTRO DE CLIENTES'!$B$45,'LANÇAMENTOS'!$E$6:$E$2005,"Entrada",'LANÇAMENTOS'!$W$6:$W$2005,"&gt;0"))</f>
        <v/>
      </c>
      <c r="C89" s="18">
        <f>IF('CADASTRO DE CLIENTES'!$B$45="","",SUMIFS('LANÇAMENTOS'!$W$6:$W$2005,'LANÇAMENTOS'!$I$6:$I$2005,'CADASTRO DE CLIENTES'!$B$45,'LANÇAMENTOS'!$E$6:$E$2005,"Entrada",'LANÇAMENTOS'!$W$6:$W$2005,"&gt;0",'LANÇAMENTOS'!$C$6:$C$2005,"&lt;"&amp;TODAY()))</f>
        <v/>
      </c>
      <c r="D89" s="18">
        <f>IF('CADASTRO DE CLIENTES'!$B$45="","",$B89-$C89)</f>
        <v/>
      </c>
      <c r="E89" s="18">
        <f>IF('CADASTRO DE CLIENTES'!$B$45="","",SUMIFS('LANÇAMENTOS'!$V$6:$V$2005,'LANÇAMENTOS'!$I$6:$I$2005,'CADASTRO DE CLIENTES'!$B$45,'LANÇAMENTOS'!$E$6:$E$2005,"Entrada",'LANÇAMENTOS'!$D$6:$D$2005,"&gt;="&amp;DATE('CONFIGURAÇÕES'!$B$18,1,1),'LANÇAMENTOS'!$D$6:$D$2005,"&lt;="&amp;DATE('CONFIGURAÇÕES'!$B$18,12,31)))</f>
        <v/>
      </c>
      <c r="F89" s="23">
        <f>IFERROR($B89/SUM($B$50:$B$109),"")</f>
        <v/>
      </c>
      <c r="G89" s="24">
        <f>IF('CADASTRO DE CLIENTES'!$B$45="","",COUNTIFS('LANÇAMENTOS'!$I$6:$I$2005,'CADASTRO DE CLIENTES'!$B$45,'LANÇAMENTOS'!$E$6:$E$2005,"Entrada",'LANÇAMENTOS'!$W$6:$W$2005,"&gt;0"))</f>
        <v/>
      </c>
      <c r="H89" s="18">
        <f>IF('CADASTRO DE CLIENTES'!$B$45="","",SUMIFS('LANÇAMENTOS'!$AE$6:$AE$2005,'LANÇAMENTOS'!$I$6:$I$2005,'CADASTRO DE CLIENTES'!$B$45,'LANÇAMENTOS'!$AA$6:$AA$2005,'CONFIGURAÇÕES'!$B$18))</f>
        <v/>
      </c>
      <c r="I89" s="23">
        <f>IFERROR($H89/SUM($H$50:$H$109),"")</f>
        <v/>
      </c>
    </row>
    <row r="90">
      <c r="A90" s="9">
        <f>'CADASTRO DE CLIENTES'!$B$46</f>
        <v/>
      </c>
      <c r="B90" s="18">
        <f>IF('CADASTRO DE CLIENTES'!$B$46="","",SUMIFS('LANÇAMENTOS'!$W$6:$W$2005,'LANÇAMENTOS'!$I$6:$I$2005,'CADASTRO DE CLIENTES'!$B$46,'LANÇAMENTOS'!$E$6:$E$2005,"Entrada",'LANÇAMENTOS'!$W$6:$W$2005,"&gt;0"))</f>
        <v/>
      </c>
      <c r="C90" s="18">
        <f>IF('CADASTRO DE CLIENTES'!$B$46="","",SUMIFS('LANÇAMENTOS'!$W$6:$W$2005,'LANÇAMENTOS'!$I$6:$I$2005,'CADASTRO DE CLIENTES'!$B$46,'LANÇAMENTOS'!$E$6:$E$2005,"Entrada",'LANÇAMENTOS'!$W$6:$W$2005,"&gt;0",'LANÇAMENTOS'!$C$6:$C$2005,"&lt;"&amp;TODAY()))</f>
        <v/>
      </c>
      <c r="D90" s="18">
        <f>IF('CADASTRO DE CLIENTES'!$B$46="","",$B90-$C90)</f>
        <v/>
      </c>
      <c r="E90" s="18">
        <f>IF('CADASTRO DE CLIENTES'!$B$46="","",SUMIFS('LANÇAMENTOS'!$V$6:$V$2005,'LANÇAMENTOS'!$I$6:$I$2005,'CADASTRO DE CLIENTES'!$B$46,'LANÇAMENTOS'!$E$6:$E$2005,"Entrada",'LANÇAMENTOS'!$D$6:$D$2005,"&gt;="&amp;DATE('CONFIGURAÇÕES'!$B$18,1,1),'LANÇAMENTOS'!$D$6:$D$2005,"&lt;="&amp;DATE('CONFIGURAÇÕES'!$B$18,12,31)))</f>
        <v/>
      </c>
      <c r="F90" s="23">
        <f>IFERROR($B90/SUM($B$50:$B$109),"")</f>
        <v/>
      </c>
      <c r="G90" s="24">
        <f>IF('CADASTRO DE CLIENTES'!$B$46="","",COUNTIFS('LANÇAMENTOS'!$I$6:$I$2005,'CADASTRO DE CLIENTES'!$B$46,'LANÇAMENTOS'!$E$6:$E$2005,"Entrada",'LANÇAMENTOS'!$W$6:$W$2005,"&gt;0"))</f>
        <v/>
      </c>
      <c r="H90" s="18">
        <f>IF('CADASTRO DE CLIENTES'!$B$46="","",SUMIFS('LANÇAMENTOS'!$AE$6:$AE$2005,'LANÇAMENTOS'!$I$6:$I$2005,'CADASTRO DE CLIENTES'!$B$46,'LANÇAMENTOS'!$AA$6:$AA$2005,'CONFIGURAÇÕES'!$B$18))</f>
        <v/>
      </c>
      <c r="I90" s="23">
        <f>IFERROR($H90/SUM($H$50:$H$109),"")</f>
        <v/>
      </c>
    </row>
    <row r="91">
      <c r="A91" s="9">
        <f>'CADASTRO DE CLIENTES'!$B$47</f>
        <v/>
      </c>
      <c r="B91" s="18">
        <f>IF('CADASTRO DE CLIENTES'!$B$47="","",SUMIFS('LANÇAMENTOS'!$W$6:$W$2005,'LANÇAMENTOS'!$I$6:$I$2005,'CADASTRO DE CLIENTES'!$B$47,'LANÇAMENTOS'!$E$6:$E$2005,"Entrada",'LANÇAMENTOS'!$W$6:$W$2005,"&gt;0"))</f>
        <v/>
      </c>
      <c r="C91" s="18">
        <f>IF('CADASTRO DE CLIENTES'!$B$47="","",SUMIFS('LANÇAMENTOS'!$W$6:$W$2005,'LANÇAMENTOS'!$I$6:$I$2005,'CADASTRO DE CLIENTES'!$B$47,'LANÇAMENTOS'!$E$6:$E$2005,"Entrada",'LANÇAMENTOS'!$W$6:$W$2005,"&gt;0",'LANÇAMENTOS'!$C$6:$C$2005,"&lt;"&amp;TODAY()))</f>
        <v/>
      </c>
      <c r="D91" s="18">
        <f>IF('CADASTRO DE CLIENTES'!$B$47="","",$B91-$C91)</f>
        <v/>
      </c>
      <c r="E91" s="18">
        <f>IF('CADASTRO DE CLIENTES'!$B$47="","",SUMIFS('LANÇAMENTOS'!$V$6:$V$2005,'LANÇAMENTOS'!$I$6:$I$2005,'CADASTRO DE CLIENTES'!$B$47,'LANÇAMENTOS'!$E$6:$E$2005,"Entrada",'LANÇAMENTOS'!$D$6:$D$2005,"&gt;="&amp;DATE('CONFIGURAÇÕES'!$B$18,1,1),'LANÇAMENTOS'!$D$6:$D$2005,"&lt;="&amp;DATE('CONFIGURAÇÕES'!$B$18,12,31)))</f>
        <v/>
      </c>
      <c r="F91" s="23">
        <f>IFERROR($B91/SUM($B$50:$B$109),"")</f>
        <v/>
      </c>
      <c r="G91" s="24">
        <f>IF('CADASTRO DE CLIENTES'!$B$47="","",COUNTIFS('LANÇAMENTOS'!$I$6:$I$2005,'CADASTRO DE CLIENTES'!$B$47,'LANÇAMENTOS'!$E$6:$E$2005,"Entrada",'LANÇAMENTOS'!$W$6:$W$2005,"&gt;0"))</f>
        <v/>
      </c>
      <c r="H91" s="18">
        <f>IF('CADASTRO DE CLIENTES'!$B$47="","",SUMIFS('LANÇAMENTOS'!$AE$6:$AE$2005,'LANÇAMENTOS'!$I$6:$I$2005,'CADASTRO DE CLIENTES'!$B$47,'LANÇAMENTOS'!$AA$6:$AA$2005,'CONFIGURAÇÕES'!$B$18))</f>
        <v/>
      </c>
      <c r="I91" s="23">
        <f>IFERROR($H91/SUM($H$50:$H$109),"")</f>
        <v/>
      </c>
    </row>
    <row r="92">
      <c r="A92" s="9">
        <f>'CADASTRO DE CLIENTES'!$B$48</f>
        <v/>
      </c>
      <c r="B92" s="18">
        <f>IF('CADASTRO DE CLIENTES'!$B$48="","",SUMIFS('LANÇAMENTOS'!$W$6:$W$2005,'LANÇAMENTOS'!$I$6:$I$2005,'CADASTRO DE CLIENTES'!$B$48,'LANÇAMENTOS'!$E$6:$E$2005,"Entrada",'LANÇAMENTOS'!$W$6:$W$2005,"&gt;0"))</f>
        <v/>
      </c>
      <c r="C92" s="18">
        <f>IF('CADASTRO DE CLIENTES'!$B$48="","",SUMIFS('LANÇAMENTOS'!$W$6:$W$2005,'LANÇAMENTOS'!$I$6:$I$2005,'CADASTRO DE CLIENTES'!$B$48,'LANÇAMENTOS'!$E$6:$E$2005,"Entrada",'LANÇAMENTOS'!$W$6:$W$2005,"&gt;0",'LANÇAMENTOS'!$C$6:$C$2005,"&lt;"&amp;TODAY()))</f>
        <v/>
      </c>
      <c r="D92" s="18">
        <f>IF('CADASTRO DE CLIENTES'!$B$48="","",$B92-$C92)</f>
        <v/>
      </c>
      <c r="E92" s="18">
        <f>IF('CADASTRO DE CLIENTES'!$B$48="","",SUMIFS('LANÇAMENTOS'!$V$6:$V$2005,'LANÇAMENTOS'!$I$6:$I$2005,'CADASTRO DE CLIENTES'!$B$48,'LANÇAMENTOS'!$E$6:$E$2005,"Entrada",'LANÇAMENTOS'!$D$6:$D$2005,"&gt;="&amp;DATE('CONFIGURAÇÕES'!$B$18,1,1),'LANÇAMENTOS'!$D$6:$D$2005,"&lt;="&amp;DATE('CONFIGURAÇÕES'!$B$18,12,31)))</f>
        <v/>
      </c>
      <c r="F92" s="23">
        <f>IFERROR($B92/SUM($B$50:$B$109),"")</f>
        <v/>
      </c>
      <c r="G92" s="24">
        <f>IF('CADASTRO DE CLIENTES'!$B$48="","",COUNTIFS('LANÇAMENTOS'!$I$6:$I$2005,'CADASTRO DE CLIENTES'!$B$48,'LANÇAMENTOS'!$E$6:$E$2005,"Entrada",'LANÇAMENTOS'!$W$6:$W$2005,"&gt;0"))</f>
        <v/>
      </c>
      <c r="H92" s="18">
        <f>IF('CADASTRO DE CLIENTES'!$B$48="","",SUMIFS('LANÇAMENTOS'!$AE$6:$AE$2005,'LANÇAMENTOS'!$I$6:$I$2005,'CADASTRO DE CLIENTES'!$B$48,'LANÇAMENTOS'!$AA$6:$AA$2005,'CONFIGURAÇÕES'!$B$18))</f>
        <v/>
      </c>
      <c r="I92" s="23">
        <f>IFERROR($H92/SUM($H$50:$H$109),"")</f>
        <v/>
      </c>
    </row>
    <row r="93">
      <c r="A93" s="9">
        <f>'CADASTRO DE CLIENTES'!$B$49</f>
        <v/>
      </c>
      <c r="B93" s="18">
        <f>IF('CADASTRO DE CLIENTES'!$B$49="","",SUMIFS('LANÇAMENTOS'!$W$6:$W$2005,'LANÇAMENTOS'!$I$6:$I$2005,'CADASTRO DE CLIENTES'!$B$49,'LANÇAMENTOS'!$E$6:$E$2005,"Entrada",'LANÇAMENTOS'!$W$6:$W$2005,"&gt;0"))</f>
        <v/>
      </c>
      <c r="C93" s="18">
        <f>IF('CADASTRO DE CLIENTES'!$B$49="","",SUMIFS('LANÇAMENTOS'!$W$6:$W$2005,'LANÇAMENTOS'!$I$6:$I$2005,'CADASTRO DE CLIENTES'!$B$49,'LANÇAMENTOS'!$E$6:$E$2005,"Entrada",'LANÇAMENTOS'!$W$6:$W$2005,"&gt;0",'LANÇAMENTOS'!$C$6:$C$2005,"&lt;"&amp;TODAY()))</f>
        <v/>
      </c>
      <c r="D93" s="18">
        <f>IF('CADASTRO DE CLIENTES'!$B$49="","",$B93-$C93)</f>
        <v/>
      </c>
      <c r="E93" s="18">
        <f>IF('CADASTRO DE CLIENTES'!$B$49="","",SUMIFS('LANÇAMENTOS'!$V$6:$V$2005,'LANÇAMENTOS'!$I$6:$I$2005,'CADASTRO DE CLIENTES'!$B$49,'LANÇAMENTOS'!$E$6:$E$2005,"Entrada",'LANÇAMENTOS'!$D$6:$D$2005,"&gt;="&amp;DATE('CONFIGURAÇÕES'!$B$18,1,1),'LANÇAMENTOS'!$D$6:$D$2005,"&lt;="&amp;DATE('CONFIGURAÇÕES'!$B$18,12,31)))</f>
        <v/>
      </c>
      <c r="F93" s="23">
        <f>IFERROR($B93/SUM($B$50:$B$109),"")</f>
        <v/>
      </c>
      <c r="G93" s="24">
        <f>IF('CADASTRO DE CLIENTES'!$B$49="","",COUNTIFS('LANÇAMENTOS'!$I$6:$I$2005,'CADASTRO DE CLIENTES'!$B$49,'LANÇAMENTOS'!$E$6:$E$2005,"Entrada",'LANÇAMENTOS'!$W$6:$W$2005,"&gt;0"))</f>
        <v/>
      </c>
      <c r="H93" s="18">
        <f>IF('CADASTRO DE CLIENTES'!$B$49="","",SUMIFS('LANÇAMENTOS'!$AE$6:$AE$2005,'LANÇAMENTOS'!$I$6:$I$2005,'CADASTRO DE CLIENTES'!$B$49,'LANÇAMENTOS'!$AA$6:$AA$2005,'CONFIGURAÇÕES'!$B$18))</f>
        <v/>
      </c>
      <c r="I93" s="23">
        <f>IFERROR($H93/SUM($H$50:$H$109),"")</f>
        <v/>
      </c>
    </row>
    <row r="94">
      <c r="A94" s="9">
        <f>'CADASTRO DE CLIENTES'!$B$50</f>
        <v/>
      </c>
      <c r="B94" s="18">
        <f>IF('CADASTRO DE CLIENTES'!$B$50="","",SUMIFS('LANÇAMENTOS'!$W$6:$W$2005,'LANÇAMENTOS'!$I$6:$I$2005,'CADASTRO DE CLIENTES'!$B$50,'LANÇAMENTOS'!$E$6:$E$2005,"Entrada",'LANÇAMENTOS'!$W$6:$W$2005,"&gt;0"))</f>
        <v/>
      </c>
      <c r="C94" s="18">
        <f>IF('CADASTRO DE CLIENTES'!$B$50="","",SUMIFS('LANÇAMENTOS'!$W$6:$W$2005,'LANÇAMENTOS'!$I$6:$I$2005,'CADASTRO DE CLIENTES'!$B$50,'LANÇAMENTOS'!$E$6:$E$2005,"Entrada",'LANÇAMENTOS'!$W$6:$W$2005,"&gt;0",'LANÇAMENTOS'!$C$6:$C$2005,"&lt;"&amp;TODAY()))</f>
        <v/>
      </c>
      <c r="D94" s="18">
        <f>IF('CADASTRO DE CLIENTES'!$B$50="","",$B94-$C94)</f>
        <v/>
      </c>
      <c r="E94" s="18">
        <f>IF('CADASTRO DE CLIENTES'!$B$50="","",SUMIFS('LANÇAMENTOS'!$V$6:$V$2005,'LANÇAMENTOS'!$I$6:$I$2005,'CADASTRO DE CLIENTES'!$B$50,'LANÇAMENTOS'!$E$6:$E$2005,"Entrada",'LANÇAMENTOS'!$D$6:$D$2005,"&gt;="&amp;DATE('CONFIGURAÇÕES'!$B$18,1,1),'LANÇAMENTOS'!$D$6:$D$2005,"&lt;="&amp;DATE('CONFIGURAÇÕES'!$B$18,12,31)))</f>
        <v/>
      </c>
      <c r="F94" s="23">
        <f>IFERROR($B94/SUM($B$50:$B$109),"")</f>
        <v/>
      </c>
      <c r="G94" s="24">
        <f>IF('CADASTRO DE CLIENTES'!$B$50="","",COUNTIFS('LANÇAMENTOS'!$I$6:$I$2005,'CADASTRO DE CLIENTES'!$B$50,'LANÇAMENTOS'!$E$6:$E$2005,"Entrada",'LANÇAMENTOS'!$W$6:$W$2005,"&gt;0"))</f>
        <v/>
      </c>
      <c r="H94" s="18">
        <f>IF('CADASTRO DE CLIENTES'!$B$50="","",SUMIFS('LANÇAMENTOS'!$AE$6:$AE$2005,'LANÇAMENTOS'!$I$6:$I$2005,'CADASTRO DE CLIENTES'!$B$50,'LANÇAMENTOS'!$AA$6:$AA$2005,'CONFIGURAÇÕES'!$B$18))</f>
        <v/>
      </c>
      <c r="I94" s="23">
        <f>IFERROR($H94/SUM($H$50:$H$109),"")</f>
        <v/>
      </c>
    </row>
    <row r="95">
      <c r="A95" s="9">
        <f>'CADASTRO DE CLIENTES'!$B$51</f>
        <v/>
      </c>
      <c r="B95" s="18">
        <f>IF('CADASTRO DE CLIENTES'!$B$51="","",SUMIFS('LANÇAMENTOS'!$W$6:$W$2005,'LANÇAMENTOS'!$I$6:$I$2005,'CADASTRO DE CLIENTES'!$B$51,'LANÇAMENTOS'!$E$6:$E$2005,"Entrada",'LANÇAMENTOS'!$W$6:$W$2005,"&gt;0"))</f>
        <v/>
      </c>
      <c r="C95" s="18">
        <f>IF('CADASTRO DE CLIENTES'!$B$51="","",SUMIFS('LANÇAMENTOS'!$W$6:$W$2005,'LANÇAMENTOS'!$I$6:$I$2005,'CADASTRO DE CLIENTES'!$B$51,'LANÇAMENTOS'!$E$6:$E$2005,"Entrada",'LANÇAMENTOS'!$W$6:$W$2005,"&gt;0",'LANÇAMENTOS'!$C$6:$C$2005,"&lt;"&amp;TODAY()))</f>
        <v/>
      </c>
      <c r="D95" s="18">
        <f>IF('CADASTRO DE CLIENTES'!$B$51="","",$B95-$C95)</f>
        <v/>
      </c>
      <c r="E95" s="18">
        <f>IF('CADASTRO DE CLIENTES'!$B$51="","",SUMIFS('LANÇAMENTOS'!$V$6:$V$2005,'LANÇAMENTOS'!$I$6:$I$2005,'CADASTRO DE CLIENTES'!$B$51,'LANÇAMENTOS'!$E$6:$E$2005,"Entrada",'LANÇAMENTOS'!$D$6:$D$2005,"&gt;="&amp;DATE('CONFIGURAÇÕES'!$B$18,1,1),'LANÇAMENTOS'!$D$6:$D$2005,"&lt;="&amp;DATE('CONFIGURAÇÕES'!$B$18,12,31)))</f>
        <v/>
      </c>
      <c r="F95" s="23">
        <f>IFERROR($B95/SUM($B$50:$B$109),"")</f>
        <v/>
      </c>
      <c r="G95" s="24">
        <f>IF('CADASTRO DE CLIENTES'!$B$51="","",COUNTIFS('LANÇAMENTOS'!$I$6:$I$2005,'CADASTRO DE CLIENTES'!$B$51,'LANÇAMENTOS'!$E$6:$E$2005,"Entrada",'LANÇAMENTOS'!$W$6:$W$2005,"&gt;0"))</f>
        <v/>
      </c>
      <c r="H95" s="18">
        <f>IF('CADASTRO DE CLIENTES'!$B$51="","",SUMIFS('LANÇAMENTOS'!$AE$6:$AE$2005,'LANÇAMENTOS'!$I$6:$I$2005,'CADASTRO DE CLIENTES'!$B$51,'LANÇAMENTOS'!$AA$6:$AA$2005,'CONFIGURAÇÕES'!$B$18))</f>
        <v/>
      </c>
      <c r="I95" s="23">
        <f>IFERROR($H95/SUM($H$50:$H$109),"")</f>
        <v/>
      </c>
    </row>
    <row r="96">
      <c r="A96" s="9">
        <f>'CADASTRO DE CLIENTES'!$B$52</f>
        <v/>
      </c>
      <c r="B96" s="18">
        <f>IF('CADASTRO DE CLIENTES'!$B$52="","",SUMIFS('LANÇAMENTOS'!$W$6:$W$2005,'LANÇAMENTOS'!$I$6:$I$2005,'CADASTRO DE CLIENTES'!$B$52,'LANÇAMENTOS'!$E$6:$E$2005,"Entrada",'LANÇAMENTOS'!$W$6:$W$2005,"&gt;0"))</f>
        <v/>
      </c>
      <c r="C96" s="18">
        <f>IF('CADASTRO DE CLIENTES'!$B$52="","",SUMIFS('LANÇAMENTOS'!$W$6:$W$2005,'LANÇAMENTOS'!$I$6:$I$2005,'CADASTRO DE CLIENTES'!$B$52,'LANÇAMENTOS'!$E$6:$E$2005,"Entrada",'LANÇAMENTOS'!$W$6:$W$2005,"&gt;0",'LANÇAMENTOS'!$C$6:$C$2005,"&lt;"&amp;TODAY()))</f>
        <v/>
      </c>
      <c r="D96" s="18">
        <f>IF('CADASTRO DE CLIENTES'!$B$52="","",$B96-$C96)</f>
        <v/>
      </c>
      <c r="E96" s="18">
        <f>IF('CADASTRO DE CLIENTES'!$B$52="","",SUMIFS('LANÇAMENTOS'!$V$6:$V$2005,'LANÇAMENTOS'!$I$6:$I$2005,'CADASTRO DE CLIENTES'!$B$52,'LANÇAMENTOS'!$E$6:$E$2005,"Entrada",'LANÇAMENTOS'!$D$6:$D$2005,"&gt;="&amp;DATE('CONFIGURAÇÕES'!$B$18,1,1),'LANÇAMENTOS'!$D$6:$D$2005,"&lt;="&amp;DATE('CONFIGURAÇÕES'!$B$18,12,31)))</f>
        <v/>
      </c>
      <c r="F96" s="23">
        <f>IFERROR($B96/SUM($B$50:$B$109),"")</f>
        <v/>
      </c>
      <c r="G96" s="24">
        <f>IF('CADASTRO DE CLIENTES'!$B$52="","",COUNTIFS('LANÇAMENTOS'!$I$6:$I$2005,'CADASTRO DE CLIENTES'!$B$52,'LANÇAMENTOS'!$E$6:$E$2005,"Entrada",'LANÇAMENTOS'!$W$6:$W$2005,"&gt;0"))</f>
        <v/>
      </c>
      <c r="H96" s="18">
        <f>IF('CADASTRO DE CLIENTES'!$B$52="","",SUMIFS('LANÇAMENTOS'!$AE$6:$AE$2005,'LANÇAMENTOS'!$I$6:$I$2005,'CADASTRO DE CLIENTES'!$B$52,'LANÇAMENTOS'!$AA$6:$AA$2005,'CONFIGURAÇÕES'!$B$18))</f>
        <v/>
      </c>
      <c r="I96" s="23">
        <f>IFERROR($H96/SUM($H$50:$H$109),"")</f>
        <v/>
      </c>
    </row>
    <row r="97">
      <c r="A97" s="9">
        <f>'CADASTRO DE CLIENTES'!$B$53</f>
        <v/>
      </c>
      <c r="B97" s="18">
        <f>IF('CADASTRO DE CLIENTES'!$B$53="","",SUMIFS('LANÇAMENTOS'!$W$6:$W$2005,'LANÇAMENTOS'!$I$6:$I$2005,'CADASTRO DE CLIENTES'!$B$53,'LANÇAMENTOS'!$E$6:$E$2005,"Entrada",'LANÇAMENTOS'!$W$6:$W$2005,"&gt;0"))</f>
        <v/>
      </c>
      <c r="C97" s="18">
        <f>IF('CADASTRO DE CLIENTES'!$B$53="","",SUMIFS('LANÇAMENTOS'!$W$6:$W$2005,'LANÇAMENTOS'!$I$6:$I$2005,'CADASTRO DE CLIENTES'!$B$53,'LANÇAMENTOS'!$E$6:$E$2005,"Entrada",'LANÇAMENTOS'!$W$6:$W$2005,"&gt;0",'LANÇAMENTOS'!$C$6:$C$2005,"&lt;"&amp;TODAY()))</f>
        <v/>
      </c>
      <c r="D97" s="18">
        <f>IF('CADASTRO DE CLIENTES'!$B$53="","",$B97-$C97)</f>
        <v/>
      </c>
      <c r="E97" s="18">
        <f>IF('CADASTRO DE CLIENTES'!$B$53="","",SUMIFS('LANÇAMENTOS'!$V$6:$V$2005,'LANÇAMENTOS'!$I$6:$I$2005,'CADASTRO DE CLIENTES'!$B$53,'LANÇAMENTOS'!$E$6:$E$2005,"Entrada",'LANÇAMENTOS'!$D$6:$D$2005,"&gt;="&amp;DATE('CONFIGURAÇÕES'!$B$18,1,1),'LANÇAMENTOS'!$D$6:$D$2005,"&lt;="&amp;DATE('CONFIGURAÇÕES'!$B$18,12,31)))</f>
        <v/>
      </c>
      <c r="F97" s="23">
        <f>IFERROR($B97/SUM($B$50:$B$109),"")</f>
        <v/>
      </c>
      <c r="G97" s="24">
        <f>IF('CADASTRO DE CLIENTES'!$B$53="","",COUNTIFS('LANÇAMENTOS'!$I$6:$I$2005,'CADASTRO DE CLIENTES'!$B$53,'LANÇAMENTOS'!$E$6:$E$2005,"Entrada",'LANÇAMENTOS'!$W$6:$W$2005,"&gt;0"))</f>
        <v/>
      </c>
      <c r="H97" s="18">
        <f>IF('CADASTRO DE CLIENTES'!$B$53="","",SUMIFS('LANÇAMENTOS'!$AE$6:$AE$2005,'LANÇAMENTOS'!$I$6:$I$2005,'CADASTRO DE CLIENTES'!$B$53,'LANÇAMENTOS'!$AA$6:$AA$2005,'CONFIGURAÇÕES'!$B$18))</f>
        <v/>
      </c>
      <c r="I97" s="23">
        <f>IFERROR($H97/SUM($H$50:$H$109),"")</f>
        <v/>
      </c>
    </row>
    <row r="98">
      <c r="A98" s="9">
        <f>'CADASTRO DE CLIENTES'!$B$54</f>
        <v/>
      </c>
      <c r="B98" s="18">
        <f>IF('CADASTRO DE CLIENTES'!$B$54="","",SUMIFS('LANÇAMENTOS'!$W$6:$W$2005,'LANÇAMENTOS'!$I$6:$I$2005,'CADASTRO DE CLIENTES'!$B$54,'LANÇAMENTOS'!$E$6:$E$2005,"Entrada",'LANÇAMENTOS'!$W$6:$W$2005,"&gt;0"))</f>
        <v/>
      </c>
      <c r="C98" s="18">
        <f>IF('CADASTRO DE CLIENTES'!$B$54="","",SUMIFS('LANÇAMENTOS'!$W$6:$W$2005,'LANÇAMENTOS'!$I$6:$I$2005,'CADASTRO DE CLIENTES'!$B$54,'LANÇAMENTOS'!$E$6:$E$2005,"Entrada",'LANÇAMENTOS'!$W$6:$W$2005,"&gt;0",'LANÇAMENTOS'!$C$6:$C$2005,"&lt;"&amp;TODAY()))</f>
        <v/>
      </c>
      <c r="D98" s="18">
        <f>IF('CADASTRO DE CLIENTES'!$B$54="","",$B98-$C98)</f>
        <v/>
      </c>
      <c r="E98" s="18">
        <f>IF('CADASTRO DE CLIENTES'!$B$54="","",SUMIFS('LANÇAMENTOS'!$V$6:$V$2005,'LANÇAMENTOS'!$I$6:$I$2005,'CADASTRO DE CLIENTES'!$B$54,'LANÇAMENTOS'!$E$6:$E$2005,"Entrada",'LANÇAMENTOS'!$D$6:$D$2005,"&gt;="&amp;DATE('CONFIGURAÇÕES'!$B$18,1,1),'LANÇAMENTOS'!$D$6:$D$2005,"&lt;="&amp;DATE('CONFIGURAÇÕES'!$B$18,12,31)))</f>
        <v/>
      </c>
      <c r="F98" s="23">
        <f>IFERROR($B98/SUM($B$50:$B$109),"")</f>
        <v/>
      </c>
      <c r="G98" s="24">
        <f>IF('CADASTRO DE CLIENTES'!$B$54="","",COUNTIFS('LANÇAMENTOS'!$I$6:$I$2005,'CADASTRO DE CLIENTES'!$B$54,'LANÇAMENTOS'!$E$6:$E$2005,"Entrada",'LANÇAMENTOS'!$W$6:$W$2005,"&gt;0"))</f>
        <v/>
      </c>
      <c r="H98" s="18">
        <f>IF('CADASTRO DE CLIENTES'!$B$54="","",SUMIFS('LANÇAMENTOS'!$AE$6:$AE$2005,'LANÇAMENTOS'!$I$6:$I$2005,'CADASTRO DE CLIENTES'!$B$54,'LANÇAMENTOS'!$AA$6:$AA$2005,'CONFIGURAÇÕES'!$B$18))</f>
        <v/>
      </c>
      <c r="I98" s="23">
        <f>IFERROR($H98/SUM($H$50:$H$109),"")</f>
        <v/>
      </c>
    </row>
    <row r="99">
      <c r="A99" s="9">
        <f>'CADASTRO DE CLIENTES'!$B$55</f>
        <v/>
      </c>
      <c r="B99" s="18">
        <f>IF('CADASTRO DE CLIENTES'!$B$55="","",SUMIFS('LANÇAMENTOS'!$W$6:$W$2005,'LANÇAMENTOS'!$I$6:$I$2005,'CADASTRO DE CLIENTES'!$B$55,'LANÇAMENTOS'!$E$6:$E$2005,"Entrada",'LANÇAMENTOS'!$W$6:$W$2005,"&gt;0"))</f>
        <v/>
      </c>
      <c r="C99" s="18">
        <f>IF('CADASTRO DE CLIENTES'!$B$55="","",SUMIFS('LANÇAMENTOS'!$W$6:$W$2005,'LANÇAMENTOS'!$I$6:$I$2005,'CADASTRO DE CLIENTES'!$B$55,'LANÇAMENTOS'!$E$6:$E$2005,"Entrada",'LANÇAMENTOS'!$W$6:$W$2005,"&gt;0",'LANÇAMENTOS'!$C$6:$C$2005,"&lt;"&amp;TODAY()))</f>
        <v/>
      </c>
      <c r="D99" s="18">
        <f>IF('CADASTRO DE CLIENTES'!$B$55="","",$B99-$C99)</f>
        <v/>
      </c>
      <c r="E99" s="18">
        <f>IF('CADASTRO DE CLIENTES'!$B$55="","",SUMIFS('LANÇAMENTOS'!$V$6:$V$2005,'LANÇAMENTOS'!$I$6:$I$2005,'CADASTRO DE CLIENTES'!$B$55,'LANÇAMENTOS'!$E$6:$E$2005,"Entrada",'LANÇAMENTOS'!$D$6:$D$2005,"&gt;="&amp;DATE('CONFIGURAÇÕES'!$B$18,1,1),'LANÇAMENTOS'!$D$6:$D$2005,"&lt;="&amp;DATE('CONFIGURAÇÕES'!$B$18,12,31)))</f>
        <v/>
      </c>
      <c r="F99" s="23">
        <f>IFERROR($B99/SUM($B$50:$B$109),"")</f>
        <v/>
      </c>
      <c r="G99" s="24">
        <f>IF('CADASTRO DE CLIENTES'!$B$55="","",COUNTIFS('LANÇAMENTOS'!$I$6:$I$2005,'CADASTRO DE CLIENTES'!$B$55,'LANÇAMENTOS'!$E$6:$E$2005,"Entrada",'LANÇAMENTOS'!$W$6:$W$2005,"&gt;0"))</f>
        <v/>
      </c>
      <c r="H99" s="18">
        <f>IF('CADASTRO DE CLIENTES'!$B$55="","",SUMIFS('LANÇAMENTOS'!$AE$6:$AE$2005,'LANÇAMENTOS'!$I$6:$I$2005,'CADASTRO DE CLIENTES'!$B$55,'LANÇAMENTOS'!$AA$6:$AA$2005,'CONFIGURAÇÕES'!$B$18))</f>
        <v/>
      </c>
      <c r="I99" s="23">
        <f>IFERROR($H99/SUM($H$50:$H$109),"")</f>
        <v/>
      </c>
    </row>
    <row r="100">
      <c r="A100" s="9">
        <f>'CADASTRO DE CLIENTES'!$B$56</f>
        <v/>
      </c>
      <c r="B100" s="18">
        <f>IF('CADASTRO DE CLIENTES'!$B$56="","",SUMIFS('LANÇAMENTOS'!$W$6:$W$2005,'LANÇAMENTOS'!$I$6:$I$2005,'CADASTRO DE CLIENTES'!$B$56,'LANÇAMENTOS'!$E$6:$E$2005,"Entrada",'LANÇAMENTOS'!$W$6:$W$2005,"&gt;0"))</f>
        <v/>
      </c>
      <c r="C100" s="18">
        <f>IF('CADASTRO DE CLIENTES'!$B$56="","",SUMIFS('LANÇAMENTOS'!$W$6:$W$2005,'LANÇAMENTOS'!$I$6:$I$2005,'CADASTRO DE CLIENTES'!$B$56,'LANÇAMENTOS'!$E$6:$E$2005,"Entrada",'LANÇAMENTOS'!$W$6:$W$2005,"&gt;0",'LANÇAMENTOS'!$C$6:$C$2005,"&lt;"&amp;TODAY()))</f>
        <v/>
      </c>
      <c r="D100" s="18">
        <f>IF('CADASTRO DE CLIENTES'!$B$56="","",$B100-$C100)</f>
        <v/>
      </c>
      <c r="E100" s="18">
        <f>IF('CADASTRO DE CLIENTES'!$B$56="","",SUMIFS('LANÇAMENTOS'!$V$6:$V$2005,'LANÇAMENTOS'!$I$6:$I$2005,'CADASTRO DE CLIENTES'!$B$56,'LANÇAMENTOS'!$E$6:$E$2005,"Entrada",'LANÇAMENTOS'!$D$6:$D$2005,"&gt;="&amp;DATE('CONFIGURAÇÕES'!$B$18,1,1),'LANÇAMENTOS'!$D$6:$D$2005,"&lt;="&amp;DATE('CONFIGURAÇÕES'!$B$18,12,31)))</f>
        <v/>
      </c>
      <c r="F100" s="23">
        <f>IFERROR($B100/SUM($B$50:$B$109),"")</f>
        <v/>
      </c>
      <c r="G100" s="24">
        <f>IF('CADASTRO DE CLIENTES'!$B$56="","",COUNTIFS('LANÇAMENTOS'!$I$6:$I$2005,'CADASTRO DE CLIENTES'!$B$56,'LANÇAMENTOS'!$E$6:$E$2005,"Entrada",'LANÇAMENTOS'!$W$6:$W$2005,"&gt;0"))</f>
        <v/>
      </c>
      <c r="H100" s="18">
        <f>IF('CADASTRO DE CLIENTES'!$B$56="","",SUMIFS('LANÇAMENTOS'!$AE$6:$AE$2005,'LANÇAMENTOS'!$I$6:$I$2005,'CADASTRO DE CLIENTES'!$B$56,'LANÇAMENTOS'!$AA$6:$AA$2005,'CONFIGURAÇÕES'!$B$18))</f>
        <v/>
      </c>
      <c r="I100" s="23">
        <f>IFERROR($H100/SUM($H$50:$H$109),"")</f>
        <v/>
      </c>
    </row>
    <row r="101">
      <c r="A101" s="9">
        <f>'CADASTRO DE CLIENTES'!$B$57</f>
        <v/>
      </c>
      <c r="B101" s="18">
        <f>IF('CADASTRO DE CLIENTES'!$B$57="","",SUMIFS('LANÇAMENTOS'!$W$6:$W$2005,'LANÇAMENTOS'!$I$6:$I$2005,'CADASTRO DE CLIENTES'!$B$57,'LANÇAMENTOS'!$E$6:$E$2005,"Entrada",'LANÇAMENTOS'!$W$6:$W$2005,"&gt;0"))</f>
        <v/>
      </c>
      <c r="C101" s="18">
        <f>IF('CADASTRO DE CLIENTES'!$B$57="","",SUMIFS('LANÇAMENTOS'!$W$6:$W$2005,'LANÇAMENTOS'!$I$6:$I$2005,'CADASTRO DE CLIENTES'!$B$57,'LANÇAMENTOS'!$E$6:$E$2005,"Entrada",'LANÇAMENTOS'!$W$6:$W$2005,"&gt;0",'LANÇAMENTOS'!$C$6:$C$2005,"&lt;"&amp;TODAY()))</f>
        <v/>
      </c>
      <c r="D101" s="18">
        <f>IF('CADASTRO DE CLIENTES'!$B$57="","",$B101-$C101)</f>
        <v/>
      </c>
      <c r="E101" s="18">
        <f>IF('CADASTRO DE CLIENTES'!$B$57="","",SUMIFS('LANÇAMENTOS'!$V$6:$V$2005,'LANÇAMENTOS'!$I$6:$I$2005,'CADASTRO DE CLIENTES'!$B$57,'LANÇAMENTOS'!$E$6:$E$2005,"Entrada",'LANÇAMENTOS'!$D$6:$D$2005,"&gt;="&amp;DATE('CONFIGURAÇÕES'!$B$18,1,1),'LANÇAMENTOS'!$D$6:$D$2005,"&lt;="&amp;DATE('CONFIGURAÇÕES'!$B$18,12,31)))</f>
        <v/>
      </c>
      <c r="F101" s="23">
        <f>IFERROR($B101/SUM($B$50:$B$109),"")</f>
        <v/>
      </c>
      <c r="G101" s="24">
        <f>IF('CADASTRO DE CLIENTES'!$B$57="","",COUNTIFS('LANÇAMENTOS'!$I$6:$I$2005,'CADASTRO DE CLIENTES'!$B$57,'LANÇAMENTOS'!$E$6:$E$2005,"Entrada",'LANÇAMENTOS'!$W$6:$W$2005,"&gt;0"))</f>
        <v/>
      </c>
      <c r="H101" s="18">
        <f>IF('CADASTRO DE CLIENTES'!$B$57="","",SUMIFS('LANÇAMENTOS'!$AE$6:$AE$2005,'LANÇAMENTOS'!$I$6:$I$2005,'CADASTRO DE CLIENTES'!$B$57,'LANÇAMENTOS'!$AA$6:$AA$2005,'CONFIGURAÇÕES'!$B$18))</f>
        <v/>
      </c>
      <c r="I101" s="23">
        <f>IFERROR($H101/SUM($H$50:$H$109),"")</f>
        <v/>
      </c>
    </row>
    <row r="102">
      <c r="A102" s="9">
        <f>'CADASTRO DE CLIENTES'!$B$58</f>
        <v/>
      </c>
      <c r="B102" s="18">
        <f>IF('CADASTRO DE CLIENTES'!$B$58="","",SUMIFS('LANÇAMENTOS'!$W$6:$W$2005,'LANÇAMENTOS'!$I$6:$I$2005,'CADASTRO DE CLIENTES'!$B$58,'LANÇAMENTOS'!$E$6:$E$2005,"Entrada",'LANÇAMENTOS'!$W$6:$W$2005,"&gt;0"))</f>
        <v/>
      </c>
      <c r="C102" s="18">
        <f>IF('CADASTRO DE CLIENTES'!$B$58="","",SUMIFS('LANÇAMENTOS'!$W$6:$W$2005,'LANÇAMENTOS'!$I$6:$I$2005,'CADASTRO DE CLIENTES'!$B$58,'LANÇAMENTOS'!$E$6:$E$2005,"Entrada",'LANÇAMENTOS'!$W$6:$W$2005,"&gt;0",'LANÇAMENTOS'!$C$6:$C$2005,"&lt;"&amp;TODAY()))</f>
        <v/>
      </c>
      <c r="D102" s="18">
        <f>IF('CADASTRO DE CLIENTES'!$B$58="","",$B102-$C102)</f>
        <v/>
      </c>
      <c r="E102" s="18">
        <f>IF('CADASTRO DE CLIENTES'!$B$58="","",SUMIFS('LANÇAMENTOS'!$V$6:$V$2005,'LANÇAMENTOS'!$I$6:$I$2005,'CADASTRO DE CLIENTES'!$B$58,'LANÇAMENTOS'!$E$6:$E$2005,"Entrada",'LANÇAMENTOS'!$D$6:$D$2005,"&gt;="&amp;DATE('CONFIGURAÇÕES'!$B$18,1,1),'LANÇAMENTOS'!$D$6:$D$2005,"&lt;="&amp;DATE('CONFIGURAÇÕES'!$B$18,12,31)))</f>
        <v/>
      </c>
      <c r="F102" s="23">
        <f>IFERROR($B102/SUM($B$50:$B$109),"")</f>
        <v/>
      </c>
      <c r="G102" s="24">
        <f>IF('CADASTRO DE CLIENTES'!$B$58="","",COUNTIFS('LANÇAMENTOS'!$I$6:$I$2005,'CADASTRO DE CLIENTES'!$B$58,'LANÇAMENTOS'!$E$6:$E$2005,"Entrada",'LANÇAMENTOS'!$W$6:$W$2005,"&gt;0"))</f>
        <v/>
      </c>
      <c r="H102" s="18">
        <f>IF('CADASTRO DE CLIENTES'!$B$58="","",SUMIFS('LANÇAMENTOS'!$AE$6:$AE$2005,'LANÇAMENTOS'!$I$6:$I$2005,'CADASTRO DE CLIENTES'!$B$58,'LANÇAMENTOS'!$AA$6:$AA$2005,'CONFIGURAÇÕES'!$B$18))</f>
        <v/>
      </c>
      <c r="I102" s="23">
        <f>IFERROR($H102/SUM($H$50:$H$109),"")</f>
        <v/>
      </c>
    </row>
    <row r="103">
      <c r="A103" s="9">
        <f>'CADASTRO DE CLIENTES'!$B$59</f>
        <v/>
      </c>
      <c r="B103" s="18">
        <f>IF('CADASTRO DE CLIENTES'!$B$59="","",SUMIFS('LANÇAMENTOS'!$W$6:$W$2005,'LANÇAMENTOS'!$I$6:$I$2005,'CADASTRO DE CLIENTES'!$B$59,'LANÇAMENTOS'!$E$6:$E$2005,"Entrada",'LANÇAMENTOS'!$W$6:$W$2005,"&gt;0"))</f>
        <v/>
      </c>
      <c r="C103" s="18">
        <f>IF('CADASTRO DE CLIENTES'!$B$59="","",SUMIFS('LANÇAMENTOS'!$W$6:$W$2005,'LANÇAMENTOS'!$I$6:$I$2005,'CADASTRO DE CLIENTES'!$B$59,'LANÇAMENTOS'!$E$6:$E$2005,"Entrada",'LANÇAMENTOS'!$W$6:$W$2005,"&gt;0",'LANÇAMENTOS'!$C$6:$C$2005,"&lt;"&amp;TODAY()))</f>
        <v/>
      </c>
      <c r="D103" s="18">
        <f>IF('CADASTRO DE CLIENTES'!$B$59="","",$B103-$C103)</f>
        <v/>
      </c>
      <c r="E103" s="18">
        <f>IF('CADASTRO DE CLIENTES'!$B$59="","",SUMIFS('LANÇAMENTOS'!$V$6:$V$2005,'LANÇAMENTOS'!$I$6:$I$2005,'CADASTRO DE CLIENTES'!$B$59,'LANÇAMENTOS'!$E$6:$E$2005,"Entrada",'LANÇAMENTOS'!$D$6:$D$2005,"&gt;="&amp;DATE('CONFIGURAÇÕES'!$B$18,1,1),'LANÇAMENTOS'!$D$6:$D$2005,"&lt;="&amp;DATE('CONFIGURAÇÕES'!$B$18,12,31)))</f>
        <v/>
      </c>
      <c r="F103" s="23">
        <f>IFERROR($B103/SUM($B$50:$B$109),"")</f>
        <v/>
      </c>
      <c r="G103" s="24">
        <f>IF('CADASTRO DE CLIENTES'!$B$59="","",COUNTIFS('LANÇAMENTOS'!$I$6:$I$2005,'CADASTRO DE CLIENTES'!$B$59,'LANÇAMENTOS'!$E$6:$E$2005,"Entrada",'LANÇAMENTOS'!$W$6:$W$2005,"&gt;0"))</f>
        <v/>
      </c>
      <c r="H103" s="18">
        <f>IF('CADASTRO DE CLIENTES'!$B$59="","",SUMIFS('LANÇAMENTOS'!$AE$6:$AE$2005,'LANÇAMENTOS'!$I$6:$I$2005,'CADASTRO DE CLIENTES'!$B$59,'LANÇAMENTOS'!$AA$6:$AA$2005,'CONFIGURAÇÕES'!$B$18))</f>
        <v/>
      </c>
      <c r="I103" s="23">
        <f>IFERROR($H103/SUM($H$50:$H$109),"")</f>
        <v/>
      </c>
    </row>
    <row r="104">
      <c r="A104" s="9">
        <f>'CADASTRO DE CLIENTES'!$B$60</f>
        <v/>
      </c>
      <c r="B104" s="18">
        <f>IF('CADASTRO DE CLIENTES'!$B$60="","",SUMIFS('LANÇAMENTOS'!$W$6:$W$2005,'LANÇAMENTOS'!$I$6:$I$2005,'CADASTRO DE CLIENTES'!$B$60,'LANÇAMENTOS'!$E$6:$E$2005,"Entrada",'LANÇAMENTOS'!$W$6:$W$2005,"&gt;0"))</f>
        <v/>
      </c>
      <c r="C104" s="18">
        <f>IF('CADASTRO DE CLIENTES'!$B$60="","",SUMIFS('LANÇAMENTOS'!$W$6:$W$2005,'LANÇAMENTOS'!$I$6:$I$2005,'CADASTRO DE CLIENTES'!$B$60,'LANÇAMENTOS'!$E$6:$E$2005,"Entrada",'LANÇAMENTOS'!$W$6:$W$2005,"&gt;0",'LANÇAMENTOS'!$C$6:$C$2005,"&lt;"&amp;TODAY()))</f>
        <v/>
      </c>
      <c r="D104" s="18">
        <f>IF('CADASTRO DE CLIENTES'!$B$60="","",$B104-$C104)</f>
        <v/>
      </c>
      <c r="E104" s="18">
        <f>IF('CADASTRO DE CLIENTES'!$B$60="","",SUMIFS('LANÇAMENTOS'!$V$6:$V$2005,'LANÇAMENTOS'!$I$6:$I$2005,'CADASTRO DE CLIENTES'!$B$60,'LANÇAMENTOS'!$E$6:$E$2005,"Entrada",'LANÇAMENTOS'!$D$6:$D$2005,"&gt;="&amp;DATE('CONFIGURAÇÕES'!$B$18,1,1),'LANÇAMENTOS'!$D$6:$D$2005,"&lt;="&amp;DATE('CONFIGURAÇÕES'!$B$18,12,31)))</f>
        <v/>
      </c>
      <c r="F104" s="23">
        <f>IFERROR($B104/SUM($B$50:$B$109),"")</f>
        <v/>
      </c>
      <c r="G104" s="24">
        <f>IF('CADASTRO DE CLIENTES'!$B$60="","",COUNTIFS('LANÇAMENTOS'!$I$6:$I$2005,'CADASTRO DE CLIENTES'!$B$60,'LANÇAMENTOS'!$E$6:$E$2005,"Entrada",'LANÇAMENTOS'!$W$6:$W$2005,"&gt;0"))</f>
        <v/>
      </c>
      <c r="H104" s="18">
        <f>IF('CADASTRO DE CLIENTES'!$B$60="","",SUMIFS('LANÇAMENTOS'!$AE$6:$AE$2005,'LANÇAMENTOS'!$I$6:$I$2005,'CADASTRO DE CLIENTES'!$B$60,'LANÇAMENTOS'!$AA$6:$AA$2005,'CONFIGURAÇÕES'!$B$18))</f>
        <v/>
      </c>
      <c r="I104" s="23">
        <f>IFERROR($H104/SUM($H$50:$H$109),"")</f>
        <v/>
      </c>
    </row>
    <row r="105">
      <c r="A105" s="9">
        <f>'CADASTRO DE CLIENTES'!$B$61</f>
        <v/>
      </c>
      <c r="B105" s="18">
        <f>IF('CADASTRO DE CLIENTES'!$B$61="","",SUMIFS('LANÇAMENTOS'!$W$6:$W$2005,'LANÇAMENTOS'!$I$6:$I$2005,'CADASTRO DE CLIENTES'!$B$61,'LANÇAMENTOS'!$E$6:$E$2005,"Entrada",'LANÇAMENTOS'!$W$6:$W$2005,"&gt;0"))</f>
        <v/>
      </c>
      <c r="C105" s="18">
        <f>IF('CADASTRO DE CLIENTES'!$B$61="","",SUMIFS('LANÇAMENTOS'!$W$6:$W$2005,'LANÇAMENTOS'!$I$6:$I$2005,'CADASTRO DE CLIENTES'!$B$61,'LANÇAMENTOS'!$E$6:$E$2005,"Entrada",'LANÇAMENTOS'!$W$6:$W$2005,"&gt;0",'LANÇAMENTOS'!$C$6:$C$2005,"&lt;"&amp;TODAY()))</f>
        <v/>
      </c>
      <c r="D105" s="18">
        <f>IF('CADASTRO DE CLIENTES'!$B$61="","",$B105-$C105)</f>
        <v/>
      </c>
      <c r="E105" s="18">
        <f>IF('CADASTRO DE CLIENTES'!$B$61="","",SUMIFS('LANÇAMENTOS'!$V$6:$V$2005,'LANÇAMENTOS'!$I$6:$I$2005,'CADASTRO DE CLIENTES'!$B$61,'LANÇAMENTOS'!$E$6:$E$2005,"Entrada",'LANÇAMENTOS'!$D$6:$D$2005,"&gt;="&amp;DATE('CONFIGURAÇÕES'!$B$18,1,1),'LANÇAMENTOS'!$D$6:$D$2005,"&lt;="&amp;DATE('CONFIGURAÇÕES'!$B$18,12,31)))</f>
        <v/>
      </c>
      <c r="F105" s="23">
        <f>IFERROR($B105/SUM($B$50:$B$109),"")</f>
        <v/>
      </c>
      <c r="G105" s="24">
        <f>IF('CADASTRO DE CLIENTES'!$B$61="","",COUNTIFS('LANÇAMENTOS'!$I$6:$I$2005,'CADASTRO DE CLIENTES'!$B$61,'LANÇAMENTOS'!$E$6:$E$2005,"Entrada",'LANÇAMENTOS'!$W$6:$W$2005,"&gt;0"))</f>
        <v/>
      </c>
      <c r="H105" s="18">
        <f>IF('CADASTRO DE CLIENTES'!$B$61="","",SUMIFS('LANÇAMENTOS'!$AE$6:$AE$2005,'LANÇAMENTOS'!$I$6:$I$2005,'CADASTRO DE CLIENTES'!$B$61,'LANÇAMENTOS'!$AA$6:$AA$2005,'CONFIGURAÇÕES'!$B$18))</f>
        <v/>
      </c>
      <c r="I105" s="23">
        <f>IFERROR($H105/SUM($H$50:$H$109),"")</f>
        <v/>
      </c>
    </row>
    <row r="106">
      <c r="A106" s="9">
        <f>'CADASTRO DE CLIENTES'!$B$62</f>
        <v/>
      </c>
      <c r="B106" s="18">
        <f>IF('CADASTRO DE CLIENTES'!$B$62="","",SUMIFS('LANÇAMENTOS'!$W$6:$W$2005,'LANÇAMENTOS'!$I$6:$I$2005,'CADASTRO DE CLIENTES'!$B$62,'LANÇAMENTOS'!$E$6:$E$2005,"Entrada",'LANÇAMENTOS'!$W$6:$W$2005,"&gt;0"))</f>
        <v/>
      </c>
      <c r="C106" s="18">
        <f>IF('CADASTRO DE CLIENTES'!$B$62="","",SUMIFS('LANÇAMENTOS'!$W$6:$W$2005,'LANÇAMENTOS'!$I$6:$I$2005,'CADASTRO DE CLIENTES'!$B$62,'LANÇAMENTOS'!$E$6:$E$2005,"Entrada",'LANÇAMENTOS'!$W$6:$W$2005,"&gt;0",'LANÇAMENTOS'!$C$6:$C$2005,"&lt;"&amp;TODAY()))</f>
        <v/>
      </c>
      <c r="D106" s="18">
        <f>IF('CADASTRO DE CLIENTES'!$B$62="","",$B106-$C106)</f>
        <v/>
      </c>
      <c r="E106" s="18">
        <f>IF('CADASTRO DE CLIENTES'!$B$62="","",SUMIFS('LANÇAMENTOS'!$V$6:$V$2005,'LANÇAMENTOS'!$I$6:$I$2005,'CADASTRO DE CLIENTES'!$B$62,'LANÇAMENTOS'!$E$6:$E$2005,"Entrada",'LANÇAMENTOS'!$D$6:$D$2005,"&gt;="&amp;DATE('CONFIGURAÇÕES'!$B$18,1,1),'LANÇAMENTOS'!$D$6:$D$2005,"&lt;="&amp;DATE('CONFIGURAÇÕES'!$B$18,12,31)))</f>
        <v/>
      </c>
      <c r="F106" s="23">
        <f>IFERROR($B106/SUM($B$50:$B$109),"")</f>
        <v/>
      </c>
      <c r="G106" s="24">
        <f>IF('CADASTRO DE CLIENTES'!$B$62="","",COUNTIFS('LANÇAMENTOS'!$I$6:$I$2005,'CADASTRO DE CLIENTES'!$B$62,'LANÇAMENTOS'!$E$6:$E$2005,"Entrada",'LANÇAMENTOS'!$W$6:$W$2005,"&gt;0"))</f>
        <v/>
      </c>
      <c r="H106" s="18">
        <f>IF('CADASTRO DE CLIENTES'!$B$62="","",SUMIFS('LANÇAMENTOS'!$AE$6:$AE$2005,'LANÇAMENTOS'!$I$6:$I$2005,'CADASTRO DE CLIENTES'!$B$62,'LANÇAMENTOS'!$AA$6:$AA$2005,'CONFIGURAÇÕES'!$B$18))</f>
        <v/>
      </c>
      <c r="I106" s="23">
        <f>IFERROR($H106/SUM($H$50:$H$109),"")</f>
        <v/>
      </c>
    </row>
    <row r="107">
      <c r="A107" s="9">
        <f>'CADASTRO DE CLIENTES'!$B$63</f>
        <v/>
      </c>
      <c r="B107" s="18">
        <f>IF('CADASTRO DE CLIENTES'!$B$63="","",SUMIFS('LANÇAMENTOS'!$W$6:$W$2005,'LANÇAMENTOS'!$I$6:$I$2005,'CADASTRO DE CLIENTES'!$B$63,'LANÇAMENTOS'!$E$6:$E$2005,"Entrada",'LANÇAMENTOS'!$W$6:$W$2005,"&gt;0"))</f>
        <v/>
      </c>
      <c r="C107" s="18">
        <f>IF('CADASTRO DE CLIENTES'!$B$63="","",SUMIFS('LANÇAMENTOS'!$W$6:$W$2005,'LANÇAMENTOS'!$I$6:$I$2005,'CADASTRO DE CLIENTES'!$B$63,'LANÇAMENTOS'!$E$6:$E$2005,"Entrada",'LANÇAMENTOS'!$W$6:$W$2005,"&gt;0",'LANÇAMENTOS'!$C$6:$C$2005,"&lt;"&amp;TODAY()))</f>
        <v/>
      </c>
      <c r="D107" s="18">
        <f>IF('CADASTRO DE CLIENTES'!$B$63="","",$B107-$C107)</f>
        <v/>
      </c>
      <c r="E107" s="18">
        <f>IF('CADASTRO DE CLIENTES'!$B$63="","",SUMIFS('LANÇAMENTOS'!$V$6:$V$2005,'LANÇAMENTOS'!$I$6:$I$2005,'CADASTRO DE CLIENTES'!$B$63,'LANÇAMENTOS'!$E$6:$E$2005,"Entrada",'LANÇAMENTOS'!$D$6:$D$2005,"&gt;="&amp;DATE('CONFIGURAÇÕES'!$B$18,1,1),'LANÇAMENTOS'!$D$6:$D$2005,"&lt;="&amp;DATE('CONFIGURAÇÕES'!$B$18,12,31)))</f>
        <v/>
      </c>
      <c r="F107" s="23">
        <f>IFERROR($B107/SUM($B$50:$B$109),"")</f>
        <v/>
      </c>
      <c r="G107" s="24">
        <f>IF('CADASTRO DE CLIENTES'!$B$63="","",COUNTIFS('LANÇAMENTOS'!$I$6:$I$2005,'CADASTRO DE CLIENTES'!$B$63,'LANÇAMENTOS'!$E$6:$E$2005,"Entrada",'LANÇAMENTOS'!$W$6:$W$2005,"&gt;0"))</f>
        <v/>
      </c>
      <c r="H107" s="18">
        <f>IF('CADASTRO DE CLIENTES'!$B$63="","",SUMIFS('LANÇAMENTOS'!$AE$6:$AE$2005,'LANÇAMENTOS'!$I$6:$I$2005,'CADASTRO DE CLIENTES'!$B$63,'LANÇAMENTOS'!$AA$6:$AA$2005,'CONFIGURAÇÕES'!$B$18))</f>
        <v/>
      </c>
      <c r="I107" s="23">
        <f>IFERROR($H107/SUM($H$50:$H$109),"")</f>
        <v/>
      </c>
    </row>
    <row r="108">
      <c r="A108" s="9">
        <f>'CADASTRO DE CLIENTES'!$B$64</f>
        <v/>
      </c>
      <c r="B108" s="18">
        <f>IF('CADASTRO DE CLIENTES'!$B$64="","",SUMIFS('LANÇAMENTOS'!$W$6:$W$2005,'LANÇAMENTOS'!$I$6:$I$2005,'CADASTRO DE CLIENTES'!$B$64,'LANÇAMENTOS'!$E$6:$E$2005,"Entrada",'LANÇAMENTOS'!$W$6:$W$2005,"&gt;0"))</f>
        <v/>
      </c>
      <c r="C108" s="18">
        <f>IF('CADASTRO DE CLIENTES'!$B$64="","",SUMIFS('LANÇAMENTOS'!$W$6:$W$2005,'LANÇAMENTOS'!$I$6:$I$2005,'CADASTRO DE CLIENTES'!$B$64,'LANÇAMENTOS'!$E$6:$E$2005,"Entrada",'LANÇAMENTOS'!$W$6:$W$2005,"&gt;0",'LANÇAMENTOS'!$C$6:$C$2005,"&lt;"&amp;TODAY()))</f>
        <v/>
      </c>
      <c r="D108" s="18">
        <f>IF('CADASTRO DE CLIENTES'!$B$64="","",$B108-$C108)</f>
        <v/>
      </c>
      <c r="E108" s="18">
        <f>IF('CADASTRO DE CLIENTES'!$B$64="","",SUMIFS('LANÇAMENTOS'!$V$6:$V$2005,'LANÇAMENTOS'!$I$6:$I$2005,'CADASTRO DE CLIENTES'!$B$64,'LANÇAMENTOS'!$E$6:$E$2005,"Entrada",'LANÇAMENTOS'!$D$6:$D$2005,"&gt;="&amp;DATE('CONFIGURAÇÕES'!$B$18,1,1),'LANÇAMENTOS'!$D$6:$D$2005,"&lt;="&amp;DATE('CONFIGURAÇÕES'!$B$18,12,31)))</f>
        <v/>
      </c>
      <c r="F108" s="23">
        <f>IFERROR($B108/SUM($B$50:$B$109),"")</f>
        <v/>
      </c>
      <c r="G108" s="24">
        <f>IF('CADASTRO DE CLIENTES'!$B$64="","",COUNTIFS('LANÇAMENTOS'!$I$6:$I$2005,'CADASTRO DE CLIENTES'!$B$64,'LANÇAMENTOS'!$E$6:$E$2005,"Entrada",'LANÇAMENTOS'!$W$6:$W$2005,"&gt;0"))</f>
        <v/>
      </c>
      <c r="H108" s="18">
        <f>IF('CADASTRO DE CLIENTES'!$B$64="","",SUMIFS('LANÇAMENTOS'!$AE$6:$AE$2005,'LANÇAMENTOS'!$I$6:$I$2005,'CADASTRO DE CLIENTES'!$B$64,'LANÇAMENTOS'!$AA$6:$AA$2005,'CONFIGURAÇÕES'!$B$18))</f>
        <v/>
      </c>
      <c r="I108" s="23">
        <f>IFERROR($H108/SUM($H$50:$H$109),"")</f>
        <v/>
      </c>
    </row>
    <row r="109">
      <c r="A109" s="9">
        <f>'CADASTRO DE CLIENTES'!$B$65</f>
        <v/>
      </c>
      <c r="B109" s="18">
        <f>IF('CADASTRO DE CLIENTES'!$B$65="","",SUMIFS('LANÇAMENTOS'!$W$6:$W$2005,'LANÇAMENTOS'!$I$6:$I$2005,'CADASTRO DE CLIENTES'!$B$65,'LANÇAMENTOS'!$E$6:$E$2005,"Entrada",'LANÇAMENTOS'!$W$6:$W$2005,"&gt;0"))</f>
        <v/>
      </c>
      <c r="C109" s="18">
        <f>IF('CADASTRO DE CLIENTES'!$B$65="","",SUMIFS('LANÇAMENTOS'!$W$6:$W$2005,'LANÇAMENTOS'!$I$6:$I$2005,'CADASTRO DE CLIENTES'!$B$65,'LANÇAMENTOS'!$E$6:$E$2005,"Entrada",'LANÇAMENTOS'!$W$6:$W$2005,"&gt;0",'LANÇAMENTOS'!$C$6:$C$2005,"&lt;"&amp;TODAY()))</f>
        <v/>
      </c>
      <c r="D109" s="18">
        <f>IF('CADASTRO DE CLIENTES'!$B$65="","",$B109-$C109)</f>
        <v/>
      </c>
      <c r="E109" s="18">
        <f>IF('CADASTRO DE CLIENTES'!$B$65="","",SUMIFS('LANÇAMENTOS'!$V$6:$V$2005,'LANÇAMENTOS'!$I$6:$I$2005,'CADASTRO DE CLIENTES'!$B$65,'LANÇAMENTOS'!$E$6:$E$2005,"Entrada",'LANÇAMENTOS'!$D$6:$D$2005,"&gt;="&amp;DATE('CONFIGURAÇÕES'!$B$18,1,1),'LANÇAMENTOS'!$D$6:$D$2005,"&lt;="&amp;DATE('CONFIGURAÇÕES'!$B$18,12,31)))</f>
        <v/>
      </c>
      <c r="F109" s="23">
        <f>IFERROR($B109/SUM($B$50:$B$109),"")</f>
        <v/>
      </c>
      <c r="G109" s="24">
        <f>IF('CADASTRO DE CLIENTES'!$B$65="","",COUNTIFS('LANÇAMENTOS'!$I$6:$I$2005,'CADASTRO DE CLIENTES'!$B$65,'LANÇAMENTOS'!$E$6:$E$2005,"Entrada",'LANÇAMENTOS'!$W$6:$W$2005,"&gt;0"))</f>
        <v/>
      </c>
      <c r="H109" s="18">
        <f>IF('CADASTRO DE CLIENTES'!$B$65="","",SUMIFS('LANÇAMENTOS'!$AE$6:$AE$2005,'LANÇAMENTOS'!$I$6:$I$2005,'CADASTRO DE CLIENTES'!$B$65,'LANÇAMENTOS'!$AA$6:$AA$2005,'CONFIGURAÇÕES'!$B$18))</f>
        <v/>
      </c>
      <c r="I109" s="23">
        <f>IFERROR($H109/SUM($H$50:$H$109),"")</f>
        <v/>
      </c>
    </row>
    <row r="110">
      <c r="A110" s="37" t="inlineStr">
        <is>
          <t>TOTAL</t>
        </is>
      </c>
      <c r="B110" s="38">
        <f>SUM(B50:B109)</f>
        <v/>
      </c>
      <c r="C110" s="38">
        <f>SUM(C50:C109)</f>
        <v/>
      </c>
      <c r="D110" s="38">
        <f>SUM(D50:D109)</f>
        <v/>
      </c>
      <c r="E110" s="38">
        <f>SUM(E50:E109)</f>
        <v/>
      </c>
      <c r="G110" s="38">
        <f>SUM(G50:G109)</f>
        <v/>
      </c>
      <c r="H110" s="38">
        <f>SUM($H$50:$H$109)</f>
        <v/>
      </c>
    </row>
    <row r="112" ht="20" customHeight="1">
      <c r="A112" s="4" t="inlineStr">
        <is>
          <t>5. PRAZOS, TICKET E CONCENTRAÇÃO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 ht="22" customHeight="1">
      <c r="A113" s="34" t="inlineStr">
        <is>
          <t>Indicador</t>
        </is>
      </c>
      <c r="B113" s="34" t="inlineStr">
        <is>
          <t>Valor</t>
        </is>
      </c>
      <c r="C113" s="34" t="inlineStr">
        <is>
          <t>Meta / referência</t>
        </is>
      </c>
      <c r="D113" s="34" t="inlineStr">
        <is>
          <t>Leitura</t>
        </is>
      </c>
    </row>
    <row r="114">
      <c r="A114" s="9" t="inlineStr">
        <is>
          <t>Prazo médio de recebimento real (dias)</t>
        </is>
      </c>
      <c r="B114" s="24">
        <f>IFERROR(SUMIFS('LANÇAMENTOS'!$AL$6:$AL$2005,'LANÇAMENTOS'!$E$6:$E$2005,"Entrada")/SUMIFS('LANÇAMENTOS'!$V$6:$V$2005,'LANÇAMENTOS'!$E$6:$E$2005,"Entrada"),"")</f>
        <v/>
      </c>
      <c r="C114" s="24">
        <f>'CONFIGURAÇÕES'!$B$27</f>
        <v/>
      </c>
      <c r="D114" s="25" t="inlineStr">
        <is>
          <t>Média ponderada dos dias entre a competência e o recebimento efetivo.</t>
        </is>
      </c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</row>
    <row r="115">
      <c r="A115" s="9" t="inlineStr">
        <is>
          <t>Ticket médio por título a receber</t>
        </is>
      </c>
      <c r="B115" s="18">
        <f>IFERROR(SUMIFS('LANÇAMENTOS'!$W$6:$W$2005,'LANÇAMENTOS'!$E$6:$E$2005,"Entrada",'LANÇAMENTOS'!$W$6:$W$2005,"&gt;0")/COUNTIFS('LANÇAMENTOS'!$E$6:$E$2005,"Entrada",'LANÇAMENTOS'!$W$6:$W$2005,"&gt;0"),"")</f>
        <v/>
      </c>
      <c r="C115" s="23" t="inlineStr">
        <is>
          <t>—</t>
        </is>
      </c>
      <c r="D115" s="25" t="inlineStr">
        <is>
          <t>Valor médio dos títulos em aberto na carteira.</t>
        </is>
      </c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</row>
    <row r="116">
      <c r="A116" s="9" t="inlineStr">
        <is>
          <t>Quantidade de títulos em aberto</t>
        </is>
      </c>
      <c r="B116" s="24">
        <f>COUNTIFS('LANÇAMENTOS'!$E$6:$E$2005,"Entrada",'LANÇAMENTOS'!$W$6:$W$2005,"&gt;0")</f>
        <v/>
      </c>
      <c r="C116" s="24" t="inlineStr">
        <is>
          <t>—</t>
        </is>
      </c>
      <c r="D116" s="25" t="inlineStr">
        <is>
          <t>Número de parcelas/títulos ainda a receber.</t>
        </is>
      </c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</row>
    <row r="117">
      <c r="A117" s="9" t="inlineStr">
        <is>
          <t>Maior cliente (participação no faturamento do ano)</t>
        </is>
      </c>
      <c r="B117" s="23">
        <f>IFERROR(MAX($H$50:$H$109)/SUM($H$50:$H$109),"")</f>
        <v/>
      </c>
      <c r="C117" s="23">
        <f>0.3</f>
        <v/>
      </c>
      <c r="D117" s="25" t="inlineStr">
        <is>
          <t>Concentração: acima de 30% exige atenção comercial.</t>
        </is>
      </c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</row>
    <row r="118">
      <c r="A118" s="9" t="inlineStr">
        <is>
          <t>Índice de inadimplência da carteira</t>
        </is>
      </c>
      <c r="B118" s="23">
        <f>IFERROR(SUMIFS('LANÇAMENTOS'!$W$6:$W$2005,'LANÇAMENTOS'!$E$6:$E$2005,"Entrada",'LANÇAMENTOS'!$W$6:$W$2005,"&gt;0",'LANÇAMENTOS'!$C$6:$C$2005,"&lt;"&amp;TODAY())/SUMIFS('LANÇAMENTOS'!$W$6:$W$2005,'LANÇAMENTOS'!$E$6:$E$2005,"Entrada",'LANÇAMENTOS'!$W$6:$W$2005,"&gt;0"),"")</f>
        <v/>
      </c>
      <c r="C118" s="23">
        <f>'CONFIGURAÇÕES'!$B$26</f>
        <v/>
      </c>
      <c r="D118" s="25" t="inlineStr">
        <is>
          <t>Percentual da carteira em aberto que está vencida.</t>
        </is>
      </c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37">
    <mergeCell ref="A5:J5"/>
    <mergeCell ref="A48:H48"/>
    <mergeCell ref="C6:D6"/>
    <mergeCell ref="A11:B11"/>
    <mergeCell ref="G11:H11"/>
    <mergeCell ref="D116:O116"/>
    <mergeCell ref="G8:H8"/>
    <mergeCell ref="E8:F8"/>
    <mergeCell ref="A6:B6"/>
    <mergeCell ref="A3:O3"/>
    <mergeCell ref="C10:D10"/>
    <mergeCell ref="A7:B7"/>
    <mergeCell ref="G7:H7"/>
    <mergeCell ref="E10:F10"/>
    <mergeCell ref="G10:H10"/>
    <mergeCell ref="G6:H6"/>
    <mergeCell ref="C9:D9"/>
    <mergeCell ref="E9:F9"/>
    <mergeCell ref="D118:O118"/>
    <mergeCell ref="D114:O114"/>
    <mergeCell ref="D117:O117"/>
    <mergeCell ref="A1:J1"/>
    <mergeCell ref="E6:F6"/>
    <mergeCell ref="C11:D11"/>
    <mergeCell ref="E11:F11"/>
    <mergeCell ref="A8:B8"/>
    <mergeCell ref="D115:O115"/>
    <mergeCell ref="C8:D8"/>
    <mergeCell ref="A24:I24"/>
    <mergeCell ref="C7:D7"/>
    <mergeCell ref="E7:F7"/>
    <mergeCell ref="A10:B10"/>
    <mergeCell ref="A112:H112"/>
    <mergeCell ref="A13:H13"/>
    <mergeCell ref="A2:J2"/>
    <mergeCell ref="A9:B9"/>
    <mergeCell ref="G9:H9"/>
  </mergeCells>
  <conditionalFormatting sqref="A15:A21">
    <cfRule type="expression" priority="1" dxfId="2" stopIfTrue="0">
      <formula>ISNUMBER(SEARCH("Vencido",A15))</formula>
    </cfRule>
    <cfRule type="expression" priority="2" dxfId="3" stopIfTrue="0">
      <formula>ISNUMBER(SEARCH("Vence",A15))</formula>
    </cfRule>
    <cfRule type="expression" priority="3" dxfId="4" stopIfTrue="0">
      <formula>ISNUMBER(SEARCH("Recebido",A15))</formula>
    </cfRule>
  </conditionalFormatting>
  <conditionalFormatting sqref="F26:F45">
    <cfRule type="expression" priority="4" dxfId="0">
      <formula>=$F26="Vencido"</formula>
    </cfRule>
  </conditionalFormatting>
  <conditionalFormatting sqref="B50:B109">
    <cfRule type="dataBar" priority="5">
      <dataBar showValue="1">
        <cfvo type="num" val="0"/>
        <cfvo type="max"/>
        <color rgb="002E75B6"/>
      </dataBar>
    </cfRule>
  </conditionalFormatting>
  <conditionalFormatting sqref="H50:H109">
    <cfRule type="dataBar" priority="6">
      <dataBar showValue="1">
        <cfvo type="num" val="0"/>
        <cfvo type="max"/>
        <color rgb="002E75B6"/>
      </dataBar>
    </cfRule>
  </conditionalFormatting>
  <conditionalFormatting sqref="B117">
    <cfRule type="expression" priority="7" dxfId="0">
      <formula>=B117&gt;'CONFIGURAÇÕES'!$B$26</formula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2E8B8B"/>
    <outlinePr summaryBelow="1" summaryRight="1"/>
    <pageSetUpPr fitToPage="1"/>
  </sheetPr>
  <dimension ref="A1:N74"/>
  <sheetViews>
    <sheetView showGridLines="0" tabSelected="0" zoomScale="10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4" customHeight="1">
      <c r="A1" s="26" t="inlineStr">
        <is>
          <t>FLUXO DE CAIXA — DIÁRIO, MENSAL E POR TIPO DE OPERAÇÃO</t>
        </is>
      </c>
    </row>
    <row r="2">
      <c r="A2" s="27" t="inlineStr">
        <is>
          <t>Quanto entrou, quanto saiu, qual o saldo do dia e o saldo acumulado, separando operacional, investimentos e financiamentos. Alimentado automaticamente pelos lançamentos liquidados.</t>
        </is>
      </c>
    </row>
    <row r="3" ht="20" customHeight="1">
      <c r="A3" s="3" t="inlineStr">
        <is>
          <t>⚠ Dados de exemplo. As entradas e saídas realizadas vêm da aba LANÇAMENTOS (data de pagamento/recebimento preenchida).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5" ht="20" customHeight="1">
      <c r="A5" s="4" t="inlineStr">
        <is>
          <t>1. POSIÇÃO DE CAIXA (contas correntes e caixa)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 ht="26" customHeight="1">
      <c r="A6" s="5" t="inlineStr">
        <is>
          <t>Saldo inicial das contas</t>
        </is>
      </c>
      <c r="B6" s="5" t="n"/>
      <c r="C6" s="5" t="inlineStr">
        <is>
          <t>Entradas realizadas no ano</t>
        </is>
      </c>
      <c r="D6" s="5" t="n"/>
      <c r="E6" s="5" t="inlineStr">
        <is>
          <t>Saídas realizadas no ano</t>
        </is>
      </c>
      <c r="F6" s="5" t="n"/>
      <c r="G6" s="5" t="inlineStr">
        <is>
          <t>Saldo disponível atual</t>
        </is>
      </c>
      <c r="H6" s="5" t="n"/>
    </row>
    <row r="7" ht="28" customHeight="1">
      <c r="A7" s="6">
        <f>SUM('CONTAS BANCÁRIAS'!$G$6:$G$13)</f>
        <v/>
      </c>
      <c r="B7" s="6" t="n"/>
      <c r="C7" s="6">
        <f>SUMIFS('LANÇAMENTOS'!$V$6:$V$2005,'LANÇAMENTOS'!$E$6:$E$2005,"Entrada",'LANÇAMENTOS'!$D$6:$D$2005,"&gt;="&amp;DATE('CONFIGURAÇÕES'!$B$18,1,1),'LANÇAMENTOS'!$D$6:$D$2005,"&lt;="&amp;DATE('CONFIGURAÇÕES'!$B$18,12,31))</f>
        <v/>
      </c>
      <c r="D7" s="6" t="n"/>
      <c r="E7" s="6">
        <f>SUMIFS('LANÇAMENTOS'!$V$6:$V$2005,'LANÇAMENTOS'!$E$6:$E$2005,"Saída",'LANÇAMENTOS'!$D$6:$D$2005,"&gt;="&amp;DATE('CONFIGURAÇÕES'!$B$18,1,1),'LANÇAMENTOS'!$D$6:$D$2005,"&lt;="&amp;DATE('CONFIGURAÇÕES'!$B$18,12,31))</f>
        <v/>
      </c>
      <c r="F7" s="6" t="n"/>
      <c r="G7" s="6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H7" s="6" t="n"/>
    </row>
    <row r="9" ht="26" customHeight="1">
      <c r="A9" s="5" t="inlineStr">
        <is>
          <t>Geração de caixa no ano</t>
        </is>
      </c>
      <c r="B9" s="5" t="n"/>
      <c r="C9" s="5" t="inlineStr">
        <is>
          <t>Saldo mínimo exigido (meta)</t>
        </is>
      </c>
      <c r="D9" s="5" t="n"/>
      <c r="E9" s="5" t="inlineStr">
        <is>
          <t>Folga/déficit vs saldo mínimo</t>
        </is>
      </c>
      <c r="F9" s="5" t="n"/>
      <c r="G9" s="5" t="inlineStr">
        <is>
          <t>Contas vencidas a pagar</t>
        </is>
      </c>
      <c r="H9" s="5" t="n"/>
    </row>
    <row r="10" ht="28" customHeight="1">
      <c r="A10" s="6">
        <f>$D$7-$F$7</f>
        <v/>
      </c>
      <c r="B10" s="6" t="n"/>
      <c r="C10" s="6">
        <f>'CONFIGURAÇÕES'!$B$25</f>
        <v/>
      </c>
      <c r="D10" s="6" t="n"/>
      <c r="E10" s="6">
        <f>$H$7-'CONFIGURAÇÕES'!$B$25</f>
        <v/>
      </c>
      <c r="F10" s="6" t="n"/>
      <c r="G10" s="6">
        <f>SUMIFS('LANÇAMENTOS'!$W$6:$W$2005,'LANÇAMENTOS'!$E$6:$E$2005,"Saída",'LANÇAMENTOS'!$C$6:$C$2005,"&lt;"&amp;TODAY())</f>
        <v/>
      </c>
      <c r="H10" s="6" t="n"/>
    </row>
    <row r="13" ht="20" customHeight="1">
      <c r="A13" s="4" t="inlineStr">
        <is>
          <t>2. FLUXO DE CAIXA DIÁRIO — mês selecionado abaixo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28" t="inlineStr">
        <is>
          <t>Ano do fluxo diário</t>
        </is>
      </c>
      <c r="B14" s="24">
        <f>'CONFIGURAÇÕES'!$B$18</f>
        <v/>
      </c>
      <c r="C14" s="28" t="inlineStr">
        <is>
          <t>Mês do fluxo diário (1 a 12)</t>
        </is>
      </c>
      <c r="D14" s="24">
        <f>'CONFIGURAÇÕES'!$B$19</f>
        <v/>
      </c>
      <c r="F14" s="28" t="inlineStr">
        <is>
          <t>Saldo inicial do mês selecionado</t>
        </is>
      </c>
      <c r="H14" s="38">
        <f>SUM('CONTAS BANCÁRIAS'!$G$6:$G$13)+SUMIFS('LANÇAMENTOS'!$V$6:$V$2005,'LANÇAMENTOS'!$E$6:$E$2005,"Entrada",'LANÇAMENTOS'!$D$6:$D$2005,"&lt;"&amp;DATE($B$14,$D$14,1))-SUMIFS('LANÇAMENTOS'!$V$6:$V$2005,'LANÇAMENTOS'!$E$6:$E$2005,"Saída",'LANÇAMENTOS'!$D$6:$D$2005,"&lt;"&amp;DATE($B$14,$D$14,1))</f>
        <v/>
      </c>
    </row>
    <row r="15">
      <c r="F15" s="28" t="inlineStr">
        <is>
          <t>Saldo ao final do mês (realizado + previsto)</t>
        </is>
      </c>
      <c r="H15" s="38">
        <f>$H$14+SUM($C$18:$C$48)-SUM($D$18:$D$48)+SUM($G$18:$G$48)-SUM($H$18:$H$48)</f>
        <v/>
      </c>
    </row>
    <row r="17" ht="34" customHeight="1">
      <c r="A17" s="34" t="inlineStr">
        <is>
          <t>Dia</t>
        </is>
      </c>
      <c r="B17" s="34" t="inlineStr">
        <is>
          <t>Data</t>
        </is>
      </c>
      <c r="C17" s="34" t="inlineStr">
        <is>
          <t>Entradas realizadas</t>
        </is>
      </c>
      <c r="D17" s="34" t="inlineStr">
        <is>
          <t>Saídas realizadas</t>
        </is>
      </c>
      <c r="E17" s="34" t="inlineStr">
        <is>
          <t>Resultado do dia</t>
        </is>
      </c>
      <c r="F17" s="34" t="inlineStr">
        <is>
          <t>Saldo acumulado (realizado)</t>
        </is>
      </c>
      <c r="G17" s="34" t="inlineStr">
        <is>
          <t>Entradas previstas</t>
        </is>
      </c>
      <c r="H17" s="34" t="inlineStr">
        <is>
          <t>Saídas previstas</t>
        </is>
      </c>
      <c r="I17" s="34" t="inlineStr">
        <is>
          <t>Saldo projetado</t>
        </is>
      </c>
    </row>
    <row r="18">
      <c r="A18" s="24">
        <f>IF(1&lt;=DAY(EOMONTH(DATE($B$14,$D$14,1),0)),1,"")</f>
        <v/>
      </c>
      <c r="B18" s="30">
        <f>IF($A18="","",DATE($B$14,$D$14,$A18))</f>
        <v/>
      </c>
      <c r="C18" s="18">
        <f>IF($B18="","",SUMIFS('LANÇAMENTOS'!$V$6:$V$2005,'LANÇAMENTOS'!$E$6:$E$2005,"Entrada",'LANÇAMENTOS'!$D$6:$D$2005,$B18))</f>
        <v/>
      </c>
      <c r="D18" s="18">
        <f>IF($B18="","",SUMIFS('LANÇAMENTOS'!$V$6:$V$2005,'LANÇAMENTOS'!$E$6:$E$2005,"Saída",'LANÇAMENTOS'!$D$6:$D$2005,$B18))</f>
        <v/>
      </c>
      <c r="E18" s="18">
        <f>IF($B18="","",$C18-$D18)</f>
        <v/>
      </c>
      <c r="F18" s="18">
        <f>IF($B18="","",$H$14+SUMIFS('LANÇAMENTOS'!$V$6:$V$2005,'LANÇAMENTOS'!$E$6:$E$2005,"Entrada",'LANÇAMENTOS'!$D$6:$D$2005,"&lt;="&amp;$B18)-SUMIFS('LANÇAMENTOS'!$V$6:$V$2005,'LANÇAMENTOS'!$E$6:$E$2005,"Saída",'LANÇAMENTOS'!$D$6:$D$2005,"&lt;="&amp;$B18))</f>
        <v/>
      </c>
      <c r="G18" s="18">
        <f>IF($B18="","",SUMIFS('LANÇAMENTOS'!$W$6:$W$2005,'LANÇAMENTOS'!$E$6:$E$2005,"Entrada",'LANÇAMENTOS'!$C$6:$C$2005,$B18,'LANÇAMENTOS'!$W$6:$W$2005,"&gt;0"))</f>
        <v/>
      </c>
      <c r="H18" s="18">
        <f>IF($B18="","",SUMIFS('LANÇAMENTOS'!$W$6:$W$2005,'LANÇAMENTOS'!$E$6:$E$2005,"Saída",'LANÇAMENTOS'!$C$6:$C$2005,$B18,'LANÇAMENTOS'!$W$6:$W$2005,"&gt;0"))</f>
        <v/>
      </c>
      <c r="I18" s="18">
        <f>IF($B18="","",$F18+$G18-$H18)</f>
        <v/>
      </c>
    </row>
    <row r="19">
      <c r="A19" s="24">
        <f>IF(2&lt;=DAY(EOMONTH(DATE($B$14,$D$14,1),0)),2,"")</f>
        <v/>
      </c>
      <c r="B19" s="30">
        <f>IF($A19="","",DATE($B$14,$D$14,$A19))</f>
        <v/>
      </c>
      <c r="C19" s="18">
        <f>IF($B19="","",SUMIFS('LANÇAMENTOS'!$V$6:$V$2005,'LANÇAMENTOS'!$E$6:$E$2005,"Entrada",'LANÇAMENTOS'!$D$6:$D$2005,$B19))</f>
        <v/>
      </c>
      <c r="D19" s="18">
        <f>IF($B19="","",SUMIFS('LANÇAMENTOS'!$V$6:$V$2005,'LANÇAMENTOS'!$E$6:$E$2005,"Saída",'LANÇAMENTOS'!$D$6:$D$2005,$B19))</f>
        <v/>
      </c>
      <c r="E19" s="18">
        <f>IF($B19="","",$C19-$D19)</f>
        <v/>
      </c>
      <c r="F19" s="18">
        <f>IF($B19="","",$H$14+SUMIFS('LANÇAMENTOS'!$V$6:$V$2005,'LANÇAMENTOS'!$E$6:$E$2005,"Entrada",'LANÇAMENTOS'!$D$6:$D$2005,"&lt;="&amp;$B19)-SUMIFS('LANÇAMENTOS'!$V$6:$V$2005,'LANÇAMENTOS'!$E$6:$E$2005,"Saída",'LANÇAMENTOS'!$D$6:$D$2005,"&lt;="&amp;$B19))</f>
        <v/>
      </c>
      <c r="G19" s="18">
        <f>IF($B19="","",SUMIFS('LANÇAMENTOS'!$W$6:$W$2005,'LANÇAMENTOS'!$E$6:$E$2005,"Entrada",'LANÇAMENTOS'!$C$6:$C$2005,$B19,'LANÇAMENTOS'!$W$6:$W$2005,"&gt;0"))</f>
        <v/>
      </c>
      <c r="H19" s="18">
        <f>IF($B19="","",SUMIFS('LANÇAMENTOS'!$W$6:$W$2005,'LANÇAMENTOS'!$E$6:$E$2005,"Saída",'LANÇAMENTOS'!$C$6:$C$2005,$B19,'LANÇAMENTOS'!$W$6:$W$2005,"&gt;0"))</f>
        <v/>
      </c>
      <c r="I19" s="18">
        <f>IF($B19="","",$F19+$G19-$H19)</f>
        <v/>
      </c>
    </row>
    <row r="20">
      <c r="A20" s="24">
        <f>IF(3&lt;=DAY(EOMONTH(DATE($B$14,$D$14,1),0)),3,"")</f>
        <v/>
      </c>
      <c r="B20" s="30">
        <f>IF($A20="","",DATE($B$14,$D$14,$A20))</f>
        <v/>
      </c>
      <c r="C20" s="18">
        <f>IF($B20="","",SUMIFS('LANÇAMENTOS'!$V$6:$V$2005,'LANÇAMENTOS'!$E$6:$E$2005,"Entrada",'LANÇAMENTOS'!$D$6:$D$2005,$B20))</f>
        <v/>
      </c>
      <c r="D20" s="18">
        <f>IF($B20="","",SUMIFS('LANÇAMENTOS'!$V$6:$V$2005,'LANÇAMENTOS'!$E$6:$E$2005,"Saída",'LANÇAMENTOS'!$D$6:$D$2005,$B20))</f>
        <v/>
      </c>
      <c r="E20" s="18">
        <f>IF($B20="","",$C20-$D20)</f>
        <v/>
      </c>
      <c r="F20" s="18">
        <f>IF($B20="","",$H$14+SUMIFS('LANÇAMENTOS'!$V$6:$V$2005,'LANÇAMENTOS'!$E$6:$E$2005,"Entrada",'LANÇAMENTOS'!$D$6:$D$2005,"&lt;="&amp;$B20)-SUMIFS('LANÇAMENTOS'!$V$6:$V$2005,'LANÇAMENTOS'!$E$6:$E$2005,"Saída",'LANÇAMENTOS'!$D$6:$D$2005,"&lt;="&amp;$B20))</f>
        <v/>
      </c>
      <c r="G20" s="18">
        <f>IF($B20="","",SUMIFS('LANÇAMENTOS'!$W$6:$W$2005,'LANÇAMENTOS'!$E$6:$E$2005,"Entrada",'LANÇAMENTOS'!$C$6:$C$2005,$B20,'LANÇAMENTOS'!$W$6:$W$2005,"&gt;0"))</f>
        <v/>
      </c>
      <c r="H20" s="18">
        <f>IF($B20="","",SUMIFS('LANÇAMENTOS'!$W$6:$W$2005,'LANÇAMENTOS'!$E$6:$E$2005,"Saída",'LANÇAMENTOS'!$C$6:$C$2005,$B20,'LANÇAMENTOS'!$W$6:$W$2005,"&gt;0"))</f>
        <v/>
      </c>
      <c r="I20" s="18">
        <f>IF($B20="","",$F20+$G20-$H20)</f>
        <v/>
      </c>
    </row>
    <row r="21">
      <c r="A21" s="24">
        <f>IF(4&lt;=DAY(EOMONTH(DATE($B$14,$D$14,1),0)),4,"")</f>
        <v/>
      </c>
      <c r="B21" s="30">
        <f>IF($A21="","",DATE($B$14,$D$14,$A21))</f>
        <v/>
      </c>
      <c r="C21" s="18">
        <f>IF($B21="","",SUMIFS('LANÇAMENTOS'!$V$6:$V$2005,'LANÇAMENTOS'!$E$6:$E$2005,"Entrada",'LANÇAMENTOS'!$D$6:$D$2005,$B21))</f>
        <v/>
      </c>
      <c r="D21" s="18">
        <f>IF($B21="","",SUMIFS('LANÇAMENTOS'!$V$6:$V$2005,'LANÇAMENTOS'!$E$6:$E$2005,"Saída",'LANÇAMENTOS'!$D$6:$D$2005,$B21))</f>
        <v/>
      </c>
      <c r="E21" s="18">
        <f>IF($B21="","",$C21-$D21)</f>
        <v/>
      </c>
      <c r="F21" s="18">
        <f>IF($B21="","",$H$14+SUMIFS('LANÇAMENTOS'!$V$6:$V$2005,'LANÇAMENTOS'!$E$6:$E$2005,"Entrada",'LANÇAMENTOS'!$D$6:$D$2005,"&lt;="&amp;$B21)-SUMIFS('LANÇAMENTOS'!$V$6:$V$2005,'LANÇAMENTOS'!$E$6:$E$2005,"Saída",'LANÇAMENTOS'!$D$6:$D$2005,"&lt;="&amp;$B21))</f>
        <v/>
      </c>
      <c r="G21" s="18">
        <f>IF($B21="","",SUMIFS('LANÇAMENTOS'!$W$6:$W$2005,'LANÇAMENTOS'!$E$6:$E$2005,"Entrada",'LANÇAMENTOS'!$C$6:$C$2005,$B21,'LANÇAMENTOS'!$W$6:$W$2005,"&gt;0"))</f>
        <v/>
      </c>
      <c r="H21" s="18">
        <f>IF($B21="","",SUMIFS('LANÇAMENTOS'!$W$6:$W$2005,'LANÇAMENTOS'!$E$6:$E$2005,"Saída",'LANÇAMENTOS'!$C$6:$C$2005,$B21,'LANÇAMENTOS'!$W$6:$W$2005,"&gt;0"))</f>
        <v/>
      </c>
      <c r="I21" s="18">
        <f>IF($B21="","",$F21+$G21-$H21)</f>
        <v/>
      </c>
    </row>
    <row r="22">
      <c r="A22" s="24">
        <f>IF(5&lt;=DAY(EOMONTH(DATE($B$14,$D$14,1),0)),5,"")</f>
        <v/>
      </c>
      <c r="B22" s="30">
        <f>IF($A22="","",DATE($B$14,$D$14,$A22))</f>
        <v/>
      </c>
      <c r="C22" s="18">
        <f>IF($B22="","",SUMIFS('LANÇAMENTOS'!$V$6:$V$2005,'LANÇAMENTOS'!$E$6:$E$2005,"Entrada",'LANÇAMENTOS'!$D$6:$D$2005,$B22))</f>
        <v/>
      </c>
      <c r="D22" s="18">
        <f>IF($B22="","",SUMIFS('LANÇAMENTOS'!$V$6:$V$2005,'LANÇAMENTOS'!$E$6:$E$2005,"Saída",'LANÇAMENTOS'!$D$6:$D$2005,$B22))</f>
        <v/>
      </c>
      <c r="E22" s="18">
        <f>IF($B22="","",$C22-$D22)</f>
        <v/>
      </c>
      <c r="F22" s="18">
        <f>IF($B22="","",$H$14+SUMIFS('LANÇAMENTOS'!$V$6:$V$2005,'LANÇAMENTOS'!$E$6:$E$2005,"Entrada",'LANÇAMENTOS'!$D$6:$D$2005,"&lt;="&amp;$B22)-SUMIFS('LANÇAMENTOS'!$V$6:$V$2005,'LANÇAMENTOS'!$E$6:$E$2005,"Saída",'LANÇAMENTOS'!$D$6:$D$2005,"&lt;="&amp;$B22))</f>
        <v/>
      </c>
      <c r="G22" s="18">
        <f>IF($B22="","",SUMIFS('LANÇAMENTOS'!$W$6:$W$2005,'LANÇAMENTOS'!$E$6:$E$2005,"Entrada",'LANÇAMENTOS'!$C$6:$C$2005,$B22,'LANÇAMENTOS'!$W$6:$W$2005,"&gt;0"))</f>
        <v/>
      </c>
      <c r="H22" s="18">
        <f>IF($B22="","",SUMIFS('LANÇAMENTOS'!$W$6:$W$2005,'LANÇAMENTOS'!$E$6:$E$2005,"Saída",'LANÇAMENTOS'!$C$6:$C$2005,$B22,'LANÇAMENTOS'!$W$6:$W$2005,"&gt;0"))</f>
        <v/>
      </c>
      <c r="I22" s="18">
        <f>IF($B22="","",$F22+$G22-$H22)</f>
        <v/>
      </c>
    </row>
    <row r="23">
      <c r="A23" s="24">
        <f>IF(6&lt;=DAY(EOMONTH(DATE($B$14,$D$14,1),0)),6,"")</f>
        <v/>
      </c>
      <c r="B23" s="30">
        <f>IF($A23="","",DATE($B$14,$D$14,$A23))</f>
        <v/>
      </c>
      <c r="C23" s="18">
        <f>IF($B23="","",SUMIFS('LANÇAMENTOS'!$V$6:$V$2005,'LANÇAMENTOS'!$E$6:$E$2005,"Entrada",'LANÇAMENTOS'!$D$6:$D$2005,$B23))</f>
        <v/>
      </c>
      <c r="D23" s="18">
        <f>IF($B23="","",SUMIFS('LANÇAMENTOS'!$V$6:$V$2005,'LANÇAMENTOS'!$E$6:$E$2005,"Saída",'LANÇAMENTOS'!$D$6:$D$2005,$B23))</f>
        <v/>
      </c>
      <c r="E23" s="18">
        <f>IF($B23="","",$C23-$D23)</f>
        <v/>
      </c>
      <c r="F23" s="18">
        <f>IF($B23="","",$H$14+SUMIFS('LANÇAMENTOS'!$V$6:$V$2005,'LANÇAMENTOS'!$E$6:$E$2005,"Entrada",'LANÇAMENTOS'!$D$6:$D$2005,"&lt;="&amp;$B23)-SUMIFS('LANÇAMENTOS'!$V$6:$V$2005,'LANÇAMENTOS'!$E$6:$E$2005,"Saída",'LANÇAMENTOS'!$D$6:$D$2005,"&lt;="&amp;$B23))</f>
        <v/>
      </c>
      <c r="G23" s="18">
        <f>IF($B23="","",SUMIFS('LANÇAMENTOS'!$W$6:$W$2005,'LANÇAMENTOS'!$E$6:$E$2005,"Entrada",'LANÇAMENTOS'!$C$6:$C$2005,$B23,'LANÇAMENTOS'!$W$6:$W$2005,"&gt;0"))</f>
        <v/>
      </c>
      <c r="H23" s="18">
        <f>IF($B23="","",SUMIFS('LANÇAMENTOS'!$W$6:$W$2005,'LANÇAMENTOS'!$E$6:$E$2005,"Saída",'LANÇAMENTOS'!$C$6:$C$2005,$B23,'LANÇAMENTOS'!$W$6:$W$2005,"&gt;0"))</f>
        <v/>
      </c>
      <c r="I23" s="18">
        <f>IF($B23="","",$F23+$G23-$H23)</f>
        <v/>
      </c>
    </row>
    <row r="24">
      <c r="A24" s="24">
        <f>IF(7&lt;=DAY(EOMONTH(DATE($B$14,$D$14,1),0)),7,"")</f>
        <v/>
      </c>
      <c r="B24" s="30">
        <f>IF($A24="","",DATE($B$14,$D$14,$A24))</f>
        <v/>
      </c>
      <c r="C24" s="18">
        <f>IF($B24="","",SUMIFS('LANÇAMENTOS'!$V$6:$V$2005,'LANÇAMENTOS'!$E$6:$E$2005,"Entrada",'LANÇAMENTOS'!$D$6:$D$2005,$B24))</f>
        <v/>
      </c>
      <c r="D24" s="18">
        <f>IF($B24="","",SUMIFS('LANÇAMENTOS'!$V$6:$V$2005,'LANÇAMENTOS'!$E$6:$E$2005,"Saída",'LANÇAMENTOS'!$D$6:$D$2005,$B24))</f>
        <v/>
      </c>
      <c r="E24" s="18">
        <f>IF($B24="","",$C24-$D24)</f>
        <v/>
      </c>
      <c r="F24" s="18">
        <f>IF($B24="","",$H$14+SUMIFS('LANÇAMENTOS'!$V$6:$V$2005,'LANÇAMENTOS'!$E$6:$E$2005,"Entrada",'LANÇAMENTOS'!$D$6:$D$2005,"&lt;="&amp;$B24)-SUMIFS('LANÇAMENTOS'!$V$6:$V$2005,'LANÇAMENTOS'!$E$6:$E$2005,"Saída",'LANÇAMENTOS'!$D$6:$D$2005,"&lt;="&amp;$B24))</f>
        <v/>
      </c>
      <c r="G24" s="18">
        <f>IF($B24="","",SUMIFS('LANÇAMENTOS'!$W$6:$W$2005,'LANÇAMENTOS'!$E$6:$E$2005,"Entrada",'LANÇAMENTOS'!$C$6:$C$2005,$B24,'LANÇAMENTOS'!$W$6:$W$2005,"&gt;0"))</f>
        <v/>
      </c>
      <c r="H24" s="18">
        <f>IF($B24="","",SUMIFS('LANÇAMENTOS'!$W$6:$W$2005,'LANÇAMENTOS'!$E$6:$E$2005,"Saída",'LANÇAMENTOS'!$C$6:$C$2005,$B24,'LANÇAMENTOS'!$W$6:$W$2005,"&gt;0"))</f>
        <v/>
      </c>
      <c r="I24" s="18">
        <f>IF($B24="","",$F24+$G24-$H24)</f>
        <v/>
      </c>
    </row>
    <row r="25">
      <c r="A25" s="24">
        <f>IF(8&lt;=DAY(EOMONTH(DATE($B$14,$D$14,1),0)),8,"")</f>
        <v/>
      </c>
      <c r="B25" s="30">
        <f>IF($A25="","",DATE($B$14,$D$14,$A25))</f>
        <v/>
      </c>
      <c r="C25" s="18">
        <f>IF($B25="","",SUMIFS('LANÇAMENTOS'!$V$6:$V$2005,'LANÇAMENTOS'!$E$6:$E$2005,"Entrada",'LANÇAMENTOS'!$D$6:$D$2005,$B25))</f>
        <v/>
      </c>
      <c r="D25" s="18">
        <f>IF($B25="","",SUMIFS('LANÇAMENTOS'!$V$6:$V$2005,'LANÇAMENTOS'!$E$6:$E$2005,"Saída",'LANÇAMENTOS'!$D$6:$D$2005,$B25))</f>
        <v/>
      </c>
      <c r="E25" s="18">
        <f>IF($B25="","",$C25-$D25)</f>
        <v/>
      </c>
      <c r="F25" s="18">
        <f>IF($B25="","",$H$14+SUMIFS('LANÇAMENTOS'!$V$6:$V$2005,'LANÇAMENTOS'!$E$6:$E$2005,"Entrada",'LANÇAMENTOS'!$D$6:$D$2005,"&lt;="&amp;$B25)-SUMIFS('LANÇAMENTOS'!$V$6:$V$2005,'LANÇAMENTOS'!$E$6:$E$2005,"Saída",'LANÇAMENTOS'!$D$6:$D$2005,"&lt;="&amp;$B25))</f>
        <v/>
      </c>
      <c r="G25" s="18">
        <f>IF($B25="","",SUMIFS('LANÇAMENTOS'!$W$6:$W$2005,'LANÇAMENTOS'!$E$6:$E$2005,"Entrada",'LANÇAMENTOS'!$C$6:$C$2005,$B25,'LANÇAMENTOS'!$W$6:$W$2005,"&gt;0"))</f>
        <v/>
      </c>
      <c r="H25" s="18">
        <f>IF($B25="","",SUMIFS('LANÇAMENTOS'!$W$6:$W$2005,'LANÇAMENTOS'!$E$6:$E$2005,"Saída",'LANÇAMENTOS'!$C$6:$C$2005,$B25,'LANÇAMENTOS'!$W$6:$W$2005,"&gt;0"))</f>
        <v/>
      </c>
      <c r="I25" s="18">
        <f>IF($B25="","",$F25+$G25-$H25)</f>
        <v/>
      </c>
    </row>
    <row r="26">
      <c r="A26" s="24">
        <f>IF(9&lt;=DAY(EOMONTH(DATE($B$14,$D$14,1),0)),9,"")</f>
        <v/>
      </c>
      <c r="B26" s="30">
        <f>IF($A26="","",DATE($B$14,$D$14,$A26))</f>
        <v/>
      </c>
      <c r="C26" s="18">
        <f>IF($B26="","",SUMIFS('LANÇAMENTOS'!$V$6:$V$2005,'LANÇAMENTOS'!$E$6:$E$2005,"Entrada",'LANÇAMENTOS'!$D$6:$D$2005,$B26))</f>
        <v/>
      </c>
      <c r="D26" s="18">
        <f>IF($B26="","",SUMIFS('LANÇAMENTOS'!$V$6:$V$2005,'LANÇAMENTOS'!$E$6:$E$2005,"Saída",'LANÇAMENTOS'!$D$6:$D$2005,$B26))</f>
        <v/>
      </c>
      <c r="E26" s="18">
        <f>IF($B26="","",$C26-$D26)</f>
        <v/>
      </c>
      <c r="F26" s="18">
        <f>IF($B26="","",$H$14+SUMIFS('LANÇAMENTOS'!$V$6:$V$2005,'LANÇAMENTOS'!$E$6:$E$2005,"Entrada",'LANÇAMENTOS'!$D$6:$D$2005,"&lt;="&amp;$B26)-SUMIFS('LANÇAMENTOS'!$V$6:$V$2005,'LANÇAMENTOS'!$E$6:$E$2005,"Saída",'LANÇAMENTOS'!$D$6:$D$2005,"&lt;="&amp;$B26))</f>
        <v/>
      </c>
      <c r="G26" s="18">
        <f>IF($B26="","",SUMIFS('LANÇAMENTOS'!$W$6:$W$2005,'LANÇAMENTOS'!$E$6:$E$2005,"Entrada",'LANÇAMENTOS'!$C$6:$C$2005,$B26,'LANÇAMENTOS'!$W$6:$W$2005,"&gt;0"))</f>
        <v/>
      </c>
      <c r="H26" s="18">
        <f>IF($B26="","",SUMIFS('LANÇAMENTOS'!$W$6:$W$2005,'LANÇAMENTOS'!$E$6:$E$2005,"Saída",'LANÇAMENTOS'!$C$6:$C$2005,$B26,'LANÇAMENTOS'!$W$6:$W$2005,"&gt;0"))</f>
        <v/>
      </c>
      <c r="I26" s="18">
        <f>IF($B26="","",$F26+$G26-$H26)</f>
        <v/>
      </c>
    </row>
    <row r="27">
      <c r="A27" s="24">
        <f>IF(10&lt;=DAY(EOMONTH(DATE($B$14,$D$14,1),0)),10,"")</f>
        <v/>
      </c>
      <c r="B27" s="30">
        <f>IF($A27="","",DATE($B$14,$D$14,$A27))</f>
        <v/>
      </c>
      <c r="C27" s="18">
        <f>IF($B27="","",SUMIFS('LANÇAMENTOS'!$V$6:$V$2005,'LANÇAMENTOS'!$E$6:$E$2005,"Entrada",'LANÇAMENTOS'!$D$6:$D$2005,$B27))</f>
        <v/>
      </c>
      <c r="D27" s="18">
        <f>IF($B27="","",SUMIFS('LANÇAMENTOS'!$V$6:$V$2005,'LANÇAMENTOS'!$E$6:$E$2005,"Saída",'LANÇAMENTOS'!$D$6:$D$2005,$B27))</f>
        <v/>
      </c>
      <c r="E27" s="18">
        <f>IF($B27="","",$C27-$D27)</f>
        <v/>
      </c>
      <c r="F27" s="18">
        <f>IF($B27="","",$H$14+SUMIFS('LANÇAMENTOS'!$V$6:$V$2005,'LANÇAMENTOS'!$E$6:$E$2005,"Entrada",'LANÇAMENTOS'!$D$6:$D$2005,"&lt;="&amp;$B27)-SUMIFS('LANÇAMENTOS'!$V$6:$V$2005,'LANÇAMENTOS'!$E$6:$E$2005,"Saída",'LANÇAMENTOS'!$D$6:$D$2005,"&lt;="&amp;$B27))</f>
        <v/>
      </c>
      <c r="G27" s="18">
        <f>IF($B27="","",SUMIFS('LANÇAMENTOS'!$W$6:$W$2005,'LANÇAMENTOS'!$E$6:$E$2005,"Entrada",'LANÇAMENTOS'!$C$6:$C$2005,$B27,'LANÇAMENTOS'!$W$6:$W$2005,"&gt;0"))</f>
        <v/>
      </c>
      <c r="H27" s="18">
        <f>IF($B27="","",SUMIFS('LANÇAMENTOS'!$W$6:$W$2005,'LANÇAMENTOS'!$E$6:$E$2005,"Saída",'LANÇAMENTOS'!$C$6:$C$2005,$B27,'LANÇAMENTOS'!$W$6:$W$2005,"&gt;0"))</f>
        <v/>
      </c>
      <c r="I27" s="18">
        <f>IF($B27="","",$F27+$G27-$H27)</f>
        <v/>
      </c>
    </row>
    <row r="28">
      <c r="A28" s="24">
        <f>IF(11&lt;=DAY(EOMONTH(DATE($B$14,$D$14,1),0)),11,"")</f>
        <v/>
      </c>
      <c r="B28" s="30">
        <f>IF($A28="","",DATE($B$14,$D$14,$A28))</f>
        <v/>
      </c>
      <c r="C28" s="18">
        <f>IF($B28="","",SUMIFS('LANÇAMENTOS'!$V$6:$V$2005,'LANÇAMENTOS'!$E$6:$E$2005,"Entrada",'LANÇAMENTOS'!$D$6:$D$2005,$B28))</f>
        <v/>
      </c>
      <c r="D28" s="18">
        <f>IF($B28="","",SUMIFS('LANÇAMENTOS'!$V$6:$V$2005,'LANÇAMENTOS'!$E$6:$E$2005,"Saída",'LANÇAMENTOS'!$D$6:$D$2005,$B28))</f>
        <v/>
      </c>
      <c r="E28" s="18">
        <f>IF($B28="","",$C28-$D28)</f>
        <v/>
      </c>
      <c r="F28" s="18">
        <f>IF($B28="","",$H$14+SUMIFS('LANÇAMENTOS'!$V$6:$V$2005,'LANÇAMENTOS'!$E$6:$E$2005,"Entrada",'LANÇAMENTOS'!$D$6:$D$2005,"&lt;="&amp;$B28)-SUMIFS('LANÇAMENTOS'!$V$6:$V$2005,'LANÇAMENTOS'!$E$6:$E$2005,"Saída",'LANÇAMENTOS'!$D$6:$D$2005,"&lt;="&amp;$B28))</f>
        <v/>
      </c>
      <c r="G28" s="18">
        <f>IF($B28="","",SUMIFS('LANÇAMENTOS'!$W$6:$W$2005,'LANÇAMENTOS'!$E$6:$E$2005,"Entrada",'LANÇAMENTOS'!$C$6:$C$2005,$B28,'LANÇAMENTOS'!$W$6:$W$2005,"&gt;0"))</f>
        <v/>
      </c>
      <c r="H28" s="18">
        <f>IF($B28="","",SUMIFS('LANÇAMENTOS'!$W$6:$W$2005,'LANÇAMENTOS'!$E$6:$E$2005,"Saída",'LANÇAMENTOS'!$C$6:$C$2005,$B28,'LANÇAMENTOS'!$W$6:$W$2005,"&gt;0"))</f>
        <v/>
      </c>
      <c r="I28" s="18">
        <f>IF($B28="","",$F28+$G28-$H28)</f>
        <v/>
      </c>
    </row>
    <row r="29">
      <c r="A29" s="24">
        <f>IF(12&lt;=DAY(EOMONTH(DATE($B$14,$D$14,1),0)),12,"")</f>
        <v/>
      </c>
      <c r="B29" s="30">
        <f>IF($A29="","",DATE($B$14,$D$14,$A29))</f>
        <v/>
      </c>
      <c r="C29" s="18">
        <f>IF($B29="","",SUMIFS('LANÇAMENTOS'!$V$6:$V$2005,'LANÇAMENTOS'!$E$6:$E$2005,"Entrada",'LANÇAMENTOS'!$D$6:$D$2005,$B29))</f>
        <v/>
      </c>
      <c r="D29" s="18">
        <f>IF($B29="","",SUMIFS('LANÇAMENTOS'!$V$6:$V$2005,'LANÇAMENTOS'!$E$6:$E$2005,"Saída",'LANÇAMENTOS'!$D$6:$D$2005,$B29))</f>
        <v/>
      </c>
      <c r="E29" s="18">
        <f>IF($B29="","",$C29-$D29)</f>
        <v/>
      </c>
      <c r="F29" s="18">
        <f>IF($B29="","",$H$14+SUMIFS('LANÇAMENTOS'!$V$6:$V$2005,'LANÇAMENTOS'!$E$6:$E$2005,"Entrada",'LANÇAMENTOS'!$D$6:$D$2005,"&lt;="&amp;$B29)-SUMIFS('LANÇAMENTOS'!$V$6:$V$2005,'LANÇAMENTOS'!$E$6:$E$2005,"Saída",'LANÇAMENTOS'!$D$6:$D$2005,"&lt;="&amp;$B29))</f>
        <v/>
      </c>
      <c r="G29" s="18">
        <f>IF($B29="","",SUMIFS('LANÇAMENTOS'!$W$6:$W$2005,'LANÇAMENTOS'!$E$6:$E$2005,"Entrada",'LANÇAMENTOS'!$C$6:$C$2005,$B29,'LANÇAMENTOS'!$W$6:$W$2005,"&gt;0"))</f>
        <v/>
      </c>
      <c r="H29" s="18">
        <f>IF($B29="","",SUMIFS('LANÇAMENTOS'!$W$6:$W$2005,'LANÇAMENTOS'!$E$6:$E$2005,"Saída",'LANÇAMENTOS'!$C$6:$C$2005,$B29,'LANÇAMENTOS'!$W$6:$W$2005,"&gt;0"))</f>
        <v/>
      </c>
      <c r="I29" s="18">
        <f>IF($B29="","",$F29+$G29-$H29)</f>
        <v/>
      </c>
    </row>
    <row r="30">
      <c r="A30" s="24">
        <f>IF(13&lt;=DAY(EOMONTH(DATE($B$14,$D$14,1),0)),13,"")</f>
        <v/>
      </c>
      <c r="B30" s="30">
        <f>IF($A30="","",DATE($B$14,$D$14,$A30))</f>
        <v/>
      </c>
      <c r="C30" s="18">
        <f>IF($B30="","",SUMIFS('LANÇAMENTOS'!$V$6:$V$2005,'LANÇAMENTOS'!$E$6:$E$2005,"Entrada",'LANÇAMENTOS'!$D$6:$D$2005,$B30))</f>
        <v/>
      </c>
      <c r="D30" s="18">
        <f>IF($B30="","",SUMIFS('LANÇAMENTOS'!$V$6:$V$2005,'LANÇAMENTOS'!$E$6:$E$2005,"Saída",'LANÇAMENTOS'!$D$6:$D$2005,$B30))</f>
        <v/>
      </c>
      <c r="E30" s="18">
        <f>IF($B30="","",$C30-$D30)</f>
        <v/>
      </c>
      <c r="F30" s="18">
        <f>IF($B30="","",$H$14+SUMIFS('LANÇAMENTOS'!$V$6:$V$2005,'LANÇAMENTOS'!$E$6:$E$2005,"Entrada",'LANÇAMENTOS'!$D$6:$D$2005,"&lt;="&amp;$B30)-SUMIFS('LANÇAMENTOS'!$V$6:$V$2005,'LANÇAMENTOS'!$E$6:$E$2005,"Saída",'LANÇAMENTOS'!$D$6:$D$2005,"&lt;="&amp;$B30))</f>
        <v/>
      </c>
      <c r="G30" s="18">
        <f>IF($B30="","",SUMIFS('LANÇAMENTOS'!$W$6:$W$2005,'LANÇAMENTOS'!$E$6:$E$2005,"Entrada",'LANÇAMENTOS'!$C$6:$C$2005,$B30,'LANÇAMENTOS'!$W$6:$W$2005,"&gt;0"))</f>
        <v/>
      </c>
      <c r="H30" s="18">
        <f>IF($B30="","",SUMIFS('LANÇAMENTOS'!$W$6:$W$2005,'LANÇAMENTOS'!$E$6:$E$2005,"Saída",'LANÇAMENTOS'!$C$6:$C$2005,$B30,'LANÇAMENTOS'!$W$6:$W$2005,"&gt;0"))</f>
        <v/>
      </c>
      <c r="I30" s="18">
        <f>IF($B30="","",$F30+$G30-$H30)</f>
        <v/>
      </c>
    </row>
    <row r="31">
      <c r="A31" s="24">
        <f>IF(14&lt;=DAY(EOMONTH(DATE($B$14,$D$14,1),0)),14,"")</f>
        <v/>
      </c>
      <c r="B31" s="30">
        <f>IF($A31="","",DATE($B$14,$D$14,$A31))</f>
        <v/>
      </c>
      <c r="C31" s="18">
        <f>IF($B31="","",SUMIFS('LANÇAMENTOS'!$V$6:$V$2005,'LANÇAMENTOS'!$E$6:$E$2005,"Entrada",'LANÇAMENTOS'!$D$6:$D$2005,$B31))</f>
        <v/>
      </c>
      <c r="D31" s="18">
        <f>IF($B31="","",SUMIFS('LANÇAMENTOS'!$V$6:$V$2005,'LANÇAMENTOS'!$E$6:$E$2005,"Saída",'LANÇAMENTOS'!$D$6:$D$2005,$B31))</f>
        <v/>
      </c>
      <c r="E31" s="18">
        <f>IF($B31="","",$C31-$D31)</f>
        <v/>
      </c>
      <c r="F31" s="18">
        <f>IF($B31="","",$H$14+SUMIFS('LANÇAMENTOS'!$V$6:$V$2005,'LANÇAMENTOS'!$E$6:$E$2005,"Entrada",'LANÇAMENTOS'!$D$6:$D$2005,"&lt;="&amp;$B31)-SUMIFS('LANÇAMENTOS'!$V$6:$V$2005,'LANÇAMENTOS'!$E$6:$E$2005,"Saída",'LANÇAMENTOS'!$D$6:$D$2005,"&lt;="&amp;$B31))</f>
        <v/>
      </c>
      <c r="G31" s="18">
        <f>IF($B31="","",SUMIFS('LANÇAMENTOS'!$W$6:$W$2005,'LANÇAMENTOS'!$E$6:$E$2005,"Entrada",'LANÇAMENTOS'!$C$6:$C$2005,$B31,'LANÇAMENTOS'!$W$6:$W$2005,"&gt;0"))</f>
        <v/>
      </c>
      <c r="H31" s="18">
        <f>IF($B31="","",SUMIFS('LANÇAMENTOS'!$W$6:$W$2005,'LANÇAMENTOS'!$E$6:$E$2005,"Saída",'LANÇAMENTOS'!$C$6:$C$2005,$B31,'LANÇAMENTOS'!$W$6:$W$2005,"&gt;0"))</f>
        <v/>
      </c>
      <c r="I31" s="18">
        <f>IF($B31="","",$F31+$G31-$H31)</f>
        <v/>
      </c>
    </row>
    <row r="32">
      <c r="A32" s="24">
        <f>IF(15&lt;=DAY(EOMONTH(DATE($B$14,$D$14,1),0)),15,"")</f>
        <v/>
      </c>
      <c r="B32" s="30">
        <f>IF($A32="","",DATE($B$14,$D$14,$A32))</f>
        <v/>
      </c>
      <c r="C32" s="18">
        <f>IF($B32="","",SUMIFS('LANÇAMENTOS'!$V$6:$V$2005,'LANÇAMENTOS'!$E$6:$E$2005,"Entrada",'LANÇAMENTOS'!$D$6:$D$2005,$B32))</f>
        <v/>
      </c>
      <c r="D32" s="18">
        <f>IF($B32="","",SUMIFS('LANÇAMENTOS'!$V$6:$V$2005,'LANÇAMENTOS'!$E$6:$E$2005,"Saída",'LANÇAMENTOS'!$D$6:$D$2005,$B32))</f>
        <v/>
      </c>
      <c r="E32" s="18">
        <f>IF($B32="","",$C32-$D32)</f>
        <v/>
      </c>
      <c r="F32" s="18">
        <f>IF($B32="","",$H$14+SUMIFS('LANÇAMENTOS'!$V$6:$V$2005,'LANÇAMENTOS'!$E$6:$E$2005,"Entrada",'LANÇAMENTOS'!$D$6:$D$2005,"&lt;="&amp;$B32)-SUMIFS('LANÇAMENTOS'!$V$6:$V$2005,'LANÇAMENTOS'!$E$6:$E$2005,"Saída",'LANÇAMENTOS'!$D$6:$D$2005,"&lt;="&amp;$B32))</f>
        <v/>
      </c>
      <c r="G32" s="18">
        <f>IF($B32="","",SUMIFS('LANÇAMENTOS'!$W$6:$W$2005,'LANÇAMENTOS'!$E$6:$E$2005,"Entrada",'LANÇAMENTOS'!$C$6:$C$2005,$B32,'LANÇAMENTOS'!$W$6:$W$2005,"&gt;0"))</f>
        <v/>
      </c>
      <c r="H32" s="18">
        <f>IF($B32="","",SUMIFS('LANÇAMENTOS'!$W$6:$W$2005,'LANÇAMENTOS'!$E$6:$E$2005,"Saída",'LANÇAMENTOS'!$C$6:$C$2005,$B32,'LANÇAMENTOS'!$W$6:$W$2005,"&gt;0"))</f>
        <v/>
      </c>
      <c r="I32" s="18">
        <f>IF($B32="","",$F32+$G32-$H32)</f>
        <v/>
      </c>
    </row>
    <row r="33">
      <c r="A33" s="24">
        <f>IF(16&lt;=DAY(EOMONTH(DATE($B$14,$D$14,1),0)),16,"")</f>
        <v/>
      </c>
      <c r="B33" s="30">
        <f>IF($A33="","",DATE($B$14,$D$14,$A33))</f>
        <v/>
      </c>
      <c r="C33" s="18">
        <f>IF($B33="","",SUMIFS('LANÇAMENTOS'!$V$6:$V$2005,'LANÇAMENTOS'!$E$6:$E$2005,"Entrada",'LANÇAMENTOS'!$D$6:$D$2005,$B33))</f>
        <v/>
      </c>
      <c r="D33" s="18">
        <f>IF($B33="","",SUMIFS('LANÇAMENTOS'!$V$6:$V$2005,'LANÇAMENTOS'!$E$6:$E$2005,"Saída",'LANÇAMENTOS'!$D$6:$D$2005,$B33))</f>
        <v/>
      </c>
      <c r="E33" s="18">
        <f>IF($B33="","",$C33-$D33)</f>
        <v/>
      </c>
      <c r="F33" s="18">
        <f>IF($B33="","",$H$14+SUMIFS('LANÇAMENTOS'!$V$6:$V$2005,'LANÇAMENTOS'!$E$6:$E$2005,"Entrada",'LANÇAMENTOS'!$D$6:$D$2005,"&lt;="&amp;$B33)-SUMIFS('LANÇAMENTOS'!$V$6:$V$2005,'LANÇAMENTOS'!$E$6:$E$2005,"Saída",'LANÇAMENTOS'!$D$6:$D$2005,"&lt;="&amp;$B33))</f>
        <v/>
      </c>
      <c r="G33" s="18">
        <f>IF($B33="","",SUMIFS('LANÇAMENTOS'!$W$6:$W$2005,'LANÇAMENTOS'!$E$6:$E$2005,"Entrada",'LANÇAMENTOS'!$C$6:$C$2005,$B33,'LANÇAMENTOS'!$W$6:$W$2005,"&gt;0"))</f>
        <v/>
      </c>
      <c r="H33" s="18">
        <f>IF($B33="","",SUMIFS('LANÇAMENTOS'!$W$6:$W$2005,'LANÇAMENTOS'!$E$6:$E$2005,"Saída",'LANÇAMENTOS'!$C$6:$C$2005,$B33,'LANÇAMENTOS'!$W$6:$W$2005,"&gt;0"))</f>
        <v/>
      </c>
      <c r="I33" s="18">
        <f>IF($B33="","",$F33+$G33-$H33)</f>
        <v/>
      </c>
    </row>
    <row r="34">
      <c r="A34" s="24">
        <f>IF(17&lt;=DAY(EOMONTH(DATE($B$14,$D$14,1),0)),17,"")</f>
        <v/>
      </c>
      <c r="B34" s="30">
        <f>IF($A34="","",DATE($B$14,$D$14,$A34))</f>
        <v/>
      </c>
      <c r="C34" s="18">
        <f>IF($B34="","",SUMIFS('LANÇAMENTOS'!$V$6:$V$2005,'LANÇAMENTOS'!$E$6:$E$2005,"Entrada",'LANÇAMENTOS'!$D$6:$D$2005,$B34))</f>
        <v/>
      </c>
      <c r="D34" s="18">
        <f>IF($B34="","",SUMIFS('LANÇAMENTOS'!$V$6:$V$2005,'LANÇAMENTOS'!$E$6:$E$2005,"Saída",'LANÇAMENTOS'!$D$6:$D$2005,$B34))</f>
        <v/>
      </c>
      <c r="E34" s="18">
        <f>IF($B34="","",$C34-$D34)</f>
        <v/>
      </c>
      <c r="F34" s="18">
        <f>IF($B34="","",$H$14+SUMIFS('LANÇAMENTOS'!$V$6:$V$2005,'LANÇAMENTOS'!$E$6:$E$2005,"Entrada",'LANÇAMENTOS'!$D$6:$D$2005,"&lt;="&amp;$B34)-SUMIFS('LANÇAMENTOS'!$V$6:$V$2005,'LANÇAMENTOS'!$E$6:$E$2005,"Saída",'LANÇAMENTOS'!$D$6:$D$2005,"&lt;="&amp;$B34))</f>
        <v/>
      </c>
      <c r="G34" s="18">
        <f>IF($B34="","",SUMIFS('LANÇAMENTOS'!$W$6:$W$2005,'LANÇAMENTOS'!$E$6:$E$2005,"Entrada",'LANÇAMENTOS'!$C$6:$C$2005,$B34,'LANÇAMENTOS'!$W$6:$W$2005,"&gt;0"))</f>
        <v/>
      </c>
      <c r="H34" s="18">
        <f>IF($B34="","",SUMIFS('LANÇAMENTOS'!$W$6:$W$2005,'LANÇAMENTOS'!$E$6:$E$2005,"Saída",'LANÇAMENTOS'!$C$6:$C$2005,$B34,'LANÇAMENTOS'!$W$6:$W$2005,"&gt;0"))</f>
        <v/>
      </c>
      <c r="I34" s="18">
        <f>IF($B34="","",$F34+$G34-$H34)</f>
        <v/>
      </c>
    </row>
    <row r="35">
      <c r="A35" s="24">
        <f>IF(18&lt;=DAY(EOMONTH(DATE($B$14,$D$14,1),0)),18,"")</f>
        <v/>
      </c>
      <c r="B35" s="30">
        <f>IF($A35="","",DATE($B$14,$D$14,$A35))</f>
        <v/>
      </c>
      <c r="C35" s="18">
        <f>IF($B35="","",SUMIFS('LANÇAMENTOS'!$V$6:$V$2005,'LANÇAMENTOS'!$E$6:$E$2005,"Entrada",'LANÇAMENTOS'!$D$6:$D$2005,$B35))</f>
        <v/>
      </c>
      <c r="D35" s="18">
        <f>IF($B35="","",SUMIFS('LANÇAMENTOS'!$V$6:$V$2005,'LANÇAMENTOS'!$E$6:$E$2005,"Saída",'LANÇAMENTOS'!$D$6:$D$2005,$B35))</f>
        <v/>
      </c>
      <c r="E35" s="18">
        <f>IF($B35="","",$C35-$D35)</f>
        <v/>
      </c>
      <c r="F35" s="18">
        <f>IF($B35="","",$H$14+SUMIFS('LANÇAMENTOS'!$V$6:$V$2005,'LANÇAMENTOS'!$E$6:$E$2005,"Entrada",'LANÇAMENTOS'!$D$6:$D$2005,"&lt;="&amp;$B35)-SUMIFS('LANÇAMENTOS'!$V$6:$V$2005,'LANÇAMENTOS'!$E$6:$E$2005,"Saída",'LANÇAMENTOS'!$D$6:$D$2005,"&lt;="&amp;$B35))</f>
        <v/>
      </c>
      <c r="G35" s="18">
        <f>IF($B35="","",SUMIFS('LANÇAMENTOS'!$W$6:$W$2005,'LANÇAMENTOS'!$E$6:$E$2005,"Entrada",'LANÇAMENTOS'!$C$6:$C$2005,$B35,'LANÇAMENTOS'!$W$6:$W$2005,"&gt;0"))</f>
        <v/>
      </c>
      <c r="H35" s="18">
        <f>IF($B35="","",SUMIFS('LANÇAMENTOS'!$W$6:$W$2005,'LANÇAMENTOS'!$E$6:$E$2005,"Saída",'LANÇAMENTOS'!$C$6:$C$2005,$B35,'LANÇAMENTOS'!$W$6:$W$2005,"&gt;0"))</f>
        <v/>
      </c>
      <c r="I35" s="18">
        <f>IF($B35="","",$F35+$G35-$H35)</f>
        <v/>
      </c>
    </row>
    <row r="36">
      <c r="A36" s="24">
        <f>IF(19&lt;=DAY(EOMONTH(DATE($B$14,$D$14,1),0)),19,"")</f>
        <v/>
      </c>
      <c r="B36" s="30">
        <f>IF($A36="","",DATE($B$14,$D$14,$A36))</f>
        <v/>
      </c>
      <c r="C36" s="18">
        <f>IF($B36="","",SUMIFS('LANÇAMENTOS'!$V$6:$V$2005,'LANÇAMENTOS'!$E$6:$E$2005,"Entrada",'LANÇAMENTOS'!$D$6:$D$2005,$B36))</f>
        <v/>
      </c>
      <c r="D36" s="18">
        <f>IF($B36="","",SUMIFS('LANÇAMENTOS'!$V$6:$V$2005,'LANÇAMENTOS'!$E$6:$E$2005,"Saída",'LANÇAMENTOS'!$D$6:$D$2005,$B36))</f>
        <v/>
      </c>
      <c r="E36" s="18">
        <f>IF($B36="","",$C36-$D36)</f>
        <v/>
      </c>
      <c r="F36" s="18">
        <f>IF($B36="","",$H$14+SUMIFS('LANÇAMENTOS'!$V$6:$V$2005,'LANÇAMENTOS'!$E$6:$E$2005,"Entrada",'LANÇAMENTOS'!$D$6:$D$2005,"&lt;="&amp;$B36)-SUMIFS('LANÇAMENTOS'!$V$6:$V$2005,'LANÇAMENTOS'!$E$6:$E$2005,"Saída",'LANÇAMENTOS'!$D$6:$D$2005,"&lt;="&amp;$B36))</f>
        <v/>
      </c>
      <c r="G36" s="18">
        <f>IF($B36="","",SUMIFS('LANÇAMENTOS'!$W$6:$W$2005,'LANÇAMENTOS'!$E$6:$E$2005,"Entrada",'LANÇAMENTOS'!$C$6:$C$2005,$B36,'LANÇAMENTOS'!$W$6:$W$2005,"&gt;0"))</f>
        <v/>
      </c>
      <c r="H36" s="18">
        <f>IF($B36="","",SUMIFS('LANÇAMENTOS'!$W$6:$W$2005,'LANÇAMENTOS'!$E$6:$E$2005,"Saída",'LANÇAMENTOS'!$C$6:$C$2005,$B36,'LANÇAMENTOS'!$W$6:$W$2005,"&gt;0"))</f>
        <v/>
      </c>
      <c r="I36" s="18">
        <f>IF($B36="","",$F36+$G36-$H36)</f>
        <v/>
      </c>
    </row>
    <row r="37">
      <c r="A37" s="24">
        <f>IF(20&lt;=DAY(EOMONTH(DATE($B$14,$D$14,1),0)),20,"")</f>
        <v/>
      </c>
      <c r="B37" s="30">
        <f>IF($A37="","",DATE($B$14,$D$14,$A37))</f>
        <v/>
      </c>
      <c r="C37" s="18">
        <f>IF($B37="","",SUMIFS('LANÇAMENTOS'!$V$6:$V$2005,'LANÇAMENTOS'!$E$6:$E$2005,"Entrada",'LANÇAMENTOS'!$D$6:$D$2005,$B37))</f>
        <v/>
      </c>
      <c r="D37" s="18">
        <f>IF($B37="","",SUMIFS('LANÇAMENTOS'!$V$6:$V$2005,'LANÇAMENTOS'!$E$6:$E$2005,"Saída",'LANÇAMENTOS'!$D$6:$D$2005,$B37))</f>
        <v/>
      </c>
      <c r="E37" s="18">
        <f>IF($B37="","",$C37-$D37)</f>
        <v/>
      </c>
      <c r="F37" s="18">
        <f>IF($B37="","",$H$14+SUMIFS('LANÇAMENTOS'!$V$6:$V$2005,'LANÇAMENTOS'!$E$6:$E$2005,"Entrada",'LANÇAMENTOS'!$D$6:$D$2005,"&lt;="&amp;$B37)-SUMIFS('LANÇAMENTOS'!$V$6:$V$2005,'LANÇAMENTOS'!$E$6:$E$2005,"Saída",'LANÇAMENTOS'!$D$6:$D$2005,"&lt;="&amp;$B37))</f>
        <v/>
      </c>
      <c r="G37" s="18">
        <f>IF($B37="","",SUMIFS('LANÇAMENTOS'!$W$6:$W$2005,'LANÇAMENTOS'!$E$6:$E$2005,"Entrada",'LANÇAMENTOS'!$C$6:$C$2005,$B37,'LANÇAMENTOS'!$W$6:$W$2005,"&gt;0"))</f>
        <v/>
      </c>
      <c r="H37" s="18">
        <f>IF($B37="","",SUMIFS('LANÇAMENTOS'!$W$6:$W$2005,'LANÇAMENTOS'!$E$6:$E$2005,"Saída",'LANÇAMENTOS'!$C$6:$C$2005,$B37,'LANÇAMENTOS'!$W$6:$W$2005,"&gt;0"))</f>
        <v/>
      </c>
      <c r="I37" s="18">
        <f>IF($B37="","",$F37+$G37-$H37)</f>
        <v/>
      </c>
    </row>
    <row r="38">
      <c r="A38" s="24">
        <f>IF(21&lt;=DAY(EOMONTH(DATE($B$14,$D$14,1),0)),21,"")</f>
        <v/>
      </c>
      <c r="B38" s="30">
        <f>IF($A38="","",DATE($B$14,$D$14,$A38))</f>
        <v/>
      </c>
      <c r="C38" s="18">
        <f>IF($B38="","",SUMIFS('LANÇAMENTOS'!$V$6:$V$2005,'LANÇAMENTOS'!$E$6:$E$2005,"Entrada",'LANÇAMENTOS'!$D$6:$D$2005,$B38))</f>
        <v/>
      </c>
      <c r="D38" s="18">
        <f>IF($B38="","",SUMIFS('LANÇAMENTOS'!$V$6:$V$2005,'LANÇAMENTOS'!$E$6:$E$2005,"Saída",'LANÇAMENTOS'!$D$6:$D$2005,$B38))</f>
        <v/>
      </c>
      <c r="E38" s="18">
        <f>IF($B38="","",$C38-$D38)</f>
        <v/>
      </c>
      <c r="F38" s="18">
        <f>IF($B38="","",$H$14+SUMIFS('LANÇAMENTOS'!$V$6:$V$2005,'LANÇAMENTOS'!$E$6:$E$2005,"Entrada",'LANÇAMENTOS'!$D$6:$D$2005,"&lt;="&amp;$B38)-SUMIFS('LANÇAMENTOS'!$V$6:$V$2005,'LANÇAMENTOS'!$E$6:$E$2005,"Saída",'LANÇAMENTOS'!$D$6:$D$2005,"&lt;="&amp;$B38))</f>
        <v/>
      </c>
      <c r="G38" s="18">
        <f>IF($B38="","",SUMIFS('LANÇAMENTOS'!$W$6:$W$2005,'LANÇAMENTOS'!$E$6:$E$2005,"Entrada",'LANÇAMENTOS'!$C$6:$C$2005,$B38,'LANÇAMENTOS'!$W$6:$W$2005,"&gt;0"))</f>
        <v/>
      </c>
      <c r="H38" s="18">
        <f>IF($B38="","",SUMIFS('LANÇAMENTOS'!$W$6:$W$2005,'LANÇAMENTOS'!$E$6:$E$2005,"Saída",'LANÇAMENTOS'!$C$6:$C$2005,$B38,'LANÇAMENTOS'!$W$6:$W$2005,"&gt;0"))</f>
        <v/>
      </c>
      <c r="I38" s="18">
        <f>IF($B38="","",$F38+$G38-$H38)</f>
        <v/>
      </c>
    </row>
    <row r="39">
      <c r="A39" s="24">
        <f>IF(22&lt;=DAY(EOMONTH(DATE($B$14,$D$14,1),0)),22,"")</f>
        <v/>
      </c>
      <c r="B39" s="30">
        <f>IF($A39="","",DATE($B$14,$D$14,$A39))</f>
        <v/>
      </c>
      <c r="C39" s="18">
        <f>IF($B39="","",SUMIFS('LANÇAMENTOS'!$V$6:$V$2005,'LANÇAMENTOS'!$E$6:$E$2005,"Entrada",'LANÇAMENTOS'!$D$6:$D$2005,$B39))</f>
        <v/>
      </c>
      <c r="D39" s="18">
        <f>IF($B39="","",SUMIFS('LANÇAMENTOS'!$V$6:$V$2005,'LANÇAMENTOS'!$E$6:$E$2005,"Saída",'LANÇAMENTOS'!$D$6:$D$2005,$B39))</f>
        <v/>
      </c>
      <c r="E39" s="18">
        <f>IF($B39="","",$C39-$D39)</f>
        <v/>
      </c>
      <c r="F39" s="18">
        <f>IF($B39="","",$H$14+SUMIFS('LANÇAMENTOS'!$V$6:$V$2005,'LANÇAMENTOS'!$E$6:$E$2005,"Entrada",'LANÇAMENTOS'!$D$6:$D$2005,"&lt;="&amp;$B39)-SUMIFS('LANÇAMENTOS'!$V$6:$V$2005,'LANÇAMENTOS'!$E$6:$E$2005,"Saída",'LANÇAMENTOS'!$D$6:$D$2005,"&lt;="&amp;$B39))</f>
        <v/>
      </c>
      <c r="G39" s="18">
        <f>IF($B39="","",SUMIFS('LANÇAMENTOS'!$W$6:$W$2005,'LANÇAMENTOS'!$E$6:$E$2005,"Entrada",'LANÇAMENTOS'!$C$6:$C$2005,$B39,'LANÇAMENTOS'!$W$6:$W$2005,"&gt;0"))</f>
        <v/>
      </c>
      <c r="H39" s="18">
        <f>IF($B39="","",SUMIFS('LANÇAMENTOS'!$W$6:$W$2005,'LANÇAMENTOS'!$E$6:$E$2005,"Saída",'LANÇAMENTOS'!$C$6:$C$2005,$B39,'LANÇAMENTOS'!$W$6:$W$2005,"&gt;0"))</f>
        <v/>
      </c>
      <c r="I39" s="18">
        <f>IF($B39="","",$F39+$G39-$H39)</f>
        <v/>
      </c>
    </row>
    <row r="40">
      <c r="A40" s="24">
        <f>IF(23&lt;=DAY(EOMONTH(DATE($B$14,$D$14,1),0)),23,"")</f>
        <v/>
      </c>
      <c r="B40" s="30">
        <f>IF($A40="","",DATE($B$14,$D$14,$A40))</f>
        <v/>
      </c>
      <c r="C40" s="18">
        <f>IF($B40="","",SUMIFS('LANÇAMENTOS'!$V$6:$V$2005,'LANÇAMENTOS'!$E$6:$E$2005,"Entrada",'LANÇAMENTOS'!$D$6:$D$2005,$B40))</f>
        <v/>
      </c>
      <c r="D40" s="18">
        <f>IF($B40="","",SUMIFS('LANÇAMENTOS'!$V$6:$V$2005,'LANÇAMENTOS'!$E$6:$E$2005,"Saída",'LANÇAMENTOS'!$D$6:$D$2005,$B40))</f>
        <v/>
      </c>
      <c r="E40" s="18">
        <f>IF($B40="","",$C40-$D40)</f>
        <v/>
      </c>
      <c r="F40" s="18">
        <f>IF($B40="","",$H$14+SUMIFS('LANÇAMENTOS'!$V$6:$V$2005,'LANÇAMENTOS'!$E$6:$E$2005,"Entrada",'LANÇAMENTOS'!$D$6:$D$2005,"&lt;="&amp;$B40)-SUMIFS('LANÇAMENTOS'!$V$6:$V$2005,'LANÇAMENTOS'!$E$6:$E$2005,"Saída",'LANÇAMENTOS'!$D$6:$D$2005,"&lt;="&amp;$B40))</f>
        <v/>
      </c>
      <c r="G40" s="18">
        <f>IF($B40="","",SUMIFS('LANÇAMENTOS'!$W$6:$W$2005,'LANÇAMENTOS'!$E$6:$E$2005,"Entrada",'LANÇAMENTOS'!$C$6:$C$2005,$B40,'LANÇAMENTOS'!$W$6:$W$2005,"&gt;0"))</f>
        <v/>
      </c>
      <c r="H40" s="18">
        <f>IF($B40="","",SUMIFS('LANÇAMENTOS'!$W$6:$W$2005,'LANÇAMENTOS'!$E$6:$E$2005,"Saída",'LANÇAMENTOS'!$C$6:$C$2005,$B40,'LANÇAMENTOS'!$W$6:$W$2005,"&gt;0"))</f>
        <v/>
      </c>
      <c r="I40" s="18">
        <f>IF($B40="","",$F40+$G40-$H40)</f>
        <v/>
      </c>
    </row>
    <row r="41">
      <c r="A41" s="24">
        <f>IF(24&lt;=DAY(EOMONTH(DATE($B$14,$D$14,1),0)),24,"")</f>
        <v/>
      </c>
      <c r="B41" s="30">
        <f>IF($A41="","",DATE($B$14,$D$14,$A41))</f>
        <v/>
      </c>
      <c r="C41" s="18">
        <f>IF($B41="","",SUMIFS('LANÇAMENTOS'!$V$6:$V$2005,'LANÇAMENTOS'!$E$6:$E$2005,"Entrada",'LANÇAMENTOS'!$D$6:$D$2005,$B41))</f>
        <v/>
      </c>
      <c r="D41" s="18">
        <f>IF($B41="","",SUMIFS('LANÇAMENTOS'!$V$6:$V$2005,'LANÇAMENTOS'!$E$6:$E$2005,"Saída",'LANÇAMENTOS'!$D$6:$D$2005,$B41))</f>
        <v/>
      </c>
      <c r="E41" s="18">
        <f>IF($B41="","",$C41-$D41)</f>
        <v/>
      </c>
      <c r="F41" s="18">
        <f>IF($B41="","",$H$14+SUMIFS('LANÇAMENTOS'!$V$6:$V$2005,'LANÇAMENTOS'!$E$6:$E$2005,"Entrada",'LANÇAMENTOS'!$D$6:$D$2005,"&lt;="&amp;$B41)-SUMIFS('LANÇAMENTOS'!$V$6:$V$2005,'LANÇAMENTOS'!$E$6:$E$2005,"Saída",'LANÇAMENTOS'!$D$6:$D$2005,"&lt;="&amp;$B41))</f>
        <v/>
      </c>
      <c r="G41" s="18">
        <f>IF($B41="","",SUMIFS('LANÇAMENTOS'!$W$6:$W$2005,'LANÇAMENTOS'!$E$6:$E$2005,"Entrada",'LANÇAMENTOS'!$C$6:$C$2005,$B41,'LANÇAMENTOS'!$W$6:$W$2005,"&gt;0"))</f>
        <v/>
      </c>
      <c r="H41" s="18">
        <f>IF($B41="","",SUMIFS('LANÇAMENTOS'!$W$6:$W$2005,'LANÇAMENTOS'!$E$6:$E$2005,"Saída",'LANÇAMENTOS'!$C$6:$C$2005,$B41,'LANÇAMENTOS'!$W$6:$W$2005,"&gt;0"))</f>
        <v/>
      </c>
      <c r="I41" s="18">
        <f>IF($B41="","",$F41+$G41-$H41)</f>
        <v/>
      </c>
    </row>
    <row r="42">
      <c r="A42" s="24">
        <f>IF(25&lt;=DAY(EOMONTH(DATE($B$14,$D$14,1),0)),25,"")</f>
        <v/>
      </c>
      <c r="B42" s="30">
        <f>IF($A42="","",DATE($B$14,$D$14,$A42))</f>
        <v/>
      </c>
      <c r="C42" s="18">
        <f>IF($B42="","",SUMIFS('LANÇAMENTOS'!$V$6:$V$2005,'LANÇAMENTOS'!$E$6:$E$2005,"Entrada",'LANÇAMENTOS'!$D$6:$D$2005,$B42))</f>
        <v/>
      </c>
      <c r="D42" s="18">
        <f>IF($B42="","",SUMIFS('LANÇAMENTOS'!$V$6:$V$2005,'LANÇAMENTOS'!$E$6:$E$2005,"Saída",'LANÇAMENTOS'!$D$6:$D$2005,$B42))</f>
        <v/>
      </c>
      <c r="E42" s="18">
        <f>IF($B42="","",$C42-$D42)</f>
        <v/>
      </c>
      <c r="F42" s="18">
        <f>IF($B42="","",$H$14+SUMIFS('LANÇAMENTOS'!$V$6:$V$2005,'LANÇAMENTOS'!$E$6:$E$2005,"Entrada",'LANÇAMENTOS'!$D$6:$D$2005,"&lt;="&amp;$B42)-SUMIFS('LANÇAMENTOS'!$V$6:$V$2005,'LANÇAMENTOS'!$E$6:$E$2005,"Saída",'LANÇAMENTOS'!$D$6:$D$2005,"&lt;="&amp;$B42))</f>
        <v/>
      </c>
      <c r="G42" s="18">
        <f>IF($B42="","",SUMIFS('LANÇAMENTOS'!$W$6:$W$2005,'LANÇAMENTOS'!$E$6:$E$2005,"Entrada",'LANÇAMENTOS'!$C$6:$C$2005,$B42,'LANÇAMENTOS'!$W$6:$W$2005,"&gt;0"))</f>
        <v/>
      </c>
      <c r="H42" s="18">
        <f>IF($B42="","",SUMIFS('LANÇAMENTOS'!$W$6:$W$2005,'LANÇAMENTOS'!$E$6:$E$2005,"Saída",'LANÇAMENTOS'!$C$6:$C$2005,$B42,'LANÇAMENTOS'!$W$6:$W$2005,"&gt;0"))</f>
        <v/>
      </c>
      <c r="I42" s="18">
        <f>IF($B42="","",$F42+$G42-$H42)</f>
        <v/>
      </c>
    </row>
    <row r="43">
      <c r="A43" s="24">
        <f>IF(26&lt;=DAY(EOMONTH(DATE($B$14,$D$14,1),0)),26,"")</f>
        <v/>
      </c>
      <c r="B43" s="30">
        <f>IF($A43="","",DATE($B$14,$D$14,$A43))</f>
        <v/>
      </c>
      <c r="C43" s="18">
        <f>IF($B43="","",SUMIFS('LANÇAMENTOS'!$V$6:$V$2005,'LANÇAMENTOS'!$E$6:$E$2005,"Entrada",'LANÇAMENTOS'!$D$6:$D$2005,$B43))</f>
        <v/>
      </c>
      <c r="D43" s="18">
        <f>IF($B43="","",SUMIFS('LANÇAMENTOS'!$V$6:$V$2005,'LANÇAMENTOS'!$E$6:$E$2005,"Saída",'LANÇAMENTOS'!$D$6:$D$2005,$B43))</f>
        <v/>
      </c>
      <c r="E43" s="18">
        <f>IF($B43="","",$C43-$D43)</f>
        <v/>
      </c>
      <c r="F43" s="18">
        <f>IF($B43="","",$H$14+SUMIFS('LANÇAMENTOS'!$V$6:$V$2005,'LANÇAMENTOS'!$E$6:$E$2005,"Entrada",'LANÇAMENTOS'!$D$6:$D$2005,"&lt;="&amp;$B43)-SUMIFS('LANÇAMENTOS'!$V$6:$V$2005,'LANÇAMENTOS'!$E$6:$E$2005,"Saída",'LANÇAMENTOS'!$D$6:$D$2005,"&lt;="&amp;$B43))</f>
        <v/>
      </c>
      <c r="G43" s="18">
        <f>IF($B43="","",SUMIFS('LANÇAMENTOS'!$W$6:$W$2005,'LANÇAMENTOS'!$E$6:$E$2005,"Entrada",'LANÇAMENTOS'!$C$6:$C$2005,$B43,'LANÇAMENTOS'!$W$6:$W$2005,"&gt;0"))</f>
        <v/>
      </c>
      <c r="H43" s="18">
        <f>IF($B43="","",SUMIFS('LANÇAMENTOS'!$W$6:$W$2005,'LANÇAMENTOS'!$E$6:$E$2005,"Saída",'LANÇAMENTOS'!$C$6:$C$2005,$B43,'LANÇAMENTOS'!$W$6:$W$2005,"&gt;0"))</f>
        <v/>
      </c>
      <c r="I43" s="18">
        <f>IF($B43="","",$F43+$G43-$H43)</f>
        <v/>
      </c>
    </row>
    <row r="44">
      <c r="A44" s="24">
        <f>IF(27&lt;=DAY(EOMONTH(DATE($B$14,$D$14,1),0)),27,"")</f>
        <v/>
      </c>
      <c r="B44" s="30">
        <f>IF($A44="","",DATE($B$14,$D$14,$A44))</f>
        <v/>
      </c>
      <c r="C44" s="18">
        <f>IF($B44="","",SUMIFS('LANÇAMENTOS'!$V$6:$V$2005,'LANÇAMENTOS'!$E$6:$E$2005,"Entrada",'LANÇAMENTOS'!$D$6:$D$2005,$B44))</f>
        <v/>
      </c>
      <c r="D44" s="18">
        <f>IF($B44="","",SUMIFS('LANÇAMENTOS'!$V$6:$V$2005,'LANÇAMENTOS'!$E$6:$E$2005,"Saída",'LANÇAMENTOS'!$D$6:$D$2005,$B44))</f>
        <v/>
      </c>
      <c r="E44" s="18">
        <f>IF($B44="","",$C44-$D44)</f>
        <v/>
      </c>
      <c r="F44" s="18">
        <f>IF($B44="","",$H$14+SUMIFS('LANÇAMENTOS'!$V$6:$V$2005,'LANÇAMENTOS'!$E$6:$E$2005,"Entrada",'LANÇAMENTOS'!$D$6:$D$2005,"&lt;="&amp;$B44)-SUMIFS('LANÇAMENTOS'!$V$6:$V$2005,'LANÇAMENTOS'!$E$6:$E$2005,"Saída",'LANÇAMENTOS'!$D$6:$D$2005,"&lt;="&amp;$B44))</f>
        <v/>
      </c>
      <c r="G44" s="18">
        <f>IF($B44="","",SUMIFS('LANÇAMENTOS'!$W$6:$W$2005,'LANÇAMENTOS'!$E$6:$E$2005,"Entrada",'LANÇAMENTOS'!$C$6:$C$2005,$B44,'LANÇAMENTOS'!$W$6:$W$2005,"&gt;0"))</f>
        <v/>
      </c>
      <c r="H44" s="18">
        <f>IF($B44="","",SUMIFS('LANÇAMENTOS'!$W$6:$W$2005,'LANÇAMENTOS'!$E$6:$E$2005,"Saída",'LANÇAMENTOS'!$C$6:$C$2005,$B44,'LANÇAMENTOS'!$W$6:$W$2005,"&gt;0"))</f>
        <v/>
      </c>
      <c r="I44" s="18">
        <f>IF($B44="","",$F44+$G44-$H44)</f>
        <v/>
      </c>
    </row>
    <row r="45">
      <c r="A45" s="24">
        <f>IF(28&lt;=DAY(EOMONTH(DATE($B$14,$D$14,1),0)),28,"")</f>
        <v/>
      </c>
      <c r="B45" s="30">
        <f>IF($A45="","",DATE($B$14,$D$14,$A45))</f>
        <v/>
      </c>
      <c r="C45" s="18">
        <f>IF($B45="","",SUMIFS('LANÇAMENTOS'!$V$6:$V$2005,'LANÇAMENTOS'!$E$6:$E$2005,"Entrada",'LANÇAMENTOS'!$D$6:$D$2005,$B45))</f>
        <v/>
      </c>
      <c r="D45" s="18">
        <f>IF($B45="","",SUMIFS('LANÇAMENTOS'!$V$6:$V$2005,'LANÇAMENTOS'!$E$6:$E$2005,"Saída",'LANÇAMENTOS'!$D$6:$D$2005,$B45))</f>
        <v/>
      </c>
      <c r="E45" s="18">
        <f>IF($B45="","",$C45-$D45)</f>
        <v/>
      </c>
      <c r="F45" s="18">
        <f>IF($B45="","",$H$14+SUMIFS('LANÇAMENTOS'!$V$6:$V$2005,'LANÇAMENTOS'!$E$6:$E$2005,"Entrada",'LANÇAMENTOS'!$D$6:$D$2005,"&lt;="&amp;$B45)-SUMIFS('LANÇAMENTOS'!$V$6:$V$2005,'LANÇAMENTOS'!$E$6:$E$2005,"Saída",'LANÇAMENTOS'!$D$6:$D$2005,"&lt;="&amp;$B45))</f>
        <v/>
      </c>
      <c r="G45" s="18">
        <f>IF($B45="","",SUMIFS('LANÇAMENTOS'!$W$6:$W$2005,'LANÇAMENTOS'!$E$6:$E$2005,"Entrada",'LANÇAMENTOS'!$C$6:$C$2005,$B45,'LANÇAMENTOS'!$W$6:$W$2005,"&gt;0"))</f>
        <v/>
      </c>
      <c r="H45" s="18">
        <f>IF($B45="","",SUMIFS('LANÇAMENTOS'!$W$6:$W$2005,'LANÇAMENTOS'!$E$6:$E$2005,"Saída",'LANÇAMENTOS'!$C$6:$C$2005,$B45,'LANÇAMENTOS'!$W$6:$W$2005,"&gt;0"))</f>
        <v/>
      </c>
      <c r="I45" s="18">
        <f>IF($B45="","",$F45+$G45-$H45)</f>
        <v/>
      </c>
    </row>
    <row r="46">
      <c r="A46" s="24">
        <f>IF(29&lt;=DAY(EOMONTH(DATE($B$14,$D$14,1),0)),29,"")</f>
        <v/>
      </c>
      <c r="B46" s="30">
        <f>IF($A46="","",DATE($B$14,$D$14,$A46))</f>
        <v/>
      </c>
      <c r="C46" s="18">
        <f>IF($B46="","",SUMIFS('LANÇAMENTOS'!$V$6:$V$2005,'LANÇAMENTOS'!$E$6:$E$2005,"Entrada",'LANÇAMENTOS'!$D$6:$D$2005,$B46))</f>
        <v/>
      </c>
      <c r="D46" s="18">
        <f>IF($B46="","",SUMIFS('LANÇAMENTOS'!$V$6:$V$2005,'LANÇAMENTOS'!$E$6:$E$2005,"Saída",'LANÇAMENTOS'!$D$6:$D$2005,$B46))</f>
        <v/>
      </c>
      <c r="E46" s="18">
        <f>IF($B46="","",$C46-$D46)</f>
        <v/>
      </c>
      <c r="F46" s="18">
        <f>IF($B46="","",$H$14+SUMIFS('LANÇAMENTOS'!$V$6:$V$2005,'LANÇAMENTOS'!$E$6:$E$2005,"Entrada",'LANÇAMENTOS'!$D$6:$D$2005,"&lt;="&amp;$B46)-SUMIFS('LANÇAMENTOS'!$V$6:$V$2005,'LANÇAMENTOS'!$E$6:$E$2005,"Saída",'LANÇAMENTOS'!$D$6:$D$2005,"&lt;="&amp;$B46))</f>
        <v/>
      </c>
      <c r="G46" s="18">
        <f>IF($B46="","",SUMIFS('LANÇAMENTOS'!$W$6:$W$2005,'LANÇAMENTOS'!$E$6:$E$2005,"Entrada",'LANÇAMENTOS'!$C$6:$C$2005,$B46,'LANÇAMENTOS'!$W$6:$W$2005,"&gt;0"))</f>
        <v/>
      </c>
      <c r="H46" s="18">
        <f>IF($B46="","",SUMIFS('LANÇAMENTOS'!$W$6:$W$2005,'LANÇAMENTOS'!$E$6:$E$2005,"Saída",'LANÇAMENTOS'!$C$6:$C$2005,$B46,'LANÇAMENTOS'!$W$6:$W$2005,"&gt;0"))</f>
        <v/>
      </c>
      <c r="I46" s="18">
        <f>IF($B46="","",$F46+$G46-$H46)</f>
        <v/>
      </c>
    </row>
    <row r="47">
      <c r="A47" s="24">
        <f>IF(30&lt;=DAY(EOMONTH(DATE($B$14,$D$14,1),0)),30,"")</f>
        <v/>
      </c>
      <c r="B47" s="30">
        <f>IF($A47="","",DATE($B$14,$D$14,$A47))</f>
        <v/>
      </c>
      <c r="C47" s="18">
        <f>IF($B47="","",SUMIFS('LANÇAMENTOS'!$V$6:$V$2005,'LANÇAMENTOS'!$E$6:$E$2005,"Entrada",'LANÇAMENTOS'!$D$6:$D$2005,$B47))</f>
        <v/>
      </c>
      <c r="D47" s="18">
        <f>IF($B47="","",SUMIFS('LANÇAMENTOS'!$V$6:$V$2005,'LANÇAMENTOS'!$E$6:$E$2005,"Saída",'LANÇAMENTOS'!$D$6:$D$2005,$B47))</f>
        <v/>
      </c>
      <c r="E47" s="18">
        <f>IF($B47="","",$C47-$D47)</f>
        <v/>
      </c>
      <c r="F47" s="18">
        <f>IF($B47="","",$H$14+SUMIFS('LANÇAMENTOS'!$V$6:$V$2005,'LANÇAMENTOS'!$E$6:$E$2005,"Entrada",'LANÇAMENTOS'!$D$6:$D$2005,"&lt;="&amp;$B47)-SUMIFS('LANÇAMENTOS'!$V$6:$V$2005,'LANÇAMENTOS'!$E$6:$E$2005,"Saída",'LANÇAMENTOS'!$D$6:$D$2005,"&lt;="&amp;$B47))</f>
        <v/>
      </c>
      <c r="G47" s="18">
        <f>IF($B47="","",SUMIFS('LANÇAMENTOS'!$W$6:$W$2005,'LANÇAMENTOS'!$E$6:$E$2005,"Entrada",'LANÇAMENTOS'!$C$6:$C$2005,$B47,'LANÇAMENTOS'!$W$6:$W$2005,"&gt;0"))</f>
        <v/>
      </c>
      <c r="H47" s="18">
        <f>IF($B47="","",SUMIFS('LANÇAMENTOS'!$W$6:$W$2005,'LANÇAMENTOS'!$E$6:$E$2005,"Saída",'LANÇAMENTOS'!$C$6:$C$2005,$B47,'LANÇAMENTOS'!$W$6:$W$2005,"&gt;0"))</f>
        <v/>
      </c>
      <c r="I47" s="18">
        <f>IF($B47="","",$F47+$G47-$H47)</f>
        <v/>
      </c>
    </row>
    <row r="48">
      <c r="A48" s="24">
        <f>IF(31&lt;=DAY(EOMONTH(DATE($B$14,$D$14,1),0)),31,"")</f>
        <v/>
      </c>
      <c r="B48" s="30">
        <f>IF($A48="","",DATE($B$14,$D$14,$A48))</f>
        <v/>
      </c>
      <c r="C48" s="18">
        <f>IF($B48="","",SUMIFS('LANÇAMENTOS'!$V$6:$V$2005,'LANÇAMENTOS'!$E$6:$E$2005,"Entrada",'LANÇAMENTOS'!$D$6:$D$2005,$B48))</f>
        <v/>
      </c>
      <c r="D48" s="18">
        <f>IF($B48="","",SUMIFS('LANÇAMENTOS'!$V$6:$V$2005,'LANÇAMENTOS'!$E$6:$E$2005,"Saída",'LANÇAMENTOS'!$D$6:$D$2005,$B48))</f>
        <v/>
      </c>
      <c r="E48" s="18">
        <f>IF($B48="","",$C48-$D48)</f>
        <v/>
      </c>
      <c r="F48" s="18">
        <f>IF($B48="","",$H$14+SUMIFS('LANÇAMENTOS'!$V$6:$V$2005,'LANÇAMENTOS'!$E$6:$E$2005,"Entrada",'LANÇAMENTOS'!$D$6:$D$2005,"&lt;="&amp;$B48)-SUMIFS('LANÇAMENTOS'!$V$6:$V$2005,'LANÇAMENTOS'!$E$6:$E$2005,"Saída",'LANÇAMENTOS'!$D$6:$D$2005,"&lt;="&amp;$B48))</f>
        <v/>
      </c>
      <c r="G48" s="18">
        <f>IF($B48="","",SUMIFS('LANÇAMENTOS'!$W$6:$W$2005,'LANÇAMENTOS'!$E$6:$E$2005,"Entrada",'LANÇAMENTOS'!$C$6:$C$2005,$B48,'LANÇAMENTOS'!$W$6:$W$2005,"&gt;0"))</f>
        <v/>
      </c>
      <c r="H48" s="18">
        <f>IF($B48="","",SUMIFS('LANÇAMENTOS'!$W$6:$W$2005,'LANÇAMENTOS'!$E$6:$E$2005,"Saída",'LANÇAMENTOS'!$C$6:$C$2005,$B48,'LANÇAMENTOS'!$W$6:$W$2005,"&gt;0"))</f>
        <v/>
      </c>
      <c r="I48" s="18">
        <f>IF($B48="","",$F48+$G48-$H48)</f>
        <v/>
      </c>
    </row>
    <row r="50" ht="20" customHeight="1">
      <c r="A50" s="4" t="inlineStr">
        <is>
          <t>3. FLUXO DE CAIXA MENSAL — ano de análise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44" customHeight="1">
      <c r="A51" s="34" t="inlineStr">
        <is>
          <t>Mês</t>
        </is>
      </c>
      <c r="B51" s="34" t="inlineStr">
        <is>
          <t>Saldo inicial</t>
        </is>
      </c>
      <c r="C51" s="34" t="inlineStr">
        <is>
          <t>Entradas realizadas</t>
        </is>
      </c>
      <c r="D51" s="34" t="inlineStr">
        <is>
          <t>Saídas realizadas</t>
        </is>
      </c>
      <c r="E51" s="34" t="inlineStr">
        <is>
          <t>Resultado do mês</t>
        </is>
      </c>
      <c r="F51" s="34" t="inlineStr">
        <is>
          <t>Saldo final</t>
        </is>
      </c>
      <c r="G51" s="34" t="inlineStr">
        <is>
          <t>Entradas previstas</t>
        </is>
      </c>
      <c r="H51" s="34" t="inlineStr">
        <is>
          <t>Saídas previstas</t>
        </is>
      </c>
      <c r="I51" s="34" t="inlineStr">
        <is>
          <t>Saldo projetado</t>
        </is>
      </c>
      <c r="J51" s="34" t="inlineStr">
        <is>
          <t>Entradas operacionais</t>
        </is>
      </c>
      <c r="K51" s="34" t="inlineStr">
        <is>
          <t>Saídas operacionais</t>
        </is>
      </c>
      <c r="L51" s="34" t="inlineStr">
        <is>
          <t>Resultado operacional</t>
        </is>
      </c>
      <c r="M51" s="34" t="inlineStr">
        <is>
          <t>Investimentos (líquido)</t>
        </is>
      </c>
      <c r="N51" s="34" t="inlineStr">
        <is>
          <t>Financiamentos (líquido)</t>
        </is>
      </c>
    </row>
    <row r="52">
      <c r="A52" s="17">
        <f>"Mês 01"</f>
        <v/>
      </c>
      <c r="B52" s="18">
        <f>SUM('CONTAS BANCÁRIAS'!$G$6:$G$13)+SUMIFS('LANÇAMENTOS'!$V$6:$V$2005,'LANÇAMENTOS'!$E$6:$E$2005,"Entrada",'LANÇAMENTOS'!$D$6:$D$2005,"&lt;"&amp;DATE('CONFIGURAÇÕES'!$B$18,1,1))-SUMIFS('LANÇAMENTOS'!$V$6:$V$2005,'LANÇAMENTOS'!$E$6:$E$2005,"Saída",'LANÇAMENTOS'!$D$6:$D$2005,"&lt;"&amp;DATE('CONFIGURAÇÕES'!$B$18,1,1))</f>
        <v/>
      </c>
      <c r="C52" s="18">
        <f>SUMIFS('LANÇAMENTOS'!$V$6:$V$2005,'LANÇAMENTOS'!$E$6:$E$2005,"Entrada",'LANÇAMENTOS'!$D$6:$D$2005,"&gt;="&amp;DATE('CONFIGURAÇÕES'!$B$18,1,1),'LANÇAMENTOS'!$D$6:$D$2005,"&lt;="&amp;EOMONTH(DATE('CONFIGURAÇÕES'!$B$18,1,1),0))</f>
        <v/>
      </c>
      <c r="D52" s="18">
        <f>SUMIFS('LANÇAMENTOS'!$V$6:$V$2005,'LANÇAMENTOS'!$E$6:$E$2005,"Saída",'LANÇAMENTOS'!$D$6:$D$2005,"&gt;="&amp;DATE('CONFIGURAÇÕES'!$B$18,1,1),'LANÇAMENTOS'!$D$6:$D$2005,"&lt;="&amp;EOMONTH(DATE('CONFIGURAÇÕES'!$B$18,1,1),0))</f>
        <v/>
      </c>
      <c r="E52" s="18">
        <f>$C52-$D52</f>
        <v/>
      </c>
      <c r="F52" s="18">
        <f>$B52+$E52</f>
        <v/>
      </c>
      <c r="G52" s="18">
        <f>SUMIFS('LANÇAMENTOS'!$W$6:$W$2005,'LANÇAMENTOS'!$E$6:$E$2005,"Entrada",'LANÇAMENTOS'!$C$6:$C$2005,"&gt;="&amp;DATE('CONFIGURAÇÕES'!$B$18,1,1),'LANÇAMENTOS'!$C$6:$C$2005,"&lt;="&amp;EOMONTH(DATE('CONFIGURAÇÕES'!$B$18,1,1),0),'LANÇAMENTOS'!$W$6:$W$2005,"&gt;0")</f>
        <v/>
      </c>
      <c r="H52" s="18">
        <f>SUMIFS('LANÇAMENTOS'!$W$6:$W$2005,'LANÇAMENTOS'!$E$6:$E$2005,"Saída",'LANÇAMENTOS'!$C$6:$C$2005,"&gt;="&amp;DATE('CONFIGURAÇÕES'!$B$18,1,1),'LANÇAMENTOS'!$C$6:$C$2005,"&lt;="&amp;EOMONTH(DATE('CONFIGURAÇÕES'!$B$18,1,1),0),'LANÇAMENTOS'!$W$6:$W$2005,"&gt;0")</f>
        <v/>
      </c>
      <c r="I52" s="18">
        <f>$F52+$G52-$H52</f>
        <v/>
      </c>
      <c r="J52" s="18">
        <f>SUMIFS('LANÇAMENTOS'!$V$6:$V$2005,'LANÇAMENTOS'!$E$6:$E$2005,"Entrada",'LANÇAMENTOS'!$AG$6:$AG$2005,"Operacional",'LANÇAMENTOS'!$D$6:$D$2005,"&gt;="&amp;DATE('CONFIGURAÇÕES'!$B$18,1,1),'LANÇAMENTOS'!$D$6:$D$2005,"&lt;="&amp;EOMONTH(DATE('CONFIGURAÇÕES'!$B$18,1,1),0))</f>
        <v/>
      </c>
      <c r="K52" s="18">
        <f>SUMIFS('LANÇAMENTOS'!$V$6:$V$2005,'LANÇAMENTOS'!$E$6:$E$2005,"Saída",'LANÇAMENTOS'!$AG$6:$AG$2005,"Operacional",'LANÇAMENTOS'!$D$6:$D$2005,"&gt;="&amp;DATE('CONFIGURAÇÕES'!$B$18,1,1),'LANÇAMENTOS'!$D$6:$D$2005,"&lt;="&amp;EOMONTH(DATE('CONFIGURAÇÕES'!$B$18,1,1),0))</f>
        <v/>
      </c>
      <c r="L52" s="18">
        <f>$J52-$K52</f>
        <v/>
      </c>
      <c r="M52" s="18">
        <f>SUMIFS('LANÇAMENTOS'!$V$6:$V$2005,'LANÇAMENTOS'!$E$6:$E$2005,"Entrada",'LANÇAMENTOS'!$AG$6:$AG$2005,"Investimento",'LANÇAMENTOS'!$D$6:$D$2005,"&gt;="&amp;DATE('CONFIGURAÇÕES'!$B$18,1,1),'LANÇAMENTOS'!$D$6:$D$2005,"&lt;="&amp;EOMONTH(DATE('CONFIGURAÇÕES'!$B$18,1,1),0))-SUMIFS('LANÇAMENTOS'!$V$6:$V$2005,'LANÇAMENTOS'!$E$6:$E$2005,"Saída",'LANÇAMENTOS'!$AG$6:$AG$2005,"Investimento",'LANÇAMENTOS'!$D$6:$D$2005,"&gt;="&amp;DATE('CONFIGURAÇÕES'!$B$18,1,1),'LANÇAMENTOS'!$D$6:$D$2005,"&lt;="&amp;EOMONTH(DATE('CONFIGURAÇÕES'!$B$18,1,1),0))</f>
        <v/>
      </c>
      <c r="N52" s="18">
        <f>SUMIFS('LANÇAMENTOS'!$V$6:$V$2005,'LANÇAMENTOS'!$E$6:$E$2005,"Entrada",'LANÇAMENTOS'!$AG$6:$AG$2005,"Financiamento",'LANÇAMENTOS'!$D$6:$D$2005,"&gt;="&amp;DATE('CONFIGURAÇÕES'!$B$18,1,1),'LANÇAMENTOS'!$D$6:$D$2005,"&lt;="&amp;EOMONTH(DATE('CONFIGURAÇÕES'!$B$18,1,1),0))-SUMIFS('LANÇAMENTOS'!$V$6:$V$2005,'LANÇAMENTOS'!$E$6:$E$2005,"Saída",'LANÇAMENTOS'!$AG$6:$AG$2005,"Financiamento",'LANÇAMENTOS'!$D$6:$D$2005,"&gt;="&amp;DATE('CONFIGURAÇÕES'!$B$18,1,1),'LANÇAMENTOS'!$D$6:$D$2005,"&lt;="&amp;EOMONTH(DATE('CONFIGURAÇÕES'!$B$18,1,1),0))</f>
        <v/>
      </c>
    </row>
    <row r="53">
      <c r="A53" s="17">
        <f>"Mês 02"</f>
        <v/>
      </c>
      <c r="B53" s="18">
        <f>SUM('CONTAS BANCÁRIAS'!$G$6:$G$13)+SUMIFS('LANÇAMENTOS'!$V$6:$V$2005,'LANÇAMENTOS'!$E$6:$E$2005,"Entrada",'LANÇAMENTOS'!$D$6:$D$2005,"&lt;"&amp;DATE('CONFIGURAÇÕES'!$B$18,2,1))-SUMIFS('LANÇAMENTOS'!$V$6:$V$2005,'LANÇAMENTOS'!$E$6:$E$2005,"Saída",'LANÇAMENTOS'!$D$6:$D$2005,"&lt;"&amp;DATE('CONFIGURAÇÕES'!$B$18,2,1))</f>
        <v/>
      </c>
      <c r="C53" s="18">
        <f>SUMIFS('LANÇAMENTOS'!$V$6:$V$2005,'LANÇAMENTOS'!$E$6:$E$2005,"Entrada",'LANÇAMENTOS'!$D$6:$D$2005,"&gt;="&amp;DATE('CONFIGURAÇÕES'!$B$18,2,1),'LANÇAMENTOS'!$D$6:$D$2005,"&lt;="&amp;EOMONTH(DATE('CONFIGURAÇÕES'!$B$18,2,1),0))</f>
        <v/>
      </c>
      <c r="D53" s="18">
        <f>SUMIFS('LANÇAMENTOS'!$V$6:$V$2005,'LANÇAMENTOS'!$E$6:$E$2005,"Saída",'LANÇAMENTOS'!$D$6:$D$2005,"&gt;="&amp;DATE('CONFIGURAÇÕES'!$B$18,2,1),'LANÇAMENTOS'!$D$6:$D$2005,"&lt;="&amp;EOMONTH(DATE('CONFIGURAÇÕES'!$B$18,2,1),0))</f>
        <v/>
      </c>
      <c r="E53" s="18">
        <f>$C53-$D53</f>
        <v/>
      </c>
      <c r="F53" s="18">
        <f>$B53+$E53</f>
        <v/>
      </c>
      <c r="G53" s="18">
        <f>SUMIFS('LANÇAMENTOS'!$W$6:$W$2005,'LANÇAMENTOS'!$E$6:$E$2005,"Entrada",'LANÇAMENTOS'!$C$6:$C$2005,"&gt;="&amp;DATE('CONFIGURAÇÕES'!$B$18,2,1),'LANÇAMENTOS'!$C$6:$C$2005,"&lt;="&amp;EOMONTH(DATE('CONFIGURAÇÕES'!$B$18,2,1),0),'LANÇAMENTOS'!$W$6:$W$2005,"&gt;0")</f>
        <v/>
      </c>
      <c r="H53" s="18">
        <f>SUMIFS('LANÇAMENTOS'!$W$6:$W$2005,'LANÇAMENTOS'!$E$6:$E$2005,"Saída",'LANÇAMENTOS'!$C$6:$C$2005,"&gt;="&amp;DATE('CONFIGURAÇÕES'!$B$18,2,1),'LANÇAMENTOS'!$C$6:$C$2005,"&lt;="&amp;EOMONTH(DATE('CONFIGURAÇÕES'!$B$18,2,1),0),'LANÇAMENTOS'!$W$6:$W$2005,"&gt;0")</f>
        <v/>
      </c>
      <c r="I53" s="18">
        <f>$F53+$G53-$H53</f>
        <v/>
      </c>
      <c r="J53" s="18">
        <f>SUMIFS('LANÇAMENTOS'!$V$6:$V$2005,'LANÇAMENTOS'!$E$6:$E$2005,"Entrada",'LANÇAMENTOS'!$AG$6:$AG$2005,"Operacional",'LANÇAMENTOS'!$D$6:$D$2005,"&gt;="&amp;DATE('CONFIGURAÇÕES'!$B$18,2,1),'LANÇAMENTOS'!$D$6:$D$2005,"&lt;="&amp;EOMONTH(DATE('CONFIGURAÇÕES'!$B$18,2,1),0))</f>
        <v/>
      </c>
      <c r="K53" s="18">
        <f>SUMIFS('LANÇAMENTOS'!$V$6:$V$2005,'LANÇAMENTOS'!$E$6:$E$2005,"Saída",'LANÇAMENTOS'!$AG$6:$AG$2005,"Operacional",'LANÇAMENTOS'!$D$6:$D$2005,"&gt;="&amp;DATE('CONFIGURAÇÕES'!$B$18,2,1),'LANÇAMENTOS'!$D$6:$D$2005,"&lt;="&amp;EOMONTH(DATE('CONFIGURAÇÕES'!$B$18,2,1),0))</f>
        <v/>
      </c>
      <c r="L53" s="18">
        <f>$J53-$K53</f>
        <v/>
      </c>
      <c r="M53" s="18">
        <f>SUMIFS('LANÇAMENTOS'!$V$6:$V$2005,'LANÇAMENTOS'!$E$6:$E$2005,"Entrada",'LANÇAMENTOS'!$AG$6:$AG$2005,"Investimento",'LANÇAMENTOS'!$D$6:$D$2005,"&gt;="&amp;DATE('CONFIGURAÇÕES'!$B$18,2,1),'LANÇAMENTOS'!$D$6:$D$2005,"&lt;="&amp;EOMONTH(DATE('CONFIGURAÇÕES'!$B$18,2,1),0))-SUMIFS('LANÇAMENTOS'!$V$6:$V$2005,'LANÇAMENTOS'!$E$6:$E$2005,"Saída",'LANÇAMENTOS'!$AG$6:$AG$2005,"Investimento",'LANÇAMENTOS'!$D$6:$D$2005,"&gt;="&amp;DATE('CONFIGURAÇÕES'!$B$18,2,1),'LANÇAMENTOS'!$D$6:$D$2005,"&lt;="&amp;EOMONTH(DATE('CONFIGURAÇÕES'!$B$18,2,1),0))</f>
        <v/>
      </c>
      <c r="N53" s="18">
        <f>SUMIFS('LANÇAMENTOS'!$V$6:$V$2005,'LANÇAMENTOS'!$E$6:$E$2005,"Entrada",'LANÇAMENTOS'!$AG$6:$AG$2005,"Financiamento",'LANÇAMENTOS'!$D$6:$D$2005,"&gt;="&amp;DATE('CONFIGURAÇÕES'!$B$18,2,1),'LANÇAMENTOS'!$D$6:$D$2005,"&lt;="&amp;EOMONTH(DATE('CONFIGURAÇÕES'!$B$18,2,1),0))-SUMIFS('LANÇAMENTOS'!$V$6:$V$2005,'LANÇAMENTOS'!$E$6:$E$2005,"Saída",'LANÇAMENTOS'!$AG$6:$AG$2005,"Financiamento",'LANÇAMENTOS'!$D$6:$D$2005,"&gt;="&amp;DATE('CONFIGURAÇÕES'!$B$18,2,1),'LANÇAMENTOS'!$D$6:$D$2005,"&lt;="&amp;EOMONTH(DATE('CONFIGURAÇÕES'!$B$18,2,1),0))</f>
        <v/>
      </c>
    </row>
    <row r="54">
      <c r="A54" s="17">
        <f>"Mês 03"</f>
        <v/>
      </c>
      <c r="B54" s="18">
        <f>SUM('CONTAS BANCÁRIAS'!$G$6:$G$13)+SUMIFS('LANÇAMENTOS'!$V$6:$V$2005,'LANÇAMENTOS'!$E$6:$E$2005,"Entrada",'LANÇAMENTOS'!$D$6:$D$2005,"&lt;"&amp;DATE('CONFIGURAÇÕES'!$B$18,3,1))-SUMIFS('LANÇAMENTOS'!$V$6:$V$2005,'LANÇAMENTOS'!$E$6:$E$2005,"Saída",'LANÇAMENTOS'!$D$6:$D$2005,"&lt;"&amp;DATE('CONFIGURAÇÕES'!$B$18,3,1))</f>
        <v/>
      </c>
      <c r="C54" s="18">
        <f>SUMIFS('LANÇAMENTOS'!$V$6:$V$2005,'LANÇAMENTOS'!$E$6:$E$2005,"Entrada",'LANÇAMENTOS'!$D$6:$D$2005,"&gt;="&amp;DATE('CONFIGURAÇÕES'!$B$18,3,1),'LANÇAMENTOS'!$D$6:$D$2005,"&lt;="&amp;EOMONTH(DATE('CONFIGURAÇÕES'!$B$18,3,1),0))</f>
        <v/>
      </c>
      <c r="D54" s="18">
        <f>SUMIFS('LANÇAMENTOS'!$V$6:$V$2005,'LANÇAMENTOS'!$E$6:$E$2005,"Saída",'LANÇAMENTOS'!$D$6:$D$2005,"&gt;="&amp;DATE('CONFIGURAÇÕES'!$B$18,3,1),'LANÇAMENTOS'!$D$6:$D$2005,"&lt;="&amp;EOMONTH(DATE('CONFIGURAÇÕES'!$B$18,3,1),0))</f>
        <v/>
      </c>
      <c r="E54" s="18">
        <f>$C54-$D54</f>
        <v/>
      </c>
      <c r="F54" s="18">
        <f>$B54+$E54</f>
        <v/>
      </c>
      <c r="G54" s="18">
        <f>SUMIFS('LANÇAMENTOS'!$W$6:$W$2005,'LANÇAMENTOS'!$E$6:$E$2005,"Entrada",'LANÇAMENTOS'!$C$6:$C$2005,"&gt;="&amp;DATE('CONFIGURAÇÕES'!$B$18,3,1),'LANÇAMENTOS'!$C$6:$C$2005,"&lt;="&amp;EOMONTH(DATE('CONFIGURAÇÕES'!$B$18,3,1),0),'LANÇAMENTOS'!$W$6:$W$2005,"&gt;0")</f>
        <v/>
      </c>
      <c r="H54" s="18">
        <f>SUMIFS('LANÇAMENTOS'!$W$6:$W$2005,'LANÇAMENTOS'!$E$6:$E$2005,"Saída",'LANÇAMENTOS'!$C$6:$C$2005,"&gt;="&amp;DATE('CONFIGURAÇÕES'!$B$18,3,1),'LANÇAMENTOS'!$C$6:$C$2005,"&lt;="&amp;EOMONTH(DATE('CONFIGURAÇÕES'!$B$18,3,1),0),'LANÇAMENTOS'!$W$6:$W$2005,"&gt;0")</f>
        <v/>
      </c>
      <c r="I54" s="18">
        <f>$F54+$G54-$H54</f>
        <v/>
      </c>
      <c r="J54" s="18">
        <f>SUMIFS('LANÇAMENTOS'!$V$6:$V$2005,'LANÇAMENTOS'!$E$6:$E$2005,"Entrada",'LANÇAMENTOS'!$AG$6:$AG$2005,"Operacional",'LANÇAMENTOS'!$D$6:$D$2005,"&gt;="&amp;DATE('CONFIGURAÇÕES'!$B$18,3,1),'LANÇAMENTOS'!$D$6:$D$2005,"&lt;="&amp;EOMONTH(DATE('CONFIGURAÇÕES'!$B$18,3,1),0))</f>
        <v/>
      </c>
      <c r="K54" s="18">
        <f>SUMIFS('LANÇAMENTOS'!$V$6:$V$2005,'LANÇAMENTOS'!$E$6:$E$2005,"Saída",'LANÇAMENTOS'!$AG$6:$AG$2005,"Operacional",'LANÇAMENTOS'!$D$6:$D$2005,"&gt;="&amp;DATE('CONFIGURAÇÕES'!$B$18,3,1),'LANÇAMENTOS'!$D$6:$D$2005,"&lt;="&amp;EOMONTH(DATE('CONFIGURAÇÕES'!$B$18,3,1),0))</f>
        <v/>
      </c>
      <c r="L54" s="18">
        <f>$J54-$K54</f>
        <v/>
      </c>
      <c r="M54" s="18">
        <f>SUMIFS('LANÇAMENTOS'!$V$6:$V$2005,'LANÇAMENTOS'!$E$6:$E$2005,"Entrada",'LANÇAMENTOS'!$AG$6:$AG$2005,"Investimento",'LANÇAMENTOS'!$D$6:$D$2005,"&gt;="&amp;DATE('CONFIGURAÇÕES'!$B$18,3,1),'LANÇAMENTOS'!$D$6:$D$2005,"&lt;="&amp;EOMONTH(DATE('CONFIGURAÇÕES'!$B$18,3,1),0))-SUMIFS('LANÇAMENTOS'!$V$6:$V$2005,'LANÇAMENTOS'!$E$6:$E$2005,"Saída",'LANÇAMENTOS'!$AG$6:$AG$2005,"Investimento",'LANÇAMENTOS'!$D$6:$D$2005,"&gt;="&amp;DATE('CONFIGURAÇÕES'!$B$18,3,1),'LANÇAMENTOS'!$D$6:$D$2005,"&lt;="&amp;EOMONTH(DATE('CONFIGURAÇÕES'!$B$18,3,1),0))</f>
        <v/>
      </c>
      <c r="N54" s="18">
        <f>SUMIFS('LANÇAMENTOS'!$V$6:$V$2005,'LANÇAMENTOS'!$E$6:$E$2005,"Entrada",'LANÇAMENTOS'!$AG$6:$AG$2005,"Financiamento",'LANÇAMENTOS'!$D$6:$D$2005,"&gt;="&amp;DATE('CONFIGURAÇÕES'!$B$18,3,1),'LANÇAMENTOS'!$D$6:$D$2005,"&lt;="&amp;EOMONTH(DATE('CONFIGURAÇÕES'!$B$18,3,1),0))-SUMIFS('LANÇAMENTOS'!$V$6:$V$2005,'LANÇAMENTOS'!$E$6:$E$2005,"Saída",'LANÇAMENTOS'!$AG$6:$AG$2005,"Financiamento",'LANÇAMENTOS'!$D$6:$D$2005,"&gt;="&amp;DATE('CONFIGURAÇÕES'!$B$18,3,1),'LANÇAMENTOS'!$D$6:$D$2005,"&lt;="&amp;EOMONTH(DATE('CONFIGURAÇÕES'!$B$18,3,1),0))</f>
        <v/>
      </c>
    </row>
    <row r="55">
      <c r="A55" s="17">
        <f>"Mês 04"</f>
        <v/>
      </c>
      <c r="B55" s="18">
        <f>SUM('CONTAS BANCÁRIAS'!$G$6:$G$13)+SUMIFS('LANÇAMENTOS'!$V$6:$V$2005,'LANÇAMENTOS'!$E$6:$E$2005,"Entrada",'LANÇAMENTOS'!$D$6:$D$2005,"&lt;"&amp;DATE('CONFIGURAÇÕES'!$B$18,4,1))-SUMIFS('LANÇAMENTOS'!$V$6:$V$2005,'LANÇAMENTOS'!$E$6:$E$2005,"Saída",'LANÇAMENTOS'!$D$6:$D$2005,"&lt;"&amp;DATE('CONFIGURAÇÕES'!$B$18,4,1))</f>
        <v/>
      </c>
      <c r="C55" s="18">
        <f>SUMIFS('LANÇAMENTOS'!$V$6:$V$2005,'LANÇAMENTOS'!$E$6:$E$2005,"Entrada",'LANÇAMENTOS'!$D$6:$D$2005,"&gt;="&amp;DATE('CONFIGURAÇÕES'!$B$18,4,1),'LANÇAMENTOS'!$D$6:$D$2005,"&lt;="&amp;EOMONTH(DATE('CONFIGURAÇÕES'!$B$18,4,1),0))</f>
        <v/>
      </c>
      <c r="D55" s="18">
        <f>SUMIFS('LANÇAMENTOS'!$V$6:$V$2005,'LANÇAMENTOS'!$E$6:$E$2005,"Saída",'LANÇAMENTOS'!$D$6:$D$2005,"&gt;="&amp;DATE('CONFIGURAÇÕES'!$B$18,4,1),'LANÇAMENTOS'!$D$6:$D$2005,"&lt;="&amp;EOMONTH(DATE('CONFIGURAÇÕES'!$B$18,4,1),0))</f>
        <v/>
      </c>
      <c r="E55" s="18">
        <f>$C55-$D55</f>
        <v/>
      </c>
      <c r="F55" s="18">
        <f>$B55+$E55</f>
        <v/>
      </c>
      <c r="G55" s="18">
        <f>SUMIFS('LANÇAMENTOS'!$W$6:$W$2005,'LANÇAMENTOS'!$E$6:$E$2005,"Entrada",'LANÇAMENTOS'!$C$6:$C$2005,"&gt;="&amp;DATE('CONFIGURAÇÕES'!$B$18,4,1),'LANÇAMENTOS'!$C$6:$C$2005,"&lt;="&amp;EOMONTH(DATE('CONFIGURAÇÕES'!$B$18,4,1),0),'LANÇAMENTOS'!$W$6:$W$2005,"&gt;0")</f>
        <v/>
      </c>
      <c r="H55" s="18">
        <f>SUMIFS('LANÇAMENTOS'!$W$6:$W$2005,'LANÇAMENTOS'!$E$6:$E$2005,"Saída",'LANÇAMENTOS'!$C$6:$C$2005,"&gt;="&amp;DATE('CONFIGURAÇÕES'!$B$18,4,1),'LANÇAMENTOS'!$C$6:$C$2005,"&lt;="&amp;EOMONTH(DATE('CONFIGURAÇÕES'!$B$18,4,1),0),'LANÇAMENTOS'!$W$6:$W$2005,"&gt;0")</f>
        <v/>
      </c>
      <c r="I55" s="18">
        <f>$F55+$G55-$H55</f>
        <v/>
      </c>
      <c r="J55" s="18">
        <f>SUMIFS('LANÇAMENTOS'!$V$6:$V$2005,'LANÇAMENTOS'!$E$6:$E$2005,"Entrada",'LANÇAMENTOS'!$AG$6:$AG$2005,"Operacional",'LANÇAMENTOS'!$D$6:$D$2005,"&gt;="&amp;DATE('CONFIGURAÇÕES'!$B$18,4,1),'LANÇAMENTOS'!$D$6:$D$2005,"&lt;="&amp;EOMONTH(DATE('CONFIGURAÇÕES'!$B$18,4,1),0))</f>
        <v/>
      </c>
      <c r="K55" s="18">
        <f>SUMIFS('LANÇAMENTOS'!$V$6:$V$2005,'LANÇAMENTOS'!$E$6:$E$2005,"Saída",'LANÇAMENTOS'!$AG$6:$AG$2005,"Operacional",'LANÇAMENTOS'!$D$6:$D$2005,"&gt;="&amp;DATE('CONFIGURAÇÕES'!$B$18,4,1),'LANÇAMENTOS'!$D$6:$D$2005,"&lt;="&amp;EOMONTH(DATE('CONFIGURAÇÕES'!$B$18,4,1),0))</f>
        <v/>
      </c>
      <c r="L55" s="18">
        <f>$J55-$K55</f>
        <v/>
      </c>
      <c r="M55" s="18">
        <f>SUMIFS('LANÇAMENTOS'!$V$6:$V$2005,'LANÇAMENTOS'!$E$6:$E$2005,"Entrada",'LANÇAMENTOS'!$AG$6:$AG$2005,"Investimento",'LANÇAMENTOS'!$D$6:$D$2005,"&gt;="&amp;DATE('CONFIGURAÇÕES'!$B$18,4,1),'LANÇAMENTOS'!$D$6:$D$2005,"&lt;="&amp;EOMONTH(DATE('CONFIGURAÇÕES'!$B$18,4,1),0))-SUMIFS('LANÇAMENTOS'!$V$6:$V$2005,'LANÇAMENTOS'!$E$6:$E$2005,"Saída",'LANÇAMENTOS'!$AG$6:$AG$2005,"Investimento",'LANÇAMENTOS'!$D$6:$D$2005,"&gt;="&amp;DATE('CONFIGURAÇÕES'!$B$18,4,1),'LANÇAMENTOS'!$D$6:$D$2005,"&lt;="&amp;EOMONTH(DATE('CONFIGURAÇÕES'!$B$18,4,1),0))</f>
        <v/>
      </c>
      <c r="N55" s="18">
        <f>SUMIFS('LANÇAMENTOS'!$V$6:$V$2005,'LANÇAMENTOS'!$E$6:$E$2005,"Entrada",'LANÇAMENTOS'!$AG$6:$AG$2005,"Financiamento",'LANÇAMENTOS'!$D$6:$D$2005,"&gt;="&amp;DATE('CONFIGURAÇÕES'!$B$18,4,1),'LANÇAMENTOS'!$D$6:$D$2005,"&lt;="&amp;EOMONTH(DATE('CONFIGURAÇÕES'!$B$18,4,1),0))-SUMIFS('LANÇAMENTOS'!$V$6:$V$2005,'LANÇAMENTOS'!$E$6:$E$2005,"Saída",'LANÇAMENTOS'!$AG$6:$AG$2005,"Financiamento",'LANÇAMENTOS'!$D$6:$D$2005,"&gt;="&amp;DATE('CONFIGURAÇÕES'!$B$18,4,1),'LANÇAMENTOS'!$D$6:$D$2005,"&lt;="&amp;EOMONTH(DATE('CONFIGURAÇÕES'!$B$18,4,1),0))</f>
        <v/>
      </c>
    </row>
    <row r="56">
      <c r="A56" s="17">
        <f>"Mês 05"</f>
        <v/>
      </c>
      <c r="B56" s="18">
        <f>SUM('CONTAS BANCÁRIAS'!$G$6:$G$13)+SUMIFS('LANÇAMENTOS'!$V$6:$V$2005,'LANÇAMENTOS'!$E$6:$E$2005,"Entrada",'LANÇAMENTOS'!$D$6:$D$2005,"&lt;"&amp;DATE('CONFIGURAÇÕES'!$B$18,5,1))-SUMIFS('LANÇAMENTOS'!$V$6:$V$2005,'LANÇAMENTOS'!$E$6:$E$2005,"Saída",'LANÇAMENTOS'!$D$6:$D$2005,"&lt;"&amp;DATE('CONFIGURAÇÕES'!$B$18,5,1))</f>
        <v/>
      </c>
      <c r="C56" s="18">
        <f>SUMIFS('LANÇAMENTOS'!$V$6:$V$2005,'LANÇAMENTOS'!$E$6:$E$2005,"Entrada",'LANÇAMENTOS'!$D$6:$D$2005,"&gt;="&amp;DATE('CONFIGURAÇÕES'!$B$18,5,1),'LANÇAMENTOS'!$D$6:$D$2005,"&lt;="&amp;EOMONTH(DATE('CONFIGURAÇÕES'!$B$18,5,1),0))</f>
        <v/>
      </c>
      <c r="D56" s="18">
        <f>SUMIFS('LANÇAMENTOS'!$V$6:$V$2005,'LANÇAMENTOS'!$E$6:$E$2005,"Saída",'LANÇAMENTOS'!$D$6:$D$2005,"&gt;="&amp;DATE('CONFIGURAÇÕES'!$B$18,5,1),'LANÇAMENTOS'!$D$6:$D$2005,"&lt;="&amp;EOMONTH(DATE('CONFIGURAÇÕES'!$B$18,5,1),0))</f>
        <v/>
      </c>
      <c r="E56" s="18">
        <f>$C56-$D56</f>
        <v/>
      </c>
      <c r="F56" s="18">
        <f>$B56+$E56</f>
        <v/>
      </c>
      <c r="G56" s="18">
        <f>SUMIFS('LANÇAMENTOS'!$W$6:$W$2005,'LANÇAMENTOS'!$E$6:$E$2005,"Entrada",'LANÇAMENTOS'!$C$6:$C$2005,"&gt;="&amp;DATE('CONFIGURAÇÕES'!$B$18,5,1),'LANÇAMENTOS'!$C$6:$C$2005,"&lt;="&amp;EOMONTH(DATE('CONFIGURAÇÕES'!$B$18,5,1),0),'LANÇAMENTOS'!$W$6:$W$2005,"&gt;0")</f>
        <v/>
      </c>
      <c r="H56" s="18">
        <f>SUMIFS('LANÇAMENTOS'!$W$6:$W$2005,'LANÇAMENTOS'!$E$6:$E$2005,"Saída",'LANÇAMENTOS'!$C$6:$C$2005,"&gt;="&amp;DATE('CONFIGURAÇÕES'!$B$18,5,1),'LANÇAMENTOS'!$C$6:$C$2005,"&lt;="&amp;EOMONTH(DATE('CONFIGURAÇÕES'!$B$18,5,1),0),'LANÇAMENTOS'!$W$6:$W$2005,"&gt;0")</f>
        <v/>
      </c>
      <c r="I56" s="18">
        <f>$F56+$G56-$H56</f>
        <v/>
      </c>
      <c r="J56" s="18">
        <f>SUMIFS('LANÇAMENTOS'!$V$6:$V$2005,'LANÇAMENTOS'!$E$6:$E$2005,"Entrada",'LANÇAMENTOS'!$AG$6:$AG$2005,"Operacional",'LANÇAMENTOS'!$D$6:$D$2005,"&gt;="&amp;DATE('CONFIGURAÇÕES'!$B$18,5,1),'LANÇAMENTOS'!$D$6:$D$2005,"&lt;="&amp;EOMONTH(DATE('CONFIGURAÇÕES'!$B$18,5,1),0))</f>
        <v/>
      </c>
      <c r="K56" s="18">
        <f>SUMIFS('LANÇAMENTOS'!$V$6:$V$2005,'LANÇAMENTOS'!$E$6:$E$2005,"Saída",'LANÇAMENTOS'!$AG$6:$AG$2005,"Operacional",'LANÇAMENTOS'!$D$6:$D$2005,"&gt;="&amp;DATE('CONFIGURAÇÕES'!$B$18,5,1),'LANÇAMENTOS'!$D$6:$D$2005,"&lt;="&amp;EOMONTH(DATE('CONFIGURAÇÕES'!$B$18,5,1),0))</f>
        <v/>
      </c>
      <c r="L56" s="18">
        <f>$J56-$K56</f>
        <v/>
      </c>
      <c r="M56" s="18">
        <f>SUMIFS('LANÇAMENTOS'!$V$6:$V$2005,'LANÇAMENTOS'!$E$6:$E$2005,"Entrada",'LANÇAMENTOS'!$AG$6:$AG$2005,"Investimento",'LANÇAMENTOS'!$D$6:$D$2005,"&gt;="&amp;DATE('CONFIGURAÇÕES'!$B$18,5,1),'LANÇAMENTOS'!$D$6:$D$2005,"&lt;="&amp;EOMONTH(DATE('CONFIGURAÇÕES'!$B$18,5,1),0))-SUMIFS('LANÇAMENTOS'!$V$6:$V$2005,'LANÇAMENTOS'!$E$6:$E$2005,"Saída",'LANÇAMENTOS'!$AG$6:$AG$2005,"Investimento",'LANÇAMENTOS'!$D$6:$D$2005,"&gt;="&amp;DATE('CONFIGURAÇÕES'!$B$18,5,1),'LANÇAMENTOS'!$D$6:$D$2005,"&lt;="&amp;EOMONTH(DATE('CONFIGURAÇÕES'!$B$18,5,1),0))</f>
        <v/>
      </c>
      <c r="N56" s="18">
        <f>SUMIFS('LANÇAMENTOS'!$V$6:$V$2005,'LANÇAMENTOS'!$E$6:$E$2005,"Entrada",'LANÇAMENTOS'!$AG$6:$AG$2005,"Financiamento",'LANÇAMENTOS'!$D$6:$D$2005,"&gt;="&amp;DATE('CONFIGURAÇÕES'!$B$18,5,1),'LANÇAMENTOS'!$D$6:$D$2005,"&lt;="&amp;EOMONTH(DATE('CONFIGURAÇÕES'!$B$18,5,1),0))-SUMIFS('LANÇAMENTOS'!$V$6:$V$2005,'LANÇAMENTOS'!$E$6:$E$2005,"Saída",'LANÇAMENTOS'!$AG$6:$AG$2005,"Financiamento",'LANÇAMENTOS'!$D$6:$D$2005,"&gt;="&amp;DATE('CONFIGURAÇÕES'!$B$18,5,1),'LANÇAMENTOS'!$D$6:$D$2005,"&lt;="&amp;EOMONTH(DATE('CONFIGURAÇÕES'!$B$18,5,1),0))</f>
        <v/>
      </c>
    </row>
    <row r="57">
      <c r="A57" s="17">
        <f>"Mês 06"</f>
        <v/>
      </c>
      <c r="B57" s="18">
        <f>SUM('CONTAS BANCÁRIAS'!$G$6:$G$13)+SUMIFS('LANÇAMENTOS'!$V$6:$V$2005,'LANÇAMENTOS'!$E$6:$E$2005,"Entrada",'LANÇAMENTOS'!$D$6:$D$2005,"&lt;"&amp;DATE('CONFIGURAÇÕES'!$B$18,6,1))-SUMIFS('LANÇAMENTOS'!$V$6:$V$2005,'LANÇAMENTOS'!$E$6:$E$2005,"Saída",'LANÇAMENTOS'!$D$6:$D$2005,"&lt;"&amp;DATE('CONFIGURAÇÕES'!$B$18,6,1))</f>
        <v/>
      </c>
      <c r="C57" s="18">
        <f>SUMIFS('LANÇAMENTOS'!$V$6:$V$2005,'LANÇAMENTOS'!$E$6:$E$2005,"Entrada",'LANÇAMENTOS'!$D$6:$D$2005,"&gt;="&amp;DATE('CONFIGURAÇÕES'!$B$18,6,1),'LANÇAMENTOS'!$D$6:$D$2005,"&lt;="&amp;EOMONTH(DATE('CONFIGURAÇÕES'!$B$18,6,1),0))</f>
        <v/>
      </c>
      <c r="D57" s="18">
        <f>SUMIFS('LANÇAMENTOS'!$V$6:$V$2005,'LANÇAMENTOS'!$E$6:$E$2005,"Saída",'LANÇAMENTOS'!$D$6:$D$2005,"&gt;="&amp;DATE('CONFIGURAÇÕES'!$B$18,6,1),'LANÇAMENTOS'!$D$6:$D$2005,"&lt;="&amp;EOMONTH(DATE('CONFIGURAÇÕES'!$B$18,6,1),0))</f>
        <v/>
      </c>
      <c r="E57" s="18">
        <f>$C57-$D57</f>
        <v/>
      </c>
      <c r="F57" s="18">
        <f>$B57+$E57</f>
        <v/>
      </c>
      <c r="G57" s="18">
        <f>SUMIFS('LANÇAMENTOS'!$W$6:$W$2005,'LANÇAMENTOS'!$E$6:$E$2005,"Entrada",'LANÇAMENTOS'!$C$6:$C$2005,"&gt;="&amp;DATE('CONFIGURAÇÕES'!$B$18,6,1),'LANÇAMENTOS'!$C$6:$C$2005,"&lt;="&amp;EOMONTH(DATE('CONFIGURAÇÕES'!$B$18,6,1),0),'LANÇAMENTOS'!$W$6:$W$2005,"&gt;0")</f>
        <v/>
      </c>
      <c r="H57" s="18">
        <f>SUMIFS('LANÇAMENTOS'!$W$6:$W$2005,'LANÇAMENTOS'!$E$6:$E$2005,"Saída",'LANÇAMENTOS'!$C$6:$C$2005,"&gt;="&amp;DATE('CONFIGURAÇÕES'!$B$18,6,1),'LANÇAMENTOS'!$C$6:$C$2005,"&lt;="&amp;EOMONTH(DATE('CONFIGURAÇÕES'!$B$18,6,1),0),'LANÇAMENTOS'!$W$6:$W$2005,"&gt;0")</f>
        <v/>
      </c>
      <c r="I57" s="18">
        <f>$F57+$G57-$H57</f>
        <v/>
      </c>
      <c r="J57" s="18">
        <f>SUMIFS('LANÇAMENTOS'!$V$6:$V$2005,'LANÇAMENTOS'!$E$6:$E$2005,"Entrada",'LANÇAMENTOS'!$AG$6:$AG$2005,"Operacional",'LANÇAMENTOS'!$D$6:$D$2005,"&gt;="&amp;DATE('CONFIGURAÇÕES'!$B$18,6,1),'LANÇAMENTOS'!$D$6:$D$2005,"&lt;="&amp;EOMONTH(DATE('CONFIGURAÇÕES'!$B$18,6,1),0))</f>
        <v/>
      </c>
      <c r="K57" s="18">
        <f>SUMIFS('LANÇAMENTOS'!$V$6:$V$2005,'LANÇAMENTOS'!$E$6:$E$2005,"Saída",'LANÇAMENTOS'!$AG$6:$AG$2005,"Operacional",'LANÇAMENTOS'!$D$6:$D$2005,"&gt;="&amp;DATE('CONFIGURAÇÕES'!$B$18,6,1),'LANÇAMENTOS'!$D$6:$D$2005,"&lt;="&amp;EOMONTH(DATE('CONFIGURAÇÕES'!$B$18,6,1),0))</f>
        <v/>
      </c>
      <c r="L57" s="18">
        <f>$J57-$K57</f>
        <v/>
      </c>
      <c r="M57" s="18">
        <f>SUMIFS('LANÇAMENTOS'!$V$6:$V$2005,'LANÇAMENTOS'!$E$6:$E$2005,"Entrada",'LANÇAMENTOS'!$AG$6:$AG$2005,"Investimento",'LANÇAMENTOS'!$D$6:$D$2005,"&gt;="&amp;DATE('CONFIGURAÇÕES'!$B$18,6,1),'LANÇAMENTOS'!$D$6:$D$2005,"&lt;="&amp;EOMONTH(DATE('CONFIGURAÇÕES'!$B$18,6,1),0))-SUMIFS('LANÇAMENTOS'!$V$6:$V$2005,'LANÇAMENTOS'!$E$6:$E$2005,"Saída",'LANÇAMENTOS'!$AG$6:$AG$2005,"Investimento",'LANÇAMENTOS'!$D$6:$D$2005,"&gt;="&amp;DATE('CONFIGURAÇÕES'!$B$18,6,1),'LANÇAMENTOS'!$D$6:$D$2005,"&lt;="&amp;EOMONTH(DATE('CONFIGURAÇÕES'!$B$18,6,1),0))</f>
        <v/>
      </c>
      <c r="N57" s="18">
        <f>SUMIFS('LANÇAMENTOS'!$V$6:$V$2005,'LANÇAMENTOS'!$E$6:$E$2005,"Entrada",'LANÇAMENTOS'!$AG$6:$AG$2005,"Financiamento",'LANÇAMENTOS'!$D$6:$D$2005,"&gt;="&amp;DATE('CONFIGURAÇÕES'!$B$18,6,1),'LANÇAMENTOS'!$D$6:$D$2005,"&lt;="&amp;EOMONTH(DATE('CONFIGURAÇÕES'!$B$18,6,1),0))-SUMIFS('LANÇAMENTOS'!$V$6:$V$2005,'LANÇAMENTOS'!$E$6:$E$2005,"Saída",'LANÇAMENTOS'!$AG$6:$AG$2005,"Financiamento",'LANÇAMENTOS'!$D$6:$D$2005,"&gt;="&amp;DATE('CONFIGURAÇÕES'!$B$18,6,1),'LANÇAMENTOS'!$D$6:$D$2005,"&lt;="&amp;EOMONTH(DATE('CONFIGURAÇÕES'!$B$18,6,1),0))</f>
        <v/>
      </c>
    </row>
    <row r="58">
      <c r="A58" s="17">
        <f>"Mês 07"</f>
        <v/>
      </c>
      <c r="B58" s="18">
        <f>SUM('CONTAS BANCÁRIAS'!$G$6:$G$13)+SUMIFS('LANÇAMENTOS'!$V$6:$V$2005,'LANÇAMENTOS'!$E$6:$E$2005,"Entrada",'LANÇAMENTOS'!$D$6:$D$2005,"&lt;"&amp;DATE('CONFIGURAÇÕES'!$B$18,7,1))-SUMIFS('LANÇAMENTOS'!$V$6:$V$2005,'LANÇAMENTOS'!$E$6:$E$2005,"Saída",'LANÇAMENTOS'!$D$6:$D$2005,"&lt;"&amp;DATE('CONFIGURAÇÕES'!$B$18,7,1))</f>
        <v/>
      </c>
      <c r="C58" s="18">
        <f>SUMIFS('LANÇAMENTOS'!$V$6:$V$2005,'LANÇAMENTOS'!$E$6:$E$2005,"Entrada",'LANÇAMENTOS'!$D$6:$D$2005,"&gt;="&amp;DATE('CONFIGURAÇÕES'!$B$18,7,1),'LANÇAMENTOS'!$D$6:$D$2005,"&lt;="&amp;EOMONTH(DATE('CONFIGURAÇÕES'!$B$18,7,1),0))</f>
        <v/>
      </c>
      <c r="D58" s="18">
        <f>SUMIFS('LANÇAMENTOS'!$V$6:$V$2005,'LANÇAMENTOS'!$E$6:$E$2005,"Saída",'LANÇAMENTOS'!$D$6:$D$2005,"&gt;="&amp;DATE('CONFIGURAÇÕES'!$B$18,7,1),'LANÇAMENTOS'!$D$6:$D$2005,"&lt;="&amp;EOMONTH(DATE('CONFIGURAÇÕES'!$B$18,7,1),0))</f>
        <v/>
      </c>
      <c r="E58" s="18">
        <f>$C58-$D58</f>
        <v/>
      </c>
      <c r="F58" s="18">
        <f>$B58+$E58</f>
        <v/>
      </c>
      <c r="G58" s="18">
        <f>SUMIFS('LANÇAMENTOS'!$W$6:$W$2005,'LANÇAMENTOS'!$E$6:$E$2005,"Entrada",'LANÇAMENTOS'!$C$6:$C$2005,"&gt;="&amp;DATE('CONFIGURAÇÕES'!$B$18,7,1),'LANÇAMENTOS'!$C$6:$C$2005,"&lt;="&amp;EOMONTH(DATE('CONFIGURAÇÕES'!$B$18,7,1),0),'LANÇAMENTOS'!$W$6:$W$2005,"&gt;0")</f>
        <v/>
      </c>
      <c r="H58" s="18">
        <f>SUMIFS('LANÇAMENTOS'!$W$6:$W$2005,'LANÇAMENTOS'!$E$6:$E$2005,"Saída",'LANÇAMENTOS'!$C$6:$C$2005,"&gt;="&amp;DATE('CONFIGURAÇÕES'!$B$18,7,1),'LANÇAMENTOS'!$C$6:$C$2005,"&lt;="&amp;EOMONTH(DATE('CONFIGURAÇÕES'!$B$18,7,1),0),'LANÇAMENTOS'!$W$6:$W$2005,"&gt;0")</f>
        <v/>
      </c>
      <c r="I58" s="18">
        <f>$F58+$G58-$H58</f>
        <v/>
      </c>
      <c r="J58" s="18">
        <f>SUMIFS('LANÇAMENTOS'!$V$6:$V$2005,'LANÇAMENTOS'!$E$6:$E$2005,"Entrada",'LANÇAMENTOS'!$AG$6:$AG$2005,"Operacional",'LANÇAMENTOS'!$D$6:$D$2005,"&gt;="&amp;DATE('CONFIGURAÇÕES'!$B$18,7,1),'LANÇAMENTOS'!$D$6:$D$2005,"&lt;="&amp;EOMONTH(DATE('CONFIGURAÇÕES'!$B$18,7,1),0))</f>
        <v/>
      </c>
      <c r="K58" s="18">
        <f>SUMIFS('LANÇAMENTOS'!$V$6:$V$2005,'LANÇAMENTOS'!$E$6:$E$2005,"Saída",'LANÇAMENTOS'!$AG$6:$AG$2005,"Operacional",'LANÇAMENTOS'!$D$6:$D$2005,"&gt;="&amp;DATE('CONFIGURAÇÕES'!$B$18,7,1),'LANÇAMENTOS'!$D$6:$D$2005,"&lt;="&amp;EOMONTH(DATE('CONFIGURAÇÕES'!$B$18,7,1),0))</f>
        <v/>
      </c>
      <c r="L58" s="18">
        <f>$J58-$K58</f>
        <v/>
      </c>
      <c r="M58" s="18">
        <f>SUMIFS('LANÇAMENTOS'!$V$6:$V$2005,'LANÇAMENTOS'!$E$6:$E$2005,"Entrada",'LANÇAMENTOS'!$AG$6:$AG$2005,"Investimento",'LANÇAMENTOS'!$D$6:$D$2005,"&gt;="&amp;DATE('CONFIGURAÇÕES'!$B$18,7,1),'LANÇAMENTOS'!$D$6:$D$2005,"&lt;="&amp;EOMONTH(DATE('CONFIGURAÇÕES'!$B$18,7,1),0))-SUMIFS('LANÇAMENTOS'!$V$6:$V$2005,'LANÇAMENTOS'!$E$6:$E$2005,"Saída",'LANÇAMENTOS'!$AG$6:$AG$2005,"Investimento",'LANÇAMENTOS'!$D$6:$D$2005,"&gt;="&amp;DATE('CONFIGURAÇÕES'!$B$18,7,1),'LANÇAMENTOS'!$D$6:$D$2005,"&lt;="&amp;EOMONTH(DATE('CONFIGURAÇÕES'!$B$18,7,1),0))</f>
        <v/>
      </c>
      <c r="N58" s="18">
        <f>SUMIFS('LANÇAMENTOS'!$V$6:$V$2005,'LANÇAMENTOS'!$E$6:$E$2005,"Entrada",'LANÇAMENTOS'!$AG$6:$AG$2005,"Financiamento",'LANÇAMENTOS'!$D$6:$D$2005,"&gt;="&amp;DATE('CONFIGURAÇÕES'!$B$18,7,1),'LANÇAMENTOS'!$D$6:$D$2005,"&lt;="&amp;EOMONTH(DATE('CONFIGURAÇÕES'!$B$18,7,1),0))-SUMIFS('LANÇAMENTOS'!$V$6:$V$2005,'LANÇAMENTOS'!$E$6:$E$2005,"Saída",'LANÇAMENTOS'!$AG$6:$AG$2005,"Financiamento",'LANÇAMENTOS'!$D$6:$D$2005,"&gt;="&amp;DATE('CONFIGURAÇÕES'!$B$18,7,1),'LANÇAMENTOS'!$D$6:$D$2005,"&lt;="&amp;EOMONTH(DATE('CONFIGURAÇÕES'!$B$18,7,1),0))</f>
        <v/>
      </c>
    </row>
    <row r="59">
      <c r="A59" s="17">
        <f>"Mês 08"</f>
        <v/>
      </c>
      <c r="B59" s="18">
        <f>SUM('CONTAS BANCÁRIAS'!$G$6:$G$13)+SUMIFS('LANÇAMENTOS'!$V$6:$V$2005,'LANÇAMENTOS'!$E$6:$E$2005,"Entrada",'LANÇAMENTOS'!$D$6:$D$2005,"&lt;"&amp;DATE('CONFIGURAÇÕES'!$B$18,8,1))-SUMIFS('LANÇAMENTOS'!$V$6:$V$2005,'LANÇAMENTOS'!$E$6:$E$2005,"Saída",'LANÇAMENTOS'!$D$6:$D$2005,"&lt;"&amp;DATE('CONFIGURAÇÕES'!$B$18,8,1))</f>
        <v/>
      </c>
      <c r="C59" s="18">
        <f>SUMIFS('LANÇAMENTOS'!$V$6:$V$2005,'LANÇAMENTOS'!$E$6:$E$2005,"Entrada",'LANÇAMENTOS'!$D$6:$D$2005,"&gt;="&amp;DATE('CONFIGURAÇÕES'!$B$18,8,1),'LANÇAMENTOS'!$D$6:$D$2005,"&lt;="&amp;EOMONTH(DATE('CONFIGURAÇÕES'!$B$18,8,1),0))</f>
        <v/>
      </c>
      <c r="D59" s="18">
        <f>SUMIFS('LANÇAMENTOS'!$V$6:$V$2005,'LANÇAMENTOS'!$E$6:$E$2005,"Saída",'LANÇAMENTOS'!$D$6:$D$2005,"&gt;="&amp;DATE('CONFIGURAÇÕES'!$B$18,8,1),'LANÇAMENTOS'!$D$6:$D$2005,"&lt;="&amp;EOMONTH(DATE('CONFIGURAÇÕES'!$B$18,8,1),0))</f>
        <v/>
      </c>
      <c r="E59" s="18">
        <f>$C59-$D59</f>
        <v/>
      </c>
      <c r="F59" s="18">
        <f>$B59+$E59</f>
        <v/>
      </c>
      <c r="G59" s="18">
        <f>SUMIFS('LANÇAMENTOS'!$W$6:$W$2005,'LANÇAMENTOS'!$E$6:$E$2005,"Entrada",'LANÇAMENTOS'!$C$6:$C$2005,"&gt;="&amp;DATE('CONFIGURAÇÕES'!$B$18,8,1),'LANÇAMENTOS'!$C$6:$C$2005,"&lt;="&amp;EOMONTH(DATE('CONFIGURAÇÕES'!$B$18,8,1),0),'LANÇAMENTOS'!$W$6:$W$2005,"&gt;0")</f>
        <v/>
      </c>
      <c r="H59" s="18">
        <f>SUMIFS('LANÇAMENTOS'!$W$6:$W$2005,'LANÇAMENTOS'!$E$6:$E$2005,"Saída",'LANÇAMENTOS'!$C$6:$C$2005,"&gt;="&amp;DATE('CONFIGURAÇÕES'!$B$18,8,1),'LANÇAMENTOS'!$C$6:$C$2005,"&lt;="&amp;EOMONTH(DATE('CONFIGURAÇÕES'!$B$18,8,1),0),'LANÇAMENTOS'!$W$6:$W$2005,"&gt;0")</f>
        <v/>
      </c>
      <c r="I59" s="18">
        <f>$F59+$G59-$H59</f>
        <v/>
      </c>
      <c r="J59" s="18">
        <f>SUMIFS('LANÇAMENTOS'!$V$6:$V$2005,'LANÇAMENTOS'!$E$6:$E$2005,"Entrada",'LANÇAMENTOS'!$AG$6:$AG$2005,"Operacional",'LANÇAMENTOS'!$D$6:$D$2005,"&gt;="&amp;DATE('CONFIGURAÇÕES'!$B$18,8,1),'LANÇAMENTOS'!$D$6:$D$2005,"&lt;="&amp;EOMONTH(DATE('CONFIGURAÇÕES'!$B$18,8,1),0))</f>
        <v/>
      </c>
      <c r="K59" s="18">
        <f>SUMIFS('LANÇAMENTOS'!$V$6:$V$2005,'LANÇAMENTOS'!$E$6:$E$2005,"Saída",'LANÇAMENTOS'!$AG$6:$AG$2005,"Operacional",'LANÇAMENTOS'!$D$6:$D$2005,"&gt;="&amp;DATE('CONFIGURAÇÕES'!$B$18,8,1),'LANÇAMENTOS'!$D$6:$D$2005,"&lt;="&amp;EOMONTH(DATE('CONFIGURAÇÕES'!$B$18,8,1),0))</f>
        <v/>
      </c>
      <c r="L59" s="18">
        <f>$J59-$K59</f>
        <v/>
      </c>
      <c r="M59" s="18">
        <f>SUMIFS('LANÇAMENTOS'!$V$6:$V$2005,'LANÇAMENTOS'!$E$6:$E$2005,"Entrada",'LANÇAMENTOS'!$AG$6:$AG$2005,"Investimento",'LANÇAMENTOS'!$D$6:$D$2005,"&gt;="&amp;DATE('CONFIGURAÇÕES'!$B$18,8,1),'LANÇAMENTOS'!$D$6:$D$2005,"&lt;="&amp;EOMONTH(DATE('CONFIGURAÇÕES'!$B$18,8,1),0))-SUMIFS('LANÇAMENTOS'!$V$6:$V$2005,'LANÇAMENTOS'!$E$6:$E$2005,"Saída",'LANÇAMENTOS'!$AG$6:$AG$2005,"Investimento",'LANÇAMENTOS'!$D$6:$D$2005,"&gt;="&amp;DATE('CONFIGURAÇÕES'!$B$18,8,1),'LANÇAMENTOS'!$D$6:$D$2005,"&lt;="&amp;EOMONTH(DATE('CONFIGURAÇÕES'!$B$18,8,1),0))</f>
        <v/>
      </c>
      <c r="N59" s="18">
        <f>SUMIFS('LANÇAMENTOS'!$V$6:$V$2005,'LANÇAMENTOS'!$E$6:$E$2005,"Entrada",'LANÇAMENTOS'!$AG$6:$AG$2005,"Financiamento",'LANÇAMENTOS'!$D$6:$D$2005,"&gt;="&amp;DATE('CONFIGURAÇÕES'!$B$18,8,1),'LANÇAMENTOS'!$D$6:$D$2005,"&lt;="&amp;EOMONTH(DATE('CONFIGURAÇÕES'!$B$18,8,1),0))-SUMIFS('LANÇAMENTOS'!$V$6:$V$2005,'LANÇAMENTOS'!$E$6:$E$2005,"Saída",'LANÇAMENTOS'!$AG$6:$AG$2005,"Financiamento",'LANÇAMENTOS'!$D$6:$D$2005,"&gt;="&amp;DATE('CONFIGURAÇÕES'!$B$18,8,1),'LANÇAMENTOS'!$D$6:$D$2005,"&lt;="&amp;EOMONTH(DATE('CONFIGURAÇÕES'!$B$18,8,1),0))</f>
        <v/>
      </c>
    </row>
    <row r="60">
      <c r="A60" s="17">
        <f>"Mês 09"</f>
        <v/>
      </c>
      <c r="B60" s="18">
        <f>SUM('CONTAS BANCÁRIAS'!$G$6:$G$13)+SUMIFS('LANÇAMENTOS'!$V$6:$V$2005,'LANÇAMENTOS'!$E$6:$E$2005,"Entrada",'LANÇAMENTOS'!$D$6:$D$2005,"&lt;"&amp;DATE('CONFIGURAÇÕES'!$B$18,9,1))-SUMIFS('LANÇAMENTOS'!$V$6:$V$2005,'LANÇAMENTOS'!$E$6:$E$2005,"Saída",'LANÇAMENTOS'!$D$6:$D$2005,"&lt;"&amp;DATE('CONFIGURAÇÕES'!$B$18,9,1))</f>
        <v/>
      </c>
      <c r="C60" s="18">
        <f>SUMIFS('LANÇAMENTOS'!$V$6:$V$2005,'LANÇAMENTOS'!$E$6:$E$2005,"Entrada",'LANÇAMENTOS'!$D$6:$D$2005,"&gt;="&amp;DATE('CONFIGURAÇÕES'!$B$18,9,1),'LANÇAMENTOS'!$D$6:$D$2005,"&lt;="&amp;EOMONTH(DATE('CONFIGURAÇÕES'!$B$18,9,1),0))</f>
        <v/>
      </c>
      <c r="D60" s="18">
        <f>SUMIFS('LANÇAMENTOS'!$V$6:$V$2005,'LANÇAMENTOS'!$E$6:$E$2005,"Saída",'LANÇAMENTOS'!$D$6:$D$2005,"&gt;="&amp;DATE('CONFIGURAÇÕES'!$B$18,9,1),'LANÇAMENTOS'!$D$6:$D$2005,"&lt;="&amp;EOMONTH(DATE('CONFIGURAÇÕES'!$B$18,9,1),0))</f>
        <v/>
      </c>
      <c r="E60" s="18">
        <f>$C60-$D60</f>
        <v/>
      </c>
      <c r="F60" s="18">
        <f>$B60+$E60</f>
        <v/>
      </c>
      <c r="G60" s="18">
        <f>SUMIFS('LANÇAMENTOS'!$W$6:$W$2005,'LANÇAMENTOS'!$E$6:$E$2005,"Entrada",'LANÇAMENTOS'!$C$6:$C$2005,"&gt;="&amp;DATE('CONFIGURAÇÕES'!$B$18,9,1),'LANÇAMENTOS'!$C$6:$C$2005,"&lt;="&amp;EOMONTH(DATE('CONFIGURAÇÕES'!$B$18,9,1),0),'LANÇAMENTOS'!$W$6:$W$2005,"&gt;0")</f>
        <v/>
      </c>
      <c r="H60" s="18">
        <f>SUMIFS('LANÇAMENTOS'!$W$6:$W$2005,'LANÇAMENTOS'!$E$6:$E$2005,"Saída",'LANÇAMENTOS'!$C$6:$C$2005,"&gt;="&amp;DATE('CONFIGURAÇÕES'!$B$18,9,1),'LANÇAMENTOS'!$C$6:$C$2005,"&lt;="&amp;EOMONTH(DATE('CONFIGURAÇÕES'!$B$18,9,1),0),'LANÇAMENTOS'!$W$6:$W$2005,"&gt;0")</f>
        <v/>
      </c>
      <c r="I60" s="18">
        <f>$F60+$G60-$H60</f>
        <v/>
      </c>
      <c r="J60" s="18">
        <f>SUMIFS('LANÇAMENTOS'!$V$6:$V$2005,'LANÇAMENTOS'!$E$6:$E$2005,"Entrada",'LANÇAMENTOS'!$AG$6:$AG$2005,"Operacional",'LANÇAMENTOS'!$D$6:$D$2005,"&gt;="&amp;DATE('CONFIGURAÇÕES'!$B$18,9,1),'LANÇAMENTOS'!$D$6:$D$2005,"&lt;="&amp;EOMONTH(DATE('CONFIGURAÇÕES'!$B$18,9,1),0))</f>
        <v/>
      </c>
      <c r="K60" s="18">
        <f>SUMIFS('LANÇAMENTOS'!$V$6:$V$2005,'LANÇAMENTOS'!$E$6:$E$2005,"Saída",'LANÇAMENTOS'!$AG$6:$AG$2005,"Operacional",'LANÇAMENTOS'!$D$6:$D$2005,"&gt;="&amp;DATE('CONFIGURAÇÕES'!$B$18,9,1),'LANÇAMENTOS'!$D$6:$D$2005,"&lt;="&amp;EOMONTH(DATE('CONFIGURAÇÕES'!$B$18,9,1),0))</f>
        <v/>
      </c>
      <c r="L60" s="18">
        <f>$J60-$K60</f>
        <v/>
      </c>
      <c r="M60" s="18">
        <f>SUMIFS('LANÇAMENTOS'!$V$6:$V$2005,'LANÇAMENTOS'!$E$6:$E$2005,"Entrada",'LANÇAMENTOS'!$AG$6:$AG$2005,"Investimento",'LANÇAMENTOS'!$D$6:$D$2005,"&gt;="&amp;DATE('CONFIGURAÇÕES'!$B$18,9,1),'LANÇAMENTOS'!$D$6:$D$2005,"&lt;="&amp;EOMONTH(DATE('CONFIGURAÇÕES'!$B$18,9,1),0))-SUMIFS('LANÇAMENTOS'!$V$6:$V$2005,'LANÇAMENTOS'!$E$6:$E$2005,"Saída",'LANÇAMENTOS'!$AG$6:$AG$2005,"Investimento",'LANÇAMENTOS'!$D$6:$D$2005,"&gt;="&amp;DATE('CONFIGURAÇÕES'!$B$18,9,1),'LANÇAMENTOS'!$D$6:$D$2005,"&lt;="&amp;EOMONTH(DATE('CONFIGURAÇÕES'!$B$18,9,1),0))</f>
        <v/>
      </c>
      <c r="N60" s="18">
        <f>SUMIFS('LANÇAMENTOS'!$V$6:$V$2005,'LANÇAMENTOS'!$E$6:$E$2005,"Entrada",'LANÇAMENTOS'!$AG$6:$AG$2005,"Financiamento",'LANÇAMENTOS'!$D$6:$D$2005,"&gt;="&amp;DATE('CONFIGURAÇÕES'!$B$18,9,1),'LANÇAMENTOS'!$D$6:$D$2005,"&lt;="&amp;EOMONTH(DATE('CONFIGURAÇÕES'!$B$18,9,1),0))-SUMIFS('LANÇAMENTOS'!$V$6:$V$2005,'LANÇAMENTOS'!$E$6:$E$2005,"Saída",'LANÇAMENTOS'!$AG$6:$AG$2005,"Financiamento",'LANÇAMENTOS'!$D$6:$D$2005,"&gt;="&amp;DATE('CONFIGURAÇÕES'!$B$18,9,1),'LANÇAMENTOS'!$D$6:$D$2005,"&lt;="&amp;EOMONTH(DATE('CONFIGURAÇÕES'!$B$18,9,1),0))</f>
        <v/>
      </c>
    </row>
    <row r="61">
      <c r="A61" s="17">
        <f>"Mês 10"</f>
        <v/>
      </c>
      <c r="B61" s="18">
        <f>SUM('CONTAS BANCÁRIAS'!$G$6:$G$13)+SUMIFS('LANÇAMENTOS'!$V$6:$V$2005,'LANÇAMENTOS'!$E$6:$E$2005,"Entrada",'LANÇAMENTOS'!$D$6:$D$2005,"&lt;"&amp;DATE('CONFIGURAÇÕES'!$B$18,10,1))-SUMIFS('LANÇAMENTOS'!$V$6:$V$2005,'LANÇAMENTOS'!$E$6:$E$2005,"Saída",'LANÇAMENTOS'!$D$6:$D$2005,"&lt;"&amp;DATE('CONFIGURAÇÕES'!$B$18,10,1))</f>
        <v/>
      </c>
      <c r="C61" s="18">
        <f>SUMIFS('LANÇAMENTOS'!$V$6:$V$2005,'LANÇAMENTOS'!$E$6:$E$2005,"Entrada",'LANÇAMENTOS'!$D$6:$D$2005,"&gt;="&amp;DATE('CONFIGURAÇÕES'!$B$18,10,1),'LANÇAMENTOS'!$D$6:$D$2005,"&lt;="&amp;EOMONTH(DATE('CONFIGURAÇÕES'!$B$18,10,1),0))</f>
        <v/>
      </c>
      <c r="D61" s="18">
        <f>SUMIFS('LANÇAMENTOS'!$V$6:$V$2005,'LANÇAMENTOS'!$E$6:$E$2005,"Saída",'LANÇAMENTOS'!$D$6:$D$2005,"&gt;="&amp;DATE('CONFIGURAÇÕES'!$B$18,10,1),'LANÇAMENTOS'!$D$6:$D$2005,"&lt;="&amp;EOMONTH(DATE('CONFIGURAÇÕES'!$B$18,10,1),0))</f>
        <v/>
      </c>
      <c r="E61" s="18">
        <f>$C61-$D61</f>
        <v/>
      </c>
      <c r="F61" s="18">
        <f>$B61+$E61</f>
        <v/>
      </c>
      <c r="G61" s="18">
        <f>SUMIFS('LANÇAMENTOS'!$W$6:$W$2005,'LANÇAMENTOS'!$E$6:$E$2005,"Entrada",'LANÇAMENTOS'!$C$6:$C$2005,"&gt;="&amp;DATE('CONFIGURAÇÕES'!$B$18,10,1),'LANÇAMENTOS'!$C$6:$C$2005,"&lt;="&amp;EOMONTH(DATE('CONFIGURAÇÕES'!$B$18,10,1),0),'LANÇAMENTOS'!$W$6:$W$2005,"&gt;0")</f>
        <v/>
      </c>
      <c r="H61" s="18">
        <f>SUMIFS('LANÇAMENTOS'!$W$6:$W$2005,'LANÇAMENTOS'!$E$6:$E$2005,"Saída",'LANÇAMENTOS'!$C$6:$C$2005,"&gt;="&amp;DATE('CONFIGURAÇÕES'!$B$18,10,1),'LANÇAMENTOS'!$C$6:$C$2005,"&lt;="&amp;EOMONTH(DATE('CONFIGURAÇÕES'!$B$18,10,1),0),'LANÇAMENTOS'!$W$6:$W$2005,"&gt;0")</f>
        <v/>
      </c>
      <c r="I61" s="18">
        <f>$F61+$G61-$H61</f>
        <v/>
      </c>
      <c r="J61" s="18">
        <f>SUMIFS('LANÇAMENTOS'!$V$6:$V$2005,'LANÇAMENTOS'!$E$6:$E$2005,"Entrada",'LANÇAMENTOS'!$AG$6:$AG$2005,"Operacional",'LANÇAMENTOS'!$D$6:$D$2005,"&gt;="&amp;DATE('CONFIGURAÇÕES'!$B$18,10,1),'LANÇAMENTOS'!$D$6:$D$2005,"&lt;="&amp;EOMONTH(DATE('CONFIGURAÇÕES'!$B$18,10,1),0))</f>
        <v/>
      </c>
      <c r="K61" s="18">
        <f>SUMIFS('LANÇAMENTOS'!$V$6:$V$2005,'LANÇAMENTOS'!$E$6:$E$2005,"Saída",'LANÇAMENTOS'!$AG$6:$AG$2005,"Operacional",'LANÇAMENTOS'!$D$6:$D$2005,"&gt;="&amp;DATE('CONFIGURAÇÕES'!$B$18,10,1),'LANÇAMENTOS'!$D$6:$D$2005,"&lt;="&amp;EOMONTH(DATE('CONFIGURAÇÕES'!$B$18,10,1),0))</f>
        <v/>
      </c>
      <c r="L61" s="18">
        <f>$J61-$K61</f>
        <v/>
      </c>
      <c r="M61" s="18">
        <f>SUMIFS('LANÇAMENTOS'!$V$6:$V$2005,'LANÇAMENTOS'!$E$6:$E$2005,"Entrada",'LANÇAMENTOS'!$AG$6:$AG$2005,"Investimento",'LANÇAMENTOS'!$D$6:$D$2005,"&gt;="&amp;DATE('CONFIGURAÇÕES'!$B$18,10,1),'LANÇAMENTOS'!$D$6:$D$2005,"&lt;="&amp;EOMONTH(DATE('CONFIGURAÇÕES'!$B$18,10,1),0))-SUMIFS('LANÇAMENTOS'!$V$6:$V$2005,'LANÇAMENTOS'!$E$6:$E$2005,"Saída",'LANÇAMENTOS'!$AG$6:$AG$2005,"Investimento",'LANÇAMENTOS'!$D$6:$D$2005,"&gt;="&amp;DATE('CONFIGURAÇÕES'!$B$18,10,1),'LANÇAMENTOS'!$D$6:$D$2005,"&lt;="&amp;EOMONTH(DATE('CONFIGURAÇÕES'!$B$18,10,1),0))</f>
        <v/>
      </c>
      <c r="N61" s="18">
        <f>SUMIFS('LANÇAMENTOS'!$V$6:$V$2005,'LANÇAMENTOS'!$E$6:$E$2005,"Entrada",'LANÇAMENTOS'!$AG$6:$AG$2005,"Financiamento",'LANÇAMENTOS'!$D$6:$D$2005,"&gt;="&amp;DATE('CONFIGURAÇÕES'!$B$18,10,1),'LANÇAMENTOS'!$D$6:$D$2005,"&lt;="&amp;EOMONTH(DATE('CONFIGURAÇÕES'!$B$18,10,1),0))-SUMIFS('LANÇAMENTOS'!$V$6:$V$2005,'LANÇAMENTOS'!$E$6:$E$2005,"Saída",'LANÇAMENTOS'!$AG$6:$AG$2005,"Financiamento",'LANÇAMENTOS'!$D$6:$D$2005,"&gt;="&amp;DATE('CONFIGURAÇÕES'!$B$18,10,1),'LANÇAMENTOS'!$D$6:$D$2005,"&lt;="&amp;EOMONTH(DATE('CONFIGURAÇÕES'!$B$18,10,1),0))</f>
        <v/>
      </c>
    </row>
    <row r="62">
      <c r="A62" s="17">
        <f>"Mês 11"</f>
        <v/>
      </c>
      <c r="B62" s="18">
        <f>SUM('CONTAS BANCÁRIAS'!$G$6:$G$13)+SUMIFS('LANÇAMENTOS'!$V$6:$V$2005,'LANÇAMENTOS'!$E$6:$E$2005,"Entrada",'LANÇAMENTOS'!$D$6:$D$2005,"&lt;"&amp;DATE('CONFIGURAÇÕES'!$B$18,11,1))-SUMIFS('LANÇAMENTOS'!$V$6:$V$2005,'LANÇAMENTOS'!$E$6:$E$2005,"Saída",'LANÇAMENTOS'!$D$6:$D$2005,"&lt;"&amp;DATE('CONFIGURAÇÕES'!$B$18,11,1))</f>
        <v/>
      </c>
      <c r="C62" s="18">
        <f>SUMIFS('LANÇAMENTOS'!$V$6:$V$2005,'LANÇAMENTOS'!$E$6:$E$2005,"Entrada",'LANÇAMENTOS'!$D$6:$D$2005,"&gt;="&amp;DATE('CONFIGURAÇÕES'!$B$18,11,1),'LANÇAMENTOS'!$D$6:$D$2005,"&lt;="&amp;EOMONTH(DATE('CONFIGURAÇÕES'!$B$18,11,1),0))</f>
        <v/>
      </c>
      <c r="D62" s="18">
        <f>SUMIFS('LANÇAMENTOS'!$V$6:$V$2005,'LANÇAMENTOS'!$E$6:$E$2005,"Saída",'LANÇAMENTOS'!$D$6:$D$2005,"&gt;="&amp;DATE('CONFIGURAÇÕES'!$B$18,11,1),'LANÇAMENTOS'!$D$6:$D$2005,"&lt;="&amp;EOMONTH(DATE('CONFIGURAÇÕES'!$B$18,11,1),0))</f>
        <v/>
      </c>
      <c r="E62" s="18">
        <f>$C62-$D62</f>
        <v/>
      </c>
      <c r="F62" s="18">
        <f>$B62+$E62</f>
        <v/>
      </c>
      <c r="G62" s="18">
        <f>SUMIFS('LANÇAMENTOS'!$W$6:$W$2005,'LANÇAMENTOS'!$E$6:$E$2005,"Entrada",'LANÇAMENTOS'!$C$6:$C$2005,"&gt;="&amp;DATE('CONFIGURAÇÕES'!$B$18,11,1),'LANÇAMENTOS'!$C$6:$C$2005,"&lt;="&amp;EOMONTH(DATE('CONFIGURAÇÕES'!$B$18,11,1),0),'LANÇAMENTOS'!$W$6:$W$2005,"&gt;0")</f>
        <v/>
      </c>
      <c r="H62" s="18">
        <f>SUMIFS('LANÇAMENTOS'!$W$6:$W$2005,'LANÇAMENTOS'!$E$6:$E$2005,"Saída",'LANÇAMENTOS'!$C$6:$C$2005,"&gt;="&amp;DATE('CONFIGURAÇÕES'!$B$18,11,1),'LANÇAMENTOS'!$C$6:$C$2005,"&lt;="&amp;EOMONTH(DATE('CONFIGURAÇÕES'!$B$18,11,1),0),'LANÇAMENTOS'!$W$6:$W$2005,"&gt;0")</f>
        <v/>
      </c>
      <c r="I62" s="18">
        <f>$F62+$G62-$H62</f>
        <v/>
      </c>
      <c r="J62" s="18">
        <f>SUMIFS('LANÇAMENTOS'!$V$6:$V$2005,'LANÇAMENTOS'!$E$6:$E$2005,"Entrada",'LANÇAMENTOS'!$AG$6:$AG$2005,"Operacional",'LANÇAMENTOS'!$D$6:$D$2005,"&gt;="&amp;DATE('CONFIGURAÇÕES'!$B$18,11,1),'LANÇAMENTOS'!$D$6:$D$2005,"&lt;="&amp;EOMONTH(DATE('CONFIGURAÇÕES'!$B$18,11,1),0))</f>
        <v/>
      </c>
      <c r="K62" s="18">
        <f>SUMIFS('LANÇAMENTOS'!$V$6:$V$2005,'LANÇAMENTOS'!$E$6:$E$2005,"Saída",'LANÇAMENTOS'!$AG$6:$AG$2005,"Operacional",'LANÇAMENTOS'!$D$6:$D$2005,"&gt;="&amp;DATE('CONFIGURAÇÕES'!$B$18,11,1),'LANÇAMENTOS'!$D$6:$D$2005,"&lt;="&amp;EOMONTH(DATE('CONFIGURAÇÕES'!$B$18,11,1),0))</f>
        <v/>
      </c>
      <c r="L62" s="18">
        <f>$J62-$K62</f>
        <v/>
      </c>
      <c r="M62" s="18">
        <f>SUMIFS('LANÇAMENTOS'!$V$6:$V$2005,'LANÇAMENTOS'!$E$6:$E$2005,"Entrada",'LANÇAMENTOS'!$AG$6:$AG$2005,"Investimento",'LANÇAMENTOS'!$D$6:$D$2005,"&gt;="&amp;DATE('CONFIGURAÇÕES'!$B$18,11,1),'LANÇAMENTOS'!$D$6:$D$2005,"&lt;="&amp;EOMONTH(DATE('CONFIGURAÇÕES'!$B$18,11,1),0))-SUMIFS('LANÇAMENTOS'!$V$6:$V$2005,'LANÇAMENTOS'!$E$6:$E$2005,"Saída",'LANÇAMENTOS'!$AG$6:$AG$2005,"Investimento",'LANÇAMENTOS'!$D$6:$D$2005,"&gt;="&amp;DATE('CONFIGURAÇÕES'!$B$18,11,1),'LANÇAMENTOS'!$D$6:$D$2005,"&lt;="&amp;EOMONTH(DATE('CONFIGURAÇÕES'!$B$18,11,1),0))</f>
        <v/>
      </c>
      <c r="N62" s="18">
        <f>SUMIFS('LANÇAMENTOS'!$V$6:$V$2005,'LANÇAMENTOS'!$E$6:$E$2005,"Entrada",'LANÇAMENTOS'!$AG$6:$AG$2005,"Financiamento",'LANÇAMENTOS'!$D$6:$D$2005,"&gt;="&amp;DATE('CONFIGURAÇÕES'!$B$18,11,1),'LANÇAMENTOS'!$D$6:$D$2005,"&lt;="&amp;EOMONTH(DATE('CONFIGURAÇÕES'!$B$18,11,1),0))-SUMIFS('LANÇAMENTOS'!$V$6:$V$2005,'LANÇAMENTOS'!$E$6:$E$2005,"Saída",'LANÇAMENTOS'!$AG$6:$AG$2005,"Financiamento",'LANÇAMENTOS'!$D$6:$D$2005,"&gt;="&amp;DATE('CONFIGURAÇÕES'!$B$18,11,1),'LANÇAMENTOS'!$D$6:$D$2005,"&lt;="&amp;EOMONTH(DATE('CONFIGURAÇÕES'!$B$18,11,1),0))</f>
        <v/>
      </c>
    </row>
    <row r="63">
      <c r="A63" s="17">
        <f>"Mês 12"</f>
        <v/>
      </c>
      <c r="B63" s="18">
        <f>SUM('CONTAS BANCÁRIAS'!$G$6:$G$13)+SUMIFS('LANÇAMENTOS'!$V$6:$V$2005,'LANÇAMENTOS'!$E$6:$E$2005,"Entrada",'LANÇAMENTOS'!$D$6:$D$2005,"&lt;"&amp;DATE('CONFIGURAÇÕES'!$B$18,12,1))-SUMIFS('LANÇAMENTOS'!$V$6:$V$2005,'LANÇAMENTOS'!$E$6:$E$2005,"Saída",'LANÇAMENTOS'!$D$6:$D$2005,"&lt;"&amp;DATE('CONFIGURAÇÕES'!$B$18,12,1))</f>
        <v/>
      </c>
      <c r="C63" s="18">
        <f>SUMIFS('LANÇAMENTOS'!$V$6:$V$2005,'LANÇAMENTOS'!$E$6:$E$2005,"Entrada",'LANÇAMENTOS'!$D$6:$D$2005,"&gt;="&amp;DATE('CONFIGURAÇÕES'!$B$18,12,1),'LANÇAMENTOS'!$D$6:$D$2005,"&lt;="&amp;EOMONTH(DATE('CONFIGURAÇÕES'!$B$18,12,1),0))</f>
        <v/>
      </c>
      <c r="D63" s="18">
        <f>SUMIFS('LANÇAMENTOS'!$V$6:$V$2005,'LANÇAMENTOS'!$E$6:$E$2005,"Saída",'LANÇAMENTOS'!$D$6:$D$2005,"&gt;="&amp;DATE('CONFIGURAÇÕES'!$B$18,12,1),'LANÇAMENTOS'!$D$6:$D$2005,"&lt;="&amp;EOMONTH(DATE('CONFIGURAÇÕES'!$B$18,12,1),0))</f>
        <v/>
      </c>
      <c r="E63" s="18">
        <f>$C63-$D63</f>
        <v/>
      </c>
      <c r="F63" s="18">
        <f>$B63+$E63</f>
        <v/>
      </c>
      <c r="G63" s="18">
        <f>SUMIFS('LANÇAMENTOS'!$W$6:$W$2005,'LANÇAMENTOS'!$E$6:$E$2005,"Entrada",'LANÇAMENTOS'!$C$6:$C$2005,"&gt;="&amp;DATE('CONFIGURAÇÕES'!$B$18,12,1),'LANÇAMENTOS'!$C$6:$C$2005,"&lt;="&amp;EOMONTH(DATE('CONFIGURAÇÕES'!$B$18,12,1),0),'LANÇAMENTOS'!$W$6:$W$2005,"&gt;0")</f>
        <v/>
      </c>
      <c r="H63" s="18">
        <f>SUMIFS('LANÇAMENTOS'!$W$6:$W$2005,'LANÇAMENTOS'!$E$6:$E$2005,"Saída",'LANÇAMENTOS'!$C$6:$C$2005,"&gt;="&amp;DATE('CONFIGURAÇÕES'!$B$18,12,1),'LANÇAMENTOS'!$C$6:$C$2005,"&lt;="&amp;EOMONTH(DATE('CONFIGURAÇÕES'!$B$18,12,1),0),'LANÇAMENTOS'!$W$6:$W$2005,"&gt;0")</f>
        <v/>
      </c>
      <c r="I63" s="18">
        <f>$F63+$G63-$H63</f>
        <v/>
      </c>
      <c r="J63" s="18">
        <f>SUMIFS('LANÇAMENTOS'!$V$6:$V$2005,'LANÇAMENTOS'!$E$6:$E$2005,"Entrada",'LANÇAMENTOS'!$AG$6:$AG$2005,"Operacional",'LANÇAMENTOS'!$D$6:$D$2005,"&gt;="&amp;DATE('CONFIGURAÇÕES'!$B$18,12,1),'LANÇAMENTOS'!$D$6:$D$2005,"&lt;="&amp;EOMONTH(DATE('CONFIGURAÇÕES'!$B$18,12,1),0))</f>
        <v/>
      </c>
      <c r="K63" s="18">
        <f>SUMIFS('LANÇAMENTOS'!$V$6:$V$2005,'LANÇAMENTOS'!$E$6:$E$2005,"Saída",'LANÇAMENTOS'!$AG$6:$AG$2005,"Operacional",'LANÇAMENTOS'!$D$6:$D$2005,"&gt;="&amp;DATE('CONFIGURAÇÕES'!$B$18,12,1),'LANÇAMENTOS'!$D$6:$D$2005,"&lt;="&amp;EOMONTH(DATE('CONFIGURAÇÕES'!$B$18,12,1),0))</f>
        <v/>
      </c>
      <c r="L63" s="18">
        <f>$J63-$K63</f>
        <v/>
      </c>
      <c r="M63" s="18">
        <f>SUMIFS('LANÇAMENTOS'!$V$6:$V$2005,'LANÇAMENTOS'!$E$6:$E$2005,"Entrada",'LANÇAMENTOS'!$AG$6:$AG$2005,"Investimento",'LANÇAMENTOS'!$D$6:$D$2005,"&gt;="&amp;DATE('CONFIGURAÇÕES'!$B$18,12,1),'LANÇAMENTOS'!$D$6:$D$2005,"&lt;="&amp;EOMONTH(DATE('CONFIGURAÇÕES'!$B$18,12,1),0))-SUMIFS('LANÇAMENTOS'!$V$6:$V$2005,'LANÇAMENTOS'!$E$6:$E$2005,"Saída",'LANÇAMENTOS'!$AG$6:$AG$2005,"Investimento",'LANÇAMENTOS'!$D$6:$D$2005,"&gt;="&amp;DATE('CONFIGURAÇÕES'!$B$18,12,1),'LANÇAMENTOS'!$D$6:$D$2005,"&lt;="&amp;EOMONTH(DATE('CONFIGURAÇÕES'!$B$18,12,1),0))</f>
        <v/>
      </c>
      <c r="N63" s="18">
        <f>SUMIFS('LANÇAMENTOS'!$V$6:$V$2005,'LANÇAMENTOS'!$E$6:$E$2005,"Entrada",'LANÇAMENTOS'!$AG$6:$AG$2005,"Financiamento",'LANÇAMENTOS'!$D$6:$D$2005,"&gt;="&amp;DATE('CONFIGURAÇÕES'!$B$18,12,1),'LANÇAMENTOS'!$D$6:$D$2005,"&lt;="&amp;EOMONTH(DATE('CONFIGURAÇÕES'!$B$18,12,1),0))-SUMIFS('LANÇAMENTOS'!$V$6:$V$2005,'LANÇAMENTOS'!$E$6:$E$2005,"Saída",'LANÇAMENTOS'!$AG$6:$AG$2005,"Financiamento",'LANÇAMENTOS'!$D$6:$D$2005,"&gt;="&amp;DATE('CONFIGURAÇÕES'!$B$18,12,1),'LANÇAMENTOS'!$D$6:$D$2005,"&lt;="&amp;EOMONTH(DATE('CONFIGURAÇÕES'!$B$18,12,1),0))</f>
        <v/>
      </c>
    </row>
    <row r="64">
      <c r="A64" s="37" t="inlineStr">
        <is>
          <t>TOTAL DO ANO</t>
        </is>
      </c>
      <c r="C64" s="38">
        <f>SUM(C52:C63)</f>
        <v/>
      </c>
      <c r="D64" s="38">
        <f>SUM(D52:D63)</f>
        <v/>
      </c>
      <c r="E64" s="38">
        <f>SUM(E52:E63)</f>
        <v/>
      </c>
      <c r="F64" s="38">
        <f>$B$52+$E$64</f>
        <v/>
      </c>
      <c r="G64" s="38">
        <f>SUM(G52:G63)</f>
        <v/>
      </c>
      <c r="H64" s="38">
        <f>SUM(H52:H63)</f>
        <v/>
      </c>
      <c r="I64" s="38">
        <f>$F$64+$G$64-$H$64</f>
        <v/>
      </c>
      <c r="J64" s="38">
        <f>SUM(J52:J63)</f>
        <v/>
      </c>
      <c r="K64" s="38">
        <f>SUM(K52:K63)</f>
        <v/>
      </c>
      <c r="L64" s="38">
        <f>SUM(L52:L63)</f>
        <v/>
      </c>
      <c r="M64" s="38">
        <f>SUM(M52:M63)</f>
        <v/>
      </c>
      <c r="N64" s="38">
        <f>SUM(N52:N63)</f>
        <v/>
      </c>
    </row>
    <row r="66" ht="20" customHeight="1">
      <c r="A66" s="4" t="inlineStr">
        <is>
          <t>4. RESUMO POR TIPO DE OPERAÇÃO (ano de análise)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32" customHeight="1">
      <c r="A67" s="21" t="inlineStr">
        <is>
          <t>Tipo de fluxo</t>
        </is>
      </c>
      <c r="B67" s="21" t="inlineStr">
        <is>
          <t>Entradas</t>
        </is>
      </c>
      <c r="C67" s="21" t="inlineStr">
        <is>
          <t>Saídas</t>
        </is>
      </c>
      <c r="D67" s="21" t="inlineStr">
        <is>
          <t>Líquido</t>
        </is>
      </c>
      <c r="E67" s="21" t="inlineStr">
        <is>
          <t>% das entradas</t>
        </is>
      </c>
      <c r="F67" s="21" t="inlineStr">
        <is>
          <t>O que entra aqui</t>
        </is>
      </c>
      <c r="G67" s="21" t="inlineStr">
        <is>
          <t>Linha do DRE correspondente</t>
        </is>
      </c>
    </row>
    <row r="68">
      <c r="A68" s="9" t="inlineStr">
        <is>
          <t>Operacional</t>
        </is>
      </c>
      <c r="B68" s="18">
        <f>SUMIFS('LANÇAMENTOS'!$V$6:$V$2005,'LANÇAMENTOS'!$E$6:$E$2005,"Entrada",'LANÇAMENTOS'!$AG$6:$AG$2005,$A68,'LANÇAMENTOS'!$D$6:$D$2005,"&gt;="&amp;DATE('CONFIGURAÇÕES'!$B$18,1,1),'LANÇAMENTOS'!$D$6:$D$2005,"&lt;="&amp;DATE('CONFIGURAÇÕES'!$B$18,12,31))</f>
        <v/>
      </c>
      <c r="C68" s="18">
        <f>SUMIFS('LANÇAMENTOS'!$V$6:$V$2005,'LANÇAMENTOS'!$E$6:$E$2005,"Saída",'LANÇAMENTOS'!$AG$6:$AG$2005,$A68,'LANÇAMENTOS'!$D$6:$D$2005,"&gt;="&amp;DATE('CONFIGURAÇÕES'!$B$18,1,1),'LANÇAMENTOS'!$D$6:$D$2005,"&lt;="&amp;DATE('CONFIGURAÇÕES'!$B$18,12,31))</f>
        <v/>
      </c>
      <c r="D68" s="18">
        <f>$B68-$C68</f>
        <v/>
      </c>
      <c r="E68" s="23">
        <f>IF($B$71=0,"",$B68/$B$71)</f>
        <v/>
      </c>
      <c r="F68" s="25" t="inlineStr">
        <is>
          <t>Receitas, custos e despesas do dia a dia</t>
        </is>
      </c>
      <c r="G68" s="25" t="inlineStr">
        <is>
          <t>Receita líquida, custos variáveis e despesas</t>
        </is>
      </c>
    </row>
    <row r="69">
      <c r="A69" s="9" t="inlineStr">
        <is>
          <t>Investimento</t>
        </is>
      </c>
      <c r="B69" s="18">
        <f>SUMIFS('LANÇAMENTOS'!$V$6:$V$2005,'LANÇAMENTOS'!$E$6:$E$2005,"Entrada",'LANÇAMENTOS'!$AG$6:$AG$2005,$A69,'LANÇAMENTOS'!$D$6:$D$2005,"&gt;="&amp;DATE('CONFIGURAÇÕES'!$B$18,1,1),'LANÇAMENTOS'!$D$6:$D$2005,"&lt;="&amp;DATE('CONFIGURAÇÕES'!$B$18,12,31))</f>
        <v/>
      </c>
      <c r="C69" s="18">
        <f>SUMIFS('LANÇAMENTOS'!$V$6:$V$2005,'LANÇAMENTOS'!$E$6:$E$2005,"Saída",'LANÇAMENTOS'!$AG$6:$AG$2005,$A69,'LANÇAMENTOS'!$D$6:$D$2005,"&gt;="&amp;DATE('CONFIGURAÇÕES'!$B$18,1,1),'LANÇAMENTOS'!$D$6:$D$2005,"&lt;="&amp;DATE('CONFIGURAÇÕES'!$B$18,12,31))</f>
        <v/>
      </c>
      <c r="D69" s="18">
        <f>$B69-$C69</f>
        <v/>
      </c>
      <c r="E69" s="23">
        <f>IF($B$71=0,"",$B69/$B$71)</f>
        <v/>
      </c>
      <c r="F69" s="25" t="inlineStr">
        <is>
          <t>Compra de máquinas, veículos, tecnologia, reformas</t>
        </is>
      </c>
      <c r="G69" s="25" t="inlineStr">
        <is>
          <t>Investimentos (CAPEX) — não afeta o resultado</t>
        </is>
      </c>
    </row>
    <row r="70">
      <c r="A70" s="9" t="inlineStr">
        <is>
          <t>Financiamento</t>
        </is>
      </c>
      <c r="B70" s="18">
        <f>SUMIFS('LANÇAMENTOS'!$V$6:$V$2005,'LANÇAMENTOS'!$E$6:$E$2005,"Entrada",'LANÇAMENTOS'!$AG$6:$AG$2005,$A70,'LANÇAMENTOS'!$D$6:$D$2005,"&gt;="&amp;DATE('CONFIGURAÇÕES'!$B$18,1,1),'LANÇAMENTOS'!$D$6:$D$2005,"&lt;="&amp;DATE('CONFIGURAÇÕES'!$B$18,12,31))</f>
        <v/>
      </c>
      <c r="C70" s="18">
        <f>SUMIFS('LANÇAMENTOS'!$V$6:$V$2005,'LANÇAMENTOS'!$E$6:$E$2005,"Saída",'LANÇAMENTOS'!$AG$6:$AG$2005,$A70,'LANÇAMENTOS'!$D$6:$D$2005,"&gt;="&amp;DATE('CONFIGURAÇÕES'!$B$18,1,1),'LANÇAMENTOS'!$D$6:$D$2005,"&lt;="&amp;DATE('CONFIGURAÇÕES'!$B$18,12,31))</f>
        <v/>
      </c>
      <c r="D70" s="18">
        <f>$B70-$C70</f>
        <v/>
      </c>
      <c r="E70" s="23">
        <f>IF($B$71=0,"",$B70/$B$71)</f>
        <v/>
      </c>
      <c r="F70" s="25" t="inlineStr">
        <is>
          <t>Empréstimos, financiamentos, aportes e distribuição de lucros</t>
        </is>
      </c>
      <c r="G70" s="25" t="inlineStr">
        <is>
          <t>Não afeta o resultado operacional</t>
        </is>
      </c>
    </row>
    <row r="71">
      <c r="A71" s="37" t="inlineStr">
        <is>
          <t>TOTAL</t>
        </is>
      </c>
      <c r="B71" s="38">
        <f>SUM(B68:B70)</f>
        <v/>
      </c>
      <c r="C71" s="38">
        <f>SUM(C68:C70)</f>
        <v/>
      </c>
      <c r="D71" s="38">
        <f>SUM(D68:D70)</f>
        <v/>
      </c>
      <c r="E71" s="39">
        <f>IF($B$71=0,"",1)</f>
        <v/>
      </c>
    </row>
    <row r="73">
      <c r="A73" s="3" t="inlineStr">
        <is>
          <t>COMO LER: 'Entradas/Saídas realizadas' usam a data de pagamento/recebimento. 'Entradas/Saídas previstas' usam os títulos ainda em aberto na data de vencimento — é a sua agenda de compromissos. O saldo projetado mostra como o caixa ficará se tudo for liquidado nas datas.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4">
    <mergeCell ref="C6:D6"/>
    <mergeCell ref="A66:I66"/>
    <mergeCell ref="A3:I3"/>
    <mergeCell ref="A50:I50"/>
    <mergeCell ref="A6:B6"/>
    <mergeCell ref="A2:I2"/>
    <mergeCell ref="C10:D10"/>
    <mergeCell ref="A7:B7"/>
    <mergeCell ref="G7:H7"/>
    <mergeCell ref="A5:I5"/>
    <mergeCell ref="E10:F10"/>
    <mergeCell ref="A73:I74"/>
    <mergeCell ref="G10:H10"/>
    <mergeCell ref="G6:H6"/>
    <mergeCell ref="C9:D9"/>
    <mergeCell ref="E9:F9"/>
    <mergeCell ref="E6:F6"/>
    <mergeCell ref="A13:I13"/>
    <mergeCell ref="C7:D7"/>
    <mergeCell ref="E7:F7"/>
    <mergeCell ref="A10:B10"/>
    <mergeCell ref="A1:I1"/>
    <mergeCell ref="A9:B9"/>
    <mergeCell ref="G9:H9"/>
  </mergeCells>
  <conditionalFormatting sqref="F10">
    <cfRule type="expression" priority="1" dxfId="0">
      <formula>=$F$10&lt;0</formula>
    </cfRule>
    <cfRule type="expression" priority="2" dxfId="8">
      <formula>=$F$10&gt;=0</formula>
    </cfRule>
  </conditionalFormatting>
  <conditionalFormatting sqref="I18:I48">
    <cfRule type="expression" priority="3" dxfId="0">
      <formula>=AND($I18&lt;&gt;"",$I18&lt;'CONFIGURAÇÕES'!$B$25)</formula>
    </cfRule>
  </conditionalFormatting>
  <conditionalFormatting sqref="E18:E48">
    <cfRule type="expression" priority="4" dxfId="6">
      <formula>=$E18&lt;0</formula>
    </cfRule>
  </conditionalFormatting>
  <conditionalFormatting sqref="F18:F48">
    <cfRule type="dataBar" priority="5">
      <dataBar showValue="1">
        <cfvo type="num" val="0"/>
        <cfvo type="max"/>
        <color rgb="002E75B6"/>
      </dataBar>
    </cfRule>
  </conditionalFormatting>
  <conditionalFormatting sqref="I52:I63">
    <cfRule type="expression" priority="6" dxfId="0">
      <formula>=$I52&lt;'CONFIGURAÇÕES'!$B$25</formula>
    </cfRule>
    <cfRule type="expression" priority="7" dxfId="3">
      <formula>=AND($I52&gt;='CONFIGURAÇÕES'!$B$25,$I52&lt;'CONFIGURAÇÕES'!$B$25*1.5)</formula>
    </cfRule>
  </conditionalFormatting>
  <conditionalFormatting sqref="E52:E63">
    <cfRule type="expression" priority="8" dxfId="6">
      <formula>=$E52&lt;0</formula>
    </cfRule>
  </conditionalFormatting>
  <conditionalFormatting sqref="F52:F63">
    <cfRule type="dataBar" priority="9">
      <dataBar showValue="1">
        <cfvo type="num" val="0"/>
        <cfvo type="max"/>
        <color rgb="002E75B6"/>
      </dataBar>
    </cfRule>
  </conditionalFormatting>
  <conditionalFormatting sqref="D68:D70">
    <cfRule type="expression" priority="10" dxfId="6">
      <formula>=$D68&lt;0</formula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P98"/>
  <sheetViews>
    <sheetView showGridLines="0" tabSelected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3" customWidth="1" min="16" max="16"/>
  </cols>
  <sheetData>
    <row r="1" ht="24" customHeight="1">
      <c r="A1" s="26" t="inlineStr">
        <is>
          <t>DRE GERENCIAL — DEMONSTRATIVO DE RESULTADO</t>
        </is>
      </c>
    </row>
    <row r="2">
      <c r="A2" s="27" t="inlineStr">
        <is>
          <t>Resultado por competência (regime de competência), mês a mês, com margens e análise vertical. Alimentado automaticamente pela aba LANÇAMENTOS.</t>
        </is>
      </c>
    </row>
    <row r="3" ht="20" customHeight="1">
      <c r="A3" s="3" t="inlineStr">
        <is>
          <t>⚠ Dados de exemplo. Os valores usam a DATA DE COMPETÊNCIA dos lançamentos (não o pagamento). Meses futuros mostram a previsão registrada nos lançamentos.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idden="1">
      <c r="A4" s="25" t="inlineStr">
        <is>
          <t>Mês nº (apoio de cálculo)</t>
        </is>
      </c>
      <c r="B4" s="24" t="n">
        <v>1</v>
      </c>
      <c r="C4" s="24" t="n">
        <v>2</v>
      </c>
      <c r="D4" s="24" t="n">
        <v>3</v>
      </c>
      <c r="E4" s="24" t="n">
        <v>4</v>
      </c>
      <c r="F4" s="24" t="n">
        <v>5</v>
      </c>
      <c r="G4" s="24" t="n">
        <v>6</v>
      </c>
      <c r="H4" s="24" t="n">
        <v>7</v>
      </c>
      <c r="I4" s="24" t="n">
        <v>8</v>
      </c>
      <c r="J4" s="24" t="n">
        <v>9</v>
      </c>
      <c r="K4" s="24" t="n">
        <v>10</v>
      </c>
      <c r="L4" s="24" t="n">
        <v>11</v>
      </c>
      <c r="M4" s="24" t="n">
        <v>12</v>
      </c>
    </row>
    <row r="5" ht="20" customHeight="1">
      <c r="A5" s="4" t="inlineStr">
        <is>
          <t>1. DRE MENSAL E ANUAL (R$) — ano de análise definido na aba CONFIGURAÇÕES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4" customHeight="1">
      <c r="A6" s="34" t="inlineStr">
        <is>
          <t>Descrição</t>
        </is>
      </c>
      <c r="B6" s="34" t="inlineStr">
        <is>
          <t>Mês 1</t>
        </is>
      </c>
      <c r="C6" s="34" t="inlineStr">
        <is>
          <t>Mês 2</t>
        </is>
      </c>
      <c r="D6" s="34" t="inlineStr">
        <is>
          <t>Mês 3</t>
        </is>
      </c>
      <c r="E6" s="34" t="inlineStr">
        <is>
          <t>Mês 4</t>
        </is>
      </c>
      <c r="F6" s="34" t="inlineStr">
        <is>
          <t>Mês 5</t>
        </is>
      </c>
      <c r="G6" s="34" t="inlineStr">
        <is>
          <t>Mês 6</t>
        </is>
      </c>
      <c r="H6" s="34" t="inlineStr">
        <is>
          <t>Mês 7</t>
        </is>
      </c>
      <c r="I6" s="34" t="inlineStr">
        <is>
          <t>Mês 8</t>
        </is>
      </c>
      <c r="J6" s="34" t="inlineStr">
        <is>
          <t>Mês 9</t>
        </is>
      </c>
      <c r="K6" s="34" t="inlineStr">
        <is>
          <t>Mês 10</t>
        </is>
      </c>
      <c r="L6" s="34" t="inlineStr">
        <is>
          <t>Mês 11</t>
        </is>
      </c>
      <c r="M6" s="34" t="inlineStr">
        <is>
          <t>Mês 12</t>
        </is>
      </c>
      <c r="N6" s="34" t="inlineStr">
        <is>
          <t>TOTAL DO ANO</t>
        </is>
      </c>
      <c r="O6" s="34" t="inlineStr">
        <is>
          <t>% da receita líquida</t>
        </is>
      </c>
    </row>
    <row r="7">
      <c r="A7" s="42" t="inlineStr">
        <is>
          <t>FATURAMENTO BRUTO</t>
        </is>
      </c>
      <c r="B7" s="18">
        <f>IF('CONFIGURAÇÕES'!$B$18=0,0,SUMIFS('LANÇAMENTOS'!$AE$6:$AE$2005,'LANÇAMENTOS'!$AF$6:$AF$2005,"Faturamento Bruto",'LANÇAMENTOS'!$Z$6:$Z$2005,1,'LANÇAMENTOS'!$AA$6:$AA$2005,'CONFIGURAÇÕES'!$B$18))</f>
        <v/>
      </c>
      <c r="C7" s="18">
        <f>IF('CONFIGURAÇÕES'!$B$18=0,0,SUMIFS('LANÇAMENTOS'!$AE$6:$AE$2005,'LANÇAMENTOS'!$AF$6:$AF$2005,"Faturamento Bruto",'LANÇAMENTOS'!$Z$6:$Z$2005,2,'LANÇAMENTOS'!$AA$6:$AA$2005,'CONFIGURAÇÕES'!$B$18))</f>
        <v/>
      </c>
      <c r="D7" s="18">
        <f>IF('CONFIGURAÇÕES'!$B$18=0,0,SUMIFS('LANÇAMENTOS'!$AE$6:$AE$2005,'LANÇAMENTOS'!$AF$6:$AF$2005,"Faturamento Bruto",'LANÇAMENTOS'!$Z$6:$Z$2005,3,'LANÇAMENTOS'!$AA$6:$AA$2005,'CONFIGURAÇÕES'!$B$18))</f>
        <v/>
      </c>
      <c r="E7" s="18">
        <f>IF('CONFIGURAÇÕES'!$B$18=0,0,SUMIFS('LANÇAMENTOS'!$AE$6:$AE$2005,'LANÇAMENTOS'!$AF$6:$AF$2005,"Faturamento Bruto",'LANÇAMENTOS'!$Z$6:$Z$2005,4,'LANÇAMENTOS'!$AA$6:$AA$2005,'CONFIGURAÇÕES'!$B$18))</f>
        <v/>
      </c>
      <c r="F7" s="18">
        <f>IF('CONFIGURAÇÕES'!$B$18=0,0,SUMIFS('LANÇAMENTOS'!$AE$6:$AE$2005,'LANÇAMENTOS'!$AF$6:$AF$2005,"Faturamento Bruto",'LANÇAMENTOS'!$Z$6:$Z$2005,5,'LANÇAMENTOS'!$AA$6:$AA$2005,'CONFIGURAÇÕES'!$B$18))</f>
        <v/>
      </c>
      <c r="G7" s="18">
        <f>IF('CONFIGURAÇÕES'!$B$18=0,0,SUMIFS('LANÇAMENTOS'!$AE$6:$AE$2005,'LANÇAMENTOS'!$AF$6:$AF$2005,"Faturamento Bruto",'LANÇAMENTOS'!$Z$6:$Z$2005,6,'LANÇAMENTOS'!$AA$6:$AA$2005,'CONFIGURAÇÕES'!$B$18))</f>
        <v/>
      </c>
      <c r="H7" s="18">
        <f>IF('CONFIGURAÇÕES'!$B$18=0,0,SUMIFS('LANÇAMENTOS'!$AE$6:$AE$2005,'LANÇAMENTOS'!$AF$6:$AF$2005,"Faturamento Bruto",'LANÇAMENTOS'!$Z$6:$Z$2005,7,'LANÇAMENTOS'!$AA$6:$AA$2005,'CONFIGURAÇÕES'!$B$18))</f>
        <v/>
      </c>
      <c r="I7" s="18">
        <f>IF('CONFIGURAÇÕES'!$B$18=0,0,SUMIFS('LANÇAMENTOS'!$AE$6:$AE$2005,'LANÇAMENTOS'!$AF$6:$AF$2005,"Faturamento Bruto",'LANÇAMENTOS'!$Z$6:$Z$2005,8,'LANÇAMENTOS'!$AA$6:$AA$2005,'CONFIGURAÇÕES'!$B$18))</f>
        <v/>
      </c>
      <c r="J7" s="18">
        <f>IF('CONFIGURAÇÕES'!$B$18=0,0,SUMIFS('LANÇAMENTOS'!$AE$6:$AE$2005,'LANÇAMENTOS'!$AF$6:$AF$2005,"Faturamento Bruto",'LANÇAMENTOS'!$Z$6:$Z$2005,9,'LANÇAMENTOS'!$AA$6:$AA$2005,'CONFIGURAÇÕES'!$B$18))</f>
        <v/>
      </c>
      <c r="K7" s="18">
        <f>IF('CONFIGURAÇÕES'!$B$18=0,0,SUMIFS('LANÇAMENTOS'!$AE$6:$AE$2005,'LANÇAMENTOS'!$AF$6:$AF$2005,"Faturamento Bruto",'LANÇAMENTOS'!$Z$6:$Z$2005,10,'LANÇAMENTOS'!$AA$6:$AA$2005,'CONFIGURAÇÕES'!$B$18))</f>
        <v/>
      </c>
      <c r="L7" s="18">
        <f>IF('CONFIGURAÇÕES'!$B$18=0,0,SUMIFS('LANÇAMENTOS'!$AE$6:$AE$2005,'LANÇAMENTOS'!$AF$6:$AF$2005,"Faturamento Bruto",'LANÇAMENTOS'!$Z$6:$Z$2005,11,'LANÇAMENTOS'!$AA$6:$AA$2005,'CONFIGURAÇÕES'!$B$18))</f>
        <v/>
      </c>
      <c r="M7" s="18">
        <f>IF('CONFIGURAÇÕES'!$B$18=0,0,SUMIFS('LANÇAMENTOS'!$AE$6:$AE$2005,'LANÇAMENTOS'!$AF$6:$AF$2005,"Faturamento Bruto",'LANÇAMENTOS'!$Z$6:$Z$2005,12,'LANÇAMENTOS'!$AA$6:$AA$2005,'CONFIGURAÇÕES'!$B$18))</f>
        <v/>
      </c>
      <c r="N7" s="18">
        <f>SUM(B7:M7)</f>
        <v/>
      </c>
      <c r="O7" s="23">
        <f>IF($N$10=0,"",$N7/$N$10)</f>
        <v/>
      </c>
    </row>
    <row r="8">
      <c r="A8" s="43" t="inlineStr">
        <is>
          <t>(-) Impostos sobre vendas</t>
        </is>
      </c>
      <c r="B8" s="18">
        <f>IF('CONFIGURAÇÕES'!$B$18=0,0,SUMIFS('LANÇAMENTOS'!$AE$6:$AE$2005,'LANÇAMENTOS'!$AF$6:$AF$2005,"Impostos sobre Vendas",'LANÇAMENTOS'!$Z$6:$Z$2005,1,'LANÇAMENTOS'!$AA$6:$AA$2005,'CONFIGURAÇÕES'!$B$18))</f>
        <v/>
      </c>
      <c r="C8" s="18">
        <f>IF('CONFIGURAÇÕES'!$B$18=0,0,SUMIFS('LANÇAMENTOS'!$AE$6:$AE$2005,'LANÇAMENTOS'!$AF$6:$AF$2005,"Impostos sobre Vendas",'LANÇAMENTOS'!$Z$6:$Z$2005,2,'LANÇAMENTOS'!$AA$6:$AA$2005,'CONFIGURAÇÕES'!$B$18))</f>
        <v/>
      </c>
      <c r="D8" s="18">
        <f>IF('CONFIGURAÇÕES'!$B$18=0,0,SUMIFS('LANÇAMENTOS'!$AE$6:$AE$2005,'LANÇAMENTOS'!$AF$6:$AF$2005,"Impostos sobre Vendas",'LANÇAMENTOS'!$Z$6:$Z$2005,3,'LANÇAMENTOS'!$AA$6:$AA$2005,'CONFIGURAÇÕES'!$B$18))</f>
        <v/>
      </c>
      <c r="E8" s="18">
        <f>IF('CONFIGURAÇÕES'!$B$18=0,0,SUMIFS('LANÇAMENTOS'!$AE$6:$AE$2005,'LANÇAMENTOS'!$AF$6:$AF$2005,"Impostos sobre Vendas",'LANÇAMENTOS'!$Z$6:$Z$2005,4,'LANÇAMENTOS'!$AA$6:$AA$2005,'CONFIGURAÇÕES'!$B$18))</f>
        <v/>
      </c>
      <c r="F8" s="18">
        <f>IF('CONFIGURAÇÕES'!$B$18=0,0,SUMIFS('LANÇAMENTOS'!$AE$6:$AE$2005,'LANÇAMENTOS'!$AF$6:$AF$2005,"Impostos sobre Vendas",'LANÇAMENTOS'!$Z$6:$Z$2005,5,'LANÇAMENTOS'!$AA$6:$AA$2005,'CONFIGURAÇÕES'!$B$18))</f>
        <v/>
      </c>
      <c r="G8" s="18">
        <f>IF('CONFIGURAÇÕES'!$B$18=0,0,SUMIFS('LANÇAMENTOS'!$AE$6:$AE$2005,'LANÇAMENTOS'!$AF$6:$AF$2005,"Impostos sobre Vendas",'LANÇAMENTOS'!$Z$6:$Z$2005,6,'LANÇAMENTOS'!$AA$6:$AA$2005,'CONFIGURAÇÕES'!$B$18))</f>
        <v/>
      </c>
      <c r="H8" s="18">
        <f>IF('CONFIGURAÇÕES'!$B$18=0,0,SUMIFS('LANÇAMENTOS'!$AE$6:$AE$2005,'LANÇAMENTOS'!$AF$6:$AF$2005,"Impostos sobre Vendas",'LANÇAMENTOS'!$Z$6:$Z$2005,7,'LANÇAMENTOS'!$AA$6:$AA$2005,'CONFIGURAÇÕES'!$B$18))</f>
        <v/>
      </c>
      <c r="I8" s="18">
        <f>IF('CONFIGURAÇÕES'!$B$18=0,0,SUMIFS('LANÇAMENTOS'!$AE$6:$AE$2005,'LANÇAMENTOS'!$AF$6:$AF$2005,"Impostos sobre Vendas",'LANÇAMENTOS'!$Z$6:$Z$2005,8,'LANÇAMENTOS'!$AA$6:$AA$2005,'CONFIGURAÇÕES'!$B$18))</f>
        <v/>
      </c>
      <c r="J8" s="18">
        <f>IF('CONFIGURAÇÕES'!$B$18=0,0,SUMIFS('LANÇAMENTOS'!$AE$6:$AE$2005,'LANÇAMENTOS'!$AF$6:$AF$2005,"Impostos sobre Vendas",'LANÇAMENTOS'!$Z$6:$Z$2005,9,'LANÇAMENTOS'!$AA$6:$AA$2005,'CONFIGURAÇÕES'!$B$18))</f>
        <v/>
      </c>
      <c r="K8" s="18">
        <f>IF('CONFIGURAÇÕES'!$B$18=0,0,SUMIFS('LANÇAMENTOS'!$AE$6:$AE$2005,'LANÇAMENTOS'!$AF$6:$AF$2005,"Impostos sobre Vendas",'LANÇAMENTOS'!$Z$6:$Z$2005,10,'LANÇAMENTOS'!$AA$6:$AA$2005,'CONFIGURAÇÕES'!$B$18))</f>
        <v/>
      </c>
      <c r="L8" s="18">
        <f>IF('CONFIGURAÇÕES'!$B$18=0,0,SUMIFS('LANÇAMENTOS'!$AE$6:$AE$2005,'LANÇAMENTOS'!$AF$6:$AF$2005,"Impostos sobre Vendas",'LANÇAMENTOS'!$Z$6:$Z$2005,11,'LANÇAMENTOS'!$AA$6:$AA$2005,'CONFIGURAÇÕES'!$B$18))</f>
        <v/>
      </c>
      <c r="M8" s="18">
        <f>IF('CONFIGURAÇÕES'!$B$18=0,0,SUMIFS('LANÇAMENTOS'!$AE$6:$AE$2005,'LANÇAMENTOS'!$AF$6:$AF$2005,"Impostos sobre Vendas",'LANÇAMENTOS'!$Z$6:$Z$2005,12,'LANÇAMENTOS'!$AA$6:$AA$2005,'CONFIGURAÇÕES'!$B$18))</f>
        <v/>
      </c>
      <c r="N8" s="18">
        <f>SUM(B8:M8)</f>
        <v/>
      </c>
      <c r="O8" s="23">
        <f>IF($N$10=0,"",-$N8/$N$10)</f>
        <v/>
      </c>
    </row>
    <row r="9">
      <c r="A9" s="43" t="inlineStr">
        <is>
          <t>(-) Devoluções e cancelamentos</t>
        </is>
      </c>
      <c r="B9" s="18">
        <f>IF('CONFIGURAÇÕES'!$B$18=0,0,SUMIFS('LANÇAMENTOS'!$AE$6:$AE$2005,'LANÇAMENTOS'!$AF$6:$AF$2005,"Devoluções",'LANÇAMENTOS'!$Z$6:$Z$2005,1,'LANÇAMENTOS'!$AA$6:$AA$2005,'CONFIGURAÇÕES'!$B$18))</f>
        <v/>
      </c>
      <c r="C9" s="18">
        <f>IF('CONFIGURAÇÕES'!$B$18=0,0,SUMIFS('LANÇAMENTOS'!$AE$6:$AE$2005,'LANÇAMENTOS'!$AF$6:$AF$2005,"Devoluções",'LANÇAMENTOS'!$Z$6:$Z$2005,2,'LANÇAMENTOS'!$AA$6:$AA$2005,'CONFIGURAÇÕES'!$B$18))</f>
        <v/>
      </c>
      <c r="D9" s="18">
        <f>IF('CONFIGURAÇÕES'!$B$18=0,0,SUMIFS('LANÇAMENTOS'!$AE$6:$AE$2005,'LANÇAMENTOS'!$AF$6:$AF$2005,"Devoluções",'LANÇAMENTOS'!$Z$6:$Z$2005,3,'LANÇAMENTOS'!$AA$6:$AA$2005,'CONFIGURAÇÕES'!$B$18))</f>
        <v/>
      </c>
      <c r="E9" s="18">
        <f>IF('CONFIGURAÇÕES'!$B$18=0,0,SUMIFS('LANÇAMENTOS'!$AE$6:$AE$2005,'LANÇAMENTOS'!$AF$6:$AF$2005,"Devoluções",'LANÇAMENTOS'!$Z$6:$Z$2005,4,'LANÇAMENTOS'!$AA$6:$AA$2005,'CONFIGURAÇÕES'!$B$18))</f>
        <v/>
      </c>
      <c r="F9" s="18">
        <f>IF('CONFIGURAÇÕES'!$B$18=0,0,SUMIFS('LANÇAMENTOS'!$AE$6:$AE$2005,'LANÇAMENTOS'!$AF$6:$AF$2005,"Devoluções",'LANÇAMENTOS'!$Z$6:$Z$2005,5,'LANÇAMENTOS'!$AA$6:$AA$2005,'CONFIGURAÇÕES'!$B$18))</f>
        <v/>
      </c>
      <c r="G9" s="18">
        <f>IF('CONFIGURAÇÕES'!$B$18=0,0,SUMIFS('LANÇAMENTOS'!$AE$6:$AE$2005,'LANÇAMENTOS'!$AF$6:$AF$2005,"Devoluções",'LANÇAMENTOS'!$Z$6:$Z$2005,6,'LANÇAMENTOS'!$AA$6:$AA$2005,'CONFIGURAÇÕES'!$B$18))</f>
        <v/>
      </c>
      <c r="H9" s="18">
        <f>IF('CONFIGURAÇÕES'!$B$18=0,0,SUMIFS('LANÇAMENTOS'!$AE$6:$AE$2005,'LANÇAMENTOS'!$AF$6:$AF$2005,"Devoluções",'LANÇAMENTOS'!$Z$6:$Z$2005,7,'LANÇAMENTOS'!$AA$6:$AA$2005,'CONFIGURAÇÕES'!$B$18))</f>
        <v/>
      </c>
      <c r="I9" s="18">
        <f>IF('CONFIGURAÇÕES'!$B$18=0,0,SUMIFS('LANÇAMENTOS'!$AE$6:$AE$2005,'LANÇAMENTOS'!$AF$6:$AF$2005,"Devoluções",'LANÇAMENTOS'!$Z$6:$Z$2005,8,'LANÇAMENTOS'!$AA$6:$AA$2005,'CONFIGURAÇÕES'!$B$18))</f>
        <v/>
      </c>
      <c r="J9" s="18">
        <f>IF('CONFIGURAÇÕES'!$B$18=0,0,SUMIFS('LANÇAMENTOS'!$AE$6:$AE$2005,'LANÇAMENTOS'!$AF$6:$AF$2005,"Devoluções",'LANÇAMENTOS'!$Z$6:$Z$2005,9,'LANÇAMENTOS'!$AA$6:$AA$2005,'CONFIGURAÇÕES'!$B$18))</f>
        <v/>
      </c>
      <c r="K9" s="18">
        <f>IF('CONFIGURAÇÕES'!$B$18=0,0,SUMIFS('LANÇAMENTOS'!$AE$6:$AE$2005,'LANÇAMENTOS'!$AF$6:$AF$2005,"Devoluções",'LANÇAMENTOS'!$Z$6:$Z$2005,10,'LANÇAMENTOS'!$AA$6:$AA$2005,'CONFIGURAÇÕES'!$B$18))</f>
        <v/>
      </c>
      <c r="L9" s="18">
        <f>IF('CONFIGURAÇÕES'!$B$18=0,0,SUMIFS('LANÇAMENTOS'!$AE$6:$AE$2005,'LANÇAMENTOS'!$AF$6:$AF$2005,"Devoluções",'LANÇAMENTOS'!$Z$6:$Z$2005,11,'LANÇAMENTOS'!$AA$6:$AA$2005,'CONFIGURAÇÕES'!$B$18))</f>
        <v/>
      </c>
      <c r="M9" s="18">
        <f>IF('CONFIGURAÇÕES'!$B$18=0,0,SUMIFS('LANÇAMENTOS'!$AE$6:$AE$2005,'LANÇAMENTOS'!$AF$6:$AF$2005,"Devoluções",'LANÇAMENTOS'!$Z$6:$Z$2005,12,'LANÇAMENTOS'!$AA$6:$AA$2005,'CONFIGURAÇÕES'!$B$18))</f>
        <v/>
      </c>
      <c r="N9" s="18">
        <f>SUM(B9:M9)</f>
        <v/>
      </c>
      <c r="O9" s="23">
        <f>IF($N$10=0,"",-$N9/$N$10)</f>
        <v/>
      </c>
    </row>
    <row r="10">
      <c r="A10" s="37" t="inlineStr">
        <is>
          <t>▶ RECEITA LÍQUIDA</t>
        </is>
      </c>
      <c r="B10" s="38">
        <f>B7-B8-B9</f>
        <v/>
      </c>
      <c r="C10" s="38">
        <f>C7-C8-C9</f>
        <v/>
      </c>
      <c r="D10" s="38">
        <f>D7-D8-D9</f>
        <v/>
      </c>
      <c r="E10" s="38">
        <f>E7-E8-E9</f>
        <v/>
      </c>
      <c r="F10" s="38">
        <f>F7-F8-F9</f>
        <v/>
      </c>
      <c r="G10" s="38">
        <f>G7-G8-G9</f>
        <v/>
      </c>
      <c r="H10" s="38">
        <f>H7-H8-H9</f>
        <v/>
      </c>
      <c r="I10" s="38">
        <f>I7-I8-I9</f>
        <v/>
      </c>
      <c r="J10" s="38">
        <f>J7-J8-J9</f>
        <v/>
      </c>
      <c r="K10" s="38">
        <f>K7-K8-K9</f>
        <v/>
      </c>
      <c r="L10" s="38">
        <f>L7-L8-L9</f>
        <v/>
      </c>
      <c r="M10" s="38">
        <f>M7-M8-M9</f>
        <v/>
      </c>
      <c r="N10" s="38">
        <f>SUM(B10:M10)</f>
        <v/>
      </c>
      <c r="O10" s="39">
        <f>IF($N$10=0,"",$N10/$N$10)</f>
        <v/>
      </c>
    </row>
    <row r="11">
      <c r="A11" s="43" t="inlineStr">
        <is>
          <t>(-) Custos variáveis (CMV, fretes, taxas, comissões)</t>
        </is>
      </c>
      <c r="B11" s="18">
        <f>IF('CONFIGURAÇÕES'!$B$18=0,0,SUMIFS('LANÇAMENTOS'!$AE$6:$AE$2005,'LANÇAMENTOS'!$AF$6:$AF$2005,"Custos Variáveis",'LANÇAMENTOS'!$Z$6:$Z$2005,1,'LANÇAMENTOS'!$AA$6:$AA$2005,'CONFIGURAÇÕES'!$B$18))</f>
        <v/>
      </c>
      <c r="C11" s="18">
        <f>IF('CONFIGURAÇÕES'!$B$18=0,0,SUMIFS('LANÇAMENTOS'!$AE$6:$AE$2005,'LANÇAMENTOS'!$AF$6:$AF$2005,"Custos Variáveis",'LANÇAMENTOS'!$Z$6:$Z$2005,2,'LANÇAMENTOS'!$AA$6:$AA$2005,'CONFIGURAÇÕES'!$B$18))</f>
        <v/>
      </c>
      <c r="D11" s="18">
        <f>IF('CONFIGURAÇÕES'!$B$18=0,0,SUMIFS('LANÇAMENTOS'!$AE$6:$AE$2005,'LANÇAMENTOS'!$AF$6:$AF$2005,"Custos Variáveis",'LANÇAMENTOS'!$Z$6:$Z$2005,3,'LANÇAMENTOS'!$AA$6:$AA$2005,'CONFIGURAÇÕES'!$B$18))</f>
        <v/>
      </c>
      <c r="E11" s="18">
        <f>IF('CONFIGURAÇÕES'!$B$18=0,0,SUMIFS('LANÇAMENTOS'!$AE$6:$AE$2005,'LANÇAMENTOS'!$AF$6:$AF$2005,"Custos Variáveis",'LANÇAMENTOS'!$Z$6:$Z$2005,4,'LANÇAMENTOS'!$AA$6:$AA$2005,'CONFIGURAÇÕES'!$B$18))</f>
        <v/>
      </c>
      <c r="F11" s="18">
        <f>IF('CONFIGURAÇÕES'!$B$18=0,0,SUMIFS('LANÇAMENTOS'!$AE$6:$AE$2005,'LANÇAMENTOS'!$AF$6:$AF$2005,"Custos Variáveis",'LANÇAMENTOS'!$Z$6:$Z$2005,5,'LANÇAMENTOS'!$AA$6:$AA$2005,'CONFIGURAÇÕES'!$B$18))</f>
        <v/>
      </c>
      <c r="G11" s="18">
        <f>IF('CONFIGURAÇÕES'!$B$18=0,0,SUMIFS('LANÇAMENTOS'!$AE$6:$AE$2005,'LANÇAMENTOS'!$AF$6:$AF$2005,"Custos Variáveis",'LANÇAMENTOS'!$Z$6:$Z$2005,6,'LANÇAMENTOS'!$AA$6:$AA$2005,'CONFIGURAÇÕES'!$B$18))</f>
        <v/>
      </c>
      <c r="H11" s="18">
        <f>IF('CONFIGURAÇÕES'!$B$18=0,0,SUMIFS('LANÇAMENTOS'!$AE$6:$AE$2005,'LANÇAMENTOS'!$AF$6:$AF$2005,"Custos Variáveis",'LANÇAMENTOS'!$Z$6:$Z$2005,7,'LANÇAMENTOS'!$AA$6:$AA$2005,'CONFIGURAÇÕES'!$B$18))</f>
        <v/>
      </c>
      <c r="I11" s="18">
        <f>IF('CONFIGURAÇÕES'!$B$18=0,0,SUMIFS('LANÇAMENTOS'!$AE$6:$AE$2005,'LANÇAMENTOS'!$AF$6:$AF$2005,"Custos Variáveis",'LANÇAMENTOS'!$Z$6:$Z$2005,8,'LANÇAMENTOS'!$AA$6:$AA$2005,'CONFIGURAÇÕES'!$B$18))</f>
        <v/>
      </c>
      <c r="J11" s="18">
        <f>IF('CONFIGURAÇÕES'!$B$18=0,0,SUMIFS('LANÇAMENTOS'!$AE$6:$AE$2005,'LANÇAMENTOS'!$AF$6:$AF$2005,"Custos Variáveis",'LANÇAMENTOS'!$Z$6:$Z$2005,9,'LANÇAMENTOS'!$AA$6:$AA$2005,'CONFIGURAÇÕES'!$B$18))</f>
        <v/>
      </c>
      <c r="K11" s="18">
        <f>IF('CONFIGURAÇÕES'!$B$18=0,0,SUMIFS('LANÇAMENTOS'!$AE$6:$AE$2005,'LANÇAMENTOS'!$AF$6:$AF$2005,"Custos Variáveis",'LANÇAMENTOS'!$Z$6:$Z$2005,10,'LANÇAMENTOS'!$AA$6:$AA$2005,'CONFIGURAÇÕES'!$B$18))</f>
        <v/>
      </c>
      <c r="L11" s="18">
        <f>IF('CONFIGURAÇÕES'!$B$18=0,0,SUMIFS('LANÇAMENTOS'!$AE$6:$AE$2005,'LANÇAMENTOS'!$AF$6:$AF$2005,"Custos Variáveis",'LANÇAMENTOS'!$Z$6:$Z$2005,11,'LANÇAMENTOS'!$AA$6:$AA$2005,'CONFIGURAÇÕES'!$B$18))</f>
        <v/>
      </c>
      <c r="M11" s="18">
        <f>IF('CONFIGURAÇÕES'!$B$18=0,0,SUMIFS('LANÇAMENTOS'!$AE$6:$AE$2005,'LANÇAMENTOS'!$AF$6:$AF$2005,"Custos Variáveis",'LANÇAMENTOS'!$Z$6:$Z$2005,12,'LANÇAMENTOS'!$AA$6:$AA$2005,'CONFIGURAÇÕES'!$B$18))</f>
        <v/>
      </c>
      <c r="N11" s="18">
        <f>SUM(B11:M11)</f>
        <v/>
      </c>
      <c r="O11" s="23">
        <f>IF($N$10=0,"",-$N11/$N$10)</f>
        <v/>
      </c>
    </row>
    <row r="12">
      <c r="A12" s="37" t="inlineStr">
        <is>
          <t>▶ MARGEM DE CONTRIBUIÇÃO</t>
        </is>
      </c>
      <c r="B12" s="38">
        <f>B10-B11</f>
        <v/>
      </c>
      <c r="C12" s="38">
        <f>C10-C11</f>
        <v/>
      </c>
      <c r="D12" s="38">
        <f>D10-D11</f>
        <v/>
      </c>
      <c r="E12" s="38">
        <f>E10-E11</f>
        <v/>
      </c>
      <c r="F12" s="38">
        <f>F10-F11</f>
        <v/>
      </c>
      <c r="G12" s="38">
        <f>G10-G11</f>
        <v/>
      </c>
      <c r="H12" s="38">
        <f>H10-H11</f>
        <v/>
      </c>
      <c r="I12" s="38">
        <f>I10-I11</f>
        <v/>
      </c>
      <c r="J12" s="38">
        <f>J10-J11</f>
        <v/>
      </c>
      <c r="K12" s="38">
        <f>K10-K11</f>
        <v/>
      </c>
      <c r="L12" s="38">
        <f>L10-L11</f>
        <v/>
      </c>
      <c r="M12" s="38">
        <f>M10-M11</f>
        <v/>
      </c>
      <c r="N12" s="38">
        <f>SUM(B12:M12)</f>
        <v/>
      </c>
      <c r="O12" s="39">
        <f>IF($N$10=0,"",$N12/$N$10)</f>
        <v/>
      </c>
    </row>
    <row r="13">
      <c r="A13" s="43" t="inlineStr">
        <is>
          <t>(-) Despesas fixas (administrativas, pessoal e comercial)</t>
        </is>
      </c>
      <c r="B13" s="18">
        <f>IF('CONFIGURAÇÕES'!$B$18=0,0,SUMIFS('LANÇAMENTOS'!$AE$6:$AE$2005,'LANÇAMENTOS'!$AF$6:$AF$2005,"Despesas Fixas",'LANÇAMENTOS'!$Z$6:$Z$2005,1,'LANÇAMENTOS'!$AA$6:$AA$2005,'CONFIGURAÇÕES'!$B$18))</f>
        <v/>
      </c>
      <c r="C13" s="18">
        <f>IF('CONFIGURAÇÕES'!$B$18=0,0,SUMIFS('LANÇAMENTOS'!$AE$6:$AE$2005,'LANÇAMENTOS'!$AF$6:$AF$2005,"Despesas Fixas",'LANÇAMENTOS'!$Z$6:$Z$2005,2,'LANÇAMENTOS'!$AA$6:$AA$2005,'CONFIGURAÇÕES'!$B$18))</f>
        <v/>
      </c>
      <c r="D13" s="18">
        <f>IF('CONFIGURAÇÕES'!$B$18=0,0,SUMIFS('LANÇAMENTOS'!$AE$6:$AE$2005,'LANÇAMENTOS'!$AF$6:$AF$2005,"Despesas Fixas",'LANÇAMENTOS'!$Z$6:$Z$2005,3,'LANÇAMENTOS'!$AA$6:$AA$2005,'CONFIGURAÇÕES'!$B$18))</f>
        <v/>
      </c>
      <c r="E13" s="18">
        <f>IF('CONFIGURAÇÕES'!$B$18=0,0,SUMIFS('LANÇAMENTOS'!$AE$6:$AE$2005,'LANÇAMENTOS'!$AF$6:$AF$2005,"Despesas Fixas",'LANÇAMENTOS'!$Z$6:$Z$2005,4,'LANÇAMENTOS'!$AA$6:$AA$2005,'CONFIGURAÇÕES'!$B$18))</f>
        <v/>
      </c>
      <c r="F13" s="18">
        <f>IF('CONFIGURAÇÕES'!$B$18=0,0,SUMIFS('LANÇAMENTOS'!$AE$6:$AE$2005,'LANÇAMENTOS'!$AF$6:$AF$2005,"Despesas Fixas",'LANÇAMENTOS'!$Z$6:$Z$2005,5,'LANÇAMENTOS'!$AA$6:$AA$2005,'CONFIGURAÇÕES'!$B$18))</f>
        <v/>
      </c>
      <c r="G13" s="18">
        <f>IF('CONFIGURAÇÕES'!$B$18=0,0,SUMIFS('LANÇAMENTOS'!$AE$6:$AE$2005,'LANÇAMENTOS'!$AF$6:$AF$2005,"Despesas Fixas",'LANÇAMENTOS'!$Z$6:$Z$2005,6,'LANÇAMENTOS'!$AA$6:$AA$2005,'CONFIGURAÇÕES'!$B$18))</f>
        <v/>
      </c>
      <c r="H13" s="18">
        <f>IF('CONFIGURAÇÕES'!$B$18=0,0,SUMIFS('LANÇAMENTOS'!$AE$6:$AE$2005,'LANÇAMENTOS'!$AF$6:$AF$2005,"Despesas Fixas",'LANÇAMENTOS'!$Z$6:$Z$2005,7,'LANÇAMENTOS'!$AA$6:$AA$2005,'CONFIGURAÇÕES'!$B$18))</f>
        <v/>
      </c>
      <c r="I13" s="18">
        <f>IF('CONFIGURAÇÕES'!$B$18=0,0,SUMIFS('LANÇAMENTOS'!$AE$6:$AE$2005,'LANÇAMENTOS'!$AF$6:$AF$2005,"Despesas Fixas",'LANÇAMENTOS'!$Z$6:$Z$2005,8,'LANÇAMENTOS'!$AA$6:$AA$2005,'CONFIGURAÇÕES'!$B$18))</f>
        <v/>
      </c>
      <c r="J13" s="18">
        <f>IF('CONFIGURAÇÕES'!$B$18=0,0,SUMIFS('LANÇAMENTOS'!$AE$6:$AE$2005,'LANÇAMENTOS'!$AF$6:$AF$2005,"Despesas Fixas",'LANÇAMENTOS'!$Z$6:$Z$2005,9,'LANÇAMENTOS'!$AA$6:$AA$2005,'CONFIGURAÇÕES'!$B$18))</f>
        <v/>
      </c>
      <c r="K13" s="18">
        <f>IF('CONFIGURAÇÕES'!$B$18=0,0,SUMIFS('LANÇAMENTOS'!$AE$6:$AE$2005,'LANÇAMENTOS'!$AF$6:$AF$2005,"Despesas Fixas",'LANÇAMENTOS'!$Z$6:$Z$2005,10,'LANÇAMENTOS'!$AA$6:$AA$2005,'CONFIGURAÇÕES'!$B$18))</f>
        <v/>
      </c>
      <c r="L13" s="18">
        <f>IF('CONFIGURAÇÕES'!$B$18=0,0,SUMIFS('LANÇAMENTOS'!$AE$6:$AE$2005,'LANÇAMENTOS'!$AF$6:$AF$2005,"Despesas Fixas",'LANÇAMENTOS'!$Z$6:$Z$2005,11,'LANÇAMENTOS'!$AA$6:$AA$2005,'CONFIGURAÇÕES'!$B$18))</f>
        <v/>
      </c>
      <c r="M13" s="18">
        <f>IF('CONFIGURAÇÕES'!$B$18=0,0,SUMIFS('LANÇAMENTOS'!$AE$6:$AE$2005,'LANÇAMENTOS'!$AF$6:$AF$2005,"Despesas Fixas",'LANÇAMENTOS'!$Z$6:$Z$2005,12,'LANÇAMENTOS'!$AA$6:$AA$2005,'CONFIGURAÇÕES'!$B$18))</f>
        <v/>
      </c>
      <c r="N13" s="18">
        <f>SUM(B13:M13)</f>
        <v/>
      </c>
      <c r="O13" s="23">
        <f>IF($N$10=0,"",-$N13/$N$10)</f>
        <v/>
      </c>
    </row>
    <row r="14">
      <c r="A14" s="37" t="inlineStr">
        <is>
          <t>▶ EBITDA / RESULTADO OPERACIONAL</t>
        </is>
      </c>
      <c r="B14" s="38">
        <f>B12-B13</f>
        <v/>
      </c>
      <c r="C14" s="38">
        <f>C12-C13</f>
        <v/>
      </c>
      <c r="D14" s="38">
        <f>D12-D13</f>
        <v/>
      </c>
      <c r="E14" s="38">
        <f>E12-E13</f>
        <v/>
      </c>
      <c r="F14" s="38">
        <f>F12-F13</f>
        <v/>
      </c>
      <c r="G14" s="38">
        <f>G12-G13</f>
        <v/>
      </c>
      <c r="H14" s="38">
        <f>H12-H13</f>
        <v/>
      </c>
      <c r="I14" s="38">
        <f>I12-I13</f>
        <v/>
      </c>
      <c r="J14" s="38">
        <f>J12-J13</f>
        <v/>
      </c>
      <c r="K14" s="38">
        <f>K12-K13</f>
        <v/>
      </c>
      <c r="L14" s="38">
        <f>L12-L13</f>
        <v/>
      </c>
      <c r="M14" s="38">
        <f>M12-M13</f>
        <v/>
      </c>
      <c r="N14" s="38">
        <f>SUM(B14:M14)</f>
        <v/>
      </c>
      <c r="O14" s="39">
        <f>IF($N$10=0,"",$N14/$N$10)</f>
        <v/>
      </c>
    </row>
    <row r="15">
      <c r="A15" s="43" t="inlineStr">
        <is>
          <t>(-) Despesas financeiras (juros, tarifas, IOF)</t>
        </is>
      </c>
      <c r="B15" s="18">
        <f>IF('CONFIGURAÇÕES'!$B$18=0,0,SUMIFS('LANÇAMENTOS'!$AE$6:$AE$2005,'LANÇAMENTOS'!$AF$6:$AF$2005,"Despesas Financeiras",'LANÇAMENTOS'!$Z$6:$Z$2005,1,'LANÇAMENTOS'!$AA$6:$AA$2005,'CONFIGURAÇÕES'!$B$18))</f>
        <v/>
      </c>
      <c r="C15" s="18">
        <f>IF('CONFIGURAÇÕES'!$B$18=0,0,SUMIFS('LANÇAMENTOS'!$AE$6:$AE$2005,'LANÇAMENTOS'!$AF$6:$AF$2005,"Despesas Financeiras",'LANÇAMENTOS'!$Z$6:$Z$2005,2,'LANÇAMENTOS'!$AA$6:$AA$2005,'CONFIGURAÇÕES'!$B$18))</f>
        <v/>
      </c>
      <c r="D15" s="18">
        <f>IF('CONFIGURAÇÕES'!$B$18=0,0,SUMIFS('LANÇAMENTOS'!$AE$6:$AE$2005,'LANÇAMENTOS'!$AF$6:$AF$2005,"Despesas Financeiras",'LANÇAMENTOS'!$Z$6:$Z$2005,3,'LANÇAMENTOS'!$AA$6:$AA$2005,'CONFIGURAÇÕES'!$B$18))</f>
        <v/>
      </c>
      <c r="E15" s="18">
        <f>IF('CONFIGURAÇÕES'!$B$18=0,0,SUMIFS('LANÇAMENTOS'!$AE$6:$AE$2005,'LANÇAMENTOS'!$AF$6:$AF$2005,"Despesas Financeiras",'LANÇAMENTOS'!$Z$6:$Z$2005,4,'LANÇAMENTOS'!$AA$6:$AA$2005,'CONFIGURAÇÕES'!$B$18))</f>
        <v/>
      </c>
      <c r="F15" s="18">
        <f>IF('CONFIGURAÇÕES'!$B$18=0,0,SUMIFS('LANÇAMENTOS'!$AE$6:$AE$2005,'LANÇAMENTOS'!$AF$6:$AF$2005,"Despesas Financeiras",'LANÇAMENTOS'!$Z$6:$Z$2005,5,'LANÇAMENTOS'!$AA$6:$AA$2005,'CONFIGURAÇÕES'!$B$18))</f>
        <v/>
      </c>
      <c r="G15" s="18">
        <f>IF('CONFIGURAÇÕES'!$B$18=0,0,SUMIFS('LANÇAMENTOS'!$AE$6:$AE$2005,'LANÇAMENTOS'!$AF$6:$AF$2005,"Despesas Financeiras",'LANÇAMENTOS'!$Z$6:$Z$2005,6,'LANÇAMENTOS'!$AA$6:$AA$2005,'CONFIGURAÇÕES'!$B$18))</f>
        <v/>
      </c>
      <c r="H15" s="18">
        <f>IF('CONFIGURAÇÕES'!$B$18=0,0,SUMIFS('LANÇAMENTOS'!$AE$6:$AE$2005,'LANÇAMENTOS'!$AF$6:$AF$2005,"Despesas Financeiras",'LANÇAMENTOS'!$Z$6:$Z$2005,7,'LANÇAMENTOS'!$AA$6:$AA$2005,'CONFIGURAÇÕES'!$B$18))</f>
        <v/>
      </c>
      <c r="I15" s="18">
        <f>IF('CONFIGURAÇÕES'!$B$18=0,0,SUMIFS('LANÇAMENTOS'!$AE$6:$AE$2005,'LANÇAMENTOS'!$AF$6:$AF$2005,"Despesas Financeiras",'LANÇAMENTOS'!$Z$6:$Z$2005,8,'LANÇAMENTOS'!$AA$6:$AA$2005,'CONFIGURAÇÕES'!$B$18))</f>
        <v/>
      </c>
      <c r="J15" s="18">
        <f>IF('CONFIGURAÇÕES'!$B$18=0,0,SUMIFS('LANÇAMENTOS'!$AE$6:$AE$2005,'LANÇAMENTOS'!$AF$6:$AF$2005,"Despesas Financeiras",'LANÇAMENTOS'!$Z$6:$Z$2005,9,'LANÇAMENTOS'!$AA$6:$AA$2005,'CONFIGURAÇÕES'!$B$18))</f>
        <v/>
      </c>
      <c r="K15" s="18">
        <f>IF('CONFIGURAÇÕES'!$B$18=0,0,SUMIFS('LANÇAMENTOS'!$AE$6:$AE$2005,'LANÇAMENTOS'!$AF$6:$AF$2005,"Despesas Financeiras",'LANÇAMENTOS'!$Z$6:$Z$2005,10,'LANÇAMENTOS'!$AA$6:$AA$2005,'CONFIGURAÇÕES'!$B$18))</f>
        <v/>
      </c>
      <c r="L15" s="18">
        <f>IF('CONFIGURAÇÕES'!$B$18=0,0,SUMIFS('LANÇAMENTOS'!$AE$6:$AE$2005,'LANÇAMENTOS'!$AF$6:$AF$2005,"Despesas Financeiras",'LANÇAMENTOS'!$Z$6:$Z$2005,11,'LANÇAMENTOS'!$AA$6:$AA$2005,'CONFIGURAÇÕES'!$B$18))</f>
        <v/>
      </c>
      <c r="M15" s="18">
        <f>IF('CONFIGURAÇÕES'!$B$18=0,0,SUMIFS('LANÇAMENTOS'!$AE$6:$AE$2005,'LANÇAMENTOS'!$AF$6:$AF$2005,"Despesas Financeiras",'LANÇAMENTOS'!$Z$6:$Z$2005,12,'LANÇAMENTOS'!$AA$6:$AA$2005,'CONFIGURAÇÕES'!$B$18))</f>
        <v/>
      </c>
      <c r="N15" s="18">
        <f>SUM(B15:M15)</f>
        <v/>
      </c>
      <c r="O15" s="23">
        <f>IF($N$10=0,"",-$N15/$N$10)</f>
        <v/>
      </c>
    </row>
    <row r="16">
      <c r="A16" s="43" t="inlineStr">
        <is>
          <t>(+) Receitas financeiras</t>
        </is>
      </c>
      <c r="B16" s="18">
        <f>IF('CONFIGURAÇÕES'!$B$18=0,0,+SUMIFS('LANÇAMENTOS'!$AE$6:$AE$2005,'LANÇAMENTOS'!$AF$6:$AF$2005,"Receitas Financeiras",'LANÇAMENTOS'!$Z$6:$Z$2005,1,'LANÇAMENTOS'!$AA$6:$AA$2005,'CONFIGURAÇÕES'!$B$18))</f>
        <v/>
      </c>
      <c r="C16" s="18">
        <f>IF('CONFIGURAÇÕES'!$B$18=0,0,+SUMIFS('LANÇAMENTOS'!$AE$6:$AE$2005,'LANÇAMENTOS'!$AF$6:$AF$2005,"Receitas Financeiras",'LANÇAMENTOS'!$Z$6:$Z$2005,2,'LANÇAMENTOS'!$AA$6:$AA$2005,'CONFIGURAÇÕES'!$B$18))</f>
        <v/>
      </c>
      <c r="D16" s="18">
        <f>IF('CONFIGURAÇÕES'!$B$18=0,0,+SUMIFS('LANÇAMENTOS'!$AE$6:$AE$2005,'LANÇAMENTOS'!$AF$6:$AF$2005,"Receitas Financeiras",'LANÇAMENTOS'!$Z$6:$Z$2005,3,'LANÇAMENTOS'!$AA$6:$AA$2005,'CONFIGURAÇÕES'!$B$18))</f>
        <v/>
      </c>
      <c r="E16" s="18">
        <f>IF('CONFIGURAÇÕES'!$B$18=0,0,+SUMIFS('LANÇAMENTOS'!$AE$6:$AE$2005,'LANÇAMENTOS'!$AF$6:$AF$2005,"Receitas Financeiras",'LANÇAMENTOS'!$Z$6:$Z$2005,4,'LANÇAMENTOS'!$AA$6:$AA$2005,'CONFIGURAÇÕES'!$B$18))</f>
        <v/>
      </c>
      <c r="F16" s="18">
        <f>IF('CONFIGURAÇÕES'!$B$18=0,0,+SUMIFS('LANÇAMENTOS'!$AE$6:$AE$2005,'LANÇAMENTOS'!$AF$6:$AF$2005,"Receitas Financeiras",'LANÇAMENTOS'!$Z$6:$Z$2005,5,'LANÇAMENTOS'!$AA$6:$AA$2005,'CONFIGURAÇÕES'!$B$18))</f>
        <v/>
      </c>
      <c r="G16" s="18">
        <f>IF('CONFIGURAÇÕES'!$B$18=0,0,+SUMIFS('LANÇAMENTOS'!$AE$6:$AE$2005,'LANÇAMENTOS'!$AF$6:$AF$2005,"Receitas Financeiras",'LANÇAMENTOS'!$Z$6:$Z$2005,6,'LANÇAMENTOS'!$AA$6:$AA$2005,'CONFIGURAÇÕES'!$B$18))</f>
        <v/>
      </c>
      <c r="H16" s="18">
        <f>IF('CONFIGURAÇÕES'!$B$18=0,0,+SUMIFS('LANÇAMENTOS'!$AE$6:$AE$2005,'LANÇAMENTOS'!$AF$6:$AF$2005,"Receitas Financeiras",'LANÇAMENTOS'!$Z$6:$Z$2005,7,'LANÇAMENTOS'!$AA$6:$AA$2005,'CONFIGURAÇÕES'!$B$18))</f>
        <v/>
      </c>
      <c r="I16" s="18">
        <f>IF('CONFIGURAÇÕES'!$B$18=0,0,+SUMIFS('LANÇAMENTOS'!$AE$6:$AE$2005,'LANÇAMENTOS'!$AF$6:$AF$2005,"Receitas Financeiras",'LANÇAMENTOS'!$Z$6:$Z$2005,8,'LANÇAMENTOS'!$AA$6:$AA$2005,'CONFIGURAÇÕES'!$B$18))</f>
        <v/>
      </c>
      <c r="J16" s="18">
        <f>IF('CONFIGURAÇÕES'!$B$18=0,0,+SUMIFS('LANÇAMENTOS'!$AE$6:$AE$2005,'LANÇAMENTOS'!$AF$6:$AF$2005,"Receitas Financeiras",'LANÇAMENTOS'!$Z$6:$Z$2005,9,'LANÇAMENTOS'!$AA$6:$AA$2005,'CONFIGURAÇÕES'!$B$18))</f>
        <v/>
      </c>
      <c r="K16" s="18">
        <f>IF('CONFIGURAÇÕES'!$B$18=0,0,+SUMIFS('LANÇAMENTOS'!$AE$6:$AE$2005,'LANÇAMENTOS'!$AF$6:$AF$2005,"Receitas Financeiras",'LANÇAMENTOS'!$Z$6:$Z$2005,10,'LANÇAMENTOS'!$AA$6:$AA$2005,'CONFIGURAÇÕES'!$B$18))</f>
        <v/>
      </c>
      <c r="L16" s="18">
        <f>IF('CONFIGURAÇÕES'!$B$18=0,0,+SUMIFS('LANÇAMENTOS'!$AE$6:$AE$2005,'LANÇAMENTOS'!$AF$6:$AF$2005,"Receitas Financeiras",'LANÇAMENTOS'!$Z$6:$Z$2005,11,'LANÇAMENTOS'!$AA$6:$AA$2005,'CONFIGURAÇÕES'!$B$18))</f>
        <v/>
      </c>
      <c r="M16" s="18">
        <f>IF('CONFIGURAÇÕES'!$B$18=0,0,+SUMIFS('LANÇAMENTOS'!$AE$6:$AE$2005,'LANÇAMENTOS'!$AF$6:$AF$2005,"Receitas Financeiras",'LANÇAMENTOS'!$Z$6:$Z$2005,12,'LANÇAMENTOS'!$AA$6:$AA$2005,'CONFIGURAÇÕES'!$B$18))</f>
        <v/>
      </c>
      <c r="N16" s="18">
        <f>SUM(B16:M16)</f>
        <v/>
      </c>
      <c r="O16" s="23">
        <f>IF($N$10=0,"",$N16/$N$10)</f>
        <v/>
      </c>
    </row>
    <row r="17">
      <c r="A17" s="43" t="inlineStr">
        <is>
          <t>(+) Outras receitas operacionais</t>
        </is>
      </c>
      <c r="B17" s="18">
        <f>IF('CONFIGURAÇÕES'!$B$18=0,0,+SUMIFS('LANÇAMENTOS'!$AE$6:$AE$2005,'LANÇAMENTOS'!$AF$6:$AF$2005,"Outras Receitas Operacionais",'LANÇAMENTOS'!$Z$6:$Z$2005,1,'LANÇAMENTOS'!$AA$6:$AA$2005,'CONFIGURAÇÕES'!$B$18))</f>
        <v/>
      </c>
      <c r="C17" s="18">
        <f>IF('CONFIGURAÇÕES'!$B$18=0,0,+SUMIFS('LANÇAMENTOS'!$AE$6:$AE$2005,'LANÇAMENTOS'!$AF$6:$AF$2005,"Outras Receitas Operacionais",'LANÇAMENTOS'!$Z$6:$Z$2005,2,'LANÇAMENTOS'!$AA$6:$AA$2005,'CONFIGURAÇÕES'!$B$18))</f>
        <v/>
      </c>
      <c r="D17" s="18">
        <f>IF('CONFIGURAÇÕES'!$B$18=0,0,+SUMIFS('LANÇAMENTOS'!$AE$6:$AE$2005,'LANÇAMENTOS'!$AF$6:$AF$2005,"Outras Receitas Operacionais",'LANÇAMENTOS'!$Z$6:$Z$2005,3,'LANÇAMENTOS'!$AA$6:$AA$2005,'CONFIGURAÇÕES'!$B$18))</f>
        <v/>
      </c>
      <c r="E17" s="18">
        <f>IF('CONFIGURAÇÕES'!$B$18=0,0,+SUMIFS('LANÇAMENTOS'!$AE$6:$AE$2005,'LANÇAMENTOS'!$AF$6:$AF$2005,"Outras Receitas Operacionais",'LANÇAMENTOS'!$Z$6:$Z$2005,4,'LANÇAMENTOS'!$AA$6:$AA$2005,'CONFIGURAÇÕES'!$B$18))</f>
        <v/>
      </c>
      <c r="F17" s="18">
        <f>IF('CONFIGURAÇÕES'!$B$18=0,0,+SUMIFS('LANÇAMENTOS'!$AE$6:$AE$2005,'LANÇAMENTOS'!$AF$6:$AF$2005,"Outras Receitas Operacionais",'LANÇAMENTOS'!$Z$6:$Z$2005,5,'LANÇAMENTOS'!$AA$6:$AA$2005,'CONFIGURAÇÕES'!$B$18))</f>
        <v/>
      </c>
      <c r="G17" s="18">
        <f>IF('CONFIGURAÇÕES'!$B$18=0,0,+SUMIFS('LANÇAMENTOS'!$AE$6:$AE$2005,'LANÇAMENTOS'!$AF$6:$AF$2005,"Outras Receitas Operacionais",'LANÇAMENTOS'!$Z$6:$Z$2005,6,'LANÇAMENTOS'!$AA$6:$AA$2005,'CONFIGURAÇÕES'!$B$18))</f>
        <v/>
      </c>
      <c r="H17" s="18">
        <f>IF('CONFIGURAÇÕES'!$B$18=0,0,+SUMIFS('LANÇAMENTOS'!$AE$6:$AE$2005,'LANÇAMENTOS'!$AF$6:$AF$2005,"Outras Receitas Operacionais",'LANÇAMENTOS'!$Z$6:$Z$2005,7,'LANÇAMENTOS'!$AA$6:$AA$2005,'CONFIGURAÇÕES'!$B$18))</f>
        <v/>
      </c>
      <c r="I17" s="18">
        <f>IF('CONFIGURAÇÕES'!$B$18=0,0,+SUMIFS('LANÇAMENTOS'!$AE$6:$AE$2005,'LANÇAMENTOS'!$AF$6:$AF$2005,"Outras Receitas Operacionais",'LANÇAMENTOS'!$Z$6:$Z$2005,8,'LANÇAMENTOS'!$AA$6:$AA$2005,'CONFIGURAÇÕES'!$B$18))</f>
        <v/>
      </c>
      <c r="J17" s="18">
        <f>IF('CONFIGURAÇÕES'!$B$18=0,0,+SUMIFS('LANÇAMENTOS'!$AE$6:$AE$2005,'LANÇAMENTOS'!$AF$6:$AF$2005,"Outras Receitas Operacionais",'LANÇAMENTOS'!$Z$6:$Z$2005,9,'LANÇAMENTOS'!$AA$6:$AA$2005,'CONFIGURAÇÕES'!$B$18))</f>
        <v/>
      </c>
      <c r="K17" s="18">
        <f>IF('CONFIGURAÇÕES'!$B$18=0,0,+SUMIFS('LANÇAMENTOS'!$AE$6:$AE$2005,'LANÇAMENTOS'!$AF$6:$AF$2005,"Outras Receitas Operacionais",'LANÇAMENTOS'!$Z$6:$Z$2005,10,'LANÇAMENTOS'!$AA$6:$AA$2005,'CONFIGURAÇÕES'!$B$18))</f>
        <v/>
      </c>
      <c r="L17" s="18">
        <f>IF('CONFIGURAÇÕES'!$B$18=0,0,+SUMIFS('LANÇAMENTOS'!$AE$6:$AE$2005,'LANÇAMENTOS'!$AF$6:$AF$2005,"Outras Receitas Operacionais",'LANÇAMENTOS'!$Z$6:$Z$2005,11,'LANÇAMENTOS'!$AA$6:$AA$2005,'CONFIGURAÇÕES'!$B$18))</f>
        <v/>
      </c>
      <c r="M17" s="18">
        <f>IF('CONFIGURAÇÕES'!$B$18=0,0,+SUMIFS('LANÇAMENTOS'!$AE$6:$AE$2005,'LANÇAMENTOS'!$AF$6:$AF$2005,"Outras Receitas Operacionais",'LANÇAMENTOS'!$Z$6:$Z$2005,12,'LANÇAMENTOS'!$AA$6:$AA$2005,'CONFIGURAÇÕES'!$B$18))</f>
        <v/>
      </c>
      <c r="N17" s="18">
        <f>SUM(B17:M17)</f>
        <v/>
      </c>
      <c r="O17" s="23">
        <f>IF($N$10=0,"",$N17/$N$10)</f>
        <v/>
      </c>
    </row>
    <row r="18">
      <c r="A18" s="37" t="inlineStr">
        <is>
          <t>▶ LUCRO ANTES DOS IMPOSTOS (LAIR)</t>
        </is>
      </c>
      <c r="B18" s="38">
        <f>B14-B15+B16+B17</f>
        <v/>
      </c>
      <c r="C18" s="38">
        <f>C14-C15+C16+C17</f>
        <v/>
      </c>
      <c r="D18" s="38">
        <f>D14-D15+D16+D17</f>
        <v/>
      </c>
      <c r="E18" s="38">
        <f>E14-E15+E16+E17</f>
        <v/>
      </c>
      <c r="F18" s="38">
        <f>F14-F15+F16+F17</f>
        <v/>
      </c>
      <c r="G18" s="38">
        <f>G14-G15+G16+G17</f>
        <v/>
      </c>
      <c r="H18" s="38">
        <f>H14-H15+H16+H17</f>
        <v/>
      </c>
      <c r="I18" s="38">
        <f>I14-I15+I16+I17</f>
        <v/>
      </c>
      <c r="J18" s="38">
        <f>J14-J15+J16+J17</f>
        <v/>
      </c>
      <c r="K18" s="38">
        <f>K14-K15+K16+K17</f>
        <v/>
      </c>
      <c r="L18" s="38">
        <f>L14-L15+L16+L17</f>
        <v/>
      </c>
      <c r="M18" s="38">
        <f>M14-M15+M16+M17</f>
        <v/>
      </c>
      <c r="N18" s="38">
        <f>SUM(B18:M18)</f>
        <v/>
      </c>
      <c r="O18" s="39">
        <f>IF($N$10=0,"",$N18/$N$10)</f>
        <v/>
      </c>
    </row>
    <row r="19">
      <c r="A19" s="43" t="inlineStr">
        <is>
          <t>(-) Impostos sobre o resultado (IRPJ/CSLL)</t>
        </is>
      </c>
      <c r="B19" s="18">
        <f>IF('CONFIGURAÇÕES'!$B$18=0,0,SUMIFS('LANÇAMENTOS'!$AE$6:$AE$2005,'LANÇAMENTOS'!$AF$6:$AF$2005,"Impostos sobre o Resultado",'LANÇAMENTOS'!$Z$6:$Z$2005,1,'LANÇAMENTOS'!$AA$6:$AA$2005,'CONFIGURAÇÕES'!$B$18))</f>
        <v/>
      </c>
      <c r="C19" s="18">
        <f>IF('CONFIGURAÇÕES'!$B$18=0,0,SUMIFS('LANÇAMENTOS'!$AE$6:$AE$2005,'LANÇAMENTOS'!$AF$6:$AF$2005,"Impostos sobre o Resultado",'LANÇAMENTOS'!$Z$6:$Z$2005,2,'LANÇAMENTOS'!$AA$6:$AA$2005,'CONFIGURAÇÕES'!$B$18))</f>
        <v/>
      </c>
      <c r="D19" s="18">
        <f>IF('CONFIGURAÇÕES'!$B$18=0,0,SUMIFS('LANÇAMENTOS'!$AE$6:$AE$2005,'LANÇAMENTOS'!$AF$6:$AF$2005,"Impostos sobre o Resultado",'LANÇAMENTOS'!$Z$6:$Z$2005,3,'LANÇAMENTOS'!$AA$6:$AA$2005,'CONFIGURAÇÕES'!$B$18))</f>
        <v/>
      </c>
      <c r="E19" s="18">
        <f>IF('CONFIGURAÇÕES'!$B$18=0,0,SUMIFS('LANÇAMENTOS'!$AE$6:$AE$2005,'LANÇAMENTOS'!$AF$6:$AF$2005,"Impostos sobre o Resultado",'LANÇAMENTOS'!$Z$6:$Z$2005,4,'LANÇAMENTOS'!$AA$6:$AA$2005,'CONFIGURAÇÕES'!$B$18))</f>
        <v/>
      </c>
      <c r="F19" s="18">
        <f>IF('CONFIGURAÇÕES'!$B$18=0,0,SUMIFS('LANÇAMENTOS'!$AE$6:$AE$2005,'LANÇAMENTOS'!$AF$6:$AF$2005,"Impostos sobre o Resultado",'LANÇAMENTOS'!$Z$6:$Z$2005,5,'LANÇAMENTOS'!$AA$6:$AA$2005,'CONFIGURAÇÕES'!$B$18))</f>
        <v/>
      </c>
      <c r="G19" s="18">
        <f>IF('CONFIGURAÇÕES'!$B$18=0,0,SUMIFS('LANÇAMENTOS'!$AE$6:$AE$2005,'LANÇAMENTOS'!$AF$6:$AF$2005,"Impostos sobre o Resultado",'LANÇAMENTOS'!$Z$6:$Z$2005,6,'LANÇAMENTOS'!$AA$6:$AA$2005,'CONFIGURAÇÕES'!$B$18))</f>
        <v/>
      </c>
      <c r="H19" s="18">
        <f>IF('CONFIGURAÇÕES'!$B$18=0,0,SUMIFS('LANÇAMENTOS'!$AE$6:$AE$2005,'LANÇAMENTOS'!$AF$6:$AF$2005,"Impostos sobre o Resultado",'LANÇAMENTOS'!$Z$6:$Z$2005,7,'LANÇAMENTOS'!$AA$6:$AA$2005,'CONFIGURAÇÕES'!$B$18))</f>
        <v/>
      </c>
      <c r="I19" s="18">
        <f>IF('CONFIGURAÇÕES'!$B$18=0,0,SUMIFS('LANÇAMENTOS'!$AE$6:$AE$2005,'LANÇAMENTOS'!$AF$6:$AF$2005,"Impostos sobre o Resultado",'LANÇAMENTOS'!$Z$6:$Z$2005,8,'LANÇAMENTOS'!$AA$6:$AA$2005,'CONFIGURAÇÕES'!$B$18))</f>
        <v/>
      </c>
      <c r="J19" s="18">
        <f>IF('CONFIGURAÇÕES'!$B$18=0,0,SUMIFS('LANÇAMENTOS'!$AE$6:$AE$2005,'LANÇAMENTOS'!$AF$6:$AF$2005,"Impostos sobre o Resultado",'LANÇAMENTOS'!$Z$6:$Z$2005,9,'LANÇAMENTOS'!$AA$6:$AA$2005,'CONFIGURAÇÕES'!$B$18))</f>
        <v/>
      </c>
      <c r="K19" s="18">
        <f>IF('CONFIGURAÇÕES'!$B$18=0,0,SUMIFS('LANÇAMENTOS'!$AE$6:$AE$2005,'LANÇAMENTOS'!$AF$6:$AF$2005,"Impostos sobre o Resultado",'LANÇAMENTOS'!$Z$6:$Z$2005,10,'LANÇAMENTOS'!$AA$6:$AA$2005,'CONFIGURAÇÕES'!$B$18))</f>
        <v/>
      </c>
      <c r="L19" s="18">
        <f>IF('CONFIGURAÇÕES'!$B$18=0,0,SUMIFS('LANÇAMENTOS'!$AE$6:$AE$2005,'LANÇAMENTOS'!$AF$6:$AF$2005,"Impostos sobre o Resultado",'LANÇAMENTOS'!$Z$6:$Z$2005,11,'LANÇAMENTOS'!$AA$6:$AA$2005,'CONFIGURAÇÕES'!$B$18))</f>
        <v/>
      </c>
      <c r="M19" s="18">
        <f>IF('CONFIGURAÇÕES'!$B$18=0,0,SUMIFS('LANÇAMENTOS'!$AE$6:$AE$2005,'LANÇAMENTOS'!$AF$6:$AF$2005,"Impostos sobre o Resultado",'LANÇAMENTOS'!$Z$6:$Z$2005,12,'LANÇAMENTOS'!$AA$6:$AA$2005,'CONFIGURAÇÕES'!$B$18))</f>
        <v/>
      </c>
      <c r="N19" s="18">
        <f>SUM(B19:M19)</f>
        <v/>
      </c>
      <c r="O19" s="23">
        <f>IF($N$10=0,"",-$N19/$N$10)</f>
        <v/>
      </c>
    </row>
    <row r="20">
      <c r="A20" s="37" t="inlineStr">
        <is>
          <t>▶ LUCRO LÍQUIDO DO PERÍODO</t>
        </is>
      </c>
      <c r="B20" s="38">
        <f>B18-B19</f>
        <v/>
      </c>
      <c r="C20" s="38">
        <f>C18-C19</f>
        <v/>
      </c>
      <c r="D20" s="38">
        <f>D18-D19</f>
        <v/>
      </c>
      <c r="E20" s="38">
        <f>E18-E19</f>
        <v/>
      </c>
      <c r="F20" s="38">
        <f>F18-F19</f>
        <v/>
      </c>
      <c r="G20" s="38">
        <f>G18-G19</f>
        <v/>
      </c>
      <c r="H20" s="38">
        <f>H18-H19</f>
        <v/>
      </c>
      <c r="I20" s="38">
        <f>I18-I19</f>
        <v/>
      </c>
      <c r="J20" s="38">
        <f>J18-J19</f>
        <v/>
      </c>
      <c r="K20" s="38">
        <f>K18-K19</f>
        <v/>
      </c>
      <c r="L20" s="38">
        <f>L18-L19</f>
        <v/>
      </c>
      <c r="M20" s="38">
        <f>M18-M19</f>
        <v/>
      </c>
      <c r="N20" s="38">
        <f>SUM(B20:M20)</f>
        <v/>
      </c>
      <c r="O20" s="39">
        <f>IF($N$10=0,"",$N20/$N$10)</f>
        <v/>
      </c>
    </row>
    <row r="21">
      <c r="A21" s="43" t="inlineStr">
        <is>
          <t>(-) Distribuição de lucros aos sócios</t>
        </is>
      </c>
      <c r="B21" s="18">
        <f>IF('CONFIGURAÇÕES'!$B$18=0,0,SUMIFS('LANÇAMENTOS'!$AE$6:$AE$2005,'LANÇAMENTOS'!$AF$6:$AF$2005,"Distribuição de Lucros",'LANÇAMENTOS'!$Z$6:$Z$2005,1,'LANÇAMENTOS'!$AA$6:$AA$2005,'CONFIGURAÇÕES'!$B$18))</f>
        <v/>
      </c>
      <c r="C21" s="18">
        <f>IF('CONFIGURAÇÕES'!$B$18=0,0,SUMIFS('LANÇAMENTOS'!$AE$6:$AE$2005,'LANÇAMENTOS'!$AF$6:$AF$2005,"Distribuição de Lucros",'LANÇAMENTOS'!$Z$6:$Z$2005,2,'LANÇAMENTOS'!$AA$6:$AA$2005,'CONFIGURAÇÕES'!$B$18))</f>
        <v/>
      </c>
      <c r="D21" s="18">
        <f>IF('CONFIGURAÇÕES'!$B$18=0,0,SUMIFS('LANÇAMENTOS'!$AE$6:$AE$2005,'LANÇAMENTOS'!$AF$6:$AF$2005,"Distribuição de Lucros",'LANÇAMENTOS'!$Z$6:$Z$2005,3,'LANÇAMENTOS'!$AA$6:$AA$2005,'CONFIGURAÇÕES'!$B$18))</f>
        <v/>
      </c>
      <c r="E21" s="18">
        <f>IF('CONFIGURAÇÕES'!$B$18=0,0,SUMIFS('LANÇAMENTOS'!$AE$6:$AE$2005,'LANÇAMENTOS'!$AF$6:$AF$2005,"Distribuição de Lucros",'LANÇAMENTOS'!$Z$6:$Z$2005,4,'LANÇAMENTOS'!$AA$6:$AA$2005,'CONFIGURAÇÕES'!$B$18))</f>
        <v/>
      </c>
      <c r="F21" s="18">
        <f>IF('CONFIGURAÇÕES'!$B$18=0,0,SUMIFS('LANÇAMENTOS'!$AE$6:$AE$2005,'LANÇAMENTOS'!$AF$6:$AF$2005,"Distribuição de Lucros",'LANÇAMENTOS'!$Z$6:$Z$2005,5,'LANÇAMENTOS'!$AA$6:$AA$2005,'CONFIGURAÇÕES'!$B$18))</f>
        <v/>
      </c>
      <c r="G21" s="18">
        <f>IF('CONFIGURAÇÕES'!$B$18=0,0,SUMIFS('LANÇAMENTOS'!$AE$6:$AE$2005,'LANÇAMENTOS'!$AF$6:$AF$2005,"Distribuição de Lucros",'LANÇAMENTOS'!$Z$6:$Z$2005,6,'LANÇAMENTOS'!$AA$6:$AA$2005,'CONFIGURAÇÕES'!$B$18))</f>
        <v/>
      </c>
      <c r="H21" s="18">
        <f>IF('CONFIGURAÇÕES'!$B$18=0,0,SUMIFS('LANÇAMENTOS'!$AE$6:$AE$2005,'LANÇAMENTOS'!$AF$6:$AF$2005,"Distribuição de Lucros",'LANÇAMENTOS'!$Z$6:$Z$2005,7,'LANÇAMENTOS'!$AA$6:$AA$2005,'CONFIGURAÇÕES'!$B$18))</f>
        <v/>
      </c>
      <c r="I21" s="18">
        <f>IF('CONFIGURAÇÕES'!$B$18=0,0,SUMIFS('LANÇAMENTOS'!$AE$6:$AE$2005,'LANÇAMENTOS'!$AF$6:$AF$2005,"Distribuição de Lucros",'LANÇAMENTOS'!$Z$6:$Z$2005,8,'LANÇAMENTOS'!$AA$6:$AA$2005,'CONFIGURAÇÕES'!$B$18))</f>
        <v/>
      </c>
      <c r="J21" s="18">
        <f>IF('CONFIGURAÇÕES'!$B$18=0,0,SUMIFS('LANÇAMENTOS'!$AE$6:$AE$2005,'LANÇAMENTOS'!$AF$6:$AF$2005,"Distribuição de Lucros",'LANÇAMENTOS'!$Z$6:$Z$2005,9,'LANÇAMENTOS'!$AA$6:$AA$2005,'CONFIGURAÇÕES'!$B$18))</f>
        <v/>
      </c>
      <c r="K21" s="18">
        <f>IF('CONFIGURAÇÕES'!$B$18=0,0,SUMIFS('LANÇAMENTOS'!$AE$6:$AE$2005,'LANÇAMENTOS'!$AF$6:$AF$2005,"Distribuição de Lucros",'LANÇAMENTOS'!$Z$6:$Z$2005,10,'LANÇAMENTOS'!$AA$6:$AA$2005,'CONFIGURAÇÕES'!$B$18))</f>
        <v/>
      </c>
      <c r="L21" s="18">
        <f>IF('CONFIGURAÇÕES'!$B$18=0,0,SUMIFS('LANÇAMENTOS'!$AE$6:$AE$2005,'LANÇAMENTOS'!$AF$6:$AF$2005,"Distribuição de Lucros",'LANÇAMENTOS'!$Z$6:$Z$2005,11,'LANÇAMENTOS'!$AA$6:$AA$2005,'CONFIGURAÇÕES'!$B$18))</f>
        <v/>
      </c>
      <c r="M21" s="18">
        <f>IF('CONFIGURAÇÕES'!$B$18=0,0,SUMIFS('LANÇAMENTOS'!$AE$6:$AE$2005,'LANÇAMENTOS'!$AF$6:$AF$2005,"Distribuição de Lucros",'LANÇAMENTOS'!$Z$6:$Z$2005,12,'LANÇAMENTOS'!$AA$6:$AA$2005,'CONFIGURAÇÕES'!$B$18))</f>
        <v/>
      </c>
      <c r="N21" s="18">
        <f>SUM(B21:M21)</f>
        <v/>
      </c>
      <c r="O21" s="23">
        <f>IF($N$10=0,"",-$N21/$N$10)</f>
        <v/>
      </c>
    </row>
    <row r="22">
      <c r="A22" s="37" t="inlineStr">
        <is>
          <t>▶ LUCRO RETIDO NA EMPRESA</t>
        </is>
      </c>
      <c r="B22" s="38">
        <f>B20-B21</f>
        <v/>
      </c>
      <c r="C22" s="38">
        <f>C20-C21</f>
        <v/>
      </c>
      <c r="D22" s="38">
        <f>D20-D21</f>
        <v/>
      </c>
      <c r="E22" s="38">
        <f>E20-E21</f>
        <v/>
      </c>
      <c r="F22" s="38">
        <f>F20-F21</f>
        <v/>
      </c>
      <c r="G22" s="38">
        <f>G20-G21</f>
        <v/>
      </c>
      <c r="H22" s="38">
        <f>H20-H21</f>
        <v/>
      </c>
      <c r="I22" s="38">
        <f>I20-I21</f>
        <v/>
      </c>
      <c r="J22" s="38">
        <f>J20-J21</f>
        <v/>
      </c>
      <c r="K22" s="38">
        <f>K20-K21</f>
        <v/>
      </c>
      <c r="L22" s="38">
        <f>L20-L21</f>
        <v/>
      </c>
      <c r="M22" s="38">
        <f>M20-M21</f>
        <v/>
      </c>
      <c r="N22" s="38">
        <f>SUM(B22:M22)</f>
        <v/>
      </c>
      <c r="O22" s="39">
        <f>IF($N$10=0,"",$N22/$N$10)</f>
        <v/>
      </c>
    </row>
    <row r="23" ht="20" customHeight="1">
      <c r="A23" s="4" t="inlineStr">
        <is>
          <t>2. CONCILIAÇÃO COM O CAIXA (itens que não afetam o resultado)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2" t="inlineStr">
        <is>
          <t>(-) Investimentos (CAPEX) — compra de bens e equipamentos</t>
        </is>
      </c>
      <c r="B24" s="18">
        <f>-SUMIFS('LANÇAMENTOS'!$AE$6:$AE$2005,'LANÇAMENTOS'!$AF$6:$AF$2005,"Investimentos (CAPEX)",'LANÇAMENTOS'!$Z$6:$Z$2005,1,'LANÇAMENTOS'!$AA$6:$AA$2005,'CONFIGURAÇÕES'!$B$18)</f>
        <v/>
      </c>
      <c r="C24" s="18">
        <f>-SUMIFS('LANÇAMENTOS'!$AE$6:$AE$2005,'LANÇAMENTOS'!$AF$6:$AF$2005,"Investimentos (CAPEX)",'LANÇAMENTOS'!$Z$6:$Z$2005,2,'LANÇAMENTOS'!$AA$6:$AA$2005,'CONFIGURAÇÕES'!$B$18)</f>
        <v/>
      </c>
      <c r="D24" s="18">
        <f>-SUMIFS('LANÇAMENTOS'!$AE$6:$AE$2005,'LANÇAMENTOS'!$AF$6:$AF$2005,"Investimentos (CAPEX)",'LANÇAMENTOS'!$Z$6:$Z$2005,3,'LANÇAMENTOS'!$AA$6:$AA$2005,'CONFIGURAÇÕES'!$B$18)</f>
        <v/>
      </c>
      <c r="E24" s="18">
        <f>-SUMIFS('LANÇAMENTOS'!$AE$6:$AE$2005,'LANÇAMENTOS'!$AF$6:$AF$2005,"Investimentos (CAPEX)",'LANÇAMENTOS'!$Z$6:$Z$2005,4,'LANÇAMENTOS'!$AA$6:$AA$2005,'CONFIGURAÇÕES'!$B$18)</f>
        <v/>
      </c>
      <c r="F24" s="18">
        <f>-SUMIFS('LANÇAMENTOS'!$AE$6:$AE$2005,'LANÇAMENTOS'!$AF$6:$AF$2005,"Investimentos (CAPEX)",'LANÇAMENTOS'!$Z$6:$Z$2005,5,'LANÇAMENTOS'!$AA$6:$AA$2005,'CONFIGURAÇÕES'!$B$18)</f>
        <v/>
      </c>
      <c r="G24" s="18">
        <f>-SUMIFS('LANÇAMENTOS'!$AE$6:$AE$2005,'LANÇAMENTOS'!$AF$6:$AF$2005,"Investimentos (CAPEX)",'LANÇAMENTOS'!$Z$6:$Z$2005,6,'LANÇAMENTOS'!$AA$6:$AA$2005,'CONFIGURAÇÕES'!$B$18)</f>
        <v/>
      </c>
      <c r="H24" s="18">
        <f>-SUMIFS('LANÇAMENTOS'!$AE$6:$AE$2005,'LANÇAMENTOS'!$AF$6:$AF$2005,"Investimentos (CAPEX)",'LANÇAMENTOS'!$Z$6:$Z$2005,7,'LANÇAMENTOS'!$AA$6:$AA$2005,'CONFIGURAÇÕES'!$B$18)</f>
        <v/>
      </c>
      <c r="I24" s="18">
        <f>-SUMIFS('LANÇAMENTOS'!$AE$6:$AE$2005,'LANÇAMENTOS'!$AF$6:$AF$2005,"Investimentos (CAPEX)",'LANÇAMENTOS'!$Z$6:$Z$2005,8,'LANÇAMENTOS'!$AA$6:$AA$2005,'CONFIGURAÇÕES'!$B$18)</f>
        <v/>
      </c>
      <c r="J24" s="18">
        <f>-SUMIFS('LANÇAMENTOS'!$AE$6:$AE$2005,'LANÇAMENTOS'!$AF$6:$AF$2005,"Investimentos (CAPEX)",'LANÇAMENTOS'!$Z$6:$Z$2005,9,'LANÇAMENTOS'!$AA$6:$AA$2005,'CONFIGURAÇÕES'!$B$18)</f>
        <v/>
      </c>
      <c r="K24" s="18">
        <f>-SUMIFS('LANÇAMENTOS'!$AE$6:$AE$2005,'LANÇAMENTOS'!$AF$6:$AF$2005,"Investimentos (CAPEX)",'LANÇAMENTOS'!$Z$6:$Z$2005,10,'LANÇAMENTOS'!$AA$6:$AA$2005,'CONFIGURAÇÕES'!$B$18)</f>
        <v/>
      </c>
      <c r="L24" s="18">
        <f>-SUMIFS('LANÇAMENTOS'!$AE$6:$AE$2005,'LANÇAMENTOS'!$AF$6:$AF$2005,"Investimentos (CAPEX)",'LANÇAMENTOS'!$Z$6:$Z$2005,11,'LANÇAMENTOS'!$AA$6:$AA$2005,'CONFIGURAÇÕES'!$B$18)</f>
        <v/>
      </c>
      <c r="M24" s="18">
        <f>-SUMIFS('LANÇAMENTOS'!$AE$6:$AE$2005,'LANÇAMENTOS'!$AF$6:$AF$2005,"Investimentos (CAPEX)",'LANÇAMENTOS'!$Z$6:$Z$2005,12,'LANÇAMENTOS'!$AA$6:$AA$2005,'CONFIGURAÇÕES'!$B$18)</f>
        <v/>
      </c>
      <c r="N24" s="18">
        <f>SUM(B24:M24)</f>
        <v/>
      </c>
    </row>
    <row r="25">
      <c r="A25" s="42" t="inlineStr">
        <is>
          <t>(+/-) Financiamentos e sócios (entrada de crédito − principal pago)</t>
        </is>
      </c>
      <c r="B25" s="18">
        <f>SUMIFS('LANÇAMENTOS'!$AE$6:$AE$2005,'LANÇAMENTOS'!$E$6:$E$2005,"Entrada",'LANÇAMENTOS'!$AF$6:$AF$2005,"Financiamentos e Sócios (Principal)",'LANÇAMENTOS'!$Z$6:$Z$2005,1,'LANÇAMENTOS'!$AA$6:$AA$2005,'CONFIGURAÇÕES'!$B$18)-SUMIFS('LANÇAMENTOS'!$AE$6:$AE$2005,'LANÇAMENTOS'!$E$6:$E$2005,"Saída",'LANÇAMENTOS'!$AF$6:$AF$2005,"Financiamentos e Sócios (Principal)",'LANÇAMENTOS'!$Z$6:$Z$2005,1,'LANÇAMENTOS'!$AA$6:$AA$2005,'CONFIGURAÇÕES'!$B$18)</f>
        <v/>
      </c>
      <c r="C25" s="18">
        <f>SUMIFS('LANÇAMENTOS'!$AE$6:$AE$2005,'LANÇAMENTOS'!$E$6:$E$2005,"Entrada",'LANÇAMENTOS'!$AF$6:$AF$2005,"Financiamentos e Sócios (Principal)",'LANÇAMENTOS'!$Z$6:$Z$2005,2,'LANÇAMENTOS'!$AA$6:$AA$2005,'CONFIGURAÇÕES'!$B$18)-SUMIFS('LANÇAMENTOS'!$AE$6:$AE$2005,'LANÇAMENTOS'!$E$6:$E$2005,"Saída",'LANÇAMENTOS'!$AF$6:$AF$2005,"Financiamentos e Sócios (Principal)",'LANÇAMENTOS'!$Z$6:$Z$2005,2,'LANÇAMENTOS'!$AA$6:$AA$2005,'CONFIGURAÇÕES'!$B$18)</f>
        <v/>
      </c>
      <c r="D25" s="18">
        <f>SUMIFS('LANÇAMENTOS'!$AE$6:$AE$2005,'LANÇAMENTOS'!$E$6:$E$2005,"Entrada",'LANÇAMENTOS'!$AF$6:$AF$2005,"Financiamentos e Sócios (Principal)",'LANÇAMENTOS'!$Z$6:$Z$2005,3,'LANÇAMENTOS'!$AA$6:$AA$2005,'CONFIGURAÇÕES'!$B$18)-SUMIFS('LANÇAMENTOS'!$AE$6:$AE$2005,'LANÇAMENTOS'!$E$6:$E$2005,"Saída",'LANÇAMENTOS'!$AF$6:$AF$2005,"Financiamentos e Sócios (Principal)",'LANÇAMENTOS'!$Z$6:$Z$2005,3,'LANÇAMENTOS'!$AA$6:$AA$2005,'CONFIGURAÇÕES'!$B$18)</f>
        <v/>
      </c>
      <c r="E25" s="18">
        <f>SUMIFS('LANÇAMENTOS'!$AE$6:$AE$2005,'LANÇAMENTOS'!$E$6:$E$2005,"Entrada",'LANÇAMENTOS'!$AF$6:$AF$2005,"Financiamentos e Sócios (Principal)",'LANÇAMENTOS'!$Z$6:$Z$2005,4,'LANÇAMENTOS'!$AA$6:$AA$2005,'CONFIGURAÇÕES'!$B$18)-SUMIFS('LANÇAMENTOS'!$AE$6:$AE$2005,'LANÇAMENTOS'!$E$6:$E$2005,"Saída",'LANÇAMENTOS'!$AF$6:$AF$2005,"Financiamentos e Sócios (Principal)",'LANÇAMENTOS'!$Z$6:$Z$2005,4,'LANÇAMENTOS'!$AA$6:$AA$2005,'CONFIGURAÇÕES'!$B$18)</f>
        <v/>
      </c>
      <c r="F25" s="18">
        <f>SUMIFS('LANÇAMENTOS'!$AE$6:$AE$2005,'LANÇAMENTOS'!$E$6:$E$2005,"Entrada",'LANÇAMENTOS'!$AF$6:$AF$2005,"Financiamentos e Sócios (Principal)",'LANÇAMENTOS'!$Z$6:$Z$2005,5,'LANÇAMENTOS'!$AA$6:$AA$2005,'CONFIGURAÇÕES'!$B$18)-SUMIFS('LANÇAMENTOS'!$AE$6:$AE$2005,'LANÇAMENTOS'!$E$6:$E$2005,"Saída",'LANÇAMENTOS'!$AF$6:$AF$2005,"Financiamentos e Sócios (Principal)",'LANÇAMENTOS'!$Z$6:$Z$2005,5,'LANÇAMENTOS'!$AA$6:$AA$2005,'CONFIGURAÇÕES'!$B$18)</f>
        <v/>
      </c>
      <c r="G25" s="18">
        <f>SUMIFS('LANÇAMENTOS'!$AE$6:$AE$2005,'LANÇAMENTOS'!$E$6:$E$2005,"Entrada",'LANÇAMENTOS'!$AF$6:$AF$2005,"Financiamentos e Sócios (Principal)",'LANÇAMENTOS'!$Z$6:$Z$2005,6,'LANÇAMENTOS'!$AA$6:$AA$2005,'CONFIGURAÇÕES'!$B$18)-SUMIFS('LANÇAMENTOS'!$AE$6:$AE$2005,'LANÇAMENTOS'!$E$6:$E$2005,"Saída",'LANÇAMENTOS'!$AF$6:$AF$2005,"Financiamentos e Sócios (Principal)",'LANÇAMENTOS'!$Z$6:$Z$2005,6,'LANÇAMENTOS'!$AA$6:$AA$2005,'CONFIGURAÇÕES'!$B$18)</f>
        <v/>
      </c>
      <c r="H25" s="18">
        <f>SUMIFS('LANÇAMENTOS'!$AE$6:$AE$2005,'LANÇAMENTOS'!$E$6:$E$2005,"Entrada",'LANÇAMENTOS'!$AF$6:$AF$2005,"Financiamentos e Sócios (Principal)",'LANÇAMENTOS'!$Z$6:$Z$2005,7,'LANÇAMENTOS'!$AA$6:$AA$2005,'CONFIGURAÇÕES'!$B$18)-SUMIFS('LANÇAMENTOS'!$AE$6:$AE$2005,'LANÇAMENTOS'!$E$6:$E$2005,"Saída",'LANÇAMENTOS'!$AF$6:$AF$2005,"Financiamentos e Sócios (Principal)",'LANÇAMENTOS'!$Z$6:$Z$2005,7,'LANÇAMENTOS'!$AA$6:$AA$2005,'CONFIGURAÇÕES'!$B$18)</f>
        <v/>
      </c>
      <c r="I25" s="18">
        <f>SUMIFS('LANÇAMENTOS'!$AE$6:$AE$2005,'LANÇAMENTOS'!$E$6:$E$2005,"Entrada",'LANÇAMENTOS'!$AF$6:$AF$2005,"Financiamentos e Sócios (Principal)",'LANÇAMENTOS'!$Z$6:$Z$2005,8,'LANÇAMENTOS'!$AA$6:$AA$2005,'CONFIGURAÇÕES'!$B$18)-SUMIFS('LANÇAMENTOS'!$AE$6:$AE$2005,'LANÇAMENTOS'!$E$6:$E$2005,"Saída",'LANÇAMENTOS'!$AF$6:$AF$2005,"Financiamentos e Sócios (Principal)",'LANÇAMENTOS'!$Z$6:$Z$2005,8,'LANÇAMENTOS'!$AA$6:$AA$2005,'CONFIGURAÇÕES'!$B$18)</f>
        <v/>
      </c>
      <c r="J25" s="18">
        <f>SUMIFS('LANÇAMENTOS'!$AE$6:$AE$2005,'LANÇAMENTOS'!$E$6:$E$2005,"Entrada",'LANÇAMENTOS'!$AF$6:$AF$2005,"Financiamentos e Sócios (Principal)",'LANÇAMENTOS'!$Z$6:$Z$2005,9,'LANÇAMENTOS'!$AA$6:$AA$2005,'CONFIGURAÇÕES'!$B$18)-SUMIFS('LANÇAMENTOS'!$AE$6:$AE$2005,'LANÇAMENTOS'!$E$6:$E$2005,"Saída",'LANÇAMENTOS'!$AF$6:$AF$2005,"Financiamentos e Sócios (Principal)",'LANÇAMENTOS'!$Z$6:$Z$2005,9,'LANÇAMENTOS'!$AA$6:$AA$2005,'CONFIGURAÇÕES'!$B$18)</f>
        <v/>
      </c>
      <c r="K25" s="18">
        <f>SUMIFS('LANÇAMENTOS'!$AE$6:$AE$2005,'LANÇAMENTOS'!$E$6:$E$2005,"Entrada",'LANÇAMENTOS'!$AF$6:$AF$2005,"Financiamentos e Sócios (Principal)",'LANÇAMENTOS'!$Z$6:$Z$2005,10,'LANÇAMENTOS'!$AA$6:$AA$2005,'CONFIGURAÇÕES'!$B$18)-SUMIFS('LANÇAMENTOS'!$AE$6:$AE$2005,'LANÇAMENTOS'!$E$6:$E$2005,"Saída",'LANÇAMENTOS'!$AF$6:$AF$2005,"Financiamentos e Sócios (Principal)",'LANÇAMENTOS'!$Z$6:$Z$2005,10,'LANÇAMENTOS'!$AA$6:$AA$2005,'CONFIGURAÇÕES'!$B$18)</f>
        <v/>
      </c>
      <c r="L25" s="18">
        <f>SUMIFS('LANÇAMENTOS'!$AE$6:$AE$2005,'LANÇAMENTOS'!$E$6:$E$2005,"Entrada",'LANÇAMENTOS'!$AF$6:$AF$2005,"Financiamentos e Sócios (Principal)",'LANÇAMENTOS'!$Z$6:$Z$2005,11,'LANÇAMENTOS'!$AA$6:$AA$2005,'CONFIGURAÇÕES'!$B$18)-SUMIFS('LANÇAMENTOS'!$AE$6:$AE$2005,'LANÇAMENTOS'!$E$6:$E$2005,"Saída",'LANÇAMENTOS'!$AF$6:$AF$2005,"Financiamentos e Sócios (Principal)",'LANÇAMENTOS'!$Z$6:$Z$2005,11,'LANÇAMENTOS'!$AA$6:$AA$2005,'CONFIGURAÇÕES'!$B$18)</f>
        <v/>
      </c>
      <c r="M25" s="18">
        <f>SUMIFS('LANÇAMENTOS'!$AE$6:$AE$2005,'LANÇAMENTOS'!$E$6:$E$2005,"Entrada",'LANÇAMENTOS'!$AF$6:$AF$2005,"Financiamentos e Sócios (Principal)",'LANÇAMENTOS'!$Z$6:$Z$2005,12,'LANÇAMENTOS'!$AA$6:$AA$2005,'CONFIGURAÇÕES'!$B$18)-SUMIFS('LANÇAMENTOS'!$AE$6:$AE$2005,'LANÇAMENTOS'!$E$6:$E$2005,"Saída",'LANÇAMENTOS'!$AF$6:$AF$2005,"Financiamentos e Sócios (Principal)",'LANÇAMENTOS'!$Z$6:$Z$2005,12,'LANÇAMENTOS'!$AA$6:$AA$2005,'CONFIGURAÇÕES'!$B$18)</f>
        <v/>
      </c>
      <c r="N25" s="18">
        <f>SUM(B25:M25)</f>
        <v/>
      </c>
    </row>
    <row r="26">
      <c r="A26" s="37" t="inlineStr">
        <is>
          <t>GERAÇÃO DE CAIXA DO PERÍODO (lucro líquido − CAPEX + financiamentos)</t>
        </is>
      </c>
      <c r="B26" s="38">
        <f>B20+SUM(B24:B25)</f>
        <v/>
      </c>
      <c r="C26" s="38">
        <f>C20+SUM(C24:C25)</f>
        <v/>
      </c>
      <c r="D26" s="38">
        <f>D20+SUM(D24:D25)</f>
        <v/>
      </c>
      <c r="E26" s="38">
        <f>E20+SUM(E24:E25)</f>
        <v/>
      </c>
      <c r="F26" s="38">
        <f>F20+SUM(F24:F25)</f>
        <v/>
      </c>
      <c r="G26" s="38">
        <f>G20+SUM(G24:G25)</f>
        <v/>
      </c>
      <c r="H26" s="38">
        <f>H20+SUM(H24:H25)</f>
        <v/>
      </c>
      <c r="I26" s="38">
        <f>I20+SUM(I24:I25)</f>
        <v/>
      </c>
      <c r="J26" s="38">
        <f>J20+SUM(J24:J25)</f>
        <v/>
      </c>
      <c r="K26" s="38">
        <f>K20+SUM(K24:K25)</f>
        <v/>
      </c>
      <c r="L26" s="38">
        <f>L20+SUM(L24:L25)</f>
        <v/>
      </c>
      <c r="M26" s="38">
        <f>M20+SUM(M24:M25)</f>
        <v/>
      </c>
      <c r="N26" s="38">
        <f>SUM(B26:M26)</f>
        <v/>
      </c>
    </row>
    <row r="28" ht="20" customHeight="1">
      <c r="A28" s="4" t="inlineStr">
        <is>
          <t>3. MARGENS (%) E INDICADORES DE RENTABILIDADE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34" customHeight="1">
      <c r="A29" s="21" t="inlineStr">
        <is>
          <t>Indicador</t>
        </is>
      </c>
      <c r="B29" s="21" t="inlineStr">
        <is>
          <t>Mês 1</t>
        </is>
      </c>
      <c r="C29" s="21" t="inlineStr">
        <is>
          <t>Mês 2</t>
        </is>
      </c>
      <c r="D29" s="21" t="inlineStr">
        <is>
          <t>Mês 3</t>
        </is>
      </c>
      <c r="E29" s="21" t="inlineStr">
        <is>
          <t>Mês 4</t>
        </is>
      </c>
      <c r="F29" s="21" t="inlineStr">
        <is>
          <t>Mês 5</t>
        </is>
      </c>
      <c r="G29" s="21" t="inlineStr">
        <is>
          <t>Mês 6</t>
        </is>
      </c>
      <c r="H29" s="21" t="inlineStr">
        <is>
          <t>Mês 7</t>
        </is>
      </c>
      <c r="I29" s="21" t="inlineStr">
        <is>
          <t>Mês 8</t>
        </is>
      </c>
      <c r="J29" s="21" t="inlineStr">
        <is>
          <t>Mês 9</t>
        </is>
      </c>
      <c r="K29" s="21" t="inlineStr">
        <is>
          <t>Mês 10</t>
        </is>
      </c>
      <c r="L29" s="21" t="inlineStr">
        <is>
          <t>Mês 11</t>
        </is>
      </c>
      <c r="M29" s="21" t="inlineStr">
        <is>
          <t>Mês 12</t>
        </is>
      </c>
      <c r="N29" s="21" t="inlineStr">
        <is>
          <t>TOTAL DO ANO</t>
        </is>
      </c>
      <c r="O29" s="21" t="inlineStr">
        <is>
          <t>Como é calculado</t>
        </is>
      </c>
    </row>
    <row r="30">
      <c r="A30" s="9" t="inlineStr">
        <is>
          <t>Margem bruta (sobre o faturamento bruto)</t>
        </is>
      </c>
      <c r="B30" s="23">
        <f>IF(B7=0,"",(B7-B8-B11)/B7)</f>
        <v/>
      </c>
      <c r="C30" s="23">
        <f>IF(C7=0,"",(C7-C8-C11)/C7)</f>
        <v/>
      </c>
      <c r="D30" s="23">
        <f>IF(D7=0,"",(D7-D8-D11)/D7)</f>
        <v/>
      </c>
      <c r="E30" s="23">
        <f>IF(E7=0,"",(E7-E8-E11)/E7)</f>
        <v/>
      </c>
      <c r="F30" s="23">
        <f>IF(F7=0,"",(F7-F8-F11)/F7)</f>
        <v/>
      </c>
      <c r="G30" s="23">
        <f>IF(G7=0,"",(G7-G8-G11)/G7)</f>
        <v/>
      </c>
      <c r="H30" s="23">
        <f>IF(H7=0,"",(H7-H8-H11)/H7)</f>
        <v/>
      </c>
      <c r="I30" s="23">
        <f>IF(I7=0,"",(I7-I8-I11)/I7)</f>
        <v/>
      </c>
      <c r="J30" s="23">
        <f>IF(J7=0,"",(J7-J8-J11)/J7)</f>
        <v/>
      </c>
      <c r="K30" s="23">
        <f>IF(K7=0,"",(K7-K8-K11)/K7)</f>
        <v/>
      </c>
      <c r="L30" s="23">
        <f>IF(L7=0,"",(L7-L8-L11)/L7)</f>
        <v/>
      </c>
      <c r="M30" s="23">
        <f>IF(M7=0,"",(M7-M8-M11)/M7)</f>
        <v/>
      </c>
      <c r="N30" s="39">
        <f>IF($N$10=0,"",IF($N7=0,"",($N7-$N8-$N11)/$N7))</f>
        <v/>
      </c>
      <c r="O30" s="25" t="inlineStr">
        <is>
          <t>(Faturamento bruto − impostos − custos variáveis) ÷ faturamento bruto</t>
        </is>
      </c>
    </row>
    <row r="31">
      <c r="A31" s="9" t="inlineStr">
        <is>
          <t>Margem de contribuição (sobre a receita líquida)</t>
        </is>
      </c>
      <c r="B31" s="23">
        <f>IF(B10=0,"",B12/B10)</f>
        <v/>
      </c>
      <c r="C31" s="23">
        <f>IF(C10=0,"",C12/C10)</f>
        <v/>
      </c>
      <c r="D31" s="23">
        <f>IF(D10=0,"",D12/D10)</f>
        <v/>
      </c>
      <c r="E31" s="23">
        <f>IF(E10=0,"",E12/E10)</f>
        <v/>
      </c>
      <c r="F31" s="23">
        <f>IF(F10=0,"",F12/F10)</f>
        <v/>
      </c>
      <c r="G31" s="23">
        <f>IF(G10=0,"",G12/G10)</f>
        <v/>
      </c>
      <c r="H31" s="23">
        <f>IF(H10=0,"",H12/H10)</f>
        <v/>
      </c>
      <c r="I31" s="23">
        <f>IF(I10=0,"",I12/I10)</f>
        <v/>
      </c>
      <c r="J31" s="23">
        <f>IF(J10=0,"",J12/J10)</f>
        <v/>
      </c>
      <c r="K31" s="23">
        <f>IF(K10=0,"",K12/K10)</f>
        <v/>
      </c>
      <c r="L31" s="23">
        <f>IF(L10=0,"",L12/L10)</f>
        <v/>
      </c>
      <c r="M31" s="23">
        <f>IF(M10=0,"",M12/M10)</f>
        <v/>
      </c>
      <c r="N31" s="39">
        <f>IF($N$10=0,"",IF($N10=0,"",$N12/$N10))</f>
        <v/>
      </c>
      <c r="O31" s="25" t="inlineStr">
        <is>
          <t>Margem de contribuição ÷ receita líquida</t>
        </is>
      </c>
    </row>
    <row r="32">
      <c r="A32" s="9" t="inlineStr">
        <is>
          <t>Margem operacional / EBITDA (sobre a receita líquida)</t>
        </is>
      </c>
      <c r="B32" s="23">
        <f>IF(B10=0,"",B14/B10)</f>
        <v/>
      </c>
      <c r="C32" s="23">
        <f>IF(C10=0,"",C14/C10)</f>
        <v/>
      </c>
      <c r="D32" s="23">
        <f>IF(D10=0,"",D14/D10)</f>
        <v/>
      </c>
      <c r="E32" s="23">
        <f>IF(E10=0,"",E14/E10)</f>
        <v/>
      </c>
      <c r="F32" s="23">
        <f>IF(F10=0,"",F14/F10)</f>
        <v/>
      </c>
      <c r="G32" s="23">
        <f>IF(G10=0,"",G14/G10)</f>
        <v/>
      </c>
      <c r="H32" s="23">
        <f>IF(H10=0,"",H14/H10)</f>
        <v/>
      </c>
      <c r="I32" s="23">
        <f>IF(I10=0,"",I14/I10)</f>
        <v/>
      </c>
      <c r="J32" s="23">
        <f>IF(J10=0,"",J14/J10)</f>
        <v/>
      </c>
      <c r="K32" s="23">
        <f>IF(K10=0,"",K14/K10)</f>
        <v/>
      </c>
      <c r="L32" s="23">
        <f>IF(L10=0,"",L14/L10)</f>
        <v/>
      </c>
      <c r="M32" s="23">
        <f>IF(M10=0,"",M14/M10)</f>
        <v/>
      </c>
      <c r="N32" s="39">
        <f>IF($N$10=0,"",IF($N10=0,"",$N14/$N10))</f>
        <v/>
      </c>
      <c r="O32" s="25" t="inlineStr">
        <is>
          <t>EBITDA ÷ receita líquida</t>
        </is>
      </c>
    </row>
    <row r="33">
      <c r="A33" s="9" t="inlineStr">
        <is>
          <t>Margem líquida (sobre a receita líquida)</t>
        </is>
      </c>
      <c r="B33" s="23">
        <f>IF(B10=0,"",B20/B10)</f>
        <v/>
      </c>
      <c r="C33" s="23">
        <f>IF(C10=0,"",C20/C10)</f>
        <v/>
      </c>
      <c r="D33" s="23">
        <f>IF(D10=0,"",D20/D10)</f>
        <v/>
      </c>
      <c r="E33" s="23">
        <f>IF(E10=0,"",E20/E10)</f>
        <v/>
      </c>
      <c r="F33" s="23">
        <f>IF(F10=0,"",F20/F10)</f>
        <v/>
      </c>
      <c r="G33" s="23">
        <f>IF(G10=0,"",G20/G10)</f>
        <v/>
      </c>
      <c r="H33" s="23">
        <f>IF(H10=0,"",H20/H10)</f>
        <v/>
      </c>
      <c r="I33" s="23">
        <f>IF(I10=0,"",I20/I10)</f>
        <v/>
      </c>
      <c r="J33" s="23">
        <f>IF(J10=0,"",J20/J10)</f>
        <v/>
      </c>
      <c r="K33" s="23">
        <f>IF(K10=0,"",K20/K10)</f>
        <v/>
      </c>
      <c r="L33" s="23">
        <f>IF(L10=0,"",L20/L10)</f>
        <v/>
      </c>
      <c r="M33" s="23">
        <f>IF(M10=0,"",M20/M10)</f>
        <v/>
      </c>
      <c r="N33" s="39">
        <f>IF($N$10=0,"",IF($N10=0,"",$N20/$N10))</f>
        <v/>
      </c>
      <c r="O33" s="25" t="inlineStr">
        <is>
          <t>Lucro líquido ÷ receita líquida</t>
        </is>
      </c>
    </row>
    <row r="34">
      <c r="A34" s="9" t="inlineStr">
        <is>
          <t>Margem de segurança (folga sobre o ponto de equilíbrio)</t>
        </is>
      </c>
      <c r="B34" s="23">
        <f>IF(B10=0,"",(B10-PE_RS)/B10)</f>
        <v/>
      </c>
      <c r="C34" s="23">
        <f>IF(C10=0,"",(C10-PE_RS)/C10)</f>
        <v/>
      </c>
      <c r="D34" s="23">
        <f>IF(D10=0,"",(D10-PE_RS)/D10)</f>
        <v/>
      </c>
      <c r="E34" s="23">
        <f>IF(E10=0,"",(E10-PE_RS)/E10)</f>
        <v/>
      </c>
      <c r="F34" s="23">
        <f>IF(F10=0,"",(F10-PE_RS)/F10)</f>
        <v/>
      </c>
      <c r="G34" s="23">
        <f>IF(G10=0,"",(G10-PE_RS)/G10)</f>
        <v/>
      </c>
      <c r="H34" s="23">
        <f>IF(H10=0,"",(H10-PE_RS)/H10)</f>
        <v/>
      </c>
      <c r="I34" s="23">
        <f>IF(I10=0,"",(I10-PE_RS)/I10)</f>
        <v/>
      </c>
      <c r="J34" s="23">
        <f>IF(J10=0,"",(J10-PE_RS)/J10)</f>
        <v/>
      </c>
      <c r="K34" s="23">
        <f>IF(K10=0,"",(K10-PE_RS)/K10)</f>
        <v/>
      </c>
      <c r="L34" s="23">
        <f>IF(L10=0,"",(L10-PE_RS)/L10)</f>
        <v/>
      </c>
      <c r="M34" s="23">
        <f>IF(M10=0,"",(M10-PE_RS)/M10)</f>
        <v/>
      </c>
      <c r="N34" s="39">
        <f>IF($N$10=0,"",IF($N10=0,"",($N10-PE_RS)/$N10))</f>
        <v/>
      </c>
      <c r="O34" s="25" t="inlineStr">
        <is>
          <t>(Receita líquida − ponto de equilíbrio) ÷ receita líquida</t>
        </is>
      </c>
    </row>
    <row r="37" ht="20" customHeight="1">
      <c r="A37" s="4" t="inlineStr">
        <is>
          <t>4. COMPARAÇÃO MENSAL E METAS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34" customHeight="1">
      <c r="A38" s="21" t="inlineStr">
        <is>
          <t>Indicador</t>
        </is>
      </c>
      <c r="B38" s="21" t="inlineStr">
        <is>
          <t>Mês de análise</t>
        </is>
      </c>
      <c r="C38" s="21" t="inlineStr">
        <is>
          <t>Mês anterior</t>
        </is>
      </c>
      <c r="D38" s="21" t="inlineStr">
        <is>
          <t>Variação % (mês anterior)</t>
        </is>
      </c>
      <c r="E38" s="21" t="inlineStr">
        <is>
          <t>Acumulado do ano</t>
        </is>
      </c>
      <c r="F38" s="21" t="inlineStr">
        <is>
          <t>Média mensal</t>
        </is>
      </c>
      <c r="G38" s="21" t="inlineStr">
        <is>
          <t>Meta mensal</t>
        </is>
      </c>
      <c r="H38" s="21" t="inlineStr">
        <is>
          <t>% da meta atingida</t>
        </is>
      </c>
    </row>
    <row r="39">
      <c r="A39" s="9" t="inlineStr">
        <is>
          <t>Faturamento bruto</t>
        </is>
      </c>
      <c r="B39" s="18">
        <f>IFERROR(INDEX($B$7:$M$7,MATCH('CONFIGURAÇÕES'!$B$19,{1,2,3,4,5,6,7,8,9,10,11,12},0)),0)</f>
        <v/>
      </c>
      <c r="C39" s="18">
        <f>IFERROR(INDEX($B$7:$M$7,MATCH('CONFIGURAÇÕES'!$B$19-1,{1,2,3,4,5,6,7,8,9,10,11,12},0)),0)</f>
        <v/>
      </c>
      <c r="D39" s="23">
        <f>IF($C39=0,"",$B39/$C39-1)</f>
        <v/>
      </c>
      <c r="E39" s="18">
        <f>SUMIF($B$4:$M$4,"&lt;="&amp;IF('CONFIGURAÇÕES'!$B$19=0,12,'CONFIGURAÇÕES'!$B$19),$B$7:$M$7)</f>
        <v/>
      </c>
      <c r="F39" s="18">
        <f>IFERROR($E39/MAX(1,'CONFIGURAÇÕES'!$B$19),0)</f>
        <v/>
      </c>
      <c r="G39" s="18">
        <f>'CONFIGURAÇÕES'!$B$22</f>
        <v/>
      </c>
      <c r="H39" s="23">
        <f>IF(OR($G39="",$G39=0),"",$B39/$G39)</f>
        <v/>
      </c>
    </row>
    <row r="40">
      <c r="A40" s="9" t="inlineStr">
        <is>
          <t>Receita líquida</t>
        </is>
      </c>
      <c r="B40" s="18">
        <f>IFERROR(INDEX($B$10:$M$10,MATCH('CONFIGURAÇÕES'!$B$19,{1,2,3,4,5,6,7,8,9,10,11,12},0)),0)</f>
        <v/>
      </c>
      <c r="C40" s="18">
        <f>IFERROR(INDEX($B$10:$M$10,MATCH('CONFIGURAÇÕES'!$B$19-1,{1,2,3,4,5,6,7,8,9,10,11,12},0)),0)</f>
        <v/>
      </c>
      <c r="D40" s="23">
        <f>IF($C40=0,"",$B40/$C40-1)</f>
        <v/>
      </c>
      <c r="E40" s="18">
        <f>SUMIF($B$4:$M$4,"&lt;="&amp;IF('CONFIGURAÇÕES'!$B$19=0,12,'CONFIGURAÇÕES'!$B$19),$B$10:$M$10)</f>
        <v/>
      </c>
      <c r="F40" s="18">
        <f>IFERROR($E40/MAX(1,'CONFIGURAÇÕES'!$B$19),0)</f>
        <v/>
      </c>
      <c r="G40" s="9" t="inlineStr"/>
      <c r="H40" s="23">
        <f>IF(OR($G40="",$G40=0),"",$B40/$G40)</f>
        <v/>
      </c>
    </row>
    <row r="41">
      <c r="A41" s="9" t="inlineStr">
        <is>
          <t>Margem de contribuição</t>
        </is>
      </c>
      <c r="B41" s="18">
        <f>IFERROR(INDEX($B$12:$M$12,MATCH('CONFIGURAÇÕES'!$B$19,{1,2,3,4,5,6,7,8,9,10,11,12},0)),0)</f>
        <v/>
      </c>
      <c r="C41" s="18">
        <f>IFERROR(INDEX($B$12:$M$12,MATCH('CONFIGURAÇÕES'!$B$19-1,{1,2,3,4,5,6,7,8,9,10,11,12},0)),0)</f>
        <v/>
      </c>
      <c r="D41" s="23">
        <f>IF($C41=0,"",$B41/$C41-1)</f>
        <v/>
      </c>
      <c r="E41" s="18">
        <f>SUMIF($B$4:$M$4,"&lt;="&amp;IF('CONFIGURAÇÕES'!$B$19=0,12,'CONFIGURAÇÕES'!$B$19),$B$12:$M$12)</f>
        <v/>
      </c>
      <c r="F41" s="18">
        <f>IFERROR($E41/MAX(1,'CONFIGURAÇÕES'!$B$19),0)</f>
        <v/>
      </c>
      <c r="G41" s="9" t="inlineStr"/>
      <c r="H41" s="23">
        <f>IF(OR($G41="",$G41=0),"",$B41/$G41)</f>
        <v/>
      </c>
    </row>
    <row r="42">
      <c r="A42" s="9" t="inlineStr">
        <is>
          <t>EBITDA / resultado operacional</t>
        </is>
      </c>
      <c r="B42" s="18">
        <f>IFERROR(INDEX($B$14:$M$14,MATCH('CONFIGURAÇÕES'!$B$19,{1,2,3,4,5,6,7,8,9,10,11,12},0)),0)</f>
        <v/>
      </c>
      <c r="C42" s="18">
        <f>IFERROR(INDEX($B$14:$M$14,MATCH('CONFIGURAÇÕES'!$B$19-1,{1,2,3,4,5,6,7,8,9,10,11,12},0)),0)</f>
        <v/>
      </c>
      <c r="D42" s="23">
        <f>IF($C42=0,"",$B42/$C42-1)</f>
        <v/>
      </c>
      <c r="E42" s="18">
        <f>SUMIF($B$4:$M$4,"&lt;="&amp;IF('CONFIGURAÇÕES'!$B$19=0,12,'CONFIGURAÇÕES'!$B$19),$B$14:$M$14)</f>
        <v/>
      </c>
      <c r="F42" s="18">
        <f>IFERROR($E42/MAX(1,'CONFIGURAÇÕES'!$B$19),0)</f>
        <v/>
      </c>
      <c r="G42" s="9" t="inlineStr"/>
      <c r="H42" s="23">
        <f>IF(OR($G42="",$G42=0),"",$B42/$G42)</f>
        <v/>
      </c>
    </row>
    <row r="43">
      <c r="A43" s="9" t="inlineStr">
        <is>
          <t>Lucro líquido</t>
        </is>
      </c>
      <c r="B43" s="18">
        <f>IFERROR(INDEX($B$20:$M$20,MATCH('CONFIGURAÇÕES'!$B$19,{1,2,3,4,5,6,7,8,9,10,11,12},0)),0)</f>
        <v/>
      </c>
      <c r="C43" s="18">
        <f>IFERROR(INDEX($B$20:$M$20,MATCH('CONFIGURAÇÕES'!$B$19-1,{1,2,3,4,5,6,7,8,9,10,11,12},0)),0)</f>
        <v/>
      </c>
      <c r="D43" s="23">
        <f>IF($C43=0,"",$B43/$C43-1)</f>
        <v/>
      </c>
      <c r="E43" s="18">
        <f>SUMIF($B$4:$M$4,"&lt;="&amp;IF('CONFIGURAÇÕES'!$B$19=0,12,'CONFIGURAÇÕES'!$B$19),$B$20:$M$20)</f>
        <v/>
      </c>
      <c r="F43" s="18">
        <f>IFERROR($E43/MAX(1,'CONFIGURAÇÕES'!$B$19),0)</f>
        <v/>
      </c>
      <c r="G43" s="18">
        <f>'CONFIGURAÇÕES'!$B$23</f>
        <v/>
      </c>
      <c r="H43" s="23">
        <f>IF(OR($G43="",$G43=0),"",$B43/$G43)</f>
        <v/>
      </c>
    </row>
    <row r="47" ht="20" customHeight="1">
      <c r="A47" s="4" t="inlineStr">
        <is>
          <t>5. RECEITAS E DESPESAS POR CATEGORIA (ano de análise)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30" customHeight="1">
      <c r="A48" s="21" t="inlineStr">
        <is>
          <t>Categoria (subcategoria do plano de contas)</t>
        </is>
      </c>
      <c r="B48" s="21" t="inlineStr">
        <is>
          <t>Tipo</t>
        </is>
      </c>
      <c r="C48" s="21" t="inlineStr">
        <is>
          <t>Valor no ano</t>
        </is>
      </c>
      <c r="D48" s="21" t="inlineStr">
        <is>
          <t>% do total</t>
        </is>
      </c>
      <c r="E48" s="21" t="inlineStr">
        <is>
          <t>Linha do DRE</t>
        </is>
      </c>
    </row>
    <row r="49">
      <c r="A49" s="9" t="inlineStr">
        <is>
          <t>Vendas de Produtos</t>
        </is>
      </c>
      <c r="B49" s="17" t="inlineStr">
        <is>
          <t>RECEITAS</t>
        </is>
      </c>
      <c r="C49" s="18">
        <f>SUMIFS('LANÇAMENTOS'!$AE$6:$AE$2005,'LANÇAMENTOS'!$G$6:$G$2005,$A49,'LANÇAMENTOS'!$AA$6:$AA$2005,'CONFIGURAÇÕES'!$B$18)</f>
        <v/>
      </c>
      <c r="D49" s="23">
        <f>IF(SUM($C$49:$C$97)=0,"",$C49/SUM($C$49:$C$97))</f>
        <v/>
      </c>
      <c r="E49" s="25" t="inlineStr">
        <is>
          <t>Faturamento Bruto</t>
        </is>
      </c>
    </row>
    <row r="50">
      <c r="A50" s="9" t="inlineStr">
        <is>
          <t>Vendas de Serviços</t>
        </is>
      </c>
      <c r="B50" s="17" t="inlineStr">
        <is>
          <t>RECEITAS</t>
        </is>
      </c>
      <c r="C50" s="18">
        <f>SUMIFS('LANÇAMENTOS'!$AE$6:$AE$2005,'LANÇAMENTOS'!$G$6:$G$2005,$A50,'LANÇAMENTOS'!$AA$6:$AA$2005,'CONFIGURAÇÕES'!$B$18)</f>
        <v/>
      </c>
      <c r="D50" s="23">
        <f>IF(SUM($C$49:$C$97)=0,"",$C50/SUM($C$49:$C$97))</f>
        <v/>
      </c>
      <c r="E50" s="25" t="inlineStr">
        <is>
          <t>Faturamento Bruto</t>
        </is>
      </c>
    </row>
    <row r="51">
      <c r="A51" s="9" t="inlineStr">
        <is>
          <t>Outras Receitas Operacionais</t>
        </is>
      </c>
      <c r="B51" s="17" t="inlineStr">
        <is>
          <t>RECEITAS</t>
        </is>
      </c>
      <c r="C51" s="18">
        <f>SUMIFS('LANÇAMENTOS'!$AE$6:$AE$2005,'LANÇAMENTOS'!$G$6:$G$2005,$A51,'LANÇAMENTOS'!$AA$6:$AA$2005,'CONFIGURAÇÕES'!$B$18)</f>
        <v/>
      </c>
      <c r="D51" s="23">
        <f>IF(SUM($C$49:$C$97)=0,"",$C51/SUM($C$49:$C$97))</f>
        <v/>
      </c>
      <c r="E51" s="25" t="inlineStr">
        <is>
          <t>Outras Receitas Operacionais</t>
        </is>
      </c>
    </row>
    <row r="52">
      <c r="A52" s="9" t="inlineStr">
        <is>
          <t>Rendimentos de Aplicações Financeiras</t>
        </is>
      </c>
      <c r="B52" s="17" t="inlineStr">
        <is>
          <t>RECEITAS</t>
        </is>
      </c>
      <c r="C52" s="18">
        <f>SUMIFS('LANÇAMENTOS'!$AE$6:$AE$2005,'LANÇAMENTOS'!$G$6:$G$2005,$A52,'LANÇAMENTOS'!$AA$6:$AA$2005,'CONFIGURAÇÕES'!$B$18)</f>
        <v/>
      </c>
      <c r="D52" s="23">
        <f>IF(SUM($C$49:$C$97)=0,"",$C52/SUM($C$49:$C$97))</f>
        <v/>
      </c>
      <c r="E52" s="25" t="inlineStr">
        <is>
          <t>Receitas Financeiras</t>
        </is>
      </c>
    </row>
    <row r="53">
      <c r="A53" s="9" t="inlineStr">
        <is>
          <t>Juros Recebidos de Clientes</t>
        </is>
      </c>
      <c r="B53" s="17" t="inlineStr">
        <is>
          <t>RECEITAS</t>
        </is>
      </c>
      <c r="C53" s="18">
        <f>SUMIFS('LANÇAMENTOS'!$AE$6:$AE$2005,'LANÇAMENTOS'!$G$6:$G$2005,$A53,'LANÇAMENTOS'!$AA$6:$AA$2005,'CONFIGURAÇÕES'!$B$18)</f>
        <v/>
      </c>
      <c r="D53" s="23">
        <f>IF(SUM($C$49:$C$97)=0,"",$C53/SUM($C$49:$C$97))</f>
        <v/>
      </c>
      <c r="E53" s="25" t="inlineStr">
        <is>
          <t>Receitas Financeiras</t>
        </is>
      </c>
    </row>
    <row r="54">
      <c r="A54" s="9" t="inlineStr">
        <is>
          <t>Descontos Obtidos de Fornecedores</t>
        </is>
      </c>
      <c r="B54" s="17" t="inlineStr">
        <is>
          <t>RECEITAS</t>
        </is>
      </c>
      <c r="C54" s="18">
        <f>SUMIFS('LANÇAMENTOS'!$AE$6:$AE$2005,'LANÇAMENTOS'!$G$6:$G$2005,$A54,'LANÇAMENTOS'!$AA$6:$AA$2005,'CONFIGURAÇÕES'!$B$18)</f>
        <v/>
      </c>
      <c r="D54" s="23">
        <f>IF(SUM($C$49:$C$97)=0,"",$C54/SUM($C$49:$C$97))</f>
        <v/>
      </c>
      <c r="E54" s="25" t="inlineStr">
        <is>
          <t>Receitas Financeiras</t>
        </is>
      </c>
    </row>
    <row r="55">
      <c r="A55" s="9" t="inlineStr">
        <is>
          <t>Devoluções e Cancelamentos de Vendas</t>
        </is>
      </c>
      <c r="B55" s="17" t="inlineStr">
        <is>
          <t>RECEITAS</t>
        </is>
      </c>
      <c r="C55" s="18">
        <f>SUMIFS('LANÇAMENTOS'!$AE$6:$AE$2005,'LANÇAMENTOS'!$G$6:$G$2005,$A55,'LANÇAMENTOS'!$AA$6:$AA$2005,'CONFIGURAÇÕES'!$B$18)</f>
        <v/>
      </c>
      <c r="D55" s="23">
        <f>IF(SUM($C$49:$C$97)=0,"",$C55/SUM($C$49:$C$97))</f>
        <v/>
      </c>
      <c r="E55" s="25" t="inlineStr">
        <is>
          <t>Devoluções</t>
        </is>
      </c>
    </row>
    <row r="56">
      <c r="A56" s="9" t="inlineStr">
        <is>
          <t>Matéria-prima</t>
        </is>
      </c>
      <c r="B56" s="17" t="inlineStr">
        <is>
          <t>CUSTOS</t>
        </is>
      </c>
      <c r="C56" s="18">
        <f>SUMIFS('LANÇAMENTOS'!$AE$6:$AE$2005,'LANÇAMENTOS'!$G$6:$G$2005,$A56,'LANÇAMENTOS'!$AA$6:$AA$2005,'CONFIGURAÇÕES'!$B$18)</f>
        <v/>
      </c>
      <c r="D56" s="23">
        <f>IF(SUM($C$49:$C$97)=0,"",$C56/SUM($C$49:$C$97))</f>
        <v/>
      </c>
      <c r="E56" s="25" t="inlineStr">
        <is>
          <t>Custos Variáveis</t>
        </is>
      </c>
    </row>
    <row r="57">
      <c r="A57" s="9" t="inlineStr">
        <is>
          <t>Mercadorias para Revenda</t>
        </is>
      </c>
      <c r="B57" s="17" t="inlineStr">
        <is>
          <t>CUSTOS</t>
        </is>
      </c>
      <c r="C57" s="18">
        <f>SUMIFS('LANÇAMENTOS'!$AE$6:$AE$2005,'LANÇAMENTOS'!$G$6:$G$2005,$A57,'LANÇAMENTOS'!$AA$6:$AA$2005,'CONFIGURAÇÕES'!$B$18)</f>
        <v/>
      </c>
      <c r="D57" s="23">
        <f>IF(SUM($C$49:$C$97)=0,"",$C57/SUM($C$49:$C$97))</f>
        <v/>
      </c>
      <c r="E57" s="25" t="inlineStr">
        <is>
          <t>Custos Variáveis</t>
        </is>
      </c>
    </row>
    <row r="58">
      <c r="A58" s="9" t="inlineStr">
        <is>
          <t>Embalagens</t>
        </is>
      </c>
      <c r="B58" s="17" t="inlineStr">
        <is>
          <t>CUSTOS</t>
        </is>
      </c>
      <c r="C58" s="18">
        <f>SUMIFS('LANÇAMENTOS'!$AE$6:$AE$2005,'LANÇAMENTOS'!$G$6:$G$2005,$A58,'LANÇAMENTOS'!$AA$6:$AA$2005,'CONFIGURAÇÕES'!$B$18)</f>
        <v/>
      </c>
      <c r="D58" s="23">
        <f>IF(SUM($C$49:$C$97)=0,"",$C58/SUM($C$49:$C$97))</f>
        <v/>
      </c>
      <c r="E58" s="25" t="inlineStr">
        <is>
          <t>Custos Variáveis</t>
        </is>
      </c>
    </row>
    <row r="59">
      <c r="A59" s="9" t="inlineStr">
        <is>
          <t>Fretes e Entregas sobre Vendas</t>
        </is>
      </c>
      <c r="B59" s="17" t="inlineStr">
        <is>
          <t>CUSTOS</t>
        </is>
      </c>
      <c r="C59" s="18">
        <f>SUMIFS('LANÇAMENTOS'!$AE$6:$AE$2005,'LANÇAMENTOS'!$G$6:$G$2005,$A59,'LANÇAMENTOS'!$AA$6:$AA$2005,'CONFIGURAÇÕES'!$B$18)</f>
        <v/>
      </c>
      <c r="D59" s="23">
        <f>IF(SUM($C$49:$C$97)=0,"",$C59/SUM($C$49:$C$97))</f>
        <v/>
      </c>
      <c r="E59" s="25" t="inlineStr">
        <is>
          <t>Custos Variáveis</t>
        </is>
      </c>
    </row>
    <row r="60">
      <c r="A60" s="9" t="inlineStr">
        <is>
          <t>Comissões sobre Vendas</t>
        </is>
      </c>
      <c r="B60" s="17" t="inlineStr">
        <is>
          <t>CUSTOS</t>
        </is>
      </c>
      <c r="C60" s="18">
        <f>SUMIFS('LANÇAMENTOS'!$AE$6:$AE$2005,'LANÇAMENTOS'!$G$6:$G$2005,$A60,'LANÇAMENTOS'!$AA$6:$AA$2005,'CONFIGURAÇÕES'!$B$18)</f>
        <v/>
      </c>
      <c r="D60" s="23">
        <f>IF(SUM($C$49:$C$97)=0,"",$C60/SUM($C$49:$C$97))</f>
        <v/>
      </c>
      <c r="E60" s="25" t="inlineStr">
        <is>
          <t>Custos Variáveis</t>
        </is>
      </c>
    </row>
    <row r="61">
      <c r="A61" s="9" t="inlineStr">
        <is>
          <t>Taxas de Marketplace</t>
        </is>
      </c>
      <c r="B61" s="17" t="inlineStr">
        <is>
          <t>CUSTOS</t>
        </is>
      </c>
      <c r="C61" s="18">
        <f>SUMIFS('LANÇAMENTOS'!$AE$6:$AE$2005,'LANÇAMENTOS'!$G$6:$G$2005,$A61,'LANÇAMENTOS'!$AA$6:$AA$2005,'CONFIGURAÇÕES'!$B$18)</f>
        <v/>
      </c>
      <c r="D61" s="23">
        <f>IF(SUM($C$49:$C$97)=0,"",$C61/SUM($C$49:$C$97))</f>
        <v/>
      </c>
      <c r="E61" s="25" t="inlineStr">
        <is>
          <t>Custos Variáveis</t>
        </is>
      </c>
    </row>
    <row r="62">
      <c r="A62" s="9" t="inlineStr">
        <is>
          <t>Taxas de Cartão e Maquininha</t>
        </is>
      </c>
      <c r="B62" s="17" t="inlineStr">
        <is>
          <t>CUSTOS</t>
        </is>
      </c>
      <c r="C62" s="18">
        <f>SUMIFS('LANÇAMENTOS'!$AE$6:$AE$2005,'LANÇAMENTOS'!$G$6:$G$2005,$A62,'LANÇAMENTOS'!$AA$6:$AA$2005,'CONFIGURAÇÕES'!$B$18)</f>
        <v/>
      </c>
      <c r="D62" s="23">
        <f>IF(SUM($C$49:$C$97)=0,"",$C62/SUM($C$49:$C$97))</f>
        <v/>
      </c>
      <c r="E62" s="25" t="inlineStr">
        <is>
          <t>Custos Variáveis</t>
        </is>
      </c>
    </row>
    <row r="63">
      <c r="A63" s="9" t="inlineStr">
        <is>
          <t>Outros Custos Diretos</t>
        </is>
      </c>
      <c r="B63" s="17" t="inlineStr">
        <is>
          <t>CUSTOS</t>
        </is>
      </c>
      <c r="C63" s="18">
        <f>SUMIFS('LANÇAMENTOS'!$AE$6:$AE$2005,'LANÇAMENTOS'!$G$6:$G$2005,$A63,'LANÇAMENTOS'!$AA$6:$AA$2005,'CONFIGURAÇÕES'!$B$18)</f>
        <v/>
      </c>
      <c r="D63" s="23">
        <f>IF(SUM($C$49:$C$97)=0,"",$C63/SUM($C$49:$C$97))</f>
        <v/>
      </c>
      <c r="E63" s="25" t="inlineStr">
        <is>
          <t>Custos Variáveis</t>
        </is>
      </c>
    </row>
    <row r="64">
      <c r="A64" s="9" t="inlineStr">
        <is>
          <t>Aluguel</t>
        </is>
      </c>
      <c r="B64" s="17" t="inlineStr">
        <is>
          <t>DESPESAS OPERACIONAIS</t>
        </is>
      </c>
      <c r="C64" s="18">
        <f>SUMIFS('LANÇAMENTOS'!$AE$6:$AE$2005,'LANÇAMENTOS'!$G$6:$G$2005,$A64,'LANÇAMENTOS'!$AA$6:$AA$2005,'CONFIGURAÇÕES'!$B$18)</f>
        <v/>
      </c>
      <c r="D64" s="23">
        <f>IF(SUM($C$49:$C$97)=0,"",$C64/SUM($C$49:$C$97))</f>
        <v/>
      </c>
      <c r="E64" s="25" t="inlineStr">
        <is>
          <t>Despesas Fixas</t>
        </is>
      </c>
    </row>
    <row r="65">
      <c r="A65" s="9" t="inlineStr">
        <is>
          <t>Energia Elétrica</t>
        </is>
      </c>
      <c r="B65" s="17" t="inlineStr">
        <is>
          <t>DESPESAS OPERACIONAIS</t>
        </is>
      </c>
      <c r="C65" s="18">
        <f>SUMIFS('LANÇAMENTOS'!$AE$6:$AE$2005,'LANÇAMENTOS'!$G$6:$G$2005,$A65,'LANÇAMENTOS'!$AA$6:$AA$2005,'CONFIGURAÇÕES'!$B$18)</f>
        <v/>
      </c>
      <c r="D65" s="23">
        <f>IF(SUM($C$49:$C$97)=0,"",$C65/SUM($C$49:$C$97))</f>
        <v/>
      </c>
      <c r="E65" s="25" t="inlineStr">
        <is>
          <t>Despesas Fixas</t>
        </is>
      </c>
    </row>
    <row r="66">
      <c r="A66" s="9" t="inlineStr">
        <is>
          <t>Água e Saneamento</t>
        </is>
      </c>
      <c r="B66" s="17" t="inlineStr">
        <is>
          <t>DESPESAS OPERACIONAIS</t>
        </is>
      </c>
      <c r="C66" s="18">
        <f>SUMIFS('LANÇAMENTOS'!$AE$6:$AE$2005,'LANÇAMENTOS'!$G$6:$G$2005,$A66,'LANÇAMENTOS'!$AA$6:$AA$2005,'CONFIGURAÇÕES'!$B$18)</f>
        <v/>
      </c>
      <c r="D66" s="23">
        <f>IF(SUM($C$49:$C$97)=0,"",$C66/SUM($C$49:$C$97))</f>
        <v/>
      </c>
      <c r="E66" s="25" t="inlineStr">
        <is>
          <t>Despesas Fixas</t>
        </is>
      </c>
    </row>
    <row r="67">
      <c r="A67" s="9" t="inlineStr">
        <is>
          <t>Internet e Telefonia</t>
        </is>
      </c>
      <c r="B67" s="17" t="inlineStr">
        <is>
          <t>DESPESAS OPERACIONAIS</t>
        </is>
      </c>
      <c r="C67" s="18">
        <f>SUMIFS('LANÇAMENTOS'!$AE$6:$AE$2005,'LANÇAMENTOS'!$G$6:$G$2005,$A67,'LANÇAMENTOS'!$AA$6:$AA$2005,'CONFIGURAÇÕES'!$B$18)</f>
        <v/>
      </c>
      <c r="D67" s="23">
        <f>IF(SUM($C$49:$C$97)=0,"",$C67/SUM($C$49:$C$97))</f>
        <v/>
      </c>
      <c r="E67" s="25" t="inlineStr">
        <is>
          <t>Despesas Fixas</t>
        </is>
      </c>
    </row>
    <row r="68">
      <c r="A68" s="9" t="inlineStr">
        <is>
          <t>Contabilidade</t>
        </is>
      </c>
      <c r="B68" s="17" t="inlineStr">
        <is>
          <t>DESPESAS OPERACIONAIS</t>
        </is>
      </c>
      <c r="C68" s="18">
        <f>SUMIFS('LANÇAMENTOS'!$AE$6:$AE$2005,'LANÇAMENTOS'!$G$6:$G$2005,$A68,'LANÇAMENTOS'!$AA$6:$AA$2005,'CONFIGURAÇÕES'!$B$18)</f>
        <v/>
      </c>
      <c r="D68" s="23">
        <f>IF(SUM($C$49:$C$97)=0,"",$C68/SUM($C$49:$C$97))</f>
        <v/>
      </c>
      <c r="E68" s="25" t="inlineStr">
        <is>
          <t>Despesas Fixas</t>
        </is>
      </c>
    </row>
    <row r="69">
      <c r="A69" s="9" t="inlineStr">
        <is>
          <t>Sistemas e Softwares</t>
        </is>
      </c>
      <c r="B69" s="17" t="inlineStr">
        <is>
          <t>DESPESAS OPERACIONAIS</t>
        </is>
      </c>
      <c r="C69" s="18">
        <f>SUMIFS('LANÇAMENTOS'!$AE$6:$AE$2005,'LANÇAMENTOS'!$G$6:$G$2005,$A69,'LANÇAMENTOS'!$AA$6:$AA$2005,'CONFIGURAÇÕES'!$B$18)</f>
        <v/>
      </c>
      <c r="D69" s="23">
        <f>IF(SUM($C$49:$C$97)=0,"",$C69/SUM($C$49:$C$97))</f>
        <v/>
      </c>
      <c r="E69" s="25" t="inlineStr">
        <is>
          <t>Despesas Fixas</t>
        </is>
      </c>
    </row>
    <row r="70">
      <c r="A70" s="9" t="inlineStr">
        <is>
          <t>Material de Escritório</t>
        </is>
      </c>
      <c r="B70" s="17" t="inlineStr">
        <is>
          <t>DESPESAS OPERACIONAIS</t>
        </is>
      </c>
      <c r="C70" s="18">
        <f>SUMIFS('LANÇAMENTOS'!$AE$6:$AE$2005,'LANÇAMENTOS'!$G$6:$G$2005,$A70,'LANÇAMENTOS'!$AA$6:$AA$2005,'CONFIGURAÇÕES'!$B$18)</f>
        <v/>
      </c>
      <c r="D70" s="23">
        <f>IF(SUM($C$49:$C$97)=0,"",$C70/SUM($C$49:$C$97))</f>
        <v/>
      </c>
      <c r="E70" s="25" t="inlineStr">
        <is>
          <t>Despesas Fixas</t>
        </is>
      </c>
    </row>
    <row r="71">
      <c r="A71" s="9" t="inlineStr">
        <is>
          <t>Manutenção e Conservação</t>
        </is>
      </c>
      <c r="B71" s="17" t="inlineStr">
        <is>
          <t>DESPESAS OPERACIONAIS</t>
        </is>
      </c>
      <c r="C71" s="18">
        <f>SUMIFS('LANÇAMENTOS'!$AE$6:$AE$2005,'LANÇAMENTOS'!$G$6:$G$2005,$A71,'LANÇAMENTOS'!$AA$6:$AA$2005,'CONFIGURAÇÕES'!$B$18)</f>
        <v/>
      </c>
      <c r="D71" s="23">
        <f>IF(SUM($C$49:$C$97)=0,"",$C71/SUM($C$49:$C$97))</f>
        <v/>
      </c>
      <c r="E71" s="25" t="inlineStr">
        <is>
          <t>Despesas Fixas</t>
        </is>
      </c>
    </row>
    <row r="72">
      <c r="A72" s="9" t="inlineStr">
        <is>
          <t>Seguros</t>
        </is>
      </c>
      <c r="B72" s="17" t="inlineStr">
        <is>
          <t>DESPESAS OPERACIONAIS</t>
        </is>
      </c>
      <c r="C72" s="18">
        <f>SUMIFS('LANÇAMENTOS'!$AE$6:$AE$2005,'LANÇAMENTOS'!$G$6:$G$2005,$A72,'LANÇAMENTOS'!$AA$6:$AA$2005,'CONFIGURAÇÕES'!$B$18)</f>
        <v/>
      </c>
      <c r="D72" s="23">
        <f>IF(SUM($C$49:$C$97)=0,"",$C72/SUM($C$49:$C$97))</f>
        <v/>
      </c>
      <c r="E72" s="25" t="inlineStr">
        <is>
          <t>Despesas Fixas</t>
        </is>
      </c>
    </row>
    <row r="73">
      <c r="A73" s="9" t="inlineStr">
        <is>
          <t>Despesas Legais e Jurídicas</t>
        </is>
      </c>
      <c r="B73" s="17" t="inlineStr">
        <is>
          <t>DESPESAS OPERACIONAIS</t>
        </is>
      </c>
      <c r="C73" s="18">
        <f>SUMIFS('LANÇAMENTOS'!$AE$6:$AE$2005,'LANÇAMENTOS'!$G$6:$G$2005,$A73,'LANÇAMENTOS'!$AA$6:$AA$2005,'CONFIGURAÇÕES'!$B$18)</f>
        <v/>
      </c>
      <c r="D73" s="23">
        <f>IF(SUM($C$49:$C$97)=0,"",$C73/SUM($C$49:$C$97))</f>
        <v/>
      </c>
      <c r="E73" s="25" t="inlineStr">
        <is>
          <t>Despesas Fixas</t>
        </is>
      </c>
    </row>
    <row r="74">
      <c r="A74" s="9" t="inlineStr">
        <is>
          <t>Outras Despesas Administrativas</t>
        </is>
      </c>
      <c r="B74" s="17" t="inlineStr">
        <is>
          <t>DESPESAS OPERACIONAIS</t>
        </is>
      </c>
      <c r="C74" s="18">
        <f>SUMIFS('LANÇAMENTOS'!$AE$6:$AE$2005,'LANÇAMENTOS'!$G$6:$G$2005,$A74,'LANÇAMENTOS'!$AA$6:$AA$2005,'CONFIGURAÇÕES'!$B$18)</f>
        <v/>
      </c>
      <c r="D74" s="23">
        <f>IF(SUM($C$49:$C$97)=0,"",$C74/SUM($C$49:$C$97))</f>
        <v/>
      </c>
      <c r="E74" s="25" t="inlineStr">
        <is>
          <t>Despesas Fixas</t>
        </is>
      </c>
    </row>
    <row r="75">
      <c r="A75" s="9" t="inlineStr">
        <is>
          <t>Salários</t>
        </is>
      </c>
      <c r="B75" s="17" t="inlineStr">
        <is>
          <t>DESPESAS OPERACIONAIS</t>
        </is>
      </c>
      <c r="C75" s="18">
        <f>SUMIFS('LANÇAMENTOS'!$AE$6:$AE$2005,'LANÇAMENTOS'!$G$6:$G$2005,$A75,'LANÇAMENTOS'!$AA$6:$AA$2005,'CONFIGURAÇÕES'!$B$18)</f>
        <v/>
      </c>
      <c r="D75" s="23">
        <f>IF(SUM($C$49:$C$97)=0,"",$C75/SUM($C$49:$C$97))</f>
        <v/>
      </c>
      <c r="E75" s="25" t="inlineStr">
        <is>
          <t>Despesas Fixas</t>
        </is>
      </c>
    </row>
    <row r="76">
      <c r="A76" s="9" t="inlineStr">
        <is>
          <t>Encargos Sociais (FGTS/INSS)</t>
        </is>
      </c>
      <c r="B76" s="17" t="inlineStr">
        <is>
          <t>DESPESAS OPERACIONAIS</t>
        </is>
      </c>
      <c r="C76" s="18">
        <f>SUMIFS('LANÇAMENTOS'!$AE$6:$AE$2005,'LANÇAMENTOS'!$G$6:$G$2005,$A76,'LANÇAMENTOS'!$AA$6:$AA$2005,'CONFIGURAÇÕES'!$B$18)</f>
        <v/>
      </c>
      <c r="D76" s="23">
        <f>IF(SUM($C$49:$C$97)=0,"",$C76/SUM($C$49:$C$97))</f>
        <v/>
      </c>
      <c r="E76" s="25" t="inlineStr">
        <is>
          <t>Despesas Fixas</t>
        </is>
      </c>
    </row>
    <row r="77">
      <c r="A77" s="9" t="inlineStr">
        <is>
          <t>Benefícios (VT/VA/Plano de Saúde)</t>
        </is>
      </c>
      <c r="B77" s="17" t="inlineStr">
        <is>
          <t>DESPESAS OPERACIONAIS</t>
        </is>
      </c>
      <c r="C77" s="18">
        <f>SUMIFS('LANÇAMENTOS'!$AE$6:$AE$2005,'LANÇAMENTOS'!$G$6:$G$2005,$A77,'LANÇAMENTOS'!$AA$6:$AA$2005,'CONFIGURAÇÕES'!$B$18)</f>
        <v/>
      </c>
      <c r="D77" s="23">
        <f>IF(SUM($C$49:$C$97)=0,"",$C77/SUM($C$49:$C$97))</f>
        <v/>
      </c>
      <c r="E77" s="25" t="inlineStr">
        <is>
          <t>Despesas Fixas</t>
        </is>
      </c>
    </row>
    <row r="78">
      <c r="A78" s="9" t="inlineStr">
        <is>
          <t>Pró-labore</t>
        </is>
      </c>
      <c r="B78" s="17" t="inlineStr">
        <is>
          <t>DESPESAS OPERACIONAIS</t>
        </is>
      </c>
      <c r="C78" s="18">
        <f>SUMIFS('LANÇAMENTOS'!$AE$6:$AE$2005,'LANÇAMENTOS'!$G$6:$G$2005,$A78,'LANÇAMENTOS'!$AA$6:$AA$2005,'CONFIGURAÇÕES'!$B$18)</f>
        <v/>
      </c>
      <c r="D78" s="23">
        <f>IF(SUM($C$49:$C$97)=0,"",$C78/SUM($C$49:$C$97))</f>
        <v/>
      </c>
      <c r="E78" s="25" t="inlineStr">
        <is>
          <t>Despesas Fixas</t>
        </is>
      </c>
    </row>
    <row r="79">
      <c r="A79" s="9" t="inlineStr">
        <is>
          <t>Treinamentos e Capacitação</t>
        </is>
      </c>
      <c r="B79" s="17" t="inlineStr">
        <is>
          <t>DESPESAS OPERACIONAIS</t>
        </is>
      </c>
      <c r="C79" s="18">
        <f>SUMIFS('LANÇAMENTOS'!$AE$6:$AE$2005,'LANÇAMENTOS'!$G$6:$G$2005,$A79,'LANÇAMENTOS'!$AA$6:$AA$2005,'CONFIGURAÇÕES'!$B$18)</f>
        <v/>
      </c>
      <c r="D79" s="23">
        <f>IF(SUM($C$49:$C$97)=0,"",$C79/SUM($C$49:$C$97))</f>
        <v/>
      </c>
      <c r="E79" s="25" t="inlineStr">
        <is>
          <t>Despesas Fixas</t>
        </is>
      </c>
    </row>
    <row r="80">
      <c r="A80" s="9" t="inlineStr">
        <is>
          <t>Serviços Terceirizados (PJ)</t>
        </is>
      </c>
      <c r="B80" s="17" t="inlineStr">
        <is>
          <t>DESPESAS OPERACIONAIS</t>
        </is>
      </c>
      <c r="C80" s="18">
        <f>SUMIFS('LANÇAMENTOS'!$AE$6:$AE$2005,'LANÇAMENTOS'!$G$6:$G$2005,$A80,'LANÇAMENTOS'!$AA$6:$AA$2005,'CONFIGURAÇÕES'!$B$18)</f>
        <v/>
      </c>
      <c r="D80" s="23">
        <f>IF(SUM($C$49:$C$97)=0,"",$C80/SUM($C$49:$C$97))</f>
        <v/>
      </c>
      <c r="E80" s="25" t="inlineStr">
        <is>
          <t>Despesas Fixas</t>
        </is>
      </c>
    </row>
    <row r="81">
      <c r="A81" s="9" t="inlineStr">
        <is>
          <t>Marketing Digital</t>
        </is>
      </c>
      <c r="B81" s="17" t="inlineStr">
        <is>
          <t>DESPESAS OPERACIONAIS</t>
        </is>
      </c>
      <c r="C81" s="18">
        <f>SUMIFS('LANÇAMENTOS'!$AE$6:$AE$2005,'LANÇAMENTOS'!$G$6:$G$2005,$A81,'LANÇAMENTOS'!$AA$6:$AA$2005,'CONFIGURAÇÕES'!$B$18)</f>
        <v/>
      </c>
      <c r="D81" s="23">
        <f>IF(SUM($C$49:$C$97)=0,"",$C81/SUM($C$49:$C$97))</f>
        <v/>
      </c>
      <c r="E81" s="25" t="inlineStr">
        <is>
          <t>Despesas Fixas</t>
        </is>
      </c>
    </row>
    <row r="82">
      <c r="A82" s="9" t="inlineStr">
        <is>
          <t>Publicidade e Anúncios</t>
        </is>
      </c>
      <c r="B82" s="17" t="inlineStr">
        <is>
          <t>DESPESAS OPERACIONAIS</t>
        </is>
      </c>
      <c r="C82" s="18">
        <f>SUMIFS('LANÇAMENTOS'!$AE$6:$AE$2005,'LANÇAMENTOS'!$G$6:$G$2005,$A82,'LANÇAMENTOS'!$AA$6:$AA$2005,'CONFIGURAÇÕES'!$B$18)</f>
        <v/>
      </c>
      <c r="D82" s="23">
        <f>IF(SUM($C$49:$C$97)=0,"",$C82/SUM($C$49:$C$97))</f>
        <v/>
      </c>
      <c r="E82" s="25" t="inlineStr">
        <is>
          <t>Despesas Fixas</t>
        </is>
      </c>
    </row>
    <row r="83">
      <c r="A83" s="9" t="inlineStr">
        <is>
          <t>Eventos e Feiras</t>
        </is>
      </c>
      <c r="B83" s="17" t="inlineStr">
        <is>
          <t>DESPESAS OPERACIONAIS</t>
        </is>
      </c>
      <c r="C83" s="18">
        <f>SUMIFS('LANÇAMENTOS'!$AE$6:$AE$2005,'LANÇAMENTOS'!$G$6:$G$2005,$A83,'LANÇAMENTOS'!$AA$6:$AA$2005,'CONFIGURAÇÕES'!$B$18)</f>
        <v/>
      </c>
      <c r="D83" s="23">
        <f>IF(SUM($C$49:$C$97)=0,"",$C83/SUM($C$49:$C$97))</f>
        <v/>
      </c>
      <c r="E83" s="25" t="inlineStr">
        <is>
          <t>Despesas Fixas</t>
        </is>
      </c>
    </row>
    <row r="84">
      <c r="A84" s="9" t="inlineStr">
        <is>
          <t>Viagens Comerciais</t>
        </is>
      </c>
      <c r="B84" s="17" t="inlineStr">
        <is>
          <t>DESPESAS OPERACIONAIS</t>
        </is>
      </c>
      <c r="C84" s="18">
        <f>SUMIFS('LANÇAMENTOS'!$AE$6:$AE$2005,'LANÇAMENTOS'!$G$6:$G$2005,$A84,'LANÇAMENTOS'!$AA$6:$AA$2005,'CONFIGURAÇÕES'!$B$18)</f>
        <v/>
      </c>
      <c r="D84" s="23">
        <f>IF(SUM($C$49:$C$97)=0,"",$C84/SUM($C$49:$C$97))</f>
        <v/>
      </c>
      <c r="E84" s="25" t="inlineStr">
        <is>
          <t>Despesas Fixas</t>
        </is>
      </c>
    </row>
    <row r="85">
      <c r="A85" s="9" t="inlineStr">
        <is>
          <t>Brindes e Material de Divulgação</t>
        </is>
      </c>
      <c r="B85" s="17" t="inlineStr">
        <is>
          <t>DESPESAS OPERACIONAIS</t>
        </is>
      </c>
      <c r="C85" s="18">
        <f>SUMIFS('LANÇAMENTOS'!$AE$6:$AE$2005,'LANÇAMENTOS'!$G$6:$G$2005,$A85,'LANÇAMENTOS'!$AA$6:$AA$2005,'CONFIGURAÇÕES'!$B$18)</f>
        <v/>
      </c>
      <c r="D85" s="23">
        <f>IF(SUM($C$49:$C$97)=0,"",$C85/SUM($C$49:$C$97))</f>
        <v/>
      </c>
      <c r="E85" s="25" t="inlineStr">
        <is>
          <t>Despesas Fixas</t>
        </is>
      </c>
    </row>
    <row r="86">
      <c r="A86" s="9" t="inlineStr">
        <is>
          <t>Juros de Empréstimos e Financiamentos</t>
        </is>
      </c>
      <c r="B86" s="17" t="inlineStr">
        <is>
          <t>DESPESAS OPERACIONAIS</t>
        </is>
      </c>
      <c r="C86" s="18">
        <f>SUMIFS('LANÇAMENTOS'!$AE$6:$AE$2005,'LANÇAMENTOS'!$G$6:$G$2005,$A86,'LANÇAMENTOS'!$AA$6:$AA$2005,'CONFIGURAÇÕES'!$B$18)</f>
        <v/>
      </c>
      <c r="D86" s="23">
        <f>IF(SUM($C$49:$C$97)=0,"",$C86/SUM($C$49:$C$97))</f>
        <v/>
      </c>
      <c r="E86" s="25" t="inlineStr">
        <is>
          <t>Despesas Financeiras</t>
        </is>
      </c>
    </row>
    <row r="87">
      <c r="A87" s="9" t="inlineStr">
        <is>
          <t>Tarifas Bancárias</t>
        </is>
      </c>
      <c r="B87" s="17" t="inlineStr">
        <is>
          <t>DESPESAS OPERACIONAIS</t>
        </is>
      </c>
      <c r="C87" s="18">
        <f>SUMIFS('LANÇAMENTOS'!$AE$6:$AE$2005,'LANÇAMENTOS'!$G$6:$G$2005,$A87,'LANÇAMENTOS'!$AA$6:$AA$2005,'CONFIGURAÇÕES'!$B$18)</f>
        <v/>
      </c>
      <c r="D87" s="23">
        <f>IF(SUM($C$49:$C$97)=0,"",$C87/SUM($C$49:$C$97))</f>
        <v/>
      </c>
      <c r="E87" s="25" t="inlineStr">
        <is>
          <t>Despesas Financeiras</t>
        </is>
      </c>
    </row>
    <row r="88">
      <c r="A88" s="9" t="inlineStr">
        <is>
          <t>IOF</t>
        </is>
      </c>
      <c r="B88" s="17" t="inlineStr">
        <is>
          <t>DESPESAS OPERACIONAIS</t>
        </is>
      </c>
      <c r="C88" s="18">
        <f>SUMIFS('LANÇAMENTOS'!$AE$6:$AE$2005,'LANÇAMENTOS'!$G$6:$G$2005,$A88,'LANÇAMENTOS'!$AA$6:$AA$2005,'CONFIGURAÇÕES'!$B$18)</f>
        <v/>
      </c>
      <c r="D88" s="23">
        <f>IF(SUM($C$49:$C$97)=0,"",$C88/SUM($C$49:$C$97))</f>
        <v/>
      </c>
      <c r="E88" s="25" t="inlineStr">
        <is>
          <t>Despesas Financeiras</t>
        </is>
      </c>
    </row>
    <row r="89">
      <c r="A89" s="9" t="inlineStr">
        <is>
          <t>Multas e Penalidades</t>
        </is>
      </c>
      <c r="B89" s="17" t="inlineStr">
        <is>
          <t>DESPESAS OPERACIONAIS</t>
        </is>
      </c>
      <c r="C89" s="18">
        <f>SUMIFS('LANÇAMENTOS'!$AE$6:$AE$2005,'LANÇAMENTOS'!$G$6:$G$2005,$A89,'LANÇAMENTOS'!$AA$6:$AA$2005,'CONFIGURAÇÕES'!$B$18)</f>
        <v/>
      </c>
      <c r="D89" s="23">
        <f>IF(SUM($C$49:$C$97)=0,"",$C89/SUM($C$49:$C$97))</f>
        <v/>
      </c>
      <c r="E89" s="25" t="inlineStr">
        <is>
          <t>Despesas Financeiras</t>
        </is>
      </c>
    </row>
    <row r="90">
      <c r="A90" s="9" t="inlineStr">
        <is>
          <t>Encargos por Atraso</t>
        </is>
      </c>
      <c r="B90" s="17" t="inlineStr">
        <is>
          <t>DESPESAS OPERACIONAIS</t>
        </is>
      </c>
      <c r="C90" s="18">
        <f>SUMIFS('LANÇAMENTOS'!$AE$6:$AE$2005,'LANÇAMENTOS'!$G$6:$G$2005,$A90,'LANÇAMENTOS'!$AA$6:$AA$2005,'CONFIGURAÇÕES'!$B$18)</f>
        <v/>
      </c>
      <c r="D90" s="23">
        <f>IF(SUM($C$49:$C$97)=0,"",$C90/SUM($C$49:$C$97))</f>
        <v/>
      </c>
      <c r="E90" s="25" t="inlineStr">
        <is>
          <t>Despesas Financeiras</t>
        </is>
      </c>
    </row>
    <row r="91">
      <c r="A91" s="9" t="inlineStr">
        <is>
          <t>Juros de Antecipação de Recebíveis</t>
        </is>
      </c>
      <c r="B91" s="17" t="inlineStr">
        <is>
          <t>DESPESAS OPERACIONAIS</t>
        </is>
      </c>
      <c r="C91" s="18">
        <f>SUMIFS('LANÇAMENTOS'!$AE$6:$AE$2005,'LANÇAMENTOS'!$G$6:$G$2005,$A91,'LANÇAMENTOS'!$AA$6:$AA$2005,'CONFIGURAÇÕES'!$B$18)</f>
        <v/>
      </c>
      <c r="D91" s="23">
        <f>IF(SUM($C$49:$C$97)=0,"",$C91/SUM($C$49:$C$97))</f>
        <v/>
      </c>
      <c r="E91" s="25" t="inlineStr">
        <is>
          <t>Despesas Financeiras</t>
        </is>
      </c>
    </row>
    <row r="92">
      <c r="A92" s="9" t="inlineStr">
        <is>
          <t>Simples Nacional</t>
        </is>
      </c>
      <c r="B92" s="17" t="inlineStr">
        <is>
          <t>DESPESAS OPERACIONAIS</t>
        </is>
      </c>
      <c r="C92" s="18">
        <f>SUMIFS('LANÇAMENTOS'!$AE$6:$AE$2005,'LANÇAMENTOS'!$G$6:$G$2005,$A92,'LANÇAMENTOS'!$AA$6:$AA$2005,'CONFIGURAÇÕES'!$B$18)</f>
        <v/>
      </c>
      <c r="D92" s="23">
        <f>IF(SUM($C$49:$C$97)=0,"",$C92/SUM($C$49:$C$97))</f>
        <v/>
      </c>
      <c r="E92" s="25" t="inlineStr">
        <is>
          <t>Impostos sobre Vendas</t>
        </is>
      </c>
    </row>
    <row r="93">
      <c r="A93" s="9" t="inlineStr">
        <is>
          <t>ICMS</t>
        </is>
      </c>
      <c r="B93" s="17" t="inlineStr">
        <is>
          <t>DESPESAS OPERACIONAIS</t>
        </is>
      </c>
      <c r="C93" s="18">
        <f>SUMIFS('LANÇAMENTOS'!$AE$6:$AE$2005,'LANÇAMENTOS'!$G$6:$G$2005,$A93,'LANÇAMENTOS'!$AA$6:$AA$2005,'CONFIGURAÇÕES'!$B$18)</f>
        <v/>
      </c>
      <c r="D93" s="23">
        <f>IF(SUM($C$49:$C$97)=0,"",$C93/SUM($C$49:$C$97))</f>
        <v/>
      </c>
      <c r="E93" s="25" t="inlineStr">
        <is>
          <t>Impostos sobre Vendas</t>
        </is>
      </c>
    </row>
    <row r="94">
      <c r="A94" s="9" t="inlineStr">
        <is>
          <t>ISS</t>
        </is>
      </c>
      <c r="B94" s="17" t="inlineStr">
        <is>
          <t>DESPESAS OPERACIONAIS</t>
        </is>
      </c>
      <c r="C94" s="18">
        <f>SUMIFS('LANÇAMENTOS'!$AE$6:$AE$2005,'LANÇAMENTOS'!$G$6:$G$2005,$A94,'LANÇAMENTOS'!$AA$6:$AA$2005,'CONFIGURAÇÕES'!$B$18)</f>
        <v/>
      </c>
      <c r="D94" s="23">
        <f>IF(SUM($C$49:$C$97)=0,"",$C94/SUM($C$49:$C$97))</f>
        <v/>
      </c>
      <c r="E94" s="25" t="inlineStr">
        <is>
          <t>Impostos sobre Vendas</t>
        </is>
      </c>
    </row>
    <row r="95">
      <c r="A95" s="9" t="inlineStr">
        <is>
          <t>PIS/COFINS</t>
        </is>
      </c>
      <c r="B95" s="17" t="inlineStr">
        <is>
          <t>DESPESAS OPERACIONAIS</t>
        </is>
      </c>
      <c r="C95" s="18">
        <f>SUMIFS('LANÇAMENTOS'!$AE$6:$AE$2005,'LANÇAMENTOS'!$G$6:$G$2005,$A95,'LANÇAMENTOS'!$AA$6:$AA$2005,'CONFIGURAÇÕES'!$B$18)</f>
        <v/>
      </c>
      <c r="D95" s="23">
        <f>IF(SUM($C$49:$C$97)=0,"",$C95/SUM($C$49:$C$97))</f>
        <v/>
      </c>
      <c r="E95" s="25" t="inlineStr">
        <is>
          <t>Impostos sobre Vendas</t>
        </is>
      </c>
    </row>
    <row r="96">
      <c r="A96" s="9" t="inlineStr">
        <is>
          <t>Outros Impostos e Taxas</t>
        </is>
      </c>
      <c r="B96" s="17" t="inlineStr">
        <is>
          <t>DESPESAS OPERACIONAIS</t>
        </is>
      </c>
      <c r="C96" s="18">
        <f>SUMIFS('LANÇAMENTOS'!$AE$6:$AE$2005,'LANÇAMENTOS'!$G$6:$G$2005,$A96,'LANÇAMENTOS'!$AA$6:$AA$2005,'CONFIGURAÇÕES'!$B$18)</f>
        <v/>
      </c>
      <c r="D96" s="23">
        <f>IF(SUM($C$49:$C$97)=0,"",$C96/SUM($C$49:$C$97))</f>
        <v/>
      </c>
      <c r="E96" s="25" t="inlineStr">
        <is>
          <t>Impostos sobre Vendas</t>
        </is>
      </c>
    </row>
    <row r="97">
      <c r="A97" s="9" t="inlineStr">
        <is>
          <t>IRPJ e CSLL</t>
        </is>
      </c>
      <c r="B97" s="17" t="inlineStr">
        <is>
          <t>DESPESAS OPERACIONAIS</t>
        </is>
      </c>
      <c r="C97" s="18">
        <f>SUMIFS('LANÇAMENTOS'!$AE$6:$AE$2005,'LANÇAMENTOS'!$G$6:$G$2005,$A97,'LANÇAMENTOS'!$AA$6:$AA$2005,'CONFIGURAÇÕES'!$B$18)</f>
        <v/>
      </c>
      <c r="D97" s="23">
        <f>IF(SUM($C$49:$C$97)=0,"",$C97/SUM($C$49:$C$97))</f>
        <v/>
      </c>
      <c r="E97" s="25" t="inlineStr">
        <is>
          <t>Impostos sobre o Resultado</t>
        </is>
      </c>
    </row>
    <row r="98">
      <c r="A98" s="37" t="inlineStr">
        <is>
          <t>TOTAL DE RECEITAS E DESPESAS</t>
        </is>
      </c>
      <c r="C98" s="38">
        <f>SUM($C$49:$C$97)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47:J47"/>
    <mergeCell ref="A1:J1"/>
    <mergeCell ref="A23:J23"/>
    <mergeCell ref="A5:J5"/>
    <mergeCell ref="A37:J37"/>
    <mergeCell ref="A3:P3"/>
    <mergeCell ref="A2:J2"/>
    <mergeCell ref="A28:J28"/>
  </mergeCells>
  <conditionalFormatting sqref="B30:N3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32:N32">
    <cfRule type="expression" priority="2" dxfId="2">
      <formula>=AND(B32&lt;&gt;"",B32&lt;'CONFIGURAÇÕES'!$B$24)</formula>
    </cfRule>
  </conditionalFormatting>
  <conditionalFormatting sqref="H39:H43">
    <cfRule type="dataBar" priority="3">
      <dataBar showValue="1">
        <cfvo type="num" val="0"/>
        <cfvo type="max"/>
        <color rgb="002E75B6"/>
      </dataBar>
    </cfRule>
  </conditionalFormatting>
  <conditionalFormatting sqref="C49:C97">
    <cfRule type="dataBar" priority="4">
      <dataBar showValue="1">
        <cfvo type="num" val="0"/>
        <cfvo type="max"/>
        <color rgb="002E75B6"/>
      </dataBar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AH93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3" customWidth="1" min="33" max="33"/>
    <col width="26" customWidth="1" min="34" max="34"/>
  </cols>
  <sheetData>
    <row r="1" ht="24" customHeight="1">
      <c r="A1" s="26" t="inlineStr">
        <is>
          <t>ORÇAMENTO X REALIZADO — PLANEJAMENTO E CONTROLE</t>
        </is>
      </c>
    </row>
    <row r="2">
      <c r="A2" s="27" t="inlineStr">
        <is>
          <t>Defina o orçamento mensal de cada categoria (colunas amarelas). O realizado é calculado automaticamente pela competência dos lançamentos, com alertas de estouro.</t>
        </is>
      </c>
    </row>
    <row r="3" ht="30" customHeight="1">
      <c r="A3" s="3" t="inlineStr">
        <is>
          <t>Como usar: preencha o orçamento de janeiro a dezembro de cada categoria. O sistema compara com o realizado, calcula a diferença, o % consumido e emite alertas (🔴 estourou / 🟡 acima de 90% / 🟢 dentro do orçamento). ⚠ O orçamento preenchido é um exemplo.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5" ht="20" customHeight="1">
      <c r="A5" s="4" t="inlineStr">
        <is>
          <t>1. ORÇAMENTO ANUAL POR CATEGORIA (R$) — preencha as colunas C a 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40" customHeight="1">
      <c r="A6" s="34" t="inlineStr">
        <is>
          <t>Categoria</t>
        </is>
      </c>
      <c r="B6" s="34" t="inlineStr">
        <is>
          <t>Grupo</t>
        </is>
      </c>
      <c r="C6" s="34" t="inlineStr">
        <is>
          <t>Orç 01</t>
        </is>
      </c>
      <c r="D6" s="34" t="inlineStr">
        <is>
          <t>Orç 02</t>
        </is>
      </c>
      <c r="E6" s="34" t="inlineStr">
        <is>
          <t>Orç 03</t>
        </is>
      </c>
      <c r="F6" s="34" t="inlineStr">
        <is>
          <t>Orç 04</t>
        </is>
      </c>
      <c r="G6" s="34" t="inlineStr">
        <is>
          <t>Orç 05</t>
        </is>
      </c>
      <c r="H6" s="34" t="inlineStr">
        <is>
          <t>Orç 06</t>
        </is>
      </c>
      <c r="I6" s="34" t="inlineStr">
        <is>
          <t>Orç 07</t>
        </is>
      </c>
      <c r="J6" s="34" t="inlineStr">
        <is>
          <t>Orç 08</t>
        </is>
      </c>
      <c r="K6" s="34" t="inlineStr">
        <is>
          <t>Orç 09</t>
        </is>
      </c>
      <c r="L6" s="34" t="inlineStr">
        <is>
          <t>Orç 10</t>
        </is>
      </c>
      <c r="M6" s="34" t="inlineStr">
        <is>
          <t>Orç 11</t>
        </is>
      </c>
      <c r="N6" s="34" t="inlineStr">
        <is>
          <t>Orç 12</t>
        </is>
      </c>
      <c r="O6" s="34" t="inlineStr">
        <is>
          <t>Total orçado</t>
        </is>
      </c>
      <c r="P6" s="34" t="inlineStr">
        <is>
          <t>Real 01</t>
        </is>
      </c>
      <c r="Q6" s="34" t="inlineStr">
        <is>
          <t>Real 02</t>
        </is>
      </c>
      <c r="R6" s="34" t="inlineStr">
        <is>
          <t>Real 03</t>
        </is>
      </c>
      <c r="S6" s="34" t="inlineStr">
        <is>
          <t>Real 04</t>
        </is>
      </c>
      <c r="T6" s="34" t="inlineStr">
        <is>
          <t>Real 05</t>
        </is>
      </c>
      <c r="U6" s="34" t="inlineStr">
        <is>
          <t>Real 06</t>
        </is>
      </c>
      <c r="V6" s="34" t="inlineStr">
        <is>
          <t>Real 07</t>
        </is>
      </c>
      <c r="W6" s="34" t="inlineStr">
        <is>
          <t>Real 08</t>
        </is>
      </c>
      <c r="X6" s="34" t="inlineStr">
        <is>
          <t>Real 09</t>
        </is>
      </c>
      <c r="Y6" s="34" t="inlineStr">
        <is>
          <t>Real 10</t>
        </is>
      </c>
      <c r="Z6" s="34" t="inlineStr">
        <is>
          <t>Real 11</t>
        </is>
      </c>
      <c r="AA6" s="34" t="inlineStr">
        <is>
          <t>Real 12</t>
        </is>
      </c>
      <c r="AB6" s="34" t="inlineStr">
        <is>
          <t>Total realizado</t>
        </is>
      </c>
      <c r="AC6" s="34" t="inlineStr">
        <is>
          <t>Diferença</t>
        </is>
      </c>
      <c r="AD6" s="34" t="inlineStr">
        <is>
          <t>% realizado</t>
        </is>
      </c>
      <c r="AE6" s="34" t="inlineStr">
        <is>
          <t>Status do orçamento</t>
        </is>
      </c>
    </row>
    <row r="7">
      <c r="A7" s="9" t="inlineStr">
        <is>
          <t>Vendas de Produtos</t>
        </is>
      </c>
      <c r="B7" s="17" t="inlineStr">
        <is>
          <t>RECEITAS</t>
        </is>
      </c>
      <c r="C7" s="31" t="n">
        <v>192000</v>
      </c>
      <c r="D7" s="31" t="n">
        <v>184000</v>
      </c>
      <c r="E7" s="31" t="n">
        <v>198000</v>
      </c>
      <c r="F7" s="31" t="n">
        <v>192000</v>
      </c>
      <c r="G7" s="31" t="n">
        <v>204000</v>
      </c>
      <c r="H7" s="31" t="n">
        <v>198000</v>
      </c>
      <c r="I7" s="31" t="n">
        <v>210000</v>
      </c>
      <c r="J7" s="31" t="n">
        <v>218000</v>
      </c>
      <c r="K7" s="31" t="n">
        <v>212000</v>
      </c>
      <c r="L7" s="31" t="n">
        <v>216000</v>
      </c>
      <c r="M7" s="31" t="n">
        <v>222000</v>
      </c>
      <c r="N7" s="31" t="n">
        <v>234000</v>
      </c>
      <c r="O7" s="38">
        <f>SUM(C7:N7)</f>
        <v/>
      </c>
      <c r="P7" s="18">
        <f>SUMIFS('LANÇAMENTOS'!$AE$6:$AE$2005,'LANÇAMENTOS'!$G$6:$G$2005,$A7,'LANÇAMENTOS'!$Z$6:$Z$2005,1,'LANÇAMENTOS'!$AA$6:$AA$2005,'CONFIGURAÇÕES'!$B$18)</f>
        <v/>
      </c>
      <c r="Q7" s="18">
        <f>SUMIFS('LANÇAMENTOS'!$AE$6:$AE$2005,'LANÇAMENTOS'!$G$6:$G$2005,$A7,'LANÇAMENTOS'!$Z$6:$Z$2005,2,'LANÇAMENTOS'!$AA$6:$AA$2005,'CONFIGURAÇÕES'!$B$18)</f>
        <v/>
      </c>
      <c r="R7" s="18">
        <f>SUMIFS('LANÇAMENTOS'!$AE$6:$AE$2005,'LANÇAMENTOS'!$G$6:$G$2005,$A7,'LANÇAMENTOS'!$Z$6:$Z$2005,3,'LANÇAMENTOS'!$AA$6:$AA$2005,'CONFIGURAÇÕES'!$B$18)</f>
        <v/>
      </c>
      <c r="S7" s="18">
        <f>SUMIFS('LANÇAMENTOS'!$AE$6:$AE$2005,'LANÇAMENTOS'!$G$6:$G$2005,$A7,'LANÇAMENTOS'!$Z$6:$Z$2005,4,'LANÇAMENTOS'!$AA$6:$AA$2005,'CONFIGURAÇÕES'!$B$18)</f>
        <v/>
      </c>
      <c r="T7" s="18">
        <f>SUMIFS('LANÇAMENTOS'!$AE$6:$AE$2005,'LANÇAMENTOS'!$G$6:$G$2005,$A7,'LANÇAMENTOS'!$Z$6:$Z$2005,5,'LANÇAMENTOS'!$AA$6:$AA$2005,'CONFIGURAÇÕES'!$B$18)</f>
        <v/>
      </c>
      <c r="U7" s="18">
        <f>SUMIFS('LANÇAMENTOS'!$AE$6:$AE$2005,'LANÇAMENTOS'!$G$6:$G$2005,$A7,'LANÇAMENTOS'!$Z$6:$Z$2005,6,'LANÇAMENTOS'!$AA$6:$AA$2005,'CONFIGURAÇÕES'!$B$18)</f>
        <v/>
      </c>
      <c r="V7" s="18">
        <f>SUMIFS('LANÇAMENTOS'!$AE$6:$AE$2005,'LANÇAMENTOS'!$G$6:$G$2005,$A7,'LANÇAMENTOS'!$Z$6:$Z$2005,7,'LANÇAMENTOS'!$AA$6:$AA$2005,'CONFIGURAÇÕES'!$B$18)</f>
        <v/>
      </c>
      <c r="W7" s="18">
        <f>SUMIFS('LANÇAMENTOS'!$AE$6:$AE$2005,'LANÇAMENTOS'!$G$6:$G$2005,$A7,'LANÇAMENTOS'!$Z$6:$Z$2005,8,'LANÇAMENTOS'!$AA$6:$AA$2005,'CONFIGURAÇÕES'!$B$18)</f>
        <v/>
      </c>
      <c r="X7" s="18">
        <f>SUMIFS('LANÇAMENTOS'!$AE$6:$AE$2005,'LANÇAMENTOS'!$G$6:$G$2005,$A7,'LANÇAMENTOS'!$Z$6:$Z$2005,9,'LANÇAMENTOS'!$AA$6:$AA$2005,'CONFIGURAÇÕES'!$B$18)</f>
        <v/>
      </c>
      <c r="Y7" s="18">
        <f>SUMIFS('LANÇAMENTOS'!$AE$6:$AE$2005,'LANÇAMENTOS'!$G$6:$G$2005,$A7,'LANÇAMENTOS'!$Z$6:$Z$2005,10,'LANÇAMENTOS'!$AA$6:$AA$2005,'CONFIGURAÇÕES'!$B$18)</f>
        <v/>
      </c>
      <c r="Z7" s="18">
        <f>SUMIFS('LANÇAMENTOS'!$AE$6:$AE$2005,'LANÇAMENTOS'!$G$6:$G$2005,$A7,'LANÇAMENTOS'!$Z$6:$Z$2005,11,'LANÇAMENTOS'!$AA$6:$AA$2005,'CONFIGURAÇÕES'!$B$18)</f>
        <v/>
      </c>
      <c r="AA7" s="18">
        <f>SUMIFS('LANÇAMENTOS'!$AE$6:$AE$2005,'LANÇAMENTOS'!$G$6:$G$2005,$A7,'LANÇAMENTOS'!$Z$6:$Z$2005,12,'LANÇAMENTOS'!$AA$6:$AA$2005,'CONFIGURAÇÕES'!$B$18)</f>
        <v/>
      </c>
      <c r="AB7" s="38">
        <f>SUM(P7:AA7)</f>
        <v/>
      </c>
      <c r="AC7" s="38">
        <f>$O7-$AB7</f>
        <v/>
      </c>
      <c r="AD7" s="23">
        <f>IF($O7=0,"",$AB7/$O7)</f>
        <v/>
      </c>
      <c r="AE7" s="17">
        <f>IF($O7=0,"Sem orçamento",IF($AB7&gt;$O7,"🔴 Estourou",IF($AB7&gt;$O7*0.9,"🟡 Atenção (&gt;90%)","🟢 Dentro do orçamento")))</f>
        <v/>
      </c>
    </row>
    <row r="8">
      <c r="A8" s="9" t="inlineStr">
        <is>
          <t>Vendas de Serviços</t>
        </is>
      </c>
      <c r="B8" s="17" t="inlineStr">
        <is>
          <t>RECEITAS</t>
        </is>
      </c>
      <c r="C8" s="31" t="n">
        <v>40000</v>
      </c>
      <c r="D8" s="31" t="n">
        <v>38000</v>
      </c>
      <c r="E8" s="31" t="n">
        <v>42000</v>
      </c>
      <c r="F8" s="31" t="n">
        <v>40000</v>
      </c>
      <c r="G8" s="31" t="n">
        <v>43000</v>
      </c>
      <c r="H8" s="31" t="n">
        <v>41000</v>
      </c>
      <c r="I8" s="31" t="n">
        <v>44000</v>
      </c>
      <c r="J8" s="31" t="n">
        <v>46000</v>
      </c>
      <c r="K8" s="31" t="n">
        <v>45000</v>
      </c>
      <c r="L8" s="31" t="n">
        <v>46000</v>
      </c>
      <c r="M8" s="31" t="n">
        <v>48000</v>
      </c>
      <c r="N8" s="31" t="n">
        <v>50000</v>
      </c>
      <c r="O8" s="38">
        <f>SUM(C8:N8)</f>
        <v/>
      </c>
      <c r="P8" s="18">
        <f>SUMIFS('LANÇAMENTOS'!$AE$6:$AE$2005,'LANÇAMENTOS'!$G$6:$G$2005,$A8,'LANÇAMENTOS'!$Z$6:$Z$2005,1,'LANÇAMENTOS'!$AA$6:$AA$2005,'CONFIGURAÇÕES'!$B$18)</f>
        <v/>
      </c>
      <c r="Q8" s="18">
        <f>SUMIFS('LANÇAMENTOS'!$AE$6:$AE$2005,'LANÇAMENTOS'!$G$6:$G$2005,$A8,'LANÇAMENTOS'!$Z$6:$Z$2005,2,'LANÇAMENTOS'!$AA$6:$AA$2005,'CONFIGURAÇÕES'!$B$18)</f>
        <v/>
      </c>
      <c r="R8" s="18">
        <f>SUMIFS('LANÇAMENTOS'!$AE$6:$AE$2005,'LANÇAMENTOS'!$G$6:$G$2005,$A8,'LANÇAMENTOS'!$Z$6:$Z$2005,3,'LANÇAMENTOS'!$AA$6:$AA$2005,'CONFIGURAÇÕES'!$B$18)</f>
        <v/>
      </c>
      <c r="S8" s="18">
        <f>SUMIFS('LANÇAMENTOS'!$AE$6:$AE$2005,'LANÇAMENTOS'!$G$6:$G$2005,$A8,'LANÇAMENTOS'!$Z$6:$Z$2005,4,'LANÇAMENTOS'!$AA$6:$AA$2005,'CONFIGURAÇÕES'!$B$18)</f>
        <v/>
      </c>
      <c r="T8" s="18">
        <f>SUMIFS('LANÇAMENTOS'!$AE$6:$AE$2005,'LANÇAMENTOS'!$G$6:$G$2005,$A8,'LANÇAMENTOS'!$Z$6:$Z$2005,5,'LANÇAMENTOS'!$AA$6:$AA$2005,'CONFIGURAÇÕES'!$B$18)</f>
        <v/>
      </c>
      <c r="U8" s="18">
        <f>SUMIFS('LANÇAMENTOS'!$AE$6:$AE$2005,'LANÇAMENTOS'!$G$6:$G$2005,$A8,'LANÇAMENTOS'!$Z$6:$Z$2005,6,'LANÇAMENTOS'!$AA$6:$AA$2005,'CONFIGURAÇÕES'!$B$18)</f>
        <v/>
      </c>
      <c r="V8" s="18">
        <f>SUMIFS('LANÇAMENTOS'!$AE$6:$AE$2005,'LANÇAMENTOS'!$G$6:$G$2005,$A8,'LANÇAMENTOS'!$Z$6:$Z$2005,7,'LANÇAMENTOS'!$AA$6:$AA$2005,'CONFIGURAÇÕES'!$B$18)</f>
        <v/>
      </c>
      <c r="W8" s="18">
        <f>SUMIFS('LANÇAMENTOS'!$AE$6:$AE$2005,'LANÇAMENTOS'!$G$6:$G$2005,$A8,'LANÇAMENTOS'!$Z$6:$Z$2005,8,'LANÇAMENTOS'!$AA$6:$AA$2005,'CONFIGURAÇÕES'!$B$18)</f>
        <v/>
      </c>
      <c r="X8" s="18">
        <f>SUMIFS('LANÇAMENTOS'!$AE$6:$AE$2005,'LANÇAMENTOS'!$G$6:$G$2005,$A8,'LANÇAMENTOS'!$Z$6:$Z$2005,9,'LANÇAMENTOS'!$AA$6:$AA$2005,'CONFIGURAÇÕES'!$B$18)</f>
        <v/>
      </c>
      <c r="Y8" s="18">
        <f>SUMIFS('LANÇAMENTOS'!$AE$6:$AE$2005,'LANÇAMENTOS'!$G$6:$G$2005,$A8,'LANÇAMENTOS'!$Z$6:$Z$2005,10,'LANÇAMENTOS'!$AA$6:$AA$2005,'CONFIGURAÇÕES'!$B$18)</f>
        <v/>
      </c>
      <c r="Z8" s="18">
        <f>SUMIFS('LANÇAMENTOS'!$AE$6:$AE$2005,'LANÇAMENTOS'!$G$6:$G$2005,$A8,'LANÇAMENTOS'!$Z$6:$Z$2005,11,'LANÇAMENTOS'!$AA$6:$AA$2005,'CONFIGURAÇÕES'!$B$18)</f>
        <v/>
      </c>
      <c r="AA8" s="18">
        <f>SUMIFS('LANÇAMENTOS'!$AE$6:$AE$2005,'LANÇAMENTOS'!$G$6:$G$2005,$A8,'LANÇAMENTOS'!$Z$6:$Z$2005,12,'LANÇAMENTOS'!$AA$6:$AA$2005,'CONFIGURAÇÕES'!$B$18)</f>
        <v/>
      </c>
      <c r="AB8" s="38">
        <f>SUM(P8:AA8)</f>
        <v/>
      </c>
      <c r="AC8" s="38">
        <f>$O8-$AB8</f>
        <v/>
      </c>
      <c r="AD8" s="23">
        <f>IF($O8=0,"",$AB8/$O8)</f>
        <v/>
      </c>
      <c r="AE8" s="17">
        <f>IF($O8=0,"Sem orçamento",IF($AB8&gt;$O8,"🔴 Estourou",IF($AB8&gt;$O8*0.9,"🟡 Atenção (&gt;90%)","🟢 Dentro do orçamento")))</f>
        <v/>
      </c>
    </row>
    <row r="9">
      <c r="A9" s="9" t="inlineStr">
        <is>
          <t>Mercadorias para Revenda</t>
        </is>
      </c>
      <c r="B9" s="17" t="inlineStr">
        <is>
          <t>CUSTOS</t>
        </is>
      </c>
      <c r="C9" s="31" t="n">
        <v>116000</v>
      </c>
      <c r="D9" s="31" t="n">
        <v>110000</v>
      </c>
      <c r="E9" s="31" t="n">
        <v>120000</v>
      </c>
      <c r="F9" s="31" t="n">
        <v>116000</v>
      </c>
      <c r="G9" s="31" t="n">
        <v>124000</v>
      </c>
      <c r="H9" s="31" t="n">
        <v>120000</v>
      </c>
      <c r="I9" s="31" t="n">
        <v>126000</v>
      </c>
      <c r="J9" s="31" t="n">
        <v>132000</v>
      </c>
      <c r="K9" s="31" t="n">
        <v>128000</v>
      </c>
      <c r="L9" s="31" t="n">
        <v>130000</v>
      </c>
      <c r="M9" s="31" t="n">
        <v>134000</v>
      </c>
      <c r="N9" s="31" t="n">
        <v>140000</v>
      </c>
      <c r="O9" s="38">
        <f>SUM(C9:N9)</f>
        <v/>
      </c>
      <c r="P9" s="18">
        <f>SUMIFS('LANÇAMENTOS'!$AE$6:$AE$2005,'LANÇAMENTOS'!$G$6:$G$2005,$A9,'LANÇAMENTOS'!$Z$6:$Z$2005,1,'LANÇAMENTOS'!$AA$6:$AA$2005,'CONFIGURAÇÕES'!$B$18)</f>
        <v/>
      </c>
      <c r="Q9" s="18">
        <f>SUMIFS('LANÇAMENTOS'!$AE$6:$AE$2005,'LANÇAMENTOS'!$G$6:$G$2005,$A9,'LANÇAMENTOS'!$Z$6:$Z$2005,2,'LANÇAMENTOS'!$AA$6:$AA$2005,'CONFIGURAÇÕES'!$B$18)</f>
        <v/>
      </c>
      <c r="R9" s="18">
        <f>SUMIFS('LANÇAMENTOS'!$AE$6:$AE$2005,'LANÇAMENTOS'!$G$6:$G$2005,$A9,'LANÇAMENTOS'!$Z$6:$Z$2005,3,'LANÇAMENTOS'!$AA$6:$AA$2005,'CONFIGURAÇÕES'!$B$18)</f>
        <v/>
      </c>
      <c r="S9" s="18">
        <f>SUMIFS('LANÇAMENTOS'!$AE$6:$AE$2005,'LANÇAMENTOS'!$G$6:$G$2005,$A9,'LANÇAMENTOS'!$Z$6:$Z$2005,4,'LANÇAMENTOS'!$AA$6:$AA$2005,'CONFIGURAÇÕES'!$B$18)</f>
        <v/>
      </c>
      <c r="T9" s="18">
        <f>SUMIFS('LANÇAMENTOS'!$AE$6:$AE$2005,'LANÇAMENTOS'!$G$6:$G$2005,$A9,'LANÇAMENTOS'!$Z$6:$Z$2005,5,'LANÇAMENTOS'!$AA$6:$AA$2005,'CONFIGURAÇÕES'!$B$18)</f>
        <v/>
      </c>
      <c r="U9" s="18">
        <f>SUMIFS('LANÇAMENTOS'!$AE$6:$AE$2005,'LANÇAMENTOS'!$G$6:$G$2005,$A9,'LANÇAMENTOS'!$Z$6:$Z$2005,6,'LANÇAMENTOS'!$AA$6:$AA$2005,'CONFIGURAÇÕES'!$B$18)</f>
        <v/>
      </c>
      <c r="V9" s="18">
        <f>SUMIFS('LANÇAMENTOS'!$AE$6:$AE$2005,'LANÇAMENTOS'!$G$6:$G$2005,$A9,'LANÇAMENTOS'!$Z$6:$Z$2005,7,'LANÇAMENTOS'!$AA$6:$AA$2005,'CONFIGURAÇÕES'!$B$18)</f>
        <v/>
      </c>
      <c r="W9" s="18">
        <f>SUMIFS('LANÇAMENTOS'!$AE$6:$AE$2005,'LANÇAMENTOS'!$G$6:$G$2005,$A9,'LANÇAMENTOS'!$Z$6:$Z$2005,8,'LANÇAMENTOS'!$AA$6:$AA$2005,'CONFIGURAÇÕES'!$B$18)</f>
        <v/>
      </c>
      <c r="X9" s="18">
        <f>SUMIFS('LANÇAMENTOS'!$AE$6:$AE$2005,'LANÇAMENTOS'!$G$6:$G$2005,$A9,'LANÇAMENTOS'!$Z$6:$Z$2005,9,'LANÇAMENTOS'!$AA$6:$AA$2005,'CONFIGURAÇÕES'!$B$18)</f>
        <v/>
      </c>
      <c r="Y9" s="18">
        <f>SUMIFS('LANÇAMENTOS'!$AE$6:$AE$2005,'LANÇAMENTOS'!$G$6:$G$2005,$A9,'LANÇAMENTOS'!$Z$6:$Z$2005,10,'LANÇAMENTOS'!$AA$6:$AA$2005,'CONFIGURAÇÕES'!$B$18)</f>
        <v/>
      </c>
      <c r="Z9" s="18">
        <f>SUMIFS('LANÇAMENTOS'!$AE$6:$AE$2005,'LANÇAMENTOS'!$G$6:$G$2005,$A9,'LANÇAMENTOS'!$Z$6:$Z$2005,11,'LANÇAMENTOS'!$AA$6:$AA$2005,'CONFIGURAÇÕES'!$B$18)</f>
        <v/>
      </c>
      <c r="AA9" s="18">
        <f>SUMIFS('LANÇAMENTOS'!$AE$6:$AE$2005,'LANÇAMENTOS'!$G$6:$G$2005,$A9,'LANÇAMENTOS'!$Z$6:$Z$2005,12,'LANÇAMENTOS'!$AA$6:$AA$2005,'CONFIGURAÇÕES'!$B$18)</f>
        <v/>
      </c>
      <c r="AB9" s="38">
        <f>SUM(P9:AA9)</f>
        <v/>
      </c>
      <c r="AC9" s="38">
        <f>$O9-$AB9</f>
        <v/>
      </c>
      <c r="AD9" s="23">
        <f>IF($O9=0,"",$AB9/$O9)</f>
        <v/>
      </c>
      <c r="AE9" s="17">
        <f>IF($O9=0,"Sem orçamento",IF($AB9&gt;$O9,"🔴 Estourou",IF($AB9&gt;$O9*0.9,"🟡 Atenção (&gt;90%)","🟢 Dentro do orçamento")))</f>
        <v/>
      </c>
    </row>
    <row r="10">
      <c r="A10" s="9" t="inlineStr">
        <is>
          <t>Matéria-prima</t>
        </is>
      </c>
      <c r="B10" s="17" t="inlineStr">
        <is>
          <t>CUSTOS</t>
        </is>
      </c>
      <c r="C10" s="31" t="n">
        <v>9000</v>
      </c>
      <c r="D10" s="31" t="n">
        <v>8800</v>
      </c>
      <c r="E10" s="31" t="n">
        <v>9200</v>
      </c>
      <c r="F10" s="31" t="n">
        <v>9000</v>
      </c>
      <c r="G10" s="31" t="n">
        <v>9400</v>
      </c>
      <c r="H10" s="31" t="n">
        <v>9200</v>
      </c>
      <c r="I10" s="31" t="n">
        <v>9600</v>
      </c>
      <c r="J10" s="31" t="n">
        <v>9800</v>
      </c>
      <c r="K10" s="31" t="n">
        <v>9600</v>
      </c>
      <c r="L10" s="31" t="n">
        <v>9800</v>
      </c>
      <c r="M10" s="31" t="n">
        <v>10000</v>
      </c>
      <c r="N10" s="31" t="n">
        <v>10400</v>
      </c>
      <c r="O10" s="38">
        <f>SUM(C10:N10)</f>
        <v/>
      </c>
      <c r="P10" s="18">
        <f>SUMIFS('LANÇAMENTOS'!$AE$6:$AE$2005,'LANÇAMENTOS'!$G$6:$G$2005,$A10,'LANÇAMENTOS'!$Z$6:$Z$2005,1,'LANÇAMENTOS'!$AA$6:$AA$2005,'CONFIGURAÇÕES'!$B$18)</f>
        <v/>
      </c>
      <c r="Q10" s="18">
        <f>SUMIFS('LANÇAMENTOS'!$AE$6:$AE$2005,'LANÇAMENTOS'!$G$6:$G$2005,$A10,'LANÇAMENTOS'!$Z$6:$Z$2005,2,'LANÇAMENTOS'!$AA$6:$AA$2005,'CONFIGURAÇÕES'!$B$18)</f>
        <v/>
      </c>
      <c r="R10" s="18">
        <f>SUMIFS('LANÇAMENTOS'!$AE$6:$AE$2005,'LANÇAMENTOS'!$G$6:$G$2005,$A10,'LANÇAMENTOS'!$Z$6:$Z$2005,3,'LANÇAMENTOS'!$AA$6:$AA$2005,'CONFIGURAÇÕES'!$B$18)</f>
        <v/>
      </c>
      <c r="S10" s="18">
        <f>SUMIFS('LANÇAMENTOS'!$AE$6:$AE$2005,'LANÇAMENTOS'!$G$6:$G$2005,$A10,'LANÇAMENTOS'!$Z$6:$Z$2005,4,'LANÇAMENTOS'!$AA$6:$AA$2005,'CONFIGURAÇÕES'!$B$18)</f>
        <v/>
      </c>
      <c r="T10" s="18">
        <f>SUMIFS('LANÇAMENTOS'!$AE$6:$AE$2005,'LANÇAMENTOS'!$G$6:$G$2005,$A10,'LANÇAMENTOS'!$Z$6:$Z$2005,5,'LANÇAMENTOS'!$AA$6:$AA$2005,'CONFIGURAÇÕES'!$B$18)</f>
        <v/>
      </c>
      <c r="U10" s="18">
        <f>SUMIFS('LANÇAMENTOS'!$AE$6:$AE$2005,'LANÇAMENTOS'!$G$6:$G$2005,$A10,'LANÇAMENTOS'!$Z$6:$Z$2005,6,'LANÇAMENTOS'!$AA$6:$AA$2005,'CONFIGURAÇÕES'!$B$18)</f>
        <v/>
      </c>
      <c r="V10" s="18">
        <f>SUMIFS('LANÇAMENTOS'!$AE$6:$AE$2005,'LANÇAMENTOS'!$G$6:$G$2005,$A10,'LANÇAMENTOS'!$Z$6:$Z$2005,7,'LANÇAMENTOS'!$AA$6:$AA$2005,'CONFIGURAÇÕES'!$B$18)</f>
        <v/>
      </c>
      <c r="W10" s="18">
        <f>SUMIFS('LANÇAMENTOS'!$AE$6:$AE$2005,'LANÇAMENTOS'!$G$6:$G$2005,$A10,'LANÇAMENTOS'!$Z$6:$Z$2005,8,'LANÇAMENTOS'!$AA$6:$AA$2005,'CONFIGURAÇÕES'!$B$18)</f>
        <v/>
      </c>
      <c r="X10" s="18">
        <f>SUMIFS('LANÇAMENTOS'!$AE$6:$AE$2005,'LANÇAMENTOS'!$G$6:$G$2005,$A10,'LANÇAMENTOS'!$Z$6:$Z$2005,9,'LANÇAMENTOS'!$AA$6:$AA$2005,'CONFIGURAÇÕES'!$B$18)</f>
        <v/>
      </c>
      <c r="Y10" s="18">
        <f>SUMIFS('LANÇAMENTOS'!$AE$6:$AE$2005,'LANÇAMENTOS'!$G$6:$G$2005,$A10,'LANÇAMENTOS'!$Z$6:$Z$2005,10,'LANÇAMENTOS'!$AA$6:$AA$2005,'CONFIGURAÇÕES'!$B$18)</f>
        <v/>
      </c>
      <c r="Z10" s="18">
        <f>SUMIFS('LANÇAMENTOS'!$AE$6:$AE$2005,'LANÇAMENTOS'!$G$6:$G$2005,$A10,'LANÇAMENTOS'!$Z$6:$Z$2005,11,'LANÇAMENTOS'!$AA$6:$AA$2005,'CONFIGURAÇÕES'!$B$18)</f>
        <v/>
      </c>
      <c r="AA10" s="18">
        <f>SUMIFS('LANÇAMENTOS'!$AE$6:$AE$2005,'LANÇAMENTOS'!$G$6:$G$2005,$A10,'LANÇAMENTOS'!$Z$6:$Z$2005,12,'LANÇAMENTOS'!$AA$6:$AA$2005,'CONFIGURAÇÕES'!$B$18)</f>
        <v/>
      </c>
      <c r="AB10" s="38">
        <f>SUM(P10:AA10)</f>
        <v/>
      </c>
      <c r="AC10" s="38">
        <f>$O10-$AB10</f>
        <v/>
      </c>
      <c r="AD10" s="23">
        <f>IF($O10=0,"",$AB10/$O10)</f>
        <v/>
      </c>
      <c r="AE10" s="17">
        <f>IF($O10=0,"Sem orçamento",IF($AB10&gt;$O10,"🔴 Estourou",IF($AB10&gt;$O10*0.9,"🟡 Atenção (&gt;90%)","🟢 Dentro do orçamento")))</f>
        <v/>
      </c>
    </row>
    <row r="11">
      <c r="A11" s="9" t="inlineStr">
        <is>
          <t>Embalagens</t>
        </is>
      </c>
      <c r="B11" s="17" t="inlineStr">
        <is>
          <t>CUSTOS</t>
        </is>
      </c>
      <c r="C11" s="31" t="n">
        <v>2600</v>
      </c>
      <c r="D11" s="31" t="n">
        <v>2500</v>
      </c>
      <c r="E11" s="31" t="n">
        <v>2700</v>
      </c>
      <c r="F11" s="31" t="n">
        <v>2600</v>
      </c>
      <c r="G11" s="31" t="n">
        <v>2800</v>
      </c>
      <c r="H11" s="31" t="n">
        <v>2700</v>
      </c>
      <c r="I11" s="31" t="n">
        <v>2900</v>
      </c>
      <c r="J11" s="31" t="n">
        <v>3000</v>
      </c>
      <c r="K11" s="31" t="n">
        <v>2900</v>
      </c>
      <c r="L11" s="31" t="n">
        <v>3000</v>
      </c>
      <c r="M11" s="31" t="n">
        <v>3100</v>
      </c>
      <c r="N11" s="31" t="n">
        <v>3200</v>
      </c>
      <c r="O11" s="38">
        <f>SUM(C11:N11)</f>
        <v/>
      </c>
      <c r="P11" s="18">
        <f>SUMIFS('LANÇAMENTOS'!$AE$6:$AE$2005,'LANÇAMENTOS'!$G$6:$G$2005,$A11,'LANÇAMENTOS'!$Z$6:$Z$2005,1,'LANÇAMENTOS'!$AA$6:$AA$2005,'CONFIGURAÇÕES'!$B$18)</f>
        <v/>
      </c>
      <c r="Q11" s="18">
        <f>SUMIFS('LANÇAMENTOS'!$AE$6:$AE$2005,'LANÇAMENTOS'!$G$6:$G$2005,$A11,'LANÇAMENTOS'!$Z$6:$Z$2005,2,'LANÇAMENTOS'!$AA$6:$AA$2005,'CONFIGURAÇÕES'!$B$18)</f>
        <v/>
      </c>
      <c r="R11" s="18">
        <f>SUMIFS('LANÇAMENTOS'!$AE$6:$AE$2005,'LANÇAMENTOS'!$G$6:$G$2005,$A11,'LANÇAMENTOS'!$Z$6:$Z$2005,3,'LANÇAMENTOS'!$AA$6:$AA$2005,'CONFIGURAÇÕES'!$B$18)</f>
        <v/>
      </c>
      <c r="S11" s="18">
        <f>SUMIFS('LANÇAMENTOS'!$AE$6:$AE$2005,'LANÇAMENTOS'!$G$6:$G$2005,$A11,'LANÇAMENTOS'!$Z$6:$Z$2005,4,'LANÇAMENTOS'!$AA$6:$AA$2005,'CONFIGURAÇÕES'!$B$18)</f>
        <v/>
      </c>
      <c r="T11" s="18">
        <f>SUMIFS('LANÇAMENTOS'!$AE$6:$AE$2005,'LANÇAMENTOS'!$G$6:$G$2005,$A11,'LANÇAMENTOS'!$Z$6:$Z$2005,5,'LANÇAMENTOS'!$AA$6:$AA$2005,'CONFIGURAÇÕES'!$B$18)</f>
        <v/>
      </c>
      <c r="U11" s="18">
        <f>SUMIFS('LANÇAMENTOS'!$AE$6:$AE$2005,'LANÇAMENTOS'!$G$6:$G$2005,$A11,'LANÇAMENTOS'!$Z$6:$Z$2005,6,'LANÇAMENTOS'!$AA$6:$AA$2005,'CONFIGURAÇÕES'!$B$18)</f>
        <v/>
      </c>
      <c r="V11" s="18">
        <f>SUMIFS('LANÇAMENTOS'!$AE$6:$AE$2005,'LANÇAMENTOS'!$G$6:$G$2005,$A11,'LANÇAMENTOS'!$Z$6:$Z$2005,7,'LANÇAMENTOS'!$AA$6:$AA$2005,'CONFIGURAÇÕES'!$B$18)</f>
        <v/>
      </c>
      <c r="W11" s="18">
        <f>SUMIFS('LANÇAMENTOS'!$AE$6:$AE$2005,'LANÇAMENTOS'!$G$6:$G$2005,$A11,'LANÇAMENTOS'!$Z$6:$Z$2005,8,'LANÇAMENTOS'!$AA$6:$AA$2005,'CONFIGURAÇÕES'!$B$18)</f>
        <v/>
      </c>
      <c r="X11" s="18">
        <f>SUMIFS('LANÇAMENTOS'!$AE$6:$AE$2005,'LANÇAMENTOS'!$G$6:$G$2005,$A11,'LANÇAMENTOS'!$Z$6:$Z$2005,9,'LANÇAMENTOS'!$AA$6:$AA$2005,'CONFIGURAÇÕES'!$B$18)</f>
        <v/>
      </c>
      <c r="Y11" s="18">
        <f>SUMIFS('LANÇAMENTOS'!$AE$6:$AE$2005,'LANÇAMENTOS'!$G$6:$G$2005,$A11,'LANÇAMENTOS'!$Z$6:$Z$2005,10,'LANÇAMENTOS'!$AA$6:$AA$2005,'CONFIGURAÇÕES'!$B$18)</f>
        <v/>
      </c>
      <c r="Z11" s="18">
        <f>SUMIFS('LANÇAMENTOS'!$AE$6:$AE$2005,'LANÇAMENTOS'!$G$6:$G$2005,$A11,'LANÇAMENTOS'!$Z$6:$Z$2005,11,'LANÇAMENTOS'!$AA$6:$AA$2005,'CONFIGURAÇÕES'!$B$18)</f>
        <v/>
      </c>
      <c r="AA11" s="18">
        <f>SUMIFS('LANÇAMENTOS'!$AE$6:$AE$2005,'LANÇAMENTOS'!$G$6:$G$2005,$A11,'LANÇAMENTOS'!$Z$6:$Z$2005,12,'LANÇAMENTOS'!$AA$6:$AA$2005,'CONFIGURAÇÕES'!$B$18)</f>
        <v/>
      </c>
      <c r="AB11" s="38">
        <f>SUM(P11:AA11)</f>
        <v/>
      </c>
      <c r="AC11" s="38">
        <f>$O11-$AB11</f>
        <v/>
      </c>
      <c r="AD11" s="23">
        <f>IF($O11=0,"",$AB11/$O11)</f>
        <v/>
      </c>
      <c r="AE11" s="17">
        <f>IF($O11=0,"Sem orçamento",IF($AB11&gt;$O11,"🔴 Estourou",IF($AB11&gt;$O11*0.9,"🟡 Atenção (&gt;90%)","🟢 Dentro do orçamento")))</f>
        <v/>
      </c>
    </row>
    <row r="12">
      <c r="A12" s="9" t="inlineStr">
        <is>
          <t>Fretes e Entregas sobre Vendas</t>
        </is>
      </c>
      <c r="B12" s="17" t="inlineStr">
        <is>
          <t>CUSTOS</t>
        </is>
      </c>
      <c r="C12" s="31" t="n">
        <v>4200</v>
      </c>
      <c r="D12" s="31" t="n">
        <v>4000</v>
      </c>
      <c r="E12" s="31" t="n">
        <v>4300</v>
      </c>
      <c r="F12" s="31" t="n">
        <v>4200</v>
      </c>
      <c r="G12" s="31" t="n">
        <v>4400</v>
      </c>
      <c r="H12" s="31" t="n">
        <v>4300</v>
      </c>
      <c r="I12" s="31" t="n">
        <v>4500</v>
      </c>
      <c r="J12" s="31" t="n">
        <v>4700</v>
      </c>
      <c r="K12" s="31" t="n">
        <v>4600</v>
      </c>
      <c r="L12" s="31" t="n">
        <v>4700</v>
      </c>
      <c r="M12" s="31" t="n">
        <v>4800</v>
      </c>
      <c r="N12" s="31" t="n">
        <v>5000</v>
      </c>
      <c r="O12" s="38">
        <f>SUM(C12:N12)</f>
        <v/>
      </c>
      <c r="P12" s="18">
        <f>SUMIFS('LANÇAMENTOS'!$AE$6:$AE$2005,'LANÇAMENTOS'!$G$6:$G$2005,$A12,'LANÇAMENTOS'!$Z$6:$Z$2005,1,'LANÇAMENTOS'!$AA$6:$AA$2005,'CONFIGURAÇÕES'!$B$18)</f>
        <v/>
      </c>
      <c r="Q12" s="18">
        <f>SUMIFS('LANÇAMENTOS'!$AE$6:$AE$2005,'LANÇAMENTOS'!$G$6:$G$2005,$A12,'LANÇAMENTOS'!$Z$6:$Z$2005,2,'LANÇAMENTOS'!$AA$6:$AA$2005,'CONFIGURAÇÕES'!$B$18)</f>
        <v/>
      </c>
      <c r="R12" s="18">
        <f>SUMIFS('LANÇAMENTOS'!$AE$6:$AE$2005,'LANÇAMENTOS'!$G$6:$G$2005,$A12,'LANÇAMENTOS'!$Z$6:$Z$2005,3,'LANÇAMENTOS'!$AA$6:$AA$2005,'CONFIGURAÇÕES'!$B$18)</f>
        <v/>
      </c>
      <c r="S12" s="18">
        <f>SUMIFS('LANÇAMENTOS'!$AE$6:$AE$2005,'LANÇAMENTOS'!$G$6:$G$2005,$A12,'LANÇAMENTOS'!$Z$6:$Z$2005,4,'LANÇAMENTOS'!$AA$6:$AA$2005,'CONFIGURAÇÕES'!$B$18)</f>
        <v/>
      </c>
      <c r="T12" s="18">
        <f>SUMIFS('LANÇAMENTOS'!$AE$6:$AE$2005,'LANÇAMENTOS'!$G$6:$G$2005,$A12,'LANÇAMENTOS'!$Z$6:$Z$2005,5,'LANÇAMENTOS'!$AA$6:$AA$2005,'CONFIGURAÇÕES'!$B$18)</f>
        <v/>
      </c>
      <c r="U12" s="18">
        <f>SUMIFS('LANÇAMENTOS'!$AE$6:$AE$2005,'LANÇAMENTOS'!$G$6:$G$2005,$A12,'LANÇAMENTOS'!$Z$6:$Z$2005,6,'LANÇAMENTOS'!$AA$6:$AA$2005,'CONFIGURAÇÕES'!$B$18)</f>
        <v/>
      </c>
      <c r="V12" s="18">
        <f>SUMIFS('LANÇAMENTOS'!$AE$6:$AE$2005,'LANÇAMENTOS'!$G$6:$G$2005,$A12,'LANÇAMENTOS'!$Z$6:$Z$2005,7,'LANÇAMENTOS'!$AA$6:$AA$2005,'CONFIGURAÇÕES'!$B$18)</f>
        <v/>
      </c>
      <c r="W12" s="18">
        <f>SUMIFS('LANÇAMENTOS'!$AE$6:$AE$2005,'LANÇAMENTOS'!$G$6:$G$2005,$A12,'LANÇAMENTOS'!$Z$6:$Z$2005,8,'LANÇAMENTOS'!$AA$6:$AA$2005,'CONFIGURAÇÕES'!$B$18)</f>
        <v/>
      </c>
      <c r="X12" s="18">
        <f>SUMIFS('LANÇAMENTOS'!$AE$6:$AE$2005,'LANÇAMENTOS'!$G$6:$G$2005,$A12,'LANÇAMENTOS'!$Z$6:$Z$2005,9,'LANÇAMENTOS'!$AA$6:$AA$2005,'CONFIGURAÇÕES'!$B$18)</f>
        <v/>
      </c>
      <c r="Y12" s="18">
        <f>SUMIFS('LANÇAMENTOS'!$AE$6:$AE$2005,'LANÇAMENTOS'!$G$6:$G$2005,$A12,'LANÇAMENTOS'!$Z$6:$Z$2005,10,'LANÇAMENTOS'!$AA$6:$AA$2005,'CONFIGURAÇÕES'!$B$18)</f>
        <v/>
      </c>
      <c r="Z12" s="18">
        <f>SUMIFS('LANÇAMENTOS'!$AE$6:$AE$2005,'LANÇAMENTOS'!$G$6:$G$2005,$A12,'LANÇAMENTOS'!$Z$6:$Z$2005,11,'LANÇAMENTOS'!$AA$6:$AA$2005,'CONFIGURAÇÕES'!$B$18)</f>
        <v/>
      </c>
      <c r="AA12" s="18">
        <f>SUMIFS('LANÇAMENTOS'!$AE$6:$AE$2005,'LANÇAMENTOS'!$G$6:$G$2005,$A12,'LANÇAMENTOS'!$Z$6:$Z$2005,12,'LANÇAMENTOS'!$AA$6:$AA$2005,'CONFIGURAÇÕES'!$B$18)</f>
        <v/>
      </c>
      <c r="AB12" s="38">
        <f>SUM(P12:AA12)</f>
        <v/>
      </c>
      <c r="AC12" s="38">
        <f>$O12-$AB12</f>
        <v/>
      </c>
      <c r="AD12" s="23">
        <f>IF($O12=0,"",$AB12/$O12)</f>
        <v/>
      </c>
      <c r="AE12" s="17">
        <f>IF($O12=0,"Sem orçamento",IF($AB12&gt;$O12,"🔴 Estourou",IF($AB12&gt;$O12*0.9,"🟡 Atenção (&gt;90%)","🟢 Dentro do orçamento")))</f>
        <v/>
      </c>
    </row>
    <row r="13">
      <c r="A13" s="9" t="inlineStr">
        <is>
          <t>Comissões sobre Vendas</t>
        </is>
      </c>
      <c r="B13" s="17" t="inlineStr">
        <is>
          <t>CUSTOS</t>
        </is>
      </c>
      <c r="C13" s="31" t="n">
        <v>3200</v>
      </c>
      <c r="D13" s="31" t="n">
        <v>3000</v>
      </c>
      <c r="E13" s="31" t="n">
        <v>3300</v>
      </c>
      <c r="F13" s="31" t="n">
        <v>3200</v>
      </c>
      <c r="G13" s="31" t="n">
        <v>3400</v>
      </c>
      <c r="H13" s="31" t="n">
        <v>3300</v>
      </c>
      <c r="I13" s="31" t="n">
        <v>3500</v>
      </c>
      <c r="J13" s="31" t="n">
        <v>3600</v>
      </c>
      <c r="K13" s="31" t="n">
        <v>3500</v>
      </c>
      <c r="L13" s="31" t="n">
        <v>3600</v>
      </c>
      <c r="M13" s="31" t="n">
        <v>3700</v>
      </c>
      <c r="N13" s="31" t="n">
        <v>3900</v>
      </c>
      <c r="O13" s="38">
        <f>SUM(C13:N13)</f>
        <v/>
      </c>
      <c r="P13" s="18">
        <f>SUMIFS('LANÇAMENTOS'!$AE$6:$AE$2005,'LANÇAMENTOS'!$G$6:$G$2005,$A13,'LANÇAMENTOS'!$Z$6:$Z$2005,1,'LANÇAMENTOS'!$AA$6:$AA$2005,'CONFIGURAÇÕES'!$B$18)</f>
        <v/>
      </c>
      <c r="Q13" s="18">
        <f>SUMIFS('LANÇAMENTOS'!$AE$6:$AE$2005,'LANÇAMENTOS'!$G$6:$G$2005,$A13,'LANÇAMENTOS'!$Z$6:$Z$2005,2,'LANÇAMENTOS'!$AA$6:$AA$2005,'CONFIGURAÇÕES'!$B$18)</f>
        <v/>
      </c>
      <c r="R13" s="18">
        <f>SUMIFS('LANÇAMENTOS'!$AE$6:$AE$2005,'LANÇAMENTOS'!$G$6:$G$2005,$A13,'LANÇAMENTOS'!$Z$6:$Z$2005,3,'LANÇAMENTOS'!$AA$6:$AA$2005,'CONFIGURAÇÕES'!$B$18)</f>
        <v/>
      </c>
      <c r="S13" s="18">
        <f>SUMIFS('LANÇAMENTOS'!$AE$6:$AE$2005,'LANÇAMENTOS'!$G$6:$G$2005,$A13,'LANÇAMENTOS'!$Z$6:$Z$2005,4,'LANÇAMENTOS'!$AA$6:$AA$2005,'CONFIGURAÇÕES'!$B$18)</f>
        <v/>
      </c>
      <c r="T13" s="18">
        <f>SUMIFS('LANÇAMENTOS'!$AE$6:$AE$2005,'LANÇAMENTOS'!$G$6:$G$2005,$A13,'LANÇAMENTOS'!$Z$6:$Z$2005,5,'LANÇAMENTOS'!$AA$6:$AA$2005,'CONFIGURAÇÕES'!$B$18)</f>
        <v/>
      </c>
      <c r="U13" s="18">
        <f>SUMIFS('LANÇAMENTOS'!$AE$6:$AE$2005,'LANÇAMENTOS'!$G$6:$G$2005,$A13,'LANÇAMENTOS'!$Z$6:$Z$2005,6,'LANÇAMENTOS'!$AA$6:$AA$2005,'CONFIGURAÇÕES'!$B$18)</f>
        <v/>
      </c>
      <c r="V13" s="18">
        <f>SUMIFS('LANÇAMENTOS'!$AE$6:$AE$2005,'LANÇAMENTOS'!$G$6:$G$2005,$A13,'LANÇAMENTOS'!$Z$6:$Z$2005,7,'LANÇAMENTOS'!$AA$6:$AA$2005,'CONFIGURAÇÕES'!$B$18)</f>
        <v/>
      </c>
      <c r="W13" s="18">
        <f>SUMIFS('LANÇAMENTOS'!$AE$6:$AE$2005,'LANÇAMENTOS'!$G$6:$G$2005,$A13,'LANÇAMENTOS'!$Z$6:$Z$2005,8,'LANÇAMENTOS'!$AA$6:$AA$2005,'CONFIGURAÇÕES'!$B$18)</f>
        <v/>
      </c>
      <c r="X13" s="18">
        <f>SUMIFS('LANÇAMENTOS'!$AE$6:$AE$2005,'LANÇAMENTOS'!$G$6:$G$2005,$A13,'LANÇAMENTOS'!$Z$6:$Z$2005,9,'LANÇAMENTOS'!$AA$6:$AA$2005,'CONFIGURAÇÕES'!$B$18)</f>
        <v/>
      </c>
      <c r="Y13" s="18">
        <f>SUMIFS('LANÇAMENTOS'!$AE$6:$AE$2005,'LANÇAMENTOS'!$G$6:$G$2005,$A13,'LANÇAMENTOS'!$Z$6:$Z$2005,10,'LANÇAMENTOS'!$AA$6:$AA$2005,'CONFIGURAÇÕES'!$B$18)</f>
        <v/>
      </c>
      <c r="Z13" s="18">
        <f>SUMIFS('LANÇAMENTOS'!$AE$6:$AE$2005,'LANÇAMENTOS'!$G$6:$G$2005,$A13,'LANÇAMENTOS'!$Z$6:$Z$2005,11,'LANÇAMENTOS'!$AA$6:$AA$2005,'CONFIGURAÇÕES'!$B$18)</f>
        <v/>
      </c>
      <c r="AA13" s="18">
        <f>SUMIFS('LANÇAMENTOS'!$AE$6:$AE$2005,'LANÇAMENTOS'!$G$6:$G$2005,$A13,'LANÇAMENTOS'!$Z$6:$Z$2005,12,'LANÇAMENTOS'!$AA$6:$AA$2005,'CONFIGURAÇÕES'!$B$18)</f>
        <v/>
      </c>
      <c r="AB13" s="38">
        <f>SUM(P13:AA13)</f>
        <v/>
      </c>
      <c r="AC13" s="38">
        <f>$O13-$AB13</f>
        <v/>
      </c>
      <c r="AD13" s="23">
        <f>IF($O13=0,"",$AB13/$O13)</f>
        <v/>
      </c>
      <c r="AE13" s="17">
        <f>IF($O13=0,"Sem orçamento",IF($AB13&gt;$O13,"🔴 Estourou",IF($AB13&gt;$O13*0.9,"🟡 Atenção (&gt;90%)","🟢 Dentro do orçamento")))</f>
        <v/>
      </c>
    </row>
    <row r="14">
      <c r="A14" s="9" t="inlineStr">
        <is>
          <t>Taxas de Marketplace</t>
        </is>
      </c>
      <c r="B14" s="17" t="inlineStr">
        <is>
          <t>CUSTOS</t>
        </is>
      </c>
      <c r="C14" s="31" t="n">
        <v>1700</v>
      </c>
      <c r="D14" s="31" t="n">
        <v>1600</v>
      </c>
      <c r="E14" s="31" t="n">
        <v>1800</v>
      </c>
      <c r="F14" s="31" t="n">
        <v>1700</v>
      </c>
      <c r="G14" s="31" t="n">
        <v>1800</v>
      </c>
      <c r="H14" s="31" t="n">
        <v>1700</v>
      </c>
      <c r="I14" s="31" t="n">
        <v>1900</v>
      </c>
      <c r="J14" s="31" t="n">
        <v>1900</v>
      </c>
      <c r="K14" s="31" t="n">
        <v>1900</v>
      </c>
      <c r="L14" s="31" t="n">
        <v>1900</v>
      </c>
      <c r="M14" s="31" t="n">
        <v>2000</v>
      </c>
      <c r="N14" s="31" t="n">
        <v>2100</v>
      </c>
      <c r="O14" s="38">
        <f>SUM(C14:N14)</f>
        <v/>
      </c>
      <c r="P14" s="18">
        <f>SUMIFS('LANÇAMENTOS'!$AE$6:$AE$2005,'LANÇAMENTOS'!$G$6:$G$2005,$A14,'LANÇAMENTOS'!$Z$6:$Z$2005,1,'LANÇAMENTOS'!$AA$6:$AA$2005,'CONFIGURAÇÕES'!$B$18)</f>
        <v/>
      </c>
      <c r="Q14" s="18">
        <f>SUMIFS('LANÇAMENTOS'!$AE$6:$AE$2005,'LANÇAMENTOS'!$G$6:$G$2005,$A14,'LANÇAMENTOS'!$Z$6:$Z$2005,2,'LANÇAMENTOS'!$AA$6:$AA$2005,'CONFIGURAÇÕES'!$B$18)</f>
        <v/>
      </c>
      <c r="R14" s="18">
        <f>SUMIFS('LANÇAMENTOS'!$AE$6:$AE$2005,'LANÇAMENTOS'!$G$6:$G$2005,$A14,'LANÇAMENTOS'!$Z$6:$Z$2005,3,'LANÇAMENTOS'!$AA$6:$AA$2005,'CONFIGURAÇÕES'!$B$18)</f>
        <v/>
      </c>
      <c r="S14" s="18">
        <f>SUMIFS('LANÇAMENTOS'!$AE$6:$AE$2005,'LANÇAMENTOS'!$G$6:$G$2005,$A14,'LANÇAMENTOS'!$Z$6:$Z$2005,4,'LANÇAMENTOS'!$AA$6:$AA$2005,'CONFIGURAÇÕES'!$B$18)</f>
        <v/>
      </c>
      <c r="T14" s="18">
        <f>SUMIFS('LANÇAMENTOS'!$AE$6:$AE$2005,'LANÇAMENTOS'!$G$6:$G$2005,$A14,'LANÇAMENTOS'!$Z$6:$Z$2005,5,'LANÇAMENTOS'!$AA$6:$AA$2005,'CONFIGURAÇÕES'!$B$18)</f>
        <v/>
      </c>
      <c r="U14" s="18">
        <f>SUMIFS('LANÇAMENTOS'!$AE$6:$AE$2005,'LANÇAMENTOS'!$G$6:$G$2005,$A14,'LANÇAMENTOS'!$Z$6:$Z$2005,6,'LANÇAMENTOS'!$AA$6:$AA$2005,'CONFIGURAÇÕES'!$B$18)</f>
        <v/>
      </c>
      <c r="V14" s="18">
        <f>SUMIFS('LANÇAMENTOS'!$AE$6:$AE$2005,'LANÇAMENTOS'!$G$6:$G$2005,$A14,'LANÇAMENTOS'!$Z$6:$Z$2005,7,'LANÇAMENTOS'!$AA$6:$AA$2005,'CONFIGURAÇÕES'!$B$18)</f>
        <v/>
      </c>
      <c r="W14" s="18">
        <f>SUMIFS('LANÇAMENTOS'!$AE$6:$AE$2005,'LANÇAMENTOS'!$G$6:$G$2005,$A14,'LANÇAMENTOS'!$Z$6:$Z$2005,8,'LANÇAMENTOS'!$AA$6:$AA$2005,'CONFIGURAÇÕES'!$B$18)</f>
        <v/>
      </c>
      <c r="X14" s="18">
        <f>SUMIFS('LANÇAMENTOS'!$AE$6:$AE$2005,'LANÇAMENTOS'!$G$6:$G$2005,$A14,'LANÇAMENTOS'!$Z$6:$Z$2005,9,'LANÇAMENTOS'!$AA$6:$AA$2005,'CONFIGURAÇÕES'!$B$18)</f>
        <v/>
      </c>
      <c r="Y14" s="18">
        <f>SUMIFS('LANÇAMENTOS'!$AE$6:$AE$2005,'LANÇAMENTOS'!$G$6:$G$2005,$A14,'LANÇAMENTOS'!$Z$6:$Z$2005,10,'LANÇAMENTOS'!$AA$6:$AA$2005,'CONFIGURAÇÕES'!$B$18)</f>
        <v/>
      </c>
      <c r="Z14" s="18">
        <f>SUMIFS('LANÇAMENTOS'!$AE$6:$AE$2005,'LANÇAMENTOS'!$G$6:$G$2005,$A14,'LANÇAMENTOS'!$Z$6:$Z$2005,11,'LANÇAMENTOS'!$AA$6:$AA$2005,'CONFIGURAÇÕES'!$B$18)</f>
        <v/>
      </c>
      <c r="AA14" s="18">
        <f>SUMIFS('LANÇAMENTOS'!$AE$6:$AE$2005,'LANÇAMENTOS'!$G$6:$G$2005,$A14,'LANÇAMENTOS'!$Z$6:$Z$2005,12,'LANÇAMENTOS'!$AA$6:$AA$2005,'CONFIGURAÇÕES'!$B$18)</f>
        <v/>
      </c>
      <c r="AB14" s="38">
        <f>SUM(P14:AA14)</f>
        <v/>
      </c>
      <c r="AC14" s="38">
        <f>$O14-$AB14</f>
        <v/>
      </c>
      <c r="AD14" s="23">
        <f>IF($O14=0,"",$AB14/$O14)</f>
        <v/>
      </c>
      <c r="AE14" s="17">
        <f>IF($O14=0,"Sem orçamento",IF($AB14&gt;$O14,"🔴 Estourou",IF($AB14&gt;$O14*0.9,"🟡 Atenção (&gt;90%)","🟢 Dentro do orçamento")))</f>
        <v/>
      </c>
    </row>
    <row r="15">
      <c r="A15" s="9" t="inlineStr">
        <is>
          <t>Taxas de Cartão e Maquininha</t>
        </is>
      </c>
      <c r="B15" s="17" t="inlineStr">
        <is>
          <t>CUSTOS</t>
        </is>
      </c>
      <c r="C15" s="31" t="n">
        <v>2500</v>
      </c>
      <c r="D15" s="31" t="n">
        <v>2400</v>
      </c>
      <c r="E15" s="31" t="n">
        <v>2600</v>
      </c>
      <c r="F15" s="31" t="n">
        <v>2500</v>
      </c>
      <c r="G15" s="31" t="n">
        <v>2700</v>
      </c>
      <c r="H15" s="31" t="n">
        <v>2600</v>
      </c>
      <c r="I15" s="31" t="n">
        <v>2700</v>
      </c>
      <c r="J15" s="31" t="n">
        <v>2800</v>
      </c>
      <c r="K15" s="31" t="n">
        <v>2800</v>
      </c>
      <c r="L15" s="31" t="n">
        <v>2800</v>
      </c>
      <c r="M15" s="31" t="n">
        <v>2900</v>
      </c>
      <c r="N15" s="31" t="n">
        <v>3000</v>
      </c>
      <c r="O15" s="38">
        <f>SUM(C15:N15)</f>
        <v/>
      </c>
      <c r="P15" s="18">
        <f>SUMIFS('LANÇAMENTOS'!$AE$6:$AE$2005,'LANÇAMENTOS'!$G$6:$G$2005,$A15,'LANÇAMENTOS'!$Z$6:$Z$2005,1,'LANÇAMENTOS'!$AA$6:$AA$2005,'CONFIGURAÇÕES'!$B$18)</f>
        <v/>
      </c>
      <c r="Q15" s="18">
        <f>SUMIFS('LANÇAMENTOS'!$AE$6:$AE$2005,'LANÇAMENTOS'!$G$6:$G$2005,$A15,'LANÇAMENTOS'!$Z$6:$Z$2005,2,'LANÇAMENTOS'!$AA$6:$AA$2005,'CONFIGURAÇÕES'!$B$18)</f>
        <v/>
      </c>
      <c r="R15" s="18">
        <f>SUMIFS('LANÇAMENTOS'!$AE$6:$AE$2005,'LANÇAMENTOS'!$G$6:$G$2005,$A15,'LANÇAMENTOS'!$Z$6:$Z$2005,3,'LANÇAMENTOS'!$AA$6:$AA$2005,'CONFIGURAÇÕES'!$B$18)</f>
        <v/>
      </c>
      <c r="S15" s="18">
        <f>SUMIFS('LANÇAMENTOS'!$AE$6:$AE$2005,'LANÇAMENTOS'!$G$6:$G$2005,$A15,'LANÇAMENTOS'!$Z$6:$Z$2005,4,'LANÇAMENTOS'!$AA$6:$AA$2005,'CONFIGURAÇÕES'!$B$18)</f>
        <v/>
      </c>
      <c r="T15" s="18">
        <f>SUMIFS('LANÇAMENTOS'!$AE$6:$AE$2005,'LANÇAMENTOS'!$G$6:$G$2005,$A15,'LANÇAMENTOS'!$Z$6:$Z$2005,5,'LANÇAMENTOS'!$AA$6:$AA$2005,'CONFIGURAÇÕES'!$B$18)</f>
        <v/>
      </c>
      <c r="U15" s="18">
        <f>SUMIFS('LANÇAMENTOS'!$AE$6:$AE$2005,'LANÇAMENTOS'!$G$6:$G$2005,$A15,'LANÇAMENTOS'!$Z$6:$Z$2005,6,'LANÇAMENTOS'!$AA$6:$AA$2005,'CONFIGURAÇÕES'!$B$18)</f>
        <v/>
      </c>
      <c r="V15" s="18">
        <f>SUMIFS('LANÇAMENTOS'!$AE$6:$AE$2005,'LANÇAMENTOS'!$G$6:$G$2005,$A15,'LANÇAMENTOS'!$Z$6:$Z$2005,7,'LANÇAMENTOS'!$AA$6:$AA$2005,'CONFIGURAÇÕES'!$B$18)</f>
        <v/>
      </c>
      <c r="W15" s="18">
        <f>SUMIFS('LANÇAMENTOS'!$AE$6:$AE$2005,'LANÇAMENTOS'!$G$6:$G$2005,$A15,'LANÇAMENTOS'!$Z$6:$Z$2005,8,'LANÇAMENTOS'!$AA$6:$AA$2005,'CONFIGURAÇÕES'!$B$18)</f>
        <v/>
      </c>
      <c r="X15" s="18">
        <f>SUMIFS('LANÇAMENTOS'!$AE$6:$AE$2005,'LANÇAMENTOS'!$G$6:$G$2005,$A15,'LANÇAMENTOS'!$Z$6:$Z$2005,9,'LANÇAMENTOS'!$AA$6:$AA$2005,'CONFIGURAÇÕES'!$B$18)</f>
        <v/>
      </c>
      <c r="Y15" s="18">
        <f>SUMIFS('LANÇAMENTOS'!$AE$6:$AE$2005,'LANÇAMENTOS'!$G$6:$G$2005,$A15,'LANÇAMENTOS'!$Z$6:$Z$2005,10,'LANÇAMENTOS'!$AA$6:$AA$2005,'CONFIGURAÇÕES'!$B$18)</f>
        <v/>
      </c>
      <c r="Z15" s="18">
        <f>SUMIFS('LANÇAMENTOS'!$AE$6:$AE$2005,'LANÇAMENTOS'!$G$6:$G$2005,$A15,'LANÇAMENTOS'!$Z$6:$Z$2005,11,'LANÇAMENTOS'!$AA$6:$AA$2005,'CONFIGURAÇÕES'!$B$18)</f>
        <v/>
      </c>
      <c r="AA15" s="18">
        <f>SUMIFS('LANÇAMENTOS'!$AE$6:$AE$2005,'LANÇAMENTOS'!$G$6:$G$2005,$A15,'LANÇAMENTOS'!$Z$6:$Z$2005,12,'LANÇAMENTOS'!$AA$6:$AA$2005,'CONFIGURAÇÕES'!$B$18)</f>
        <v/>
      </c>
      <c r="AB15" s="38">
        <f>SUM(P15:AA15)</f>
        <v/>
      </c>
      <c r="AC15" s="38">
        <f>$O15-$AB15</f>
        <v/>
      </c>
      <c r="AD15" s="23">
        <f>IF($O15=0,"",$AB15/$O15)</f>
        <v/>
      </c>
      <c r="AE15" s="17">
        <f>IF($O15=0,"Sem orçamento",IF($AB15&gt;$O15,"🔴 Estourou",IF($AB15&gt;$O15*0.9,"🟡 Atenção (&gt;90%)","🟢 Dentro do orçamento")))</f>
        <v/>
      </c>
    </row>
    <row r="16">
      <c r="A16" s="9" t="inlineStr">
        <is>
          <t>Outros Custos Diretos</t>
        </is>
      </c>
      <c r="B16" s="17" t="inlineStr">
        <is>
          <t>CUSTOS</t>
        </is>
      </c>
      <c r="C16" s="31" t="n">
        <v>900</v>
      </c>
      <c r="D16" s="31" t="n">
        <v>900</v>
      </c>
      <c r="E16" s="31" t="n">
        <v>900</v>
      </c>
      <c r="F16" s="31" t="n">
        <v>900</v>
      </c>
      <c r="G16" s="31" t="n">
        <v>950</v>
      </c>
      <c r="H16" s="31" t="n">
        <v>950</v>
      </c>
      <c r="I16" s="31" t="n">
        <v>950</v>
      </c>
      <c r="J16" s="31" t="n">
        <v>950</v>
      </c>
      <c r="K16" s="31" t="n">
        <v>950</v>
      </c>
      <c r="L16" s="31" t="n">
        <v>950</v>
      </c>
      <c r="M16" s="31" t="n">
        <v>1000</v>
      </c>
      <c r="N16" s="31" t="n">
        <v>1000</v>
      </c>
      <c r="O16" s="38">
        <f>SUM(C16:N16)</f>
        <v/>
      </c>
      <c r="P16" s="18">
        <f>SUMIFS('LANÇAMENTOS'!$AE$6:$AE$2005,'LANÇAMENTOS'!$G$6:$G$2005,$A16,'LANÇAMENTOS'!$Z$6:$Z$2005,1,'LANÇAMENTOS'!$AA$6:$AA$2005,'CONFIGURAÇÕES'!$B$18)</f>
        <v/>
      </c>
      <c r="Q16" s="18">
        <f>SUMIFS('LANÇAMENTOS'!$AE$6:$AE$2005,'LANÇAMENTOS'!$G$6:$G$2005,$A16,'LANÇAMENTOS'!$Z$6:$Z$2005,2,'LANÇAMENTOS'!$AA$6:$AA$2005,'CONFIGURAÇÕES'!$B$18)</f>
        <v/>
      </c>
      <c r="R16" s="18">
        <f>SUMIFS('LANÇAMENTOS'!$AE$6:$AE$2005,'LANÇAMENTOS'!$G$6:$G$2005,$A16,'LANÇAMENTOS'!$Z$6:$Z$2005,3,'LANÇAMENTOS'!$AA$6:$AA$2005,'CONFIGURAÇÕES'!$B$18)</f>
        <v/>
      </c>
      <c r="S16" s="18">
        <f>SUMIFS('LANÇAMENTOS'!$AE$6:$AE$2005,'LANÇAMENTOS'!$G$6:$G$2005,$A16,'LANÇAMENTOS'!$Z$6:$Z$2005,4,'LANÇAMENTOS'!$AA$6:$AA$2005,'CONFIGURAÇÕES'!$B$18)</f>
        <v/>
      </c>
      <c r="T16" s="18">
        <f>SUMIFS('LANÇAMENTOS'!$AE$6:$AE$2005,'LANÇAMENTOS'!$G$6:$G$2005,$A16,'LANÇAMENTOS'!$Z$6:$Z$2005,5,'LANÇAMENTOS'!$AA$6:$AA$2005,'CONFIGURAÇÕES'!$B$18)</f>
        <v/>
      </c>
      <c r="U16" s="18">
        <f>SUMIFS('LANÇAMENTOS'!$AE$6:$AE$2005,'LANÇAMENTOS'!$G$6:$G$2005,$A16,'LANÇAMENTOS'!$Z$6:$Z$2005,6,'LANÇAMENTOS'!$AA$6:$AA$2005,'CONFIGURAÇÕES'!$B$18)</f>
        <v/>
      </c>
      <c r="V16" s="18">
        <f>SUMIFS('LANÇAMENTOS'!$AE$6:$AE$2005,'LANÇAMENTOS'!$G$6:$G$2005,$A16,'LANÇAMENTOS'!$Z$6:$Z$2005,7,'LANÇAMENTOS'!$AA$6:$AA$2005,'CONFIGURAÇÕES'!$B$18)</f>
        <v/>
      </c>
      <c r="W16" s="18">
        <f>SUMIFS('LANÇAMENTOS'!$AE$6:$AE$2005,'LANÇAMENTOS'!$G$6:$G$2005,$A16,'LANÇAMENTOS'!$Z$6:$Z$2005,8,'LANÇAMENTOS'!$AA$6:$AA$2005,'CONFIGURAÇÕES'!$B$18)</f>
        <v/>
      </c>
      <c r="X16" s="18">
        <f>SUMIFS('LANÇAMENTOS'!$AE$6:$AE$2005,'LANÇAMENTOS'!$G$6:$G$2005,$A16,'LANÇAMENTOS'!$Z$6:$Z$2005,9,'LANÇAMENTOS'!$AA$6:$AA$2005,'CONFIGURAÇÕES'!$B$18)</f>
        <v/>
      </c>
      <c r="Y16" s="18">
        <f>SUMIFS('LANÇAMENTOS'!$AE$6:$AE$2005,'LANÇAMENTOS'!$G$6:$G$2005,$A16,'LANÇAMENTOS'!$Z$6:$Z$2005,10,'LANÇAMENTOS'!$AA$6:$AA$2005,'CONFIGURAÇÕES'!$B$18)</f>
        <v/>
      </c>
      <c r="Z16" s="18">
        <f>SUMIFS('LANÇAMENTOS'!$AE$6:$AE$2005,'LANÇAMENTOS'!$G$6:$G$2005,$A16,'LANÇAMENTOS'!$Z$6:$Z$2005,11,'LANÇAMENTOS'!$AA$6:$AA$2005,'CONFIGURAÇÕES'!$B$18)</f>
        <v/>
      </c>
      <c r="AA16" s="18">
        <f>SUMIFS('LANÇAMENTOS'!$AE$6:$AE$2005,'LANÇAMENTOS'!$G$6:$G$2005,$A16,'LANÇAMENTOS'!$Z$6:$Z$2005,12,'LANÇAMENTOS'!$AA$6:$AA$2005,'CONFIGURAÇÕES'!$B$18)</f>
        <v/>
      </c>
      <c r="AB16" s="38">
        <f>SUM(P16:AA16)</f>
        <v/>
      </c>
      <c r="AC16" s="38">
        <f>$O16-$AB16</f>
        <v/>
      </c>
      <c r="AD16" s="23">
        <f>IF($O16=0,"",$AB16/$O16)</f>
        <v/>
      </c>
      <c r="AE16" s="17">
        <f>IF($O16=0,"Sem orçamento",IF($AB16&gt;$O16,"🔴 Estourou",IF($AB16&gt;$O16*0.9,"🟡 Atenção (&gt;90%)","🟢 Dentro do orçamento")))</f>
        <v/>
      </c>
    </row>
    <row r="17">
      <c r="A17" s="9" t="inlineStr">
        <is>
          <t>Aluguel</t>
        </is>
      </c>
      <c r="B17" s="17" t="inlineStr">
        <is>
          <t>DESPESAS OPERACIONAIS</t>
        </is>
      </c>
      <c r="C17" s="31" t="n">
        <v>7500</v>
      </c>
      <c r="D17" s="31" t="n">
        <v>7500</v>
      </c>
      <c r="E17" s="31" t="n">
        <v>7500</v>
      </c>
      <c r="F17" s="31" t="n">
        <v>7500</v>
      </c>
      <c r="G17" s="31" t="n">
        <v>7500</v>
      </c>
      <c r="H17" s="31" t="n">
        <v>7500</v>
      </c>
      <c r="I17" s="31" t="n">
        <v>7500</v>
      </c>
      <c r="J17" s="31" t="n">
        <v>7500</v>
      </c>
      <c r="K17" s="31" t="n">
        <v>7500</v>
      </c>
      <c r="L17" s="31" t="n">
        <v>7500</v>
      </c>
      <c r="M17" s="31" t="n">
        <v>7500</v>
      </c>
      <c r="N17" s="31" t="n">
        <v>7500</v>
      </c>
      <c r="O17" s="38">
        <f>SUM(C17:N17)</f>
        <v/>
      </c>
      <c r="P17" s="18">
        <f>SUMIFS('LANÇAMENTOS'!$AE$6:$AE$2005,'LANÇAMENTOS'!$G$6:$G$2005,$A17,'LANÇAMENTOS'!$Z$6:$Z$2005,1,'LANÇAMENTOS'!$AA$6:$AA$2005,'CONFIGURAÇÕES'!$B$18)</f>
        <v/>
      </c>
      <c r="Q17" s="18">
        <f>SUMIFS('LANÇAMENTOS'!$AE$6:$AE$2005,'LANÇAMENTOS'!$G$6:$G$2005,$A17,'LANÇAMENTOS'!$Z$6:$Z$2005,2,'LANÇAMENTOS'!$AA$6:$AA$2005,'CONFIGURAÇÕES'!$B$18)</f>
        <v/>
      </c>
      <c r="R17" s="18">
        <f>SUMIFS('LANÇAMENTOS'!$AE$6:$AE$2005,'LANÇAMENTOS'!$G$6:$G$2005,$A17,'LANÇAMENTOS'!$Z$6:$Z$2005,3,'LANÇAMENTOS'!$AA$6:$AA$2005,'CONFIGURAÇÕES'!$B$18)</f>
        <v/>
      </c>
      <c r="S17" s="18">
        <f>SUMIFS('LANÇAMENTOS'!$AE$6:$AE$2005,'LANÇAMENTOS'!$G$6:$G$2005,$A17,'LANÇAMENTOS'!$Z$6:$Z$2005,4,'LANÇAMENTOS'!$AA$6:$AA$2005,'CONFIGURAÇÕES'!$B$18)</f>
        <v/>
      </c>
      <c r="T17" s="18">
        <f>SUMIFS('LANÇAMENTOS'!$AE$6:$AE$2005,'LANÇAMENTOS'!$G$6:$G$2005,$A17,'LANÇAMENTOS'!$Z$6:$Z$2005,5,'LANÇAMENTOS'!$AA$6:$AA$2005,'CONFIGURAÇÕES'!$B$18)</f>
        <v/>
      </c>
      <c r="U17" s="18">
        <f>SUMIFS('LANÇAMENTOS'!$AE$6:$AE$2005,'LANÇAMENTOS'!$G$6:$G$2005,$A17,'LANÇAMENTOS'!$Z$6:$Z$2005,6,'LANÇAMENTOS'!$AA$6:$AA$2005,'CONFIGURAÇÕES'!$B$18)</f>
        <v/>
      </c>
      <c r="V17" s="18">
        <f>SUMIFS('LANÇAMENTOS'!$AE$6:$AE$2005,'LANÇAMENTOS'!$G$6:$G$2005,$A17,'LANÇAMENTOS'!$Z$6:$Z$2005,7,'LANÇAMENTOS'!$AA$6:$AA$2005,'CONFIGURAÇÕES'!$B$18)</f>
        <v/>
      </c>
      <c r="W17" s="18">
        <f>SUMIFS('LANÇAMENTOS'!$AE$6:$AE$2005,'LANÇAMENTOS'!$G$6:$G$2005,$A17,'LANÇAMENTOS'!$Z$6:$Z$2005,8,'LANÇAMENTOS'!$AA$6:$AA$2005,'CONFIGURAÇÕES'!$B$18)</f>
        <v/>
      </c>
      <c r="X17" s="18">
        <f>SUMIFS('LANÇAMENTOS'!$AE$6:$AE$2005,'LANÇAMENTOS'!$G$6:$G$2005,$A17,'LANÇAMENTOS'!$Z$6:$Z$2005,9,'LANÇAMENTOS'!$AA$6:$AA$2005,'CONFIGURAÇÕES'!$B$18)</f>
        <v/>
      </c>
      <c r="Y17" s="18">
        <f>SUMIFS('LANÇAMENTOS'!$AE$6:$AE$2005,'LANÇAMENTOS'!$G$6:$G$2005,$A17,'LANÇAMENTOS'!$Z$6:$Z$2005,10,'LANÇAMENTOS'!$AA$6:$AA$2005,'CONFIGURAÇÕES'!$B$18)</f>
        <v/>
      </c>
      <c r="Z17" s="18">
        <f>SUMIFS('LANÇAMENTOS'!$AE$6:$AE$2005,'LANÇAMENTOS'!$G$6:$G$2005,$A17,'LANÇAMENTOS'!$Z$6:$Z$2005,11,'LANÇAMENTOS'!$AA$6:$AA$2005,'CONFIGURAÇÕES'!$B$18)</f>
        <v/>
      </c>
      <c r="AA17" s="18">
        <f>SUMIFS('LANÇAMENTOS'!$AE$6:$AE$2005,'LANÇAMENTOS'!$G$6:$G$2005,$A17,'LANÇAMENTOS'!$Z$6:$Z$2005,12,'LANÇAMENTOS'!$AA$6:$AA$2005,'CONFIGURAÇÕES'!$B$18)</f>
        <v/>
      </c>
      <c r="AB17" s="38">
        <f>SUM(P17:AA17)</f>
        <v/>
      </c>
      <c r="AC17" s="38">
        <f>$O17-$AB17</f>
        <v/>
      </c>
      <c r="AD17" s="23">
        <f>IF($O17=0,"",$AB17/$O17)</f>
        <v/>
      </c>
      <c r="AE17" s="17">
        <f>IF($O17=0,"Sem orçamento",IF($AB17&gt;$O17,"🔴 Estourou",IF($AB17&gt;$O17*0.9,"🟡 Atenção (&gt;90%)","🟢 Dentro do orçamento")))</f>
        <v/>
      </c>
    </row>
    <row r="18">
      <c r="A18" s="9" t="inlineStr">
        <is>
          <t>Energia Elétrica</t>
        </is>
      </c>
      <c r="B18" s="17" t="inlineStr">
        <is>
          <t>DESPESAS OPERACIONAIS</t>
        </is>
      </c>
      <c r="C18" s="31" t="n">
        <v>2100</v>
      </c>
      <c r="D18" s="31" t="n">
        <v>2200</v>
      </c>
      <c r="E18" s="31" t="n">
        <v>2300</v>
      </c>
      <c r="F18" s="31" t="n">
        <v>2300</v>
      </c>
      <c r="G18" s="31" t="n">
        <v>2400</v>
      </c>
      <c r="H18" s="31" t="n">
        <v>2400</v>
      </c>
      <c r="I18" s="31" t="n">
        <v>2500</v>
      </c>
      <c r="J18" s="31" t="n">
        <v>2500</v>
      </c>
      <c r="K18" s="31" t="n">
        <v>2600</v>
      </c>
      <c r="L18" s="31" t="n">
        <v>2600</v>
      </c>
      <c r="M18" s="31" t="n">
        <v>2600</v>
      </c>
      <c r="N18" s="31" t="n">
        <v>2600</v>
      </c>
      <c r="O18" s="38">
        <f>SUM(C18:N18)</f>
        <v/>
      </c>
      <c r="P18" s="18">
        <f>SUMIFS('LANÇAMENTOS'!$AE$6:$AE$2005,'LANÇAMENTOS'!$G$6:$G$2005,$A18,'LANÇAMENTOS'!$Z$6:$Z$2005,1,'LANÇAMENTOS'!$AA$6:$AA$2005,'CONFIGURAÇÕES'!$B$18)</f>
        <v/>
      </c>
      <c r="Q18" s="18">
        <f>SUMIFS('LANÇAMENTOS'!$AE$6:$AE$2005,'LANÇAMENTOS'!$G$6:$G$2005,$A18,'LANÇAMENTOS'!$Z$6:$Z$2005,2,'LANÇAMENTOS'!$AA$6:$AA$2005,'CONFIGURAÇÕES'!$B$18)</f>
        <v/>
      </c>
      <c r="R18" s="18">
        <f>SUMIFS('LANÇAMENTOS'!$AE$6:$AE$2005,'LANÇAMENTOS'!$G$6:$G$2005,$A18,'LANÇAMENTOS'!$Z$6:$Z$2005,3,'LANÇAMENTOS'!$AA$6:$AA$2005,'CONFIGURAÇÕES'!$B$18)</f>
        <v/>
      </c>
      <c r="S18" s="18">
        <f>SUMIFS('LANÇAMENTOS'!$AE$6:$AE$2005,'LANÇAMENTOS'!$G$6:$G$2005,$A18,'LANÇAMENTOS'!$Z$6:$Z$2005,4,'LANÇAMENTOS'!$AA$6:$AA$2005,'CONFIGURAÇÕES'!$B$18)</f>
        <v/>
      </c>
      <c r="T18" s="18">
        <f>SUMIFS('LANÇAMENTOS'!$AE$6:$AE$2005,'LANÇAMENTOS'!$G$6:$G$2005,$A18,'LANÇAMENTOS'!$Z$6:$Z$2005,5,'LANÇAMENTOS'!$AA$6:$AA$2005,'CONFIGURAÇÕES'!$B$18)</f>
        <v/>
      </c>
      <c r="U18" s="18">
        <f>SUMIFS('LANÇAMENTOS'!$AE$6:$AE$2005,'LANÇAMENTOS'!$G$6:$G$2005,$A18,'LANÇAMENTOS'!$Z$6:$Z$2005,6,'LANÇAMENTOS'!$AA$6:$AA$2005,'CONFIGURAÇÕES'!$B$18)</f>
        <v/>
      </c>
      <c r="V18" s="18">
        <f>SUMIFS('LANÇAMENTOS'!$AE$6:$AE$2005,'LANÇAMENTOS'!$G$6:$G$2005,$A18,'LANÇAMENTOS'!$Z$6:$Z$2005,7,'LANÇAMENTOS'!$AA$6:$AA$2005,'CONFIGURAÇÕES'!$B$18)</f>
        <v/>
      </c>
      <c r="W18" s="18">
        <f>SUMIFS('LANÇAMENTOS'!$AE$6:$AE$2005,'LANÇAMENTOS'!$G$6:$G$2005,$A18,'LANÇAMENTOS'!$Z$6:$Z$2005,8,'LANÇAMENTOS'!$AA$6:$AA$2005,'CONFIGURAÇÕES'!$B$18)</f>
        <v/>
      </c>
      <c r="X18" s="18">
        <f>SUMIFS('LANÇAMENTOS'!$AE$6:$AE$2005,'LANÇAMENTOS'!$G$6:$G$2005,$A18,'LANÇAMENTOS'!$Z$6:$Z$2005,9,'LANÇAMENTOS'!$AA$6:$AA$2005,'CONFIGURAÇÕES'!$B$18)</f>
        <v/>
      </c>
      <c r="Y18" s="18">
        <f>SUMIFS('LANÇAMENTOS'!$AE$6:$AE$2005,'LANÇAMENTOS'!$G$6:$G$2005,$A18,'LANÇAMENTOS'!$Z$6:$Z$2005,10,'LANÇAMENTOS'!$AA$6:$AA$2005,'CONFIGURAÇÕES'!$B$18)</f>
        <v/>
      </c>
      <c r="Z18" s="18">
        <f>SUMIFS('LANÇAMENTOS'!$AE$6:$AE$2005,'LANÇAMENTOS'!$G$6:$G$2005,$A18,'LANÇAMENTOS'!$Z$6:$Z$2005,11,'LANÇAMENTOS'!$AA$6:$AA$2005,'CONFIGURAÇÕES'!$B$18)</f>
        <v/>
      </c>
      <c r="AA18" s="18">
        <f>SUMIFS('LANÇAMENTOS'!$AE$6:$AE$2005,'LANÇAMENTOS'!$G$6:$G$2005,$A18,'LANÇAMENTOS'!$Z$6:$Z$2005,12,'LANÇAMENTOS'!$AA$6:$AA$2005,'CONFIGURAÇÕES'!$B$18)</f>
        <v/>
      </c>
      <c r="AB18" s="38">
        <f>SUM(P18:AA18)</f>
        <v/>
      </c>
      <c r="AC18" s="38">
        <f>$O18-$AB18</f>
        <v/>
      </c>
      <c r="AD18" s="23">
        <f>IF($O18=0,"",$AB18/$O18)</f>
        <v/>
      </c>
      <c r="AE18" s="17">
        <f>IF($O18=0,"Sem orçamento",IF($AB18&gt;$O18,"🔴 Estourou",IF($AB18&gt;$O18*0.9,"🟡 Atenção (&gt;90%)","🟢 Dentro do orçamento")))</f>
        <v/>
      </c>
    </row>
    <row r="19">
      <c r="A19" s="9" t="inlineStr">
        <is>
          <t>Água e Saneamento</t>
        </is>
      </c>
      <c r="B19" s="17" t="inlineStr">
        <is>
          <t>DESPESAS OPERACIONAIS</t>
        </is>
      </c>
      <c r="C19" s="31" t="n">
        <v>420</v>
      </c>
      <c r="D19" s="31" t="n">
        <v>420</v>
      </c>
      <c r="E19" s="31" t="n">
        <v>420</v>
      </c>
      <c r="F19" s="31" t="n">
        <v>420</v>
      </c>
      <c r="G19" s="31" t="n">
        <v>420</v>
      </c>
      <c r="H19" s="31" t="n">
        <v>420</v>
      </c>
      <c r="I19" s="31" t="n">
        <v>420</v>
      </c>
      <c r="J19" s="31" t="n">
        <v>420</v>
      </c>
      <c r="K19" s="31" t="n">
        <v>420</v>
      </c>
      <c r="L19" s="31" t="n">
        <v>420</v>
      </c>
      <c r="M19" s="31" t="n">
        <v>420</v>
      </c>
      <c r="N19" s="31" t="n">
        <v>420</v>
      </c>
      <c r="O19" s="38">
        <f>SUM(C19:N19)</f>
        <v/>
      </c>
      <c r="P19" s="18">
        <f>SUMIFS('LANÇAMENTOS'!$AE$6:$AE$2005,'LANÇAMENTOS'!$G$6:$G$2005,$A19,'LANÇAMENTOS'!$Z$6:$Z$2005,1,'LANÇAMENTOS'!$AA$6:$AA$2005,'CONFIGURAÇÕES'!$B$18)</f>
        <v/>
      </c>
      <c r="Q19" s="18">
        <f>SUMIFS('LANÇAMENTOS'!$AE$6:$AE$2005,'LANÇAMENTOS'!$G$6:$G$2005,$A19,'LANÇAMENTOS'!$Z$6:$Z$2005,2,'LANÇAMENTOS'!$AA$6:$AA$2005,'CONFIGURAÇÕES'!$B$18)</f>
        <v/>
      </c>
      <c r="R19" s="18">
        <f>SUMIFS('LANÇAMENTOS'!$AE$6:$AE$2005,'LANÇAMENTOS'!$G$6:$G$2005,$A19,'LANÇAMENTOS'!$Z$6:$Z$2005,3,'LANÇAMENTOS'!$AA$6:$AA$2005,'CONFIGURAÇÕES'!$B$18)</f>
        <v/>
      </c>
      <c r="S19" s="18">
        <f>SUMIFS('LANÇAMENTOS'!$AE$6:$AE$2005,'LANÇAMENTOS'!$G$6:$G$2005,$A19,'LANÇAMENTOS'!$Z$6:$Z$2005,4,'LANÇAMENTOS'!$AA$6:$AA$2005,'CONFIGURAÇÕES'!$B$18)</f>
        <v/>
      </c>
      <c r="T19" s="18">
        <f>SUMIFS('LANÇAMENTOS'!$AE$6:$AE$2005,'LANÇAMENTOS'!$G$6:$G$2005,$A19,'LANÇAMENTOS'!$Z$6:$Z$2005,5,'LANÇAMENTOS'!$AA$6:$AA$2005,'CONFIGURAÇÕES'!$B$18)</f>
        <v/>
      </c>
      <c r="U19" s="18">
        <f>SUMIFS('LANÇAMENTOS'!$AE$6:$AE$2005,'LANÇAMENTOS'!$G$6:$G$2005,$A19,'LANÇAMENTOS'!$Z$6:$Z$2005,6,'LANÇAMENTOS'!$AA$6:$AA$2005,'CONFIGURAÇÕES'!$B$18)</f>
        <v/>
      </c>
      <c r="V19" s="18">
        <f>SUMIFS('LANÇAMENTOS'!$AE$6:$AE$2005,'LANÇAMENTOS'!$G$6:$G$2005,$A19,'LANÇAMENTOS'!$Z$6:$Z$2005,7,'LANÇAMENTOS'!$AA$6:$AA$2005,'CONFIGURAÇÕES'!$B$18)</f>
        <v/>
      </c>
      <c r="W19" s="18">
        <f>SUMIFS('LANÇAMENTOS'!$AE$6:$AE$2005,'LANÇAMENTOS'!$G$6:$G$2005,$A19,'LANÇAMENTOS'!$Z$6:$Z$2005,8,'LANÇAMENTOS'!$AA$6:$AA$2005,'CONFIGURAÇÕES'!$B$18)</f>
        <v/>
      </c>
      <c r="X19" s="18">
        <f>SUMIFS('LANÇAMENTOS'!$AE$6:$AE$2005,'LANÇAMENTOS'!$G$6:$G$2005,$A19,'LANÇAMENTOS'!$Z$6:$Z$2005,9,'LANÇAMENTOS'!$AA$6:$AA$2005,'CONFIGURAÇÕES'!$B$18)</f>
        <v/>
      </c>
      <c r="Y19" s="18">
        <f>SUMIFS('LANÇAMENTOS'!$AE$6:$AE$2005,'LANÇAMENTOS'!$G$6:$G$2005,$A19,'LANÇAMENTOS'!$Z$6:$Z$2005,10,'LANÇAMENTOS'!$AA$6:$AA$2005,'CONFIGURAÇÕES'!$B$18)</f>
        <v/>
      </c>
      <c r="Z19" s="18">
        <f>SUMIFS('LANÇAMENTOS'!$AE$6:$AE$2005,'LANÇAMENTOS'!$G$6:$G$2005,$A19,'LANÇAMENTOS'!$Z$6:$Z$2005,11,'LANÇAMENTOS'!$AA$6:$AA$2005,'CONFIGURAÇÕES'!$B$18)</f>
        <v/>
      </c>
      <c r="AA19" s="18">
        <f>SUMIFS('LANÇAMENTOS'!$AE$6:$AE$2005,'LANÇAMENTOS'!$G$6:$G$2005,$A19,'LANÇAMENTOS'!$Z$6:$Z$2005,12,'LANÇAMENTOS'!$AA$6:$AA$2005,'CONFIGURAÇÕES'!$B$18)</f>
        <v/>
      </c>
      <c r="AB19" s="38">
        <f>SUM(P19:AA19)</f>
        <v/>
      </c>
      <c r="AC19" s="38">
        <f>$O19-$AB19</f>
        <v/>
      </c>
      <c r="AD19" s="23">
        <f>IF($O19=0,"",$AB19/$O19)</f>
        <v/>
      </c>
      <c r="AE19" s="17">
        <f>IF($O19=0,"Sem orçamento",IF($AB19&gt;$O19,"🔴 Estourou",IF($AB19&gt;$O19*0.9,"🟡 Atenção (&gt;90%)","🟢 Dentro do orçamento")))</f>
        <v/>
      </c>
    </row>
    <row r="20">
      <c r="A20" s="9" t="inlineStr">
        <is>
          <t>Internet e Telefonia</t>
        </is>
      </c>
      <c r="B20" s="17" t="inlineStr">
        <is>
          <t>DESPESAS OPERACIONAIS</t>
        </is>
      </c>
      <c r="C20" s="31" t="n">
        <v>760</v>
      </c>
      <c r="D20" s="31" t="n">
        <v>760</v>
      </c>
      <c r="E20" s="31" t="n">
        <v>760</v>
      </c>
      <c r="F20" s="31" t="n">
        <v>760</v>
      </c>
      <c r="G20" s="31" t="n">
        <v>760</v>
      </c>
      <c r="H20" s="31" t="n">
        <v>760</v>
      </c>
      <c r="I20" s="31" t="n">
        <v>760</v>
      </c>
      <c r="J20" s="31" t="n">
        <v>760</v>
      </c>
      <c r="K20" s="31" t="n">
        <v>760</v>
      </c>
      <c r="L20" s="31" t="n">
        <v>760</v>
      </c>
      <c r="M20" s="31" t="n">
        <v>760</v>
      </c>
      <c r="N20" s="31" t="n">
        <v>760</v>
      </c>
      <c r="O20" s="38">
        <f>SUM(C20:N20)</f>
        <v/>
      </c>
      <c r="P20" s="18">
        <f>SUMIFS('LANÇAMENTOS'!$AE$6:$AE$2005,'LANÇAMENTOS'!$G$6:$G$2005,$A20,'LANÇAMENTOS'!$Z$6:$Z$2005,1,'LANÇAMENTOS'!$AA$6:$AA$2005,'CONFIGURAÇÕES'!$B$18)</f>
        <v/>
      </c>
      <c r="Q20" s="18">
        <f>SUMIFS('LANÇAMENTOS'!$AE$6:$AE$2005,'LANÇAMENTOS'!$G$6:$G$2005,$A20,'LANÇAMENTOS'!$Z$6:$Z$2005,2,'LANÇAMENTOS'!$AA$6:$AA$2005,'CONFIGURAÇÕES'!$B$18)</f>
        <v/>
      </c>
      <c r="R20" s="18">
        <f>SUMIFS('LANÇAMENTOS'!$AE$6:$AE$2005,'LANÇAMENTOS'!$G$6:$G$2005,$A20,'LANÇAMENTOS'!$Z$6:$Z$2005,3,'LANÇAMENTOS'!$AA$6:$AA$2005,'CONFIGURAÇÕES'!$B$18)</f>
        <v/>
      </c>
      <c r="S20" s="18">
        <f>SUMIFS('LANÇAMENTOS'!$AE$6:$AE$2005,'LANÇAMENTOS'!$G$6:$G$2005,$A20,'LANÇAMENTOS'!$Z$6:$Z$2005,4,'LANÇAMENTOS'!$AA$6:$AA$2005,'CONFIGURAÇÕES'!$B$18)</f>
        <v/>
      </c>
      <c r="T20" s="18">
        <f>SUMIFS('LANÇAMENTOS'!$AE$6:$AE$2005,'LANÇAMENTOS'!$G$6:$G$2005,$A20,'LANÇAMENTOS'!$Z$6:$Z$2005,5,'LANÇAMENTOS'!$AA$6:$AA$2005,'CONFIGURAÇÕES'!$B$18)</f>
        <v/>
      </c>
      <c r="U20" s="18">
        <f>SUMIFS('LANÇAMENTOS'!$AE$6:$AE$2005,'LANÇAMENTOS'!$G$6:$G$2005,$A20,'LANÇAMENTOS'!$Z$6:$Z$2005,6,'LANÇAMENTOS'!$AA$6:$AA$2005,'CONFIGURAÇÕES'!$B$18)</f>
        <v/>
      </c>
      <c r="V20" s="18">
        <f>SUMIFS('LANÇAMENTOS'!$AE$6:$AE$2005,'LANÇAMENTOS'!$G$6:$G$2005,$A20,'LANÇAMENTOS'!$Z$6:$Z$2005,7,'LANÇAMENTOS'!$AA$6:$AA$2005,'CONFIGURAÇÕES'!$B$18)</f>
        <v/>
      </c>
      <c r="W20" s="18">
        <f>SUMIFS('LANÇAMENTOS'!$AE$6:$AE$2005,'LANÇAMENTOS'!$G$6:$G$2005,$A20,'LANÇAMENTOS'!$Z$6:$Z$2005,8,'LANÇAMENTOS'!$AA$6:$AA$2005,'CONFIGURAÇÕES'!$B$18)</f>
        <v/>
      </c>
      <c r="X20" s="18">
        <f>SUMIFS('LANÇAMENTOS'!$AE$6:$AE$2005,'LANÇAMENTOS'!$G$6:$G$2005,$A20,'LANÇAMENTOS'!$Z$6:$Z$2005,9,'LANÇAMENTOS'!$AA$6:$AA$2005,'CONFIGURAÇÕES'!$B$18)</f>
        <v/>
      </c>
      <c r="Y20" s="18">
        <f>SUMIFS('LANÇAMENTOS'!$AE$6:$AE$2005,'LANÇAMENTOS'!$G$6:$G$2005,$A20,'LANÇAMENTOS'!$Z$6:$Z$2005,10,'LANÇAMENTOS'!$AA$6:$AA$2005,'CONFIGURAÇÕES'!$B$18)</f>
        <v/>
      </c>
      <c r="Z20" s="18">
        <f>SUMIFS('LANÇAMENTOS'!$AE$6:$AE$2005,'LANÇAMENTOS'!$G$6:$G$2005,$A20,'LANÇAMENTOS'!$Z$6:$Z$2005,11,'LANÇAMENTOS'!$AA$6:$AA$2005,'CONFIGURAÇÕES'!$B$18)</f>
        <v/>
      </c>
      <c r="AA20" s="18">
        <f>SUMIFS('LANÇAMENTOS'!$AE$6:$AE$2005,'LANÇAMENTOS'!$G$6:$G$2005,$A20,'LANÇAMENTOS'!$Z$6:$Z$2005,12,'LANÇAMENTOS'!$AA$6:$AA$2005,'CONFIGURAÇÕES'!$B$18)</f>
        <v/>
      </c>
      <c r="AB20" s="38">
        <f>SUM(P20:AA20)</f>
        <v/>
      </c>
      <c r="AC20" s="38">
        <f>$O20-$AB20</f>
        <v/>
      </c>
      <c r="AD20" s="23">
        <f>IF($O20=0,"",$AB20/$O20)</f>
        <v/>
      </c>
      <c r="AE20" s="17">
        <f>IF($O20=0,"Sem orçamento",IF($AB20&gt;$O20,"🔴 Estourou",IF($AB20&gt;$O20*0.9,"🟡 Atenção (&gt;90%)","🟢 Dentro do orçamento")))</f>
        <v/>
      </c>
    </row>
    <row r="21">
      <c r="A21" s="9" t="inlineStr">
        <is>
          <t>Contabilidade</t>
        </is>
      </c>
      <c r="B21" s="17" t="inlineStr">
        <is>
          <t>DESPESAS OPERACIONAIS</t>
        </is>
      </c>
      <c r="C21" s="31" t="n">
        <v>1250</v>
      </c>
      <c r="D21" s="31" t="n">
        <v>1250</v>
      </c>
      <c r="E21" s="31" t="n">
        <v>1250</v>
      </c>
      <c r="F21" s="31" t="n">
        <v>1250</v>
      </c>
      <c r="G21" s="31" t="n">
        <v>1250</v>
      </c>
      <c r="H21" s="31" t="n">
        <v>1250</v>
      </c>
      <c r="I21" s="31" t="n">
        <v>1250</v>
      </c>
      <c r="J21" s="31" t="n">
        <v>1250</v>
      </c>
      <c r="K21" s="31" t="n">
        <v>1250</v>
      </c>
      <c r="L21" s="31" t="n">
        <v>1250</v>
      </c>
      <c r="M21" s="31" t="n">
        <v>1250</v>
      </c>
      <c r="N21" s="31" t="n">
        <v>1250</v>
      </c>
      <c r="O21" s="38">
        <f>SUM(C21:N21)</f>
        <v/>
      </c>
      <c r="P21" s="18">
        <f>SUMIFS('LANÇAMENTOS'!$AE$6:$AE$2005,'LANÇAMENTOS'!$G$6:$G$2005,$A21,'LANÇAMENTOS'!$Z$6:$Z$2005,1,'LANÇAMENTOS'!$AA$6:$AA$2005,'CONFIGURAÇÕES'!$B$18)</f>
        <v/>
      </c>
      <c r="Q21" s="18">
        <f>SUMIFS('LANÇAMENTOS'!$AE$6:$AE$2005,'LANÇAMENTOS'!$G$6:$G$2005,$A21,'LANÇAMENTOS'!$Z$6:$Z$2005,2,'LANÇAMENTOS'!$AA$6:$AA$2005,'CONFIGURAÇÕES'!$B$18)</f>
        <v/>
      </c>
      <c r="R21" s="18">
        <f>SUMIFS('LANÇAMENTOS'!$AE$6:$AE$2005,'LANÇAMENTOS'!$G$6:$G$2005,$A21,'LANÇAMENTOS'!$Z$6:$Z$2005,3,'LANÇAMENTOS'!$AA$6:$AA$2005,'CONFIGURAÇÕES'!$B$18)</f>
        <v/>
      </c>
      <c r="S21" s="18">
        <f>SUMIFS('LANÇAMENTOS'!$AE$6:$AE$2005,'LANÇAMENTOS'!$G$6:$G$2005,$A21,'LANÇAMENTOS'!$Z$6:$Z$2005,4,'LANÇAMENTOS'!$AA$6:$AA$2005,'CONFIGURAÇÕES'!$B$18)</f>
        <v/>
      </c>
      <c r="T21" s="18">
        <f>SUMIFS('LANÇAMENTOS'!$AE$6:$AE$2005,'LANÇAMENTOS'!$G$6:$G$2005,$A21,'LANÇAMENTOS'!$Z$6:$Z$2005,5,'LANÇAMENTOS'!$AA$6:$AA$2005,'CONFIGURAÇÕES'!$B$18)</f>
        <v/>
      </c>
      <c r="U21" s="18">
        <f>SUMIFS('LANÇAMENTOS'!$AE$6:$AE$2005,'LANÇAMENTOS'!$G$6:$G$2005,$A21,'LANÇAMENTOS'!$Z$6:$Z$2005,6,'LANÇAMENTOS'!$AA$6:$AA$2005,'CONFIGURAÇÕES'!$B$18)</f>
        <v/>
      </c>
      <c r="V21" s="18">
        <f>SUMIFS('LANÇAMENTOS'!$AE$6:$AE$2005,'LANÇAMENTOS'!$G$6:$G$2005,$A21,'LANÇAMENTOS'!$Z$6:$Z$2005,7,'LANÇAMENTOS'!$AA$6:$AA$2005,'CONFIGURAÇÕES'!$B$18)</f>
        <v/>
      </c>
      <c r="W21" s="18">
        <f>SUMIFS('LANÇAMENTOS'!$AE$6:$AE$2005,'LANÇAMENTOS'!$G$6:$G$2005,$A21,'LANÇAMENTOS'!$Z$6:$Z$2005,8,'LANÇAMENTOS'!$AA$6:$AA$2005,'CONFIGURAÇÕES'!$B$18)</f>
        <v/>
      </c>
      <c r="X21" s="18">
        <f>SUMIFS('LANÇAMENTOS'!$AE$6:$AE$2005,'LANÇAMENTOS'!$G$6:$G$2005,$A21,'LANÇAMENTOS'!$Z$6:$Z$2005,9,'LANÇAMENTOS'!$AA$6:$AA$2005,'CONFIGURAÇÕES'!$B$18)</f>
        <v/>
      </c>
      <c r="Y21" s="18">
        <f>SUMIFS('LANÇAMENTOS'!$AE$6:$AE$2005,'LANÇAMENTOS'!$G$6:$G$2005,$A21,'LANÇAMENTOS'!$Z$6:$Z$2005,10,'LANÇAMENTOS'!$AA$6:$AA$2005,'CONFIGURAÇÕES'!$B$18)</f>
        <v/>
      </c>
      <c r="Z21" s="18">
        <f>SUMIFS('LANÇAMENTOS'!$AE$6:$AE$2005,'LANÇAMENTOS'!$G$6:$G$2005,$A21,'LANÇAMENTOS'!$Z$6:$Z$2005,11,'LANÇAMENTOS'!$AA$6:$AA$2005,'CONFIGURAÇÕES'!$B$18)</f>
        <v/>
      </c>
      <c r="AA21" s="18">
        <f>SUMIFS('LANÇAMENTOS'!$AE$6:$AE$2005,'LANÇAMENTOS'!$G$6:$G$2005,$A21,'LANÇAMENTOS'!$Z$6:$Z$2005,12,'LANÇAMENTOS'!$AA$6:$AA$2005,'CONFIGURAÇÕES'!$B$18)</f>
        <v/>
      </c>
      <c r="AB21" s="38">
        <f>SUM(P21:AA21)</f>
        <v/>
      </c>
      <c r="AC21" s="38">
        <f>$O21-$AB21</f>
        <v/>
      </c>
      <c r="AD21" s="23">
        <f>IF($O21=0,"",$AB21/$O21)</f>
        <v/>
      </c>
      <c r="AE21" s="17">
        <f>IF($O21=0,"Sem orçamento",IF($AB21&gt;$O21,"🔴 Estourou",IF($AB21&gt;$O21*0.9,"🟡 Atenção (&gt;90%)","🟢 Dentro do orçamento")))</f>
        <v/>
      </c>
    </row>
    <row r="22">
      <c r="A22" s="9" t="inlineStr">
        <is>
          <t>Sistemas e Softwares</t>
        </is>
      </c>
      <c r="B22" s="17" t="inlineStr">
        <is>
          <t>DESPESAS OPERACIONAIS</t>
        </is>
      </c>
      <c r="C22" s="31" t="n">
        <v>850</v>
      </c>
      <c r="D22" s="31" t="n">
        <v>850</v>
      </c>
      <c r="E22" s="31" t="n">
        <v>850</v>
      </c>
      <c r="F22" s="31" t="n">
        <v>850</v>
      </c>
      <c r="G22" s="31" t="n">
        <v>850</v>
      </c>
      <c r="H22" s="31" t="n">
        <v>850</v>
      </c>
      <c r="I22" s="31" t="n">
        <v>850</v>
      </c>
      <c r="J22" s="31" t="n">
        <v>850</v>
      </c>
      <c r="K22" s="31" t="n">
        <v>850</v>
      </c>
      <c r="L22" s="31" t="n">
        <v>850</v>
      </c>
      <c r="M22" s="31" t="n">
        <v>850</v>
      </c>
      <c r="N22" s="31" t="n">
        <v>850</v>
      </c>
      <c r="O22" s="38">
        <f>SUM(C22:N22)</f>
        <v/>
      </c>
      <c r="P22" s="18">
        <f>SUMIFS('LANÇAMENTOS'!$AE$6:$AE$2005,'LANÇAMENTOS'!$G$6:$G$2005,$A22,'LANÇAMENTOS'!$Z$6:$Z$2005,1,'LANÇAMENTOS'!$AA$6:$AA$2005,'CONFIGURAÇÕES'!$B$18)</f>
        <v/>
      </c>
      <c r="Q22" s="18">
        <f>SUMIFS('LANÇAMENTOS'!$AE$6:$AE$2005,'LANÇAMENTOS'!$G$6:$G$2005,$A22,'LANÇAMENTOS'!$Z$6:$Z$2005,2,'LANÇAMENTOS'!$AA$6:$AA$2005,'CONFIGURAÇÕES'!$B$18)</f>
        <v/>
      </c>
      <c r="R22" s="18">
        <f>SUMIFS('LANÇAMENTOS'!$AE$6:$AE$2005,'LANÇAMENTOS'!$G$6:$G$2005,$A22,'LANÇAMENTOS'!$Z$6:$Z$2005,3,'LANÇAMENTOS'!$AA$6:$AA$2005,'CONFIGURAÇÕES'!$B$18)</f>
        <v/>
      </c>
      <c r="S22" s="18">
        <f>SUMIFS('LANÇAMENTOS'!$AE$6:$AE$2005,'LANÇAMENTOS'!$G$6:$G$2005,$A22,'LANÇAMENTOS'!$Z$6:$Z$2005,4,'LANÇAMENTOS'!$AA$6:$AA$2005,'CONFIGURAÇÕES'!$B$18)</f>
        <v/>
      </c>
      <c r="T22" s="18">
        <f>SUMIFS('LANÇAMENTOS'!$AE$6:$AE$2005,'LANÇAMENTOS'!$G$6:$G$2005,$A22,'LANÇAMENTOS'!$Z$6:$Z$2005,5,'LANÇAMENTOS'!$AA$6:$AA$2005,'CONFIGURAÇÕES'!$B$18)</f>
        <v/>
      </c>
      <c r="U22" s="18">
        <f>SUMIFS('LANÇAMENTOS'!$AE$6:$AE$2005,'LANÇAMENTOS'!$G$6:$G$2005,$A22,'LANÇAMENTOS'!$Z$6:$Z$2005,6,'LANÇAMENTOS'!$AA$6:$AA$2005,'CONFIGURAÇÕES'!$B$18)</f>
        <v/>
      </c>
      <c r="V22" s="18">
        <f>SUMIFS('LANÇAMENTOS'!$AE$6:$AE$2005,'LANÇAMENTOS'!$G$6:$G$2005,$A22,'LANÇAMENTOS'!$Z$6:$Z$2005,7,'LANÇAMENTOS'!$AA$6:$AA$2005,'CONFIGURAÇÕES'!$B$18)</f>
        <v/>
      </c>
      <c r="W22" s="18">
        <f>SUMIFS('LANÇAMENTOS'!$AE$6:$AE$2005,'LANÇAMENTOS'!$G$6:$G$2005,$A22,'LANÇAMENTOS'!$Z$6:$Z$2005,8,'LANÇAMENTOS'!$AA$6:$AA$2005,'CONFIGURAÇÕES'!$B$18)</f>
        <v/>
      </c>
      <c r="X22" s="18">
        <f>SUMIFS('LANÇAMENTOS'!$AE$6:$AE$2005,'LANÇAMENTOS'!$G$6:$G$2005,$A22,'LANÇAMENTOS'!$Z$6:$Z$2005,9,'LANÇAMENTOS'!$AA$6:$AA$2005,'CONFIGURAÇÕES'!$B$18)</f>
        <v/>
      </c>
      <c r="Y22" s="18">
        <f>SUMIFS('LANÇAMENTOS'!$AE$6:$AE$2005,'LANÇAMENTOS'!$G$6:$G$2005,$A22,'LANÇAMENTOS'!$Z$6:$Z$2005,10,'LANÇAMENTOS'!$AA$6:$AA$2005,'CONFIGURAÇÕES'!$B$18)</f>
        <v/>
      </c>
      <c r="Z22" s="18">
        <f>SUMIFS('LANÇAMENTOS'!$AE$6:$AE$2005,'LANÇAMENTOS'!$G$6:$G$2005,$A22,'LANÇAMENTOS'!$Z$6:$Z$2005,11,'LANÇAMENTOS'!$AA$6:$AA$2005,'CONFIGURAÇÕES'!$B$18)</f>
        <v/>
      </c>
      <c r="AA22" s="18">
        <f>SUMIFS('LANÇAMENTOS'!$AE$6:$AE$2005,'LANÇAMENTOS'!$G$6:$G$2005,$A22,'LANÇAMENTOS'!$Z$6:$Z$2005,12,'LANÇAMENTOS'!$AA$6:$AA$2005,'CONFIGURAÇÕES'!$B$18)</f>
        <v/>
      </c>
      <c r="AB22" s="38">
        <f>SUM(P22:AA22)</f>
        <v/>
      </c>
      <c r="AC22" s="38">
        <f>$O22-$AB22</f>
        <v/>
      </c>
      <c r="AD22" s="23">
        <f>IF($O22=0,"",$AB22/$O22)</f>
        <v/>
      </c>
      <c r="AE22" s="17">
        <f>IF($O22=0,"Sem orçamento",IF($AB22&gt;$O22,"🔴 Estourou",IF($AB22&gt;$O22*0.9,"🟡 Atenção (&gt;90%)","🟢 Dentro do orçamento")))</f>
        <v/>
      </c>
    </row>
    <row r="23">
      <c r="A23" s="9" t="inlineStr">
        <is>
          <t>Material de Escritório</t>
        </is>
      </c>
      <c r="B23" s="17" t="inlineStr">
        <is>
          <t>DESPESAS OPERACIONAIS</t>
        </is>
      </c>
      <c r="C23" s="31" t="n">
        <v>400</v>
      </c>
      <c r="D23" s="31" t="n">
        <v>400</v>
      </c>
      <c r="E23" s="31" t="n">
        <v>400</v>
      </c>
      <c r="F23" s="31" t="n">
        <v>400</v>
      </c>
      <c r="G23" s="31" t="n">
        <v>400</v>
      </c>
      <c r="H23" s="31" t="n">
        <v>400</v>
      </c>
      <c r="I23" s="31" t="n">
        <v>400</v>
      </c>
      <c r="J23" s="31" t="n">
        <v>400</v>
      </c>
      <c r="K23" s="31" t="n">
        <v>400</v>
      </c>
      <c r="L23" s="31" t="n">
        <v>400</v>
      </c>
      <c r="M23" s="31" t="n">
        <v>400</v>
      </c>
      <c r="N23" s="31" t="n">
        <v>400</v>
      </c>
      <c r="O23" s="38">
        <f>SUM(C23:N23)</f>
        <v/>
      </c>
      <c r="P23" s="18">
        <f>SUMIFS('LANÇAMENTOS'!$AE$6:$AE$2005,'LANÇAMENTOS'!$G$6:$G$2005,$A23,'LANÇAMENTOS'!$Z$6:$Z$2005,1,'LANÇAMENTOS'!$AA$6:$AA$2005,'CONFIGURAÇÕES'!$B$18)</f>
        <v/>
      </c>
      <c r="Q23" s="18">
        <f>SUMIFS('LANÇAMENTOS'!$AE$6:$AE$2005,'LANÇAMENTOS'!$G$6:$G$2005,$A23,'LANÇAMENTOS'!$Z$6:$Z$2005,2,'LANÇAMENTOS'!$AA$6:$AA$2005,'CONFIGURAÇÕES'!$B$18)</f>
        <v/>
      </c>
      <c r="R23" s="18">
        <f>SUMIFS('LANÇAMENTOS'!$AE$6:$AE$2005,'LANÇAMENTOS'!$G$6:$G$2005,$A23,'LANÇAMENTOS'!$Z$6:$Z$2005,3,'LANÇAMENTOS'!$AA$6:$AA$2005,'CONFIGURAÇÕES'!$B$18)</f>
        <v/>
      </c>
      <c r="S23" s="18">
        <f>SUMIFS('LANÇAMENTOS'!$AE$6:$AE$2005,'LANÇAMENTOS'!$G$6:$G$2005,$A23,'LANÇAMENTOS'!$Z$6:$Z$2005,4,'LANÇAMENTOS'!$AA$6:$AA$2005,'CONFIGURAÇÕES'!$B$18)</f>
        <v/>
      </c>
      <c r="T23" s="18">
        <f>SUMIFS('LANÇAMENTOS'!$AE$6:$AE$2005,'LANÇAMENTOS'!$G$6:$G$2005,$A23,'LANÇAMENTOS'!$Z$6:$Z$2005,5,'LANÇAMENTOS'!$AA$6:$AA$2005,'CONFIGURAÇÕES'!$B$18)</f>
        <v/>
      </c>
      <c r="U23" s="18">
        <f>SUMIFS('LANÇAMENTOS'!$AE$6:$AE$2005,'LANÇAMENTOS'!$G$6:$G$2005,$A23,'LANÇAMENTOS'!$Z$6:$Z$2005,6,'LANÇAMENTOS'!$AA$6:$AA$2005,'CONFIGURAÇÕES'!$B$18)</f>
        <v/>
      </c>
      <c r="V23" s="18">
        <f>SUMIFS('LANÇAMENTOS'!$AE$6:$AE$2005,'LANÇAMENTOS'!$G$6:$G$2005,$A23,'LANÇAMENTOS'!$Z$6:$Z$2005,7,'LANÇAMENTOS'!$AA$6:$AA$2005,'CONFIGURAÇÕES'!$B$18)</f>
        <v/>
      </c>
      <c r="W23" s="18">
        <f>SUMIFS('LANÇAMENTOS'!$AE$6:$AE$2005,'LANÇAMENTOS'!$G$6:$G$2005,$A23,'LANÇAMENTOS'!$Z$6:$Z$2005,8,'LANÇAMENTOS'!$AA$6:$AA$2005,'CONFIGURAÇÕES'!$B$18)</f>
        <v/>
      </c>
      <c r="X23" s="18">
        <f>SUMIFS('LANÇAMENTOS'!$AE$6:$AE$2005,'LANÇAMENTOS'!$G$6:$G$2005,$A23,'LANÇAMENTOS'!$Z$6:$Z$2005,9,'LANÇAMENTOS'!$AA$6:$AA$2005,'CONFIGURAÇÕES'!$B$18)</f>
        <v/>
      </c>
      <c r="Y23" s="18">
        <f>SUMIFS('LANÇAMENTOS'!$AE$6:$AE$2005,'LANÇAMENTOS'!$G$6:$G$2005,$A23,'LANÇAMENTOS'!$Z$6:$Z$2005,10,'LANÇAMENTOS'!$AA$6:$AA$2005,'CONFIGURAÇÕES'!$B$18)</f>
        <v/>
      </c>
      <c r="Z23" s="18">
        <f>SUMIFS('LANÇAMENTOS'!$AE$6:$AE$2005,'LANÇAMENTOS'!$G$6:$G$2005,$A23,'LANÇAMENTOS'!$Z$6:$Z$2005,11,'LANÇAMENTOS'!$AA$6:$AA$2005,'CONFIGURAÇÕES'!$B$18)</f>
        <v/>
      </c>
      <c r="AA23" s="18">
        <f>SUMIFS('LANÇAMENTOS'!$AE$6:$AE$2005,'LANÇAMENTOS'!$G$6:$G$2005,$A23,'LANÇAMENTOS'!$Z$6:$Z$2005,12,'LANÇAMENTOS'!$AA$6:$AA$2005,'CONFIGURAÇÕES'!$B$18)</f>
        <v/>
      </c>
      <c r="AB23" s="38">
        <f>SUM(P23:AA23)</f>
        <v/>
      </c>
      <c r="AC23" s="38">
        <f>$O23-$AB23</f>
        <v/>
      </c>
      <c r="AD23" s="23">
        <f>IF($O23=0,"",$AB23/$O23)</f>
        <v/>
      </c>
      <c r="AE23" s="17">
        <f>IF($O23=0,"Sem orçamento",IF($AB23&gt;$O23,"🔴 Estourou",IF($AB23&gt;$O23*0.9,"🟡 Atenção (&gt;90%)","🟢 Dentro do orçamento")))</f>
        <v/>
      </c>
    </row>
    <row r="24">
      <c r="A24" s="9" t="inlineStr">
        <is>
          <t>Manutenção e Conservação</t>
        </is>
      </c>
      <c r="B24" s="17" t="inlineStr">
        <is>
          <t>DESPESAS OPERACIONAIS</t>
        </is>
      </c>
      <c r="C24" s="31" t="n">
        <v>1750</v>
      </c>
      <c r="D24" s="31" t="n">
        <v>600</v>
      </c>
      <c r="E24" s="31" t="n">
        <v>1800</v>
      </c>
      <c r="F24" s="31" t="n">
        <v>700</v>
      </c>
      <c r="G24" s="31" t="n">
        <v>1850</v>
      </c>
      <c r="H24" s="31" t="n">
        <v>700</v>
      </c>
      <c r="I24" s="31" t="n">
        <v>1850</v>
      </c>
      <c r="J24" s="31" t="n">
        <v>900</v>
      </c>
      <c r="K24" s="31" t="n">
        <v>1900</v>
      </c>
      <c r="L24" s="31" t="n">
        <v>900</v>
      </c>
      <c r="M24" s="31" t="n">
        <v>950</v>
      </c>
      <c r="N24" s="31" t="n">
        <v>1000</v>
      </c>
      <c r="O24" s="38">
        <f>SUM(C24:N24)</f>
        <v/>
      </c>
      <c r="P24" s="18">
        <f>SUMIFS('LANÇAMENTOS'!$AE$6:$AE$2005,'LANÇAMENTOS'!$G$6:$G$2005,$A24,'LANÇAMENTOS'!$Z$6:$Z$2005,1,'LANÇAMENTOS'!$AA$6:$AA$2005,'CONFIGURAÇÕES'!$B$18)</f>
        <v/>
      </c>
      <c r="Q24" s="18">
        <f>SUMIFS('LANÇAMENTOS'!$AE$6:$AE$2005,'LANÇAMENTOS'!$G$6:$G$2005,$A24,'LANÇAMENTOS'!$Z$6:$Z$2005,2,'LANÇAMENTOS'!$AA$6:$AA$2005,'CONFIGURAÇÕES'!$B$18)</f>
        <v/>
      </c>
      <c r="R24" s="18">
        <f>SUMIFS('LANÇAMENTOS'!$AE$6:$AE$2005,'LANÇAMENTOS'!$G$6:$G$2005,$A24,'LANÇAMENTOS'!$Z$6:$Z$2005,3,'LANÇAMENTOS'!$AA$6:$AA$2005,'CONFIGURAÇÕES'!$B$18)</f>
        <v/>
      </c>
      <c r="S24" s="18">
        <f>SUMIFS('LANÇAMENTOS'!$AE$6:$AE$2005,'LANÇAMENTOS'!$G$6:$G$2005,$A24,'LANÇAMENTOS'!$Z$6:$Z$2005,4,'LANÇAMENTOS'!$AA$6:$AA$2005,'CONFIGURAÇÕES'!$B$18)</f>
        <v/>
      </c>
      <c r="T24" s="18">
        <f>SUMIFS('LANÇAMENTOS'!$AE$6:$AE$2005,'LANÇAMENTOS'!$G$6:$G$2005,$A24,'LANÇAMENTOS'!$Z$6:$Z$2005,5,'LANÇAMENTOS'!$AA$6:$AA$2005,'CONFIGURAÇÕES'!$B$18)</f>
        <v/>
      </c>
      <c r="U24" s="18">
        <f>SUMIFS('LANÇAMENTOS'!$AE$6:$AE$2005,'LANÇAMENTOS'!$G$6:$G$2005,$A24,'LANÇAMENTOS'!$Z$6:$Z$2005,6,'LANÇAMENTOS'!$AA$6:$AA$2005,'CONFIGURAÇÕES'!$B$18)</f>
        <v/>
      </c>
      <c r="V24" s="18">
        <f>SUMIFS('LANÇAMENTOS'!$AE$6:$AE$2005,'LANÇAMENTOS'!$G$6:$G$2005,$A24,'LANÇAMENTOS'!$Z$6:$Z$2005,7,'LANÇAMENTOS'!$AA$6:$AA$2005,'CONFIGURAÇÕES'!$B$18)</f>
        <v/>
      </c>
      <c r="W24" s="18">
        <f>SUMIFS('LANÇAMENTOS'!$AE$6:$AE$2005,'LANÇAMENTOS'!$G$6:$G$2005,$A24,'LANÇAMENTOS'!$Z$6:$Z$2005,8,'LANÇAMENTOS'!$AA$6:$AA$2005,'CONFIGURAÇÕES'!$B$18)</f>
        <v/>
      </c>
      <c r="X24" s="18">
        <f>SUMIFS('LANÇAMENTOS'!$AE$6:$AE$2005,'LANÇAMENTOS'!$G$6:$G$2005,$A24,'LANÇAMENTOS'!$Z$6:$Z$2005,9,'LANÇAMENTOS'!$AA$6:$AA$2005,'CONFIGURAÇÕES'!$B$18)</f>
        <v/>
      </c>
      <c r="Y24" s="18">
        <f>SUMIFS('LANÇAMENTOS'!$AE$6:$AE$2005,'LANÇAMENTOS'!$G$6:$G$2005,$A24,'LANÇAMENTOS'!$Z$6:$Z$2005,10,'LANÇAMENTOS'!$AA$6:$AA$2005,'CONFIGURAÇÕES'!$B$18)</f>
        <v/>
      </c>
      <c r="Z24" s="18">
        <f>SUMIFS('LANÇAMENTOS'!$AE$6:$AE$2005,'LANÇAMENTOS'!$G$6:$G$2005,$A24,'LANÇAMENTOS'!$Z$6:$Z$2005,11,'LANÇAMENTOS'!$AA$6:$AA$2005,'CONFIGURAÇÕES'!$B$18)</f>
        <v/>
      </c>
      <c r="AA24" s="18">
        <f>SUMIFS('LANÇAMENTOS'!$AE$6:$AE$2005,'LANÇAMENTOS'!$G$6:$G$2005,$A24,'LANÇAMENTOS'!$Z$6:$Z$2005,12,'LANÇAMENTOS'!$AA$6:$AA$2005,'CONFIGURAÇÕES'!$B$18)</f>
        <v/>
      </c>
      <c r="AB24" s="38">
        <f>SUM(P24:AA24)</f>
        <v/>
      </c>
      <c r="AC24" s="38">
        <f>$O24-$AB24</f>
        <v/>
      </c>
      <c r="AD24" s="23">
        <f>IF($O24=0,"",$AB24/$O24)</f>
        <v/>
      </c>
      <c r="AE24" s="17">
        <f>IF($O24=0,"Sem orçamento",IF($AB24&gt;$O24,"🔴 Estourou",IF($AB24&gt;$O24*0.9,"🟡 Atenção (&gt;90%)","🟢 Dentro do orçamento")))</f>
        <v/>
      </c>
    </row>
    <row r="25">
      <c r="A25" s="9" t="inlineStr">
        <is>
          <t>Seguros</t>
        </is>
      </c>
      <c r="B25" s="17" t="inlineStr">
        <is>
          <t>DESPESAS OPERACIONAIS</t>
        </is>
      </c>
      <c r="C25" s="31" t="n">
        <v>260</v>
      </c>
      <c r="D25" s="31" t="n">
        <v>260</v>
      </c>
      <c r="E25" s="31" t="n">
        <v>780</v>
      </c>
      <c r="F25" s="31" t="n">
        <v>260</v>
      </c>
      <c r="G25" s="31" t="n">
        <v>260</v>
      </c>
      <c r="H25" s="31" t="n">
        <v>780</v>
      </c>
      <c r="I25" s="31" t="n">
        <v>260</v>
      </c>
      <c r="J25" s="31" t="n">
        <v>260</v>
      </c>
      <c r="K25" s="31" t="n">
        <v>780</v>
      </c>
      <c r="L25" s="31" t="n">
        <v>260</v>
      </c>
      <c r="M25" s="31" t="n">
        <v>260</v>
      </c>
      <c r="N25" s="31" t="n">
        <v>780</v>
      </c>
      <c r="O25" s="38">
        <f>SUM(C25:N25)</f>
        <v/>
      </c>
      <c r="P25" s="18">
        <f>SUMIFS('LANÇAMENTOS'!$AE$6:$AE$2005,'LANÇAMENTOS'!$G$6:$G$2005,$A25,'LANÇAMENTOS'!$Z$6:$Z$2005,1,'LANÇAMENTOS'!$AA$6:$AA$2005,'CONFIGURAÇÕES'!$B$18)</f>
        <v/>
      </c>
      <c r="Q25" s="18">
        <f>SUMIFS('LANÇAMENTOS'!$AE$6:$AE$2005,'LANÇAMENTOS'!$G$6:$G$2005,$A25,'LANÇAMENTOS'!$Z$6:$Z$2005,2,'LANÇAMENTOS'!$AA$6:$AA$2005,'CONFIGURAÇÕES'!$B$18)</f>
        <v/>
      </c>
      <c r="R25" s="18">
        <f>SUMIFS('LANÇAMENTOS'!$AE$6:$AE$2005,'LANÇAMENTOS'!$G$6:$G$2005,$A25,'LANÇAMENTOS'!$Z$6:$Z$2005,3,'LANÇAMENTOS'!$AA$6:$AA$2005,'CONFIGURAÇÕES'!$B$18)</f>
        <v/>
      </c>
      <c r="S25" s="18">
        <f>SUMIFS('LANÇAMENTOS'!$AE$6:$AE$2005,'LANÇAMENTOS'!$G$6:$G$2005,$A25,'LANÇAMENTOS'!$Z$6:$Z$2005,4,'LANÇAMENTOS'!$AA$6:$AA$2005,'CONFIGURAÇÕES'!$B$18)</f>
        <v/>
      </c>
      <c r="T25" s="18">
        <f>SUMIFS('LANÇAMENTOS'!$AE$6:$AE$2005,'LANÇAMENTOS'!$G$6:$G$2005,$A25,'LANÇAMENTOS'!$Z$6:$Z$2005,5,'LANÇAMENTOS'!$AA$6:$AA$2005,'CONFIGURAÇÕES'!$B$18)</f>
        <v/>
      </c>
      <c r="U25" s="18">
        <f>SUMIFS('LANÇAMENTOS'!$AE$6:$AE$2005,'LANÇAMENTOS'!$G$6:$G$2005,$A25,'LANÇAMENTOS'!$Z$6:$Z$2005,6,'LANÇAMENTOS'!$AA$6:$AA$2005,'CONFIGURAÇÕES'!$B$18)</f>
        <v/>
      </c>
      <c r="V25" s="18">
        <f>SUMIFS('LANÇAMENTOS'!$AE$6:$AE$2005,'LANÇAMENTOS'!$G$6:$G$2005,$A25,'LANÇAMENTOS'!$Z$6:$Z$2005,7,'LANÇAMENTOS'!$AA$6:$AA$2005,'CONFIGURAÇÕES'!$B$18)</f>
        <v/>
      </c>
      <c r="W25" s="18">
        <f>SUMIFS('LANÇAMENTOS'!$AE$6:$AE$2005,'LANÇAMENTOS'!$G$6:$G$2005,$A25,'LANÇAMENTOS'!$Z$6:$Z$2005,8,'LANÇAMENTOS'!$AA$6:$AA$2005,'CONFIGURAÇÕES'!$B$18)</f>
        <v/>
      </c>
      <c r="X25" s="18">
        <f>SUMIFS('LANÇAMENTOS'!$AE$6:$AE$2005,'LANÇAMENTOS'!$G$6:$G$2005,$A25,'LANÇAMENTOS'!$Z$6:$Z$2005,9,'LANÇAMENTOS'!$AA$6:$AA$2005,'CONFIGURAÇÕES'!$B$18)</f>
        <v/>
      </c>
      <c r="Y25" s="18">
        <f>SUMIFS('LANÇAMENTOS'!$AE$6:$AE$2005,'LANÇAMENTOS'!$G$6:$G$2005,$A25,'LANÇAMENTOS'!$Z$6:$Z$2005,10,'LANÇAMENTOS'!$AA$6:$AA$2005,'CONFIGURAÇÕES'!$B$18)</f>
        <v/>
      </c>
      <c r="Z25" s="18">
        <f>SUMIFS('LANÇAMENTOS'!$AE$6:$AE$2005,'LANÇAMENTOS'!$G$6:$G$2005,$A25,'LANÇAMENTOS'!$Z$6:$Z$2005,11,'LANÇAMENTOS'!$AA$6:$AA$2005,'CONFIGURAÇÕES'!$B$18)</f>
        <v/>
      </c>
      <c r="AA25" s="18">
        <f>SUMIFS('LANÇAMENTOS'!$AE$6:$AE$2005,'LANÇAMENTOS'!$G$6:$G$2005,$A25,'LANÇAMENTOS'!$Z$6:$Z$2005,12,'LANÇAMENTOS'!$AA$6:$AA$2005,'CONFIGURAÇÕES'!$B$18)</f>
        <v/>
      </c>
      <c r="AB25" s="38">
        <f>SUM(P25:AA25)</f>
        <v/>
      </c>
      <c r="AC25" s="38">
        <f>$O25-$AB25</f>
        <v/>
      </c>
      <c r="AD25" s="23">
        <f>IF($O25=0,"",$AB25/$O25)</f>
        <v/>
      </c>
      <c r="AE25" s="17">
        <f>IF($O25=0,"Sem orçamento",IF($AB25&gt;$O25,"🔴 Estourou",IF($AB25&gt;$O25*0.9,"🟡 Atenção (&gt;90%)","🟢 Dentro do orçamento")))</f>
        <v/>
      </c>
    </row>
    <row r="26">
      <c r="A26" s="9" t="inlineStr">
        <is>
          <t>Salários</t>
        </is>
      </c>
      <c r="B26" s="17" t="inlineStr">
        <is>
          <t>DESPESAS OPERACIONAIS</t>
        </is>
      </c>
      <c r="C26" s="31" t="n">
        <v>16000</v>
      </c>
      <c r="D26" s="31" t="n">
        <v>16000</v>
      </c>
      <c r="E26" s="31" t="n">
        <v>16000</v>
      </c>
      <c r="F26" s="31" t="n">
        <v>16000</v>
      </c>
      <c r="G26" s="31" t="n">
        <v>16000</v>
      </c>
      <c r="H26" s="31" t="n">
        <v>16000</v>
      </c>
      <c r="I26" s="31" t="n">
        <v>16000</v>
      </c>
      <c r="J26" s="31" t="n">
        <v>16000</v>
      </c>
      <c r="K26" s="31" t="n">
        <v>16000</v>
      </c>
      <c r="L26" s="31" t="n">
        <v>16000</v>
      </c>
      <c r="M26" s="31" t="n">
        <v>16000</v>
      </c>
      <c r="N26" s="31" t="n">
        <v>16000</v>
      </c>
      <c r="O26" s="38">
        <f>SUM(C26:N26)</f>
        <v/>
      </c>
      <c r="P26" s="18">
        <f>SUMIFS('LANÇAMENTOS'!$AE$6:$AE$2005,'LANÇAMENTOS'!$G$6:$G$2005,$A26,'LANÇAMENTOS'!$Z$6:$Z$2005,1,'LANÇAMENTOS'!$AA$6:$AA$2005,'CONFIGURAÇÕES'!$B$18)</f>
        <v/>
      </c>
      <c r="Q26" s="18">
        <f>SUMIFS('LANÇAMENTOS'!$AE$6:$AE$2005,'LANÇAMENTOS'!$G$6:$G$2005,$A26,'LANÇAMENTOS'!$Z$6:$Z$2005,2,'LANÇAMENTOS'!$AA$6:$AA$2005,'CONFIGURAÇÕES'!$B$18)</f>
        <v/>
      </c>
      <c r="R26" s="18">
        <f>SUMIFS('LANÇAMENTOS'!$AE$6:$AE$2005,'LANÇAMENTOS'!$G$6:$G$2005,$A26,'LANÇAMENTOS'!$Z$6:$Z$2005,3,'LANÇAMENTOS'!$AA$6:$AA$2005,'CONFIGURAÇÕES'!$B$18)</f>
        <v/>
      </c>
      <c r="S26" s="18">
        <f>SUMIFS('LANÇAMENTOS'!$AE$6:$AE$2005,'LANÇAMENTOS'!$G$6:$G$2005,$A26,'LANÇAMENTOS'!$Z$6:$Z$2005,4,'LANÇAMENTOS'!$AA$6:$AA$2005,'CONFIGURAÇÕES'!$B$18)</f>
        <v/>
      </c>
      <c r="T26" s="18">
        <f>SUMIFS('LANÇAMENTOS'!$AE$6:$AE$2005,'LANÇAMENTOS'!$G$6:$G$2005,$A26,'LANÇAMENTOS'!$Z$6:$Z$2005,5,'LANÇAMENTOS'!$AA$6:$AA$2005,'CONFIGURAÇÕES'!$B$18)</f>
        <v/>
      </c>
      <c r="U26" s="18">
        <f>SUMIFS('LANÇAMENTOS'!$AE$6:$AE$2005,'LANÇAMENTOS'!$G$6:$G$2005,$A26,'LANÇAMENTOS'!$Z$6:$Z$2005,6,'LANÇAMENTOS'!$AA$6:$AA$2005,'CONFIGURAÇÕES'!$B$18)</f>
        <v/>
      </c>
      <c r="V26" s="18">
        <f>SUMIFS('LANÇAMENTOS'!$AE$6:$AE$2005,'LANÇAMENTOS'!$G$6:$G$2005,$A26,'LANÇAMENTOS'!$Z$6:$Z$2005,7,'LANÇAMENTOS'!$AA$6:$AA$2005,'CONFIGURAÇÕES'!$B$18)</f>
        <v/>
      </c>
      <c r="W26" s="18">
        <f>SUMIFS('LANÇAMENTOS'!$AE$6:$AE$2005,'LANÇAMENTOS'!$G$6:$G$2005,$A26,'LANÇAMENTOS'!$Z$6:$Z$2005,8,'LANÇAMENTOS'!$AA$6:$AA$2005,'CONFIGURAÇÕES'!$B$18)</f>
        <v/>
      </c>
      <c r="X26" s="18">
        <f>SUMIFS('LANÇAMENTOS'!$AE$6:$AE$2005,'LANÇAMENTOS'!$G$6:$G$2005,$A26,'LANÇAMENTOS'!$Z$6:$Z$2005,9,'LANÇAMENTOS'!$AA$6:$AA$2005,'CONFIGURAÇÕES'!$B$18)</f>
        <v/>
      </c>
      <c r="Y26" s="18">
        <f>SUMIFS('LANÇAMENTOS'!$AE$6:$AE$2005,'LANÇAMENTOS'!$G$6:$G$2005,$A26,'LANÇAMENTOS'!$Z$6:$Z$2005,10,'LANÇAMENTOS'!$AA$6:$AA$2005,'CONFIGURAÇÕES'!$B$18)</f>
        <v/>
      </c>
      <c r="Z26" s="18">
        <f>SUMIFS('LANÇAMENTOS'!$AE$6:$AE$2005,'LANÇAMENTOS'!$G$6:$G$2005,$A26,'LANÇAMENTOS'!$Z$6:$Z$2005,11,'LANÇAMENTOS'!$AA$6:$AA$2005,'CONFIGURAÇÕES'!$B$18)</f>
        <v/>
      </c>
      <c r="AA26" s="18">
        <f>SUMIFS('LANÇAMENTOS'!$AE$6:$AE$2005,'LANÇAMENTOS'!$G$6:$G$2005,$A26,'LANÇAMENTOS'!$Z$6:$Z$2005,12,'LANÇAMENTOS'!$AA$6:$AA$2005,'CONFIGURAÇÕES'!$B$18)</f>
        <v/>
      </c>
      <c r="AB26" s="38">
        <f>SUM(P26:AA26)</f>
        <v/>
      </c>
      <c r="AC26" s="38">
        <f>$O26-$AB26</f>
        <v/>
      </c>
      <c r="AD26" s="23">
        <f>IF($O26=0,"",$AB26/$O26)</f>
        <v/>
      </c>
      <c r="AE26" s="17">
        <f>IF($O26=0,"Sem orçamento",IF($AB26&gt;$O26,"🔴 Estourou",IF($AB26&gt;$O26*0.9,"🟡 Atenção (&gt;90%)","🟢 Dentro do orçamento")))</f>
        <v/>
      </c>
    </row>
    <row r="27">
      <c r="A27" s="9" t="inlineStr">
        <is>
          <t>Encargos Sociais (FGTS/INSS)</t>
        </is>
      </c>
      <c r="B27" s="17" t="inlineStr">
        <is>
          <t>DESPESAS OPERACIONAIS</t>
        </is>
      </c>
      <c r="C27" s="31" t="n">
        <v>5600</v>
      </c>
      <c r="D27" s="31" t="n">
        <v>5600</v>
      </c>
      <c r="E27" s="31" t="n">
        <v>5600</v>
      </c>
      <c r="F27" s="31" t="n">
        <v>5600</v>
      </c>
      <c r="G27" s="31" t="n">
        <v>5600</v>
      </c>
      <c r="H27" s="31" t="n">
        <v>5600</v>
      </c>
      <c r="I27" s="31" t="n">
        <v>5600</v>
      </c>
      <c r="J27" s="31" t="n">
        <v>5600</v>
      </c>
      <c r="K27" s="31" t="n">
        <v>5600</v>
      </c>
      <c r="L27" s="31" t="n">
        <v>5600</v>
      </c>
      <c r="M27" s="31" t="n">
        <v>5600</v>
      </c>
      <c r="N27" s="31" t="n">
        <v>5600</v>
      </c>
      <c r="O27" s="38">
        <f>SUM(C27:N27)</f>
        <v/>
      </c>
      <c r="P27" s="18">
        <f>SUMIFS('LANÇAMENTOS'!$AE$6:$AE$2005,'LANÇAMENTOS'!$G$6:$G$2005,$A27,'LANÇAMENTOS'!$Z$6:$Z$2005,1,'LANÇAMENTOS'!$AA$6:$AA$2005,'CONFIGURAÇÕES'!$B$18)</f>
        <v/>
      </c>
      <c r="Q27" s="18">
        <f>SUMIFS('LANÇAMENTOS'!$AE$6:$AE$2005,'LANÇAMENTOS'!$G$6:$G$2005,$A27,'LANÇAMENTOS'!$Z$6:$Z$2005,2,'LANÇAMENTOS'!$AA$6:$AA$2005,'CONFIGURAÇÕES'!$B$18)</f>
        <v/>
      </c>
      <c r="R27" s="18">
        <f>SUMIFS('LANÇAMENTOS'!$AE$6:$AE$2005,'LANÇAMENTOS'!$G$6:$G$2005,$A27,'LANÇAMENTOS'!$Z$6:$Z$2005,3,'LANÇAMENTOS'!$AA$6:$AA$2005,'CONFIGURAÇÕES'!$B$18)</f>
        <v/>
      </c>
      <c r="S27" s="18">
        <f>SUMIFS('LANÇAMENTOS'!$AE$6:$AE$2005,'LANÇAMENTOS'!$G$6:$G$2005,$A27,'LANÇAMENTOS'!$Z$6:$Z$2005,4,'LANÇAMENTOS'!$AA$6:$AA$2005,'CONFIGURAÇÕES'!$B$18)</f>
        <v/>
      </c>
      <c r="T27" s="18">
        <f>SUMIFS('LANÇAMENTOS'!$AE$6:$AE$2005,'LANÇAMENTOS'!$G$6:$G$2005,$A27,'LANÇAMENTOS'!$Z$6:$Z$2005,5,'LANÇAMENTOS'!$AA$6:$AA$2005,'CONFIGURAÇÕES'!$B$18)</f>
        <v/>
      </c>
      <c r="U27" s="18">
        <f>SUMIFS('LANÇAMENTOS'!$AE$6:$AE$2005,'LANÇAMENTOS'!$G$6:$G$2005,$A27,'LANÇAMENTOS'!$Z$6:$Z$2005,6,'LANÇAMENTOS'!$AA$6:$AA$2005,'CONFIGURAÇÕES'!$B$18)</f>
        <v/>
      </c>
      <c r="V27" s="18">
        <f>SUMIFS('LANÇAMENTOS'!$AE$6:$AE$2005,'LANÇAMENTOS'!$G$6:$G$2005,$A27,'LANÇAMENTOS'!$Z$6:$Z$2005,7,'LANÇAMENTOS'!$AA$6:$AA$2005,'CONFIGURAÇÕES'!$B$18)</f>
        <v/>
      </c>
      <c r="W27" s="18">
        <f>SUMIFS('LANÇAMENTOS'!$AE$6:$AE$2005,'LANÇAMENTOS'!$G$6:$G$2005,$A27,'LANÇAMENTOS'!$Z$6:$Z$2005,8,'LANÇAMENTOS'!$AA$6:$AA$2005,'CONFIGURAÇÕES'!$B$18)</f>
        <v/>
      </c>
      <c r="X27" s="18">
        <f>SUMIFS('LANÇAMENTOS'!$AE$6:$AE$2005,'LANÇAMENTOS'!$G$6:$G$2005,$A27,'LANÇAMENTOS'!$Z$6:$Z$2005,9,'LANÇAMENTOS'!$AA$6:$AA$2005,'CONFIGURAÇÕES'!$B$18)</f>
        <v/>
      </c>
      <c r="Y27" s="18">
        <f>SUMIFS('LANÇAMENTOS'!$AE$6:$AE$2005,'LANÇAMENTOS'!$G$6:$G$2005,$A27,'LANÇAMENTOS'!$Z$6:$Z$2005,10,'LANÇAMENTOS'!$AA$6:$AA$2005,'CONFIGURAÇÕES'!$B$18)</f>
        <v/>
      </c>
      <c r="Z27" s="18">
        <f>SUMIFS('LANÇAMENTOS'!$AE$6:$AE$2005,'LANÇAMENTOS'!$G$6:$G$2005,$A27,'LANÇAMENTOS'!$Z$6:$Z$2005,11,'LANÇAMENTOS'!$AA$6:$AA$2005,'CONFIGURAÇÕES'!$B$18)</f>
        <v/>
      </c>
      <c r="AA27" s="18">
        <f>SUMIFS('LANÇAMENTOS'!$AE$6:$AE$2005,'LANÇAMENTOS'!$G$6:$G$2005,$A27,'LANÇAMENTOS'!$Z$6:$Z$2005,12,'LANÇAMENTOS'!$AA$6:$AA$2005,'CONFIGURAÇÕES'!$B$18)</f>
        <v/>
      </c>
      <c r="AB27" s="38">
        <f>SUM(P27:AA27)</f>
        <v/>
      </c>
      <c r="AC27" s="38">
        <f>$O27-$AB27</f>
        <v/>
      </c>
      <c r="AD27" s="23">
        <f>IF($O27=0,"",$AB27/$O27)</f>
        <v/>
      </c>
      <c r="AE27" s="17">
        <f>IF($O27=0,"Sem orçamento",IF($AB27&gt;$O27,"🔴 Estourou",IF($AB27&gt;$O27*0.9,"🟡 Atenção (&gt;90%)","🟢 Dentro do orçamento")))</f>
        <v/>
      </c>
    </row>
    <row r="28">
      <c r="A28" s="9" t="inlineStr">
        <is>
          <t>Benefícios (VT/VA/Plano de Saúde)</t>
        </is>
      </c>
      <c r="B28" s="17" t="inlineStr">
        <is>
          <t>DESPESAS OPERACIONAIS</t>
        </is>
      </c>
      <c r="C28" s="31" t="n">
        <v>1900</v>
      </c>
      <c r="D28" s="31" t="n">
        <v>1900</v>
      </c>
      <c r="E28" s="31" t="n">
        <v>1900</v>
      </c>
      <c r="F28" s="31" t="n">
        <v>1900</v>
      </c>
      <c r="G28" s="31" t="n">
        <v>1900</v>
      </c>
      <c r="H28" s="31" t="n">
        <v>1900</v>
      </c>
      <c r="I28" s="31" t="n">
        <v>1900</v>
      </c>
      <c r="J28" s="31" t="n">
        <v>1900</v>
      </c>
      <c r="K28" s="31" t="n">
        <v>1900</v>
      </c>
      <c r="L28" s="31" t="n">
        <v>1900</v>
      </c>
      <c r="M28" s="31" t="n">
        <v>1900</v>
      </c>
      <c r="N28" s="31" t="n">
        <v>1900</v>
      </c>
      <c r="O28" s="38">
        <f>SUM(C28:N28)</f>
        <v/>
      </c>
      <c r="P28" s="18">
        <f>SUMIFS('LANÇAMENTOS'!$AE$6:$AE$2005,'LANÇAMENTOS'!$G$6:$G$2005,$A28,'LANÇAMENTOS'!$Z$6:$Z$2005,1,'LANÇAMENTOS'!$AA$6:$AA$2005,'CONFIGURAÇÕES'!$B$18)</f>
        <v/>
      </c>
      <c r="Q28" s="18">
        <f>SUMIFS('LANÇAMENTOS'!$AE$6:$AE$2005,'LANÇAMENTOS'!$G$6:$G$2005,$A28,'LANÇAMENTOS'!$Z$6:$Z$2005,2,'LANÇAMENTOS'!$AA$6:$AA$2005,'CONFIGURAÇÕES'!$B$18)</f>
        <v/>
      </c>
      <c r="R28" s="18">
        <f>SUMIFS('LANÇAMENTOS'!$AE$6:$AE$2005,'LANÇAMENTOS'!$G$6:$G$2005,$A28,'LANÇAMENTOS'!$Z$6:$Z$2005,3,'LANÇAMENTOS'!$AA$6:$AA$2005,'CONFIGURAÇÕES'!$B$18)</f>
        <v/>
      </c>
      <c r="S28" s="18">
        <f>SUMIFS('LANÇAMENTOS'!$AE$6:$AE$2005,'LANÇAMENTOS'!$G$6:$G$2005,$A28,'LANÇAMENTOS'!$Z$6:$Z$2005,4,'LANÇAMENTOS'!$AA$6:$AA$2005,'CONFIGURAÇÕES'!$B$18)</f>
        <v/>
      </c>
      <c r="T28" s="18">
        <f>SUMIFS('LANÇAMENTOS'!$AE$6:$AE$2005,'LANÇAMENTOS'!$G$6:$G$2005,$A28,'LANÇAMENTOS'!$Z$6:$Z$2005,5,'LANÇAMENTOS'!$AA$6:$AA$2005,'CONFIGURAÇÕES'!$B$18)</f>
        <v/>
      </c>
      <c r="U28" s="18">
        <f>SUMIFS('LANÇAMENTOS'!$AE$6:$AE$2005,'LANÇAMENTOS'!$G$6:$G$2005,$A28,'LANÇAMENTOS'!$Z$6:$Z$2005,6,'LANÇAMENTOS'!$AA$6:$AA$2005,'CONFIGURAÇÕES'!$B$18)</f>
        <v/>
      </c>
      <c r="V28" s="18">
        <f>SUMIFS('LANÇAMENTOS'!$AE$6:$AE$2005,'LANÇAMENTOS'!$G$6:$G$2005,$A28,'LANÇAMENTOS'!$Z$6:$Z$2005,7,'LANÇAMENTOS'!$AA$6:$AA$2005,'CONFIGURAÇÕES'!$B$18)</f>
        <v/>
      </c>
      <c r="W28" s="18">
        <f>SUMIFS('LANÇAMENTOS'!$AE$6:$AE$2005,'LANÇAMENTOS'!$G$6:$G$2005,$A28,'LANÇAMENTOS'!$Z$6:$Z$2005,8,'LANÇAMENTOS'!$AA$6:$AA$2005,'CONFIGURAÇÕES'!$B$18)</f>
        <v/>
      </c>
      <c r="X28" s="18">
        <f>SUMIFS('LANÇAMENTOS'!$AE$6:$AE$2005,'LANÇAMENTOS'!$G$6:$G$2005,$A28,'LANÇAMENTOS'!$Z$6:$Z$2005,9,'LANÇAMENTOS'!$AA$6:$AA$2005,'CONFIGURAÇÕES'!$B$18)</f>
        <v/>
      </c>
      <c r="Y28" s="18">
        <f>SUMIFS('LANÇAMENTOS'!$AE$6:$AE$2005,'LANÇAMENTOS'!$G$6:$G$2005,$A28,'LANÇAMENTOS'!$Z$6:$Z$2005,10,'LANÇAMENTOS'!$AA$6:$AA$2005,'CONFIGURAÇÕES'!$B$18)</f>
        <v/>
      </c>
      <c r="Z28" s="18">
        <f>SUMIFS('LANÇAMENTOS'!$AE$6:$AE$2005,'LANÇAMENTOS'!$G$6:$G$2005,$A28,'LANÇAMENTOS'!$Z$6:$Z$2005,11,'LANÇAMENTOS'!$AA$6:$AA$2005,'CONFIGURAÇÕES'!$B$18)</f>
        <v/>
      </c>
      <c r="AA28" s="18">
        <f>SUMIFS('LANÇAMENTOS'!$AE$6:$AE$2005,'LANÇAMENTOS'!$G$6:$G$2005,$A28,'LANÇAMENTOS'!$Z$6:$Z$2005,12,'LANÇAMENTOS'!$AA$6:$AA$2005,'CONFIGURAÇÕES'!$B$18)</f>
        <v/>
      </c>
      <c r="AB28" s="38">
        <f>SUM(P28:AA28)</f>
        <v/>
      </c>
      <c r="AC28" s="38">
        <f>$O28-$AB28</f>
        <v/>
      </c>
      <c r="AD28" s="23">
        <f>IF($O28=0,"",$AB28/$O28)</f>
        <v/>
      </c>
      <c r="AE28" s="17">
        <f>IF($O28=0,"Sem orçamento",IF($AB28&gt;$O28,"🔴 Estourou",IF($AB28&gt;$O28*0.9,"🟡 Atenção (&gt;90%)","🟢 Dentro do orçamento")))</f>
        <v/>
      </c>
    </row>
    <row r="29">
      <c r="A29" s="9" t="inlineStr">
        <is>
          <t>Pró-labore</t>
        </is>
      </c>
      <c r="B29" s="17" t="inlineStr">
        <is>
          <t>DESPESAS OPERACIONAIS</t>
        </is>
      </c>
      <c r="C29" s="31" t="n">
        <v>9500</v>
      </c>
      <c r="D29" s="31" t="n">
        <v>9500</v>
      </c>
      <c r="E29" s="31" t="n">
        <v>9500</v>
      </c>
      <c r="F29" s="31" t="n">
        <v>9500</v>
      </c>
      <c r="G29" s="31" t="n">
        <v>9500</v>
      </c>
      <c r="H29" s="31" t="n">
        <v>9500</v>
      </c>
      <c r="I29" s="31" t="n">
        <v>9500</v>
      </c>
      <c r="J29" s="31" t="n">
        <v>9500</v>
      </c>
      <c r="K29" s="31" t="n">
        <v>9500</v>
      </c>
      <c r="L29" s="31" t="n">
        <v>9500</v>
      </c>
      <c r="M29" s="31" t="n">
        <v>9500</v>
      </c>
      <c r="N29" s="31" t="n">
        <v>9500</v>
      </c>
      <c r="O29" s="38">
        <f>SUM(C29:N29)</f>
        <v/>
      </c>
      <c r="P29" s="18">
        <f>SUMIFS('LANÇAMENTOS'!$AE$6:$AE$2005,'LANÇAMENTOS'!$G$6:$G$2005,$A29,'LANÇAMENTOS'!$Z$6:$Z$2005,1,'LANÇAMENTOS'!$AA$6:$AA$2005,'CONFIGURAÇÕES'!$B$18)</f>
        <v/>
      </c>
      <c r="Q29" s="18">
        <f>SUMIFS('LANÇAMENTOS'!$AE$6:$AE$2005,'LANÇAMENTOS'!$G$6:$G$2005,$A29,'LANÇAMENTOS'!$Z$6:$Z$2005,2,'LANÇAMENTOS'!$AA$6:$AA$2005,'CONFIGURAÇÕES'!$B$18)</f>
        <v/>
      </c>
      <c r="R29" s="18">
        <f>SUMIFS('LANÇAMENTOS'!$AE$6:$AE$2005,'LANÇAMENTOS'!$G$6:$G$2005,$A29,'LANÇAMENTOS'!$Z$6:$Z$2005,3,'LANÇAMENTOS'!$AA$6:$AA$2005,'CONFIGURAÇÕES'!$B$18)</f>
        <v/>
      </c>
      <c r="S29" s="18">
        <f>SUMIFS('LANÇAMENTOS'!$AE$6:$AE$2005,'LANÇAMENTOS'!$G$6:$G$2005,$A29,'LANÇAMENTOS'!$Z$6:$Z$2005,4,'LANÇAMENTOS'!$AA$6:$AA$2005,'CONFIGURAÇÕES'!$B$18)</f>
        <v/>
      </c>
      <c r="T29" s="18">
        <f>SUMIFS('LANÇAMENTOS'!$AE$6:$AE$2005,'LANÇAMENTOS'!$G$6:$G$2005,$A29,'LANÇAMENTOS'!$Z$6:$Z$2005,5,'LANÇAMENTOS'!$AA$6:$AA$2005,'CONFIGURAÇÕES'!$B$18)</f>
        <v/>
      </c>
      <c r="U29" s="18">
        <f>SUMIFS('LANÇAMENTOS'!$AE$6:$AE$2005,'LANÇAMENTOS'!$G$6:$G$2005,$A29,'LANÇAMENTOS'!$Z$6:$Z$2005,6,'LANÇAMENTOS'!$AA$6:$AA$2005,'CONFIGURAÇÕES'!$B$18)</f>
        <v/>
      </c>
      <c r="V29" s="18">
        <f>SUMIFS('LANÇAMENTOS'!$AE$6:$AE$2005,'LANÇAMENTOS'!$G$6:$G$2005,$A29,'LANÇAMENTOS'!$Z$6:$Z$2005,7,'LANÇAMENTOS'!$AA$6:$AA$2005,'CONFIGURAÇÕES'!$B$18)</f>
        <v/>
      </c>
      <c r="W29" s="18">
        <f>SUMIFS('LANÇAMENTOS'!$AE$6:$AE$2005,'LANÇAMENTOS'!$G$6:$G$2005,$A29,'LANÇAMENTOS'!$Z$6:$Z$2005,8,'LANÇAMENTOS'!$AA$6:$AA$2005,'CONFIGURAÇÕES'!$B$18)</f>
        <v/>
      </c>
      <c r="X29" s="18">
        <f>SUMIFS('LANÇAMENTOS'!$AE$6:$AE$2005,'LANÇAMENTOS'!$G$6:$G$2005,$A29,'LANÇAMENTOS'!$Z$6:$Z$2005,9,'LANÇAMENTOS'!$AA$6:$AA$2005,'CONFIGURAÇÕES'!$B$18)</f>
        <v/>
      </c>
      <c r="Y29" s="18">
        <f>SUMIFS('LANÇAMENTOS'!$AE$6:$AE$2005,'LANÇAMENTOS'!$G$6:$G$2005,$A29,'LANÇAMENTOS'!$Z$6:$Z$2005,10,'LANÇAMENTOS'!$AA$6:$AA$2005,'CONFIGURAÇÕES'!$B$18)</f>
        <v/>
      </c>
      <c r="Z29" s="18">
        <f>SUMIFS('LANÇAMENTOS'!$AE$6:$AE$2005,'LANÇAMENTOS'!$G$6:$G$2005,$A29,'LANÇAMENTOS'!$Z$6:$Z$2005,11,'LANÇAMENTOS'!$AA$6:$AA$2005,'CONFIGURAÇÕES'!$B$18)</f>
        <v/>
      </c>
      <c r="AA29" s="18">
        <f>SUMIFS('LANÇAMENTOS'!$AE$6:$AE$2005,'LANÇAMENTOS'!$G$6:$G$2005,$A29,'LANÇAMENTOS'!$Z$6:$Z$2005,12,'LANÇAMENTOS'!$AA$6:$AA$2005,'CONFIGURAÇÕES'!$B$18)</f>
        <v/>
      </c>
      <c r="AB29" s="38">
        <f>SUM(P29:AA29)</f>
        <v/>
      </c>
      <c r="AC29" s="38">
        <f>$O29-$AB29</f>
        <v/>
      </c>
      <c r="AD29" s="23">
        <f>IF($O29=0,"",$AB29/$O29)</f>
        <v/>
      </c>
      <c r="AE29" s="17">
        <f>IF($O29=0,"Sem orçamento",IF($AB29&gt;$O29,"🔴 Estourou",IF($AB29&gt;$O29*0.9,"🟡 Atenção (&gt;90%)","🟢 Dentro do orçamento")))</f>
        <v/>
      </c>
    </row>
    <row r="30">
      <c r="A30" s="9" t="inlineStr">
        <is>
          <t>Serviços Terceirizados (PJ)</t>
        </is>
      </c>
      <c r="B30" s="17" t="inlineStr">
        <is>
          <t>DESPESAS OPERACIONAIS</t>
        </is>
      </c>
      <c r="C30" s="31" t="n">
        <v>1800</v>
      </c>
      <c r="D30" s="31" t="n">
        <v>1800</v>
      </c>
      <c r="E30" s="31" t="n">
        <v>1800</v>
      </c>
      <c r="F30" s="31" t="n">
        <v>1800</v>
      </c>
      <c r="G30" s="31" t="n">
        <v>1800</v>
      </c>
      <c r="H30" s="31" t="n">
        <v>1800</v>
      </c>
      <c r="I30" s="31" t="n">
        <v>1800</v>
      </c>
      <c r="J30" s="31" t="n">
        <v>1800</v>
      </c>
      <c r="K30" s="31" t="n">
        <v>1800</v>
      </c>
      <c r="L30" s="31" t="n">
        <v>1800</v>
      </c>
      <c r="M30" s="31" t="n">
        <v>1800</v>
      </c>
      <c r="N30" s="31" t="n">
        <v>1800</v>
      </c>
      <c r="O30" s="38">
        <f>SUM(C30:N30)</f>
        <v/>
      </c>
      <c r="P30" s="18">
        <f>SUMIFS('LANÇAMENTOS'!$AE$6:$AE$2005,'LANÇAMENTOS'!$G$6:$G$2005,$A30,'LANÇAMENTOS'!$Z$6:$Z$2005,1,'LANÇAMENTOS'!$AA$6:$AA$2005,'CONFIGURAÇÕES'!$B$18)</f>
        <v/>
      </c>
      <c r="Q30" s="18">
        <f>SUMIFS('LANÇAMENTOS'!$AE$6:$AE$2005,'LANÇAMENTOS'!$G$6:$G$2005,$A30,'LANÇAMENTOS'!$Z$6:$Z$2005,2,'LANÇAMENTOS'!$AA$6:$AA$2005,'CONFIGURAÇÕES'!$B$18)</f>
        <v/>
      </c>
      <c r="R30" s="18">
        <f>SUMIFS('LANÇAMENTOS'!$AE$6:$AE$2005,'LANÇAMENTOS'!$G$6:$G$2005,$A30,'LANÇAMENTOS'!$Z$6:$Z$2005,3,'LANÇAMENTOS'!$AA$6:$AA$2005,'CONFIGURAÇÕES'!$B$18)</f>
        <v/>
      </c>
      <c r="S30" s="18">
        <f>SUMIFS('LANÇAMENTOS'!$AE$6:$AE$2005,'LANÇAMENTOS'!$G$6:$G$2005,$A30,'LANÇAMENTOS'!$Z$6:$Z$2005,4,'LANÇAMENTOS'!$AA$6:$AA$2005,'CONFIGURAÇÕES'!$B$18)</f>
        <v/>
      </c>
      <c r="T30" s="18">
        <f>SUMIFS('LANÇAMENTOS'!$AE$6:$AE$2005,'LANÇAMENTOS'!$G$6:$G$2005,$A30,'LANÇAMENTOS'!$Z$6:$Z$2005,5,'LANÇAMENTOS'!$AA$6:$AA$2005,'CONFIGURAÇÕES'!$B$18)</f>
        <v/>
      </c>
      <c r="U30" s="18">
        <f>SUMIFS('LANÇAMENTOS'!$AE$6:$AE$2005,'LANÇAMENTOS'!$G$6:$G$2005,$A30,'LANÇAMENTOS'!$Z$6:$Z$2005,6,'LANÇAMENTOS'!$AA$6:$AA$2005,'CONFIGURAÇÕES'!$B$18)</f>
        <v/>
      </c>
      <c r="V30" s="18">
        <f>SUMIFS('LANÇAMENTOS'!$AE$6:$AE$2005,'LANÇAMENTOS'!$G$6:$G$2005,$A30,'LANÇAMENTOS'!$Z$6:$Z$2005,7,'LANÇAMENTOS'!$AA$6:$AA$2005,'CONFIGURAÇÕES'!$B$18)</f>
        <v/>
      </c>
      <c r="W30" s="18">
        <f>SUMIFS('LANÇAMENTOS'!$AE$6:$AE$2005,'LANÇAMENTOS'!$G$6:$G$2005,$A30,'LANÇAMENTOS'!$Z$6:$Z$2005,8,'LANÇAMENTOS'!$AA$6:$AA$2005,'CONFIGURAÇÕES'!$B$18)</f>
        <v/>
      </c>
      <c r="X30" s="18">
        <f>SUMIFS('LANÇAMENTOS'!$AE$6:$AE$2005,'LANÇAMENTOS'!$G$6:$G$2005,$A30,'LANÇAMENTOS'!$Z$6:$Z$2005,9,'LANÇAMENTOS'!$AA$6:$AA$2005,'CONFIGURAÇÕES'!$B$18)</f>
        <v/>
      </c>
      <c r="Y30" s="18">
        <f>SUMIFS('LANÇAMENTOS'!$AE$6:$AE$2005,'LANÇAMENTOS'!$G$6:$G$2005,$A30,'LANÇAMENTOS'!$Z$6:$Z$2005,10,'LANÇAMENTOS'!$AA$6:$AA$2005,'CONFIGURAÇÕES'!$B$18)</f>
        <v/>
      </c>
      <c r="Z30" s="18">
        <f>SUMIFS('LANÇAMENTOS'!$AE$6:$AE$2005,'LANÇAMENTOS'!$G$6:$G$2005,$A30,'LANÇAMENTOS'!$Z$6:$Z$2005,11,'LANÇAMENTOS'!$AA$6:$AA$2005,'CONFIGURAÇÕES'!$B$18)</f>
        <v/>
      </c>
      <c r="AA30" s="18">
        <f>SUMIFS('LANÇAMENTOS'!$AE$6:$AE$2005,'LANÇAMENTOS'!$G$6:$G$2005,$A30,'LANÇAMENTOS'!$Z$6:$Z$2005,12,'LANÇAMENTOS'!$AA$6:$AA$2005,'CONFIGURAÇÕES'!$B$18)</f>
        <v/>
      </c>
      <c r="AB30" s="38">
        <f>SUM(P30:AA30)</f>
        <v/>
      </c>
      <c r="AC30" s="38">
        <f>$O30-$AB30</f>
        <v/>
      </c>
      <c r="AD30" s="23">
        <f>IF($O30=0,"",$AB30/$O30)</f>
        <v/>
      </c>
      <c r="AE30" s="17">
        <f>IF($O30=0,"Sem orçamento",IF($AB30&gt;$O30,"🔴 Estourou",IF($AB30&gt;$O30*0.9,"🟡 Atenção (&gt;90%)","🟢 Dentro do orçamento")))</f>
        <v/>
      </c>
    </row>
    <row r="31">
      <c r="A31" s="9" t="inlineStr">
        <is>
          <t>Marketing Digital</t>
        </is>
      </c>
      <c r="B31" s="17" t="inlineStr">
        <is>
          <t>DESPESAS OPERACIONAIS</t>
        </is>
      </c>
      <c r="C31" s="31" t="n">
        <v>3200</v>
      </c>
      <c r="D31" s="31" t="n">
        <v>3200</v>
      </c>
      <c r="E31" s="31" t="n">
        <v>3200</v>
      </c>
      <c r="F31" s="31" t="n">
        <v>3200</v>
      </c>
      <c r="G31" s="31" t="n">
        <v>3200</v>
      </c>
      <c r="H31" s="31" t="n">
        <v>3200</v>
      </c>
      <c r="I31" s="31" t="n">
        <v>3200</v>
      </c>
      <c r="J31" s="31" t="n">
        <v>3200</v>
      </c>
      <c r="K31" s="31" t="n">
        <v>3200</v>
      </c>
      <c r="L31" s="31" t="n">
        <v>3200</v>
      </c>
      <c r="M31" s="31" t="n">
        <v>3200</v>
      </c>
      <c r="N31" s="31" t="n">
        <v>3200</v>
      </c>
      <c r="O31" s="38">
        <f>SUM(C31:N31)</f>
        <v/>
      </c>
      <c r="P31" s="18">
        <f>SUMIFS('LANÇAMENTOS'!$AE$6:$AE$2005,'LANÇAMENTOS'!$G$6:$G$2005,$A31,'LANÇAMENTOS'!$Z$6:$Z$2005,1,'LANÇAMENTOS'!$AA$6:$AA$2005,'CONFIGURAÇÕES'!$B$18)</f>
        <v/>
      </c>
      <c r="Q31" s="18">
        <f>SUMIFS('LANÇAMENTOS'!$AE$6:$AE$2005,'LANÇAMENTOS'!$G$6:$G$2005,$A31,'LANÇAMENTOS'!$Z$6:$Z$2005,2,'LANÇAMENTOS'!$AA$6:$AA$2005,'CONFIGURAÇÕES'!$B$18)</f>
        <v/>
      </c>
      <c r="R31" s="18">
        <f>SUMIFS('LANÇAMENTOS'!$AE$6:$AE$2005,'LANÇAMENTOS'!$G$6:$G$2005,$A31,'LANÇAMENTOS'!$Z$6:$Z$2005,3,'LANÇAMENTOS'!$AA$6:$AA$2005,'CONFIGURAÇÕES'!$B$18)</f>
        <v/>
      </c>
      <c r="S31" s="18">
        <f>SUMIFS('LANÇAMENTOS'!$AE$6:$AE$2005,'LANÇAMENTOS'!$G$6:$G$2005,$A31,'LANÇAMENTOS'!$Z$6:$Z$2005,4,'LANÇAMENTOS'!$AA$6:$AA$2005,'CONFIGURAÇÕES'!$B$18)</f>
        <v/>
      </c>
      <c r="T31" s="18">
        <f>SUMIFS('LANÇAMENTOS'!$AE$6:$AE$2005,'LANÇAMENTOS'!$G$6:$G$2005,$A31,'LANÇAMENTOS'!$Z$6:$Z$2005,5,'LANÇAMENTOS'!$AA$6:$AA$2005,'CONFIGURAÇÕES'!$B$18)</f>
        <v/>
      </c>
      <c r="U31" s="18">
        <f>SUMIFS('LANÇAMENTOS'!$AE$6:$AE$2005,'LANÇAMENTOS'!$G$6:$G$2005,$A31,'LANÇAMENTOS'!$Z$6:$Z$2005,6,'LANÇAMENTOS'!$AA$6:$AA$2005,'CONFIGURAÇÕES'!$B$18)</f>
        <v/>
      </c>
      <c r="V31" s="18">
        <f>SUMIFS('LANÇAMENTOS'!$AE$6:$AE$2005,'LANÇAMENTOS'!$G$6:$G$2005,$A31,'LANÇAMENTOS'!$Z$6:$Z$2005,7,'LANÇAMENTOS'!$AA$6:$AA$2005,'CONFIGURAÇÕES'!$B$18)</f>
        <v/>
      </c>
      <c r="W31" s="18">
        <f>SUMIFS('LANÇAMENTOS'!$AE$6:$AE$2005,'LANÇAMENTOS'!$G$6:$G$2005,$A31,'LANÇAMENTOS'!$Z$6:$Z$2005,8,'LANÇAMENTOS'!$AA$6:$AA$2005,'CONFIGURAÇÕES'!$B$18)</f>
        <v/>
      </c>
      <c r="X31" s="18">
        <f>SUMIFS('LANÇAMENTOS'!$AE$6:$AE$2005,'LANÇAMENTOS'!$G$6:$G$2005,$A31,'LANÇAMENTOS'!$Z$6:$Z$2005,9,'LANÇAMENTOS'!$AA$6:$AA$2005,'CONFIGURAÇÕES'!$B$18)</f>
        <v/>
      </c>
      <c r="Y31" s="18">
        <f>SUMIFS('LANÇAMENTOS'!$AE$6:$AE$2005,'LANÇAMENTOS'!$G$6:$G$2005,$A31,'LANÇAMENTOS'!$Z$6:$Z$2005,10,'LANÇAMENTOS'!$AA$6:$AA$2005,'CONFIGURAÇÕES'!$B$18)</f>
        <v/>
      </c>
      <c r="Z31" s="18">
        <f>SUMIFS('LANÇAMENTOS'!$AE$6:$AE$2005,'LANÇAMENTOS'!$G$6:$G$2005,$A31,'LANÇAMENTOS'!$Z$6:$Z$2005,11,'LANÇAMENTOS'!$AA$6:$AA$2005,'CONFIGURAÇÕES'!$B$18)</f>
        <v/>
      </c>
      <c r="AA31" s="18">
        <f>SUMIFS('LANÇAMENTOS'!$AE$6:$AE$2005,'LANÇAMENTOS'!$G$6:$G$2005,$A31,'LANÇAMENTOS'!$Z$6:$Z$2005,12,'LANÇAMENTOS'!$AA$6:$AA$2005,'CONFIGURAÇÕES'!$B$18)</f>
        <v/>
      </c>
      <c r="AB31" s="38">
        <f>SUM(P31:AA31)</f>
        <v/>
      </c>
      <c r="AC31" s="38">
        <f>$O31-$AB31</f>
        <v/>
      </c>
      <c r="AD31" s="23">
        <f>IF($O31=0,"",$AB31/$O31)</f>
        <v/>
      </c>
      <c r="AE31" s="17">
        <f>IF($O31=0,"Sem orçamento",IF($AB31&gt;$O31,"🔴 Estourou",IF($AB31&gt;$O31*0.9,"🟡 Atenção (&gt;90%)","🟢 Dentro do orçamento")))</f>
        <v/>
      </c>
    </row>
    <row r="32">
      <c r="A32" s="9" t="inlineStr">
        <is>
          <t>Publicidade e Anúncios</t>
        </is>
      </c>
      <c r="B32" s="17" t="inlineStr">
        <is>
          <t>DESPESAS OPERACIONAIS</t>
        </is>
      </c>
      <c r="C32" s="31" t="n">
        <v>1200</v>
      </c>
      <c r="D32" s="31" t="n">
        <v>1000</v>
      </c>
      <c r="E32" s="31" t="n">
        <v>1400</v>
      </c>
      <c r="F32" s="31" t="n">
        <v>1200</v>
      </c>
      <c r="G32" s="31" t="n">
        <v>1500</v>
      </c>
      <c r="H32" s="31" t="n">
        <v>1200</v>
      </c>
      <c r="I32" s="31" t="n">
        <v>1600</v>
      </c>
      <c r="J32" s="31" t="n">
        <v>1600</v>
      </c>
      <c r="K32" s="31" t="n">
        <v>1600</v>
      </c>
      <c r="L32" s="31" t="n">
        <v>1600</v>
      </c>
      <c r="M32" s="31" t="n">
        <v>1700</v>
      </c>
      <c r="N32" s="31" t="n">
        <v>1800</v>
      </c>
      <c r="O32" s="38">
        <f>SUM(C32:N32)</f>
        <v/>
      </c>
      <c r="P32" s="18">
        <f>SUMIFS('LANÇAMENTOS'!$AE$6:$AE$2005,'LANÇAMENTOS'!$G$6:$G$2005,$A32,'LANÇAMENTOS'!$Z$6:$Z$2005,1,'LANÇAMENTOS'!$AA$6:$AA$2005,'CONFIGURAÇÕES'!$B$18)</f>
        <v/>
      </c>
      <c r="Q32" s="18">
        <f>SUMIFS('LANÇAMENTOS'!$AE$6:$AE$2005,'LANÇAMENTOS'!$G$6:$G$2005,$A32,'LANÇAMENTOS'!$Z$6:$Z$2005,2,'LANÇAMENTOS'!$AA$6:$AA$2005,'CONFIGURAÇÕES'!$B$18)</f>
        <v/>
      </c>
      <c r="R32" s="18">
        <f>SUMIFS('LANÇAMENTOS'!$AE$6:$AE$2005,'LANÇAMENTOS'!$G$6:$G$2005,$A32,'LANÇAMENTOS'!$Z$6:$Z$2005,3,'LANÇAMENTOS'!$AA$6:$AA$2005,'CONFIGURAÇÕES'!$B$18)</f>
        <v/>
      </c>
      <c r="S32" s="18">
        <f>SUMIFS('LANÇAMENTOS'!$AE$6:$AE$2005,'LANÇAMENTOS'!$G$6:$G$2005,$A32,'LANÇAMENTOS'!$Z$6:$Z$2005,4,'LANÇAMENTOS'!$AA$6:$AA$2005,'CONFIGURAÇÕES'!$B$18)</f>
        <v/>
      </c>
      <c r="T32" s="18">
        <f>SUMIFS('LANÇAMENTOS'!$AE$6:$AE$2005,'LANÇAMENTOS'!$G$6:$G$2005,$A32,'LANÇAMENTOS'!$Z$6:$Z$2005,5,'LANÇAMENTOS'!$AA$6:$AA$2005,'CONFIGURAÇÕES'!$B$18)</f>
        <v/>
      </c>
      <c r="U32" s="18">
        <f>SUMIFS('LANÇAMENTOS'!$AE$6:$AE$2005,'LANÇAMENTOS'!$G$6:$G$2005,$A32,'LANÇAMENTOS'!$Z$6:$Z$2005,6,'LANÇAMENTOS'!$AA$6:$AA$2005,'CONFIGURAÇÕES'!$B$18)</f>
        <v/>
      </c>
      <c r="V32" s="18">
        <f>SUMIFS('LANÇAMENTOS'!$AE$6:$AE$2005,'LANÇAMENTOS'!$G$6:$G$2005,$A32,'LANÇAMENTOS'!$Z$6:$Z$2005,7,'LANÇAMENTOS'!$AA$6:$AA$2005,'CONFIGURAÇÕES'!$B$18)</f>
        <v/>
      </c>
      <c r="W32" s="18">
        <f>SUMIFS('LANÇAMENTOS'!$AE$6:$AE$2005,'LANÇAMENTOS'!$G$6:$G$2005,$A32,'LANÇAMENTOS'!$Z$6:$Z$2005,8,'LANÇAMENTOS'!$AA$6:$AA$2005,'CONFIGURAÇÕES'!$B$18)</f>
        <v/>
      </c>
      <c r="X32" s="18">
        <f>SUMIFS('LANÇAMENTOS'!$AE$6:$AE$2005,'LANÇAMENTOS'!$G$6:$G$2005,$A32,'LANÇAMENTOS'!$Z$6:$Z$2005,9,'LANÇAMENTOS'!$AA$6:$AA$2005,'CONFIGURAÇÕES'!$B$18)</f>
        <v/>
      </c>
      <c r="Y32" s="18">
        <f>SUMIFS('LANÇAMENTOS'!$AE$6:$AE$2005,'LANÇAMENTOS'!$G$6:$G$2005,$A32,'LANÇAMENTOS'!$Z$6:$Z$2005,10,'LANÇAMENTOS'!$AA$6:$AA$2005,'CONFIGURAÇÕES'!$B$18)</f>
        <v/>
      </c>
      <c r="Z32" s="18">
        <f>SUMIFS('LANÇAMENTOS'!$AE$6:$AE$2005,'LANÇAMENTOS'!$G$6:$G$2005,$A32,'LANÇAMENTOS'!$Z$6:$Z$2005,11,'LANÇAMENTOS'!$AA$6:$AA$2005,'CONFIGURAÇÕES'!$B$18)</f>
        <v/>
      </c>
      <c r="AA32" s="18">
        <f>SUMIFS('LANÇAMENTOS'!$AE$6:$AE$2005,'LANÇAMENTOS'!$G$6:$G$2005,$A32,'LANÇAMENTOS'!$Z$6:$Z$2005,12,'LANÇAMENTOS'!$AA$6:$AA$2005,'CONFIGURAÇÕES'!$B$18)</f>
        <v/>
      </c>
      <c r="AB32" s="38">
        <f>SUM(P32:AA32)</f>
        <v/>
      </c>
      <c r="AC32" s="38">
        <f>$O32-$AB32</f>
        <v/>
      </c>
      <c r="AD32" s="23">
        <f>IF($O32=0,"",$AB32/$O32)</f>
        <v/>
      </c>
      <c r="AE32" s="17">
        <f>IF($O32=0,"Sem orçamento",IF($AB32&gt;$O32,"🔴 Estourou",IF($AB32&gt;$O32*0.9,"🟡 Atenção (&gt;90%)","🟢 Dentro do orçamento")))</f>
        <v/>
      </c>
    </row>
    <row r="33">
      <c r="A33" s="9" t="inlineStr">
        <is>
          <t>Viagens Comerciais</t>
        </is>
      </c>
      <c r="B33" s="17" t="inlineStr">
        <is>
          <t>DESPESAS OPERACIONAIS</t>
        </is>
      </c>
      <c r="C33" s="31" t="n">
        <v>1200</v>
      </c>
      <c r="D33" s="31" t="n">
        <v>900</v>
      </c>
      <c r="E33" s="31" t="n">
        <v>1500</v>
      </c>
      <c r="F33" s="31" t="n">
        <v>1200</v>
      </c>
      <c r="G33" s="31" t="n">
        <v>1400</v>
      </c>
      <c r="H33" s="31" t="n">
        <v>1100</v>
      </c>
      <c r="I33" s="31" t="n">
        <v>1500</v>
      </c>
      <c r="J33" s="31" t="n">
        <v>1600</v>
      </c>
      <c r="K33" s="31" t="n">
        <v>1500</v>
      </c>
      <c r="L33" s="31" t="n">
        <v>1500</v>
      </c>
      <c r="M33" s="31" t="n">
        <v>1600</v>
      </c>
      <c r="N33" s="31" t="n">
        <v>1700</v>
      </c>
      <c r="O33" s="38">
        <f>SUM(C33:N33)</f>
        <v/>
      </c>
      <c r="P33" s="18">
        <f>SUMIFS('LANÇAMENTOS'!$AE$6:$AE$2005,'LANÇAMENTOS'!$G$6:$G$2005,$A33,'LANÇAMENTOS'!$Z$6:$Z$2005,1,'LANÇAMENTOS'!$AA$6:$AA$2005,'CONFIGURAÇÕES'!$B$18)</f>
        <v/>
      </c>
      <c r="Q33" s="18">
        <f>SUMIFS('LANÇAMENTOS'!$AE$6:$AE$2005,'LANÇAMENTOS'!$G$6:$G$2005,$A33,'LANÇAMENTOS'!$Z$6:$Z$2005,2,'LANÇAMENTOS'!$AA$6:$AA$2005,'CONFIGURAÇÕES'!$B$18)</f>
        <v/>
      </c>
      <c r="R33" s="18">
        <f>SUMIFS('LANÇAMENTOS'!$AE$6:$AE$2005,'LANÇAMENTOS'!$G$6:$G$2005,$A33,'LANÇAMENTOS'!$Z$6:$Z$2005,3,'LANÇAMENTOS'!$AA$6:$AA$2005,'CONFIGURAÇÕES'!$B$18)</f>
        <v/>
      </c>
      <c r="S33" s="18">
        <f>SUMIFS('LANÇAMENTOS'!$AE$6:$AE$2005,'LANÇAMENTOS'!$G$6:$G$2005,$A33,'LANÇAMENTOS'!$Z$6:$Z$2005,4,'LANÇAMENTOS'!$AA$6:$AA$2005,'CONFIGURAÇÕES'!$B$18)</f>
        <v/>
      </c>
      <c r="T33" s="18">
        <f>SUMIFS('LANÇAMENTOS'!$AE$6:$AE$2005,'LANÇAMENTOS'!$G$6:$G$2005,$A33,'LANÇAMENTOS'!$Z$6:$Z$2005,5,'LANÇAMENTOS'!$AA$6:$AA$2005,'CONFIGURAÇÕES'!$B$18)</f>
        <v/>
      </c>
      <c r="U33" s="18">
        <f>SUMIFS('LANÇAMENTOS'!$AE$6:$AE$2005,'LANÇAMENTOS'!$G$6:$G$2005,$A33,'LANÇAMENTOS'!$Z$6:$Z$2005,6,'LANÇAMENTOS'!$AA$6:$AA$2005,'CONFIGURAÇÕES'!$B$18)</f>
        <v/>
      </c>
      <c r="V33" s="18">
        <f>SUMIFS('LANÇAMENTOS'!$AE$6:$AE$2005,'LANÇAMENTOS'!$G$6:$G$2005,$A33,'LANÇAMENTOS'!$Z$6:$Z$2005,7,'LANÇAMENTOS'!$AA$6:$AA$2005,'CONFIGURAÇÕES'!$B$18)</f>
        <v/>
      </c>
      <c r="W33" s="18">
        <f>SUMIFS('LANÇAMENTOS'!$AE$6:$AE$2005,'LANÇAMENTOS'!$G$6:$G$2005,$A33,'LANÇAMENTOS'!$Z$6:$Z$2005,8,'LANÇAMENTOS'!$AA$6:$AA$2005,'CONFIGURAÇÕES'!$B$18)</f>
        <v/>
      </c>
      <c r="X33" s="18">
        <f>SUMIFS('LANÇAMENTOS'!$AE$6:$AE$2005,'LANÇAMENTOS'!$G$6:$G$2005,$A33,'LANÇAMENTOS'!$Z$6:$Z$2005,9,'LANÇAMENTOS'!$AA$6:$AA$2005,'CONFIGURAÇÕES'!$B$18)</f>
        <v/>
      </c>
      <c r="Y33" s="18">
        <f>SUMIFS('LANÇAMENTOS'!$AE$6:$AE$2005,'LANÇAMENTOS'!$G$6:$G$2005,$A33,'LANÇAMENTOS'!$Z$6:$Z$2005,10,'LANÇAMENTOS'!$AA$6:$AA$2005,'CONFIGURAÇÕES'!$B$18)</f>
        <v/>
      </c>
      <c r="Z33" s="18">
        <f>SUMIFS('LANÇAMENTOS'!$AE$6:$AE$2005,'LANÇAMENTOS'!$G$6:$G$2005,$A33,'LANÇAMENTOS'!$Z$6:$Z$2005,11,'LANÇAMENTOS'!$AA$6:$AA$2005,'CONFIGURAÇÕES'!$B$18)</f>
        <v/>
      </c>
      <c r="AA33" s="18">
        <f>SUMIFS('LANÇAMENTOS'!$AE$6:$AE$2005,'LANÇAMENTOS'!$G$6:$G$2005,$A33,'LANÇAMENTOS'!$Z$6:$Z$2005,12,'LANÇAMENTOS'!$AA$6:$AA$2005,'CONFIGURAÇÕES'!$B$18)</f>
        <v/>
      </c>
      <c r="AB33" s="38">
        <f>SUM(P33:AA33)</f>
        <v/>
      </c>
      <c r="AC33" s="38">
        <f>$O33-$AB33</f>
        <v/>
      </c>
      <c r="AD33" s="23">
        <f>IF($O33=0,"",$AB33/$O33)</f>
        <v/>
      </c>
      <c r="AE33" s="17">
        <f>IF($O33=0,"Sem orçamento",IF($AB33&gt;$O33,"🔴 Estourou",IF($AB33&gt;$O33*0.9,"🟡 Atenção (&gt;90%)","🟢 Dentro do orçamento")))</f>
        <v/>
      </c>
    </row>
    <row r="34">
      <c r="A34" s="9" t="inlineStr">
        <is>
          <t>Brindes e Material de Divulgação</t>
        </is>
      </c>
      <c r="B34" s="17" t="inlineStr">
        <is>
          <t>DESPESAS OPERACIONAIS</t>
        </is>
      </c>
      <c r="C34" s="31" t="n">
        <v>300</v>
      </c>
      <c r="D34" s="31" t="n">
        <v>300</v>
      </c>
      <c r="E34" s="31" t="n">
        <v>300</v>
      </c>
      <c r="F34" s="31" t="n">
        <v>300</v>
      </c>
      <c r="G34" s="31" t="n">
        <v>300</v>
      </c>
      <c r="H34" s="31" t="n">
        <v>300</v>
      </c>
      <c r="I34" s="31" t="n">
        <v>300</v>
      </c>
      <c r="J34" s="31" t="n">
        <v>300</v>
      </c>
      <c r="K34" s="31" t="n">
        <v>300</v>
      </c>
      <c r="L34" s="31" t="n">
        <v>300</v>
      </c>
      <c r="M34" s="31" t="n">
        <v>300</v>
      </c>
      <c r="N34" s="31" t="n">
        <v>300</v>
      </c>
      <c r="O34" s="38">
        <f>SUM(C34:N34)</f>
        <v/>
      </c>
      <c r="P34" s="18">
        <f>SUMIFS('LANÇAMENTOS'!$AE$6:$AE$2005,'LANÇAMENTOS'!$G$6:$G$2005,$A34,'LANÇAMENTOS'!$Z$6:$Z$2005,1,'LANÇAMENTOS'!$AA$6:$AA$2005,'CONFIGURAÇÕES'!$B$18)</f>
        <v/>
      </c>
      <c r="Q34" s="18">
        <f>SUMIFS('LANÇAMENTOS'!$AE$6:$AE$2005,'LANÇAMENTOS'!$G$6:$G$2005,$A34,'LANÇAMENTOS'!$Z$6:$Z$2005,2,'LANÇAMENTOS'!$AA$6:$AA$2005,'CONFIGURAÇÕES'!$B$18)</f>
        <v/>
      </c>
      <c r="R34" s="18">
        <f>SUMIFS('LANÇAMENTOS'!$AE$6:$AE$2005,'LANÇAMENTOS'!$G$6:$G$2005,$A34,'LANÇAMENTOS'!$Z$6:$Z$2005,3,'LANÇAMENTOS'!$AA$6:$AA$2005,'CONFIGURAÇÕES'!$B$18)</f>
        <v/>
      </c>
      <c r="S34" s="18">
        <f>SUMIFS('LANÇAMENTOS'!$AE$6:$AE$2005,'LANÇAMENTOS'!$G$6:$G$2005,$A34,'LANÇAMENTOS'!$Z$6:$Z$2005,4,'LANÇAMENTOS'!$AA$6:$AA$2005,'CONFIGURAÇÕES'!$B$18)</f>
        <v/>
      </c>
      <c r="T34" s="18">
        <f>SUMIFS('LANÇAMENTOS'!$AE$6:$AE$2005,'LANÇAMENTOS'!$G$6:$G$2005,$A34,'LANÇAMENTOS'!$Z$6:$Z$2005,5,'LANÇAMENTOS'!$AA$6:$AA$2005,'CONFIGURAÇÕES'!$B$18)</f>
        <v/>
      </c>
      <c r="U34" s="18">
        <f>SUMIFS('LANÇAMENTOS'!$AE$6:$AE$2005,'LANÇAMENTOS'!$G$6:$G$2005,$A34,'LANÇAMENTOS'!$Z$6:$Z$2005,6,'LANÇAMENTOS'!$AA$6:$AA$2005,'CONFIGURAÇÕES'!$B$18)</f>
        <v/>
      </c>
      <c r="V34" s="18">
        <f>SUMIFS('LANÇAMENTOS'!$AE$6:$AE$2005,'LANÇAMENTOS'!$G$6:$G$2005,$A34,'LANÇAMENTOS'!$Z$6:$Z$2005,7,'LANÇAMENTOS'!$AA$6:$AA$2005,'CONFIGURAÇÕES'!$B$18)</f>
        <v/>
      </c>
      <c r="W34" s="18">
        <f>SUMIFS('LANÇAMENTOS'!$AE$6:$AE$2005,'LANÇAMENTOS'!$G$6:$G$2005,$A34,'LANÇAMENTOS'!$Z$6:$Z$2005,8,'LANÇAMENTOS'!$AA$6:$AA$2005,'CONFIGURAÇÕES'!$B$18)</f>
        <v/>
      </c>
      <c r="X34" s="18">
        <f>SUMIFS('LANÇAMENTOS'!$AE$6:$AE$2005,'LANÇAMENTOS'!$G$6:$G$2005,$A34,'LANÇAMENTOS'!$Z$6:$Z$2005,9,'LANÇAMENTOS'!$AA$6:$AA$2005,'CONFIGURAÇÕES'!$B$18)</f>
        <v/>
      </c>
      <c r="Y34" s="18">
        <f>SUMIFS('LANÇAMENTOS'!$AE$6:$AE$2005,'LANÇAMENTOS'!$G$6:$G$2005,$A34,'LANÇAMENTOS'!$Z$6:$Z$2005,10,'LANÇAMENTOS'!$AA$6:$AA$2005,'CONFIGURAÇÕES'!$B$18)</f>
        <v/>
      </c>
      <c r="Z34" s="18">
        <f>SUMIFS('LANÇAMENTOS'!$AE$6:$AE$2005,'LANÇAMENTOS'!$G$6:$G$2005,$A34,'LANÇAMENTOS'!$Z$6:$Z$2005,11,'LANÇAMENTOS'!$AA$6:$AA$2005,'CONFIGURAÇÕES'!$B$18)</f>
        <v/>
      </c>
      <c r="AA34" s="18">
        <f>SUMIFS('LANÇAMENTOS'!$AE$6:$AE$2005,'LANÇAMENTOS'!$G$6:$G$2005,$A34,'LANÇAMENTOS'!$Z$6:$Z$2005,12,'LANÇAMENTOS'!$AA$6:$AA$2005,'CONFIGURAÇÕES'!$B$18)</f>
        <v/>
      </c>
      <c r="AB34" s="38">
        <f>SUM(P34:AA34)</f>
        <v/>
      </c>
      <c r="AC34" s="38">
        <f>$O34-$AB34</f>
        <v/>
      </c>
      <c r="AD34" s="23">
        <f>IF($O34=0,"",$AB34/$O34)</f>
        <v/>
      </c>
      <c r="AE34" s="17">
        <f>IF($O34=0,"Sem orçamento",IF($AB34&gt;$O34,"🔴 Estourou",IF($AB34&gt;$O34*0.9,"🟡 Atenção (&gt;90%)","🟢 Dentro do orçamento")))</f>
        <v/>
      </c>
    </row>
    <row r="35">
      <c r="A35" s="9" t="inlineStr">
        <is>
          <t>Outras Despesas Administrativas</t>
        </is>
      </c>
      <c r="B35" s="17" t="inlineStr">
        <is>
          <t>DESPESAS OPERACIONAIS</t>
        </is>
      </c>
      <c r="C35" s="31" t="n">
        <v>500</v>
      </c>
      <c r="D35" s="31" t="n">
        <v>500</v>
      </c>
      <c r="E35" s="31" t="n">
        <v>500</v>
      </c>
      <c r="F35" s="31" t="n">
        <v>500</v>
      </c>
      <c r="G35" s="31" t="n">
        <v>500</v>
      </c>
      <c r="H35" s="31" t="n">
        <v>500</v>
      </c>
      <c r="I35" s="31" t="n">
        <v>500</v>
      </c>
      <c r="J35" s="31" t="n">
        <v>500</v>
      </c>
      <c r="K35" s="31" t="n">
        <v>500</v>
      </c>
      <c r="L35" s="31" t="n">
        <v>500</v>
      </c>
      <c r="M35" s="31" t="n">
        <v>500</v>
      </c>
      <c r="N35" s="31" t="n">
        <v>500</v>
      </c>
      <c r="O35" s="38">
        <f>SUM(C35:N35)</f>
        <v/>
      </c>
      <c r="P35" s="18">
        <f>SUMIFS('LANÇAMENTOS'!$AE$6:$AE$2005,'LANÇAMENTOS'!$G$6:$G$2005,$A35,'LANÇAMENTOS'!$Z$6:$Z$2005,1,'LANÇAMENTOS'!$AA$6:$AA$2005,'CONFIGURAÇÕES'!$B$18)</f>
        <v/>
      </c>
      <c r="Q35" s="18">
        <f>SUMIFS('LANÇAMENTOS'!$AE$6:$AE$2005,'LANÇAMENTOS'!$G$6:$G$2005,$A35,'LANÇAMENTOS'!$Z$6:$Z$2005,2,'LANÇAMENTOS'!$AA$6:$AA$2005,'CONFIGURAÇÕES'!$B$18)</f>
        <v/>
      </c>
      <c r="R35" s="18">
        <f>SUMIFS('LANÇAMENTOS'!$AE$6:$AE$2005,'LANÇAMENTOS'!$G$6:$G$2005,$A35,'LANÇAMENTOS'!$Z$6:$Z$2005,3,'LANÇAMENTOS'!$AA$6:$AA$2005,'CONFIGURAÇÕES'!$B$18)</f>
        <v/>
      </c>
      <c r="S35" s="18">
        <f>SUMIFS('LANÇAMENTOS'!$AE$6:$AE$2005,'LANÇAMENTOS'!$G$6:$G$2005,$A35,'LANÇAMENTOS'!$Z$6:$Z$2005,4,'LANÇAMENTOS'!$AA$6:$AA$2005,'CONFIGURAÇÕES'!$B$18)</f>
        <v/>
      </c>
      <c r="T35" s="18">
        <f>SUMIFS('LANÇAMENTOS'!$AE$6:$AE$2005,'LANÇAMENTOS'!$G$6:$G$2005,$A35,'LANÇAMENTOS'!$Z$6:$Z$2005,5,'LANÇAMENTOS'!$AA$6:$AA$2005,'CONFIGURAÇÕES'!$B$18)</f>
        <v/>
      </c>
      <c r="U35" s="18">
        <f>SUMIFS('LANÇAMENTOS'!$AE$6:$AE$2005,'LANÇAMENTOS'!$G$6:$G$2005,$A35,'LANÇAMENTOS'!$Z$6:$Z$2005,6,'LANÇAMENTOS'!$AA$6:$AA$2005,'CONFIGURAÇÕES'!$B$18)</f>
        <v/>
      </c>
      <c r="V35" s="18">
        <f>SUMIFS('LANÇAMENTOS'!$AE$6:$AE$2005,'LANÇAMENTOS'!$G$6:$G$2005,$A35,'LANÇAMENTOS'!$Z$6:$Z$2005,7,'LANÇAMENTOS'!$AA$6:$AA$2005,'CONFIGURAÇÕES'!$B$18)</f>
        <v/>
      </c>
      <c r="W35" s="18">
        <f>SUMIFS('LANÇAMENTOS'!$AE$6:$AE$2005,'LANÇAMENTOS'!$G$6:$G$2005,$A35,'LANÇAMENTOS'!$Z$6:$Z$2005,8,'LANÇAMENTOS'!$AA$6:$AA$2005,'CONFIGURAÇÕES'!$B$18)</f>
        <v/>
      </c>
      <c r="X35" s="18">
        <f>SUMIFS('LANÇAMENTOS'!$AE$6:$AE$2005,'LANÇAMENTOS'!$G$6:$G$2005,$A35,'LANÇAMENTOS'!$Z$6:$Z$2005,9,'LANÇAMENTOS'!$AA$6:$AA$2005,'CONFIGURAÇÕES'!$B$18)</f>
        <v/>
      </c>
      <c r="Y35" s="18">
        <f>SUMIFS('LANÇAMENTOS'!$AE$6:$AE$2005,'LANÇAMENTOS'!$G$6:$G$2005,$A35,'LANÇAMENTOS'!$Z$6:$Z$2005,10,'LANÇAMENTOS'!$AA$6:$AA$2005,'CONFIGURAÇÕES'!$B$18)</f>
        <v/>
      </c>
      <c r="Z35" s="18">
        <f>SUMIFS('LANÇAMENTOS'!$AE$6:$AE$2005,'LANÇAMENTOS'!$G$6:$G$2005,$A35,'LANÇAMENTOS'!$Z$6:$Z$2005,11,'LANÇAMENTOS'!$AA$6:$AA$2005,'CONFIGURAÇÕES'!$B$18)</f>
        <v/>
      </c>
      <c r="AA35" s="18">
        <f>SUMIFS('LANÇAMENTOS'!$AE$6:$AE$2005,'LANÇAMENTOS'!$G$6:$G$2005,$A35,'LANÇAMENTOS'!$Z$6:$Z$2005,12,'LANÇAMENTOS'!$AA$6:$AA$2005,'CONFIGURAÇÕES'!$B$18)</f>
        <v/>
      </c>
      <c r="AB35" s="38">
        <f>SUM(P35:AA35)</f>
        <v/>
      </c>
      <c r="AC35" s="38">
        <f>$O35-$AB35</f>
        <v/>
      </c>
      <c r="AD35" s="23">
        <f>IF($O35=0,"",$AB35/$O35)</f>
        <v/>
      </c>
      <c r="AE35" s="17">
        <f>IF($O35=0,"Sem orçamento",IF($AB35&gt;$O35,"🔴 Estourou",IF($AB35&gt;$O35*0.9,"🟡 Atenção (&gt;90%)","🟢 Dentro do orçamento")))</f>
        <v/>
      </c>
    </row>
    <row r="36">
      <c r="A36" s="9" t="inlineStr">
        <is>
          <t>Tarifas Bancárias</t>
        </is>
      </c>
      <c r="B36" s="17" t="inlineStr">
        <is>
          <t>DESPESAS OPERACIONAIS</t>
        </is>
      </c>
      <c r="C36" s="31" t="n">
        <v>180</v>
      </c>
      <c r="D36" s="31" t="n">
        <v>180</v>
      </c>
      <c r="E36" s="31" t="n">
        <v>180</v>
      </c>
      <c r="F36" s="31" t="n">
        <v>180</v>
      </c>
      <c r="G36" s="31" t="n">
        <v>180</v>
      </c>
      <c r="H36" s="31" t="n">
        <v>180</v>
      </c>
      <c r="I36" s="31" t="n">
        <v>180</v>
      </c>
      <c r="J36" s="31" t="n">
        <v>180</v>
      </c>
      <c r="K36" s="31" t="n">
        <v>180</v>
      </c>
      <c r="L36" s="31" t="n">
        <v>180</v>
      </c>
      <c r="M36" s="31" t="n">
        <v>180</v>
      </c>
      <c r="N36" s="31" t="n">
        <v>180</v>
      </c>
      <c r="O36" s="38">
        <f>SUM(C36:N36)</f>
        <v/>
      </c>
      <c r="P36" s="18">
        <f>SUMIFS('LANÇAMENTOS'!$AE$6:$AE$2005,'LANÇAMENTOS'!$G$6:$G$2005,$A36,'LANÇAMENTOS'!$Z$6:$Z$2005,1,'LANÇAMENTOS'!$AA$6:$AA$2005,'CONFIGURAÇÕES'!$B$18)</f>
        <v/>
      </c>
      <c r="Q36" s="18">
        <f>SUMIFS('LANÇAMENTOS'!$AE$6:$AE$2005,'LANÇAMENTOS'!$G$6:$G$2005,$A36,'LANÇAMENTOS'!$Z$6:$Z$2005,2,'LANÇAMENTOS'!$AA$6:$AA$2005,'CONFIGURAÇÕES'!$B$18)</f>
        <v/>
      </c>
      <c r="R36" s="18">
        <f>SUMIFS('LANÇAMENTOS'!$AE$6:$AE$2005,'LANÇAMENTOS'!$G$6:$G$2005,$A36,'LANÇAMENTOS'!$Z$6:$Z$2005,3,'LANÇAMENTOS'!$AA$6:$AA$2005,'CONFIGURAÇÕES'!$B$18)</f>
        <v/>
      </c>
      <c r="S36" s="18">
        <f>SUMIFS('LANÇAMENTOS'!$AE$6:$AE$2005,'LANÇAMENTOS'!$G$6:$G$2005,$A36,'LANÇAMENTOS'!$Z$6:$Z$2005,4,'LANÇAMENTOS'!$AA$6:$AA$2005,'CONFIGURAÇÕES'!$B$18)</f>
        <v/>
      </c>
      <c r="T36" s="18">
        <f>SUMIFS('LANÇAMENTOS'!$AE$6:$AE$2005,'LANÇAMENTOS'!$G$6:$G$2005,$A36,'LANÇAMENTOS'!$Z$6:$Z$2005,5,'LANÇAMENTOS'!$AA$6:$AA$2005,'CONFIGURAÇÕES'!$B$18)</f>
        <v/>
      </c>
      <c r="U36" s="18">
        <f>SUMIFS('LANÇAMENTOS'!$AE$6:$AE$2005,'LANÇAMENTOS'!$G$6:$G$2005,$A36,'LANÇAMENTOS'!$Z$6:$Z$2005,6,'LANÇAMENTOS'!$AA$6:$AA$2005,'CONFIGURAÇÕES'!$B$18)</f>
        <v/>
      </c>
      <c r="V36" s="18">
        <f>SUMIFS('LANÇAMENTOS'!$AE$6:$AE$2005,'LANÇAMENTOS'!$G$6:$G$2005,$A36,'LANÇAMENTOS'!$Z$6:$Z$2005,7,'LANÇAMENTOS'!$AA$6:$AA$2005,'CONFIGURAÇÕES'!$B$18)</f>
        <v/>
      </c>
      <c r="W36" s="18">
        <f>SUMIFS('LANÇAMENTOS'!$AE$6:$AE$2005,'LANÇAMENTOS'!$G$6:$G$2005,$A36,'LANÇAMENTOS'!$Z$6:$Z$2005,8,'LANÇAMENTOS'!$AA$6:$AA$2005,'CONFIGURAÇÕES'!$B$18)</f>
        <v/>
      </c>
      <c r="X36" s="18">
        <f>SUMIFS('LANÇAMENTOS'!$AE$6:$AE$2005,'LANÇAMENTOS'!$G$6:$G$2005,$A36,'LANÇAMENTOS'!$Z$6:$Z$2005,9,'LANÇAMENTOS'!$AA$6:$AA$2005,'CONFIGURAÇÕES'!$B$18)</f>
        <v/>
      </c>
      <c r="Y36" s="18">
        <f>SUMIFS('LANÇAMENTOS'!$AE$6:$AE$2005,'LANÇAMENTOS'!$G$6:$G$2005,$A36,'LANÇAMENTOS'!$Z$6:$Z$2005,10,'LANÇAMENTOS'!$AA$6:$AA$2005,'CONFIGURAÇÕES'!$B$18)</f>
        <v/>
      </c>
      <c r="Z36" s="18">
        <f>SUMIFS('LANÇAMENTOS'!$AE$6:$AE$2005,'LANÇAMENTOS'!$G$6:$G$2005,$A36,'LANÇAMENTOS'!$Z$6:$Z$2005,11,'LANÇAMENTOS'!$AA$6:$AA$2005,'CONFIGURAÇÕES'!$B$18)</f>
        <v/>
      </c>
      <c r="AA36" s="18">
        <f>SUMIFS('LANÇAMENTOS'!$AE$6:$AE$2005,'LANÇAMENTOS'!$G$6:$G$2005,$A36,'LANÇAMENTOS'!$Z$6:$Z$2005,12,'LANÇAMENTOS'!$AA$6:$AA$2005,'CONFIGURAÇÕES'!$B$18)</f>
        <v/>
      </c>
      <c r="AB36" s="38">
        <f>SUM(P36:AA36)</f>
        <v/>
      </c>
      <c r="AC36" s="38">
        <f>$O36-$AB36</f>
        <v/>
      </c>
      <c r="AD36" s="23">
        <f>IF($O36=0,"",$AB36/$O36)</f>
        <v/>
      </c>
      <c r="AE36" s="17">
        <f>IF($O36=0,"Sem orçamento",IF($AB36&gt;$O36,"🔴 Estourou",IF($AB36&gt;$O36*0.9,"🟡 Atenção (&gt;90%)","🟢 Dentro do orçamento")))</f>
        <v/>
      </c>
    </row>
    <row r="37">
      <c r="A37" s="9" t="inlineStr">
        <is>
          <t>Simples Nacional</t>
        </is>
      </c>
      <c r="B37" s="17" t="inlineStr">
        <is>
          <t>DESPESAS OPERACIONAIS</t>
        </is>
      </c>
      <c r="C37" s="31" t="n">
        <v>18400</v>
      </c>
      <c r="D37" s="31" t="n">
        <v>17600</v>
      </c>
      <c r="E37" s="31" t="n">
        <v>19000</v>
      </c>
      <c r="F37" s="31" t="n">
        <v>18400</v>
      </c>
      <c r="G37" s="31" t="n">
        <v>19600</v>
      </c>
      <c r="H37" s="31" t="n">
        <v>19000</v>
      </c>
      <c r="I37" s="31" t="n">
        <v>20200</v>
      </c>
      <c r="J37" s="31" t="n">
        <v>20800</v>
      </c>
      <c r="K37" s="31" t="n">
        <v>20400</v>
      </c>
      <c r="L37" s="31" t="n">
        <v>20800</v>
      </c>
      <c r="M37" s="31" t="n">
        <v>21400</v>
      </c>
      <c r="N37" s="31" t="n">
        <v>22400</v>
      </c>
      <c r="O37" s="38">
        <f>SUM(C37:N37)</f>
        <v/>
      </c>
      <c r="P37" s="18">
        <f>SUMIFS('LANÇAMENTOS'!$AE$6:$AE$2005,'LANÇAMENTOS'!$G$6:$G$2005,$A37,'LANÇAMENTOS'!$Z$6:$Z$2005,1,'LANÇAMENTOS'!$AA$6:$AA$2005,'CONFIGURAÇÕES'!$B$18)</f>
        <v/>
      </c>
      <c r="Q37" s="18">
        <f>SUMIFS('LANÇAMENTOS'!$AE$6:$AE$2005,'LANÇAMENTOS'!$G$6:$G$2005,$A37,'LANÇAMENTOS'!$Z$6:$Z$2005,2,'LANÇAMENTOS'!$AA$6:$AA$2005,'CONFIGURAÇÕES'!$B$18)</f>
        <v/>
      </c>
      <c r="R37" s="18">
        <f>SUMIFS('LANÇAMENTOS'!$AE$6:$AE$2005,'LANÇAMENTOS'!$G$6:$G$2005,$A37,'LANÇAMENTOS'!$Z$6:$Z$2005,3,'LANÇAMENTOS'!$AA$6:$AA$2005,'CONFIGURAÇÕES'!$B$18)</f>
        <v/>
      </c>
      <c r="S37" s="18">
        <f>SUMIFS('LANÇAMENTOS'!$AE$6:$AE$2005,'LANÇAMENTOS'!$G$6:$G$2005,$A37,'LANÇAMENTOS'!$Z$6:$Z$2005,4,'LANÇAMENTOS'!$AA$6:$AA$2005,'CONFIGURAÇÕES'!$B$18)</f>
        <v/>
      </c>
      <c r="T37" s="18">
        <f>SUMIFS('LANÇAMENTOS'!$AE$6:$AE$2005,'LANÇAMENTOS'!$G$6:$G$2005,$A37,'LANÇAMENTOS'!$Z$6:$Z$2005,5,'LANÇAMENTOS'!$AA$6:$AA$2005,'CONFIGURAÇÕES'!$B$18)</f>
        <v/>
      </c>
      <c r="U37" s="18">
        <f>SUMIFS('LANÇAMENTOS'!$AE$6:$AE$2005,'LANÇAMENTOS'!$G$6:$G$2005,$A37,'LANÇAMENTOS'!$Z$6:$Z$2005,6,'LANÇAMENTOS'!$AA$6:$AA$2005,'CONFIGURAÇÕES'!$B$18)</f>
        <v/>
      </c>
      <c r="V37" s="18">
        <f>SUMIFS('LANÇAMENTOS'!$AE$6:$AE$2005,'LANÇAMENTOS'!$G$6:$G$2005,$A37,'LANÇAMENTOS'!$Z$6:$Z$2005,7,'LANÇAMENTOS'!$AA$6:$AA$2005,'CONFIGURAÇÕES'!$B$18)</f>
        <v/>
      </c>
      <c r="W37" s="18">
        <f>SUMIFS('LANÇAMENTOS'!$AE$6:$AE$2005,'LANÇAMENTOS'!$G$6:$G$2005,$A37,'LANÇAMENTOS'!$Z$6:$Z$2005,8,'LANÇAMENTOS'!$AA$6:$AA$2005,'CONFIGURAÇÕES'!$B$18)</f>
        <v/>
      </c>
      <c r="X37" s="18">
        <f>SUMIFS('LANÇAMENTOS'!$AE$6:$AE$2005,'LANÇAMENTOS'!$G$6:$G$2005,$A37,'LANÇAMENTOS'!$Z$6:$Z$2005,9,'LANÇAMENTOS'!$AA$6:$AA$2005,'CONFIGURAÇÕES'!$B$18)</f>
        <v/>
      </c>
      <c r="Y37" s="18">
        <f>SUMIFS('LANÇAMENTOS'!$AE$6:$AE$2005,'LANÇAMENTOS'!$G$6:$G$2005,$A37,'LANÇAMENTOS'!$Z$6:$Z$2005,10,'LANÇAMENTOS'!$AA$6:$AA$2005,'CONFIGURAÇÕES'!$B$18)</f>
        <v/>
      </c>
      <c r="Z37" s="18">
        <f>SUMIFS('LANÇAMENTOS'!$AE$6:$AE$2005,'LANÇAMENTOS'!$G$6:$G$2005,$A37,'LANÇAMENTOS'!$Z$6:$Z$2005,11,'LANÇAMENTOS'!$AA$6:$AA$2005,'CONFIGURAÇÕES'!$B$18)</f>
        <v/>
      </c>
      <c r="AA37" s="18">
        <f>SUMIFS('LANÇAMENTOS'!$AE$6:$AE$2005,'LANÇAMENTOS'!$G$6:$G$2005,$A37,'LANÇAMENTOS'!$Z$6:$Z$2005,12,'LANÇAMENTOS'!$AA$6:$AA$2005,'CONFIGURAÇÕES'!$B$18)</f>
        <v/>
      </c>
      <c r="AB37" s="38">
        <f>SUM(P37:AA37)</f>
        <v/>
      </c>
      <c r="AC37" s="38">
        <f>$O37-$AB37</f>
        <v/>
      </c>
      <c r="AD37" s="23">
        <f>IF($O37=0,"",$AB37/$O37)</f>
        <v/>
      </c>
      <c r="AE37" s="17">
        <f>IF($O37=0,"Sem orçamento",IF($AB37&gt;$O37,"🔴 Estourou",IF($AB37&gt;$O37*0.9,"🟡 Atenção (&gt;90%)","🟢 Dentro do orçamento")))</f>
        <v/>
      </c>
    </row>
    <row r="38">
      <c r="A38" s="9" t="inlineStr">
        <is>
          <t>Outros Impostos e Taxas</t>
        </is>
      </c>
      <c r="B38" s="17" t="inlineStr">
        <is>
          <t>DESPESAS OPERACIONAIS</t>
        </is>
      </c>
      <c r="C38" s="31" t="n">
        <v>300</v>
      </c>
      <c r="D38" s="31" t="n">
        <v>300</v>
      </c>
      <c r="E38" s="31" t="n">
        <v>300</v>
      </c>
      <c r="F38" s="31" t="n">
        <v>300</v>
      </c>
      <c r="G38" s="31" t="n">
        <v>300</v>
      </c>
      <c r="H38" s="31" t="n">
        <v>300</v>
      </c>
      <c r="I38" s="31" t="n">
        <v>300</v>
      </c>
      <c r="J38" s="31" t="n">
        <v>300</v>
      </c>
      <c r="K38" s="31" t="n">
        <v>300</v>
      </c>
      <c r="L38" s="31" t="n">
        <v>300</v>
      </c>
      <c r="M38" s="31" t="n">
        <v>300</v>
      </c>
      <c r="N38" s="31" t="n">
        <v>300</v>
      </c>
      <c r="O38" s="38">
        <f>SUM(C38:N38)</f>
        <v/>
      </c>
      <c r="P38" s="18">
        <f>SUMIFS('LANÇAMENTOS'!$AE$6:$AE$2005,'LANÇAMENTOS'!$G$6:$G$2005,$A38,'LANÇAMENTOS'!$Z$6:$Z$2005,1,'LANÇAMENTOS'!$AA$6:$AA$2005,'CONFIGURAÇÕES'!$B$18)</f>
        <v/>
      </c>
      <c r="Q38" s="18">
        <f>SUMIFS('LANÇAMENTOS'!$AE$6:$AE$2005,'LANÇAMENTOS'!$G$6:$G$2005,$A38,'LANÇAMENTOS'!$Z$6:$Z$2005,2,'LANÇAMENTOS'!$AA$6:$AA$2005,'CONFIGURAÇÕES'!$B$18)</f>
        <v/>
      </c>
      <c r="R38" s="18">
        <f>SUMIFS('LANÇAMENTOS'!$AE$6:$AE$2005,'LANÇAMENTOS'!$G$6:$G$2005,$A38,'LANÇAMENTOS'!$Z$6:$Z$2005,3,'LANÇAMENTOS'!$AA$6:$AA$2005,'CONFIGURAÇÕES'!$B$18)</f>
        <v/>
      </c>
      <c r="S38" s="18">
        <f>SUMIFS('LANÇAMENTOS'!$AE$6:$AE$2005,'LANÇAMENTOS'!$G$6:$G$2005,$A38,'LANÇAMENTOS'!$Z$6:$Z$2005,4,'LANÇAMENTOS'!$AA$6:$AA$2005,'CONFIGURAÇÕES'!$B$18)</f>
        <v/>
      </c>
      <c r="T38" s="18">
        <f>SUMIFS('LANÇAMENTOS'!$AE$6:$AE$2005,'LANÇAMENTOS'!$G$6:$G$2005,$A38,'LANÇAMENTOS'!$Z$6:$Z$2005,5,'LANÇAMENTOS'!$AA$6:$AA$2005,'CONFIGURAÇÕES'!$B$18)</f>
        <v/>
      </c>
      <c r="U38" s="18">
        <f>SUMIFS('LANÇAMENTOS'!$AE$6:$AE$2005,'LANÇAMENTOS'!$G$6:$G$2005,$A38,'LANÇAMENTOS'!$Z$6:$Z$2005,6,'LANÇAMENTOS'!$AA$6:$AA$2005,'CONFIGURAÇÕES'!$B$18)</f>
        <v/>
      </c>
      <c r="V38" s="18">
        <f>SUMIFS('LANÇAMENTOS'!$AE$6:$AE$2005,'LANÇAMENTOS'!$G$6:$G$2005,$A38,'LANÇAMENTOS'!$Z$6:$Z$2005,7,'LANÇAMENTOS'!$AA$6:$AA$2005,'CONFIGURAÇÕES'!$B$18)</f>
        <v/>
      </c>
      <c r="W38" s="18">
        <f>SUMIFS('LANÇAMENTOS'!$AE$6:$AE$2005,'LANÇAMENTOS'!$G$6:$G$2005,$A38,'LANÇAMENTOS'!$Z$6:$Z$2005,8,'LANÇAMENTOS'!$AA$6:$AA$2005,'CONFIGURAÇÕES'!$B$18)</f>
        <v/>
      </c>
      <c r="X38" s="18">
        <f>SUMIFS('LANÇAMENTOS'!$AE$6:$AE$2005,'LANÇAMENTOS'!$G$6:$G$2005,$A38,'LANÇAMENTOS'!$Z$6:$Z$2005,9,'LANÇAMENTOS'!$AA$6:$AA$2005,'CONFIGURAÇÕES'!$B$18)</f>
        <v/>
      </c>
      <c r="Y38" s="18">
        <f>SUMIFS('LANÇAMENTOS'!$AE$6:$AE$2005,'LANÇAMENTOS'!$G$6:$G$2005,$A38,'LANÇAMENTOS'!$Z$6:$Z$2005,10,'LANÇAMENTOS'!$AA$6:$AA$2005,'CONFIGURAÇÕES'!$B$18)</f>
        <v/>
      </c>
      <c r="Z38" s="18">
        <f>SUMIFS('LANÇAMENTOS'!$AE$6:$AE$2005,'LANÇAMENTOS'!$G$6:$G$2005,$A38,'LANÇAMENTOS'!$Z$6:$Z$2005,11,'LANÇAMENTOS'!$AA$6:$AA$2005,'CONFIGURAÇÕES'!$B$18)</f>
        <v/>
      </c>
      <c r="AA38" s="18">
        <f>SUMIFS('LANÇAMENTOS'!$AE$6:$AE$2005,'LANÇAMENTOS'!$G$6:$G$2005,$A38,'LANÇAMENTOS'!$Z$6:$Z$2005,12,'LANÇAMENTOS'!$AA$6:$AA$2005,'CONFIGURAÇÕES'!$B$18)</f>
        <v/>
      </c>
      <c r="AB38" s="38">
        <f>SUM(P38:AA38)</f>
        <v/>
      </c>
      <c r="AC38" s="38">
        <f>$O38-$AB38</f>
        <v/>
      </c>
      <c r="AD38" s="23">
        <f>IF($O38=0,"",$AB38/$O38)</f>
        <v/>
      </c>
      <c r="AE38" s="17">
        <f>IF($O38=0,"Sem orçamento",IF($AB38&gt;$O38,"🔴 Estourou",IF($AB38&gt;$O38*0.9,"🟡 Atenção (&gt;90%)","🟢 Dentro do orçamento")))</f>
        <v/>
      </c>
    </row>
    <row r="39">
      <c r="A39" s="9" t="inlineStr">
        <is>
          <t>Juros de Empréstimos e Financiamentos</t>
        </is>
      </c>
      <c r="B39" s="17" t="inlineStr">
        <is>
          <t>DESPESAS OPERACIONAIS</t>
        </is>
      </c>
      <c r="C39" s="31" t="n">
        <v>4600</v>
      </c>
      <c r="D39" s="31" t="n">
        <v>4600</v>
      </c>
      <c r="E39" s="31" t="n">
        <v>4600</v>
      </c>
      <c r="F39" s="31" t="n">
        <v>4600</v>
      </c>
      <c r="G39" s="31" t="n">
        <v>4600</v>
      </c>
      <c r="H39" s="31" t="n">
        <v>4600</v>
      </c>
      <c r="I39" s="31" t="n">
        <v>4600</v>
      </c>
      <c r="J39" s="31" t="n">
        <v>4600</v>
      </c>
      <c r="K39" s="31" t="n">
        <v>4600</v>
      </c>
      <c r="L39" s="31" t="n">
        <v>4600</v>
      </c>
      <c r="M39" s="31" t="n">
        <v>4600</v>
      </c>
      <c r="N39" s="31" t="n">
        <v>4600</v>
      </c>
      <c r="O39" s="38">
        <f>SUM(C39:N39)</f>
        <v/>
      </c>
      <c r="P39" s="18">
        <f>SUMIFS('LANÇAMENTOS'!$AE$6:$AE$2005,'LANÇAMENTOS'!$G$6:$G$2005,$A39,'LANÇAMENTOS'!$Z$6:$Z$2005,1,'LANÇAMENTOS'!$AA$6:$AA$2005,'CONFIGURAÇÕES'!$B$18)</f>
        <v/>
      </c>
      <c r="Q39" s="18">
        <f>SUMIFS('LANÇAMENTOS'!$AE$6:$AE$2005,'LANÇAMENTOS'!$G$6:$G$2005,$A39,'LANÇAMENTOS'!$Z$6:$Z$2005,2,'LANÇAMENTOS'!$AA$6:$AA$2005,'CONFIGURAÇÕES'!$B$18)</f>
        <v/>
      </c>
      <c r="R39" s="18">
        <f>SUMIFS('LANÇAMENTOS'!$AE$6:$AE$2005,'LANÇAMENTOS'!$G$6:$G$2005,$A39,'LANÇAMENTOS'!$Z$6:$Z$2005,3,'LANÇAMENTOS'!$AA$6:$AA$2005,'CONFIGURAÇÕES'!$B$18)</f>
        <v/>
      </c>
      <c r="S39" s="18">
        <f>SUMIFS('LANÇAMENTOS'!$AE$6:$AE$2005,'LANÇAMENTOS'!$G$6:$G$2005,$A39,'LANÇAMENTOS'!$Z$6:$Z$2005,4,'LANÇAMENTOS'!$AA$6:$AA$2005,'CONFIGURAÇÕES'!$B$18)</f>
        <v/>
      </c>
      <c r="T39" s="18">
        <f>SUMIFS('LANÇAMENTOS'!$AE$6:$AE$2005,'LANÇAMENTOS'!$G$6:$G$2005,$A39,'LANÇAMENTOS'!$Z$6:$Z$2005,5,'LANÇAMENTOS'!$AA$6:$AA$2005,'CONFIGURAÇÕES'!$B$18)</f>
        <v/>
      </c>
      <c r="U39" s="18">
        <f>SUMIFS('LANÇAMENTOS'!$AE$6:$AE$2005,'LANÇAMENTOS'!$G$6:$G$2005,$A39,'LANÇAMENTOS'!$Z$6:$Z$2005,6,'LANÇAMENTOS'!$AA$6:$AA$2005,'CONFIGURAÇÕES'!$B$18)</f>
        <v/>
      </c>
      <c r="V39" s="18">
        <f>SUMIFS('LANÇAMENTOS'!$AE$6:$AE$2005,'LANÇAMENTOS'!$G$6:$G$2005,$A39,'LANÇAMENTOS'!$Z$6:$Z$2005,7,'LANÇAMENTOS'!$AA$6:$AA$2005,'CONFIGURAÇÕES'!$B$18)</f>
        <v/>
      </c>
      <c r="W39" s="18">
        <f>SUMIFS('LANÇAMENTOS'!$AE$6:$AE$2005,'LANÇAMENTOS'!$G$6:$G$2005,$A39,'LANÇAMENTOS'!$Z$6:$Z$2005,8,'LANÇAMENTOS'!$AA$6:$AA$2005,'CONFIGURAÇÕES'!$B$18)</f>
        <v/>
      </c>
      <c r="X39" s="18">
        <f>SUMIFS('LANÇAMENTOS'!$AE$6:$AE$2005,'LANÇAMENTOS'!$G$6:$G$2005,$A39,'LANÇAMENTOS'!$Z$6:$Z$2005,9,'LANÇAMENTOS'!$AA$6:$AA$2005,'CONFIGURAÇÕES'!$B$18)</f>
        <v/>
      </c>
      <c r="Y39" s="18">
        <f>SUMIFS('LANÇAMENTOS'!$AE$6:$AE$2005,'LANÇAMENTOS'!$G$6:$G$2005,$A39,'LANÇAMENTOS'!$Z$6:$Z$2005,10,'LANÇAMENTOS'!$AA$6:$AA$2005,'CONFIGURAÇÕES'!$B$18)</f>
        <v/>
      </c>
      <c r="Z39" s="18">
        <f>SUMIFS('LANÇAMENTOS'!$AE$6:$AE$2005,'LANÇAMENTOS'!$G$6:$G$2005,$A39,'LANÇAMENTOS'!$Z$6:$Z$2005,11,'LANÇAMENTOS'!$AA$6:$AA$2005,'CONFIGURAÇÕES'!$B$18)</f>
        <v/>
      </c>
      <c r="AA39" s="18">
        <f>SUMIFS('LANÇAMENTOS'!$AE$6:$AE$2005,'LANÇAMENTOS'!$G$6:$G$2005,$A39,'LANÇAMENTOS'!$Z$6:$Z$2005,12,'LANÇAMENTOS'!$AA$6:$AA$2005,'CONFIGURAÇÕES'!$B$18)</f>
        <v/>
      </c>
      <c r="AB39" s="38">
        <f>SUM(P39:AA39)</f>
        <v/>
      </c>
      <c r="AC39" s="38">
        <f>$O39-$AB39</f>
        <v/>
      </c>
      <c r="AD39" s="23">
        <f>IF($O39=0,"",$AB39/$O39)</f>
        <v/>
      </c>
      <c r="AE39" s="17">
        <f>IF($O39=0,"Sem orçamento",IF($AB39&gt;$O39,"🔴 Estourou",IF($AB39&gt;$O39*0.9,"🟡 Atenção (&gt;90%)","🟢 Dentro do orçamento")))</f>
        <v/>
      </c>
    </row>
    <row r="40">
      <c r="A40" s="9" t="inlineStr">
        <is>
          <t>Tecnologia e Informática</t>
        </is>
      </c>
      <c r="B40" s="17" t="inlineStr">
        <is>
          <t>INVESTIMENTOS</t>
        </is>
      </c>
      <c r="C40" s="31" t="n">
        <v>0</v>
      </c>
      <c r="D40" s="31" t="n">
        <v>0</v>
      </c>
      <c r="E40" s="31" t="n">
        <v>12000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6000</v>
      </c>
      <c r="K40" s="31" t="n">
        <v>0</v>
      </c>
      <c r="L40" s="31" t="n">
        <v>0</v>
      </c>
      <c r="M40" s="31" t="n">
        <v>0</v>
      </c>
      <c r="N40" s="31" t="n">
        <v>0</v>
      </c>
      <c r="O40" s="38">
        <f>SUM(C40:N40)</f>
        <v/>
      </c>
      <c r="P40" s="18">
        <f>SUMIFS('LANÇAMENTOS'!$AE$6:$AE$2005,'LANÇAMENTOS'!$G$6:$G$2005,$A40,'LANÇAMENTOS'!$Z$6:$Z$2005,1,'LANÇAMENTOS'!$AA$6:$AA$2005,'CONFIGURAÇÕES'!$B$18)</f>
        <v/>
      </c>
      <c r="Q40" s="18">
        <f>SUMIFS('LANÇAMENTOS'!$AE$6:$AE$2005,'LANÇAMENTOS'!$G$6:$G$2005,$A40,'LANÇAMENTOS'!$Z$6:$Z$2005,2,'LANÇAMENTOS'!$AA$6:$AA$2005,'CONFIGURAÇÕES'!$B$18)</f>
        <v/>
      </c>
      <c r="R40" s="18">
        <f>SUMIFS('LANÇAMENTOS'!$AE$6:$AE$2005,'LANÇAMENTOS'!$G$6:$G$2005,$A40,'LANÇAMENTOS'!$Z$6:$Z$2005,3,'LANÇAMENTOS'!$AA$6:$AA$2005,'CONFIGURAÇÕES'!$B$18)</f>
        <v/>
      </c>
      <c r="S40" s="18">
        <f>SUMIFS('LANÇAMENTOS'!$AE$6:$AE$2005,'LANÇAMENTOS'!$G$6:$G$2005,$A40,'LANÇAMENTOS'!$Z$6:$Z$2005,4,'LANÇAMENTOS'!$AA$6:$AA$2005,'CONFIGURAÇÕES'!$B$18)</f>
        <v/>
      </c>
      <c r="T40" s="18">
        <f>SUMIFS('LANÇAMENTOS'!$AE$6:$AE$2005,'LANÇAMENTOS'!$G$6:$G$2005,$A40,'LANÇAMENTOS'!$Z$6:$Z$2005,5,'LANÇAMENTOS'!$AA$6:$AA$2005,'CONFIGURAÇÕES'!$B$18)</f>
        <v/>
      </c>
      <c r="U40" s="18">
        <f>SUMIFS('LANÇAMENTOS'!$AE$6:$AE$2005,'LANÇAMENTOS'!$G$6:$G$2005,$A40,'LANÇAMENTOS'!$Z$6:$Z$2005,6,'LANÇAMENTOS'!$AA$6:$AA$2005,'CONFIGURAÇÕES'!$B$18)</f>
        <v/>
      </c>
      <c r="V40" s="18">
        <f>SUMIFS('LANÇAMENTOS'!$AE$6:$AE$2005,'LANÇAMENTOS'!$G$6:$G$2005,$A40,'LANÇAMENTOS'!$Z$6:$Z$2005,7,'LANÇAMENTOS'!$AA$6:$AA$2005,'CONFIGURAÇÕES'!$B$18)</f>
        <v/>
      </c>
      <c r="W40" s="18">
        <f>SUMIFS('LANÇAMENTOS'!$AE$6:$AE$2005,'LANÇAMENTOS'!$G$6:$G$2005,$A40,'LANÇAMENTOS'!$Z$6:$Z$2005,8,'LANÇAMENTOS'!$AA$6:$AA$2005,'CONFIGURAÇÕES'!$B$18)</f>
        <v/>
      </c>
      <c r="X40" s="18">
        <f>SUMIFS('LANÇAMENTOS'!$AE$6:$AE$2005,'LANÇAMENTOS'!$G$6:$G$2005,$A40,'LANÇAMENTOS'!$Z$6:$Z$2005,9,'LANÇAMENTOS'!$AA$6:$AA$2005,'CONFIGURAÇÕES'!$B$18)</f>
        <v/>
      </c>
      <c r="Y40" s="18">
        <f>SUMIFS('LANÇAMENTOS'!$AE$6:$AE$2005,'LANÇAMENTOS'!$G$6:$G$2005,$A40,'LANÇAMENTOS'!$Z$6:$Z$2005,10,'LANÇAMENTOS'!$AA$6:$AA$2005,'CONFIGURAÇÕES'!$B$18)</f>
        <v/>
      </c>
      <c r="Z40" s="18">
        <f>SUMIFS('LANÇAMENTOS'!$AE$6:$AE$2005,'LANÇAMENTOS'!$G$6:$G$2005,$A40,'LANÇAMENTOS'!$Z$6:$Z$2005,11,'LANÇAMENTOS'!$AA$6:$AA$2005,'CONFIGURAÇÕES'!$B$18)</f>
        <v/>
      </c>
      <c r="AA40" s="18">
        <f>SUMIFS('LANÇAMENTOS'!$AE$6:$AE$2005,'LANÇAMENTOS'!$G$6:$G$2005,$A40,'LANÇAMENTOS'!$Z$6:$Z$2005,12,'LANÇAMENTOS'!$AA$6:$AA$2005,'CONFIGURAÇÕES'!$B$18)</f>
        <v/>
      </c>
      <c r="AB40" s="38">
        <f>SUM(P40:AA40)</f>
        <v/>
      </c>
      <c r="AC40" s="38">
        <f>$O40-$AB40</f>
        <v/>
      </c>
      <c r="AD40" s="23">
        <f>IF($O40=0,"",$AB40/$O40)</f>
        <v/>
      </c>
      <c r="AE40" s="17">
        <f>IF($O40=0,"Sem orçamento",IF($AB40&gt;$O40,"🔴 Estourou",IF($AB40&gt;$O40*0.9,"🟡 Atenção (&gt;90%)","🟢 Dentro do orçamento")))</f>
        <v/>
      </c>
    </row>
    <row r="41">
      <c r="A41" s="9" t="inlineStr">
        <is>
          <t>Máquinas e Equipamentos</t>
        </is>
      </c>
      <c r="B41" s="17" t="inlineStr">
        <is>
          <t>INVESTIMENTOS</t>
        </is>
      </c>
      <c r="C41" s="31" t="n">
        <v>0</v>
      </c>
      <c r="D41" s="31" t="n">
        <v>0</v>
      </c>
      <c r="E41" s="31" t="n">
        <v>0</v>
      </c>
      <c r="F41" s="31" t="n">
        <v>28000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8">
        <f>SUM(C41:N41)</f>
        <v/>
      </c>
      <c r="P41" s="18">
        <f>SUMIFS('LANÇAMENTOS'!$AE$6:$AE$2005,'LANÇAMENTOS'!$G$6:$G$2005,$A41,'LANÇAMENTOS'!$Z$6:$Z$2005,1,'LANÇAMENTOS'!$AA$6:$AA$2005,'CONFIGURAÇÕES'!$B$18)</f>
        <v/>
      </c>
      <c r="Q41" s="18">
        <f>SUMIFS('LANÇAMENTOS'!$AE$6:$AE$2005,'LANÇAMENTOS'!$G$6:$G$2005,$A41,'LANÇAMENTOS'!$Z$6:$Z$2005,2,'LANÇAMENTOS'!$AA$6:$AA$2005,'CONFIGURAÇÕES'!$B$18)</f>
        <v/>
      </c>
      <c r="R41" s="18">
        <f>SUMIFS('LANÇAMENTOS'!$AE$6:$AE$2005,'LANÇAMENTOS'!$G$6:$G$2005,$A41,'LANÇAMENTOS'!$Z$6:$Z$2005,3,'LANÇAMENTOS'!$AA$6:$AA$2005,'CONFIGURAÇÕES'!$B$18)</f>
        <v/>
      </c>
      <c r="S41" s="18">
        <f>SUMIFS('LANÇAMENTOS'!$AE$6:$AE$2005,'LANÇAMENTOS'!$G$6:$G$2005,$A41,'LANÇAMENTOS'!$Z$6:$Z$2005,4,'LANÇAMENTOS'!$AA$6:$AA$2005,'CONFIGURAÇÕES'!$B$18)</f>
        <v/>
      </c>
      <c r="T41" s="18">
        <f>SUMIFS('LANÇAMENTOS'!$AE$6:$AE$2005,'LANÇAMENTOS'!$G$6:$G$2005,$A41,'LANÇAMENTOS'!$Z$6:$Z$2005,5,'LANÇAMENTOS'!$AA$6:$AA$2005,'CONFIGURAÇÕES'!$B$18)</f>
        <v/>
      </c>
      <c r="U41" s="18">
        <f>SUMIFS('LANÇAMENTOS'!$AE$6:$AE$2005,'LANÇAMENTOS'!$G$6:$G$2005,$A41,'LANÇAMENTOS'!$Z$6:$Z$2005,6,'LANÇAMENTOS'!$AA$6:$AA$2005,'CONFIGURAÇÕES'!$B$18)</f>
        <v/>
      </c>
      <c r="V41" s="18">
        <f>SUMIFS('LANÇAMENTOS'!$AE$6:$AE$2005,'LANÇAMENTOS'!$G$6:$G$2005,$A41,'LANÇAMENTOS'!$Z$6:$Z$2005,7,'LANÇAMENTOS'!$AA$6:$AA$2005,'CONFIGURAÇÕES'!$B$18)</f>
        <v/>
      </c>
      <c r="W41" s="18">
        <f>SUMIFS('LANÇAMENTOS'!$AE$6:$AE$2005,'LANÇAMENTOS'!$G$6:$G$2005,$A41,'LANÇAMENTOS'!$Z$6:$Z$2005,8,'LANÇAMENTOS'!$AA$6:$AA$2005,'CONFIGURAÇÕES'!$B$18)</f>
        <v/>
      </c>
      <c r="X41" s="18">
        <f>SUMIFS('LANÇAMENTOS'!$AE$6:$AE$2005,'LANÇAMENTOS'!$G$6:$G$2005,$A41,'LANÇAMENTOS'!$Z$6:$Z$2005,9,'LANÇAMENTOS'!$AA$6:$AA$2005,'CONFIGURAÇÕES'!$B$18)</f>
        <v/>
      </c>
      <c r="Y41" s="18">
        <f>SUMIFS('LANÇAMENTOS'!$AE$6:$AE$2005,'LANÇAMENTOS'!$G$6:$G$2005,$A41,'LANÇAMENTOS'!$Z$6:$Z$2005,10,'LANÇAMENTOS'!$AA$6:$AA$2005,'CONFIGURAÇÕES'!$B$18)</f>
        <v/>
      </c>
      <c r="Z41" s="18">
        <f>SUMIFS('LANÇAMENTOS'!$AE$6:$AE$2005,'LANÇAMENTOS'!$G$6:$G$2005,$A41,'LANÇAMENTOS'!$Z$6:$Z$2005,11,'LANÇAMENTOS'!$AA$6:$AA$2005,'CONFIGURAÇÕES'!$B$18)</f>
        <v/>
      </c>
      <c r="AA41" s="18">
        <f>SUMIFS('LANÇAMENTOS'!$AE$6:$AE$2005,'LANÇAMENTOS'!$G$6:$G$2005,$A41,'LANÇAMENTOS'!$Z$6:$Z$2005,12,'LANÇAMENTOS'!$AA$6:$AA$2005,'CONFIGURAÇÕES'!$B$18)</f>
        <v/>
      </c>
      <c r="AB41" s="38">
        <f>SUM(P41:AA41)</f>
        <v/>
      </c>
      <c r="AC41" s="38">
        <f>$O41-$AB41</f>
        <v/>
      </c>
      <c r="AD41" s="23">
        <f>IF($O41=0,"",$AB41/$O41)</f>
        <v/>
      </c>
      <c r="AE41" s="17">
        <f>IF($O41=0,"Sem orçamento",IF($AB41&gt;$O41,"🔴 Estourou",IF($AB41&gt;$O41*0.9,"🟡 Atenção (&gt;90%)","🟢 Dentro do orçamento")))</f>
        <v/>
      </c>
    </row>
    <row r="42">
      <c r="A42" s="9" t="inlineStr">
        <is>
          <t>Móveis e Utensílios</t>
        </is>
      </c>
      <c r="B42" s="17" t="inlineStr">
        <is>
          <t>INVESTIMENTOS</t>
        </is>
      </c>
      <c r="C42" s="31" t="n">
        <v>0</v>
      </c>
      <c r="D42" s="31" t="n">
        <v>0</v>
      </c>
      <c r="E42" s="31" t="n">
        <v>0</v>
      </c>
      <c r="F42" s="31" t="n">
        <v>0</v>
      </c>
      <c r="G42" s="31" t="n">
        <v>0</v>
      </c>
      <c r="H42" s="31" t="n">
        <v>5000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  <c r="N42" s="31" t="n">
        <v>0</v>
      </c>
      <c r="O42" s="38">
        <f>SUM(C42:N42)</f>
        <v/>
      </c>
      <c r="P42" s="18">
        <f>SUMIFS('LANÇAMENTOS'!$AE$6:$AE$2005,'LANÇAMENTOS'!$G$6:$G$2005,$A42,'LANÇAMENTOS'!$Z$6:$Z$2005,1,'LANÇAMENTOS'!$AA$6:$AA$2005,'CONFIGURAÇÕES'!$B$18)</f>
        <v/>
      </c>
      <c r="Q42" s="18">
        <f>SUMIFS('LANÇAMENTOS'!$AE$6:$AE$2005,'LANÇAMENTOS'!$G$6:$G$2005,$A42,'LANÇAMENTOS'!$Z$6:$Z$2005,2,'LANÇAMENTOS'!$AA$6:$AA$2005,'CONFIGURAÇÕES'!$B$18)</f>
        <v/>
      </c>
      <c r="R42" s="18">
        <f>SUMIFS('LANÇAMENTOS'!$AE$6:$AE$2005,'LANÇAMENTOS'!$G$6:$G$2005,$A42,'LANÇAMENTOS'!$Z$6:$Z$2005,3,'LANÇAMENTOS'!$AA$6:$AA$2005,'CONFIGURAÇÕES'!$B$18)</f>
        <v/>
      </c>
      <c r="S42" s="18">
        <f>SUMIFS('LANÇAMENTOS'!$AE$6:$AE$2005,'LANÇAMENTOS'!$G$6:$G$2005,$A42,'LANÇAMENTOS'!$Z$6:$Z$2005,4,'LANÇAMENTOS'!$AA$6:$AA$2005,'CONFIGURAÇÕES'!$B$18)</f>
        <v/>
      </c>
      <c r="T42" s="18">
        <f>SUMIFS('LANÇAMENTOS'!$AE$6:$AE$2005,'LANÇAMENTOS'!$G$6:$G$2005,$A42,'LANÇAMENTOS'!$Z$6:$Z$2005,5,'LANÇAMENTOS'!$AA$6:$AA$2005,'CONFIGURAÇÕES'!$B$18)</f>
        <v/>
      </c>
      <c r="U42" s="18">
        <f>SUMIFS('LANÇAMENTOS'!$AE$6:$AE$2005,'LANÇAMENTOS'!$G$6:$G$2005,$A42,'LANÇAMENTOS'!$Z$6:$Z$2005,6,'LANÇAMENTOS'!$AA$6:$AA$2005,'CONFIGURAÇÕES'!$B$18)</f>
        <v/>
      </c>
      <c r="V42" s="18">
        <f>SUMIFS('LANÇAMENTOS'!$AE$6:$AE$2005,'LANÇAMENTOS'!$G$6:$G$2005,$A42,'LANÇAMENTOS'!$Z$6:$Z$2005,7,'LANÇAMENTOS'!$AA$6:$AA$2005,'CONFIGURAÇÕES'!$B$18)</f>
        <v/>
      </c>
      <c r="W42" s="18">
        <f>SUMIFS('LANÇAMENTOS'!$AE$6:$AE$2005,'LANÇAMENTOS'!$G$6:$G$2005,$A42,'LANÇAMENTOS'!$Z$6:$Z$2005,8,'LANÇAMENTOS'!$AA$6:$AA$2005,'CONFIGURAÇÕES'!$B$18)</f>
        <v/>
      </c>
      <c r="X42" s="18">
        <f>SUMIFS('LANÇAMENTOS'!$AE$6:$AE$2005,'LANÇAMENTOS'!$G$6:$G$2005,$A42,'LANÇAMENTOS'!$Z$6:$Z$2005,9,'LANÇAMENTOS'!$AA$6:$AA$2005,'CONFIGURAÇÕES'!$B$18)</f>
        <v/>
      </c>
      <c r="Y42" s="18">
        <f>SUMIFS('LANÇAMENTOS'!$AE$6:$AE$2005,'LANÇAMENTOS'!$G$6:$G$2005,$A42,'LANÇAMENTOS'!$Z$6:$Z$2005,10,'LANÇAMENTOS'!$AA$6:$AA$2005,'CONFIGURAÇÕES'!$B$18)</f>
        <v/>
      </c>
      <c r="Z42" s="18">
        <f>SUMIFS('LANÇAMENTOS'!$AE$6:$AE$2005,'LANÇAMENTOS'!$G$6:$G$2005,$A42,'LANÇAMENTOS'!$Z$6:$Z$2005,11,'LANÇAMENTOS'!$AA$6:$AA$2005,'CONFIGURAÇÕES'!$B$18)</f>
        <v/>
      </c>
      <c r="AA42" s="18">
        <f>SUMIFS('LANÇAMENTOS'!$AE$6:$AE$2005,'LANÇAMENTOS'!$G$6:$G$2005,$A42,'LANÇAMENTOS'!$Z$6:$Z$2005,12,'LANÇAMENTOS'!$AA$6:$AA$2005,'CONFIGURAÇÕES'!$B$18)</f>
        <v/>
      </c>
      <c r="AB42" s="38">
        <f>SUM(P42:AA42)</f>
        <v/>
      </c>
      <c r="AC42" s="38">
        <f>$O42-$AB42</f>
        <v/>
      </c>
      <c r="AD42" s="23">
        <f>IF($O42=0,"",$AB42/$O42)</f>
        <v/>
      </c>
      <c r="AE42" s="17">
        <f>IF($O42=0,"Sem orçamento",IF($AB42&gt;$O42,"🔴 Estourou",IF($AB42&gt;$O42*0.9,"🟡 Atenção (&gt;90%)","🟢 Dentro do orçamento")))</f>
        <v/>
      </c>
    </row>
    <row r="43">
      <c r="A43" s="9" t="inlineStr">
        <is>
          <t>Reformas e Benfeitorias</t>
        </is>
      </c>
      <c r="B43" s="17" t="inlineStr">
        <is>
          <t>INVESTIMENTOS</t>
        </is>
      </c>
      <c r="C43" s="31" t="n">
        <v>0</v>
      </c>
      <c r="D43" s="31" t="n">
        <v>16000</v>
      </c>
      <c r="E43" s="31" t="n">
        <v>0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1" t="n">
        <v>0</v>
      </c>
      <c r="M43" s="31" t="n">
        <v>0</v>
      </c>
      <c r="N43" s="31" t="n">
        <v>0</v>
      </c>
      <c r="O43" s="38">
        <f>SUM(C43:N43)</f>
        <v/>
      </c>
      <c r="P43" s="18">
        <f>SUMIFS('LANÇAMENTOS'!$AE$6:$AE$2005,'LANÇAMENTOS'!$G$6:$G$2005,$A43,'LANÇAMENTOS'!$Z$6:$Z$2005,1,'LANÇAMENTOS'!$AA$6:$AA$2005,'CONFIGURAÇÕES'!$B$18)</f>
        <v/>
      </c>
      <c r="Q43" s="18">
        <f>SUMIFS('LANÇAMENTOS'!$AE$6:$AE$2005,'LANÇAMENTOS'!$G$6:$G$2005,$A43,'LANÇAMENTOS'!$Z$6:$Z$2005,2,'LANÇAMENTOS'!$AA$6:$AA$2005,'CONFIGURAÇÕES'!$B$18)</f>
        <v/>
      </c>
      <c r="R43" s="18">
        <f>SUMIFS('LANÇAMENTOS'!$AE$6:$AE$2005,'LANÇAMENTOS'!$G$6:$G$2005,$A43,'LANÇAMENTOS'!$Z$6:$Z$2005,3,'LANÇAMENTOS'!$AA$6:$AA$2005,'CONFIGURAÇÕES'!$B$18)</f>
        <v/>
      </c>
      <c r="S43" s="18">
        <f>SUMIFS('LANÇAMENTOS'!$AE$6:$AE$2005,'LANÇAMENTOS'!$G$6:$G$2005,$A43,'LANÇAMENTOS'!$Z$6:$Z$2005,4,'LANÇAMENTOS'!$AA$6:$AA$2005,'CONFIGURAÇÕES'!$B$18)</f>
        <v/>
      </c>
      <c r="T43" s="18">
        <f>SUMIFS('LANÇAMENTOS'!$AE$6:$AE$2005,'LANÇAMENTOS'!$G$6:$G$2005,$A43,'LANÇAMENTOS'!$Z$6:$Z$2005,5,'LANÇAMENTOS'!$AA$6:$AA$2005,'CONFIGURAÇÕES'!$B$18)</f>
        <v/>
      </c>
      <c r="U43" s="18">
        <f>SUMIFS('LANÇAMENTOS'!$AE$6:$AE$2005,'LANÇAMENTOS'!$G$6:$G$2005,$A43,'LANÇAMENTOS'!$Z$6:$Z$2005,6,'LANÇAMENTOS'!$AA$6:$AA$2005,'CONFIGURAÇÕES'!$B$18)</f>
        <v/>
      </c>
      <c r="V43" s="18">
        <f>SUMIFS('LANÇAMENTOS'!$AE$6:$AE$2005,'LANÇAMENTOS'!$G$6:$G$2005,$A43,'LANÇAMENTOS'!$Z$6:$Z$2005,7,'LANÇAMENTOS'!$AA$6:$AA$2005,'CONFIGURAÇÕES'!$B$18)</f>
        <v/>
      </c>
      <c r="W43" s="18">
        <f>SUMIFS('LANÇAMENTOS'!$AE$6:$AE$2005,'LANÇAMENTOS'!$G$6:$G$2005,$A43,'LANÇAMENTOS'!$Z$6:$Z$2005,8,'LANÇAMENTOS'!$AA$6:$AA$2005,'CONFIGURAÇÕES'!$B$18)</f>
        <v/>
      </c>
      <c r="X43" s="18">
        <f>SUMIFS('LANÇAMENTOS'!$AE$6:$AE$2005,'LANÇAMENTOS'!$G$6:$G$2005,$A43,'LANÇAMENTOS'!$Z$6:$Z$2005,9,'LANÇAMENTOS'!$AA$6:$AA$2005,'CONFIGURAÇÕES'!$B$18)</f>
        <v/>
      </c>
      <c r="Y43" s="18">
        <f>SUMIFS('LANÇAMENTOS'!$AE$6:$AE$2005,'LANÇAMENTOS'!$G$6:$G$2005,$A43,'LANÇAMENTOS'!$Z$6:$Z$2005,10,'LANÇAMENTOS'!$AA$6:$AA$2005,'CONFIGURAÇÕES'!$B$18)</f>
        <v/>
      </c>
      <c r="Z43" s="18">
        <f>SUMIFS('LANÇAMENTOS'!$AE$6:$AE$2005,'LANÇAMENTOS'!$G$6:$G$2005,$A43,'LANÇAMENTOS'!$Z$6:$Z$2005,11,'LANÇAMENTOS'!$AA$6:$AA$2005,'CONFIGURAÇÕES'!$B$18)</f>
        <v/>
      </c>
      <c r="AA43" s="18">
        <f>SUMIFS('LANÇAMENTOS'!$AE$6:$AE$2005,'LANÇAMENTOS'!$G$6:$G$2005,$A43,'LANÇAMENTOS'!$Z$6:$Z$2005,12,'LANÇAMENTOS'!$AA$6:$AA$2005,'CONFIGURAÇÕES'!$B$18)</f>
        <v/>
      </c>
      <c r="AB43" s="38">
        <f>SUM(P43:AA43)</f>
        <v/>
      </c>
      <c r="AC43" s="38">
        <f>$O43-$AB43</f>
        <v/>
      </c>
      <c r="AD43" s="23">
        <f>IF($O43=0,"",$AB43/$O43)</f>
        <v/>
      </c>
      <c r="AE43" s="17">
        <f>IF($O43=0,"Sem orçamento",IF($AB43&gt;$O43,"🔴 Estourou",IF($AB43&gt;$O43*0.9,"🟡 Atenção (&gt;90%)","🟢 Dentro do orçamento")))</f>
        <v/>
      </c>
    </row>
    <row r="44">
      <c r="A44" s="9" t="inlineStr">
        <is>
          <t>Distribuição de Lucros aos Sócios</t>
        </is>
      </c>
      <c r="B44" s="17" t="inlineStr">
        <is>
          <t>PATRIMÔNIO LÍQUIDO</t>
        </is>
      </c>
      <c r="C44" s="31" t="n">
        <v>12000</v>
      </c>
      <c r="D44" s="31" t="n">
        <v>0</v>
      </c>
      <c r="E44" s="31" t="n">
        <v>0</v>
      </c>
      <c r="F44" s="31" t="n">
        <v>12000</v>
      </c>
      <c r="G44" s="31" t="n">
        <v>0</v>
      </c>
      <c r="H44" s="31" t="n">
        <v>0</v>
      </c>
      <c r="I44" s="31" t="n">
        <v>12000</v>
      </c>
      <c r="J44" s="31" t="n">
        <v>0</v>
      </c>
      <c r="K44" s="31" t="n">
        <v>0</v>
      </c>
      <c r="L44" s="31" t="n">
        <v>12000</v>
      </c>
      <c r="M44" s="31" t="n">
        <v>0</v>
      </c>
      <c r="N44" s="31" t="n">
        <v>0</v>
      </c>
      <c r="O44" s="38">
        <f>SUM(C44:N44)</f>
        <v/>
      </c>
      <c r="P44" s="18">
        <f>SUMIFS('LANÇAMENTOS'!$AE$6:$AE$2005,'LANÇAMENTOS'!$G$6:$G$2005,$A44,'LANÇAMENTOS'!$Z$6:$Z$2005,1,'LANÇAMENTOS'!$AA$6:$AA$2005,'CONFIGURAÇÕES'!$B$18)</f>
        <v/>
      </c>
      <c r="Q44" s="18">
        <f>SUMIFS('LANÇAMENTOS'!$AE$6:$AE$2005,'LANÇAMENTOS'!$G$6:$G$2005,$A44,'LANÇAMENTOS'!$Z$6:$Z$2005,2,'LANÇAMENTOS'!$AA$6:$AA$2005,'CONFIGURAÇÕES'!$B$18)</f>
        <v/>
      </c>
      <c r="R44" s="18">
        <f>SUMIFS('LANÇAMENTOS'!$AE$6:$AE$2005,'LANÇAMENTOS'!$G$6:$G$2005,$A44,'LANÇAMENTOS'!$Z$6:$Z$2005,3,'LANÇAMENTOS'!$AA$6:$AA$2005,'CONFIGURAÇÕES'!$B$18)</f>
        <v/>
      </c>
      <c r="S44" s="18">
        <f>SUMIFS('LANÇAMENTOS'!$AE$6:$AE$2005,'LANÇAMENTOS'!$G$6:$G$2005,$A44,'LANÇAMENTOS'!$Z$6:$Z$2005,4,'LANÇAMENTOS'!$AA$6:$AA$2005,'CONFIGURAÇÕES'!$B$18)</f>
        <v/>
      </c>
      <c r="T44" s="18">
        <f>SUMIFS('LANÇAMENTOS'!$AE$6:$AE$2005,'LANÇAMENTOS'!$G$6:$G$2005,$A44,'LANÇAMENTOS'!$Z$6:$Z$2005,5,'LANÇAMENTOS'!$AA$6:$AA$2005,'CONFIGURAÇÕES'!$B$18)</f>
        <v/>
      </c>
      <c r="U44" s="18">
        <f>SUMIFS('LANÇAMENTOS'!$AE$6:$AE$2005,'LANÇAMENTOS'!$G$6:$G$2005,$A44,'LANÇAMENTOS'!$Z$6:$Z$2005,6,'LANÇAMENTOS'!$AA$6:$AA$2005,'CONFIGURAÇÕES'!$B$18)</f>
        <v/>
      </c>
      <c r="V44" s="18">
        <f>SUMIFS('LANÇAMENTOS'!$AE$6:$AE$2005,'LANÇAMENTOS'!$G$6:$G$2005,$A44,'LANÇAMENTOS'!$Z$6:$Z$2005,7,'LANÇAMENTOS'!$AA$6:$AA$2005,'CONFIGURAÇÕES'!$B$18)</f>
        <v/>
      </c>
      <c r="W44" s="18">
        <f>SUMIFS('LANÇAMENTOS'!$AE$6:$AE$2005,'LANÇAMENTOS'!$G$6:$G$2005,$A44,'LANÇAMENTOS'!$Z$6:$Z$2005,8,'LANÇAMENTOS'!$AA$6:$AA$2005,'CONFIGURAÇÕES'!$B$18)</f>
        <v/>
      </c>
      <c r="X44" s="18">
        <f>SUMIFS('LANÇAMENTOS'!$AE$6:$AE$2005,'LANÇAMENTOS'!$G$6:$G$2005,$A44,'LANÇAMENTOS'!$Z$6:$Z$2005,9,'LANÇAMENTOS'!$AA$6:$AA$2005,'CONFIGURAÇÕES'!$B$18)</f>
        <v/>
      </c>
      <c r="Y44" s="18">
        <f>SUMIFS('LANÇAMENTOS'!$AE$6:$AE$2005,'LANÇAMENTOS'!$G$6:$G$2005,$A44,'LANÇAMENTOS'!$Z$6:$Z$2005,10,'LANÇAMENTOS'!$AA$6:$AA$2005,'CONFIGURAÇÕES'!$B$18)</f>
        <v/>
      </c>
      <c r="Z44" s="18">
        <f>SUMIFS('LANÇAMENTOS'!$AE$6:$AE$2005,'LANÇAMENTOS'!$G$6:$G$2005,$A44,'LANÇAMENTOS'!$Z$6:$Z$2005,11,'LANÇAMENTOS'!$AA$6:$AA$2005,'CONFIGURAÇÕES'!$B$18)</f>
        <v/>
      </c>
      <c r="AA44" s="18">
        <f>SUMIFS('LANÇAMENTOS'!$AE$6:$AE$2005,'LANÇAMENTOS'!$G$6:$G$2005,$A44,'LANÇAMENTOS'!$Z$6:$Z$2005,12,'LANÇAMENTOS'!$AA$6:$AA$2005,'CONFIGURAÇÕES'!$B$18)</f>
        <v/>
      </c>
      <c r="AB44" s="38">
        <f>SUM(P44:AA44)</f>
        <v/>
      </c>
      <c r="AC44" s="38">
        <f>$O44-$AB44</f>
        <v/>
      </c>
      <c r="AD44" s="23">
        <f>IF($O44=0,"",$AB44/$O44)</f>
        <v/>
      </c>
      <c r="AE44" s="17">
        <f>IF($O44=0,"Sem orçamento",IF($AB44&gt;$O44,"🔴 Estourou",IF($AB44&gt;$O44*0.9,"🟡 Atenção (&gt;90%)","🟢 Dentro do orçamento")))</f>
        <v/>
      </c>
    </row>
    <row r="45">
      <c r="A45" s="37" t="inlineStr">
        <is>
          <t>TOTAL GERAL</t>
        </is>
      </c>
      <c r="C45" s="38">
        <f>SUM(C7:C44)</f>
        <v/>
      </c>
      <c r="D45" s="38">
        <f>SUM(D7:D44)</f>
        <v/>
      </c>
      <c r="E45" s="38">
        <f>SUM(E7:E44)</f>
        <v/>
      </c>
      <c r="F45" s="38">
        <f>SUM(F7:F44)</f>
        <v/>
      </c>
      <c r="G45" s="38">
        <f>SUM(G7:G44)</f>
        <v/>
      </c>
      <c r="H45" s="38">
        <f>SUM(H7:H44)</f>
        <v/>
      </c>
      <c r="I45" s="38">
        <f>SUM(I7:I44)</f>
        <v/>
      </c>
      <c r="J45" s="38">
        <f>SUM(J7:J44)</f>
        <v/>
      </c>
      <c r="K45" s="38">
        <f>SUM(K7:K44)</f>
        <v/>
      </c>
      <c r="L45" s="38">
        <f>SUM(L7:L44)</f>
        <v/>
      </c>
      <c r="M45" s="38">
        <f>SUM(M7:M44)</f>
        <v/>
      </c>
      <c r="N45" s="38">
        <f>SUM(N7:N44)</f>
        <v/>
      </c>
      <c r="O45" s="38">
        <f>SUM(O7:O44)</f>
        <v/>
      </c>
      <c r="P45" s="38">
        <f>SUM(P7:P44)</f>
        <v/>
      </c>
      <c r="Q45" s="38">
        <f>SUM(Q7:Q44)</f>
        <v/>
      </c>
      <c r="R45" s="38">
        <f>SUM(R7:R44)</f>
        <v/>
      </c>
      <c r="S45" s="38">
        <f>SUM(S7:S44)</f>
        <v/>
      </c>
      <c r="T45" s="38">
        <f>SUM(T7:T44)</f>
        <v/>
      </c>
      <c r="U45" s="38">
        <f>SUM(U7:U44)</f>
        <v/>
      </c>
      <c r="V45" s="38">
        <f>SUM(V7:V44)</f>
        <v/>
      </c>
      <c r="W45" s="38">
        <f>SUM(W7:W44)</f>
        <v/>
      </c>
      <c r="X45" s="38">
        <f>SUM(X7:X44)</f>
        <v/>
      </c>
      <c r="Y45" s="38">
        <f>SUM(Y7:Y44)</f>
        <v/>
      </c>
      <c r="Z45" s="38">
        <f>SUM(Z7:Z44)</f>
        <v/>
      </c>
      <c r="AA45" s="38">
        <f>SUM(AA7:AA44)</f>
        <v/>
      </c>
      <c r="AB45" s="38">
        <f>SUM(AB7:AB44)</f>
        <v/>
      </c>
      <c r="AC45" s="38">
        <f>SUM(AC7:AC44)</f>
        <v/>
      </c>
      <c r="AD45" s="39">
        <f>IF($O45=0,"",$AB45/$O45)</f>
        <v/>
      </c>
      <c r="AE45" s="37">
        <f>IF($O45=0,"",IF($AB45&gt;$O45,"🔴 Estourou",IF($AB45&gt;$O45*0.9,"🟡 Atenção (&gt;90%)","🟢 Dentro do orçamento")))</f>
        <v/>
      </c>
    </row>
    <row r="47" ht="20" customHeight="1">
      <c r="A47" s="4" t="inlineStr">
        <is>
          <t>2. RESUMO MENSAL — orçado x realizado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2" customHeight="1">
      <c r="A48" s="21" t="inlineStr">
        <is>
          <t>Mês</t>
        </is>
      </c>
      <c r="B48" s="44" t="n">
        <v>1</v>
      </c>
      <c r="C48" s="44" t="n">
        <v>2</v>
      </c>
      <c r="D48" s="44" t="n">
        <v>3</v>
      </c>
      <c r="E48" s="44" t="n">
        <v>4</v>
      </c>
      <c r="F48" s="44" t="n">
        <v>5</v>
      </c>
      <c r="G48" s="44" t="n">
        <v>6</v>
      </c>
      <c r="H48" s="44" t="n">
        <v>7</v>
      </c>
      <c r="I48" s="44" t="n">
        <v>8</v>
      </c>
      <c r="J48" s="44" t="n">
        <v>9</v>
      </c>
      <c r="K48" s="44" t="n">
        <v>10</v>
      </c>
      <c r="L48" s="44" t="n">
        <v>11</v>
      </c>
      <c r="M48" s="44" t="n">
        <v>12</v>
      </c>
      <c r="N48" s="21" t="inlineStr">
        <is>
          <t>Total</t>
        </is>
      </c>
    </row>
    <row r="49">
      <c r="A49" s="9" t="inlineStr">
        <is>
          <t>Orçado (R$)</t>
        </is>
      </c>
      <c r="B49" s="18">
        <f>SUM(C7:C44)</f>
        <v/>
      </c>
      <c r="C49" s="18">
        <f>SUM(D7:D44)</f>
        <v/>
      </c>
      <c r="D49" s="18">
        <f>SUM(E7:E44)</f>
        <v/>
      </c>
      <c r="E49" s="18">
        <f>SUM(F7:F44)</f>
        <v/>
      </c>
      <c r="F49" s="18">
        <f>SUM(G7:G44)</f>
        <v/>
      </c>
      <c r="G49" s="18">
        <f>SUM(H7:H44)</f>
        <v/>
      </c>
      <c r="H49" s="18">
        <f>SUM(I7:I44)</f>
        <v/>
      </c>
      <c r="I49" s="18">
        <f>SUM(J7:J44)</f>
        <v/>
      </c>
      <c r="J49" s="18">
        <f>SUM(K7:K44)</f>
        <v/>
      </c>
      <c r="K49" s="18">
        <f>SUM(L7:L44)</f>
        <v/>
      </c>
      <c r="L49" s="18">
        <f>SUM(M7:M44)</f>
        <v/>
      </c>
      <c r="M49" s="18">
        <f>SUM(N7:N44)</f>
        <v/>
      </c>
      <c r="N49" s="38">
        <f>SUM(B49:M49)</f>
        <v/>
      </c>
    </row>
    <row r="50">
      <c r="A50" s="9" t="inlineStr">
        <is>
          <t>Realizado (R$)</t>
        </is>
      </c>
      <c r="B50" s="18">
        <f>SUM(P7:P44)</f>
        <v/>
      </c>
      <c r="C50" s="18">
        <f>SUM(Q7:Q44)</f>
        <v/>
      </c>
      <c r="D50" s="18">
        <f>SUM(R7:R44)</f>
        <v/>
      </c>
      <c r="E50" s="18">
        <f>SUM(S7:S44)</f>
        <v/>
      </c>
      <c r="F50" s="18">
        <f>SUM(T7:T44)</f>
        <v/>
      </c>
      <c r="G50" s="18">
        <f>SUM(U7:U44)</f>
        <v/>
      </c>
      <c r="H50" s="18">
        <f>SUM(V7:V44)</f>
        <v/>
      </c>
      <c r="I50" s="18">
        <f>SUM(W7:W44)</f>
        <v/>
      </c>
      <c r="J50" s="18">
        <f>SUM(X7:X44)</f>
        <v/>
      </c>
      <c r="K50" s="18">
        <f>SUM(Y7:Y44)</f>
        <v/>
      </c>
      <c r="L50" s="18">
        <f>SUM(Z7:Z44)</f>
        <v/>
      </c>
      <c r="M50" s="18">
        <f>SUM(AA7:AA44)</f>
        <v/>
      </c>
      <c r="N50" s="38">
        <f>SUM(B50:M50)</f>
        <v/>
      </c>
    </row>
    <row r="51">
      <c r="A51" s="9" t="inlineStr">
        <is>
          <t>Diferença (R$)</t>
        </is>
      </c>
      <c r="B51" s="18">
        <f>B49-B50</f>
        <v/>
      </c>
      <c r="C51" s="18">
        <f>C49-C50</f>
        <v/>
      </c>
      <c r="D51" s="18">
        <f>D49-D50</f>
        <v/>
      </c>
      <c r="E51" s="18">
        <f>E49-E50</f>
        <v/>
      </c>
      <c r="F51" s="18">
        <f>F49-F50</f>
        <v/>
      </c>
      <c r="G51" s="18">
        <f>G49-G50</f>
        <v/>
      </c>
      <c r="H51" s="18">
        <f>H49-H50</f>
        <v/>
      </c>
      <c r="I51" s="18">
        <f>I49-I50</f>
        <v/>
      </c>
      <c r="J51" s="18">
        <f>J49-J50</f>
        <v/>
      </c>
      <c r="K51" s="18">
        <f>K49-K50</f>
        <v/>
      </c>
      <c r="L51" s="18">
        <f>L49-L50</f>
        <v/>
      </c>
      <c r="M51" s="18">
        <f>M49-M50</f>
        <v/>
      </c>
      <c r="N51" s="38">
        <f>SUM(B51:M51)</f>
        <v/>
      </c>
    </row>
    <row r="52">
      <c r="A52" s="9" t="inlineStr">
        <is>
          <t>% consumido</t>
        </is>
      </c>
      <c r="B52" s="23">
        <f>IF(B49=0,"",B50/B49)</f>
        <v/>
      </c>
      <c r="C52" s="23">
        <f>IF(C49=0,"",C50/C49)</f>
        <v/>
      </c>
      <c r="D52" s="23">
        <f>IF(D49=0,"",D50/D49)</f>
        <v/>
      </c>
      <c r="E52" s="23">
        <f>IF(E49=0,"",E50/E49)</f>
        <v/>
      </c>
      <c r="F52" s="23">
        <f>IF(F49=0,"",F50/F49)</f>
        <v/>
      </c>
      <c r="G52" s="23">
        <f>IF(G49=0,"",G50/G49)</f>
        <v/>
      </c>
      <c r="H52" s="23">
        <f>IF(H49=0,"",H50/H49)</f>
        <v/>
      </c>
      <c r="I52" s="23">
        <f>IF(I49=0,"",I50/I49)</f>
        <v/>
      </c>
      <c r="J52" s="23">
        <f>IF(J49=0,"",J50/J49)</f>
        <v/>
      </c>
      <c r="K52" s="23">
        <f>IF(K49=0,"",K50/K49)</f>
        <v/>
      </c>
      <c r="L52" s="23">
        <f>IF(L49=0,"",L50/L49)</f>
        <v/>
      </c>
      <c r="M52" s="23">
        <f>IF(M49=0,"",M50/M49)</f>
        <v/>
      </c>
      <c r="N52" s="39">
        <f>IF($N49=0,"",$N50/$N49)</f>
        <v/>
      </c>
    </row>
    <row r="54" ht="20" customHeight="1">
      <c r="A54" s="4" t="inlineStr">
        <is>
          <t>3. ALERTAS DE ORÇAMENTO — categorias que exigem ação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28" customHeight="1">
      <c r="A55" s="21" t="inlineStr">
        <is>
          <t>Categoria</t>
        </is>
      </c>
      <c r="B55" s="21" t="inlineStr">
        <is>
          <t>Orçado (ano)</t>
        </is>
      </c>
      <c r="C55" s="21" t="inlineStr">
        <is>
          <t>Realizado (ano)</t>
        </is>
      </c>
      <c r="D55" s="21" t="inlineStr">
        <is>
          <t>Diferença</t>
        </is>
      </c>
      <c r="E55" s="21" t="inlineStr">
        <is>
          <t>% consumido</t>
        </is>
      </c>
      <c r="F55" s="21" t="inlineStr">
        <is>
          <t>Status</t>
        </is>
      </c>
    </row>
    <row r="56">
      <c r="A56" s="9">
        <f>$A$7</f>
        <v/>
      </c>
      <c r="B56" s="18">
        <f>$O$7</f>
        <v/>
      </c>
      <c r="C56" s="18">
        <f>$AB$7</f>
        <v/>
      </c>
      <c r="D56" s="18">
        <f>$B56-$C56</f>
        <v/>
      </c>
      <c r="E56" s="23">
        <f>IF($B56=0,"",$C56/$B56)</f>
        <v/>
      </c>
      <c r="F56" s="17">
        <f>IF($B56=0,"Sem orçamento",IF($C56&gt;$B56,"🔴 Estourou o orçamento",IF($C56&gt;$B56*0.9,"🟡 Consumiu mais de 90%","🟢 Dentro do orçamento")))</f>
        <v/>
      </c>
    </row>
    <row r="57">
      <c r="A57" s="9">
        <f>$A$8</f>
        <v/>
      </c>
      <c r="B57" s="18">
        <f>$O$8</f>
        <v/>
      </c>
      <c r="C57" s="18">
        <f>$AB$8</f>
        <v/>
      </c>
      <c r="D57" s="18">
        <f>$B57-$C57</f>
        <v/>
      </c>
      <c r="E57" s="23">
        <f>IF($B57=0,"",$C57/$B57)</f>
        <v/>
      </c>
      <c r="F57" s="17">
        <f>IF($B57=0,"Sem orçamento",IF($C57&gt;$B57,"🔴 Estourou o orçamento",IF($C57&gt;$B57*0.9,"🟡 Consumiu mais de 90%","🟢 Dentro do orçamento")))</f>
        <v/>
      </c>
    </row>
    <row r="58">
      <c r="A58" s="9">
        <f>$A$9</f>
        <v/>
      </c>
      <c r="B58" s="18">
        <f>$O$9</f>
        <v/>
      </c>
      <c r="C58" s="18">
        <f>$AB$9</f>
        <v/>
      </c>
      <c r="D58" s="18">
        <f>$B58-$C58</f>
        <v/>
      </c>
      <c r="E58" s="23">
        <f>IF($B58=0,"",$C58/$B58)</f>
        <v/>
      </c>
      <c r="F58" s="17">
        <f>IF($B58=0,"Sem orçamento",IF($C58&gt;$B58,"🔴 Estourou o orçamento",IF($C58&gt;$B58*0.9,"🟡 Consumiu mais de 90%","🟢 Dentro do orçamento")))</f>
        <v/>
      </c>
    </row>
    <row r="59">
      <c r="A59" s="9">
        <f>$A$10</f>
        <v/>
      </c>
      <c r="B59" s="18">
        <f>$O$10</f>
        <v/>
      </c>
      <c r="C59" s="18">
        <f>$AB$10</f>
        <v/>
      </c>
      <c r="D59" s="18">
        <f>$B59-$C59</f>
        <v/>
      </c>
      <c r="E59" s="23">
        <f>IF($B59=0,"",$C59/$B59)</f>
        <v/>
      </c>
      <c r="F59" s="17">
        <f>IF($B59=0,"Sem orçamento",IF($C59&gt;$B59,"🔴 Estourou o orçamento",IF($C59&gt;$B59*0.9,"🟡 Consumiu mais de 90%","🟢 Dentro do orçamento")))</f>
        <v/>
      </c>
    </row>
    <row r="60">
      <c r="A60" s="9">
        <f>$A$11</f>
        <v/>
      </c>
      <c r="B60" s="18">
        <f>$O$11</f>
        <v/>
      </c>
      <c r="C60" s="18">
        <f>$AB$11</f>
        <v/>
      </c>
      <c r="D60" s="18">
        <f>$B60-$C60</f>
        <v/>
      </c>
      <c r="E60" s="23">
        <f>IF($B60=0,"",$C60/$B60)</f>
        <v/>
      </c>
      <c r="F60" s="17">
        <f>IF($B60=0,"Sem orçamento",IF($C60&gt;$B60,"🔴 Estourou o orçamento",IF($C60&gt;$B60*0.9,"🟡 Consumiu mais de 90%","🟢 Dentro do orçamento")))</f>
        <v/>
      </c>
    </row>
    <row r="61">
      <c r="A61" s="9">
        <f>$A$12</f>
        <v/>
      </c>
      <c r="B61" s="18">
        <f>$O$12</f>
        <v/>
      </c>
      <c r="C61" s="18">
        <f>$AB$12</f>
        <v/>
      </c>
      <c r="D61" s="18">
        <f>$B61-$C61</f>
        <v/>
      </c>
      <c r="E61" s="23">
        <f>IF($B61=0,"",$C61/$B61)</f>
        <v/>
      </c>
      <c r="F61" s="17">
        <f>IF($B61=0,"Sem orçamento",IF($C61&gt;$B61,"🔴 Estourou o orçamento",IF($C61&gt;$B61*0.9,"🟡 Consumiu mais de 90%","🟢 Dentro do orçamento")))</f>
        <v/>
      </c>
    </row>
    <row r="62">
      <c r="A62" s="9">
        <f>$A$13</f>
        <v/>
      </c>
      <c r="B62" s="18">
        <f>$O$13</f>
        <v/>
      </c>
      <c r="C62" s="18">
        <f>$AB$13</f>
        <v/>
      </c>
      <c r="D62" s="18">
        <f>$B62-$C62</f>
        <v/>
      </c>
      <c r="E62" s="23">
        <f>IF($B62=0,"",$C62/$B62)</f>
        <v/>
      </c>
      <c r="F62" s="17">
        <f>IF($B62=0,"Sem orçamento",IF($C62&gt;$B62,"🔴 Estourou o orçamento",IF($C62&gt;$B62*0.9,"🟡 Consumiu mais de 90%","🟢 Dentro do orçamento")))</f>
        <v/>
      </c>
    </row>
    <row r="63">
      <c r="A63" s="9">
        <f>$A$14</f>
        <v/>
      </c>
      <c r="B63" s="18">
        <f>$O$14</f>
        <v/>
      </c>
      <c r="C63" s="18">
        <f>$AB$14</f>
        <v/>
      </c>
      <c r="D63" s="18">
        <f>$B63-$C63</f>
        <v/>
      </c>
      <c r="E63" s="23">
        <f>IF($B63=0,"",$C63/$B63)</f>
        <v/>
      </c>
      <c r="F63" s="17">
        <f>IF($B63=0,"Sem orçamento",IF($C63&gt;$B63,"🔴 Estourou o orçamento",IF($C63&gt;$B63*0.9,"🟡 Consumiu mais de 90%","🟢 Dentro do orçamento")))</f>
        <v/>
      </c>
    </row>
    <row r="64">
      <c r="A64" s="9">
        <f>$A$15</f>
        <v/>
      </c>
      <c r="B64" s="18">
        <f>$O$15</f>
        <v/>
      </c>
      <c r="C64" s="18">
        <f>$AB$15</f>
        <v/>
      </c>
      <c r="D64" s="18">
        <f>$B64-$C64</f>
        <v/>
      </c>
      <c r="E64" s="23">
        <f>IF($B64=0,"",$C64/$B64)</f>
        <v/>
      </c>
      <c r="F64" s="17">
        <f>IF($B64=0,"Sem orçamento",IF($C64&gt;$B64,"🔴 Estourou o orçamento",IF($C64&gt;$B64*0.9,"🟡 Consumiu mais de 90%","🟢 Dentro do orçamento")))</f>
        <v/>
      </c>
    </row>
    <row r="65">
      <c r="A65" s="9">
        <f>$A$16</f>
        <v/>
      </c>
      <c r="B65" s="18">
        <f>$O$16</f>
        <v/>
      </c>
      <c r="C65" s="18">
        <f>$AB$16</f>
        <v/>
      </c>
      <c r="D65" s="18">
        <f>$B65-$C65</f>
        <v/>
      </c>
      <c r="E65" s="23">
        <f>IF($B65=0,"",$C65/$B65)</f>
        <v/>
      </c>
      <c r="F65" s="17">
        <f>IF($B65=0,"Sem orçamento",IF($C65&gt;$B65,"🔴 Estourou o orçamento",IF($C65&gt;$B65*0.9,"🟡 Consumiu mais de 90%","🟢 Dentro do orçamento")))</f>
        <v/>
      </c>
    </row>
    <row r="66">
      <c r="A66" s="9">
        <f>$A$17</f>
        <v/>
      </c>
      <c r="B66" s="18">
        <f>$O$17</f>
        <v/>
      </c>
      <c r="C66" s="18">
        <f>$AB$17</f>
        <v/>
      </c>
      <c r="D66" s="18">
        <f>$B66-$C66</f>
        <v/>
      </c>
      <c r="E66" s="23">
        <f>IF($B66=0,"",$C66/$B66)</f>
        <v/>
      </c>
      <c r="F66" s="17">
        <f>IF($B66=0,"Sem orçamento",IF($C66&gt;$B66,"🔴 Estourou o orçamento",IF($C66&gt;$B66*0.9,"🟡 Consumiu mais de 90%","🟢 Dentro do orçamento")))</f>
        <v/>
      </c>
    </row>
    <row r="67">
      <c r="A67" s="9">
        <f>$A$18</f>
        <v/>
      </c>
      <c r="B67" s="18">
        <f>$O$18</f>
        <v/>
      </c>
      <c r="C67" s="18">
        <f>$AB$18</f>
        <v/>
      </c>
      <c r="D67" s="18">
        <f>$B67-$C67</f>
        <v/>
      </c>
      <c r="E67" s="23">
        <f>IF($B67=0,"",$C67/$B67)</f>
        <v/>
      </c>
      <c r="F67" s="17">
        <f>IF($B67=0,"Sem orçamento",IF($C67&gt;$B67,"🔴 Estourou o orçamento",IF($C67&gt;$B67*0.9,"🟡 Consumiu mais de 90%","🟢 Dentro do orçamento")))</f>
        <v/>
      </c>
    </row>
    <row r="68">
      <c r="A68" s="9">
        <f>$A$19</f>
        <v/>
      </c>
      <c r="B68" s="18">
        <f>$O$19</f>
        <v/>
      </c>
      <c r="C68" s="18">
        <f>$AB$19</f>
        <v/>
      </c>
      <c r="D68" s="18">
        <f>$B68-$C68</f>
        <v/>
      </c>
      <c r="E68" s="23">
        <f>IF($B68=0,"",$C68/$B68)</f>
        <v/>
      </c>
      <c r="F68" s="17">
        <f>IF($B68=0,"Sem orçamento",IF($C68&gt;$B68,"🔴 Estourou o orçamento",IF($C68&gt;$B68*0.9,"🟡 Consumiu mais de 90%","🟢 Dentro do orçamento")))</f>
        <v/>
      </c>
    </row>
    <row r="69">
      <c r="A69" s="9">
        <f>$A$20</f>
        <v/>
      </c>
      <c r="B69" s="18">
        <f>$O$20</f>
        <v/>
      </c>
      <c r="C69" s="18">
        <f>$AB$20</f>
        <v/>
      </c>
      <c r="D69" s="18">
        <f>$B69-$C69</f>
        <v/>
      </c>
      <c r="E69" s="23">
        <f>IF($B69=0,"",$C69/$B69)</f>
        <v/>
      </c>
      <c r="F69" s="17">
        <f>IF($B69=0,"Sem orçamento",IF($C69&gt;$B69,"🔴 Estourou o orçamento",IF($C69&gt;$B69*0.9,"🟡 Consumiu mais de 90%","🟢 Dentro do orçamento")))</f>
        <v/>
      </c>
    </row>
    <row r="70">
      <c r="A70" s="9">
        <f>$A$21</f>
        <v/>
      </c>
      <c r="B70" s="18">
        <f>$O$21</f>
        <v/>
      </c>
      <c r="C70" s="18">
        <f>$AB$21</f>
        <v/>
      </c>
      <c r="D70" s="18">
        <f>$B70-$C70</f>
        <v/>
      </c>
      <c r="E70" s="23">
        <f>IF($B70=0,"",$C70/$B70)</f>
        <v/>
      </c>
      <c r="F70" s="17">
        <f>IF($B70=0,"Sem orçamento",IF($C70&gt;$B70,"🔴 Estourou o orçamento",IF($C70&gt;$B70*0.9,"🟡 Consumiu mais de 90%","🟢 Dentro do orçamento")))</f>
        <v/>
      </c>
    </row>
    <row r="71">
      <c r="A71" s="9">
        <f>$A$22</f>
        <v/>
      </c>
      <c r="B71" s="18">
        <f>$O$22</f>
        <v/>
      </c>
      <c r="C71" s="18">
        <f>$AB$22</f>
        <v/>
      </c>
      <c r="D71" s="18">
        <f>$B71-$C71</f>
        <v/>
      </c>
      <c r="E71" s="23">
        <f>IF($B71=0,"",$C71/$B71)</f>
        <v/>
      </c>
      <c r="F71" s="17">
        <f>IF($B71=0,"Sem orçamento",IF($C71&gt;$B71,"🔴 Estourou o orçamento",IF($C71&gt;$B71*0.9,"🟡 Consumiu mais de 90%","🟢 Dentro do orçamento")))</f>
        <v/>
      </c>
    </row>
    <row r="72">
      <c r="A72" s="9">
        <f>$A$23</f>
        <v/>
      </c>
      <c r="B72" s="18">
        <f>$O$23</f>
        <v/>
      </c>
      <c r="C72" s="18">
        <f>$AB$23</f>
        <v/>
      </c>
      <c r="D72" s="18">
        <f>$B72-$C72</f>
        <v/>
      </c>
      <c r="E72" s="23">
        <f>IF($B72=0,"",$C72/$B72)</f>
        <v/>
      </c>
      <c r="F72" s="17">
        <f>IF($B72=0,"Sem orçamento",IF($C72&gt;$B72,"🔴 Estourou o orçamento",IF($C72&gt;$B72*0.9,"🟡 Consumiu mais de 90%","🟢 Dentro do orçamento")))</f>
        <v/>
      </c>
    </row>
    <row r="73">
      <c r="A73" s="9">
        <f>$A$24</f>
        <v/>
      </c>
      <c r="B73" s="18">
        <f>$O$24</f>
        <v/>
      </c>
      <c r="C73" s="18">
        <f>$AB$24</f>
        <v/>
      </c>
      <c r="D73" s="18">
        <f>$B73-$C73</f>
        <v/>
      </c>
      <c r="E73" s="23">
        <f>IF($B73=0,"",$C73/$B73)</f>
        <v/>
      </c>
      <c r="F73" s="17">
        <f>IF($B73=0,"Sem orçamento",IF($C73&gt;$B73,"🔴 Estourou o orçamento",IF($C73&gt;$B73*0.9,"🟡 Consumiu mais de 90%","🟢 Dentro do orçamento")))</f>
        <v/>
      </c>
    </row>
    <row r="74">
      <c r="A74" s="9">
        <f>$A$25</f>
        <v/>
      </c>
      <c r="B74" s="18">
        <f>$O$25</f>
        <v/>
      </c>
      <c r="C74" s="18">
        <f>$AB$25</f>
        <v/>
      </c>
      <c r="D74" s="18">
        <f>$B74-$C74</f>
        <v/>
      </c>
      <c r="E74" s="23">
        <f>IF($B74=0,"",$C74/$B74)</f>
        <v/>
      </c>
      <c r="F74" s="17">
        <f>IF($B74=0,"Sem orçamento",IF($C74&gt;$B74,"🔴 Estourou o orçamento",IF($C74&gt;$B74*0.9,"🟡 Consumiu mais de 90%","🟢 Dentro do orçamento")))</f>
        <v/>
      </c>
    </row>
    <row r="75">
      <c r="A75" s="9">
        <f>$A$26</f>
        <v/>
      </c>
      <c r="B75" s="18">
        <f>$O$26</f>
        <v/>
      </c>
      <c r="C75" s="18">
        <f>$AB$26</f>
        <v/>
      </c>
      <c r="D75" s="18">
        <f>$B75-$C75</f>
        <v/>
      </c>
      <c r="E75" s="23">
        <f>IF($B75=0,"",$C75/$B75)</f>
        <v/>
      </c>
      <c r="F75" s="17">
        <f>IF($B75=0,"Sem orçamento",IF($C75&gt;$B75,"🔴 Estourou o orçamento",IF($C75&gt;$B75*0.9,"🟡 Consumiu mais de 90%","🟢 Dentro do orçamento")))</f>
        <v/>
      </c>
    </row>
    <row r="76">
      <c r="A76" s="9">
        <f>$A$27</f>
        <v/>
      </c>
      <c r="B76" s="18">
        <f>$O$27</f>
        <v/>
      </c>
      <c r="C76" s="18">
        <f>$AB$27</f>
        <v/>
      </c>
      <c r="D76" s="18">
        <f>$B76-$C76</f>
        <v/>
      </c>
      <c r="E76" s="23">
        <f>IF($B76=0,"",$C76/$B76)</f>
        <v/>
      </c>
      <c r="F76" s="17">
        <f>IF($B76=0,"Sem orçamento",IF($C76&gt;$B76,"🔴 Estourou o orçamento",IF($C76&gt;$B76*0.9,"🟡 Consumiu mais de 90%","🟢 Dentro do orçamento")))</f>
        <v/>
      </c>
    </row>
    <row r="77">
      <c r="A77" s="9">
        <f>$A$28</f>
        <v/>
      </c>
      <c r="B77" s="18">
        <f>$O$28</f>
        <v/>
      </c>
      <c r="C77" s="18">
        <f>$AB$28</f>
        <v/>
      </c>
      <c r="D77" s="18">
        <f>$B77-$C77</f>
        <v/>
      </c>
      <c r="E77" s="23">
        <f>IF($B77=0,"",$C77/$B77)</f>
        <v/>
      </c>
      <c r="F77" s="17">
        <f>IF($B77=0,"Sem orçamento",IF($C77&gt;$B77,"🔴 Estourou o orçamento",IF($C77&gt;$B77*0.9,"🟡 Consumiu mais de 90%","🟢 Dentro do orçamento")))</f>
        <v/>
      </c>
    </row>
    <row r="78">
      <c r="A78" s="9">
        <f>$A$29</f>
        <v/>
      </c>
      <c r="B78" s="18">
        <f>$O$29</f>
        <v/>
      </c>
      <c r="C78" s="18">
        <f>$AB$29</f>
        <v/>
      </c>
      <c r="D78" s="18">
        <f>$B78-$C78</f>
        <v/>
      </c>
      <c r="E78" s="23">
        <f>IF($B78=0,"",$C78/$B78)</f>
        <v/>
      </c>
      <c r="F78" s="17">
        <f>IF($B78=0,"Sem orçamento",IF($C78&gt;$B78,"🔴 Estourou o orçamento",IF($C78&gt;$B78*0.9,"🟡 Consumiu mais de 90%","🟢 Dentro do orçamento")))</f>
        <v/>
      </c>
    </row>
    <row r="79">
      <c r="A79" s="9">
        <f>$A$30</f>
        <v/>
      </c>
      <c r="B79" s="18">
        <f>$O$30</f>
        <v/>
      </c>
      <c r="C79" s="18">
        <f>$AB$30</f>
        <v/>
      </c>
      <c r="D79" s="18">
        <f>$B79-$C79</f>
        <v/>
      </c>
      <c r="E79" s="23">
        <f>IF($B79=0,"",$C79/$B79)</f>
        <v/>
      </c>
      <c r="F79" s="17">
        <f>IF($B79=0,"Sem orçamento",IF($C79&gt;$B79,"🔴 Estourou o orçamento",IF($C79&gt;$B79*0.9,"🟡 Consumiu mais de 90%","🟢 Dentro do orçamento")))</f>
        <v/>
      </c>
    </row>
    <row r="80">
      <c r="A80" s="9">
        <f>$A$31</f>
        <v/>
      </c>
      <c r="B80" s="18">
        <f>$O$31</f>
        <v/>
      </c>
      <c r="C80" s="18">
        <f>$AB$31</f>
        <v/>
      </c>
      <c r="D80" s="18">
        <f>$B80-$C80</f>
        <v/>
      </c>
      <c r="E80" s="23">
        <f>IF($B80=0,"",$C80/$B80)</f>
        <v/>
      </c>
      <c r="F80" s="17">
        <f>IF($B80=0,"Sem orçamento",IF($C80&gt;$B80,"🔴 Estourou o orçamento",IF($C80&gt;$B80*0.9,"🟡 Consumiu mais de 90%","🟢 Dentro do orçamento")))</f>
        <v/>
      </c>
    </row>
    <row r="81">
      <c r="A81" s="9">
        <f>$A$32</f>
        <v/>
      </c>
      <c r="B81" s="18">
        <f>$O$32</f>
        <v/>
      </c>
      <c r="C81" s="18">
        <f>$AB$32</f>
        <v/>
      </c>
      <c r="D81" s="18">
        <f>$B81-$C81</f>
        <v/>
      </c>
      <c r="E81" s="23">
        <f>IF($B81=0,"",$C81/$B81)</f>
        <v/>
      </c>
      <c r="F81" s="17">
        <f>IF($B81=0,"Sem orçamento",IF($C81&gt;$B81,"🔴 Estourou o orçamento",IF($C81&gt;$B81*0.9,"🟡 Consumiu mais de 90%","🟢 Dentro do orçamento")))</f>
        <v/>
      </c>
    </row>
    <row r="82">
      <c r="A82" s="9">
        <f>$A$33</f>
        <v/>
      </c>
      <c r="B82" s="18">
        <f>$O$33</f>
        <v/>
      </c>
      <c r="C82" s="18">
        <f>$AB$33</f>
        <v/>
      </c>
      <c r="D82" s="18">
        <f>$B82-$C82</f>
        <v/>
      </c>
      <c r="E82" s="23">
        <f>IF($B82=0,"",$C82/$B82)</f>
        <v/>
      </c>
      <c r="F82" s="17">
        <f>IF($B82=0,"Sem orçamento",IF($C82&gt;$B82,"🔴 Estourou o orçamento",IF($C82&gt;$B82*0.9,"🟡 Consumiu mais de 90%","🟢 Dentro do orçamento")))</f>
        <v/>
      </c>
    </row>
    <row r="83">
      <c r="A83" s="9">
        <f>$A$34</f>
        <v/>
      </c>
      <c r="B83" s="18">
        <f>$O$34</f>
        <v/>
      </c>
      <c r="C83" s="18">
        <f>$AB$34</f>
        <v/>
      </c>
      <c r="D83" s="18">
        <f>$B83-$C83</f>
        <v/>
      </c>
      <c r="E83" s="23">
        <f>IF($B83=0,"",$C83/$B83)</f>
        <v/>
      </c>
      <c r="F83" s="17">
        <f>IF($B83=0,"Sem orçamento",IF($C83&gt;$B83,"🔴 Estourou o orçamento",IF($C83&gt;$B83*0.9,"🟡 Consumiu mais de 90%","🟢 Dentro do orçamento")))</f>
        <v/>
      </c>
    </row>
    <row r="84">
      <c r="A84" s="9">
        <f>$A$35</f>
        <v/>
      </c>
      <c r="B84" s="18">
        <f>$O$35</f>
        <v/>
      </c>
      <c r="C84" s="18">
        <f>$AB$35</f>
        <v/>
      </c>
      <c r="D84" s="18">
        <f>$B84-$C84</f>
        <v/>
      </c>
      <c r="E84" s="23">
        <f>IF($B84=0,"",$C84/$B84)</f>
        <v/>
      </c>
      <c r="F84" s="17">
        <f>IF($B84=0,"Sem orçamento",IF($C84&gt;$B84,"🔴 Estourou o orçamento",IF($C84&gt;$B84*0.9,"🟡 Consumiu mais de 90%","🟢 Dentro do orçamento")))</f>
        <v/>
      </c>
    </row>
    <row r="85">
      <c r="A85" s="9">
        <f>$A$36</f>
        <v/>
      </c>
      <c r="B85" s="18">
        <f>$O$36</f>
        <v/>
      </c>
      <c r="C85" s="18">
        <f>$AB$36</f>
        <v/>
      </c>
      <c r="D85" s="18">
        <f>$B85-$C85</f>
        <v/>
      </c>
      <c r="E85" s="23">
        <f>IF($B85=0,"",$C85/$B85)</f>
        <v/>
      </c>
      <c r="F85" s="17">
        <f>IF($B85=0,"Sem orçamento",IF($C85&gt;$B85,"🔴 Estourou o orçamento",IF($C85&gt;$B85*0.9,"🟡 Consumiu mais de 90%","🟢 Dentro do orçamento")))</f>
        <v/>
      </c>
    </row>
    <row r="86">
      <c r="A86" s="9">
        <f>$A$37</f>
        <v/>
      </c>
      <c r="B86" s="18">
        <f>$O$37</f>
        <v/>
      </c>
      <c r="C86" s="18">
        <f>$AB$37</f>
        <v/>
      </c>
      <c r="D86" s="18">
        <f>$B86-$C86</f>
        <v/>
      </c>
      <c r="E86" s="23">
        <f>IF($B86=0,"",$C86/$B86)</f>
        <v/>
      </c>
      <c r="F86" s="17">
        <f>IF($B86=0,"Sem orçamento",IF($C86&gt;$B86,"🔴 Estourou o orçamento",IF($C86&gt;$B86*0.9,"🟡 Consumiu mais de 90%","🟢 Dentro do orçamento")))</f>
        <v/>
      </c>
    </row>
    <row r="87">
      <c r="A87" s="9">
        <f>$A$38</f>
        <v/>
      </c>
      <c r="B87" s="18">
        <f>$O$38</f>
        <v/>
      </c>
      <c r="C87" s="18">
        <f>$AB$38</f>
        <v/>
      </c>
      <c r="D87" s="18">
        <f>$B87-$C87</f>
        <v/>
      </c>
      <c r="E87" s="23">
        <f>IF($B87=0,"",$C87/$B87)</f>
        <v/>
      </c>
      <c r="F87" s="17">
        <f>IF($B87=0,"Sem orçamento",IF($C87&gt;$B87,"🔴 Estourou o orçamento",IF($C87&gt;$B87*0.9,"🟡 Consumiu mais de 90%","🟢 Dentro do orçamento")))</f>
        <v/>
      </c>
    </row>
    <row r="88">
      <c r="A88" s="9">
        <f>$A$39</f>
        <v/>
      </c>
      <c r="B88" s="18">
        <f>$O$39</f>
        <v/>
      </c>
      <c r="C88" s="18">
        <f>$AB$39</f>
        <v/>
      </c>
      <c r="D88" s="18">
        <f>$B88-$C88</f>
        <v/>
      </c>
      <c r="E88" s="23">
        <f>IF($B88=0,"",$C88/$B88)</f>
        <v/>
      </c>
      <c r="F88" s="17">
        <f>IF($B88=0,"Sem orçamento",IF($C88&gt;$B88,"🔴 Estourou o orçamento",IF($C88&gt;$B88*0.9,"🟡 Consumiu mais de 90%","🟢 Dentro do orçamento")))</f>
        <v/>
      </c>
    </row>
    <row r="89">
      <c r="A89" s="9">
        <f>$A$40</f>
        <v/>
      </c>
      <c r="B89" s="18">
        <f>$O$40</f>
        <v/>
      </c>
      <c r="C89" s="18">
        <f>$AB$40</f>
        <v/>
      </c>
      <c r="D89" s="18">
        <f>$B89-$C89</f>
        <v/>
      </c>
      <c r="E89" s="23">
        <f>IF($B89=0,"",$C89/$B89)</f>
        <v/>
      </c>
      <c r="F89" s="17">
        <f>IF($B89=0,"Sem orçamento",IF($C89&gt;$B89,"🔴 Estourou o orçamento",IF($C89&gt;$B89*0.9,"🟡 Consumiu mais de 90%","🟢 Dentro do orçamento")))</f>
        <v/>
      </c>
    </row>
    <row r="90">
      <c r="A90" s="9">
        <f>$A$41</f>
        <v/>
      </c>
      <c r="B90" s="18">
        <f>$O$41</f>
        <v/>
      </c>
      <c r="C90" s="18">
        <f>$AB$41</f>
        <v/>
      </c>
      <c r="D90" s="18">
        <f>$B90-$C90</f>
        <v/>
      </c>
      <c r="E90" s="23">
        <f>IF($B90=0,"",$C90/$B90)</f>
        <v/>
      </c>
      <c r="F90" s="17">
        <f>IF($B90=0,"Sem orçamento",IF($C90&gt;$B90,"🔴 Estourou o orçamento",IF($C90&gt;$B90*0.9,"🟡 Consumiu mais de 90%","🟢 Dentro do orçamento")))</f>
        <v/>
      </c>
    </row>
    <row r="91">
      <c r="A91" s="9">
        <f>$A$42</f>
        <v/>
      </c>
      <c r="B91" s="18">
        <f>$O$42</f>
        <v/>
      </c>
      <c r="C91" s="18">
        <f>$AB$42</f>
        <v/>
      </c>
      <c r="D91" s="18">
        <f>$B91-$C91</f>
        <v/>
      </c>
      <c r="E91" s="23">
        <f>IF($B91=0,"",$C91/$B91)</f>
        <v/>
      </c>
      <c r="F91" s="17">
        <f>IF($B91=0,"Sem orçamento",IF($C91&gt;$B91,"🔴 Estourou o orçamento",IF($C91&gt;$B91*0.9,"🟡 Consumiu mais de 90%","🟢 Dentro do orçamento")))</f>
        <v/>
      </c>
    </row>
    <row r="92">
      <c r="A92" s="9">
        <f>$A$43</f>
        <v/>
      </c>
      <c r="B92" s="18">
        <f>$O$43</f>
        <v/>
      </c>
      <c r="C92" s="18">
        <f>$AB$43</f>
        <v/>
      </c>
      <c r="D92" s="18">
        <f>$B92-$C92</f>
        <v/>
      </c>
      <c r="E92" s="23">
        <f>IF($B92=0,"",$C92/$B92)</f>
        <v/>
      </c>
      <c r="F92" s="17">
        <f>IF($B92=0,"Sem orçamento",IF($C92&gt;$B92,"🔴 Estourou o orçamento",IF($C92&gt;$B92*0.9,"🟡 Consumiu mais de 90%","🟢 Dentro do orçamento")))</f>
        <v/>
      </c>
    </row>
    <row r="93">
      <c r="A93" s="9">
        <f>$A$44</f>
        <v/>
      </c>
      <c r="B93" s="18">
        <f>$O$44</f>
        <v/>
      </c>
      <c r="C93" s="18">
        <f>$AB$44</f>
        <v/>
      </c>
      <c r="D93" s="18">
        <f>$B93-$C93</f>
        <v/>
      </c>
      <c r="E93" s="23">
        <f>IF($B93=0,"",$C93/$B93)</f>
        <v/>
      </c>
      <c r="F93" s="17">
        <f>IF($B93=0,"Sem orçamento",IF($C93&gt;$B93,"🔴 Estourou o orçamento",IF($C93&gt;$B93*0.9,"🟡 Consumiu mais de 90%","🟢 Dentro do orçamento")))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:AH3"/>
    <mergeCell ref="A47:J47"/>
    <mergeCell ref="A1:J1"/>
    <mergeCell ref="A5:J5"/>
    <mergeCell ref="A2:J2"/>
    <mergeCell ref="A54:J54"/>
  </mergeCells>
  <conditionalFormatting sqref="AE7:AE45">
    <cfRule type="expression" priority="1" dxfId="2" stopIfTrue="0">
      <formula>ISNUMBER(SEARCH("Estourou",AE7))</formula>
    </cfRule>
    <cfRule type="expression" priority="2" dxfId="3" stopIfTrue="0">
      <formula>ISNUMBER(SEARCH("Atenção",AE7))</formula>
    </cfRule>
    <cfRule type="expression" priority="3" dxfId="4" stopIfTrue="0">
      <formula>ISNUMBER(SEARCH("Dentro",AE7))</formula>
    </cfRule>
  </conditionalFormatting>
  <conditionalFormatting sqref="AB7:AB44">
    <cfRule type="expression" priority="4" dxfId="9">
      <formula>=AND($O7&lt;&gt;0,$AB7&gt;$O7)</formula>
    </cfRule>
  </conditionalFormatting>
  <conditionalFormatting sqref="AD7:AD44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52:N52">
    <cfRule type="expression" priority="6" dxfId="0">
      <formula>=B52&gt;1</formula>
    </cfRule>
    <cfRule type="expression" priority="7" dxfId="3">
      <formula>=AND(B52&gt;0.9,B52&lt;=1)</formula>
    </cfRule>
  </conditionalFormatting>
  <conditionalFormatting sqref="B50:N50">
    <cfRule type="colorScale" priority="8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56:F93">
    <cfRule type="expression" priority="9" dxfId="2" stopIfTrue="0">
      <formula>ISNUMBER(SEARCH("Estourou",F56))</formula>
    </cfRule>
    <cfRule type="expression" priority="10" dxfId="3" stopIfTrue="0">
      <formula>ISNUMBER(SEARCH("90%",F56))</formula>
    </cfRule>
    <cfRule type="expression" priority="11" dxfId="4" stopIfTrue="0">
      <formula>ISNUMBER(SEARCH("Dentro",F56))</formula>
    </cfRule>
  </conditionalFormatting>
  <conditionalFormatting sqref="E56:E93">
    <cfRule type="dataBar" priority="12">
      <dataBar showValue="1">
        <cfvo type="num" val="0"/>
        <cfvo type="max"/>
        <color rgb="002E75B6"/>
      </dataBar>
    </cfRule>
  </conditionalFormatting>
  <dataValidations count="1">
    <dataValidation sqref="C7:N44" showDropDown="0" showInputMessage="0" showErrorMessage="1" allowBlank="1" errorTitle="Valor inválido" error="Informe um valor de orçamento maior ou igual a zero." type="decimal" errorStyle="stop" operator="greaterThanOrEqual">
      <formula1>0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R422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0" customWidth="1" min="4" max="4"/>
    <col width="16" customWidth="1" min="5" max="5"/>
    <col width="16" customWidth="1" min="6" max="6"/>
    <col width="12" customWidth="1" min="7" max="7"/>
    <col width="11" customWidth="1" min="8" max="8"/>
    <col width="11" customWidth="1" min="9" max="9"/>
    <col width="13" customWidth="1" min="10" max="10"/>
    <col width="15" customWidth="1" min="11" max="11"/>
    <col width="15" customWidth="1" min="12" max="12"/>
    <col width="26" customWidth="1" min="13" max="13"/>
    <col width="16" customWidth="1" min="14" max="14"/>
    <col width="13" customWidth="1" min="15" max="15"/>
    <col width="13" customWidth="1" min="16" max="16"/>
    <col width="16" customWidth="1" min="17" max="17"/>
    <col width="15" customWidth="1" min="18" max="18"/>
  </cols>
  <sheetData>
    <row r="1" ht="24" customHeight="1">
      <c r="A1" s="26" t="inlineStr">
        <is>
          <t>EMPRÉSTIMOS E FINANCIAMENTOS — CONTROLE, CRONOGRAMA E SIMULAÇÃO (SAC e PRICE)</t>
        </is>
      </c>
    </row>
    <row r="2">
      <c r="A2" s="27" t="inlineStr">
        <is>
          <t>Cadastre os contratos e acompanhe parcela, juros, amortização e saldo devedor com cronograma automático (SAC ou PRICE). Inclui simulador comparativo e indicadores de endividamento.</t>
        </is>
      </c>
    </row>
    <row r="3" ht="26" customHeight="1">
      <c r="A3" s="3" t="inlineStr">
        <is>
          <t>Como usar: 1) cadastre cada contrato nas células amarelas (valor, taxa mensal, nº de parcelas, sistema SAC ou PRICE e data da 1ª parcela); 2) o cronograma, os indicadores de saldo devedor e o simulador são calculados automaticamente. ⚠ Os três contratos preenchidos são dados de exemplo.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20" customHeight="1">
      <c r="A4" s="4" t="inlineStr">
        <is>
          <t>1. CADASTRO DOS CONTRATOS (preencha as células amarelas)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44" customHeight="1">
      <c r="A5" s="34" t="inlineStr">
        <is>
          <t>Nº</t>
        </is>
      </c>
      <c r="B5" s="34" t="inlineStr">
        <is>
          <t>Instituição / credor</t>
        </is>
      </c>
      <c r="C5" s="34" t="inlineStr">
        <is>
          <t>Contrato</t>
        </is>
      </c>
      <c r="D5" s="34" t="inlineStr">
        <is>
          <t>Modalidade</t>
        </is>
      </c>
      <c r="E5" s="34" t="inlineStr">
        <is>
          <t>Valor contratado</t>
        </is>
      </c>
      <c r="F5" s="34" t="inlineStr">
        <is>
          <t>Data da contratação</t>
        </is>
      </c>
      <c r="G5" s="34" t="inlineStr">
        <is>
          <t>Taxa mensal</t>
        </is>
      </c>
      <c r="H5" s="34" t="inlineStr">
        <is>
          <t>Nº parcelas</t>
        </is>
      </c>
      <c r="I5" s="34" t="inlineStr">
        <is>
          <t>Sistema</t>
        </is>
      </c>
      <c r="J5" s="34" t="inlineStr">
        <is>
          <t>1ª parcela</t>
        </is>
      </c>
      <c r="K5" s="34" t="inlineStr">
        <is>
          <t>Parcela inicial</t>
        </is>
      </c>
      <c r="L5" s="34" t="inlineStr">
        <is>
          <t>Parcela final</t>
        </is>
      </c>
      <c r="M5" s="34" t="inlineStr">
        <is>
          <t>Garantia</t>
        </is>
      </c>
      <c r="N5" s="34" t="inlineStr">
        <is>
          <t>Status</t>
        </is>
      </c>
      <c r="O5" s="34" t="inlineStr">
        <is>
          <t>Parcelas vencidas</t>
        </is>
      </c>
      <c r="P5" s="34" t="inlineStr">
        <is>
          <t>Parcelas a vencer</t>
        </is>
      </c>
      <c r="Q5" s="34" t="inlineStr">
        <is>
          <t>Saldo devedor</t>
        </is>
      </c>
      <c r="R5" s="34" t="inlineStr">
        <is>
          <t>Total de juros</t>
        </is>
      </c>
    </row>
    <row r="6">
      <c r="A6" s="14" t="n">
        <v>1</v>
      </c>
      <c r="B6" s="29" t="inlineStr">
        <is>
          <t>Banco do Brasil</t>
        </is>
      </c>
      <c r="C6" s="29" t="inlineStr">
        <is>
          <t>CG-2026-0417</t>
        </is>
      </c>
      <c r="D6" s="14" t="inlineStr">
        <is>
          <t>Capital de Giro</t>
        </is>
      </c>
      <c r="E6" s="35" t="n">
        <v>60000</v>
      </c>
      <c r="F6" s="36" t="n">
        <v>46032</v>
      </c>
      <c r="G6" s="32" t="n">
        <v>0.015</v>
      </c>
      <c r="H6" s="13" t="n">
        <v>24</v>
      </c>
      <c r="I6" s="14" t="inlineStr">
        <is>
          <t>PRICE</t>
        </is>
      </c>
      <c r="J6" s="36" t="n">
        <v>46063</v>
      </c>
      <c r="K6" s="18">
        <f>IF($B6="","",ROUND(IF($I6="SAC",$E6/$H6+$E6*$G6,($E6*$G6*(1+$G6)^$H6/((1+$G6)^$H6-1))),2))</f>
        <v/>
      </c>
      <c r="L6" s="18">
        <f>IF($B6="","",ROUND(IF($I6="SAC",$E6/$H6+($E6/$H6)*$G6,($E6*$G6*(1+$G6)^$H6/((1+$G6)^$H6-1))),2))</f>
        <v/>
      </c>
      <c r="M6" s="29" t="inlineStr">
        <is>
          <t>Aval dos sócios</t>
        </is>
      </c>
      <c r="N6" s="14" t="inlineStr">
        <is>
          <t>Em andamento</t>
        </is>
      </c>
      <c r="O6" s="24">
        <f>IF($B6="","",COUNTIFS($A$46:$A$405,$A6,$D$46:$D$405,"&lt;"&amp;TODAY(),$C$46:$C$405,"&lt;="&amp;$H6))</f>
        <v/>
      </c>
      <c r="P6" s="24">
        <f>IF($B6="","",COUNTIFS($A$46:$A$405,$A6,$D$46:$D$405,"&gt;="&amp;TODAY(),$C$46:$C$405,"&lt;="&amp;$H6))</f>
        <v/>
      </c>
      <c r="Q6" s="18">
        <f>IF($B6="","",SUMIFS($G$46:$G$405,$A$46:$A$405,$A6,$I$46:$I$405,"A vencer"))</f>
        <v/>
      </c>
      <c r="R6" s="18">
        <f>IF($B6="","",SUMIFS($F$46:$F$405,$A$46:$A$405,$A6))</f>
        <v/>
      </c>
    </row>
    <row r="7">
      <c r="A7" s="14" t="n">
        <v>2</v>
      </c>
      <c r="B7" s="29" t="inlineStr">
        <is>
          <t>BNDES / Banco do Brasil</t>
        </is>
      </c>
      <c r="C7" s="29" t="inlineStr">
        <is>
          <t>FIN-2026-1198</t>
        </is>
      </c>
      <c r="D7" s="14" t="inlineStr">
        <is>
          <t>Financiamento de Máquinas</t>
        </is>
      </c>
      <c r="E7" s="35" t="n">
        <v>120000</v>
      </c>
      <c r="F7" s="36" t="n">
        <v>46073</v>
      </c>
      <c r="G7" s="32" t="n">
        <v>0.011</v>
      </c>
      <c r="H7" s="13" t="n">
        <v>36</v>
      </c>
      <c r="I7" s="14" t="inlineStr">
        <is>
          <t>SAC</t>
        </is>
      </c>
      <c r="J7" s="36" t="n">
        <v>46096</v>
      </c>
      <c r="K7" s="18">
        <f>IF($B7="","",ROUND(IF($I7="SAC",$E7/$H7+$E7*$G7,($E7*$G7*(1+$G7)^$H7/((1+$G7)^$H7-1))),2))</f>
        <v/>
      </c>
      <c r="L7" s="18">
        <f>IF($B7="","",ROUND(IF($I7="SAC",$E7/$H7+($E7/$H7)*$G7,($E7*$G7*(1+$G7)^$H7/((1+$G7)^$H7-1))),2))</f>
        <v/>
      </c>
      <c r="M7" s="29" t="inlineStr">
        <is>
          <t>Alienação fiduciária do equipamento</t>
        </is>
      </c>
      <c r="N7" s="14" t="inlineStr">
        <is>
          <t>Em andamento</t>
        </is>
      </c>
      <c r="O7" s="24">
        <f>IF($B7="","",COUNTIFS($A$46:$A$405,$A7,$D$46:$D$405,"&lt;"&amp;TODAY(),$C$46:$C$405,"&lt;="&amp;$H7))</f>
        <v/>
      </c>
      <c r="P7" s="24">
        <f>IF($B7="","",COUNTIFS($A$46:$A$405,$A7,$D$46:$D$405,"&gt;="&amp;TODAY(),$C$46:$C$405,"&lt;="&amp;$H7))</f>
        <v/>
      </c>
      <c r="Q7" s="18">
        <f>IF($B7="","",SUMIFS($G$46:$G$405,$A$46:$A$405,$A7,$I$46:$I$405,"A vencer"))</f>
        <v/>
      </c>
      <c r="R7" s="18">
        <f>IF($B7="","",SUMIFS($F$46:$F$405,$A$46:$A$405,$A7))</f>
        <v/>
      </c>
    </row>
    <row r="8">
      <c r="A8" s="14" t="n">
        <v>3</v>
      </c>
      <c r="B8" s="29" t="inlineStr">
        <is>
          <t>Banco Santander</t>
        </is>
      </c>
      <c r="C8" s="29" t="inlineStr">
        <is>
          <t>VEI-2026-0088</t>
        </is>
      </c>
      <c r="D8" s="14" t="inlineStr">
        <is>
          <t>Financiamento de Veículo</t>
        </is>
      </c>
      <c r="E8" s="35" t="n">
        <v>80000</v>
      </c>
      <c r="F8" s="36" t="n">
        <v>46047</v>
      </c>
      <c r="G8" s="32" t="n">
        <v>0.0125</v>
      </c>
      <c r="H8" s="13" t="n">
        <v>48</v>
      </c>
      <c r="I8" s="14" t="inlineStr">
        <is>
          <t>PRICE</t>
        </is>
      </c>
      <c r="J8" s="36" t="n">
        <v>46073</v>
      </c>
      <c r="K8" s="18">
        <f>IF($B8="","",ROUND(IF($I8="SAC",$E8/$H8+$E8*$G8,($E8*$G8*(1+$G8)^$H8/((1+$G8)^$H8-1))),2))</f>
        <v/>
      </c>
      <c r="L8" s="18">
        <f>IF($B8="","",ROUND(IF($I8="SAC",$E8/$H8+($E8/$H8)*$G8,($E8*$G8*(1+$G8)^$H8/((1+$G8)^$H8-1))),2))</f>
        <v/>
      </c>
      <c r="M8" s="29" t="inlineStr">
        <is>
          <t>Alienação fiduciária do veículo</t>
        </is>
      </c>
      <c r="N8" s="14" t="inlineStr">
        <is>
          <t>Em andamento</t>
        </is>
      </c>
      <c r="O8" s="24">
        <f>IF($B8="","",COUNTIFS($A$46:$A$405,$A8,$D$46:$D$405,"&lt;"&amp;TODAY(),$C$46:$C$405,"&lt;="&amp;$H8))</f>
        <v/>
      </c>
      <c r="P8" s="24">
        <f>IF($B8="","",COUNTIFS($A$46:$A$405,$A8,$D$46:$D$405,"&gt;="&amp;TODAY(),$C$46:$C$405,"&lt;="&amp;$H8))</f>
        <v/>
      </c>
      <c r="Q8" s="18">
        <f>IF($B8="","",SUMIFS($G$46:$G$405,$A$46:$A$405,$A8,$I$46:$I$405,"A vencer"))</f>
        <v/>
      </c>
      <c r="R8" s="18">
        <f>IF($B8="","",SUMIFS($F$46:$F$405,$A$46:$A$405,$A8))</f>
        <v/>
      </c>
    </row>
    <row r="9">
      <c r="A9" s="14" t="n"/>
      <c r="B9" s="29" t="n"/>
      <c r="C9" s="29" t="n"/>
      <c r="D9" s="14" t="n"/>
      <c r="E9" s="35" t="n"/>
      <c r="F9" s="36" t="n"/>
      <c r="G9" s="32" t="n"/>
      <c r="H9" s="13" t="n"/>
      <c r="I9" s="14" t="n"/>
      <c r="J9" s="36" t="n"/>
      <c r="K9" s="18">
        <f>IF($B9="","",ROUND(IF($I9="SAC",$E9/$H9+$E9*$G9,($E9*$G9*(1+$G9)^$H9/((1+$G9)^$H9-1))),2))</f>
        <v/>
      </c>
      <c r="L9" s="18">
        <f>IF($B9="","",ROUND(IF($I9="SAC",$E9/$H9+($E9/$H9)*$G9,($E9*$G9*(1+$G9)^$H9/((1+$G9)^$H9-1))),2))</f>
        <v/>
      </c>
      <c r="M9" s="29" t="n"/>
      <c r="N9" s="14" t="n"/>
      <c r="O9" s="24">
        <f>IF($B9="","",COUNTIFS($A$46:$A$405,$A9,$D$46:$D$405,"&lt;"&amp;TODAY(),$C$46:$C$405,"&lt;="&amp;$H9))</f>
        <v/>
      </c>
      <c r="P9" s="24">
        <f>IF($B9="","",COUNTIFS($A$46:$A$405,$A9,$D$46:$D$405,"&gt;="&amp;TODAY(),$C$46:$C$405,"&lt;="&amp;$H9))</f>
        <v/>
      </c>
      <c r="Q9" s="18">
        <f>IF($B9="","",SUMIFS($G$46:$G$405,$A$46:$A$405,$A9,$I$46:$I$405,"A vencer"))</f>
        <v/>
      </c>
      <c r="R9" s="18">
        <f>IF($B9="","",SUMIFS($F$46:$F$405,$A$46:$A$405,$A9))</f>
        <v/>
      </c>
    </row>
    <row r="10">
      <c r="A10" s="14" t="n"/>
      <c r="B10" s="29" t="n"/>
      <c r="C10" s="29" t="n"/>
      <c r="D10" s="14" t="n"/>
      <c r="E10" s="35" t="n"/>
      <c r="F10" s="36" t="n"/>
      <c r="G10" s="32" t="n"/>
      <c r="H10" s="13" t="n"/>
      <c r="I10" s="14" t="n"/>
      <c r="J10" s="36" t="n"/>
      <c r="K10" s="18">
        <f>IF($B10="","",ROUND(IF($I10="SAC",$E10/$H10+$E10*$G10,($E10*$G10*(1+$G10)^$H10/((1+$G10)^$H10-1))),2))</f>
        <v/>
      </c>
      <c r="L10" s="18">
        <f>IF($B10="","",ROUND(IF($I10="SAC",$E10/$H10+($E10/$H10)*$G10,($E10*$G10*(1+$G10)^$H10/((1+$G10)^$H10-1))),2))</f>
        <v/>
      </c>
      <c r="M10" s="29" t="n"/>
      <c r="N10" s="14" t="n"/>
      <c r="O10" s="24">
        <f>IF($B10="","",COUNTIFS($A$46:$A$405,$A10,$D$46:$D$405,"&lt;"&amp;TODAY(),$C$46:$C$405,"&lt;="&amp;$H10))</f>
        <v/>
      </c>
      <c r="P10" s="24">
        <f>IF($B10="","",COUNTIFS($A$46:$A$405,$A10,$D$46:$D$405,"&gt;="&amp;TODAY(),$C$46:$C$405,"&lt;="&amp;$H10))</f>
        <v/>
      </c>
      <c r="Q10" s="18">
        <f>IF($B10="","",SUMIFS($G$46:$G$405,$A$46:$A$405,$A10,$I$46:$I$405,"A vencer"))</f>
        <v/>
      </c>
      <c r="R10" s="18">
        <f>IF($B10="","",SUMIFS($F$46:$F$405,$A$46:$A$405,$A10))</f>
        <v/>
      </c>
    </row>
    <row r="11">
      <c r="A11" s="14" t="n"/>
      <c r="B11" s="29" t="n"/>
      <c r="C11" s="29" t="n"/>
      <c r="D11" s="14" t="n"/>
      <c r="E11" s="35" t="n"/>
      <c r="F11" s="36" t="n"/>
      <c r="G11" s="32" t="n"/>
      <c r="H11" s="13" t="n"/>
      <c r="I11" s="14" t="n"/>
      <c r="J11" s="36" t="n"/>
      <c r="K11" s="18">
        <f>IF($B11="","",ROUND(IF($I11="SAC",$E11/$H11+$E11*$G11,($E11*$G11*(1+$G11)^$H11/((1+$G11)^$H11-1))),2))</f>
        <v/>
      </c>
      <c r="L11" s="18">
        <f>IF($B11="","",ROUND(IF($I11="SAC",$E11/$H11+($E11/$H11)*$G11,($E11*$G11*(1+$G11)^$H11/((1+$G11)^$H11-1))),2))</f>
        <v/>
      </c>
      <c r="M11" s="29" t="n"/>
      <c r="N11" s="14" t="n"/>
      <c r="O11" s="24">
        <f>IF($B11="","",COUNTIFS($A$46:$A$405,$A11,$D$46:$D$405,"&lt;"&amp;TODAY(),$C$46:$C$405,"&lt;="&amp;$H11))</f>
        <v/>
      </c>
      <c r="P11" s="24">
        <f>IF($B11="","",COUNTIFS($A$46:$A$405,$A11,$D$46:$D$405,"&gt;="&amp;TODAY(),$C$46:$C$405,"&lt;="&amp;$H11))</f>
        <v/>
      </c>
      <c r="Q11" s="18">
        <f>IF($B11="","",SUMIFS($G$46:$G$405,$A$46:$A$405,$A11,$I$46:$I$405,"A vencer"))</f>
        <v/>
      </c>
      <c r="R11" s="18">
        <f>IF($B11="","",SUMIFS($F$46:$F$405,$A$46:$A$405,$A11))</f>
        <v/>
      </c>
    </row>
    <row r="12">
      <c r="A12" s="14" t="n"/>
      <c r="B12" s="29" t="n"/>
      <c r="C12" s="29" t="n"/>
      <c r="D12" s="14" t="n"/>
      <c r="E12" s="35" t="n"/>
      <c r="F12" s="36" t="n"/>
      <c r="G12" s="32" t="n"/>
      <c r="H12" s="13" t="n"/>
      <c r="I12" s="14" t="n"/>
      <c r="J12" s="36" t="n"/>
      <c r="K12" s="18">
        <f>IF($B12="","",ROUND(IF($I12="SAC",$E12/$H12+$E12*$G12,($E12*$G12*(1+$G12)^$H12/((1+$G12)^$H12-1))),2))</f>
        <v/>
      </c>
      <c r="L12" s="18">
        <f>IF($B12="","",ROUND(IF($I12="SAC",$E12/$H12+($E12/$H12)*$G12,($E12*$G12*(1+$G12)^$H12/((1+$G12)^$H12-1))),2))</f>
        <v/>
      </c>
      <c r="M12" s="29" t="n"/>
      <c r="N12" s="14" t="n"/>
      <c r="O12" s="24">
        <f>IF($B12="","",COUNTIFS($A$46:$A$405,$A12,$D$46:$D$405,"&lt;"&amp;TODAY(),$C$46:$C$405,"&lt;="&amp;$H12))</f>
        <v/>
      </c>
      <c r="P12" s="24">
        <f>IF($B12="","",COUNTIFS($A$46:$A$405,$A12,$D$46:$D$405,"&gt;="&amp;TODAY(),$C$46:$C$405,"&lt;="&amp;$H12))</f>
        <v/>
      </c>
      <c r="Q12" s="18">
        <f>IF($B12="","",SUMIFS($G$46:$G$405,$A$46:$A$405,$A12,$I$46:$I$405,"A vencer"))</f>
        <v/>
      </c>
      <c r="R12" s="18">
        <f>IF($B12="","",SUMIFS($F$46:$F$405,$A$46:$A$405,$A12))</f>
        <v/>
      </c>
    </row>
    <row r="13">
      <c r="A13" s="14" t="n"/>
      <c r="B13" s="29" t="n"/>
      <c r="C13" s="29" t="n"/>
      <c r="D13" s="14" t="n"/>
      <c r="E13" s="35" t="n"/>
      <c r="F13" s="36" t="n"/>
      <c r="G13" s="32" t="n"/>
      <c r="H13" s="13" t="n"/>
      <c r="I13" s="14" t="n"/>
      <c r="J13" s="36" t="n"/>
      <c r="K13" s="18">
        <f>IF($B13="","",ROUND(IF($I13="SAC",$E13/$H13+$E13*$G13,($E13*$G13*(1+$G13)^$H13/((1+$G13)^$H13-1))),2))</f>
        <v/>
      </c>
      <c r="L13" s="18">
        <f>IF($B13="","",ROUND(IF($I13="SAC",$E13/$H13+($E13/$H13)*$G13,($E13*$G13*(1+$G13)^$H13/((1+$G13)^$H13-1))),2))</f>
        <v/>
      </c>
      <c r="M13" s="29" t="n"/>
      <c r="N13" s="14" t="n"/>
      <c r="O13" s="24">
        <f>IF($B13="","",COUNTIFS($A$46:$A$405,$A13,$D$46:$D$405,"&lt;"&amp;TODAY(),$C$46:$C$405,"&lt;="&amp;$H13))</f>
        <v/>
      </c>
      <c r="P13" s="24">
        <f>IF($B13="","",COUNTIFS($A$46:$A$405,$A13,$D$46:$D$405,"&gt;="&amp;TODAY(),$C$46:$C$405,"&lt;="&amp;$H13))</f>
        <v/>
      </c>
      <c r="Q13" s="18">
        <f>IF($B13="","",SUMIFS($G$46:$G$405,$A$46:$A$405,$A13,$I$46:$I$405,"A vencer"))</f>
        <v/>
      </c>
      <c r="R13" s="18">
        <f>IF($B13="","",SUMIFS($F$46:$F$405,$A$46:$A$405,$A13))</f>
        <v/>
      </c>
    </row>
    <row r="14">
      <c r="A14" s="14" t="n"/>
      <c r="B14" s="29" t="n"/>
      <c r="C14" s="29" t="n"/>
      <c r="D14" s="14" t="n"/>
      <c r="E14" s="35" t="n"/>
      <c r="F14" s="36" t="n"/>
      <c r="G14" s="32" t="n"/>
      <c r="H14" s="13" t="n"/>
      <c r="I14" s="14" t="n"/>
      <c r="J14" s="36" t="n"/>
      <c r="K14" s="18">
        <f>IF($B14="","",ROUND(IF($I14="SAC",$E14/$H14+$E14*$G14,($E14*$G14*(1+$G14)^$H14/((1+$G14)^$H14-1))),2))</f>
        <v/>
      </c>
      <c r="L14" s="18">
        <f>IF($B14="","",ROUND(IF($I14="SAC",$E14/$H14+($E14/$H14)*$G14,($E14*$G14*(1+$G14)^$H14/((1+$G14)^$H14-1))),2))</f>
        <v/>
      </c>
      <c r="M14" s="29" t="n"/>
      <c r="N14" s="14" t="n"/>
      <c r="O14" s="24">
        <f>IF($B14="","",COUNTIFS($A$46:$A$405,$A14,$D$46:$D$405,"&lt;"&amp;TODAY(),$C$46:$C$405,"&lt;="&amp;$H14))</f>
        <v/>
      </c>
      <c r="P14" s="24">
        <f>IF($B14="","",COUNTIFS($A$46:$A$405,$A14,$D$46:$D$405,"&gt;="&amp;TODAY(),$C$46:$C$405,"&lt;="&amp;$H14))</f>
        <v/>
      </c>
      <c r="Q14" s="18">
        <f>IF($B14="","",SUMIFS($G$46:$G$405,$A$46:$A$405,$A14,$I$46:$I$405,"A vencer"))</f>
        <v/>
      </c>
      <c r="R14" s="18">
        <f>IF($B14="","",SUMIFS($F$46:$F$405,$A$46:$A$405,$A14))</f>
        <v/>
      </c>
    </row>
    <row r="15">
      <c r="A15" s="14" t="n"/>
      <c r="B15" s="29" t="n"/>
      <c r="C15" s="29" t="n"/>
      <c r="D15" s="14" t="n"/>
      <c r="E15" s="35" t="n"/>
      <c r="F15" s="36" t="n"/>
      <c r="G15" s="32" t="n"/>
      <c r="H15" s="13" t="n"/>
      <c r="I15" s="14" t="n"/>
      <c r="J15" s="36" t="n"/>
      <c r="K15" s="18">
        <f>IF($B15="","",ROUND(IF($I15="SAC",$E15/$H15+$E15*$G15,($E15*$G15*(1+$G15)^$H15/((1+$G15)^$H15-1))),2))</f>
        <v/>
      </c>
      <c r="L15" s="18">
        <f>IF($B15="","",ROUND(IF($I15="SAC",$E15/$H15+($E15/$H15)*$G15,($E15*$G15*(1+$G15)^$H15/((1+$G15)^$H15-1))),2))</f>
        <v/>
      </c>
      <c r="M15" s="29" t="n"/>
      <c r="N15" s="14" t="n"/>
      <c r="O15" s="24">
        <f>IF($B15="","",COUNTIFS($A$46:$A$405,$A15,$D$46:$D$405,"&lt;"&amp;TODAY(),$C$46:$C$405,"&lt;="&amp;$H15))</f>
        <v/>
      </c>
      <c r="P15" s="24">
        <f>IF($B15="","",COUNTIFS($A$46:$A$405,$A15,$D$46:$D$405,"&gt;="&amp;TODAY(),$C$46:$C$405,"&lt;="&amp;$H15))</f>
        <v/>
      </c>
      <c r="Q15" s="18">
        <f>IF($B15="","",SUMIFS($G$46:$G$405,$A$46:$A$405,$A15,$I$46:$I$405,"A vencer"))</f>
        <v/>
      </c>
      <c r="R15" s="18">
        <f>IF($B15="","",SUMIFS($F$46:$F$405,$A$46:$A$405,$A15))</f>
        <v/>
      </c>
    </row>
    <row r="17" ht="20" customHeight="1">
      <c r="A17" s="4" t="inlineStr">
        <is>
          <t>2. INDICADORES DE ENDIVIDAMENTO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8" customHeight="1">
      <c r="A18" s="5" t="inlineStr">
        <is>
          <t>Saldo devedor total (dívida atual)</t>
        </is>
      </c>
      <c r="B18" s="5" t="n"/>
      <c r="C18" s="5" t="inlineStr">
        <is>
          <t>Total de juros a pagar (contratos)</t>
        </is>
      </c>
      <c r="D18" s="5" t="n"/>
      <c r="E18" s="5" t="inlineStr">
        <is>
          <t>Parcelas já vencidas (qtd.)</t>
        </is>
      </c>
      <c r="F18" s="5" t="n"/>
      <c r="G18" s="5" t="inlineStr">
        <is>
          <t>Parcelas a vencer (qtd.)</t>
        </is>
      </c>
      <c r="H18" s="5" t="n"/>
    </row>
    <row r="19" ht="30" customHeight="1">
      <c r="A19" s="6">
        <f>SUM($Q$6:$Q$15)</f>
        <v/>
      </c>
      <c r="B19" s="6" t="n"/>
      <c r="C19" s="6">
        <f>SUM($R$6:$R$15)</f>
        <v/>
      </c>
      <c r="D19" s="6" t="n"/>
      <c r="E19" s="16">
        <f>SUM($O$6:$O$15)</f>
        <v/>
      </c>
      <c r="F19" s="16" t="n"/>
      <c r="G19" s="16">
        <f>SUM($P$6:$P$15)</f>
        <v/>
      </c>
      <c r="H19" s="16" t="n"/>
    </row>
    <row r="20" ht="15" customHeight="1">
      <c r="A20" s="40" t="inlineStr">
        <is>
          <t>Principal ainda em aberto de todos os contratos</t>
        </is>
      </c>
      <c r="B20" s="40" t="n"/>
      <c r="C20" s="40" t="inlineStr">
        <is>
          <t>Custo total do crédito contratado</t>
        </is>
      </c>
      <c r="D20" s="40" t="n"/>
      <c r="E20" s="40" t="inlineStr">
        <is>
          <t>Confira com os lançamentos de pagamento</t>
        </is>
      </c>
      <c r="F20" s="40" t="n"/>
      <c r="G20" s="40" t="inlineStr">
        <is>
          <t>Compromissos futuros já contratados</t>
        </is>
      </c>
      <c r="H20" s="40" t="n"/>
    </row>
    <row r="21" ht="28" customHeight="1">
      <c r="A21" s="5" t="inlineStr">
        <is>
          <t>Comprometimento da receita (dívida ÷ faturamento anual)</t>
        </is>
      </c>
      <c r="B21" s="5" t="n"/>
      <c r="C21" s="5" t="inlineStr">
        <is>
          <t>Dívida ÷ EBITDA (anos de EBITDA para quitar)</t>
        </is>
      </c>
      <c r="D21" s="5" t="n"/>
      <c r="E21" s="5" t="inlineStr">
        <is>
          <t>Juros do ano ÷ receita líquida</t>
        </is>
      </c>
      <c r="F21" s="5" t="n"/>
      <c r="G21" s="5" t="inlineStr">
        <is>
          <t>Custo médio ponderado da dívida (a.m.)</t>
        </is>
      </c>
      <c r="H21" s="5" t="n"/>
    </row>
    <row r="22" ht="30" customHeight="1">
      <c r="A22" s="15">
        <f>IFERROR(SUM($Q$6:$Q$15)/MAX(1,SUMIFS('LANÇAMENTOS'!$AE$6:$AE$2005,'LANÇAMENTOS'!$AF$6:$AF$2005,"Faturamento Bruto",'LANÇAMENTOS'!$AA$6:$AA$2005,'CONFIGURAÇÕES'!$B$18)),"")</f>
        <v/>
      </c>
      <c r="B22" s="15" t="n"/>
      <c r="C22" s="16">
        <f>IFERROR(SUM($Q$6:$Q$15)/MAX(1,(SUMIFS('LANÇAMENTOS'!$AE$6:$AE$2005,'LANÇAMENTOS'!$AF$6:$AF$2005,"Faturamento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Vendas",'LANÇAMENTOS'!$AA$6:$AA$2005,'CONFIGURAÇÕES'!$B$18)-SUMIFS('LANÇAMENTOS'!$AE$6:$AE$2005,'LANÇAMENTOS'!$AF$6:$AF$2005,"Devoluções",'LANÇAMENTOS'!$AA$6:$AA$2005,'CONFIGURAÇÕES'!$B$18)-SUMIFS('LANÇAMENTOS'!$AE$6:$AE$2005,'LANÇAMENTOS'!$AF$6:$AF$2005,"Custos Variáveis",'LANÇAMENTOS'!$AA$6:$AA$2005,'CONFIGURAÇÕES'!$B$18)-SUMIFS('LANÇAMENTOS'!$AE$6:$AE$2005,'LANÇAMENTOS'!$AF$6:$AF$2005,"Despesas Fixas",'LANÇAMENTOS'!$AA$6:$AA$2005,'CONFIGURAÇÕES'!$B$18))),"")</f>
        <v/>
      </c>
      <c r="D22" s="16" t="n"/>
      <c r="E22" s="15">
        <f>IFERROR(SUMIFS('LANÇAMENTOS'!$AE$6:$AE$2005,'LANÇAMENTOS'!$AF$6:$AF$2005,"Despesas Financeiras",'LANÇAMENTOS'!$AA$6:$AA$2005,'CONFIGURAÇÕES'!$B$18)/MAX(1,SUMIFS('LANÇAMENTOS'!$AE$6:$AE$2005,'LANÇAMENTOS'!$AF$6:$AF$2005,"Faturamento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Vendas",'LANÇAMENTOS'!$AA$6:$AA$2005,'CONFIGURAÇÕES'!$B$18)-SUMIFS('LANÇAMENTOS'!$AE$6:$AE$2005,'LANÇAMENTOS'!$AF$6:$AF$2005,"Devoluções",'LANÇAMENTOS'!$AA$6:$AA$2005,'CONFIGURAÇÕES'!$B$18)),"")</f>
        <v/>
      </c>
      <c r="F22" s="15" t="n"/>
      <c r="G22" s="15">
        <f>IFERROR(SUMPRODUCT(($B$6:$B$15&lt;&gt;"")*$E$6:$E$15*$G$6:$G$15)/MAX(0.01,SUM($E$6:$E$15)),"")</f>
        <v/>
      </c>
      <c r="H22" s="15" t="n"/>
    </row>
    <row r="23" ht="15" customHeight="1">
      <c r="A23" s="40" t="inlineStr">
        <is>
          <t>Acima de 30% exige atenção</t>
        </is>
      </c>
      <c r="B23" s="40" t="n"/>
      <c r="C23" s="40" t="inlineStr">
        <is>
          <t>Referência saudável: abaixo de 3x</t>
        </is>
      </c>
      <c r="D23" s="40" t="n"/>
      <c r="E23" s="40" t="inlineStr">
        <is>
          <t>Quanto o crédito consome do faturamento</t>
        </is>
      </c>
      <c r="F23" s="40" t="n"/>
      <c r="G23" s="40" t="inlineStr">
        <is>
          <t>Taxa média mensal dos contratos</t>
        </is>
      </c>
      <c r="H23" s="40" t="n"/>
    </row>
    <row r="24" ht="28" customHeight="1">
      <c r="A24" s="5" t="inlineStr">
        <is>
          <t>Parcelas dos próximos 12 meses (principal + juros)</t>
        </is>
      </c>
      <c r="B24" s="5" t="n"/>
      <c r="C24" s="5" t="inlineStr">
        <is>
          <t>Parcela média dos próximos 12 meses</t>
        </is>
      </c>
      <c r="D24" s="5" t="n"/>
      <c r="E24" s="5" t="inlineStr">
        <is>
          <t>Contratos ativos</t>
        </is>
      </c>
      <c r="F24" s="5" t="n"/>
      <c r="G24" s="5" t="inlineStr">
        <is>
          <t>Contratos em atraso</t>
        </is>
      </c>
      <c r="H24" s="5" t="n"/>
    </row>
    <row r="25" ht="30" customHeight="1">
      <c r="A25" s="6">
        <f>SUMIFS($E$46:$E$405,$D$46:$D$405,"&gt;="&amp;TODAY(),$D$46:$D$405,"&lt;="&amp;EDATE(TODAY(),12))</f>
        <v/>
      </c>
      <c r="B25" s="6" t="n"/>
      <c r="C25" s="6">
        <f>IFERROR(SUMIFS($E$46:$E$405,$D$46:$D$405,"&gt;="&amp;TODAY(),$D$46:$D$405,"&lt;="&amp;EDATE(TODAY(),12))/MAX(1,COUNTIFS($D$46:$D$405,"&gt;="&amp;TODAY(),$D$46:$D$405,"&lt;="&amp;EDATE(TODAY(),12))),"")</f>
        <v/>
      </c>
      <c r="D25" s="6" t="n"/>
      <c r="E25" s="16">
        <f>COUNTIF($N$6:$N$15,"Em andamento")</f>
        <v/>
      </c>
      <c r="F25" s="16" t="n"/>
      <c r="G25" s="16">
        <f>COUNTIF($N$6:$N$15,"Em atraso")</f>
        <v/>
      </c>
      <c r="H25" s="16" t="n"/>
    </row>
    <row r="26" ht="15" customHeight="1">
      <c r="A26" s="40" t="inlineStr">
        <is>
          <t>Programe o caixa para estes compromissos</t>
        </is>
      </c>
      <c r="B26" s="40" t="n"/>
      <c r="C26" s="40" t="inlineStr">
        <is>
          <t>Valor médio mensal do serviço da dívida</t>
        </is>
      </c>
      <c r="D26" s="40" t="n"/>
      <c r="E26" s="40" t="inlineStr">
        <is>
          <t>Contratos em acompanhamento</t>
        </is>
      </c>
      <c r="F26" s="40" t="n"/>
      <c r="G26" s="40" t="inlineStr">
        <is>
          <t>Renegocie antes que virem inadimplência</t>
        </is>
      </c>
      <c r="H26" s="40" t="n"/>
    </row>
    <row r="27" ht="30" customHeight="1">
      <c r="A27" s="3" t="inlineStr">
        <is>
          <t>Leitura gerencial: comprometimento da receita acima de 30% e dívida acima de 3x o EBITDA indicam necessidade de renegociação. O custo médio ponderado mostra quanto a empresa paga, em média, por mês sobre o capital tomado.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9" ht="20" customHeight="1">
      <c r="A29" s="4" t="inlineStr">
        <is>
          <t>3. SIMULADOR — COMPARATIVO SAC x PRICE PARA UM NOVO CRÉDITO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4" customHeight="1">
      <c r="A30" s="3" t="inlineStr">
        <is>
          <t>Preencha as células amarelas (valor, taxa mensal e prazo) e compare os dois sistemas de amortização. O simulador não lança nada na planilha — é apenas uma análise.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9" t="inlineStr">
        <is>
          <t>Valor do crédito simulado (R$)</t>
        </is>
      </c>
      <c r="C31" s="35" t="n">
        <v>50000</v>
      </c>
    </row>
    <row r="32">
      <c r="A32" s="9" t="inlineStr">
        <is>
          <t>Taxa de juros mensal</t>
        </is>
      </c>
      <c r="C32" s="32" t="n">
        <v>0.015</v>
      </c>
    </row>
    <row r="33">
      <c r="A33" s="9" t="inlineStr">
        <is>
          <t>Prazo (nº de parcelas mensais)</t>
        </is>
      </c>
      <c r="C33" s="13" t="n">
        <v>24</v>
      </c>
    </row>
    <row r="35" ht="24" customHeight="1">
      <c r="A35" s="21" t="inlineStr">
        <is>
          <t>Indicador da simulação</t>
        </is>
      </c>
      <c r="B35" s="21" t="inlineStr">
        <is>
          <t>Sistema</t>
        </is>
      </c>
      <c r="C35" s="21" t="inlineStr">
        <is>
          <t>Resultado (SAC)</t>
        </is>
      </c>
      <c r="D35" s="21" t="inlineStr">
        <is>
          <t>Sistema</t>
        </is>
      </c>
      <c r="E35" s="21" t="inlineStr">
        <is>
          <t>Resultado (PRICE)</t>
        </is>
      </c>
      <c r="F35" s="21" t="inlineStr">
        <is>
          <t>Como é calculado</t>
        </is>
      </c>
    </row>
    <row r="36">
      <c r="A36" s="9" t="inlineStr">
        <is>
          <t>1ª parcela (maior parcela)</t>
        </is>
      </c>
      <c r="B36" s="17" t="inlineStr">
        <is>
          <t>SAC</t>
        </is>
      </c>
      <c r="C36" s="18">
        <f>ROUND($C$31/$C$33+$C$31*$C$32,2)</f>
        <v/>
      </c>
      <c r="D36" s="17" t="inlineStr">
        <is>
          <t>PRICE</t>
        </is>
      </c>
      <c r="E36" s="18">
        <f>ROUND(($C$31*$C$32*(1+$C$32)^$C$33/((1+$C$32)^$C$33-1)),2)</f>
        <v/>
      </c>
      <c r="F36" s="25" t="inlineStr">
        <is>
          <t>No SAC a parcela é amortização constante + juros (maior no início). No PRICE a parcela é fixa.</t>
        </is>
      </c>
    </row>
    <row r="37">
      <c r="A37" s="9" t="inlineStr">
        <is>
          <t>Última parcela (menor parcela)</t>
        </is>
      </c>
      <c r="B37" s="17" t="inlineStr">
        <is>
          <t>SAC</t>
        </is>
      </c>
      <c r="C37" s="18">
        <f>ROUND($C$31/$C$33+($C$31/$C$33)*$C$32,2)</f>
        <v/>
      </c>
      <c r="D37" s="17" t="inlineStr">
        <is>
          <t>PRICE</t>
        </is>
      </c>
      <c r="E37" s="18">
        <f>ROUND(($C$31*$C$32*(1+$C$32)^$C$33/((1+$C$32)^$C$33-1)),2)</f>
        <v/>
      </c>
      <c r="F37" s="25" t="inlineStr">
        <is>
          <t>No SAC a parcela cai mês a mês; no PRICE ela é sempre a mesma.</t>
        </is>
      </c>
    </row>
    <row r="38">
      <c r="A38" s="9" t="inlineStr">
        <is>
          <t>Total de juros pagos</t>
        </is>
      </c>
      <c r="B38" s="17" t="inlineStr">
        <is>
          <t>SAC</t>
        </is>
      </c>
      <c r="C38" s="18">
        <f>ROUND($C$31*$C$32*($C$33+1)/2,2)</f>
        <v/>
      </c>
      <c r="D38" s="17" t="inlineStr">
        <is>
          <t>PRICE</t>
        </is>
      </c>
      <c r="E38" s="18">
        <f>ROUND(($C$31*$C$32*(1+$C$32)^$C$33/((1+$C$32)^$C$33-1))*$C$33-$C$31,2)</f>
        <v/>
      </c>
      <c r="F38" s="25" t="inlineStr">
        <is>
          <t>Soma de todos os juros do contrato — é o custo efetivo do crédito.</t>
        </is>
      </c>
    </row>
    <row r="39">
      <c r="A39" s="9" t="inlineStr">
        <is>
          <t>Total pago (principal + juros)</t>
        </is>
      </c>
      <c r="B39" s="17" t="inlineStr">
        <is>
          <t>SAC</t>
        </is>
      </c>
      <c r="C39" s="18">
        <f>ROUND($C$31+$C$31*$C$32*($C$33+1)/2,2)</f>
        <v/>
      </c>
      <c r="D39" s="17" t="inlineStr">
        <is>
          <t>PRICE</t>
        </is>
      </c>
      <c r="E39" s="18">
        <f>ROUND(($C$31*$C$32*(1+$C$32)^$C$33/((1+$C$32)^$C$33-1))*$C$33,2)</f>
        <v/>
      </c>
      <c r="F39" s="25" t="inlineStr">
        <is>
          <t>Desembolso total até a quitação do contrato.</t>
        </is>
      </c>
    </row>
    <row r="40">
      <c r="A40" s="9" t="inlineStr">
        <is>
          <t>Sistema com menor juros total</t>
        </is>
      </c>
      <c r="C40" s="9">
        <f>IF($C$38&lt;$E$38,"SAC — economiza "&amp;TEXT($E$38-$C$38,"#.##0,00")&amp;" em juros","PRICE — economiza "&amp;TEXT($C$38-$E$38,"#.##0,00")&amp;" em juros")</f>
        <v/>
      </c>
      <c r="F40" s="25" t="inlineStr">
        <is>
          <t>Compara o total de juros: o sistema mais barato economiza o valor indicado.</t>
        </is>
      </c>
    </row>
    <row r="43" ht="20" customHeight="1">
      <c r="A43" s="4" t="inlineStr">
        <is>
          <t>4. CRONOGRAMA CONSOLIDADO DE PARCELAS (calculado automaticamente — não editar)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 ht="22" customHeight="1">
      <c r="A44" s="3" t="inlineStr">
        <is>
          <t>Cada contrato tem 60 linhas de cronograma, calculadas por SAC ou PRICE conforme o cadastro. As colunas de situação mostram o que já venceu e o que ainda está 'A vencer'.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44" customHeight="1">
      <c r="A45" s="34" t="inlineStr">
        <is>
          <t>Nº contrato</t>
        </is>
      </c>
      <c r="B45" s="34" t="inlineStr">
        <is>
          <t>Instituição</t>
        </is>
      </c>
      <c r="C45" s="34" t="inlineStr">
        <is>
          <t>Parcela nº</t>
        </is>
      </c>
      <c r="D45" s="34" t="inlineStr">
        <is>
          <t>Vencimento</t>
        </is>
      </c>
      <c r="E45" s="34" t="inlineStr">
        <is>
          <t>Valor da parcela</t>
        </is>
      </c>
      <c r="F45" s="34" t="inlineStr">
        <is>
          <t>Juros do período</t>
        </is>
      </c>
      <c r="G45" s="34" t="inlineStr">
        <is>
          <t>Amortização do principal</t>
        </is>
      </c>
      <c r="H45" s="34" t="inlineStr">
        <is>
          <t>Saldo devedor após a parcela</t>
        </is>
      </c>
      <c r="I45" s="34" t="inlineStr">
        <is>
          <t>Situação da parcela</t>
        </is>
      </c>
      <c r="J45" s="34" t="inlineStr">
        <is>
          <t>Mês de referência</t>
        </is>
      </c>
    </row>
    <row r="46">
      <c r="A46" s="24">
        <f>IF($B$6="","",$A$6)</f>
        <v/>
      </c>
      <c r="B46" s="9">
        <f>IF($B$6="","",$B$6)</f>
        <v/>
      </c>
      <c r="C46" s="24">
        <f>IF($B$6="","",1)</f>
        <v/>
      </c>
      <c r="D46" s="30">
        <f>IF(OR($B$6="",1&gt;$H$6),"",EDATE($J$6,0))</f>
        <v/>
      </c>
      <c r="E46" s="18">
        <f>IF(OR($B$6="",1&gt;$H$6),"",IF($I$6="SAC",ROUND($E$6/$H$6+$F46,2),ROUND(($E$6*$G$6*(1+$G$6)^$H$6/((1+$G$6)^$H$6-1)),2)))</f>
        <v/>
      </c>
      <c r="F46" s="18">
        <f>IF(OR($B$6="",1&gt;$H$6),"",ROUND($E$6*$G$6,2))</f>
        <v/>
      </c>
      <c r="G46" s="18">
        <f>IF(OR($B$6="",1&gt;$H$6),"",IF($I$6="SAC",ROUND($E$6/$H$6,2),ROUND($E46-$F46,2)))</f>
        <v/>
      </c>
      <c r="H46" s="18">
        <f>IF(OR($B$6="",1&gt;$H$6),"",ROUND($E$6-$G46,2))</f>
        <v/>
      </c>
      <c r="I46" s="17">
        <f>IF(OR($B$6="",1&gt;$H$6),"",IF($D46&lt;=TODAY(),"Vencida","A vencer"))</f>
        <v/>
      </c>
      <c r="J46" s="30">
        <f>IF($D46="","",EOMONTH($D46,0))</f>
        <v/>
      </c>
    </row>
    <row r="47">
      <c r="A47" s="24">
        <f>IF($B$6="","",$A$6)</f>
        <v/>
      </c>
      <c r="B47" s="9">
        <f>IF($B$6="","",$B$6)</f>
        <v/>
      </c>
      <c r="C47" s="24">
        <f>IF($B$6="","",2)</f>
        <v/>
      </c>
      <c r="D47" s="30">
        <f>IF(OR($B$6="",2&gt;$H$6),"",EDATE($J$6,1))</f>
        <v/>
      </c>
      <c r="E47" s="18">
        <f>IF(OR($B$6="",2&gt;$H$6),"",IF($I$6="SAC",ROUND($E$6/$H$6+$F47,2),ROUND(($E$6*$G$6*(1+$G$6)^$H$6/((1+$G$6)^$H$6-1)),2)))</f>
        <v/>
      </c>
      <c r="F47" s="18">
        <f>IF(OR($B$6="",2&gt;$H$6),"",ROUND($H46*$G$6,2))</f>
        <v/>
      </c>
      <c r="G47" s="18">
        <f>IF(OR($B$6="",2&gt;$H$6),"",IF($I$6="SAC",ROUND($E$6/$H$6,2),ROUND($E47-$F47,2)))</f>
        <v/>
      </c>
      <c r="H47" s="18">
        <f>IF(OR($B$6="",2&gt;$H$6),"",ROUND(MAX(0,$H46-$G47),2))</f>
        <v/>
      </c>
      <c r="I47" s="17">
        <f>IF(OR($B$6="",2&gt;$H$6),"",IF($D47&lt;=TODAY(),"Vencida","A vencer"))</f>
        <v/>
      </c>
      <c r="J47" s="30">
        <f>IF($D47="","",EOMONTH($D47,0))</f>
        <v/>
      </c>
    </row>
    <row r="48">
      <c r="A48" s="24">
        <f>IF($B$6="","",$A$6)</f>
        <v/>
      </c>
      <c r="B48" s="9">
        <f>IF($B$6="","",$B$6)</f>
        <v/>
      </c>
      <c r="C48" s="24">
        <f>IF($B$6="","",3)</f>
        <v/>
      </c>
      <c r="D48" s="30">
        <f>IF(OR($B$6="",3&gt;$H$6),"",EDATE($J$6,2))</f>
        <v/>
      </c>
      <c r="E48" s="18">
        <f>IF(OR($B$6="",3&gt;$H$6),"",IF($I$6="SAC",ROUND($E$6/$H$6+$F48,2),ROUND(($E$6*$G$6*(1+$G$6)^$H$6/((1+$G$6)^$H$6-1)),2)))</f>
        <v/>
      </c>
      <c r="F48" s="18">
        <f>IF(OR($B$6="",3&gt;$H$6),"",ROUND($H47*$G$6,2))</f>
        <v/>
      </c>
      <c r="G48" s="18">
        <f>IF(OR($B$6="",3&gt;$H$6),"",IF($I$6="SAC",ROUND($E$6/$H$6,2),ROUND($E48-$F48,2)))</f>
        <v/>
      </c>
      <c r="H48" s="18">
        <f>IF(OR($B$6="",3&gt;$H$6),"",ROUND(MAX(0,$H47-$G48),2))</f>
        <v/>
      </c>
      <c r="I48" s="17">
        <f>IF(OR($B$6="",3&gt;$H$6),"",IF($D48&lt;=TODAY(),"Vencida","A vencer"))</f>
        <v/>
      </c>
      <c r="J48" s="30">
        <f>IF($D48="","",EOMONTH($D48,0))</f>
        <v/>
      </c>
    </row>
    <row r="49">
      <c r="A49" s="24">
        <f>IF($B$6="","",$A$6)</f>
        <v/>
      </c>
      <c r="B49" s="9">
        <f>IF($B$6="","",$B$6)</f>
        <v/>
      </c>
      <c r="C49" s="24">
        <f>IF($B$6="","",4)</f>
        <v/>
      </c>
      <c r="D49" s="30">
        <f>IF(OR($B$6="",4&gt;$H$6),"",EDATE($J$6,3))</f>
        <v/>
      </c>
      <c r="E49" s="18">
        <f>IF(OR($B$6="",4&gt;$H$6),"",IF($I$6="SAC",ROUND($E$6/$H$6+$F49,2),ROUND(($E$6*$G$6*(1+$G$6)^$H$6/((1+$G$6)^$H$6-1)),2)))</f>
        <v/>
      </c>
      <c r="F49" s="18">
        <f>IF(OR($B$6="",4&gt;$H$6),"",ROUND($H48*$G$6,2))</f>
        <v/>
      </c>
      <c r="G49" s="18">
        <f>IF(OR($B$6="",4&gt;$H$6),"",IF($I$6="SAC",ROUND($E$6/$H$6,2),ROUND($E49-$F49,2)))</f>
        <v/>
      </c>
      <c r="H49" s="18">
        <f>IF(OR($B$6="",4&gt;$H$6),"",ROUND(MAX(0,$H48-$G49),2))</f>
        <v/>
      </c>
      <c r="I49" s="17">
        <f>IF(OR($B$6="",4&gt;$H$6),"",IF($D49&lt;=TODAY(),"Vencida","A vencer"))</f>
        <v/>
      </c>
      <c r="J49" s="30">
        <f>IF($D49="","",EOMONTH($D49,0))</f>
        <v/>
      </c>
    </row>
    <row r="50">
      <c r="A50" s="24">
        <f>IF($B$6="","",$A$6)</f>
        <v/>
      </c>
      <c r="B50" s="9">
        <f>IF($B$6="","",$B$6)</f>
        <v/>
      </c>
      <c r="C50" s="24">
        <f>IF($B$6="","",5)</f>
        <v/>
      </c>
      <c r="D50" s="30">
        <f>IF(OR($B$6="",5&gt;$H$6),"",EDATE($J$6,4))</f>
        <v/>
      </c>
      <c r="E50" s="18">
        <f>IF(OR($B$6="",5&gt;$H$6),"",IF($I$6="SAC",ROUND($E$6/$H$6+$F50,2),ROUND(($E$6*$G$6*(1+$G$6)^$H$6/((1+$G$6)^$H$6-1)),2)))</f>
        <v/>
      </c>
      <c r="F50" s="18">
        <f>IF(OR($B$6="",5&gt;$H$6),"",ROUND($H49*$G$6,2))</f>
        <v/>
      </c>
      <c r="G50" s="18">
        <f>IF(OR($B$6="",5&gt;$H$6),"",IF($I$6="SAC",ROUND($E$6/$H$6,2),ROUND($E50-$F50,2)))</f>
        <v/>
      </c>
      <c r="H50" s="18">
        <f>IF(OR($B$6="",5&gt;$H$6),"",ROUND(MAX(0,$H49-$G50),2))</f>
        <v/>
      </c>
      <c r="I50" s="17">
        <f>IF(OR($B$6="",5&gt;$H$6),"",IF($D50&lt;=TODAY(),"Vencida","A vencer"))</f>
        <v/>
      </c>
      <c r="J50" s="30">
        <f>IF($D50="","",EOMONTH($D50,0))</f>
        <v/>
      </c>
    </row>
    <row r="51">
      <c r="A51" s="24">
        <f>IF($B$6="","",$A$6)</f>
        <v/>
      </c>
      <c r="B51" s="9">
        <f>IF($B$6="","",$B$6)</f>
        <v/>
      </c>
      <c r="C51" s="24">
        <f>IF($B$6="","",6)</f>
        <v/>
      </c>
      <c r="D51" s="30">
        <f>IF(OR($B$6="",6&gt;$H$6),"",EDATE($J$6,5))</f>
        <v/>
      </c>
      <c r="E51" s="18">
        <f>IF(OR($B$6="",6&gt;$H$6),"",IF($I$6="SAC",ROUND($E$6/$H$6+$F51,2),ROUND(($E$6*$G$6*(1+$G$6)^$H$6/((1+$G$6)^$H$6-1)),2)))</f>
        <v/>
      </c>
      <c r="F51" s="18">
        <f>IF(OR($B$6="",6&gt;$H$6),"",ROUND($H50*$G$6,2))</f>
        <v/>
      </c>
      <c r="G51" s="18">
        <f>IF(OR($B$6="",6&gt;$H$6),"",IF($I$6="SAC",ROUND($E$6/$H$6,2),ROUND($E51-$F51,2)))</f>
        <v/>
      </c>
      <c r="H51" s="18">
        <f>IF(OR($B$6="",6&gt;$H$6),"",ROUND(MAX(0,$H50-$G51),2))</f>
        <v/>
      </c>
      <c r="I51" s="17">
        <f>IF(OR($B$6="",6&gt;$H$6),"",IF($D51&lt;=TODAY(),"Vencida","A vencer"))</f>
        <v/>
      </c>
      <c r="J51" s="30">
        <f>IF($D51="","",EOMONTH($D51,0))</f>
        <v/>
      </c>
    </row>
    <row r="52">
      <c r="A52" s="24">
        <f>IF($B$6="","",$A$6)</f>
        <v/>
      </c>
      <c r="B52" s="9">
        <f>IF($B$6="","",$B$6)</f>
        <v/>
      </c>
      <c r="C52" s="24">
        <f>IF($B$6="","",7)</f>
        <v/>
      </c>
      <c r="D52" s="30">
        <f>IF(OR($B$6="",7&gt;$H$6),"",EDATE($J$6,6))</f>
        <v/>
      </c>
      <c r="E52" s="18">
        <f>IF(OR($B$6="",7&gt;$H$6),"",IF($I$6="SAC",ROUND($E$6/$H$6+$F52,2),ROUND(($E$6*$G$6*(1+$G$6)^$H$6/((1+$G$6)^$H$6-1)),2)))</f>
        <v/>
      </c>
      <c r="F52" s="18">
        <f>IF(OR($B$6="",7&gt;$H$6),"",ROUND($H51*$G$6,2))</f>
        <v/>
      </c>
      <c r="G52" s="18">
        <f>IF(OR($B$6="",7&gt;$H$6),"",IF($I$6="SAC",ROUND($E$6/$H$6,2),ROUND($E52-$F52,2)))</f>
        <v/>
      </c>
      <c r="H52" s="18">
        <f>IF(OR($B$6="",7&gt;$H$6),"",ROUND(MAX(0,$H51-$G52),2))</f>
        <v/>
      </c>
      <c r="I52" s="17">
        <f>IF(OR($B$6="",7&gt;$H$6),"",IF($D52&lt;=TODAY(),"Vencida","A vencer"))</f>
        <v/>
      </c>
      <c r="J52" s="30">
        <f>IF($D52="","",EOMONTH($D52,0))</f>
        <v/>
      </c>
    </row>
    <row r="53">
      <c r="A53" s="24">
        <f>IF($B$6="","",$A$6)</f>
        <v/>
      </c>
      <c r="B53" s="9">
        <f>IF($B$6="","",$B$6)</f>
        <v/>
      </c>
      <c r="C53" s="24">
        <f>IF($B$6="","",8)</f>
        <v/>
      </c>
      <c r="D53" s="30">
        <f>IF(OR($B$6="",8&gt;$H$6),"",EDATE($J$6,7))</f>
        <v/>
      </c>
      <c r="E53" s="18">
        <f>IF(OR($B$6="",8&gt;$H$6),"",IF($I$6="SAC",ROUND($E$6/$H$6+$F53,2),ROUND(($E$6*$G$6*(1+$G$6)^$H$6/((1+$G$6)^$H$6-1)),2)))</f>
        <v/>
      </c>
      <c r="F53" s="18">
        <f>IF(OR($B$6="",8&gt;$H$6),"",ROUND($H52*$G$6,2))</f>
        <v/>
      </c>
      <c r="G53" s="18">
        <f>IF(OR($B$6="",8&gt;$H$6),"",IF($I$6="SAC",ROUND($E$6/$H$6,2),ROUND($E53-$F53,2)))</f>
        <v/>
      </c>
      <c r="H53" s="18">
        <f>IF(OR($B$6="",8&gt;$H$6),"",ROUND(MAX(0,$H52-$G53),2))</f>
        <v/>
      </c>
      <c r="I53" s="17">
        <f>IF(OR($B$6="",8&gt;$H$6),"",IF($D53&lt;=TODAY(),"Vencida","A vencer"))</f>
        <v/>
      </c>
      <c r="J53" s="30">
        <f>IF($D53="","",EOMONTH($D53,0))</f>
        <v/>
      </c>
    </row>
    <row r="54">
      <c r="A54" s="24">
        <f>IF($B$6="","",$A$6)</f>
        <v/>
      </c>
      <c r="B54" s="9">
        <f>IF($B$6="","",$B$6)</f>
        <v/>
      </c>
      <c r="C54" s="24">
        <f>IF($B$6="","",9)</f>
        <v/>
      </c>
      <c r="D54" s="30">
        <f>IF(OR($B$6="",9&gt;$H$6),"",EDATE($J$6,8))</f>
        <v/>
      </c>
      <c r="E54" s="18">
        <f>IF(OR($B$6="",9&gt;$H$6),"",IF($I$6="SAC",ROUND($E$6/$H$6+$F54,2),ROUND(($E$6*$G$6*(1+$G$6)^$H$6/((1+$G$6)^$H$6-1)),2)))</f>
        <v/>
      </c>
      <c r="F54" s="18">
        <f>IF(OR($B$6="",9&gt;$H$6),"",ROUND($H53*$G$6,2))</f>
        <v/>
      </c>
      <c r="G54" s="18">
        <f>IF(OR($B$6="",9&gt;$H$6),"",IF($I$6="SAC",ROUND($E$6/$H$6,2),ROUND($E54-$F54,2)))</f>
        <v/>
      </c>
      <c r="H54" s="18">
        <f>IF(OR($B$6="",9&gt;$H$6),"",ROUND(MAX(0,$H53-$G54),2))</f>
        <v/>
      </c>
      <c r="I54" s="17">
        <f>IF(OR($B$6="",9&gt;$H$6),"",IF($D54&lt;=TODAY(),"Vencida","A vencer"))</f>
        <v/>
      </c>
      <c r="J54" s="30">
        <f>IF($D54="","",EOMONTH($D54,0))</f>
        <v/>
      </c>
    </row>
    <row r="55">
      <c r="A55" s="24">
        <f>IF($B$6="","",$A$6)</f>
        <v/>
      </c>
      <c r="B55" s="9">
        <f>IF($B$6="","",$B$6)</f>
        <v/>
      </c>
      <c r="C55" s="24">
        <f>IF($B$6="","",10)</f>
        <v/>
      </c>
      <c r="D55" s="30">
        <f>IF(OR($B$6="",10&gt;$H$6),"",EDATE($J$6,9))</f>
        <v/>
      </c>
      <c r="E55" s="18">
        <f>IF(OR($B$6="",10&gt;$H$6),"",IF($I$6="SAC",ROUND($E$6/$H$6+$F55,2),ROUND(($E$6*$G$6*(1+$G$6)^$H$6/((1+$G$6)^$H$6-1)),2)))</f>
        <v/>
      </c>
      <c r="F55" s="18">
        <f>IF(OR($B$6="",10&gt;$H$6),"",ROUND($H54*$G$6,2))</f>
        <v/>
      </c>
      <c r="G55" s="18">
        <f>IF(OR($B$6="",10&gt;$H$6),"",IF($I$6="SAC",ROUND($E$6/$H$6,2),ROUND($E55-$F55,2)))</f>
        <v/>
      </c>
      <c r="H55" s="18">
        <f>IF(OR($B$6="",10&gt;$H$6),"",ROUND(MAX(0,$H54-$G55),2))</f>
        <v/>
      </c>
      <c r="I55" s="17">
        <f>IF(OR($B$6="",10&gt;$H$6),"",IF($D55&lt;=TODAY(),"Vencida","A vencer"))</f>
        <v/>
      </c>
      <c r="J55" s="30">
        <f>IF($D55="","",EOMONTH($D55,0))</f>
        <v/>
      </c>
    </row>
    <row r="56">
      <c r="A56" s="24">
        <f>IF($B$6="","",$A$6)</f>
        <v/>
      </c>
      <c r="B56" s="9">
        <f>IF($B$6="","",$B$6)</f>
        <v/>
      </c>
      <c r="C56" s="24">
        <f>IF($B$6="","",11)</f>
        <v/>
      </c>
      <c r="D56" s="30">
        <f>IF(OR($B$6="",11&gt;$H$6),"",EDATE($J$6,10))</f>
        <v/>
      </c>
      <c r="E56" s="18">
        <f>IF(OR($B$6="",11&gt;$H$6),"",IF($I$6="SAC",ROUND($E$6/$H$6+$F56,2),ROUND(($E$6*$G$6*(1+$G$6)^$H$6/((1+$G$6)^$H$6-1)),2)))</f>
        <v/>
      </c>
      <c r="F56" s="18">
        <f>IF(OR($B$6="",11&gt;$H$6),"",ROUND($H55*$G$6,2))</f>
        <v/>
      </c>
      <c r="G56" s="18">
        <f>IF(OR($B$6="",11&gt;$H$6),"",IF($I$6="SAC",ROUND($E$6/$H$6,2),ROUND($E56-$F56,2)))</f>
        <v/>
      </c>
      <c r="H56" s="18">
        <f>IF(OR($B$6="",11&gt;$H$6),"",ROUND(MAX(0,$H55-$G56),2))</f>
        <v/>
      </c>
      <c r="I56" s="17">
        <f>IF(OR($B$6="",11&gt;$H$6),"",IF($D56&lt;=TODAY(),"Vencida","A vencer"))</f>
        <v/>
      </c>
      <c r="J56" s="30">
        <f>IF($D56="","",EOMONTH($D56,0))</f>
        <v/>
      </c>
    </row>
    <row r="57">
      <c r="A57" s="24">
        <f>IF($B$6="","",$A$6)</f>
        <v/>
      </c>
      <c r="B57" s="9">
        <f>IF($B$6="","",$B$6)</f>
        <v/>
      </c>
      <c r="C57" s="24">
        <f>IF($B$6="","",12)</f>
        <v/>
      </c>
      <c r="D57" s="30">
        <f>IF(OR($B$6="",12&gt;$H$6),"",EDATE($J$6,11))</f>
        <v/>
      </c>
      <c r="E57" s="18">
        <f>IF(OR($B$6="",12&gt;$H$6),"",IF($I$6="SAC",ROUND($E$6/$H$6+$F57,2),ROUND(($E$6*$G$6*(1+$G$6)^$H$6/((1+$G$6)^$H$6-1)),2)))</f>
        <v/>
      </c>
      <c r="F57" s="18">
        <f>IF(OR($B$6="",12&gt;$H$6),"",ROUND($H56*$G$6,2))</f>
        <v/>
      </c>
      <c r="G57" s="18">
        <f>IF(OR($B$6="",12&gt;$H$6),"",IF($I$6="SAC",ROUND($E$6/$H$6,2),ROUND($E57-$F57,2)))</f>
        <v/>
      </c>
      <c r="H57" s="18">
        <f>IF(OR($B$6="",12&gt;$H$6),"",ROUND(MAX(0,$H56-$G57),2))</f>
        <v/>
      </c>
      <c r="I57" s="17">
        <f>IF(OR($B$6="",12&gt;$H$6),"",IF($D57&lt;=TODAY(),"Vencida","A vencer"))</f>
        <v/>
      </c>
      <c r="J57" s="30">
        <f>IF($D57="","",EOMONTH($D57,0))</f>
        <v/>
      </c>
    </row>
    <row r="58">
      <c r="A58" s="24">
        <f>IF($B$6="","",$A$6)</f>
        <v/>
      </c>
      <c r="B58" s="9">
        <f>IF($B$6="","",$B$6)</f>
        <v/>
      </c>
      <c r="C58" s="24">
        <f>IF($B$6="","",13)</f>
        <v/>
      </c>
      <c r="D58" s="30">
        <f>IF(OR($B$6="",13&gt;$H$6),"",EDATE($J$6,12))</f>
        <v/>
      </c>
      <c r="E58" s="18">
        <f>IF(OR($B$6="",13&gt;$H$6),"",IF($I$6="SAC",ROUND($E$6/$H$6+$F58,2),ROUND(($E$6*$G$6*(1+$G$6)^$H$6/((1+$G$6)^$H$6-1)),2)))</f>
        <v/>
      </c>
      <c r="F58" s="18">
        <f>IF(OR($B$6="",13&gt;$H$6),"",ROUND($H57*$G$6,2))</f>
        <v/>
      </c>
      <c r="G58" s="18">
        <f>IF(OR($B$6="",13&gt;$H$6),"",IF($I$6="SAC",ROUND($E$6/$H$6,2),ROUND($E58-$F58,2)))</f>
        <v/>
      </c>
      <c r="H58" s="18">
        <f>IF(OR($B$6="",13&gt;$H$6),"",ROUND(MAX(0,$H57-$G58),2))</f>
        <v/>
      </c>
      <c r="I58" s="17">
        <f>IF(OR($B$6="",13&gt;$H$6),"",IF($D58&lt;=TODAY(),"Vencida","A vencer"))</f>
        <v/>
      </c>
      <c r="J58" s="30">
        <f>IF($D58="","",EOMONTH($D58,0))</f>
        <v/>
      </c>
    </row>
    <row r="59">
      <c r="A59" s="24">
        <f>IF($B$6="","",$A$6)</f>
        <v/>
      </c>
      <c r="B59" s="9">
        <f>IF($B$6="","",$B$6)</f>
        <v/>
      </c>
      <c r="C59" s="24">
        <f>IF($B$6="","",14)</f>
        <v/>
      </c>
      <c r="D59" s="30">
        <f>IF(OR($B$6="",14&gt;$H$6),"",EDATE($J$6,13))</f>
        <v/>
      </c>
      <c r="E59" s="18">
        <f>IF(OR($B$6="",14&gt;$H$6),"",IF($I$6="SAC",ROUND($E$6/$H$6+$F59,2),ROUND(($E$6*$G$6*(1+$G$6)^$H$6/((1+$G$6)^$H$6-1)),2)))</f>
        <v/>
      </c>
      <c r="F59" s="18">
        <f>IF(OR($B$6="",14&gt;$H$6),"",ROUND($H58*$G$6,2))</f>
        <v/>
      </c>
      <c r="G59" s="18">
        <f>IF(OR($B$6="",14&gt;$H$6),"",IF($I$6="SAC",ROUND($E$6/$H$6,2),ROUND($E59-$F59,2)))</f>
        <v/>
      </c>
      <c r="H59" s="18">
        <f>IF(OR($B$6="",14&gt;$H$6),"",ROUND(MAX(0,$H58-$G59),2))</f>
        <v/>
      </c>
      <c r="I59" s="17">
        <f>IF(OR($B$6="",14&gt;$H$6),"",IF($D59&lt;=TODAY(),"Vencida","A vencer"))</f>
        <v/>
      </c>
      <c r="J59" s="30">
        <f>IF($D59="","",EOMONTH($D59,0))</f>
        <v/>
      </c>
    </row>
    <row r="60">
      <c r="A60" s="24">
        <f>IF($B$6="","",$A$6)</f>
        <v/>
      </c>
      <c r="B60" s="9">
        <f>IF($B$6="","",$B$6)</f>
        <v/>
      </c>
      <c r="C60" s="24">
        <f>IF($B$6="","",15)</f>
        <v/>
      </c>
      <c r="D60" s="30">
        <f>IF(OR($B$6="",15&gt;$H$6),"",EDATE($J$6,14))</f>
        <v/>
      </c>
      <c r="E60" s="18">
        <f>IF(OR($B$6="",15&gt;$H$6),"",IF($I$6="SAC",ROUND($E$6/$H$6+$F60,2),ROUND(($E$6*$G$6*(1+$G$6)^$H$6/((1+$G$6)^$H$6-1)),2)))</f>
        <v/>
      </c>
      <c r="F60" s="18">
        <f>IF(OR($B$6="",15&gt;$H$6),"",ROUND($H59*$G$6,2))</f>
        <v/>
      </c>
      <c r="G60" s="18">
        <f>IF(OR($B$6="",15&gt;$H$6),"",IF($I$6="SAC",ROUND($E$6/$H$6,2),ROUND($E60-$F60,2)))</f>
        <v/>
      </c>
      <c r="H60" s="18">
        <f>IF(OR($B$6="",15&gt;$H$6),"",ROUND(MAX(0,$H59-$G60),2))</f>
        <v/>
      </c>
      <c r="I60" s="17">
        <f>IF(OR($B$6="",15&gt;$H$6),"",IF($D60&lt;=TODAY(),"Vencida","A vencer"))</f>
        <v/>
      </c>
      <c r="J60" s="30">
        <f>IF($D60="","",EOMONTH($D60,0))</f>
        <v/>
      </c>
    </row>
    <row r="61">
      <c r="A61" s="24">
        <f>IF($B$6="","",$A$6)</f>
        <v/>
      </c>
      <c r="B61" s="9">
        <f>IF($B$6="","",$B$6)</f>
        <v/>
      </c>
      <c r="C61" s="24">
        <f>IF($B$6="","",16)</f>
        <v/>
      </c>
      <c r="D61" s="30">
        <f>IF(OR($B$6="",16&gt;$H$6),"",EDATE($J$6,15))</f>
        <v/>
      </c>
      <c r="E61" s="18">
        <f>IF(OR($B$6="",16&gt;$H$6),"",IF($I$6="SAC",ROUND($E$6/$H$6+$F61,2),ROUND(($E$6*$G$6*(1+$G$6)^$H$6/((1+$G$6)^$H$6-1)),2)))</f>
        <v/>
      </c>
      <c r="F61" s="18">
        <f>IF(OR($B$6="",16&gt;$H$6),"",ROUND($H60*$G$6,2))</f>
        <v/>
      </c>
      <c r="G61" s="18">
        <f>IF(OR($B$6="",16&gt;$H$6),"",IF($I$6="SAC",ROUND($E$6/$H$6,2),ROUND($E61-$F61,2)))</f>
        <v/>
      </c>
      <c r="H61" s="18">
        <f>IF(OR($B$6="",16&gt;$H$6),"",ROUND(MAX(0,$H60-$G61),2))</f>
        <v/>
      </c>
      <c r="I61" s="17">
        <f>IF(OR($B$6="",16&gt;$H$6),"",IF($D61&lt;=TODAY(),"Vencida","A vencer"))</f>
        <v/>
      </c>
      <c r="J61" s="30">
        <f>IF($D61="","",EOMONTH($D61,0))</f>
        <v/>
      </c>
    </row>
    <row r="62">
      <c r="A62" s="24">
        <f>IF($B$6="","",$A$6)</f>
        <v/>
      </c>
      <c r="B62" s="9">
        <f>IF($B$6="","",$B$6)</f>
        <v/>
      </c>
      <c r="C62" s="24">
        <f>IF($B$6="","",17)</f>
        <v/>
      </c>
      <c r="D62" s="30">
        <f>IF(OR($B$6="",17&gt;$H$6),"",EDATE($J$6,16))</f>
        <v/>
      </c>
      <c r="E62" s="18">
        <f>IF(OR($B$6="",17&gt;$H$6),"",IF($I$6="SAC",ROUND($E$6/$H$6+$F62,2),ROUND(($E$6*$G$6*(1+$G$6)^$H$6/((1+$G$6)^$H$6-1)),2)))</f>
        <v/>
      </c>
      <c r="F62" s="18">
        <f>IF(OR($B$6="",17&gt;$H$6),"",ROUND($H61*$G$6,2))</f>
        <v/>
      </c>
      <c r="G62" s="18">
        <f>IF(OR($B$6="",17&gt;$H$6),"",IF($I$6="SAC",ROUND($E$6/$H$6,2),ROUND($E62-$F62,2)))</f>
        <v/>
      </c>
      <c r="H62" s="18">
        <f>IF(OR($B$6="",17&gt;$H$6),"",ROUND(MAX(0,$H61-$G62),2))</f>
        <v/>
      </c>
      <c r="I62" s="17">
        <f>IF(OR($B$6="",17&gt;$H$6),"",IF($D62&lt;=TODAY(),"Vencida","A vencer"))</f>
        <v/>
      </c>
      <c r="J62" s="30">
        <f>IF($D62="","",EOMONTH($D62,0))</f>
        <v/>
      </c>
    </row>
    <row r="63">
      <c r="A63" s="24">
        <f>IF($B$6="","",$A$6)</f>
        <v/>
      </c>
      <c r="B63" s="9">
        <f>IF($B$6="","",$B$6)</f>
        <v/>
      </c>
      <c r="C63" s="24">
        <f>IF($B$6="","",18)</f>
        <v/>
      </c>
      <c r="D63" s="30">
        <f>IF(OR($B$6="",18&gt;$H$6),"",EDATE($J$6,17))</f>
        <v/>
      </c>
      <c r="E63" s="18">
        <f>IF(OR($B$6="",18&gt;$H$6),"",IF($I$6="SAC",ROUND($E$6/$H$6+$F63,2),ROUND(($E$6*$G$6*(1+$G$6)^$H$6/((1+$G$6)^$H$6-1)),2)))</f>
        <v/>
      </c>
      <c r="F63" s="18">
        <f>IF(OR($B$6="",18&gt;$H$6),"",ROUND($H62*$G$6,2))</f>
        <v/>
      </c>
      <c r="G63" s="18">
        <f>IF(OR($B$6="",18&gt;$H$6),"",IF($I$6="SAC",ROUND($E$6/$H$6,2),ROUND($E63-$F63,2)))</f>
        <v/>
      </c>
      <c r="H63" s="18">
        <f>IF(OR($B$6="",18&gt;$H$6),"",ROUND(MAX(0,$H62-$G63),2))</f>
        <v/>
      </c>
      <c r="I63" s="17">
        <f>IF(OR($B$6="",18&gt;$H$6),"",IF($D63&lt;=TODAY(),"Vencida","A vencer"))</f>
        <v/>
      </c>
      <c r="J63" s="30">
        <f>IF($D63="","",EOMONTH($D63,0))</f>
        <v/>
      </c>
    </row>
    <row r="64">
      <c r="A64" s="24">
        <f>IF($B$6="","",$A$6)</f>
        <v/>
      </c>
      <c r="B64" s="9">
        <f>IF($B$6="","",$B$6)</f>
        <v/>
      </c>
      <c r="C64" s="24">
        <f>IF($B$6="","",19)</f>
        <v/>
      </c>
      <c r="D64" s="30">
        <f>IF(OR($B$6="",19&gt;$H$6),"",EDATE($J$6,18))</f>
        <v/>
      </c>
      <c r="E64" s="18">
        <f>IF(OR($B$6="",19&gt;$H$6),"",IF($I$6="SAC",ROUND($E$6/$H$6+$F64,2),ROUND(($E$6*$G$6*(1+$G$6)^$H$6/((1+$G$6)^$H$6-1)),2)))</f>
        <v/>
      </c>
      <c r="F64" s="18">
        <f>IF(OR($B$6="",19&gt;$H$6),"",ROUND($H63*$G$6,2))</f>
        <v/>
      </c>
      <c r="G64" s="18">
        <f>IF(OR($B$6="",19&gt;$H$6),"",IF($I$6="SAC",ROUND($E$6/$H$6,2),ROUND($E64-$F64,2)))</f>
        <v/>
      </c>
      <c r="H64" s="18">
        <f>IF(OR($B$6="",19&gt;$H$6),"",ROUND(MAX(0,$H63-$G64),2))</f>
        <v/>
      </c>
      <c r="I64" s="17">
        <f>IF(OR($B$6="",19&gt;$H$6),"",IF($D64&lt;=TODAY(),"Vencida","A vencer"))</f>
        <v/>
      </c>
      <c r="J64" s="30">
        <f>IF($D64="","",EOMONTH($D64,0))</f>
        <v/>
      </c>
    </row>
    <row r="65">
      <c r="A65" s="24">
        <f>IF($B$6="","",$A$6)</f>
        <v/>
      </c>
      <c r="B65" s="9">
        <f>IF($B$6="","",$B$6)</f>
        <v/>
      </c>
      <c r="C65" s="24">
        <f>IF($B$6="","",20)</f>
        <v/>
      </c>
      <c r="D65" s="30">
        <f>IF(OR($B$6="",20&gt;$H$6),"",EDATE($J$6,19))</f>
        <v/>
      </c>
      <c r="E65" s="18">
        <f>IF(OR($B$6="",20&gt;$H$6),"",IF($I$6="SAC",ROUND($E$6/$H$6+$F65,2),ROUND(($E$6*$G$6*(1+$G$6)^$H$6/((1+$G$6)^$H$6-1)),2)))</f>
        <v/>
      </c>
      <c r="F65" s="18">
        <f>IF(OR($B$6="",20&gt;$H$6),"",ROUND($H64*$G$6,2))</f>
        <v/>
      </c>
      <c r="G65" s="18">
        <f>IF(OR($B$6="",20&gt;$H$6),"",IF($I$6="SAC",ROUND($E$6/$H$6,2),ROUND($E65-$F65,2)))</f>
        <v/>
      </c>
      <c r="H65" s="18">
        <f>IF(OR($B$6="",20&gt;$H$6),"",ROUND(MAX(0,$H64-$G65),2))</f>
        <v/>
      </c>
      <c r="I65" s="17">
        <f>IF(OR($B$6="",20&gt;$H$6),"",IF($D65&lt;=TODAY(),"Vencida","A vencer"))</f>
        <v/>
      </c>
      <c r="J65" s="30">
        <f>IF($D65="","",EOMONTH($D65,0))</f>
        <v/>
      </c>
    </row>
    <row r="66">
      <c r="A66" s="24">
        <f>IF($B$6="","",$A$6)</f>
        <v/>
      </c>
      <c r="B66" s="9">
        <f>IF($B$6="","",$B$6)</f>
        <v/>
      </c>
      <c r="C66" s="24">
        <f>IF($B$6="","",21)</f>
        <v/>
      </c>
      <c r="D66" s="30">
        <f>IF(OR($B$6="",21&gt;$H$6),"",EDATE($J$6,20))</f>
        <v/>
      </c>
      <c r="E66" s="18">
        <f>IF(OR($B$6="",21&gt;$H$6),"",IF($I$6="SAC",ROUND($E$6/$H$6+$F66,2),ROUND(($E$6*$G$6*(1+$G$6)^$H$6/((1+$G$6)^$H$6-1)),2)))</f>
        <v/>
      </c>
      <c r="F66" s="18">
        <f>IF(OR($B$6="",21&gt;$H$6),"",ROUND($H65*$G$6,2))</f>
        <v/>
      </c>
      <c r="G66" s="18">
        <f>IF(OR($B$6="",21&gt;$H$6),"",IF($I$6="SAC",ROUND($E$6/$H$6,2),ROUND($E66-$F66,2)))</f>
        <v/>
      </c>
      <c r="H66" s="18">
        <f>IF(OR($B$6="",21&gt;$H$6),"",ROUND(MAX(0,$H65-$G66),2))</f>
        <v/>
      </c>
      <c r="I66" s="17">
        <f>IF(OR($B$6="",21&gt;$H$6),"",IF($D66&lt;=TODAY(),"Vencida","A vencer"))</f>
        <v/>
      </c>
      <c r="J66" s="30">
        <f>IF($D66="","",EOMONTH($D66,0))</f>
        <v/>
      </c>
    </row>
    <row r="67">
      <c r="A67" s="24">
        <f>IF($B$6="","",$A$6)</f>
        <v/>
      </c>
      <c r="B67" s="9">
        <f>IF($B$6="","",$B$6)</f>
        <v/>
      </c>
      <c r="C67" s="24">
        <f>IF($B$6="","",22)</f>
        <v/>
      </c>
      <c r="D67" s="30">
        <f>IF(OR($B$6="",22&gt;$H$6),"",EDATE($J$6,21))</f>
        <v/>
      </c>
      <c r="E67" s="18">
        <f>IF(OR($B$6="",22&gt;$H$6),"",IF($I$6="SAC",ROUND($E$6/$H$6+$F67,2),ROUND(($E$6*$G$6*(1+$G$6)^$H$6/((1+$G$6)^$H$6-1)),2)))</f>
        <v/>
      </c>
      <c r="F67" s="18">
        <f>IF(OR($B$6="",22&gt;$H$6),"",ROUND($H66*$G$6,2))</f>
        <v/>
      </c>
      <c r="G67" s="18">
        <f>IF(OR($B$6="",22&gt;$H$6),"",IF($I$6="SAC",ROUND($E$6/$H$6,2),ROUND($E67-$F67,2)))</f>
        <v/>
      </c>
      <c r="H67" s="18">
        <f>IF(OR($B$6="",22&gt;$H$6),"",ROUND(MAX(0,$H66-$G67),2))</f>
        <v/>
      </c>
      <c r="I67" s="17">
        <f>IF(OR($B$6="",22&gt;$H$6),"",IF($D67&lt;=TODAY(),"Vencida","A vencer"))</f>
        <v/>
      </c>
      <c r="J67" s="30">
        <f>IF($D67="","",EOMONTH($D67,0))</f>
        <v/>
      </c>
    </row>
    <row r="68">
      <c r="A68" s="24">
        <f>IF($B$6="","",$A$6)</f>
        <v/>
      </c>
      <c r="B68" s="9">
        <f>IF($B$6="","",$B$6)</f>
        <v/>
      </c>
      <c r="C68" s="24">
        <f>IF($B$6="","",23)</f>
        <v/>
      </c>
      <c r="D68" s="30">
        <f>IF(OR($B$6="",23&gt;$H$6),"",EDATE($J$6,22))</f>
        <v/>
      </c>
      <c r="E68" s="18">
        <f>IF(OR($B$6="",23&gt;$H$6),"",IF($I$6="SAC",ROUND($E$6/$H$6+$F68,2),ROUND(($E$6*$G$6*(1+$G$6)^$H$6/((1+$G$6)^$H$6-1)),2)))</f>
        <v/>
      </c>
      <c r="F68" s="18">
        <f>IF(OR($B$6="",23&gt;$H$6),"",ROUND($H67*$G$6,2))</f>
        <v/>
      </c>
      <c r="G68" s="18">
        <f>IF(OR($B$6="",23&gt;$H$6),"",IF($I$6="SAC",ROUND($E$6/$H$6,2),ROUND($E68-$F68,2)))</f>
        <v/>
      </c>
      <c r="H68" s="18">
        <f>IF(OR($B$6="",23&gt;$H$6),"",ROUND(MAX(0,$H67-$G68),2))</f>
        <v/>
      </c>
      <c r="I68" s="17">
        <f>IF(OR($B$6="",23&gt;$H$6),"",IF($D68&lt;=TODAY(),"Vencida","A vencer"))</f>
        <v/>
      </c>
      <c r="J68" s="30">
        <f>IF($D68="","",EOMONTH($D68,0))</f>
        <v/>
      </c>
    </row>
    <row r="69">
      <c r="A69" s="24">
        <f>IF($B$6="","",$A$6)</f>
        <v/>
      </c>
      <c r="B69" s="9">
        <f>IF($B$6="","",$B$6)</f>
        <v/>
      </c>
      <c r="C69" s="24">
        <f>IF($B$6="","",24)</f>
        <v/>
      </c>
      <c r="D69" s="30">
        <f>IF(OR($B$6="",24&gt;$H$6),"",EDATE($J$6,23))</f>
        <v/>
      </c>
      <c r="E69" s="18">
        <f>IF(OR($B$6="",24&gt;$H$6),"",IF($I$6="SAC",ROUND($E$6/$H$6+$F69,2),ROUND(($E$6*$G$6*(1+$G$6)^$H$6/((1+$G$6)^$H$6-1)),2)))</f>
        <v/>
      </c>
      <c r="F69" s="18">
        <f>IF(OR($B$6="",24&gt;$H$6),"",ROUND($H68*$G$6,2))</f>
        <v/>
      </c>
      <c r="G69" s="18">
        <f>IF(OR($B$6="",24&gt;$H$6),"",IF($I$6="SAC",ROUND($E$6/$H$6,2),ROUND($E69-$F69,2)))</f>
        <v/>
      </c>
      <c r="H69" s="18">
        <f>IF(OR($B$6="",24&gt;$H$6),"",ROUND(MAX(0,$H68-$G69),2))</f>
        <v/>
      </c>
      <c r="I69" s="17">
        <f>IF(OR($B$6="",24&gt;$H$6),"",IF($D69&lt;=TODAY(),"Vencida","A vencer"))</f>
        <v/>
      </c>
      <c r="J69" s="30">
        <f>IF($D69="","",EOMONTH($D69,0))</f>
        <v/>
      </c>
    </row>
    <row r="70">
      <c r="A70" s="24">
        <f>IF($B$6="","",$A$6)</f>
        <v/>
      </c>
      <c r="B70" s="9">
        <f>IF($B$6="","",$B$6)</f>
        <v/>
      </c>
      <c r="C70" s="24">
        <f>IF($B$6="","",25)</f>
        <v/>
      </c>
      <c r="D70" s="30">
        <f>IF(OR($B$6="",25&gt;$H$6),"",EDATE($J$6,24))</f>
        <v/>
      </c>
      <c r="E70" s="18">
        <f>IF(OR($B$6="",25&gt;$H$6),"",IF($I$6="SAC",ROUND($E$6/$H$6+$F70,2),ROUND(($E$6*$G$6*(1+$G$6)^$H$6/((1+$G$6)^$H$6-1)),2)))</f>
        <v/>
      </c>
      <c r="F70" s="18">
        <f>IF(OR($B$6="",25&gt;$H$6),"",ROUND($H69*$G$6,2))</f>
        <v/>
      </c>
      <c r="G70" s="18">
        <f>IF(OR($B$6="",25&gt;$H$6),"",IF($I$6="SAC",ROUND($E$6/$H$6,2),ROUND($E70-$F70,2)))</f>
        <v/>
      </c>
      <c r="H70" s="18">
        <f>IF(OR($B$6="",25&gt;$H$6),"",ROUND(MAX(0,$H69-$G70),2))</f>
        <v/>
      </c>
      <c r="I70" s="17">
        <f>IF(OR($B$6="",25&gt;$H$6),"",IF($D70&lt;=TODAY(),"Vencida","A vencer"))</f>
        <v/>
      </c>
      <c r="J70" s="30">
        <f>IF($D70="","",EOMONTH($D70,0))</f>
        <v/>
      </c>
    </row>
    <row r="71">
      <c r="A71" s="24">
        <f>IF($B$6="","",$A$6)</f>
        <v/>
      </c>
      <c r="B71" s="9">
        <f>IF($B$6="","",$B$6)</f>
        <v/>
      </c>
      <c r="C71" s="24">
        <f>IF($B$6="","",26)</f>
        <v/>
      </c>
      <c r="D71" s="30">
        <f>IF(OR($B$6="",26&gt;$H$6),"",EDATE($J$6,25))</f>
        <v/>
      </c>
      <c r="E71" s="18">
        <f>IF(OR($B$6="",26&gt;$H$6),"",IF($I$6="SAC",ROUND($E$6/$H$6+$F71,2),ROUND(($E$6*$G$6*(1+$G$6)^$H$6/((1+$G$6)^$H$6-1)),2)))</f>
        <v/>
      </c>
      <c r="F71" s="18">
        <f>IF(OR($B$6="",26&gt;$H$6),"",ROUND($H70*$G$6,2))</f>
        <v/>
      </c>
      <c r="G71" s="18">
        <f>IF(OR($B$6="",26&gt;$H$6),"",IF($I$6="SAC",ROUND($E$6/$H$6,2),ROUND($E71-$F71,2)))</f>
        <v/>
      </c>
      <c r="H71" s="18">
        <f>IF(OR($B$6="",26&gt;$H$6),"",ROUND(MAX(0,$H70-$G71),2))</f>
        <v/>
      </c>
      <c r="I71" s="17">
        <f>IF(OR($B$6="",26&gt;$H$6),"",IF($D71&lt;=TODAY(),"Vencida","A vencer"))</f>
        <v/>
      </c>
      <c r="J71" s="30">
        <f>IF($D71="","",EOMONTH($D71,0))</f>
        <v/>
      </c>
    </row>
    <row r="72">
      <c r="A72" s="24">
        <f>IF($B$6="","",$A$6)</f>
        <v/>
      </c>
      <c r="B72" s="9">
        <f>IF($B$6="","",$B$6)</f>
        <v/>
      </c>
      <c r="C72" s="24">
        <f>IF($B$6="","",27)</f>
        <v/>
      </c>
      <c r="D72" s="30">
        <f>IF(OR($B$6="",27&gt;$H$6),"",EDATE($J$6,26))</f>
        <v/>
      </c>
      <c r="E72" s="18">
        <f>IF(OR($B$6="",27&gt;$H$6),"",IF($I$6="SAC",ROUND($E$6/$H$6+$F72,2),ROUND(($E$6*$G$6*(1+$G$6)^$H$6/((1+$G$6)^$H$6-1)),2)))</f>
        <v/>
      </c>
      <c r="F72" s="18">
        <f>IF(OR($B$6="",27&gt;$H$6),"",ROUND($H71*$G$6,2))</f>
        <v/>
      </c>
      <c r="G72" s="18">
        <f>IF(OR($B$6="",27&gt;$H$6),"",IF($I$6="SAC",ROUND($E$6/$H$6,2),ROUND($E72-$F72,2)))</f>
        <v/>
      </c>
      <c r="H72" s="18">
        <f>IF(OR($B$6="",27&gt;$H$6),"",ROUND(MAX(0,$H71-$G72),2))</f>
        <v/>
      </c>
      <c r="I72" s="17">
        <f>IF(OR($B$6="",27&gt;$H$6),"",IF($D72&lt;=TODAY(),"Vencida","A vencer"))</f>
        <v/>
      </c>
      <c r="J72" s="30">
        <f>IF($D72="","",EOMONTH($D72,0))</f>
        <v/>
      </c>
    </row>
    <row r="73">
      <c r="A73" s="24">
        <f>IF($B$6="","",$A$6)</f>
        <v/>
      </c>
      <c r="B73" s="9">
        <f>IF($B$6="","",$B$6)</f>
        <v/>
      </c>
      <c r="C73" s="24">
        <f>IF($B$6="","",28)</f>
        <v/>
      </c>
      <c r="D73" s="30">
        <f>IF(OR($B$6="",28&gt;$H$6),"",EDATE($J$6,27))</f>
        <v/>
      </c>
      <c r="E73" s="18">
        <f>IF(OR($B$6="",28&gt;$H$6),"",IF($I$6="SAC",ROUND($E$6/$H$6+$F73,2),ROUND(($E$6*$G$6*(1+$G$6)^$H$6/((1+$G$6)^$H$6-1)),2)))</f>
        <v/>
      </c>
      <c r="F73" s="18">
        <f>IF(OR($B$6="",28&gt;$H$6),"",ROUND($H72*$G$6,2))</f>
        <v/>
      </c>
      <c r="G73" s="18">
        <f>IF(OR($B$6="",28&gt;$H$6),"",IF($I$6="SAC",ROUND($E$6/$H$6,2),ROUND($E73-$F73,2)))</f>
        <v/>
      </c>
      <c r="H73" s="18">
        <f>IF(OR($B$6="",28&gt;$H$6),"",ROUND(MAX(0,$H72-$G73),2))</f>
        <v/>
      </c>
      <c r="I73" s="17">
        <f>IF(OR($B$6="",28&gt;$H$6),"",IF($D73&lt;=TODAY(),"Vencida","A vencer"))</f>
        <v/>
      </c>
      <c r="J73" s="30">
        <f>IF($D73="","",EOMONTH($D73,0))</f>
        <v/>
      </c>
    </row>
    <row r="74">
      <c r="A74" s="24">
        <f>IF($B$6="","",$A$6)</f>
        <v/>
      </c>
      <c r="B74" s="9">
        <f>IF($B$6="","",$B$6)</f>
        <v/>
      </c>
      <c r="C74" s="24">
        <f>IF($B$6="","",29)</f>
        <v/>
      </c>
      <c r="D74" s="30">
        <f>IF(OR($B$6="",29&gt;$H$6),"",EDATE($J$6,28))</f>
        <v/>
      </c>
      <c r="E74" s="18">
        <f>IF(OR($B$6="",29&gt;$H$6),"",IF($I$6="SAC",ROUND($E$6/$H$6+$F74,2),ROUND(($E$6*$G$6*(1+$G$6)^$H$6/((1+$G$6)^$H$6-1)),2)))</f>
        <v/>
      </c>
      <c r="F74" s="18">
        <f>IF(OR($B$6="",29&gt;$H$6),"",ROUND($H73*$G$6,2))</f>
        <v/>
      </c>
      <c r="G74" s="18">
        <f>IF(OR($B$6="",29&gt;$H$6),"",IF($I$6="SAC",ROUND($E$6/$H$6,2),ROUND($E74-$F74,2)))</f>
        <v/>
      </c>
      <c r="H74" s="18">
        <f>IF(OR($B$6="",29&gt;$H$6),"",ROUND(MAX(0,$H73-$G74),2))</f>
        <v/>
      </c>
      <c r="I74" s="17">
        <f>IF(OR($B$6="",29&gt;$H$6),"",IF($D74&lt;=TODAY(),"Vencida","A vencer"))</f>
        <v/>
      </c>
      <c r="J74" s="30">
        <f>IF($D74="","",EOMONTH($D74,0))</f>
        <v/>
      </c>
    </row>
    <row r="75">
      <c r="A75" s="24">
        <f>IF($B$6="","",$A$6)</f>
        <v/>
      </c>
      <c r="B75" s="9">
        <f>IF($B$6="","",$B$6)</f>
        <v/>
      </c>
      <c r="C75" s="24">
        <f>IF($B$6="","",30)</f>
        <v/>
      </c>
      <c r="D75" s="30">
        <f>IF(OR($B$6="",30&gt;$H$6),"",EDATE($J$6,29))</f>
        <v/>
      </c>
      <c r="E75" s="18">
        <f>IF(OR($B$6="",30&gt;$H$6),"",IF($I$6="SAC",ROUND($E$6/$H$6+$F75,2),ROUND(($E$6*$G$6*(1+$G$6)^$H$6/((1+$G$6)^$H$6-1)),2)))</f>
        <v/>
      </c>
      <c r="F75" s="18">
        <f>IF(OR($B$6="",30&gt;$H$6),"",ROUND($H74*$G$6,2))</f>
        <v/>
      </c>
      <c r="G75" s="18">
        <f>IF(OR($B$6="",30&gt;$H$6),"",IF($I$6="SAC",ROUND($E$6/$H$6,2),ROUND($E75-$F75,2)))</f>
        <v/>
      </c>
      <c r="H75" s="18">
        <f>IF(OR($B$6="",30&gt;$H$6),"",ROUND(MAX(0,$H74-$G75),2))</f>
        <v/>
      </c>
      <c r="I75" s="17">
        <f>IF(OR($B$6="",30&gt;$H$6),"",IF($D75&lt;=TODAY(),"Vencida","A vencer"))</f>
        <v/>
      </c>
      <c r="J75" s="30">
        <f>IF($D75="","",EOMONTH($D75,0))</f>
        <v/>
      </c>
    </row>
    <row r="76">
      <c r="A76" s="24">
        <f>IF($B$6="","",$A$6)</f>
        <v/>
      </c>
      <c r="B76" s="9">
        <f>IF($B$6="","",$B$6)</f>
        <v/>
      </c>
      <c r="C76" s="24">
        <f>IF($B$6="","",31)</f>
        <v/>
      </c>
      <c r="D76" s="30">
        <f>IF(OR($B$6="",31&gt;$H$6),"",EDATE($J$6,30))</f>
        <v/>
      </c>
      <c r="E76" s="18">
        <f>IF(OR($B$6="",31&gt;$H$6),"",IF($I$6="SAC",ROUND($E$6/$H$6+$F76,2),ROUND(($E$6*$G$6*(1+$G$6)^$H$6/((1+$G$6)^$H$6-1)),2)))</f>
        <v/>
      </c>
      <c r="F76" s="18">
        <f>IF(OR($B$6="",31&gt;$H$6),"",ROUND($H75*$G$6,2))</f>
        <v/>
      </c>
      <c r="G76" s="18">
        <f>IF(OR($B$6="",31&gt;$H$6),"",IF($I$6="SAC",ROUND($E$6/$H$6,2),ROUND($E76-$F76,2)))</f>
        <v/>
      </c>
      <c r="H76" s="18">
        <f>IF(OR($B$6="",31&gt;$H$6),"",ROUND(MAX(0,$H75-$G76),2))</f>
        <v/>
      </c>
      <c r="I76" s="17">
        <f>IF(OR($B$6="",31&gt;$H$6),"",IF($D76&lt;=TODAY(),"Vencida","A vencer"))</f>
        <v/>
      </c>
      <c r="J76" s="30">
        <f>IF($D76="","",EOMONTH($D76,0))</f>
        <v/>
      </c>
    </row>
    <row r="77">
      <c r="A77" s="24">
        <f>IF($B$6="","",$A$6)</f>
        <v/>
      </c>
      <c r="B77" s="9">
        <f>IF($B$6="","",$B$6)</f>
        <v/>
      </c>
      <c r="C77" s="24">
        <f>IF($B$6="","",32)</f>
        <v/>
      </c>
      <c r="D77" s="30">
        <f>IF(OR($B$6="",32&gt;$H$6),"",EDATE($J$6,31))</f>
        <v/>
      </c>
      <c r="E77" s="18">
        <f>IF(OR($B$6="",32&gt;$H$6),"",IF($I$6="SAC",ROUND($E$6/$H$6+$F77,2),ROUND(($E$6*$G$6*(1+$G$6)^$H$6/((1+$G$6)^$H$6-1)),2)))</f>
        <v/>
      </c>
      <c r="F77" s="18">
        <f>IF(OR($B$6="",32&gt;$H$6),"",ROUND($H76*$G$6,2))</f>
        <v/>
      </c>
      <c r="G77" s="18">
        <f>IF(OR($B$6="",32&gt;$H$6),"",IF($I$6="SAC",ROUND($E$6/$H$6,2),ROUND($E77-$F77,2)))</f>
        <v/>
      </c>
      <c r="H77" s="18">
        <f>IF(OR($B$6="",32&gt;$H$6),"",ROUND(MAX(0,$H76-$G77),2))</f>
        <v/>
      </c>
      <c r="I77" s="17">
        <f>IF(OR($B$6="",32&gt;$H$6),"",IF($D77&lt;=TODAY(),"Vencida","A vencer"))</f>
        <v/>
      </c>
      <c r="J77" s="30">
        <f>IF($D77="","",EOMONTH($D77,0))</f>
        <v/>
      </c>
    </row>
    <row r="78">
      <c r="A78" s="24">
        <f>IF($B$6="","",$A$6)</f>
        <v/>
      </c>
      <c r="B78" s="9">
        <f>IF($B$6="","",$B$6)</f>
        <v/>
      </c>
      <c r="C78" s="24">
        <f>IF($B$6="","",33)</f>
        <v/>
      </c>
      <c r="D78" s="30">
        <f>IF(OR($B$6="",33&gt;$H$6),"",EDATE($J$6,32))</f>
        <v/>
      </c>
      <c r="E78" s="18">
        <f>IF(OR($B$6="",33&gt;$H$6),"",IF($I$6="SAC",ROUND($E$6/$H$6+$F78,2),ROUND(($E$6*$G$6*(1+$G$6)^$H$6/((1+$G$6)^$H$6-1)),2)))</f>
        <v/>
      </c>
      <c r="F78" s="18">
        <f>IF(OR($B$6="",33&gt;$H$6),"",ROUND($H77*$G$6,2))</f>
        <v/>
      </c>
      <c r="G78" s="18">
        <f>IF(OR($B$6="",33&gt;$H$6),"",IF($I$6="SAC",ROUND($E$6/$H$6,2),ROUND($E78-$F78,2)))</f>
        <v/>
      </c>
      <c r="H78" s="18">
        <f>IF(OR($B$6="",33&gt;$H$6),"",ROUND(MAX(0,$H77-$G78),2))</f>
        <v/>
      </c>
      <c r="I78" s="17">
        <f>IF(OR($B$6="",33&gt;$H$6),"",IF($D78&lt;=TODAY(),"Vencida","A vencer"))</f>
        <v/>
      </c>
      <c r="J78" s="30">
        <f>IF($D78="","",EOMONTH($D78,0))</f>
        <v/>
      </c>
    </row>
    <row r="79">
      <c r="A79" s="24">
        <f>IF($B$6="","",$A$6)</f>
        <v/>
      </c>
      <c r="B79" s="9">
        <f>IF($B$6="","",$B$6)</f>
        <v/>
      </c>
      <c r="C79" s="24">
        <f>IF($B$6="","",34)</f>
        <v/>
      </c>
      <c r="D79" s="30">
        <f>IF(OR($B$6="",34&gt;$H$6),"",EDATE($J$6,33))</f>
        <v/>
      </c>
      <c r="E79" s="18">
        <f>IF(OR($B$6="",34&gt;$H$6),"",IF($I$6="SAC",ROUND($E$6/$H$6+$F79,2),ROUND(($E$6*$G$6*(1+$G$6)^$H$6/((1+$G$6)^$H$6-1)),2)))</f>
        <v/>
      </c>
      <c r="F79" s="18">
        <f>IF(OR($B$6="",34&gt;$H$6),"",ROUND($H78*$G$6,2))</f>
        <v/>
      </c>
      <c r="G79" s="18">
        <f>IF(OR($B$6="",34&gt;$H$6),"",IF($I$6="SAC",ROUND($E$6/$H$6,2),ROUND($E79-$F79,2)))</f>
        <v/>
      </c>
      <c r="H79" s="18">
        <f>IF(OR($B$6="",34&gt;$H$6),"",ROUND(MAX(0,$H78-$G79),2))</f>
        <v/>
      </c>
      <c r="I79" s="17">
        <f>IF(OR($B$6="",34&gt;$H$6),"",IF($D79&lt;=TODAY(),"Vencida","A vencer"))</f>
        <v/>
      </c>
      <c r="J79" s="30">
        <f>IF($D79="","",EOMONTH($D79,0))</f>
        <v/>
      </c>
    </row>
    <row r="80">
      <c r="A80" s="24">
        <f>IF($B$6="","",$A$6)</f>
        <v/>
      </c>
      <c r="B80" s="9">
        <f>IF($B$6="","",$B$6)</f>
        <v/>
      </c>
      <c r="C80" s="24">
        <f>IF($B$6="","",35)</f>
        <v/>
      </c>
      <c r="D80" s="30">
        <f>IF(OR($B$6="",35&gt;$H$6),"",EDATE($J$6,34))</f>
        <v/>
      </c>
      <c r="E80" s="18">
        <f>IF(OR($B$6="",35&gt;$H$6),"",IF($I$6="SAC",ROUND($E$6/$H$6+$F80,2),ROUND(($E$6*$G$6*(1+$G$6)^$H$6/((1+$G$6)^$H$6-1)),2)))</f>
        <v/>
      </c>
      <c r="F80" s="18">
        <f>IF(OR($B$6="",35&gt;$H$6),"",ROUND($H79*$G$6,2))</f>
        <v/>
      </c>
      <c r="G80" s="18">
        <f>IF(OR($B$6="",35&gt;$H$6),"",IF($I$6="SAC",ROUND($E$6/$H$6,2),ROUND($E80-$F80,2)))</f>
        <v/>
      </c>
      <c r="H80" s="18">
        <f>IF(OR($B$6="",35&gt;$H$6),"",ROUND(MAX(0,$H79-$G80),2))</f>
        <v/>
      </c>
      <c r="I80" s="17">
        <f>IF(OR($B$6="",35&gt;$H$6),"",IF($D80&lt;=TODAY(),"Vencida","A vencer"))</f>
        <v/>
      </c>
      <c r="J80" s="30">
        <f>IF($D80="","",EOMONTH($D80,0))</f>
        <v/>
      </c>
    </row>
    <row r="81">
      <c r="A81" s="24">
        <f>IF($B$6="","",$A$6)</f>
        <v/>
      </c>
      <c r="B81" s="9">
        <f>IF($B$6="","",$B$6)</f>
        <v/>
      </c>
      <c r="C81" s="24">
        <f>IF($B$6="","",36)</f>
        <v/>
      </c>
      <c r="D81" s="30">
        <f>IF(OR($B$6="",36&gt;$H$6),"",EDATE($J$6,35))</f>
        <v/>
      </c>
      <c r="E81" s="18">
        <f>IF(OR($B$6="",36&gt;$H$6),"",IF($I$6="SAC",ROUND($E$6/$H$6+$F81,2),ROUND(($E$6*$G$6*(1+$G$6)^$H$6/((1+$G$6)^$H$6-1)),2)))</f>
        <v/>
      </c>
      <c r="F81" s="18">
        <f>IF(OR($B$6="",36&gt;$H$6),"",ROUND($H80*$G$6,2))</f>
        <v/>
      </c>
      <c r="G81" s="18">
        <f>IF(OR($B$6="",36&gt;$H$6),"",IF($I$6="SAC",ROUND($E$6/$H$6,2),ROUND($E81-$F81,2)))</f>
        <v/>
      </c>
      <c r="H81" s="18">
        <f>IF(OR($B$6="",36&gt;$H$6),"",ROUND(MAX(0,$H80-$G81),2))</f>
        <v/>
      </c>
      <c r="I81" s="17">
        <f>IF(OR($B$6="",36&gt;$H$6),"",IF($D81&lt;=TODAY(),"Vencida","A vencer"))</f>
        <v/>
      </c>
      <c r="J81" s="30">
        <f>IF($D81="","",EOMONTH($D81,0))</f>
        <v/>
      </c>
    </row>
    <row r="82">
      <c r="A82" s="24">
        <f>IF($B$6="","",$A$6)</f>
        <v/>
      </c>
      <c r="B82" s="9">
        <f>IF($B$6="","",$B$6)</f>
        <v/>
      </c>
      <c r="C82" s="24">
        <f>IF($B$6="","",37)</f>
        <v/>
      </c>
      <c r="D82" s="30">
        <f>IF(OR($B$6="",37&gt;$H$6),"",EDATE($J$6,36))</f>
        <v/>
      </c>
      <c r="E82" s="18">
        <f>IF(OR($B$6="",37&gt;$H$6),"",IF($I$6="SAC",ROUND($E$6/$H$6+$F82,2),ROUND(($E$6*$G$6*(1+$G$6)^$H$6/((1+$G$6)^$H$6-1)),2)))</f>
        <v/>
      </c>
      <c r="F82" s="18">
        <f>IF(OR($B$6="",37&gt;$H$6),"",ROUND($H81*$G$6,2))</f>
        <v/>
      </c>
      <c r="G82" s="18">
        <f>IF(OR($B$6="",37&gt;$H$6),"",IF($I$6="SAC",ROUND($E$6/$H$6,2),ROUND($E82-$F82,2)))</f>
        <v/>
      </c>
      <c r="H82" s="18">
        <f>IF(OR($B$6="",37&gt;$H$6),"",ROUND(MAX(0,$H81-$G82),2))</f>
        <v/>
      </c>
      <c r="I82" s="17">
        <f>IF(OR($B$6="",37&gt;$H$6),"",IF($D82&lt;=TODAY(),"Vencida","A vencer"))</f>
        <v/>
      </c>
      <c r="J82" s="30">
        <f>IF($D82="","",EOMONTH($D82,0))</f>
        <v/>
      </c>
    </row>
    <row r="83">
      <c r="A83" s="24">
        <f>IF($B$6="","",$A$6)</f>
        <v/>
      </c>
      <c r="B83" s="9">
        <f>IF($B$6="","",$B$6)</f>
        <v/>
      </c>
      <c r="C83" s="24">
        <f>IF($B$6="","",38)</f>
        <v/>
      </c>
      <c r="D83" s="30">
        <f>IF(OR($B$6="",38&gt;$H$6),"",EDATE($J$6,37))</f>
        <v/>
      </c>
      <c r="E83" s="18">
        <f>IF(OR($B$6="",38&gt;$H$6),"",IF($I$6="SAC",ROUND($E$6/$H$6+$F83,2),ROUND(($E$6*$G$6*(1+$G$6)^$H$6/((1+$G$6)^$H$6-1)),2)))</f>
        <v/>
      </c>
      <c r="F83" s="18">
        <f>IF(OR($B$6="",38&gt;$H$6),"",ROUND($H82*$G$6,2))</f>
        <v/>
      </c>
      <c r="G83" s="18">
        <f>IF(OR($B$6="",38&gt;$H$6),"",IF($I$6="SAC",ROUND($E$6/$H$6,2),ROUND($E83-$F83,2)))</f>
        <v/>
      </c>
      <c r="H83" s="18">
        <f>IF(OR($B$6="",38&gt;$H$6),"",ROUND(MAX(0,$H82-$G83),2))</f>
        <v/>
      </c>
      <c r="I83" s="17">
        <f>IF(OR($B$6="",38&gt;$H$6),"",IF($D83&lt;=TODAY(),"Vencida","A vencer"))</f>
        <v/>
      </c>
      <c r="J83" s="30">
        <f>IF($D83="","",EOMONTH($D83,0))</f>
        <v/>
      </c>
    </row>
    <row r="84">
      <c r="A84" s="24">
        <f>IF($B$6="","",$A$6)</f>
        <v/>
      </c>
      <c r="B84" s="9">
        <f>IF($B$6="","",$B$6)</f>
        <v/>
      </c>
      <c r="C84" s="24">
        <f>IF($B$6="","",39)</f>
        <v/>
      </c>
      <c r="D84" s="30">
        <f>IF(OR($B$6="",39&gt;$H$6),"",EDATE($J$6,38))</f>
        <v/>
      </c>
      <c r="E84" s="18">
        <f>IF(OR($B$6="",39&gt;$H$6),"",IF($I$6="SAC",ROUND($E$6/$H$6+$F84,2),ROUND(($E$6*$G$6*(1+$G$6)^$H$6/((1+$G$6)^$H$6-1)),2)))</f>
        <v/>
      </c>
      <c r="F84" s="18">
        <f>IF(OR($B$6="",39&gt;$H$6),"",ROUND($H83*$G$6,2))</f>
        <v/>
      </c>
      <c r="G84" s="18">
        <f>IF(OR($B$6="",39&gt;$H$6),"",IF($I$6="SAC",ROUND($E$6/$H$6,2),ROUND($E84-$F84,2)))</f>
        <v/>
      </c>
      <c r="H84" s="18">
        <f>IF(OR($B$6="",39&gt;$H$6),"",ROUND(MAX(0,$H83-$G84),2))</f>
        <v/>
      </c>
      <c r="I84" s="17">
        <f>IF(OR($B$6="",39&gt;$H$6),"",IF($D84&lt;=TODAY(),"Vencida","A vencer"))</f>
        <v/>
      </c>
      <c r="J84" s="30">
        <f>IF($D84="","",EOMONTH($D84,0))</f>
        <v/>
      </c>
    </row>
    <row r="85">
      <c r="A85" s="24">
        <f>IF($B$6="","",$A$6)</f>
        <v/>
      </c>
      <c r="B85" s="9">
        <f>IF($B$6="","",$B$6)</f>
        <v/>
      </c>
      <c r="C85" s="24">
        <f>IF($B$6="","",40)</f>
        <v/>
      </c>
      <c r="D85" s="30">
        <f>IF(OR($B$6="",40&gt;$H$6),"",EDATE($J$6,39))</f>
        <v/>
      </c>
      <c r="E85" s="18">
        <f>IF(OR($B$6="",40&gt;$H$6),"",IF($I$6="SAC",ROUND($E$6/$H$6+$F85,2),ROUND(($E$6*$G$6*(1+$G$6)^$H$6/((1+$G$6)^$H$6-1)),2)))</f>
        <v/>
      </c>
      <c r="F85" s="18">
        <f>IF(OR($B$6="",40&gt;$H$6),"",ROUND($H84*$G$6,2))</f>
        <v/>
      </c>
      <c r="G85" s="18">
        <f>IF(OR($B$6="",40&gt;$H$6),"",IF($I$6="SAC",ROUND($E$6/$H$6,2),ROUND($E85-$F85,2)))</f>
        <v/>
      </c>
      <c r="H85" s="18">
        <f>IF(OR($B$6="",40&gt;$H$6),"",ROUND(MAX(0,$H84-$G85),2))</f>
        <v/>
      </c>
      <c r="I85" s="17">
        <f>IF(OR($B$6="",40&gt;$H$6),"",IF($D85&lt;=TODAY(),"Vencida","A vencer"))</f>
        <v/>
      </c>
      <c r="J85" s="30">
        <f>IF($D85="","",EOMONTH($D85,0))</f>
        <v/>
      </c>
    </row>
    <row r="86">
      <c r="A86" s="24">
        <f>IF($B$6="","",$A$6)</f>
        <v/>
      </c>
      <c r="B86" s="9">
        <f>IF($B$6="","",$B$6)</f>
        <v/>
      </c>
      <c r="C86" s="24">
        <f>IF($B$6="","",41)</f>
        <v/>
      </c>
      <c r="D86" s="30">
        <f>IF(OR($B$6="",41&gt;$H$6),"",EDATE($J$6,40))</f>
        <v/>
      </c>
      <c r="E86" s="18">
        <f>IF(OR($B$6="",41&gt;$H$6),"",IF($I$6="SAC",ROUND($E$6/$H$6+$F86,2),ROUND(($E$6*$G$6*(1+$G$6)^$H$6/((1+$G$6)^$H$6-1)),2)))</f>
        <v/>
      </c>
      <c r="F86" s="18">
        <f>IF(OR($B$6="",41&gt;$H$6),"",ROUND($H85*$G$6,2))</f>
        <v/>
      </c>
      <c r="G86" s="18">
        <f>IF(OR($B$6="",41&gt;$H$6),"",IF($I$6="SAC",ROUND($E$6/$H$6,2),ROUND($E86-$F86,2)))</f>
        <v/>
      </c>
      <c r="H86" s="18">
        <f>IF(OR($B$6="",41&gt;$H$6),"",ROUND(MAX(0,$H85-$G86),2))</f>
        <v/>
      </c>
      <c r="I86" s="17">
        <f>IF(OR($B$6="",41&gt;$H$6),"",IF($D86&lt;=TODAY(),"Vencida","A vencer"))</f>
        <v/>
      </c>
      <c r="J86" s="30">
        <f>IF($D86="","",EOMONTH($D86,0))</f>
        <v/>
      </c>
    </row>
    <row r="87">
      <c r="A87" s="24">
        <f>IF($B$6="","",$A$6)</f>
        <v/>
      </c>
      <c r="B87" s="9">
        <f>IF($B$6="","",$B$6)</f>
        <v/>
      </c>
      <c r="C87" s="24">
        <f>IF($B$6="","",42)</f>
        <v/>
      </c>
      <c r="D87" s="30">
        <f>IF(OR($B$6="",42&gt;$H$6),"",EDATE($J$6,41))</f>
        <v/>
      </c>
      <c r="E87" s="18">
        <f>IF(OR($B$6="",42&gt;$H$6),"",IF($I$6="SAC",ROUND($E$6/$H$6+$F87,2),ROUND(($E$6*$G$6*(1+$G$6)^$H$6/((1+$G$6)^$H$6-1)),2)))</f>
        <v/>
      </c>
      <c r="F87" s="18">
        <f>IF(OR($B$6="",42&gt;$H$6),"",ROUND($H86*$G$6,2))</f>
        <v/>
      </c>
      <c r="G87" s="18">
        <f>IF(OR($B$6="",42&gt;$H$6),"",IF($I$6="SAC",ROUND($E$6/$H$6,2),ROUND($E87-$F87,2)))</f>
        <v/>
      </c>
      <c r="H87" s="18">
        <f>IF(OR($B$6="",42&gt;$H$6),"",ROUND(MAX(0,$H86-$G87),2))</f>
        <v/>
      </c>
      <c r="I87" s="17">
        <f>IF(OR($B$6="",42&gt;$H$6),"",IF($D87&lt;=TODAY(),"Vencida","A vencer"))</f>
        <v/>
      </c>
      <c r="J87" s="30">
        <f>IF($D87="","",EOMONTH($D87,0))</f>
        <v/>
      </c>
    </row>
    <row r="88">
      <c r="A88" s="24">
        <f>IF($B$6="","",$A$6)</f>
        <v/>
      </c>
      <c r="B88" s="9">
        <f>IF($B$6="","",$B$6)</f>
        <v/>
      </c>
      <c r="C88" s="24">
        <f>IF($B$6="","",43)</f>
        <v/>
      </c>
      <c r="D88" s="30">
        <f>IF(OR($B$6="",43&gt;$H$6),"",EDATE($J$6,42))</f>
        <v/>
      </c>
      <c r="E88" s="18">
        <f>IF(OR($B$6="",43&gt;$H$6),"",IF($I$6="SAC",ROUND($E$6/$H$6+$F88,2),ROUND(($E$6*$G$6*(1+$G$6)^$H$6/((1+$G$6)^$H$6-1)),2)))</f>
        <v/>
      </c>
      <c r="F88" s="18">
        <f>IF(OR($B$6="",43&gt;$H$6),"",ROUND($H87*$G$6,2))</f>
        <v/>
      </c>
      <c r="G88" s="18">
        <f>IF(OR($B$6="",43&gt;$H$6),"",IF($I$6="SAC",ROUND($E$6/$H$6,2),ROUND($E88-$F88,2)))</f>
        <v/>
      </c>
      <c r="H88" s="18">
        <f>IF(OR($B$6="",43&gt;$H$6),"",ROUND(MAX(0,$H87-$G88),2))</f>
        <v/>
      </c>
      <c r="I88" s="17">
        <f>IF(OR($B$6="",43&gt;$H$6),"",IF($D88&lt;=TODAY(),"Vencida","A vencer"))</f>
        <v/>
      </c>
      <c r="J88" s="30">
        <f>IF($D88="","",EOMONTH($D88,0))</f>
        <v/>
      </c>
    </row>
    <row r="89">
      <c r="A89" s="24">
        <f>IF($B$6="","",$A$6)</f>
        <v/>
      </c>
      <c r="B89" s="9">
        <f>IF($B$6="","",$B$6)</f>
        <v/>
      </c>
      <c r="C89" s="24">
        <f>IF($B$6="","",44)</f>
        <v/>
      </c>
      <c r="D89" s="30">
        <f>IF(OR($B$6="",44&gt;$H$6),"",EDATE($J$6,43))</f>
        <v/>
      </c>
      <c r="E89" s="18">
        <f>IF(OR($B$6="",44&gt;$H$6),"",IF($I$6="SAC",ROUND($E$6/$H$6+$F89,2),ROUND(($E$6*$G$6*(1+$G$6)^$H$6/((1+$G$6)^$H$6-1)),2)))</f>
        <v/>
      </c>
      <c r="F89" s="18">
        <f>IF(OR($B$6="",44&gt;$H$6),"",ROUND($H88*$G$6,2))</f>
        <v/>
      </c>
      <c r="G89" s="18">
        <f>IF(OR($B$6="",44&gt;$H$6),"",IF($I$6="SAC",ROUND($E$6/$H$6,2),ROUND($E89-$F89,2)))</f>
        <v/>
      </c>
      <c r="H89" s="18">
        <f>IF(OR($B$6="",44&gt;$H$6),"",ROUND(MAX(0,$H88-$G89),2))</f>
        <v/>
      </c>
      <c r="I89" s="17">
        <f>IF(OR($B$6="",44&gt;$H$6),"",IF($D89&lt;=TODAY(),"Vencida","A vencer"))</f>
        <v/>
      </c>
      <c r="J89" s="30">
        <f>IF($D89="","",EOMONTH($D89,0))</f>
        <v/>
      </c>
    </row>
    <row r="90">
      <c r="A90" s="24">
        <f>IF($B$6="","",$A$6)</f>
        <v/>
      </c>
      <c r="B90" s="9">
        <f>IF($B$6="","",$B$6)</f>
        <v/>
      </c>
      <c r="C90" s="24">
        <f>IF($B$6="","",45)</f>
        <v/>
      </c>
      <c r="D90" s="30">
        <f>IF(OR($B$6="",45&gt;$H$6),"",EDATE($J$6,44))</f>
        <v/>
      </c>
      <c r="E90" s="18">
        <f>IF(OR($B$6="",45&gt;$H$6),"",IF($I$6="SAC",ROUND($E$6/$H$6+$F90,2),ROUND(($E$6*$G$6*(1+$G$6)^$H$6/((1+$G$6)^$H$6-1)),2)))</f>
        <v/>
      </c>
      <c r="F90" s="18">
        <f>IF(OR($B$6="",45&gt;$H$6),"",ROUND($H89*$G$6,2))</f>
        <v/>
      </c>
      <c r="G90" s="18">
        <f>IF(OR($B$6="",45&gt;$H$6),"",IF($I$6="SAC",ROUND($E$6/$H$6,2),ROUND($E90-$F90,2)))</f>
        <v/>
      </c>
      <c r="H90" s="18">
        <f>IF(OR($B$6="",45&gt;$H$6),"",ROUND(MAX(0,$H89-$G90),2))</f>
        <v/>
      </c>
      <c r="I90" s="17">
        <f>IF(OR($B$6="",45&gt;$H$6),"",IF($D90&lt;=TODAY(),"Vencida","A vencer"))</f>
        <v/>
      </c>
      <c r="J90" s="30">
        <f>IF($D90="","",EOMONTH($D90,0))</f>
        <v/>
      </c>
    </row>
    <row r="91">
      <c r="A91" s="24">
        <f>IF($B$6="","",$A$6)</f>
        <v/>
      </c>
      <c r="B91" s="9">
        <f>IF($B$6="","",$B$6)</f>
        <v/>
      </c>
      <c r="C91" s="24">
        <f>IF($B$6="","",46)</f>
        <v/>
      </c>
      <c r="D91" s="30">
        <f>IF(OR($B$6="",46&gt;$H$6),"",EDATE($J$6,45))</f>
        <v/>
      </c>
      <c r="E91" s="18">
        <f>IF(OR($B$6="",46&gt;$H$6),"",IF($I$6="SAC",ROUND($E$6/$H$6+$F91,2),ROUND(($E$6*$G$6*(1+$G$6)^$H$6/((1+$G$6)^$H$6-1)),2)))</f>
        <v/>
      </c>
      <c r="F91" s="18">
        <f>IF(OR($B$6="",46&gt;$H$6),"",ROUND($H90*$G$6,2))</f>
        <v/>
      </c>
      <c r="G91" s="18">
        <f>IF(OR($B$6="",46&gt;$H$6),"",IF($I$6="SAC",ROUND($E$6/$H$6,2),ROUND($E91-$F91,2)))</f>
        <v/>
      </c>
      <c r="H91" s="18">
        <f>IF(OR($B$6="",46&gt;$H$6),"",ROUND(MAX(0,$H90-$G91),2))</f>
        <v/>
      </c>
      <c r="I91" s="17">
        <f>IF(OR($B$6="",46&gt;$H$6),"",IF($D91&lt;=TODAY(),"Vencida","A vencer"))</f>
        <v/>
      </c>
      <c r="J91" s="30">
        <f>IF($D91="","",EOMONTH($D91,0))</f>
        <v/>
      </c>
    </row>
    <row r="92">
      <c r="A92" s="24">
        <f>IF($B$6="","",$A$6)</f>
        <v/>
      </c>
      <c r="B92" s="9">
        <f>IF($B$6="","",$B$6)</f>
        <v/>
      </c>
      <c r="C92" s="24">
        <f>IF($B$6="","",47)</f>
        <v/>
      </c>
      <c r="D92" s="30">
        <f>IF(OR($B$6="",47&gt;$H$6),"",EDATE($J$6,46))</f>
        <v/>
      </c>
      <c r="E92" s="18">
        <f>IF(OR($B$6="",47&gt;$H$6),"",IF($I$6="SAC",ROUND($E$6/$H$6+$F92,2),ROUND(($E$6*$G$6*(1+$G$6)^$H$6/((1+$G$6)^$H$6-1)),2)))</f>
        <v/>
      </c>
      <c r="F92" s="18">
        <f>IF(OR($B$6="",47&gt;$H$6),"",ROUND($H91*$G$6,2))</f>
        <v/>
      </c>
      <c r="G92" s="18">
        <f>IF(OR($B$6="",47&gt;$H$6),"",IF($I$6="SAC",ROUND($E$6/$H$6,2),ROUND($E92-$F92,2)))</f>
        <v/>
      </c>
      <c r="H92" s="18">
        <f>IF(OR($B$6="",47&gt;$H$6),"",ROUND(MAX(0,$H91-$G92),2))</f>
        <v/>
      </c>
      <c r="I92" s="17">
        <f>IF(OR($B$6="",47&gt;$H$6),"",IF($D92&lt;=TODAY(),"Vencida","A vencer"))</f>
        <v/>
      </c>
      <c r="J92" s="30">
        <f>IF($D92="","",EOMONTH($D92,0))</f>
        <v/>
      </c>
    </row>
    <row r="93">
      <c r="A93" s="24">
        <f>IF($B$6="","",$A$6)</f>
        <v/>
      </c>
      <c r="B93" s="9">
        <f>IF($B$6="","",$B$6)</f>
        <v/>
      </c>
      <c r="C93" s="24">
        <f>IF($B$6="","",48)</f>
        <v/>
      </c>
      <c r="D93" s="30">
        <f>IF(OR($B$6="",48&gt;$H$6),"",EDATE($J$6,47))</f>
        <v/>
      </c>
      <c r="E93" s="18">
        <f>IF(OR($B$6="",48&gt;$H$6),"",IF($I$6="SAC",ROUND($E$6/$H$6+$F93,2),ROUND(($E$6*$G$6*(1+$G$6)^$H$6/((1+$G$6)^$H$6-1)),2)))</f>
        <v/>
      </c>
      <c r="F93" s="18">
        <f>IF(OR($B$6="",48&gt;$H$6),"",ROUND($H92*$G$6,2))</f>
        <v/>
      </c>
      <c r="G93" s="18">
        <f>IF(OR($B$6="",48&gt;$H$6),"",IF($I$6="SAC",ROUND($E$6/$H$6,2),ROUND($E93-$F93,2)))</f>
        <v/>
      </c>
      <c r="H93" s="18">
        <f>IF(OR($B$6="",48&gt;$H$6),"",ROUND(MAX(0,$H92-$G93),2))</f>
        <v/>
      </c>
      <c r="I93" s="17">
        <f>IF(OR($B$6="",48&gt;$H$6),"",IF($D93&lt;=TODAY(),"Vencida","A vencer"))</f>
        <v/>
      </c>
      <c r="J93" s="30">
        <f>IF($D93="","",EOMONTH($D93,0))</f>
        <v/>
      </c>
    </row>
    <row r="94">
      <c r="A94" s="24">
        <f>IF($B$6="","",$A$6)</f>
        <v/>
      </c>
      <c r="B94" s="9">
        <f>IF($B$6="","",$B$6)</f>
        <v/>
      </c>
      <c r="C94" s="24">
        <f>IF($B$6="","",49)</f>
        <v/>
      </c>
      <c r="D94" s="30">
        <f>IF(OR($B$6="",49&gt;$H$6),"",EDATE($J$6,48))</f>
        <v/>
      </c>
      <c r="E94" s="18">
        <f>IF(OR($B$6="",49&gt;$H$6),"",IF($I$6="SAC",ROUND($E$6/$H$6+$F94,2),ROUND(($E$6*$G$6*(1+$G$6)^$H$6/((1+$G$6)^$H$6-1)),2)))</f>
        <v/>
      </c>
      <c r="F94" s="18">
        <f>IF(OR($B$6="",49&gt;$H$6),"",ROUND($H93*$G$6,2))</f>
        <v/>
      </c>
      <c r="G94" s="18">
        <f>IF(OR($B$6="",49&gt;$H$6),"",IF($I$6="SAC",ROUND($E$6/$H$6,2),ROUND($E94-$F94,2)))</f>
        <v/>
      </c>
      <c r="H94" s="18">
        <f>IF(OR($B$6="",49&gt;$H$6),"",ROUND(MAX(0,$H93-$G94),2))</f>
        <v/>
      </c>
      <c r="I94" s="17">
        <f>IF(OR($B$6="",49&gt;$H$6),"",IF($D94&lt;=TODAY(),"Vencida","A vencer"))</f>
        <v/>
      </c>
      <c r="J94" s="30">
        <f>IF($D94="","",EOMONTH($D94,0))</f>
        <v/>
      </c>
    </row>
    <row r="95">
      <c r="A95" s="24">
        <f>IF($B$6="","",$A$6)</f>
        <v/>
      </c>
      <c r="B95" s="9">
        <f>IF($B$6="","",$B$6)</f>
        <v/>
      </c>
      <c r="C95" s="24">
        <f>IF($B$6="","",50)</f>
        <v/>
      </c>
      <c r="D95" s="30">
        <f>IF(OR($B$6="",50&gt;$H$6),"",EDATE($J$6,49))</f>
        <v/>
      </c>
      <c r="E95" s="18">
        <f>IF(OR($B$6="",50&gt;$H$6),"",IF($I$6="SAC",ROUND($E$6/$H$6+$F95,2),ROUND(($E$6*$G$6*(1+$G$6)^$H$6/((1+$G$6)^$H$6-1)),2)))</f>
        <v/>
      </c>
      <c r="F95" s="18">
        <f>IF(OR($B$6="",50&gt;$H$6),"",ROUND($H94*$G$6,2))</f>
        <v/>
      </c>
      <c r="G95" s="18">
        <f>IF(OR($B$6="",50&gt;$H$6),"",IF($I$6="SAC",ROUND($E$6/$H$6,2),ROUND($E95-$F95,2)))</f>
        <v/>
      </c>
      <c r="H95" s="18">
        <f>IF(OR($B$6="",50&gt;$H$6),"",ROUND(MAX(0,$H94-$G95),2))</f>
        <v/>
      </c>
      <c r="I95" s="17">
        <f>IF(OR($B$6="",50&gt;$H$6),"",IF($D95&lt;=TODAY(),"Vencida","A vencer"))</f>
        <v/>
      </c>
      <c r="J95" s="30">
        <f>IF($D95="","",EOMONTH($D95,0))</f>
        <v/>
      </c>
    </row>
    <row r="96">
      <c r="A96" s="24">
        <f>IF($B$6="","",$A$6)</f>
        <v/>
      </c>
      <c r="B96" s="9">
        <f>IF($B$6="","",$B$6)</f>
        <v/>
      </c>
      <c r="C96" s="24">
        <f>IF($B$6="","",51)</f>
        <v/>
      </c>
      <c r="D96" s="30">
        <f>IF(OR($B$6="",51&gt;$H$6),"",EDATE($J$6,50))</f>
        <v/>
      </c>
      <c r="E96" s="18">
        <f>IF(OR($B$6="",51&gt;$H$6),"",IF($I$6="SAC",ROUND($E$6/$H$6+$F96,2),ROUND(($E$6*$G$6*(1+$G$6)^$H$6/((1+$G$6)^$H$6-1)),2)))</f>
        <v/>
      </c>
      <c r="F96" s="18">
        <f>IF(OR($B$6="",51&gt;$H$6),"",ROUND($H95*$G$6,2))</f>
        <v/>
      </c>
      <c r="G96" s="18">
        <f>IF(OR($B$6="",51&gt;$H$6),"",IF($I$6="SAC",ROUND($E$6/$H$6,2),ROUND($E96-$F96,2)))</f>
        <v/>
      </c>
      <c r="H96" s="18">
        <f>IF(OR($B$6="",51&gt;$H$6),"",ROUND(MAX(0,$H95-$G96),2))</f>
        <v/>
      </c>
      <c r="I96" s="17">
        <f>IF(OR($B$6="",51&gt;$H$6),"",IF($D96&lt;=TODAY(),"Vencida","A vencer"))</f>
        <v/>
      </c>
      <c r="J96" s="30">
        <f>IF($D96="","",EOMONTH($D96,0))</f>
        <v/>
      </c>
    </row>
    <row r="97">
      <c r="A97" s="24">
        <f>IF($B$6="","",$A$6)</f>
        <v/>
      </c>
      <c r="B97" s="9">
        <f>IF($B$6="","",$B$6)</f>
        <v/>
      </c>
      <c r="C97" s="24">
        <f>IF($B$6="","",52)</f>
        <v/>
      </c>
      <c r="D97" s="30">
        <f>IF(OR($B$6="",52&gt;$H$6),"",EDATE($J$6,51))</f>
        <v/>
      </c>
      <c r="E97" s="18">
        <f>IF(OR($B$6="",52&gt;$H$6),"",IF($I$6="SAC",ROUND($E$6/$H$6+$F97,2),ROUND(($E$6*$G$6*(1+$G$6)^$H$6/((1+$G$6)^$H$6-1)),2)))</f>
        <v/>
      </c>
      <c r="F97" s="18">
        <f>IF(OR($B$6="",52&gt;$H$6),"",ROUND($H96*$G$6,2))</f>
        <v/>
      </c>
      <c r="G97" s="18">
        <f>IF(OR($B$6="",52&gt;$H$6),"",IF($I$6="SAC",ROUND($E$6/$H$6,2),ROUND($E97-$F97,2)))</f>
        <v/>
      </c>
      <c r="H97" s="18">
        <f>IF(OR($B$6="",52&gt;$H$6),"",ROUND(MAX(0,$H96-$G97),2))</f>
        <v/>
      </c>
      <c r="I97" s="17">
        <f>IF(OR($B$6="",52&gt;$H$6),"",IF($D97&lt;=TODAY(),"Vencida","A vencer"))</f>
        <v/>
      </c>
      <c r="J97" s="30">
        <f>IF($D97="","",EOMONTH($D97,0))</f>
        <v/>
      </c>
    </row>
    <row r="98">
      <c r="A98" s="24">
        <f>IF($B$6="","",$A$6)</f>
        <v/>
      </c>
      <c r="B98" s="9">
        <f>IF($B$6="","",$B$6)</f>
        <v/>
      </c>
      <c r="C98" s="24">
        <f>IF($B$6="","",53)</f>
        <v/>
      </c>
      <c r="D98" s="30">
        <f>IF(OR($B$6="",53&gt;$H$6),"",EDATE($J$6,52))</f>
        <v/>
      </c>
      <c r="E98" s="18">
        <f>IF(OR($B$6="",53&gt;$H$6),"",IF($I$6="SAC",ROUND($E$6/$H$6+$F98,2),ROUND(($E$6*$G$6*(1+$G$6)^$H$6/((1+$G$6)^$H$6-1)),2)))</f>
        <v/>
      </c>
      <c r="F98" s="18">
        <f>IF(OR($B$6="",53&gt;$H$6),"",ROUND($H97*$G$6,2))</f>
        <v/>
      </c>
      <c r="G98" s="18">
        <f>IF(OR($B$6="",53&gt;$H$6),"",IF($I$6="SAC",ROUND($E$6/$H$6,2),ROUND($E98-$F98,2)))</f>
        <v/>
      </c>
      <c r="H98" s="18">
        <f>IF(OR($B$6="",53&gt;$H$6),"",ROUND(MAX(0,$H97-$G98),2))</f>
        <v/>
      </c>
      <c r="I98" s="17">
        <f>IF(OR($B$6="",53&gt;$H$6),"",IF($D98&lt;=TODAY(),"Vencida","A vencer"))</f>
        <v/>
      </c>
      <c r="J98" s="30">
        <f>IF($D98="","",EOMONTH($D98,0))</f>
        <v/>
      </c>
    </row>
    <row r="99">
      <c r="A99" s="24">
        <f>IF($B$6="","",$A$6)</f>
        <v/>
      </c>
      <c r="B99" s="9">
        <f>IF($B$6="","",$B$6)</f>
        <v/>
      </c>
      <c r="C99" s="24">
        <f>IF($B$6="","",54)</f>
        <v/>
      </c>
      <c r="D99" s="30">
        <f>IF(OR($B$6="",54&gt;$H$6),"",EDATE($J$6,53))</f>
        <v/>
      </c>
      <c r="E99" s="18">
        <f>IF(OR($B$6="",54&gt;$H$6),"",IF($I$6="SAC",ROUND($E$6/$H$6+$F99,2),ROUND(($E$6*$G$6*(1+$G$6)^$H$6/((1+$G$6)^$H$6-1)),2)))</f>
        <v/>
      </c>
      <c r="F99" s="18">
        <f>IF(OR($B$6="",54&gt;$H$6),"",ROUND($H98*$G$6,2))</f>
        <v/>
      </c>
      <c r="G99" s="18">
        <f>IF(OR($B$6="",54&gt;$H$6),"",IF($I$6="SAC",ROUND($E$6/$H$6,2),ROUND($E99-$F99,2)))</f>
        <v/>
      </c>
      <c r="H99" s="18">
        <f>IF(OR($B$6="",54&gt;$H$6),"",ROUND(MAX(0,$H98-$G99),2))</f>
        <v/>
      </c>
      <c r="I99" s="17">
        <f>IF(OR($B$6="",54&gt;$H$6),"",IF($D99&lt;=TODAY(),"Vencida","A vencer"))</f>
        <v/>
      </c>
      <c r="J99" s="30">
        <f>IF($D99="","",EOMONTH($D99,0))</f>
        <v/>
      </c>
    </row>
    <row r="100">
      <c r="A100" s="24">
        <f>IF($B$6="","",$A$6)</f>
        <v/>
      </c>
      <c r="B100" s="9">
        <f>IF($B$6="","",$B$6)</f>
        <v/>
      </c>
      <c r="C100" s="24">
        <f>IF($B$6="","",55)</f>
        <v/>
      </c>
      <c r="D100" s="30">
        <f>IF(OR($B$6="",55&gt;$H$6),"",EDATE($J$6,54))</f>
        <v/>
      </c>
      <c r="E100" s="18">
        <f>IF(OR($B$6="",55&gt;$H$6),"",IF($I$6="SAC",ROUND($E$6/$H$6+$F100,2),ROUND(($E$6*$G$6*(1+$G$6)^$H$6/((1+$G$6)^$H$6-1)),2)))</f>
        <v/>
      </c>
      <c r="F100" s="18">
        <f>IF(OR($B$6="",55&gt;$H$6),"",ROUND($H99*$G$6,2))</f>
        <v/>
      </c>
      <c r="G100" s="18">
        <f>IF(OR($B$6="",55&gt;$H$6),"",IF($I$6="SAC",ROUND($E$6/$H$6,2),ROUND($E100-$F100,2)))</f>
        <v/>
      </c>
      <c r="H100" s="18">
        <f>IF(OR($B$6="",55&gt;$H$6),"",ROUND(MAX(0,$H99-$G100),2))</f>
        <v/>
      </c>
      <c r="I100" s="17">
        <f>IF(OR($B$6="",55&gt;$H$6),"",IF($D100&lt;=TODAY(),"Vencida","A vencer"))</f>
        <v/>
      </c>
      <c r="J100" s="30">
        <f>IF($D100="","",EOMONTH($D100,0))</f>
        <v/>
      </c>
    </row>
    <row r="101">
      <c r="A101" s="24">
        <f>IF($B$6="","",$A$6)</f>
        <v/>
      </c>
      <c r="B101" s="9">
        <f>IF($B$6="","",$B$6)</f>
        <v/>
      </c>
      <c r="C101" s="24">
        <f>IF($B$6="","",56)</f>
        <v/>
      </c>
      <c r="D101" s="30">
        <f>IF(OR($B$6="",56&gt;$H$6),"",EDATE($J$6,55))</f>
        <v/>
      </c>
      <c r="E101" s="18">
        <f>IF(OR($B$6="",56&gt;$H$6),"",IF($I$6="SAC",ROUND($E$6/$H$6+$F101,2),ROUND(($E$6*$G$6*(1+$G$6)^$H$6/((1+$G$6)^$H$6-1)),2)))</f>
        <v/>
      </c>
      <c r="F101" s="18">
        <f>IF(OR($B$6="",56&gt;$H$6),"",ROUND($H100*$G$6,2))</f>
        <v/>
      </c>
      <c r="G101" s="18">
        <f>IF(OR($B$6="",56&gt;$H$6),"",IF($I$6="SAC",ROUND($E$6/$H$6,2),ROUND($E101-$F101,2)))</f>
        <v/>
      </c>
      <c r="H101" s="18">
        <f>IF(OR($B$6="",56&gt;$H$6),"",ROUND(MAX(0,$H100-$G101),2))</f>
        <v/>
      </c>
      <c r="I101" s="17">
        <f>IF(OR($B$6="",56&gt;$H$6),"",IF($D101&lt;=TODAY(),"Vencida","A vencer"))</f>
        <v/>
      </c>
      <c r="J101" s="30">
        <f>IF($D101="","",EOMONTH($D101,0))</f>
        <v/>
      </c>
    </row>
    <row r="102">
      <c r="A102" s="24">
        <f>IF($B$6="","",$A$6)</f>
        <v/>
      </c>
      <c r="B102" s="9">
        <f>IF($B$6="","",$B$6)</f>
        <v/>
      </c>
      <c r="C102" s="24">
        <f>IF($B$6="","",57)</f>
        <v/>
      </c>
      <c r="D102" s="30">
        <f>IF(OR($B$6="",57&gt;$H$6),"",EDATE($J$6,56))</f>
        <v/>
      </c>
      <c r="E102" s="18">
        <f>IF(OR($B$6="",57&gt;$H$6),"",IF($I$6="SAC",ROUND($E$6/$H$6+$F102,2),ROUND(($E$6*$G$6*(1+$G$6)^$H$6/((1+$G$6)^$H$6-1)),2)))</f>
        <v/>
      </c>
      <c r="F102" s="18">
        <f>IF(OR($B$6="",57&gt;$H$6),"",ROUND($H101*$G$6,2))</f>
        <v/>
      </c>
      <c r="G102" s="18">
        <f>IF(OR($B$6="",57&gt;$H$6),"",IF($I$6="SAC",ROUND($E$6/$H$6,2),ROUND($E102-$F102,2)))</f>
        <v/>
      </c>
      <c r="H102" s="18">
        <f>IF(OR($B$6="",57&gt;$H$6),"",ROUND(MAX(0,$H101-$G102),2))</f>
        <v/>
      </c>
      <c r="I102" s="17">
        <f>IF(OR($B$6="",57&gt;$H$6),"",IF($D102&lt;=TODAY(),"Vencida","A vencer"))</f>
        <v/>
      </c>
      <c r="J102" s="30">
        <f>IF($D102="","",EOMONTH($D102,0))</f>
        <v/>
      </c>
    </row>
    <row r="103">
      <c r="A103" s="24">
        <f>IF($B$6="","",$A$6)</f>
        <v/>
      </c>
      <c r="B103" s="9">
        <f>IF($B$6="","",$B$6)</f>
        <v/>
      </c>
      <c r="C103" s="24">
        <f>IF($B$6="","",58)</f>
        <v/>
      </c>
      <c r="D103" s="30">
        <f>IF(OR($B$6="",58&gt;$H$6),"",EDATE($J$6,57))</f>
        <v/>
      </c>
      <c r="E103" s="18">
        <f>IF(OR($B$6="",58&gt;$H$6),"",IF($I$6="SAC",ROUND($E$6/$H$6+$F103,2),ROUND(($E$6*$G$6*(1+$G$6)^$H$6/((1+$G$6)^$H$6-1)),2)))</f>
        <v/>
      </c>
      <c r="F103" s="18">
        <f>IF(OR($B$6="",58&gt;$H$6),"",ROUND($H102*$G$6,2))</f>
        <v/>
      </c>
      <c r="G103" s="18">
        <f>IF(OR($B$6="",58&gt;$H$6),"",IF($I$6="SAC",ROUND($E$6/$H$6,2),ROUND($E103-$F103,2)))</f>
        <v/>
      </c>
      <c r="H103" s="18">
        <f>IF(OR($B$6="",58&gt;$H$6),"",ROUND(MAX(0,$H102-$G103),2))</f>
        <v/>
      </c>
      <c r="I103" s="17">
        <f>IF(OR($B$6="",58&gt;$H$6),"",IF($D103&lt;=TODAY(),"Vencida","A vencer"))</f>
        <v/>
      </c>
      <c r="J103" s="30">
        <f>IF($D103="","",EOMONTH($D103,0))</f>
        <v/>
      </c>
    </row>
    <row r="104">
      <c r="A104" s="24">
        <f>IF($B$6="","",$A$6)</f>
        <v/>
      </c>
      <c r="B104" s="9">
        <f>IF($B$6="","",$B$6)</f>
        <v/>
      </c>
      <c r="C104" s="24">
        <f>IF($B$6="","",59)</f>
        <v/>
      </c>
      <c r="D104" s="30">
        <f>IF(OR($B$6="",59&gt;$H$6),"",EDATE($J$6,58))</f>
        <v/>
      </c>
      <c r="E104" s="18">
        <f>IF(OR($B$6="",59&gt;$H$6),"",IF($I$6="SAC",ROUND($E$6/$H$6+$F104,2),ROUND(($E$6*$G$6*(1+$G$6)^$H$6/((1+$G$6)^$H$6-1)),2)))</f>
        <v/>
      </c>
      <c r="F104" s="18">
        <f>IF(OR($B$6="",59&gt;$H$6),"",ROUND($H103*$G$6,2))</f>
        <v/>
      </c>
      <c r="G104" s="18">
        <f>IF(OR($B$6="",59&gt;$H$6),"",IF($I$6="SAC",ROUND($E$6/$H$6,2),ROUND($E104-$F104,2)))</f>
        <v/>
      </c>
      <c r="H104" s="18">
        <f>IF(OR($B$6="",59&gt;$H$6),"",ROUND(MAX(0,$H103-$G104),2))</f>
        <v/>
      </c>
      <c r="I104" s="17">
        <f>IF(OR($B$6="",59&gt;$H$6),"",IF($D104&lt;=TODAY(),"Vencida","A vencer"))</f>
        <v/>
      </c>
      <c r="J104" s="30">
        <f>IF($D104="","",EOMONTH($D104,0))</f>
        <v/>
      </c>
    </row>
    <row r="105">
      <c r="A105" s="24">
        <f>IF($B$6="","",$A$6)</f>
        <v/>
      </c>
      <c r="B105" s="9">
        <f>IF($B$6="","",$B$6)</f>
        <v/>
      </c>
      <c r="C105" s="24">
        <f>IF($B$6="","",60)</f>
        <v/>
      </c>
      <c r="D105" s="30">
        <f>IF(OR($B$6="",60&gt;$H$6),"",EDATE($J$6,59))</f>
        <v/>
      </c>
      <c r="E105" s="18">
        <f>IF(OR($B$6="",60&gt;$H$6),"",IF($I$6="SAC",ROUND($E$6/$H$6+$F105,2),ROUND(($E$6*$G$6*(1+$G$6)^$H$6/((1+$G$6)^$H$6-1)),2)))</f>
        <v/>
      </c>
      <c r="F105" s="18">
        <f>IF(OR($B$6="",60&gt;$H$6),"",ROUND($H104*$G$6,2))</f>
        <v/>
      </c>
      <c r="G105" s="18">
        <f>IF(OR($B$6="",60&gt;$H$6),"",IF($I$6="SAC",ROUND($E$6/$H$6,2),ROUND($E105-$F105,2)))</f>
        <v/>
      </c>
      <c r="H105" s="18">
        <f>IF(OR($B$6="",60&gt;$H$6),"",ROUND(MAX(0,$H104-$G105),2))</f>
        <v/>
      </c>
      <c r="I105" s="17">
        <f>IF(OR($B$6="",60&gt;$H$6),"",IF($D105&lt;=TODAY(),"Vencida","A vencer"))</f>
        <v/>
      </c>
      <c r="J105" s="30">
        <f>IF($D105="","",EOMONTH($D105,0))</f>
        <v/>
      </c>
    </row>
    <row r="106">
      <c r="A106" s="24">
        <f>IF($B$7="","",$A$7)</f>
        <v/>
      </c>
      <c r="B106" s="9">
        <f>IF($B$7="","",$B$7)</f>
        <v/>
      </c>
      <c r="C106" s="24">
        <f>IF($B$7="","",1)</f>
        <v/>
      </c>
      <c r="D106" s="30">
        <f>IF(OR($B$7="",1&gt;$H$7),"",EDATE($J$7,0))</f>
        <v/>
      </c>
      <c r="E106" s="18">
        <f>IF(OR($B$7="",1&gt;$H$7),"",IF($I$7="SAC",ROUND($E$7/$H$7+$F106,2),ROUND(($E$7*$G$7*(1+$G$7)^$H$7/((1+$G$7)^$H$7-1)),2)))</f>
        <v/>
      </c>
      <c r="F106" s="18">
        <f>IF(OR($B$7="",1&gt;$H$7),"",ROUND($E$7*$G$7,2))</f>
        <v/>
      </c>
      <c r="G106" s="18">
        <f>IF(OR($B$7="",1&gt;$H$7),"",IF($I$7="SAC",ROUND($E$7/$H$7,2),ROUND($E106-$F106,2)))</f>
        <v/>
      </c>
      <c r="H106" s="18">
        <f>IF(OR($B$7="",1&gt;$H$7),"",ROUND($E$7-$G106,2))</f>
        <v/>
      </c>
      <c r="I106" s="17">
        <f>IF(OR($B$7="",1&gt;$H$7),"",IF($D106&lt;=TODAY(),"Vencida","A vencer"))</f>
        <v/>
      </c>
      <c r="J106" s="30">
        <f>IF($D106="","",EOMONTH($D106,0))</f>
        <v/>
      </c>
    </row>
    <row r="107">
      <c r="A107" s="24">
        <f>IF($B$7="","",$A$7)</f>
        <v/>
      </c>
      <c r="B107" s="9">
        <f>IF($B$7="","",$B$7)</f>
        <v/>
      </c>
      <c r="C107" s="24">
        <f>IF($B$7="","",2)</f>
        <v/>
      </c>
      <c r="D107" s="30">
        <f>IF(OR($B$7="",2&gt;$H$7),"",EDATE($J$7,1))</f>
        <v/>
      </c>
      <c r="E107" s="18">
        <f>IF(OR($B$7="",2&gt;$H$7),"",IF($I$7="SAC",ROUND($E$7/$H$7+$F107,2),ROUND(($E$7*$G$7*(1+$G$7)^$H$7/((1+$G$7)^$H$7-1)),2)))</f>
        <v/>
      </c>
      <c r="F107" s="18">
        <f>IF(OR($B$7="",2&gt;$H$7),"",ROUND($H106*$G$7,2))</f>
        <v/>
      </c>
      <c r="G107" s="18">
        <f>IF(OR($B$7="",2&gt;$H$7),"",IF($I$7="SAC",ROUND($E$7/$H$7,2),ROUND($E107-$F107,2)))</f>
        <v/>
      </c>
      <c r="H107" s="18">
        <f>IF(OR($B$7="",2&gt;$H$7),"",ROUND(MAX(0,$H106-$G107),2))</f>
        <v/>
      </c>
      <c r="I107" s="17">
        <f>IF(OR($B$7="",2&gt;$H$7),"",IF($D107&lt;=TODAY(),"Vencida","A vencer"))</f>
        <v/>
      </c>
      <c r="J107" s="30">
        <f>IF($D107="","",EOMONTH($D107,0))</f>
        <v/>
      </c>
    </row>
    <row r="108">
      <c r="A108" s="24">
        <f>IF($B$7="","",$A$7)</f>
        <v/>
      </c>
      <c r="B108" s="9">
        <f>IF($B$7="","",$B$7)</f>
        <v/>
      </c>
      <c r="C108" s="24">
        <f>IF($B$7="","",3)</f>
        <v/>
      </c>
      <c r="D108" s="30">
        <f>IF(OR($B$7="",3&gt;$H$7),"",EDATE($J$7,2))</f>
        <v/>
      </c>
      <c r="E108" s="18">
        <f>IF(OR($B$7="",3&gt;$H$7),"",IF($I$7="SAC",ROUND($E$7/$H$7+$F108,2),ROUND(($E$7*$G$7*(1+$G$7)^$H$7/((1+$G$7)^$H$7-1)),2)))</f>
        <v/>
      </c>
      <c r="F108" s="18">
        <f>IF(OR($B$7="",3&gt;$H$7),"",ROUND($H107*$G$7,2))</f>
        <v/>
      </c>
      <c r="G108" s="18">
        <f>IF(OR($B$7="",3&gt;$H$7),"",IF($I$7="SAC",ROUND($E$7/$H$7,2),ROUND($E108-$F108,2)))</f>
        <v/>
      </c>
      <c r="H108" s="18">
        <f>IF(OR($B$7="",3&gt;$H$7),"",ROUND(MAX(0,$H107-$G108),2))</f>
        <v/>
      </c>
      <c r="I108" s="17">
        <f>IF(OR($B$7="",3&gt;$H$7),"",IF($D108&lt;=TODAY(),"Vencida","A vencer"))</f>
        <v/>
      </c>
      <c r="J108" s="30">
        <f>IF($D108="","",EOMONTH($D108,0))</f>
        <v/>
      </c>
    </row>
    <row r="109">
      <c r="A109" s="24">
        <f>IF($B$7="","",$A$7)</f>
        <v/>
      </c>
      <c r="B109" s="9">
        <f>IF($B$7="","",$B$7)</f>
        <v/>
      </c>
      <c r="C109" s="24">
        <f>IF($B$7="","",4)</f>
        <v/>
      </c>
      <c r="D109" s="30">
        <f>IF(OR($B$7="",4&gt;$H$7),"",EDATE($J$7,3))</f>
        <v/>
      </c>
      <c r="E109" s="18">
        <f>IF(OR($B$7="",4&gt;$H$7),"",IF($I$7="SAC",ROUND($E$7/$H$7+$F109,2),ROUND(($E$7*$G$7*(1+$G$7)^$H$7/((1+$G$7)^$H$7-1)),2)))</f>
        <v/>
      </c>
      <c r="F109" s="18">
        <f>IF(OR($B$7="",4&gt;$H$7),"",ROUND($H108*$G$7,2))</f>
        <v/>
      </c>
      <c r="G109" s="18">
        <f>IF(OR($B$7="",4&gt;$H$7),"",IF($I$7="SAC",ROUND($E$7/$H$7,2),ROUND($E109-$F109,2)))</f>
        <v/>
      </c>
      <c r="H109" s="18">
        <f>IF(OR($B$7="",4&gt;$H$7),"",ROUND(MAX(0,$H108-$G109),2))</f>
        <v/>
      </c>
      <c r="I109" s="17">
        <f>IF(OR($B$7="",4&gt;$H$7),"",IF($D109&lt;=TODAY(),"Vencida","A vencer"))</f>
        <v/>
      </c>
      <c r="J109" s="30">
        <f>IF($D109="","",EOMONTH($D109,0))</f>
        <v/>
      </c>
    </row>
    <row r="110">
      <c r="A110" s="24">
        <f>IF($B$7="","",$A$7)</f>
        <v/>
      </c>
      <c r="B110" s="9">
        <f>IF($B$7="","",$B$7)</f>
        <v/>
      </c>
      <c r="C110" s="24">
        <f>IF($B$7="","",5)</f>
        <v/>
      </c>
      <c r="D110" s="30">
        <f>IF(OR($B$7="",5&gt;$H$7),"",EDATE($J$7,4))</f>
        <v/>
      </c>
      <c r="E110" s="18">
        <f>IF(OR($B$7="",5&gt;$H$7),"",IF($I$7="SAC",ROUND($E$7/$H$7+$F110,2),ROUND(($E$7*$G$7*(1+$G$7)^$H$7/((1+$G$7)^$H$7-1)),2)))</f>
        <v/>
      </c>
      <c r="F110" s="18">
        <f>IF(OR($B$7="",5&gt;$H$7),"",ROUND($H109*$G$7,2))</f>
        <v/>
      </c>
      <c r="G110" s="18">
        <f>IF(OR($B$7="",5&gt;$H$7),"",IF($I$7="SAC",ROUND($E$7/$H$7,2),ROUND($E110-$F110,2)))</f>
        <v/>
      </c>
      <c r="H110" s="18">
        <f>IF(OR($B$7="",5&gt;$H$7),"",ROUND(MAX(0,$H109-$G110),2))</f>
        <v/>
      </c>
      <c r="I110" s="17">
        <f>IF(OR($B$7="",5&gt;$H$7),"",IF($D110&lt;=TODAY(),"Vencida","A vencer"))</f>
        <v/>
      </c>
      <c r="J110" s="30">
        <f>IF($D110="","",EOMONTH($D110,0))</f>
        <v/>
      </c>
    </row>
    <row r="111">
      <c r="A111" s="24">
        <f>IF($B$7="","",$A$7)</f>
        <v/>
      </c>
      <c r="B111" s="9">
        <f>IF($B$7="","",$B$7)</f>
        <v/>
      </c>
      <c r="C111" s="24">
        <f>IF($B$7="","",6)</f>
        <v/>
      </c>
      <c r="D111" s="30">
        <f>IF(OR($B$7="",6&gt;$H$7),"",EDATE($J$7,5))</f>
        <v/>
      </c>
      <c r="E111" s="18">
        <f>IF(OR($B$7="",6&gt;$H$7),"",IF($I$7="SAC",ROUND($E$7/$H$7+$F111,2),ROUND(($E$7*$G$7*(1+$G$7)^$H$7/((1+$G$7)^$H$7-1)),2)))</f>
        <v/>
      </c>
      <c r="F111" s="18">
        <f>IF(OR($B$7="",6&gt;$H$7),"",ROUND($H110*$G$7,2))</f>
        <v/>
      </c>
      <c r="G111" s="18">
        <f>IF(OR($B$7="",6&gt;$H$7),"",IF($I$7="SAC",ROUND($E$7/$H$7,2),ROUND($E111-$F111,2)))</f>
        <v/>
      </c>
      <c r="H111" s="18">
        <f>IF(OR($B$7="",6&gt;$H$7),"",ROUND(MAX(0,$H110-$G111),2))</f>
        <v/>
      </c>
      <c r="I111" s="17">
        <f>IF(OR($B$7="",6&gt;$H$7),"",IF($D111&lt;=TODAY(),"Vencida","A vencer"))</f>
        <v/>
      </c>
      <c r="J111" s="30">
        <f>IF($D111="","",EOMONTH($D111,0))</f>
        <v/>
      </c>
    </row>
    <row r="112">
      <c r="A112" s="24">
        <f>IF($B$7="","",$A$7)</f>
        <v/>
      </c>
      <c r="B112" s="9">
        <f>IF($B$7="","",$B$7)</f>
        <v/>
      </c>
      <c r="C112" s="24">
        <f>IF($B$7="","",7)</f>
        <v/>
      </c>
      <c r="D112" s="30">
        <f>IF(OR($B$7="",7&gt;$H$7),"",EDATE($J$7,6))</f>
        <v/>
      </c>
      <c r="E112" s="18">
        <f>IF(OR($B$7="",7&gt;$H$7),"",IF($I$7="SAC",ROUND($E$7/$H$7+$F112,2),ROUND(($E$7*$G$7*(1+$G$7)^$H$7/((1+$G$7)^$H$7-1)),2)))</f>
        <v/>
      </c>
      <c r="F112" s="18">
        <f>IF(OR($B$7="",7&gt;$H$7),"",ROUND($H111*$G$7,2))</f>
        <v/>
      </c>
      <c r="G112" s="18">
        <f>IF(OR($B$7="",7&gt;$H$7),"",IF($I$7="SAC",ROUND($E$7/$H$7,2),ROUND($E112-$F112,2)))</f>
        <v/>
      </c>
      <c r="H112" s="18">
        <f>IF(OR($B$7="",7&gt;$H$7),"",ROUND(MAX(0,$H111-$G112),2))</f>
        <v/>
      </c>
      <c r="I112" s="17">
        <f>IF(OR($B$7="",7&gt;$H$7),"",IF($D112&lt;=TODAY(),"Vencida","A vencer"))</f>
        <v/>
      </c>
      <c r="J112" s="30">
        <f>IF($D112="","",EOMONTH($D112,0))</f>
        <v/>
      </c>
    </row>
    <row r="113">
      <c r="A113" s="24">
        <f>IF($B$7="","",$A$7)</f>
        <v/>
      </c>
      <c r="B113" s="9">
        <f>IF($B$7="","",$B$7)</f>
        <v/>
      </c>
      <c r="C113" s="24">
        <f>IF($B$7="","",8)</f>
        <v/>
      </c>
      <c r="D113" s="30">
        <f>IF(OR($B$7="",8&gt;$H$7),"",EDATE($J$7,7))</f>
        <v/>
      </c>
      <c r="E113" s="18">
        <f>IF(OR($B$7="",8&gt;$H$7),"",IF($I$7="SAC",ROUND($E$7/$H$7+$F113,2),ROUND(($E$7*$G$7*(1+$G$7)^$H$7/((1+$G$7)^$H$7-1)),2)))</f>
        <v/>
      </c>
      <c r="F113" s="18">
        <f>IF(OR($B$7="",8&gt;$H$7),"",ROUND($H112*$G$7,2))</f>
        <v/>
      </c>
      <c r="G113" s="18">
        <f>IF(OR($B$7="",8&gt;$H$7),"",IF($I$7="SAC",ROUND($E$7/$H$7,2),ROUND($E113-$F113,2)))</f>
        <v/>
      </c>
      <c r="H113" s="18">
        <f>IF(OR($B$7="",8&gt;$H$7),"",ROUND(MAX(0,$H112-$G113),2))</f>
        <v/>
      </c>
      <c r="I113" s="17">
        <f>IF(OR($B$7="",8&gt;$H$7),"",IF($D113&lt;=TODAY(),"Vencida","A vencer"))</f>
        <v/>
      </c>
      <c r="J113" s="30">
        <f>IF($D113="","",EOMONTH($D113,0))</f>
        <v/>
      </c>
    </row>
    <row r="114">
      <c r="A114" s="24">
        <f>IF($B$7="","",$A$7)</f>
        <v/>
      </c>
      <c r="B114" s="9">
        <f>IF($B$7="","",$B$7)</f>
        <v/>
      </c>
      <c r="C114" s="24">
        <f>IF($B$7="","",9)</f>
        <v/>
      </c>
      <c r="D114" s="30">
        <f>IF(OR($B$7="",9&gt;$H$7),"",EDATE($J$7,8))</f>
        <v/>
      </c>
      <c r="E114" s="18">
        <f>IF(OR($B$7="",9&gt;$H$7),"",IF($I$7="SAC",ROUND($E$7/$H$7+$F114,2),ROUND(($E$7*$G$7*(1+$G$7)^$H$7/((1+$G$7)^$H$7-1)),2)))</f>
        <v/>
      </c>
      <c r="F114" s="18">
        <f>IF(OR($B$7="",9&gt;$H$7),"",ROUND($H113*$G$7,2))</f>
        <v/>
      </c>
      <c r="G114" s="18">
        <f>IF(OR($B$7="",9&gt;$H$7),"",IF($I$7="SAC",ROUND($E$7/$H$7,2),ROUND($E114-$F114,2)))</f>
        <v/>
      </c>
      <c r="H114" s="18">
        <f>IF(OR($B$7="",9&gt;$H$7),"",ROUND(MAX(0,$H113-$G114),2))</f>
        <v/>
      </c>
      <c r="I114" s="17">
        <f>IF(OR($B$7="",9&gt;$H$7),"",IF($D114&lt;=TODAY(),"Vencida","A vencer"))</f>
        <v/>
      </c>
      <c r="J114" s="30">
        <f>IF($D114="","",EOMONTH($D114,0))</f>
        <v/>
      </c>
    </row>
    <row r="115">
      <c r="A115" s="24">
        <f>IF($B$7="","",$A$7)</f>
        <v/>
      </c>
      <c r="B115" s="9">
        <f>IF($B$7="","",$B$7)</f>
        <v/>
      </c>
      <c r="C115" s="24">
        <f>IF($B$7="","",10)</f>
        <v/>
      </c>
      <c r="D115" s="30">
        <f>IF(OR($B$7="",10&gt;$H$7),"",EDATE($J$7,9))</f>
        <v/>
      </c>
      <c r="E115" s="18">
        <f>IF(OR($B$7="",10&gt;$H$7),"",IF($I$7="SAC",ROUND($E$7/$H$7+$F115,2),ROUND(($E$7*$G$7*(1+$G$7)^$H$7/((1+$G$7)^$H$7-1)),2)))</f>
        <v/>
      </c>
      <c r="F115" s="18">
        <f>IF(OR($B$7="",10&gt;$H$7),"",ROUND($H114*$G$7,2))</f>
        <v/>
      </c>
      <c r="G115" s="18">
        <f>IF(OR($B$7="",10&gt;$H$7),"",IF($I$7="SAC",ROUND($E$7/$H$7,2),ROUND($E115-$F115,2)))</f>
        <v/>
      </c>
      <c r="H115" s="18">
        <f>IF(OR($B$7="",10&gt;$H$7),"",ROUND(MAX(0,$H114-$G115),2))</f>
        <v/>
      </c>
      <c r="I115" s="17">
        <f>IF(OR($B$7="",10&gt;$H$7),"",IF($D115&lt;=TODAY(),"Vencida","A vencer"))</f>
        <v/>
      </c>
      <c r="J115" s="30">
        <f>IF($D115="","",EOMONTH($D115,0))</f>
        <v/>
      </c>
    </row>
    <row r="116">
      <c r="A116" s="24">
        <f>IF($B$7="","",$A$7)</f>
        <v/>
      </c>
      <c r="B116" s="9">
        <f>IF($B$7="","",$B$7)</f>
        <v/>
      </c>
      <c r="C116" s="24">
        <f>IF($B$7="","",11)</f>
        <v/>
      </c>
      <c r="D116" s="30">
        <f>IF(OR($B$7="",11&gt;$H$7),"",EDATE($J$7,10))</f>
        <v/>
      </c>
      <c r="E116" s="18">
        <f>IF(OR($B$7="",11&gt;$H$7),"",IF($I$7="SAC",ROUND($E$7/$H$7+$F116,2),ROUND(($E$7*$G$7*(1+$G$7)^$H$7/((1+$G$7)^$H$7-1)),2)))</f>
        <v/>
      </c>
      <c r="F116" s="18">
        <f>IF(OR($B$7="",11&gt;$H$7),"",ROUND($H115*$G$7,2))</f>
        <v/>
      </c>
      <c r="G116" s="18">
        <f>IF(OR($B$7="",11&gt;$H$7),"",IF($I$7="SAC",ROUND($E$7/$H$7,2),ROUND($E116-$F116,2)))</f>
        <v/>
      </c>
      <c r="H116" s="18">
        <f>IF(OR($B$7="",11&gt;$H$7),"",ROUND(MAX(0,$H115-$G116),2))</f>
        <v/>
      </c>
      <c r="I116" s="17">
        <f>IF(OR($B$7="",11&gt;$H$7),"",IF($D116&lt;=TODAY(),"Vencida","A vencer"))</f>
        <v/>
      </c>
      <c r="J116" s="30">
        <f>IF($D116="","",EOMONTH($D116,0))</f>
        <v/>
      </c>
    </row>
    <row r="117">
      <c r="A117" s="24">
        <f>IF($B$7="","",$A$7)</f>
        <v/>
      </c>
      <c r="B117" s="9">
        <f>IF($B$7="","",$B$7)</f>
        <v/>
      </c>
      <c r="C117" s="24">
        <f>IF($B$7="","",12)</f>
        <v/>
      </c>
      <c r="D117" s="30">
        <f>IF(OR($B$7="",12&gt;$H$7),"",EDATE($J$7,11))</f>
        <v/>
      </c>
      <c r="E117" s="18">
        <f>IF(OR($B$7="",12&gt;$H$7),"",IF($I$7="SAC",ROUND($E$7/$H$7+$F117,2),ROUND(($E$7*$G$7*(1+$G$7)^$H$7/((1+$G$7)^$H$7-1)),2)))</f>
        <v/>
      </c>
      <c r="F117" s="18">
        <f>IF(OR($B$7="",12&gt;$H$7),"",ROUND($H116*$G$7,2))</f>
        <v/>
      </c>
      <c r="G117" s="18">
        <f>IF(OR($B$7="",12&gt;$H$7),"",IF($I$7="SAC",ROUND($E$7/$H$7,2),ROUND($E117-$F117,2)))</f>
        <v/>
      </c>
      <c r="H117" s="18">
        <f>IF(OR($B$7="",12&gt;$H$7),"",ROUND(MAX(0,$H116-$G117),2))</f>
        <v/>
      </c>
      <c r="I117" s="17">
        <f>IF(OR($B$7="",12&gt;$H$7),"",IF($D117&lt;=TODAY(),"Vencida","A vencer"))</f>
        <v/>
      </c>
      <c r="J117" s="30">
        <f>IF($D117="","",EOMONTH($D117,0))</f>
        <v/>
      </c>
    </row>
    <row r="118">
      <c r="A118" s="24">
        <f>IF($B$7="","",$A$7)</f>
        <v/>
      </c>
      <c r="B118" s="9">
        <f>IF($B$7="","",$B$7)</f>
        <v/>
      </c>
      <c r="C118" s="24">
        <f>IF($B$7="","",13)</f>
        <v/>
      </c>
      <c r="D118" s="30">
        <f>IF(OR($B$7="",13&gt;$H$7),"",EDATE($J$7,12))</f>
        <v/>
      </c>
      <c r="E118" s="18">
        <f>IF(OR($B$7="",13&gt;$H$7),"",IF($I$7="SAC",ROUND($E$7/$H$7+$F118,2),ROUND(($E$7*$G$7*(1+$G$7)^$H$7/((1+$G$7)^$H$7-1)),2)))</f>
        <v/>
      </c>
      <c r="F118" s="18">
        <f>IF(OR($B$7="",13&gt;$H$7),"",ROUND($H117*$G$7,2))</f>
        <v/>
      </c>
      <c r="G118" s="18">
        <f>IF(OR($B$7="",13&gt;$H$7),"",IF($I$7="SAC",ROUND($E$7/$H$7,2),ROUND($E118-$F118,2)))</f>
        <v/>
      </c>
      <c r="H118" s="18">
        <f>IF(OR($B$7="",13&gt;$H$7),"",ROUND(MAX(0,$H117-$G118),2))</f>
        <v/>
      </c>
      <c r="I118" s="17">
        <f>IF(OR($B$7="",13&gt;$H$7),"",IF($D118&lt;=TODAY(),"Vencida","A vencer"))</f>
        <v/>
      </c>
      <c r="J118" s="30">
        <f>IF($D118="","",EOMONTH($D118,0))</f>
        <v/>
      </c>
    </row>
    <row r="119">
      <c r="A119" s="24">
        <f>IF($B$7="","",$A$7)</f>
        <v/>
      </c>
      <c r="B119" s="9">
        <f>IF($B$7="","",$B$7)</f>
        <v/>
      </c>
      <c r="C119" s="24">
        <f>IF($B$7="","",14)</f>
        <v/>
      </c>
      <c r="D119" s="30">
        <f>IF(OR($B$7="",14&gt;$H$7),"",EDATE($J$7,13))</f>
        <v/>
      </c>
      <c r="E119" s="18">
        <f>IF(OR($B$7="",14&gt;$H$7),"",IF($I$7="SAC",ROUND($E$7/$H$7+$F119,2),ROUND(($E$7*$G$7*(1+$G$7)^$H$7/((1+$G$7)^$H$7-1)),2)))</f>
        <v/>
      </c>
      <c r="F119" s="18">
        <f>IF(OR($B$7="",14&gt;$H$7),"",ROUND($H118*$G$7,2))</f>
        <v/>
      </c>
      <c r="G119" s="18">
        <f>IF(OR($B$7="",14&gt;$H$7),"",IF($I$7="SAC",ROUND($E$7/$H$7,2),ROUND($E119-$F119,2)))</f>
        <v/>
      </c>
      <c r="H119" s="18">
        <f>IF(OR($B$7="",14&gt;$H$7),"",ROUND(MAX(0,$H118-$G119),2))</f>
        <v/>
      </c>
      <c r="I119" s="17">
        <f>IF(OR($B$7="",14&gt;$H$7),"",IF($D119&lt;=TODAY(),"Vencida","A vencer"))</f>
        <v/>
      </c>
      <c r="J119" s="30">
        <f>IF($D119="","",EOMONTH($D119,0))</f>
        <v/>
      </c>
    </row>
    <row r="120">
      <c r="A120" s="24">
        <f>IF($B$7="","",$A$7)</f>
        <v/>
      </c>
      <c r="B120" s="9">
        <f>IF($B$7="","",$B$7)</f>
        <v/>
      </c>
      <c r="C120" s="24">
        <f>IF($B$7="","",15)</f>
        <v/>
      </c>
      <c r="D120" s="30">
        <f>IF(OR($B$7="",15&gt;$H$7),"",EDATE($J$7,14))</f>
        <v/>
      </c>
      <c r="E120" s="18">
        <f>IF(OR($B$7="",15&gt;$H$7),"",IF($I$7="SAC",ROUND($E$7/$H$7+$F120,2),ROUND(($E$7*$G$7*(1+$G$7)^$H$7/((1+$G$7)^$H$7-1)),2)))</f>
        <v/>
      </c>
      <c r="F120" s="18">
        <f>IF(OR($B$7="",15&gt;$H$7),"",ROUND($H119*$G$7,2))</f>
        <v/>
      </c>
      <c r="G120" s="18">
        <f>IF(OR($B$7="",15&gt;$H$7),"",IF($I$7="SAC",ROUND($E$7/$H$7,2),ROUND($E120-$F120,2)))</f>
        <v/>
      </c>
      <c r="H120" s="18">
        <f>IF(OR($B$7="",15&gt;$H$7),"",ROUND(MAX(0,$H119-$G120),2))</f>
        <v/>
      </c>
      <c r="I120" s="17">
        <f>IF(OR($B$7="",15&gt;$H$7),"",IF($D120&lt;=TODAY(),"Vencida","A vencer"))</f>
        <v/>
      </c>
      <c r="J120" s="30">
        <f>IF($D120="","",EOMONTH($D120,0))</f>
        <v/>
      </c>
    </row>
    <row r="121">
      <c r="A121" s="24">
        <f>IF($B$7="","",$A$7)</f>
        <v/>
      </c>
      <c r="B121" s="9">
        <f>IF($B$7="","",$B$7)</f>
        <v/>
      </c>
      <c r="C121" s="24">
        <f>IF($B$7="","",16)</f>
        <v/>
      </c>
      <c r="D121" s="30">
        <f>IF(OR($B$7="",16&gt;$H$7),"",EDATE($J$7,15))</f>
        <v/>
      </c>
      <c r="E121" s="18">
        <f>IF(OR($B$7="",16&gt;$H$7),"",IF($I$7="SAC",ROUND($E$7/$H$7+$F121,2),ROUND(($E$7*$G$7*(1+$G$7)^$H$7/((1+$G$7)^$H$7-1)),2)))</f>
        <v/>
      </c>
      <c r="F121" s="18">
        <f>IF(OR($B$7="",16&gt;$H$7),"",ROUND($H120*$G$7,2))</f>
        <v/>
      </c>
      <c r="G121" s="18">
        <f>IF(OR($B$7="",16&gt;$H$7),"",IF($I$7="SAC",ROUND($E$7/$H$7,2),ROUND($E121-$F121,2)))</f>
        <v/>
      </c>
      <c r="H121" s="18">
        <f>IF(OR($B$7="",16&gt;$H$7),"",ROUND(MAX(0,$H120-$G121),2))</f>
        <v/>
      </c>
      <c r="I121" s="17">
        <f>IF(OR($B$7="",16&gt;$H$7),"",IF($D121&lt;=TODAY(),"Vencida","A vencer"))</f>
        <v/>
      </c>
      <c r="J121" s="30">
        <f>IF($D121="","",EOMONTH($D121,0))</f>
        <v/>
      </c>
    </row>
    <row r="122">
      <c r="A122" s="24">
        <f>IF($B$7="","",$A$7)</f>
        <v/>
      </c>
      <c r="B122" s="9">
        <f>IF($B$7="","",$B$7)</f>
        <v/>
      </c>
      <c r="C122" s="24">
        <f>IF($B$7="","",17)</f>
        <v/>
      </c>
      <c r="D122" s="30">
        <f>IF(OR($B$7="",17&gt;$H$7),"",EDATE($J$7,16))</f>
        <v/>
      </c>
      <c r="E122" s="18">
        <f>IF(OR($B$7="",17&gt;$H$7),"",IF($I$7="SAC",ROUND($E$7/$H$7+$F122,2),ROUND(($E$7*$G$7*(1+$G$7)^$H$7/((1+$G$7)^$H$7-1)),2)))</f>
        <v/>
      </c>
      <c r="F122" s="18">
        <f>IF(OR($B$7="",17&gt;$H$7),"",ROUND($H121*$G$7,2))</f>
        <v/>
      </c>
      <c r="G122" s="18">
        <f>IF(OR($B$7="",17&gt;$H$7),"",IF($I$7="SAC",ROUND($E$7/$H$7,2),ROUND($E122-$F122,2)))</f>
        <v/>
      </c>
      <c r="H122" s="18">
        <f>IF(OR($B$7="",17&gt;$H$7),"",ROUND(MAX(0,$H121-$G122),2))</f>
        <v/>
      </c>
      <c r="I122" s="17">
        <f>IF(OR($B$7="",17&gt;$H$7),"",IF($D122&lt;=TODAY(),"Vencida","A vencer"))</f>
        <v/>
      </c>
      <c r="J122" s="30">
        <f>IF($D122="","",EOMONTH($D122,0))</f>
        <v/>
      </c>
    </row>
    <row r="123">
      <c r="A123" s="24">
        <f>IF($B$7="","",$A$7)</f>
        <v/>
      </c>
      <c r="B123" s="9">
        <f>IF($B$7="","",$B$7)</f>
        <v/>
      </c>
      <c r="C123" s="24">
        <f>IF($B$7="","",18)</f>
        <v/>
      </c>
      <c r="D123" s="30">
        <f>IF(OR($B$7="",18&gt;$H$7),"",EDATE($J$7,17))</f>
        <v/>
      </c>
      <c r="E123" s="18">
        <f>IF(OR($B$7="",18&gt;$H$7),"",IF($I$7="SAC",ROUND($E$7/$H$7+$F123,2),ROUND(($E$7*$G$7*(1+$G$7)^$H$7/((1+$G$7)^$H$7-1)),2)))</f>
        <v/>
      </c>
      <c r="F123" s="18">
        <f>IF(OR($B$7="",18&gt;$H$7),"",ROUND($H122*$G$7,2))</f>
        <v/>
      </c>
      <c r="G123" s="18">
        <f>IF(OR($B$7="",18&gt;$H$7),"",IF($I$7="SAC",ROUND($E$7/$H$7,2),ROUND($E123-$F123,2)))</f>
        <v/>
      </c>
      <c r="H123" s="18">
        <f>IF(OR($B$7="",18&gt;$H$7),"",ROUND(MAX(0,$H122-$G123),2))</f>
        <v/>
      </c>
      <c r="I123" s="17">
        <f>IF(OR($B$7="",18&gt;$H$7),"",IF($D123&lt;=TODAY(),"Vencida","A vencer"))</f>
        <v/>
      </c>
      <c r="J123" s="30">
        <f>IF($D123="","",EOMONTH($D123,0))</f>
        <v/>
      </c>
    </row>
    <row r="124">
      <c r="A124" s="24">
        <f>IF($B$7="","",$A$7)</f>
        <v/>
      </c>
      <c r="B124" s="9">
        <f>IF($B$7="","",$B$7)</f>
        <v/>
      </c>
      <c r="C124" s="24">
        <f>IF($B$7="","",19)</f>
        <v/>
      </c>
      <c r="D124" s="30">
        <f>IF(OR($B$7="",19&gt;$H$7),"",EDATE($J$7,18))</f>
        <v/>
      </c>
      <c r="E124" s="18">
        <f>IF(OR($B$7="",19&gt;$H$7),"",IF($I$7="SAC",ROUND($E$7/$H$7+$F124,2),ROUND(($E$7*$G$7*(1+$G$7)^$H$7/((1+$G$7)^$H$7-1)),2)))</f>
        <v/>
      </c>
      <c r="F124" s="18">
        <f>IF(OR($B$7="",19&gt;$H$7),"",ROUND($H123*$G$7,2))</f>
        <v/>
      </c>
      <c r="G124" s="18">
        <f>IF(OR($B$7="",19&gt;$H$7),"",IF($I$7="SAC",ROUND($E$7/$H$7,2),ROUND($E124-$F124,2)))</f>
        <v/>
      </c>
      <c r="H124" s="18">
        <f>IF(OR($B$7="",19&gt;$H$7),"",ROUND(MAX(0,$H123-$G124),2))</f>
        <v/>
      </c>
      <c r="I124" s="17">
        <f>IF(OR($B$7="",19&gt;$H$7),"",IF($D124&lt;=TODAY(),"Vencida","A vencer"))</f>
        <v/>
      </c>
      <c r="J124" s="30">
        <f>IF($D124="","",EOMONTH($D124,0))</f>
        <v/>
      </c>
    </row>
    <row r="125">
      <c r="A125" s="24">
        <f>IF($B$7="","",$A$7)</f>
        <v/>
      </c>
      <c r="B125" s="9">
        <f>IF($B$7="","",$B$7)</f>
        <v/>
      </c>
      <c r="C125" s="24">
        <f>IF($B$7="","",20)</f>
        <v/>
      </c>
      <c r="D125" s="30">
        <f>IF(OR($B$7="",20&gt;$H$7),"",EDATE($J$7,19))</f>
        <v/>
      </c>
      <c r="E125" s="18">
        <f>IF(OR($B$7="",20&gt;$H$7),"",IF($I$7="SAC",ROUND($E$7/$H$7+$F125,2),ROUND(($E$7*$G$7*(1+$G$7)^$H$7/((1+$G$7)^$H$7-1)),2)))</f>
        <v/>
      </c>
      <c r="F125" s="18">
        <f>IF(OR($B$7="",20&gt;$H$7),"",ROUND($H124*$G$7,2))</f>
        <v/>
      </c>
      <c r="G125" s="18">
        <f>IF(OR($B$7="",20&gt;$H$7),"",IF($I$7="SAC",ROUND($E$7/$H$7,2),ROUND($E125-$F125,2)))</f>
        <v/>
      </c>
      <c r="H125" s="18">
        <f>IF(OR($B$7="",20&gt;$H$7),"",ROUND(MAX(0,$H124-$G125),2))</f>
        <v/>
      </c>
      <c r="I125" s="17">
        <f>IF(OR($B$7="",20&gt;$H$7),"",IF($D125&lt;=TODAY(),"Vencida","A vencer"))</f>
        <v/>
      </c>
      <c r="J125" s="30">
        <f>IF($D125="","",EOMONTH($D125,0))</f>
        <v/>
      </c>
    </row>
    <row r="126">
      <c r="A126" s="24">
        <f>IF($B$7="","",$A$7)</f>
        <v/>
      </c>
      <c r="B126" s="9">
        <f>IF($B$7="","",$B$7)</f>
        <v/>
      </c>
      <c r="C126" s="24">
        <f>IF($B$7="","",21)</f>
        <v/>
      </c>
      <c r="D126" s="30">
        <f>IF(OR($B$7="",21&gt;$H$7),"",EDATE($J$7,20))</f>
        <v/>
      </c>
      <c r="E126" s="18">
        <f>IF(OR($B$7="",21&gt;$H$7),"",IF($I$7="SAC",ROUND($E$7/$H$7+$F126,2),ROUND(($E$7*$G$7*(1+$G$7)^$H$7/((1+$G$7)^$H$7-1)),2)))</f>
        <v/>
      </c>
      <c r="F126" s="18">
        <f>IF(OR($B$7="",21&gt;$H$7),"",ROUND($H125*$G$7,2))</f>
        <v/>
      </c>
      <c r="G126" s="18">
        <f>IF(OR($B$7="",21&gt;$H$7),"",IF($I$7="SAC",ROUND($E$7/$H$7,2),ROUND($E126-$F126,2)))</f>
        <v/>
      </c>
      <c r="H126" s="18">
        <f>IF(OR($B$7="",21&gt;$H$7),"",ROUND(MAX(0,$H125-$G126),2))</f>
        <v/>
      </c>
      <c r="I126" s="17">
        <f>IF(OR($B$7="",21&gt;$H$7),"",IF($D126&lt;=TODAY(),"Vencida","A vencer"))</f>
        <v/>
      </c>
      <c r="J126" s="30">
        <f>IF($D126="","",EOMONTH($D126,0))</f>
        <v/>
      </c>
    </row>
    <row r="127">
      <c r="A127" s="24">
        <f>IF($B$7="","",$A$7)</f>
        <v/>
      </c>
      <c r="B127" s="9">
        <f>IF($B$7="","",$B$7)</f>
        <v/>
      </c>
      <c r="C127" s="24">
        <f>IF($B$7="","",22)</f>
        <v/>
      </c>
      <c r="D127" s="30">
        <f>IF(OR($B$7="",22&gt;$H$7),"",EDATE($J$7,21))</f>
        <v/>
      </c>
      <c r="E127" s="18">
        <f>IF(OR($B$7="",22&gt;$H$7),"",IF($I$7="SAC",ROUND($E$7/$H$7+$F127,2),ROUND(($E$7*$G$7*(1+$G$7)^$H$7/((1+$G$7)^$H$7-1)),2)))</f>
        <v/>
      </c>
      <c r="F127" s="18">
        <f>IF(OR($B$7="",22&gt;$H$7),"",ROUND($H126*$G$7,2))</f>
        <v/>
      </c>
      <c r="G127" s="18">
        <f>IF(OR($B$7="",22&gt;$H$7),"",IF($I$7="SAC",ROUND($E$7/$H$7,2),ROUND($E127-$F127,2)))</f>
        <v/>
      </c>
      <c r="H127" s="18">
        <f>IF(OR($B$7="",22&gt;$H$7),"",ROUND(MAX(0,$H126-$G127),2))</f>
        <v/>
      </c>
      <c r="I127" s="17">
        <f>IF(OR($B$7="",22&gt;$H$7),"",IF($D127&lt;=TODAY(),"Vencida","A vencer"))</f>
        <v/>
      </c>
      <c r="J127" s="30">
        <f>IF($D127="","",EOMONTH($D127,0))</f>
        <v/>
      </c>
    </row>
    <row r="128">
      <c r="A128" s="24">
        <f>IF($B$7="","",$A$7)</f>
        <v/>
      </c>
      <c r="B128" s="9">
        <f>IF($B$7="","",$B$7)</f>
        <v/>
      </c>
      <c r="C128" s="24">
        <f>IF($B$7="","",23)</f>
        <v/>
      </c>
      <c r="D128" s="30">
        <f>IF(OR($B$7="",23&gt;$H$7),"",EDATE($J$7,22))</f>
        <v/>
      </c>
      <c r="E128" s="18">
        <f>IF(OR($B$7="",23&gt;$H$7),"",IF($I$7="SAC",ROUND($E$7/$H$7+$F128,2),ROUND(($E$7*$G$7*(1+$G$7)^$H$7/((1+$G$7)^$H$7-1)),2)))</f>
        <v/>
      </c>
      <c r="F128" s="18">
        <f>IF(OR($B$7="",23&gt;$H$7),"",ROUND($H127*$G$7,2))</f>
        <v/>
      </c>
      <c r="G128" s="18">
        <f>IF(OR($B$7="",23&gt;$H$7),"",IF($I$7="SAC",ROUND($E$7/$H$7,2),ROUND($E128-$F128,2)))</f>
        <v/>
      </c>
      <c r="H128" s="18">
        <f>IF(OR($B$7="",23&gt;$H$7),"",ROUND(MAX(0,$H127-$G128),2))</f>
        <v/>
      </c>
      <c r="I128" s="17">
        <f>IF(OR($B$7="",23&gt;$H$7),"",IF($D128&lt;=TODAY(),"Vencida","A vencer"))</f>
        <v/>
      </c>
      <c r="J128" s="30">
        <f>IF($D128="","",EOMONTH($D128,0))</f>
        <v/>
      </c>
    </row>
    <row r="129">
      <c r="A129" s="24">
        <f>IF($B$7="","",$A$7)</f>
        <v/>
      </c>
      <c r="B129" s="9">
        <f>IF($B$7="","",$B$7)</f>
        <v/>
      </c>
      <c r="C129" s="24">
        <f>IF($B$7="","",24)</f>
        <v/>
      </c>
      <c r="D129" s="30">
        <f>IF(OR($B$7="",24&gt;$H$7),"",EDATE($J$7,23))</f>
        <v/>
      </c>
      <c r="E129" s="18">
        <f>IF(OR($B$7="",24&gt;$H$7),"",IF($I$7="SAC",ROUND($E$7/$H$7+$F129,2),ROUND(($E$7*$G$7*(1+$G$7)^$H$7/((1+$G$7)^$H$7-1)),2)))</f>
        <v/>
      </c>
      <c r="F129" s="18">
        <f>IF(OR($B$7="",24&gt;$H$7),"",ROUND($H128*$G$7,2))</f>
        <v/>
      </c>
      <c r="G129" s="18">
        <f>IF(OR($B$7="",24&gt;$H$7),"",IF($I$7="SAC",ROUND($E$7/$H$7,2),ROUND($E129-$F129,2)))</f>
        <v/>
      </c>
      <c r="H129" s="18">
        <f>IF(OR($B$7="",24&gt;$H$7),"",ROUND(MAX(0,$H128-$G129),2))</f>
        <v/>
      </c>
      <c r="I129" s="17">
        <f>IF(OR($B$7="",24&gt;$H$7),"",IF($D129&lt;=TODAY(),"Vencida","A vencer"))</f>
        <v/>
      </c>
      <c r="J129" s="30">
        <f>IF($D129="","",EOMONTH($D129,0))</f>
        <v/>
      </c>
    </row>
    <row r="130">
      <c r="A130" s="24">
        <f>IF($B$7="","",$A$7)</f>
        <v/>
      </c>
      <c r="B130" s="9">
        <f>IF($B$7="","",$B$7)</f>
        <v/>
      </c>
      <c r="C130" s="24">
        <f>IF($B$7="","",25)</f>
        <v/>
      </c>
      <c r="D130" s="30">
        <f>IF(OR($B$7="",25&gt;$H$7),"",EDATE($J$7,24))</f>
        <v/>
      </c>
      <c r="E130" s="18">
        <f>IF(OR($B$7="",25&gt;$H$7),"",IF($I$7="SAC",ROUND($E$7/$H$7+$F130,2),ROUND(($E$7*$G$7*(1+$G$7)^$H$7/((1+$G$7)^$H$7-1)),2)))</f>
        <v/>
      </c>
      <c r="F130" s="18">
        <f>IF(OR($B$7="",25&gt;$H$7),"",ROUND($H129*$G$7,2))</f>
        <v/>
      </c>
      <c r="G130" s="18">
        <f>IF(OR($B$7="",25&gt;$H$7),"",IF($I$7="SAC",ROUND($E$7/$H$7,2),ROUND($E130-$F130,2)))</f>
        <v/>
      </c>
      <c r="H130" s="18">
        <f>IF(OR($B$7="",25&gt;$H$7),"",ROUND(MAX(0,$H129-$G130),2))</f>
        <v/>
      </c>
      <c r="I130" s="17">
        <f>IF(OR($B$7="",25&gt;$H$7),"",IF($D130&lt;=TODAY(),"Vencida","A vencer"))</f>
        <v/>
      </c>
      <c r="J130" s="30">
        <f>IF($D130="","",EOMONTH($D130,0))</f>
        <v/>
      </c>
    </row>
    <row r="131">
      <c r="A131" s="24">
        <f>IF($B$7="","",$A$7)</f>
        <v/>
      </c>
      <c r="B131" s="9">
        <f>IF($B$7="","",$B$7)</f>
        <v/>
      </c>
      <c r="C131" s="24">
        <f>IF($B$7="","",26)</f>
        <v/>
      </c>
      <c r="D131" s="30">
        <f>IF(OR($B$7="",26&gt;$H$7),"",EDATE($J$7,25))</f>
        <v/>
      </c>
      <c r="E131" s="18">
        <f>IF(OR($B$7="",26&gt;$H$7),"",IF($I$7="SAC",ROUND($E$7/$H$7+$F131,2),ROUND(($E$7*$G$7*(1+$G$7)^$H$7/((1+$G$7)^$H$7-1)),2)))</f>
        <v/>
      </c>
      <c r="F131" s="18">
        <f>IF(OR($B$7="",26&gt;$H$7),"",ROUND($H130*$G$7,2))</f>
        <v/>
      </c>
      <c r="G131" s="18">
        <f>IF(OR($B$7="",26&gt;$H$7),"",IF($I$7="SAC",ROUND($E$7/$H$7,2),ROUND($E131-$F131,2)))</f>
        <v/>
      </c>
      <c r="H131" s="18">
        <f>IF(OR($B$7="",26&gt;$H$7),"",ROUND(MAX(0,$H130-$G131),2))</f>
        <v/>
      </c>
      <c r="I131" s="17">
        <f>IF(OR($B$7="",26&gt;$H$7),"",IF($D131&lt;=TODAY(),"Vencida","A vencer"))</f>
        <v/>
      </c>
      <c r="J131" s="30">
        <f>IF($D131="","",EOMONTH($D131,0))</f>
        <v/>
      </c>
    </row>
    <row r="132">
      <c r="A132" s="24">
        <f>IF($B$7="","",$A$7)</f>
        <v/>
      </c>
      <c r="B132" s="9">
        <f>IF($B$7="","",$B$7)</f>
        <v/>
      </c>
      <c r="C132" s="24">
        <f>IF($B$7="","",27)</f>
        <v/>
      </c>
      <c r="D132" s="30">
        <f>IF(OR($B$7="",27&gt;$H$7),"",EDATE($J$7,26))</f>
        <v/>
      </c>
      <c r="E132" s="18">
        <f>IF(OR($B$7="",27&gt;$H$7),"",IF($I$7="SAC",ROUND($E$7/$H$7+$F132,2),ROUND(($E$7*$G$7*(1+$G$7)^$H$7/((1+$G$7)^$H$7-1)),2)))</f>
        <v/>
      </c>
      <c r="F132" s="18">
        <f>IF(OR($B$7="",27&gt;$H$7),"",ROUND($H131*$G$7,2))</f>
        <v/>
      </c>
      <c r="G132" s="18">
        <f>IF(OR($B$7="",27&gt;$H$7),"",IF($I$7="SAC",ROUND($E$7/$H$7,2),ROUND($E132-$F132,2)))</f>
        <v/>
      </c>
      <c r="H132" s="18">
        <f>IF(OR($B$7="",27&gt;$H$7),"",ROUND(MAX(0,$H131-$G132),2))</f>
        <v/>
      </c>
      <c r="I132" s="17">
        <f>IF(OR($B$7="",27&gt;$H$7),"",IF($D132&lt;=TODAY(),"Vencida","A vencer"))</f>
        <v/>
      </c>
      <c r="J132" s="30">
        <f>IF($D132="","",EOMONTH($D132,0))</f>
        <v/>
      </c>
    </row>
    <row r="133">
      <c r="A133" s="24">
        <f>IF($B$7="","",$A$7)</f>
        <v/>
      </c>
      <c r="B133" s="9">
        <f>IF($B$7="","",$B$7)</f>
        <v/>
      </c>
      <c r="C133" s="24">
        <f>IF($B$7="","",28)</f>
        <v/>
      </c>
      <c r="D133" s="30">
        <f>IF(OR($B$7="",28&gt;$H$7),"",EDATE($J$7,27))</f>
        <v/>
      </c>
      <c r="E133" s="18">
        <f>IF(OR($B$7="",28&gt;$H$7),"",IF($I$7="SAC",ROUND($E$7/$H$7+$F133,2),ROUND(($E$7*$G$7*(1+$G$7)^$H$7/((1+$G$7)^$H$7-1)),2)))</f>
        <v/>
      </c>
      <c r="F133" s="18">
        <f>IF(OR($B$7="",28&gt;$H$7),"",ROUND($H132*$G$7,2))</f>
        <v/>
      </c>
      <c r="G133" s="18">
        <f>IF(OR($B$7="",28&gt;$H$7),"",IF($I$7="SAC",ROUND($E$7/$H$7,2),ROUND($E133-$F133,2)))</f>
        <v/>
      </c>
      <c r="H133" s="18">
        <f>IF(OR($B$7="",28&gt;$H$7),"",ROUND(MAX(0,$H132-$G133),2))</f>
        <v/>
      </c>
      <c r="I133" s="17">
        <f>IF(OR($B$7="",28&gt;$H$7),"",IF($D133&lt;=TODAY(),"Vencida","A vencer"))</f>
        <v/>
      </c>
      <c r="J133" s="30">
        <f>IF($D133="","",EOMONTH($D133,0))</f>
        <v/>
      </c>
    </row>
    <row r="134">
      <c r="A134" s="24">
        <f>IF($B$7="","",$A$7)</f>
        <v/>
      </c>
      <c r="B134" s="9">
        <f>IF($B$7="","",$B$7)</f>
        <v/>
      </c>
      <c r="C134" s="24">
        <f>IF($B$7="","",29)</f>
        <v/>
      </c>
      <c r="D134" s="30">
        <f>IF(OR($B$7="",29&gt;$H$7),"",EDATE($J$7,28))</f>
        <v/>
      </c>
      <c r="E134" s="18">
        <f>IF(OR($B$7="",29&gt;$H$7),"",IF($I$7="SAC",ROUND($E$7/$H$7+$F134,2),ROUND(($E$7*$G$7*(1+$G$7)^$H$7/((1+$G$7)^$H$7-1)),2)))</f>
        <v/>
      </c>
      <c r="F134" s="18">
        <f>IF(OR($B$7="",29&gt;$H$7),"",ROUND($H133*$G$7,2))</f>
        <v/>
      </c>
      <c r="G134" s="18">
        <f>IF(OR($B$7="",29&gt;$H$7),"",IF($I$7="SAC",ROUND($E$7/$H$7,2),ROUND($E134-$F134,2)))</f>
        <v/>
      </c>
      <c r="H134" s="18">
        <f>IF(OR($B$7="",29&gt;$H$7),"",ROUND(MAX(0,$H133-$G134),2))</f>
        <v/>
      </c>
      <c r="I134" s="17">
        <f>IF(OR($B$7="",29&gt;$H$7),"",IF($D134&lt;=TODAY(),"Vencida","A vencer"))</f>
        <v/>
      </c>
      <c r="J134" s="30">
        <f>IF($D134="","",EOMONTH($D134,0))</f>
        <v/>
      </c>
    </row>
    <row r="135">
      <c r="A135" s="24">
        <f>IF($B$7="","",$A$7)</f>
        <v/>
      </c>
      <c r="B135" s="9">
        <f>IF($B$7="","",$B$7)</f>
        <v/>
      </c>
      <c r="C135" s="24">
        <f>IF($B$7="","",30)</f>
        <v/>
      </c>
      <c r="D135" s="30">
        <f>IF(OR($B$7="",30&gt;$H$7),"",EDATE($J$7,29))</f>
        <v/>
      </c>
      <c r="E135" s="18">
        <f>IF(OR($B$7="",30&gt;$H$7),"",IF($I$7="SAC",ROUND($E$7/$H$7+$F135,2),ROUND(($E$7*$G$7*(1+$G$7)^$H$7/((1+$G$7)^$H$7-1)),2)))</f>
        <v/>
      </c>
      <c r="F135" s="18">
        <f>IF(OR($B$7="",30&gt;$H$7),"",ROUND($H134*$G$7,2))</f>
        <v/>
      </c>
      <c r="G135" s="18">
        <f>IF(OR($B$7="",30&gt;$H$7),"",IF($I$7="SAC",ROUND($E$7/$H$7,2),ROUND($E135-$F135,2)))</f>
        <v/>
      </c>
      <c r="H135" s="18">
        <f>IF(OR($B$7="",30&gt;$H$7),"",ROUND(MAX(0,$H134-$G135),2))</f>
        <v/>
      </c>
      <c r="I135" s="17">
        <f>IF(OR($B$7="",30&gt;$H$7),"",IF($D135&lt;=TODAY(),"Vencida","A vencer"))</f>
        <v/>
      </c>
      <c r="J135" s="30">
        <f>IF($D135="","",EOMONTH($D135,0))</f>
        <v/>
      </c>
    </row>
    <row r="136">
      <c r="A136" s="24">
        <f>IF($B$7="","",$A$7)</f>
        <v/>
      </c>
      <c r="B136" s="9">
        <f>IF($B$7="","",$B$7)</f>
        <v/>
      </c>
      <c r="C136" s="24">
        <f>IF($B$7="","",31)</f>
        <v/>
      </c>
      <c r="D136" s="30">
        <f>IF(OR($B$7="",31&gt;$H$7),"",EDATE($J$7,30))</f>
        <v/>
      </c>
      <c r="E136" s="18">
        <f>IF(OR($B$7="",31&gt;$H$7),"",IF($I$7="SAC",ROUND($E$7/$H$7+$F136,2),ROUND(($E$7*$G$7*(1+$G$7)^$H$7/((1+$G$7)^$H$7-1)),2)))</f>
        <v/>
      </c>
      <c r="F136" s="18">
        <f>IF(OR($B$7="",31&gt;$H$7),"",ROUND($H135*$G$7,2))</f>
        <v/>
      </c>
      <c r="G136" s="18">
        <f>IF(OR($B$7="",31&gt;$H$7),"",IF($I$7="SAC",ROUND($E$7/$H$7,2),ROUND($E136-$F136,2)))</f>
        <v/>
      </c>
      <c r="H136" s="18">
        <f>IF(OR($B$7="",31&gt;$H$7),"",ROUND(MAX(0,$H135-$G136),2))</f>
        <v/>
      </c>
      <c r="I136" s="17">
        <f>IF(OR($B$7="",31&gt;$H$7),"",IF($D136&lt;=TODAY(),"Vencida","A vencer"))</f>
        <v/>
      </c>
      <c r="J136" s="30">
        <f>IF($D136="","",EOMONTH($D136,0))</f>
        <v/>
      </c>
    </row>
    <row r="137">
      <c r="A137" s="24">
        <f>IF($B$7="","",$A$7)</f>
        <v/>
      </c>
      <c r="B137" s="9">
        <f>IF($B$7="","",$B$7)</f>
        <v/>
      </c>
      <c r="C137" s="24">
        <f>IF($B$7="","",32)</f>
        <v/>
      </c>
      <c r="D137" s="30">
        <f>IF(OR($B$7="",32&gt;$H$7),"",EDATE($J$7,31))</f>
        <v/>
      </c>
      <c r="E137" s="18">
        <f>IF(OR($B$7="",32&gt;$H$7),"",IF($I$7="SAC",ROUND($E$7/$H$7+$F137,2),ROUND(($E$7*$G$7*(1+$G$7)^$H$7/((1+$G$7)^$H$7-1)),2)))</f>
        <v/>
      </c>
      <c r="F137" s="18">
        <f>IF(OR($B$7="",32&gt;$H$7),"",ROUND($H136*$G$7,2))</f>
        <v/>
      </c>
      <c r="G137" s="18">
        <f>IF(OR($B$7="",32&gt;$H$7),"",IF($I$7="SAC",ROUND($E$7/$H$7,2),ROUND($E137-$F137,2)))</f>
        <v/>
      </c>
      <c r="H137" s="18">
        <f>IF(OR($B$7="",32&gt;$H$7),"",ROUND(MAX(0,$H136-$G137),2))</f>
        <v/>
      </c>
      <c r="I137" s="17">
        <f>IF(OR($B$7="",32&gt;$H$7),"",IF($D137&lt;=TODAY(),"Vencida","A vencer"))</f>
        <v/>
      </c>
      <c r="J137" s="30">
        <f>IF($D137="","",EOMONTH($D137,0))</f>
        <v/>
      </c>
    </row>
    <row r="138">
      <c r="A138" s="24">
        <f>IF($B$7="","",$A$7)</f>
        <v/>
      </c>
      <c r="B138" s="9">
        <f>IF($B$7="","",$B$7)</f>
        <v/>
      </c>
      <c r="C138" s="24">
        <f>IF($B$7="","",33)</f>
        <v/>
      </c>
      <c r="D138" s="30">
        <f>IF(OR($B$7="",33&gt;$H$7),"",EDATE($J$7,32))</f>
        <v/>
      </c>
      <c r="E138" s="18">
        <f>IF(OR($B$7="",33&gt;$H$7),"",IF($I$7="SAC",ROUND($E$7/$H$7+$F138,2),ROUND(($E$7*$G$7*(1+$G$7)^$H$7/((1+$G$7)^$H$7-1)),2)))</f>
        <v/>
      </c>
      <c r="F138" s="18">
        <f>IF(OR($B$7="",33&gt;$H$7),"",ROUND($H137*$G$7,2))</f>
        <v/>
      </c>
      <c r="G138" s="18">
        <f>IF(OR($B$7="",33&gt;$H$7),"",IF($I$7="SAC",ROUND($E$7/$H$7,2),ROUND($E138-$F138,2)))</f>
        <v/>
      </c>
      <c r="H138" s="18">
        <f>IF(OR($B$7="",33&gt;$H$7),"",ROUND(MAX(0,$H137-$G138),2))</f>
        <v/>
      </c>
      <c r="I138" s="17">
        <f>IF(OR($B$7="",33&gt;$H$7),"",IF($D138&lt;=TODAY(),"Vencida","A vencer"))</f>
        <v/>
      </c>
      <c r="J138" s="30">
        <f>IF($D138="","",EOMONTH($D138,0))</f>
        <v/>
      </c>
    </row>
    <row r="139">
      <c r="A139" s="24">
        <f>IF($B$7="","",$A$7)</f>
        <v/>
      </c>
      <c r="B139" s="9">
        <f>IF($B$7="","",$B$7)</f>
        <v/>
      </c>
      <c r="C139" s="24">
        <f>IF($B$7="","",34)</f>
        <v/>
      </c>
      <c r="D139" s="30">
        <f>IF(OR($B$7="",34&gt;$H$7),"",EDATE($J$7,33))</f>
        <v/>
      </c>
      <c r="E139" s="18">
        <f>IF(OR($B$7="",34&gt;$H$7),"",IF($I$7="SAC",ROUND($E$7/$H$7+$F139,2),ROUND(($E$7*$G$7*(1+$G$7)^$H$7/((1+$G$7)^$H$7-1)),2)))</f>
        <v/>
      </c>
      <c r="F139" s="18">
        <f>IF(OR($B$7="",34&gt;$H$7),"",ROUND($H138*$G$7,2))</f>
        <v/>
      </c>
      <c r="G139" s="18">
        <f>IF(OR($B$7="",34&gt;$H$7),"",IF($I$7="SAC",ROUND($E$7/$H$7,2),ROUND($E139-$F139,2)))</f>
        <v/>
      </c>
      <c r="H139" s="18">
        <f>IF(OR($B$7="",34&gt;$H$7),"",ROUND(MAX(0,$H138-$G139),2))</f>
        <v/>
      </c>
      <c r="I139" s="17">
        <f>IF(OR($B$7="",34&gt;$H$7),"",IF($D139&lt;=TODAY(),"Vencida","A vencer"))</f>
        <v/>
      </c>
      <c r="J139" s="30">
        <f>IF($D139="","",EOMONTH($D139,0))</f>
        <v/>
      </c>
    </row>
    <row r="140">
      <c r="A140" s="24">
        <f>IF($B$7="","",$A$7)</f>
        <v/>
      </c>
      <c r="B140" s="9">
        <f>IF($B$7="","",$B$7)</f>
        <v/>
      </c>
      <c r="C140" s="24">
        <f>IF($B$7="","",35)</f>
        <v/>
      </c>
      <c r="D140" s="30">
        <f>IF(OR($B$7="",35&gt;$H$7),"",EDATE($J$7,34))</f>
        <v/>
      </c>
      <c r="E140" s="18">
        <f>IF(OR($B$7="",35&gt;$H$7),"",IF($I$7="SAC",ROUND($E$7/$H$7+$F140,2),ROUND(($E$7*$G$7*(1+$G$7)^$H$7/((1+$G$7)^$H$7-1)),2)))</f>
        <v/>
      </c>
      <c r="F140" s="18">
        <f>IF(OR($B$7="",35&gt;$H$7),"",ROUND($H139*$G$7,2))</f>
        <v/>
      </c>
      <c r="G140" s="18">
        <f>IF(OR($B$7="",35&gt;$H$7),"",IF($I$7="SAC",ROUND($E$7/$H$7,2),ROUND($E140-$F140,2)))</f>
        <v/>
      </c>
      <c r="H140" s="18">
        <f>IF(OR($B$7="",35&gt;$H$7),"",ROUND(MAX(0,$H139-$G140),2))</f>
        <v/>
      </c>
      <c r="I140" s="17">
        <f>IF(OR($B$7="",35&gt;$H$7),"",IF($D140&lt;=TODAY(),"Vencida","A vencer"))</f>
        <v/>
      </c>
      <c r="J140" s="30">
        <f>IF($D140="","",EOMONTH($D140,0))</f>
        <v/>
      </c>
    </row>
    <row r="141">
      <c r="A141" s="24">
        <f>IF($B$7="","",$A$7)</f>
        <v/>
      </c>
      <c r="B141" s="9">
        <f>IF($B$7="","",$B$7)</f>
        <v/>
      </c>
      <c r="C141" s="24">
        <f>IF($B$7="","",36)</f>
        <v/>
      </c>
      <c r="D141" s="30">
        <f>IF(OR($B$7="",36&gt;$H$7),"",EDATE($J$7,35))</f>
        <v/>
      </c>
      <c r="E141" s="18">
        <f>IF(OR($B$7="",36&gt;$H$7),"",IF($I$7="SAC",ROUND($E$7/$H$7+$F141,2),ROUND(($E$7*$G$7*(1+$G$7)^$H$7/((1+$G$7)^$H$7-1)),2)))</f>
        <v/>
      </c>
      <c r="F141" s="18">
        <f>IF(OR($B$7="",36&gt;$H$7),"",ROUND($H140*$G$7,2))</f>
        <v/>
      </c>
      <c r="G141" s="18">
        <f>IF(OR($B$7="",36&gt;$H$7),"",IF($I$7="SAC",ROUND($E$7/$H$7,2),ROUND($E141-$F141,2)))</f>
        <v/>
      </c>
      <c r="H141" s="18">
        <f>IF(OR($B$7="",36&gt;$H$7),"",ROUND(MAX(0,$H140-$G141),2))</f>
        <v/>
      </c>
      <c r="I141" s="17">
        <f>IF(OR($B$7="",36&gt;$H$7),"",IF($D141&lt;=TODAY(),"Vencida","A vencer"))</f>
        <v/>
      </c>
      <c r="J141" s="30">
        <f>IF($D141="","",EOMONTH($D141,0))</f>
        <v/>
      </c>
    </row>
    <row r="142">
      <c r="A142" s="24">
        <f>IF($B$7="","",$A$7)</f>
        <v/>
      </c>
      <c r="B142" s="9">
        <f>IF($B$7="","",$B$7)</f>
        <v/>
      </c>
      <c r="C142" s="24">
        <f>IF($B$7="","",37)</f>
        <v/>
      </c>
      <c r="D142" s="30">
        <f>IF(OR($B$7="",37&gt;$H$7),"",EDATE($J$7,36))</f>
        <v/>
      </c>
      <c r="E142" s="18">
        <f>IF(OR($B$7="",37&gt;$H$7),"",IF($I$7="SAC",ROUND($E$7/$H$7+$F142,2),ROUND(($E$7*$G$7*(1+$G$7)^$H$7/((1+$G$7)^$H$7-1)),2)))</f>
        <v/>
      </c>
      <c r="F142" s="18">
        <f>IF(OR($B$7="",37&gt;$H$7),"",ROUND($H141*$G$7,2))</f>
        <v/>
      </c>
      <c r="G142" s="18">
        <f>IF(OR($B$7="",37&gt;$H$7),"",IF($I$7="SAC",ROUND($E$7/$H$7,2),ROUND($E142-$F142,2)))</f>
        <v/>
      </c>
      <c r="H142" s="18">
        <f>IF(OR($B$7="",37&gt;$H$7),"",ROUND(MAX(0,$H141-$G142),2))</f>
        <v/>
      </c>
      <c r="I142" s="17">
        <f>IF(OR($B$7="",37&gt;$H$7),"",IF($D142&lt;=TODAY(),"Vencida","A vencer"))</f>
        <v/>
      </c>
      <c r="J142" s="30">
        <f>IF($D142="","",EOMONTH($D142,0))</f>
        <v/>
      </c>
    </row>
    <row r="143">
      <c r="A143" s="24">
        <f>IF($B$7="","",$A$7)</f>
        <v/>
      </c>
      <c r="B143" s="9">
        <f>IF($B$7="","",$B$7)</f>
        <v/>
      </c>
      <c r="C143" s="24">
        <f>IF($B$7="","",38)</f>
        <v/>
      </c>
      <c r="D143" s="30">
        <f>IF(OR($B$7="",38&gt;$H$7),"",EDATE($J$7,37))</f>
        <v/>
      </c>
      <c r="E143" s="18">
        <f>IF(OR($B$7="",38&gt;$H$7),"",IF($I$7="SAC",ROUND($E$7/$H$7+$F143,2),ROUND(($E$7*$G$7*(1+$G$7)^$H$7/((1+$G$7)^$H$7-1)),2)))</f>
        <v/>
      </c>
      <c r="F143" s="18">
        <f>IF(OR($B$7="",38&gt;$H$7),"",ROUND($H142*$G$7,2))</f>
        <v/>
      </c>
      <c r="G143" s="18">
        <f>IF(OR($B$7="",38&gt;$H$7),"",IF($I$7="SAC",ROUND($E$7/$H$7,2),ROUND($E143-$F143,2)))</f>
        <v/>
      </c>
      <c r="H143" s="18">
        <f>IF(OR($B$7="",38&gt;$H$7),"",ROUND(MAX(0,$H142-$G143),2))</f>
        <v/>
      </c>
      <c r="I143" s="17">
        <f>IF(OR($B$7="",38&gt;$H$7),"",IF($D143&lt;=TODAY(),"Vencida","A vencer"))</f>
        <v/>
      </c>
      <c r="J143" s="30">
        <f>IF($D143="","",EOMONTH($D143,0))</f>
        <v/>
      </c>
    </row>
    <row r="144">
      <c r="A144" s="24">
        <f>IF($B$7="","",$A$7)</f>
        <v/>
      </c>
      <c r="B144" s="9">
        <f>IF($B$7="","",$B$7)</f>
        <v/>
      </c>
      <c r="C144" s="24">
        <f>IF($B$7="","",39)</f>
        <v/>
      </c>
      <c r="D144" s="30">
        <f>IF(OR($B$7="",39&gt;$H$7),"",EDATE($J$7,38))</f>
        <v/>
      </c>
      <c r="E144" s="18">
        <f>IF(OR($B$7="",39&gt;$H$7),"",IF($I$7="SAC",ROUND($E$7/$H$7+$F144,2),ROUND(($E$7*$G$7*(1+$G$7)^$H$7/((1+$G$7)^$H$7-1)),2)))</f>
        <v/>
      </c>
      <c r="F144" s="18">
        <f>IF(OR($B$7="",39&gt;$H$7),"",ROUND($H143*$G$7,2))</f>
        <v/>
      </c>
      <c r="G144" s="18">
        <f>IF(OR($B$7="",39&gt;$H$7),"",IF($I$7="SAC",ROUND($E$7/$H$7,2),ROUND($E144-$F144,2)))</f>
        <v/>
      </c>
      <c r="H144" s="18">
        <f>IF(OR($B$7="",39&gt;$H$7),"",ROUND(MAX(0,$H143-$G144),2))</f>
        <v/>
      </c>
      <c r="I144" s="17">
        <f>IF(OR($B$7="",39&gt;$H$7),"",IF($D144&lt;=TODAY(),"Vencida","A vencer"))</f>
        <v/>
      </c>
      <c r="J144" s="30">
        <f>IF($D144="","",EOMONTH($D144,0))</f>
        <v/>
      </c>
    </row>
    <row r="145">
      <c r="A145" s="24">
        <f>IF($B$7="","",$A$7)</f>
        <v/>
      </c>
      <c r="B145" s="9">
        <f>IF($B$7="","",$B$7)</f>
        <v/>
      </c>
      <c r="C145" s="24">
        <f>IF($B$7="","",40)</f>
        <v/>
      </c>
      <c r="D145" s="30">
        <f>IF(OR($B$7="",40&gt;$H$7),"",EDATE($J$7,39))</f>
        <v/>
      </c>
      <c r="E145" s="18">
        <f>IF(OR($B$7="",40&gt;$H$7),"",IF($I$7="SAC",ROUND($E$7/$H$7+$F145,2),ROUND(($E$7*$G$7*(1+$G$7)^$H$7/((1+$G$7)^$H$7-1)),2)))</f>
        <v/>
      </c>
      <c r="F145" s="18">
        <f>IF(OR($B$7="",40&gt;$H$7),"",ROUND($H144*$G$7,2))</f>
        <v/>
      </c>
      <c r="G145" s="18">
        <f>IF(OR($B$7="",40&gt;$H$7),"",IF($I$7="SAC",ROUND($E$7/$H$7,2),ROUND($E145-$F145,2)))</f>
        <v/>
      </c>
      <c r="H145" s="18">
        <f>IF(OR($B$7="",40&gt;$H$7),"",ROUND(MAX(0,$H144-$G145),2))</f>
        <v/>
      </c>
      <c r="I145" s="17">
        <f>IF(OR($B$7="",40&gt;$H$7),"",IF($D145&lt;=TODAY(),"Vencida","A vencer"))</f>
        <v/>
      </c>
      <c r="J145" s="30">
        <f>IF($D145="","",EOMONTH($D145,0))</f>
        <v/>
      </c>
    </row>
    <row r="146">
      <c r="A146" s="24">
        <f>IF($B$7="","",$A$7)</f>
        <v/>
      </c>
      <c r="B146" s="9">
        <f>IF($B$7="","",$B$7)</f>
        <v/>
      </c>
      <c r="C146" s="24">
        <f>IF($B$7="","",41)</f>
        <v/>
      </c>
      <c r="D146" s="30">
        <f>IF(OR($B$7="",41&gt;$H$7),"",EDATE($J$7,40))</f>
        <v/>
      </c>
      <c r="E146" s="18">
        <f>IF(OR($B$7="",41&gt;$H$7),"",IF($I$7="SAC",ROUND($E$7/$H$7+$F146,2),ROUND(($E$7*$G$7*(1+$G$7)^$H$7/((1+$G$7)^$H$7-1)),2)))</f>
        <v/>
      </c>
      <c r="F146" s="18">
        <f>IF(OR($B$7="",41&gt;$H$7),"",ROUND($H145*$G$7,2))</f>
        <v/>
      </c>
      <c r="G146" s="18">
        <f>IF(OR($B$7="",41&gt;$H$7),"",IF($I$7="SAC",ROUND($E$7/$H$7,2),ROUND($E146-$F146,2)))</f>
        <v/>
      </c>
      <c r="H146" s="18">
        <f>IF(OR($B$7="",41&gt;$H$7),"",ROUND(MAX(0,$H145-$G146),2))</f>
        <v/>
      </c>
      <c r="I146" s="17">
        <f>IF(OR($B$7="",41&gt;$H$7),"",IF($D146&lt;=TODAY(),"Vencida","A vencer"))</f>
        <v/>
      </c>
      <c r="J146" s="30">
        <f>IF($D146="","",EOMONTH($D146,0))</f>
        <v/>
      </c>
    </row>
    <row r="147">
      <c r="A147" s="24">
        <f>IF($B$7="","",$A$7)</f>
        <v/>
      </c>
      <c r="B147" s="9">
        <f>IF($B$7="","",$B$7)</f>
        <v/>
      </c>
      <c r="C147" s="24">
        <f>IF($B$7="","",42)</f>
        <v/>
      </c>
      <c r="D147" s="30">
        <f>IF(OR($B$7="",42&gt;$H$7),"",EDATE($J$7,41))</f>
        <v/>
      </c>
      <c r="E147" s="18">
        <f>IF(OR($B$7="",42&gt;$H$7),"",IF($I$7="SAC",ROUND($E$7/$H$7+$F147,2),ROUND(($E$7*$G$7*(1+$G$7)^$H$7/((1+$G$7)^$H$7-1)),2)))</f>
        <v/>
      </c>
      <c r="F147" s="18">
        <f>IF(OR($B$7="",42&gt;$H$7),"",ROUND($H146*$G$7,2))</f>
        <v/>
      </c>
      <c r="G147" s="18">
        <f>IF(OR($B$7="",42&gt;$H$7),"",IF($I$7="SAC",ROUND($E$7/$H$7,2),ROUND($E147-$F147,2)))</f>
        <v/>
      </c>
      <c r="H147" s="18">
        <f>IF(OR($B$7="",42&gt;$H$7),"",ROUND(MAX(0,$H146-$G147),2))</f>
        <v/>
      </c>
      <c r="I147" s="17">
        <f>IF(OR($B$7="",42&gt;$H$7),"",IF($D147&lt;=TODAY(),"Vencida","A vencer"))</f>
        <v/>
      </c>
      <c r="J147" s="30">
        <f>IF($D147="","",EOMONTH($D147,0))</f>
        <v/>
      </c>
    </row>
    <row r="148">
      <c r="A148" s="24">
        <f>IF($B$7="","",$A$7)</f>
        <v/>
      </c>
      <c r="B148" s="9">
        <f>IF($B$7="","",$B$7)</f>
        <v/>
      </c>
      <c r="C148" s="24">
        <f>IF($B$7="","",43)</f>
        <v/>
      </c>
      <c r="D148" s="30">
        <f>IF(OR($B$7="",43&gt;$H$7),"",EDATE($J$7,42))</f>
        <v/>
      </c>
      <c r="E148" s="18">
        <f>IF(OR($B$7="",43&gt;$H$7),"",IF($I$7="SAC",ROUND($E$7/$H$7+$F148,2),ROUND(($E$7*$G$7*(1+$G$7)^$H$7/((1+$G$7)^$H$7-1)),2)))</f>
        <v/>
      </c>
      <c r="F148" s="18">
        <f>IF(OR($B$7="",43&gt;$H$7),"",ROUND($H147*$G$7,2))</f>
        <v/>
      </c>
      <c r="G148" s="18">
        <f>IF(OR($B$7="",43&gt;$H$7),"",IF($I$7="SAC",ROUND($E$7/$H$7,2),ROUND($E148-$F148,2)))</f>
        <v/>
      </c>
      <c r="H148" s="18">
        <f>IF(OR($B$7="",43&gt;$H$7),"",ROUND(MAX(0,$H147-$G148),2))</f>
        <v/>
      </c>
      <c r="I148" s="17">
        <f>IF(OR($B$7="",43&gt;$H$7),"",IF($D148&lt;=TODAY(),"Vencida","A vencer"))</f>
        <v/>
      </c>
      <c r="J148" s="30">
        <f>IF($D148="","",EOMONTH($D148,0))</f>
        <v/>
      </c>
    </row>
    <row r="149">
      <c r="A149" s="24">
        <f>IF($B$7="","",$A$7)</f>
        <v/>
      </c>
      <c r="B149" s="9">
        <f>IF($B$7="","",$B$7)</f>
        <v/>
      </c>
      <c r="C149" s="24">
        <f>IF($B$7="","",44)</f>
        <v/>
      </c>
      <c r="D149" s="30">
        <f>IF(OR($B$7="",44&gt;$H$7),"",EDATE($J$7,43))</f>
        <v/>
      </c>
      <c r="E149" s="18">
        <f>IF(OR($B$7="",44&gt;$H$7),"",IF($I$7="SAC",ROUND($E$7/$H$7+$F149,2),ROUND(($E$7*$G$7*(1+$G$7)^$H$7/((1+$G$7)^$H$7-1)),2)))</f>
        <v/>
      </c>
      <c r="F149" s="18">
        <f>IF(OR($B$7="",44&gt;$H$7),"",ROUND($H148*$G$7,2))</f>
        <v/>
      </c>
      <c r="G149" s="18">
        <f>IF(OR($B$7="",44&gt;$H$7),"",IF($I$7="SAC",ROUND($E$7/$H$7,2),ROUND($E149-$F149,2)))</f>
        <v/>
      </c>
      <c r="H149" s="18">
        <f>IF(OR($B$7="",44&gt;$H$7),"",ROUND(MAX(0,$H148-$G149),2))</f>
        <v/>
      </c>
      <c r="I149" s="17">
        <f>IF(OR($B$7="",44&gt;$H$7),"",IF($D149&lt;=TODAY(),"Vencida","A vencer"))</f>
        <v/>
      </c>
      <c r="J149" s="30">
        <f>IF($D149="","",EOMONTH($D149,0))</f>
        <v/>
      </c>
    </row>
    <row r="150">
      <c r="A150" s="24">
        <f>IF($B$7="","",$A$7)</f>
        <v/>
      </c>
      <c r="B150" s="9">
        <f>IF($B$7="","",$B$7)</f>
        <v/>
      </c>
      <c r="C150" s="24">
        <f>IF($B$7="","",45)</f>
        <v/>
      </c>
      <c r="D150" s="30">
        <f>IF(OR($B$7="",45&gt;$H$7),"",EDATE($J$7,44))</f>
        <v/>
      </c>
      <c r="E150" s="18">
        <f>IF(OR($B$7="",45&gt;$H$7),"",IF($I$7="SAC",ROUND($E$7/$H$7+$F150,2),ROUND(($E$7*$G$7*(1+$G$7)^$H$7/((1+$G$7)^$H$7-1)),2)))</f>
        <v/>
      </c>
      <c r="F150" s="18">
        <f>IF(OR($B$7="",45&gt;$H$7),"",ROUND($H149*$G$7,2))</f>
        <v/>
      </c>
      <c r="G150" s="18">
        <f>IF(OR($B$7="",45&gt;$H$7),"",IF($I$7="SAC",ROUND($E$7/$H$7,2),ROUND($E150-$F150,2)))</f>
        <v/>
      </c>
      <c r="H150" s="18">
        <f>IF(OR($B$7="",45&gt;$H$7),"",ROUND(MAX(0,$H149-$G150),2))</f>
        <v/>
      </c>
      <c r="I150" s="17">
        <f>IF(OR($B$7="",45&gt;$H$7),"",IF($D150&lt;=TODAY(),"Vencida","A vencer"))</f>
        <v/>
      </c>
      <c r="J150" s="30">
        <f>IF($D150="","",EOMONTH($D150,0))</f>
        <v/>
      </c>
    </row>
    <row r="151">
      <c r="A151" s="24">
        <f>IF($B$7="","",$A$7)</f>
        <v/>
      </c>
      <c r="B151" s="9">
        <f>IF($B$7="","",$B$7)</f>
        <v/>
      </c>
      <c r="C151" s="24">
        <f>IF($B$7="","",46)</f>
        <v/>
      </c>
      <c r="D151" s="30">
        <f>IF(OR($B$7="",46&gt;$H$7),"",EDATE($J$7,45))</f>
        <v/>
      </c>
      <c r="E151" s="18">
        <f>IF(OR($B$7="",46&gt;$H$7),"",IF($I$7="SAC",ROUND($E$7/$H$7+$F151,2),ROUND(($E$7*$G$7*(1+$G$7)^$H$7/((1+$G$7)^$H$7-1)),2)))</f>
        <v/>
      </c>
      <c r="F151" s="18">
        <f>IF(OR($B$7="",46&gt;$H$7),"",ROUND($H150*$G$7,2))</f>
        <v/>
      </c>
      <c r="G151" s="18">
        <f>IF(OR($B$7="",46&gt;$H$7),"",IF($I$7="SAC",ROUND($E$7/$H$7,2),ROUND($E151-$F151,2)))</f>
        <v/>
      </c>
      <c r="H151" s="18">
        <f>IF(OR($B$7="",46&gt;$H$7),"",ROUND(MAX(0,$H150-$G151),2))</f>
        <v/>
      </c>
      <c r="I151" s="17">
        <f>IF(OR($B$7="",46&gt;$H$7),"",IF($D151&lt;=TODAY(),"Vencida","A vencer"))</f>
        <v/>
      </c>
      <c r="J151" s="30">
        <f>IF($D151="","",EOMONTH($D151,0))</f>
        <v/>
      </c>
    </row>
    <row r="152">
      <c r="A152" s="24">
        <f>IF($B$7="","",$A$7)</f>
        <v/>
      </c>
      <c r="B152" s="9">
        <f>IF($B$7="","",$B$7)</f>
        <v/>
      </c>
      <c r="C152" s="24">
        <f>IF($B$7="","",47)</f>
        <v/>
      </c>
      <c r="D152" s="30">
        <f>IF(OR($B$7="",47&gt;$H$7),"",EDATE($J$7,46))</f>
        <v/>
      </c>
      <c r="E152" s="18">
        <f>IF(OR($B$7="",47&gt;$H$7),"",IF($I$7="SAC",ROUND($E$7/$H$7+$F152,2),ROUND(($E$7*$G$7*(1+$G$7)^$H$7/((1+$G$7)^$H$7-1)),2)))</f>
        <v/>
      </c>
      <c r="F152" s="18">
        <f>IF(OR($B$7="",47&gt;$H$7),"",ROUND($H151*$G$7,2))</f>
        <v/>
      </c>
      <c r="G152" s="18">
        <f>IF(OR($B$7="",47&gt;$H$7),"",IF($I$7="SAC",ROUND($E$7/$H$7,2),ROUND($E152-$F152,2)))</f>
        <v/>
      </c>
      <c r="H152" s="18">
        <f>IF(OR($B$7="",47&gt;$H$7),"",ROUND(MAX(0,$H151-$G152),2))</f>
        <v/>
      </c>
      <c r="I152" s="17">
        <f>IF(OR($B$7="",47&gt;$H$7),"",IF($D152&lt;=TODAY(),"Vencida","A vencer"))</f>
        <v/>
      </c>
      <c r="J152" s="30">
        <f>IF($D152="","",EOMONTH($D152,0))</f>
        <v/>
      </c>
    </row>
    <row r="153">
      <c r="A153" s="24">
        <f>IF($B$7="","",$A$7)</f>
        <v/>
      </c>
      <c r="B153" s="9">
        <f>IF($B$7="","",$B$7)</f>
        <v/>
      </c>
      <c r="C153" s="24">
        <f>IF($B$7="","",48)</f>
        <v/>
      </c>
      <c r="D153" s="30">
        <f>IF(OR($B$7="",48&gt;$H$7),"",EDATE($J$7,47))</f>
        <v/>
      </c>
      <c r="E153" s="18">
        <f>IF(OR($B$7="",48&gt;$H$7),"",IF($I$7="SAC",ROUND($E$7/$H$7+$F153,2),ROUND(($E$7*$G$7*(1+$G$7)^$H$7/((1+$G$7)^$H$7-1)),2)))</f>
        <v/>
      </c>
      <c r="F153" s="18">
        <f>IF(OR($B$7="",48&gt;$H$7),"",ROUND($H152*$G$7,2))</f>
        <v/>
      </c>
      <c r="G153" s="18">
        <f>IF(OR($B$7="",48&gt;$H$7),"",IF($I$7="SAC",ROUND($E$7/$H$7,2),ROUND($E153-$F153,2)))</f>
        <v/>
      </c>
      <c r="H153" s="18">
        <f>IF(OR($B$7="",48&gt;$H$7),"",ROUND(MAX(0,$H152-$G153),2))</f>
        <v/>
      </c>
      <c r="I153" s="17">
        <f>IF(OR($B$7="",48&gt;$H$7),"",IF($D153&lt;=TODAY(),"Vencida","A vencer"))</f>
        <v/>
      </c>
      <c r="J153" s="30">
        <f>IF($D153="","",EOMONTH($D153,0))</f>
        <v/>
      </c>
    </row>
    <row r="154">
      <c r="A154" s="24">
        <f>IF($B$7="","",$A$7)</f>
        <v/>
      </c>
      <c r="B154" s="9">
        <f>IF($B$7="","",$B$7)</f>
        <v/>
      </c>
      <c r="C154" s="24">
        <f>IF($B$7="","",49)</f>
        <v/>
      </c>
      <c r="D154" s="30">
        <f>IF(OR($B$7="",49&gt;$H$7),"",EDATE($J$7,48))</f>
        <v/>
      </c>
      <c r="E154" s="18">
        <f>IF(OR($B$7="",49&gt;$H$7),"",IF($I$7="SAC",ROUND($E$7/$H$7+$F154,2),ROUND(($E$7*$G$7*(1+$G$7)^$H$7/((1+$G$7)^$H$7-1)),2)))</f>
        <v/>
      </c>
      <c r="F154" s="18">
        <f>IF(OR($B$7="",49&gt;$H$7),"",ROUND($H153*$G$7,2))</f>
        <v/>
      </c>
      <c r="G154" s="18">
        <f>IF(OR($B$7="",49&gt;$H$7),"",IF($I$7="SAC",ROUND($E$7/$H$7,2),ROUND($E154-$F154,2)))</f>
        <v/>
      </c>
      <c r="H154" s="18">
        <f>IF(OR($B$7="",49&gt;$H$7),"",ROUND(MAX(0,$H153-$G154),2))</f>
        <v/>
      </c>
      <c r="I154" s="17">
        <f>IF(OR($B$7="",49&gt;$H$7),"",IF($D154&lt;=TODAY(),"Vencida","A vencer"))</f>
        <v/>
      </c>
      <c r="J154" s="30">
        <f>IF($D154="","",EOMONTH($D154,0))</f>
        <v/>
      </c>
    </row>
    <row r="155">
      <c r="A155" s="24">
        <f>IF($B$7="","",$A$7)</f>
        <v/>
      </c>
      <c r="B155" s="9">
        <f>IF($B$7="","",$B$7)</f>
        <v/>
      </c>
      <c r="C155" s="24">
        <f>IF($B$7="","",50)</f>
        <v/>
      </c>
      <c r="D155" s="30">
        <f>IF(OR($B$7="",50&gt;$H$7),"",EDATE($J$7,49))</f>
        <v/>
      </c>
      <c r="E155" s="18">
        <f>IF(OR($B$7="",50&gt;$H$7),"",IF($I$7="SAC",ROUND($E$7/$H$7+$F155,2),ROUND(($E$7*$G$7*(1+$G$7)^$H$7/((1+$G$7)^$H$7-1)),2)))</f>
        <v/>
      </c>
      <c r="F155" s="18">
        <f>IF(OR($B$7="",50&gt;$H$7),"",ROUND($H154*$G$7,2))</f>
        <v/>
      </c>
      <c r="G155" s="18">
        <f>IF(OR($B$7="",50&gt;$H$7),"",IF($I$7="SAC",ROUND($E$7/$H$7,2),ROUND($E155-$F155,2)))</f>
        <v/>
      </c>
      <c r="H155" s="18">
        <f>IF(OR($B$7="",50&gt;$H$7),"",ROUND(MAX(0,$H154-$G155),2))</f>
        <v/>
      </c>
      <c r="I155" s="17">
        <f>IF(OR($B$7="",50&gt;$H$7),"",IF($D155&lt;=TODAY(),"Vencida","A vencer"))</f>
        <v/>
      </c>
      <c r="J155" s="30">
        <f>IF($D155="","",EOMONTH($D155,0))</f>
        <v/>
      </c>
    </row>
    <row r="156">
      <c r="A156" s="24">
        <f>IF($B$7="","",$A$7)</f>
        <v/>
      </c>
      <c r="B156" s="9">
        <f>IF($B$7="","",$B$7)</f>
        <v/>
      </c>
      <c r="C156" s="24">
        <f>IF($B$7="","",51)</f>
        <v/>
      </c>
      <c r="D156" s="30">
        <f>IF(OR($B$7="",51&gt;$H$7),"",EDATE($J$7,50))</f>
        <v/>
      </c>
      <c r="E156" s="18">
        <f>IF(OR($B$7="",51&gt;$H$7),"",IF($I$7="SAC",ROUND($E$7/$H$7+$F156,2),ROUND(($E$7*$G$7*(1+$G$7)^$H$7/((1+$G$7)^$H$7-1)),2)))</f>
        <v/>
      </c>
      <c r="F156" s="18">
        <f>IF(OR($B$7="",51&gt;$H$7),"",ROUND($H155*$G$7,2))</f>
        <v/>
      </c>
      <c r="G156" s="18">
        <f>IF(OR($B$7="",51&gt;$H$7),"",IF($I$7="SAC",ROUND($E$7/$H$7,2),ROUND($E156-$F156,2)))</f>
        <v/>
      </c>
      <c r="H156" s="18">
        <f>IF(OR($B$7="",51&gt;$H$7),"",ROUND(MAX(0,$H155-$G156),2))</f>
        <v/>
      </c>
      <c r="I156" s="17">
        <f>IF(OR($B$7="",51&gt;$H$7),"",IF($D156&lt;=TODAY(),"Vencida","A vencer"))</f>
        <v/>
      </c>
      <c r="J156" s="30">
        <f>IF($D156="","",EOMONTH($D156,0))</f>
        <v/>
      </c>
    </row>
    <row r="157">
      <c r="A157" s="24">
        <f>IF($B$7="","",$A$7)</f>
        <v/>
      </c>
      <c r="B157" s="9">
        <f>IF($B$7="","",$B$7)</f>
        <v/>
      </c>
      <c r="C157" s="24">
        <f>IF($B$7="","",52)</f>
        <v/>
      </c>
      <c r="D157" s="30">
        <f>IF(OR($B$7="",52&gt;$H$7),"",EDATE($J$7,51))</f>
        <v/>
      </c>
      <c r="E157" s="18">
        <f>IF(OR($B$7="",52&gt;$H$7),"",IF($I$7="SAC",ROUND($E$7/$H$7+$F157,2),ROUND(($E$7*$G$7*(1+$G$7)^$H$7/((1+$G$7)^$H$7-1)),2)))</f>
        <v/>
      </c>
      <c r="F157" s="18">
        <f>IF(OR($B$7="",52&gt;$H$7),"",ROUND($H156*$G$7,2))</f>
        <v/>
      </c>
      <c r="G157" s="18">
        <f>IF(OR($B$7="",52&gt;$H$7),"",IF($I$7="SAC",ROUND($E$7/$H$7,2),ROUND($E157-$F157,2)))</f>
        <v/>
      </c>
      <c r="H157" s="18">
        <f>IF(OR($B$7="",52&gt;$H$7),"",ROUND(MAX(0,$H156-$G157),2))</f>
        <v/>
      </c>
      <c r="I157" s="17">
        <f>IF(OR($B$7="",52&gt;$H$7),"",IF($D157&lt;=TODAY(),"Vencida","A vencer"))</f>
        <v/>
      </c>
      <c r="J157" s="30">
        <f>IF($D157="","",EOMONTH($D157,0))</f>
        <v/>
      </c>
    </row>
    <row r="158">
      <c r="A158" s="24">
        <f>IF($B$7="","",$A$7)</f>
        <v/>
      </c>
      <c r="B158" s="9">
        <f>IF($B$7="","",$B$7)</f>
        <v/>
      </c>
      <c r="C158" s="24">
        <f>IF($B$7="","",53)</f>
        <v/>
      </c>
      <c r="D158" s="30">
        <f>IF(OR($B$7="",53&gt;$H$7),"",EDATE($J$7,52))</f>
        <v/>
      </c>
      <c r="E158" s="18">
        <f>IF(OR($B$7="",53&gt;$H$7),"",IF($I$7="SAC",ROUND($E$7/$H$7+$F158,2),ROUND(($E$7*$G$7*(1+$G$7)^$H$7/((1+$G$7)^$H$7-1)),2)))</f>
        <v/>
      </c>
      <c r="F158" s="18">
        <f>IF(OR($B$7="",53&gt;$H$7),"",ROUND($H157*$G$7,2))</f>
        <v/>
      </c>
      <c r="G158" s="18">
        <f>IF(OR($B$7="",53&gt;$H$7),"",IF($I$7="SAC",ROUND($E$7/$H$7,2),ROUND($E158-$F158,2)))</f>
        <v/>
      </c>
      <c r="H158" s="18">
        <f>IF(OR($B$7="",53&gt;$H$7),"",ROUND(MAX(0,$H157-$G158),2))</f>
        <v/>
      </c>
      <c r="I158" s="17">
        <f>IF(OR($B$7="",53&gt;$H$7),"",IF($D158&lt;=TODAY(),"Vencida","A vencer"))</f>
        <v/>
      </c>
      <c r="J158" s="30">
        <f>IF($D158="","",EOMONTH($D158,0))</f>
        <v/>
      </c>
    </row>
    <row r="159">
      <c r="A159" s="24">
        <f>IF($B$7="","",$A$7)</f>
        <v/>
      </c>
      <c r="B159" s="9">
        <f>IF($B$7="","",$B$7)</f>
        <v/>
      </c>
      <c r="C159" s="24">
        <f>IF($B$7="","",54)</f>
        <v/>
      </c>
      <c r="D159" s="30">
        <f>IF(OR($B$7="",54&gt;$H$7),"",EDATE($J$7,53))</f>
        <v/>
      </c>
      <c r="E159" s="18">
        <f>IF(OR($B$7="",54&gt;$H$7),"",IF($I$7="SAC",ROUND($E$7/$H$7+$F159,2),ROUND(($E$7*$G$7*(1+$G$7)^$H$7/((1+$G$7)^$H$7-1)),2)))</f>
        <v/>
      </c>
      <c r="F159" s="18">
        <f>IF(OR($B$7="",54&gt;$H$7),"",ROUND($H158*$G$7,2))</f>
        <v/>
      </c>
      <c r="G159" s="18">
        <f>IF(OR($B$7="",54&gt;$H$7),"",IF($I$7="SAC",ROUND($E$7/$H$7,2),ROUND($E159-$F159,2)))</f>
        <v/>
      </c>
      <c r="H159" s="18">
        <f>IF(OR($B$7="",54&gt;$H$7),"",ROUND(MAX(0,$H158-$G159),2))</f>
        <v/>
      </c>
      <c r="I159" s="17">
        <f>IF(OR($B$7="",54&gt;$H$7),"",IF($D159&lt;=TODAY(),"Vencida","A vencer"))</f>
        <v/>
      </c>
      <c r="J159" s="30">
        <f>IF($D159="","",EOMONTH($D159,0))</f>
        <v/>
      </c>
    </row>
    <row r="160">
      <c r="A160" s="24">
        <f>IF($B$7="","",$A$7)</f>
        <v/>
      </c>
      <c r="B160" s="9">
        <f>IF($B$7="","",$B$7)</f>
        <v/>
      </c>
      <c r="C160" s="24">
        <f>IF($B$7="","",55)</f>
        <v/>
      </c>
      <c r="D160" s="30">
        <f>IF(OR($B$7="",55&gt;$H$7),"",EDATE($J$7,54))</f>
        <v/>
      </c>
      <c r="E160" s="18">
        <f>IF(OR($B$7="",55&gt;$H$7),"",IF($I$7="SAC",ROUND($E$7/$H$7+$F160,2),ROUND(($E$7*$G$7*(1+$G$7)^$H$7/((1+$G$7)^$H$7-1)),2)))</f>
        <v/>
      </c>
      <c r="F160" s="18">
        <f>IF(OR($B$7="",55&gt;$H$7),"",ROUND($H159*$G$7,2))</f>
        <v/>
      </c>
      <c r="G160" s="18">
        <f>IF(OR($B$7="",55&gt;$H$7),"",IF($I$7="SAC",ROUND($E$7/$H$7,2),ROUND($E160-$F160,2)))</f>
        <v/>
      </c>
      <c r="H160" s="18">
        <f>IF(OR($B$7="",55&gt;$H$7),"",ROUND(MAX(0,$H159-$G160),2))</f>
        <v/>
      </c>
      <c r="I160" s="17">
        <f>IF(OR($B$7="",55&gt;$H$7),"",IF($D160&lt;=TODAY(),"Vencida","A vencer"))</f>
        <v/>
      </c>
      <c r="J160" s="30">
        <f>IF($D160="","",EOMONTH($D160,0))</f>
        <v/>
      </c>
    </row>
    <row r="161">
      <c r="A161" s="24">
        <f>IF($B$7="","",$A$7)</f>
        <v/>
      </c>
      <c r="B161" s="9">
        <f>IF($B$7="","",$B$7)</f>
        <v/>
      </c>
      <c r="C161" s="24">
        <f>IF($B$7="","",56)</f>
        <v/>
      </c>
      <c r="D161" s="30">
        <f>IF(OR($B$7="",56&gt;$H$7),"",EDATE($J$7,55))</f>
        <v/>
      </c>
      <c r="E161" s="18">
        <f>IF(OR($B$7="",56&gt;$H$7),"",IF($I$7="SAC",ROUND($E$7/$H$7+$F161,2),ROUND(($E$7*$G$7*(1+$G$7)^$H$7/((1+$G$7)^$H$7-1)),2)))</f>
        <v/>
      </c>
      <c r="F161" s="18">
        <f>IF(OR($B$7="",56&gt;$H$7),"",ROUND($H160*$G$7,2))</f>
        <v/>
      </c>
      <c r="G161" s="18">
        <f>IF(OR($B$7="",56&gt;$H$7),"",IF($I$7="SAC",ROUND($E$7/$H$7,2),ROUND($E161-$F161,2)))</f>
        <v/>
      </c>
      <c r="H161" s="18">
        <f>IF(OR($B$7="",56&gt;$H$7),"",ROUND(MAX(0,$H160-$G161),2))</f>
        <v/>
      </c>
      <c r="I161" s="17">
        <f>IF(OR($B$7="",56&gt;$H$7),"",IF($D161&lt;=TODAY(),"Vencida","A vencer"))</f>
        <v/>
      </c>
      <c r="J161" s="30">
        <f>IF($D161="","",EOMONTH($D161,0))</f>
        <v/>
      </c>
    </row>
    <row r="162">
      <c r="A162" s="24">
        <f>IF($B$7="","",$A$7)</f>
        <v/>
      </c>
      <c r="B162" s="9">
        <f>IF($B$7="","",$B$7)</f>
        <v/>
      </c>
      <c r="C162" s="24">
        <f>IF($B$7="","",57)</f>
        <v/>
      </c>
      <c r="D162" s="30">
        <f>IF(OR($B$7="",57&gt;$H$7),"",EDATE($J$7,56))</f>
        <v/>
      </c>
      <c r="E162" s="18">
        <f>IF(OR($B$7="",57&gt;$H$7),"",IF($I$7="SAC",ROUND($E$7/$H$7+$F162,2),ROUND(($E$7*$G$7*(1+$G$7)^$H$7/((1+$G$7)^$H$7-1)),2)))</f>
        <v/>
      </c>
      <c r="F162" s="18">
        <f>IF(OR($B$7="",57&gt;$H$7),"",ROUND($H161*$G$7,2))</f>
        <v/>
      </c>
      <c r="G162" s="18">
        <f>IF(OR($B$7="",57&gt;$H$7),"",IF($I$7="SAC",ROUND($E$7/$H$7,2),ROUND($E162-$F162,2)))</f>
        <v/>
      </c>
      <c r="H162" s="18">
        <f>IF(OR($B$7="",57&gt;$H$7),"",ROUND(MAX(0,$H161-$G162),2))</f>
        <v/>
      </c>
      <c r="I162" s="17">
        <f>IF(OR($B$7="",57&gt;$H$7),"",IF($D162&lt;=TODAY(),"Vencida","A vencer"))</f>
        <v/>
      </c>
      <c r="J162" s="30">
        <f>IF($D162="","",EOMONTH($D162,0))</f>
        <v/>
      </c>
    </row>
    <row r="163">
      <c r="A163" s="24">
        <f>IF($B$7="","",$A$7)</f>
        <v/>
      </c>
      <c r="B163" s="9">
        <f>IF($B$7="","",$B$7)</f>
        <v/>
      </c>
      <c r="C163" s="24">
        <f>IF($B$7="","",58)</f>
        <v/>
      </c>
      <c r="D163" s="30">
        <f>IF(OR($B$7="",58&gt;$H$7),"",EDATE($J$7,57))</f>
        <v/>
      </c>
      <c r="E163" s="18">
        <f>IF(OR($B$7="",58&gt;$H$7),"",IF($I$7="SAC",ROUND($E$7/$H$7+$F163,2),ROUND(($E$7*$G$7*(1+$G$7)^$H$7/((1+$G$7)^$H$7-1)),2)))</f>
        <v/>
      </c>
      <c r="F163" s="18">
        <f>IF(OR($B$7="",58&gt;$H$7),"",ROUND($H162*$G$7,2))</f>
        <v/>
      </c>
      <c r="G163" s="18">
        <f>IF(OR($B$7="",58&gt;$H$7),"",IF($I$7="SAC",ROUND($E$7/$H$7,2),ROUND($E163-$F163,2)))</f>
        <v/>
      </c>
      <c r="H163" s="18">
        <f>IF(OR($B$7="",58&gt;$H$7),"",ROUND(MAX(0,$H162-$G163),2))</f>
        <v/>
      </c>
      <c r="I163" s="17">
        <f>IF(OR($B$7="",58&gt;$H$7),"",IF($D163&lt;=TODAY(),"Vencida","A vencer"))</f>
        <v/>
      </c>
      <c r="J163" s="30">
        <f>IF($D163="","",EOMONTH($D163,0))</f>
        <v/>
      </c>
    </row>
    <row r="164">
      <c r="A164" s="24">
        <f>IF($B$7="","",$A$7)</f>
        <v/>
      </c>
      <c r="B164" s="9">
        <f>IF($B$7="","",$B$7)</f>
        <v/>
      </c>
      <c r="C164" s="24">
        <f>IF($B$7="","",59)</f>
        <v/>
      </c>
      <c r="D164" s="30">
        <f>IF(OR($B$7="",59&gt;$H$7),"",EDATE($J$7,58))</f>
        <v/>
      </c>
      <c r="E164" s="18">
        <f>IF(OR($B$7="",59&gt;$H$7),"",IF($I$7="SAC",ROUND($E$7/$H$7+$F164,2),ROUND(($E$7*$G$7*(1+$G$7)^$H$7/((1+$G$7)^$H$7-1)),2)))</f>
        <v/>
      </c>
      <c r="F164" s="18">
        <f>IF(OR($B$7="",59&gt;$H$7),"",ROUND($H163*$G$7,2))</f>
        <v/>
      </c>
      <c r="G164" s="18">
        <f>IF(OR($B$7="",59&gt;$H$7),"",IF($I$7="SAC",ROUND($E$7/$H$7,2),ROUND($E164-$F164,2)))</f>
        <v/>
      </c>
      <c r="H164" s="18">
        <f>IF(OR($B$7="",59&gt;$H$7),"",ROUND(MAX(0,$H163-$G164),2))</f>
        <v/>
      </c>
      <c r="I164" s="17">
        <f>IF(OR($B$7="",59&gt;$H$7),"",IF($D164&lt;=TODAY(),"Vencida","A vencer"))</f>
        <v/>
      </c>
      <c r="J164" s="30">
        <f>IF($D164="","",EOMONTH($D164,0))</f>
        <v/>
      </c>
    </row>
    <row r="165">
      <c r="A165" s="24">
        <f>IF($B$7="","",$A$7)</f>
        <v/>
      </c>
      <c r="B165" s="9">
        <f>IF($B$7="","",$B$7)</f>
        <v/>
      </c>
      <c r="C165" s="24">
        <f>IF($B$7="","",60)</f>
        <v/>
      </c>
      <c r="D165" s="30">
        <f>IF(OR($B$7="",60&gt;$H$7),"",EDATE($J$7,59))</f>
        <v/>
      </c>
      <c r="E165" s="18">
        <f>IF(OR($B$7="",60&gt;$H$7),"",IF($I$7="SAC",ROUND($E$7/$H$7+$F165,2),ROUND(($E$7*$G$7*(1+$G$7)^$H$7/((1+$G$7)^$H$7-1)),2)))</f>
        <v/>
      </c>
      <c r="F165" s="18">
        <f>IF(OR($B$7="",60&gt;$H$7),"",ROUND($H164*$G$7,2))</f>
        <v/>
      </c>
      <c r="G165" s="18">
        <f>IF(OR($B$7="",60&gt;$H$7),"",IF($I$7="SAC",ROUND($E$7/$H$7,2),ROUND($E165-$F165,2)))</f>
        <v/>
      </c>
      <c r="H165" s="18">
        <f>IF(OR($B$7="",60&gt;$H$7),"",ROUND(MAX(0,$H164-$G165),2))</f>
        <v/>
      </c>
      <c r="I165" s="17">
        <f>IF(OR($B$7="",60&gt;$H$7),"",IF($D165&lt;=TODAY(),"Vencida","A vencer"))</f>
        <v/>
      </c>
      <c r="J165" s="30">
        <f>IF($D165="","",EOMONTH($D165,0))</f>
        <v/>
      </c>
    </row>
    <row r="166">
      <c r="A166" s="24">
        <f>IF($B$8="","",$A$8)</f>
        <v/>
      </c>
      <c r="B166" s="9">
        <f>IF($B$8="","",$B$8)</f>
        <v/>
      </c>
      <c r="C166" s="24">
        <f>IF($B$8="","",1)</f>
        <v/>
      </c>
      <c r="D166" s="30">
        <f>IF(OR($B$8="",1&gt;$H$8),"",EDATE($J$8,0))</f>
        <v/>
      </c>
      <c r="E166" s="18">
        <f>IF(OR($B$8="",1&gt;$H$8),"",IF($I$8="SAC",ROUND($E$8/$H$8+$F166,2),ROUND(($E$8*$G$8*(1+$G$8)^$H$8/((1+$G$8)^$H$8-1)),2)))</f>
        <v/>
      </c>
      <c r="F166" s="18">
        <f>IF(OR($B$8="",1&gt;$H$8),"",ROUND($E$8*$G$8,2))</f>
        <v/>
      </c>
      <c r="G166" s="18">
        <f>IF(OR($B$8="",1&gt;$H$8),"",IF($I$8="SAC",ROUND($E$8/$H$8,2),ROUND($E166-$F166,2)))</f>
        <v/>
      </c>
      <c r="H166" s="18">
        <f>IF(OR($B$8="",1&gt;$H$8),"",ROUND($E$8-$G166,2))</f>
        <v/>
      </c>
      <c r="I166" s="17">
        <f>IF(OR($B$8="",1&gt;$H$8),"",IF($D166&lt;=TODAY(),"Vencida","A vencer"))</f>
        <v/>
      </c>
      <c r="J166" s="30">
        <f>IF($D166="","",EOMONTH($D166,0))</f>
        <v/>
      </c>
    </row>
    <row r="167">
      <c r="A167" s="24">
        <f>IF($B$8="","",$A$8)</f>
        <v/>
      </c>
      <c r="B167" s="9">
        <f>IF($B$8="","",$B$8)</f>
        <v/>
      </c>
      <c r="C167" s="24">
        <f>IF($B$8="","",2)</f>
        <v/>
      </c>
      <c r="D167" s="30">
        <f>IF(OR($B$8="",2&gt;$H$8),"",EDATE($J$8,1))</f>
        <v/>
      </c>
      <c r="E167" s="18">
        <f>IF(OR($B$8="",2&gt;$H$8),"",IF($I$8="SAC",ROUND($E$8/$H$8+$F167,2),ROUND(($E$8*$G$8*(1+$G$8)^$H$8/((1+$G$8)^$H$8-1)),2)))</f>
        <v/>
      </c>
      <c r="F167" s="18">
        <f>IF(OR($B$8="",2&gt;$H$8),"",ROUND($H166*$G$8,2))</f>
        <v/>
      </c>
      <c r="G167" s="18">
        <f>IF(OR($B$8="",2&gt;$H$8),"",IF($I$8="SAC",ROUND($E$8/$H$8,2),ROUND($E167-$F167,2)))</f>
        <v/>
      </c>
      <c r="H167" s="18">
        <f>IF(OR($B$8="",2&gt;$H$8),"",ROUND(MAX(0,$H166-$G167),2))</f>
        <v/>
      </c>
      <c r="I167" s="17">
        <f>IF(OR($B$8="",2&gt;$H$8),"",IF($D167&lt;=TODAY(),"Vencida","A vencer"))</f>
        <v/>
      </c>
      <c r="J167" s="30">
        <f>IF($D167="","",EOMONTH($D167,0))</f>
        <v/>
      </c>
    </row>
    <row r="168">
      <c r="A168" s="24">
        <f>IF($B$8="","",$A$8)</f>
        <v/>
      </c>
      <c r="B168" s="9">
        <f>IF($B$8="","",$B$8)</f>
        <v/>
      </c>
      <c r="C168" s="24">
        <f>IF($B$8="","",3)</f>
        <v/>
      </c>
      <c r="D168" s="30">
        <f>IF(OR($B$8="",3&gt;$H$8),"",EDATE($J$8,2))</f>
        <v/>
      </c>
      <c r="E168" s="18">
        <f>IF(OR($B$8="",3&gt;$H$8),"",IF($I$8="SAC",ROUND($E$8/$H$8+$F168,2),ROUND(($E$8*$G$8*(1+$G$8)^$H$8/((1+$G$8)^$H$8-1)),2)))</f>
        <v/>
      </c>
      <c r="F168" s="18">
        <f>IF(OR($B$8="",3&gt;$H$8),"",ROUND($H167*$G$8,2))</f>
        <v/>
      </c>
      <c r="G168" s="18">
        <f>IF(OR($B$8="",3&gt;$H$8),"",IF($I$8="SAC",ROUND($E$8/$H$8,2),ROUND($E168-$F168,2)))</f>
        <v/>
      </c>
      <c r="H168" s="18">
        <f>IF(OR($B$8="",3&gt;$H$8),"",ROUND(MAX(0,$H167-$G168),2))</f>
        <v/>
      </c>
      <c r="I168" s="17">
        <f>IF(OR($B$8="",3&gt;$H$8),"",IF($D168&lt;=TODAY(),"Vencida","A vencer"))</f>
        <v/>
      </c>
      <c r="J168" s="30">
        <f>IF($D168="","",EOMONTH($D168,0))</f>
        <v/>
      </c>
    </row>
    <row r="169">
      <c r="A169" s="24">
        <f>IF($B$8="","",$A$8)</f>
        <v/>
      </c>
      <c r="B169" s="9">
        <f>IF($B$8="","",$B$8)</f>
        <v/>
      </c>
      <c r="C169" s="24">
        <f>IF($B$8="","",4)</f>
        <v/>
      </c>
      <c r="D169" s="30">
        <f>IF(OR($B$8="",4&gt;$H$8),"",EDATE($J$8,3))</f>
        <v/>
      </c>
      <c r="E169" s="18">
        <f>IF(OR($B$8="",4&gt;$H$8),"",IF($I$8="SAC",ROUND($E$8/$H$8+$F169,2),ROUND(($E$8*$G$8*(1+$G$8)^$H$8/((1+$G$8)^$H$8-1)),2)))</f>
        <v/>
      </c>
      <c r="F169" s="18">
        <f>IF(OR($B$8="",4&gt;$H$8),"",ROUND($H168*$G$8,2))</f>
        <v/>
      </c>
      <c r="G169" s="18">
        <f>IF(OR($B$8="",4&gt;$H$8),"",IF($I$8="SAC",ROUND($E$8/$H$8,2),ROUND($E169-$F169,2)))</f>
        <v/>
      </c>
      <c r="H169" s="18">
        <f>IF(OR($B$8="",4&gt;$H$8),"",ROUND(MAX(0,$H168-$G169),2))</f>
        <v/>
      </c>
      <c r="I169" s="17">
        <f>IF(OR($B$8="",4&gt;$H$8),"",IF($D169&lt;=TODAY(),"Vencida","A vencer"))</f>
        <v/>
      </c>
      <c r="J169" s="30">
        <f>IF($D169="","",EOMONTH($D169,0))</f>
        <v/>
      </c>
    </row>
    <row r="170">
      <c r="A170" s="24">
        <f>IF($B$8="","",$A$8)</f>
        <v/>
      </c>
      <c r="B170" s="9">
        <f>IF($B$8="","",$B$8)</f>
        <v/>
      </c>
      <c r="C170" s="24">
        <f>IF($B$8="","",5)</f>
        <v/>
      </c>
      <c r="D170" s="30">
        <f>IF(OR($B$8="",5&gt;$H$8),"",EDATE($J$8,4))</f>
        <v/>
      </c>
      <c r="E170" s="18">
        <f>IF(OR($B$8="",5&gt;$H$8),"",IF($I$8="SAC",ROUND($E$8/$H$8+$F170,2),ROUND(($E$8*$G$8*(1+$G$8)^$H$8/((1+$G$8)^$H$8-1)),2)))</f>
        <v/>
      </c>
      <c r="F170" s="18">
        <f>IF(OR($B$8="",5&gt;$H$8),"",ROUND($H169*$G$8,2))</f>
        <v/>
      </c>
      <c r="G170" s="18">
        <f>IF(OR($B$8="",5&gt;$H$8),"",IF($I$8="SAC",ROUND($E$8/$H$8,2),ROUND($E170-$F170,2)))</f>
        <v/>
      </c>
      <c r="H170" s="18">
        <f>IF(OR($B$8="",5&gt;$H$8),"",ROUND(MAX(0,$H169-$G170),2))</f>
        <v/>
      </c>
      <c r="I170" s="17">
        <f>IF(OR($B$8="",5&gt;$H$8),"",IF($D170&lt;=TODAY(),"Vencida","A vencer"))</f>
        <v/>
      </c>
      <c r="J170" s="30">
        <f>IF($D170="","",EOMONTH($D170,0))</f>
        <v/>
      </c>
    </row>
    <row r="171">
      <c r="A171" s="24">
        <f>IF($B$8="","",$A$8)</f>
        <v/>
      </c>
      <c r="B171" s="9">
        <f>IF($B$8="","",$B$8)</f>
        <v/>
      </c>
      <c r="C171" s="24">
        <f>IF($B$8="","",6)</f>
        <v/>
      </c>
      <c r="D171" s="30">
        <f>IF(OR($B$8="",6&gt;$H$8),"",EDATE($J$8,5))</f>
        <v/>
      </c>
      <c r="E171" s="18">
        <f>IF(OR($B$8="",6&gt;$H$8),"",IF($I$8="SAC",ROUND($E$8/$H$8+$F171,2),ROUND(($E$8*$G$8*(1+$G$8)^$H$8/((1+$G$8)^$H$8-1)),2)))</f>
        <v/>
      </c>
      <c r="F171" s="18">
        <f>IF(OR($B$8="",6&gt;$H$8),"",ROUND($H170*$G$8,2))</f>
        <v/>
      </c>
      <c r="G171" s="18">
        <f>IF(OR($B$8="",6&gt;$H$8),"",IF($I$8="SAC",ROUND($E$8/$H$8,2),ROUND($E171-$F171,2)))</f>
        <v/>
      </c>
      <c r="H171" s="18">
        <f>IF(OR($B$8="",6&gt;$H$8),"",ROUND(MAX(0,$H170-$G171),2))</f>
        <v/>
      </c>
      <c r="I171" s="17">
        <f>IF(OR($B$8="",6&gt;$H$8),"",IF($D171&lt;=TODAY(),"Vencida","A vencer"))</f>
        <v/>
      </c>
      <c r="J171" s="30">
        <f>IF($D171="","",EOMONTH($D171,0))</f>
        <v/>
      </c>
    </row>
    <row r="172">
      <c r="A172" s="24">
        <f>IF($B$8="","",$A$8)</f>
        <v/>
      </c>
      <c r="B172" s="9">
        <f>IF($B$8="","",$B$8)</f>
        <v/>
      </c>
      <c r="C172" s="24">
        <f>IF($B$8="","",7)</f>
        <v/>
      </c>
      <c r="D172" s="30">
        <f>IF(OR($B$8="",7&gt;$H$8),"",EDATE($J$8,6))</f>
        <v/>
      </c>
      <c r="E172" s="18">
        <f>IF(OR($B$8="",7&gt;$H$8),"",IF($I$8="SAC",ROUND($E$8/$H$8+$F172,2),ROUND(($E$8*$G$8*(1+$G$8)^$H$8/((1+$G$8)^$H$8-1)),2)))</f>
        <v/>
      </c>
      <c r="F172" s="18">
        <f>IF(OR($B$8="",7&gt;$H$8),"",ROUND($H171*$G$8,2))</f>
        <v/>
      </c>
      <c r="G172" s="18">
        <f>IF(OR($B$8="",7&gt;$H$8),"",IF($I$8="SAC",ROUND($E$8/$H$8,2),ROUND($E172-$F172,2)))</f>
        <v/>
      </c>
      <c r="H172" s="18">
        <f>IF(OR($B$8="",7&gt;$H$8),"",ROUND(MAX(0,$H171-$G172),2))</f>
        <v/>
      </c>
      <c r="I172" s="17">
        <f>IF(OR($B$8="",7&gt;$H$8),"",IF($D172&lt;=TODAY(),"Vencida","A vencer"))</f>
        <v/>
      </c>
      <c r="J172" s="30">
        <f>IF($D172="","",EOMONTH($D172,0))</f>
        <v/>
      </c>
    </row>
    <row r="173">
      <c r="A173" s="24">
        <f>IF($B$8="","",$A$8)</f>
        <v/>
      </c>
      <c r="B173" s="9">
        <f>IF($B$8="","",$B$8)</f>
        <v/>
      </c>
      <c r="C173" s="24">
        <f>IF($B$8="","",8)</f>
        <v/>
      </c>
      <c r="D173" s="30">
        <f>IF(OR($B$8="",8&gt;$H$8),"",EDATE($J$8,7))</f>
        <v/>
      </c>
      <c r="E173" s="18">
        <f>IF(OR($B$8="",8&gt;$H$8),"",IF($I$8="SAC",ROUND($E$8/$H$8+$F173,2),ROUND(($E$8*$G$8*(1+$G$8)^$H$8/((1+$G$8)^$H$8-1)),2)))</f>
        <v/>
      </c>
      <c r="F173" s="18">
        <f>IF(OR($B$8="",8&gt;$H$8),"",ROUND($H172*$G$8,2))</f>
        <v/>
      </c>
      <c r="G173" s="18">
        <f>IF(OR($B$8="",8&gt;$H$8),"",IF($I$8="SAC",ROUND($E$8/$H$8,2),ROUND($E173-$F173,2)))</f>
        <v/>
      </c>
      <c r="H173" s="18">
        <f>IF(OR($B$8="",8&gt;$H$8),"",ROUND(MAX(0,$H172-$G173),2))</f>
        <v/>
      </c>
      <c r="I173" s="17">
        <f>IF(OR($B$8="",8&gt;$H$8),"",IF($D173&lt;=TODAY(),"Vencida","A vencer"))</f>
        <v/>
      </c>
      <c r="J173" s="30">
        <f>IF($D173="","",EOMONTH($D173,0))</f>
        <v/>
      </c>
    </row>
    <row r="174">
      <c r="A174" s="24">
        <f>IF($B$8="","",$A$8)</f>
        <v/>
      </c>
      <c r="B174" s="9">
        <f>IF($B$8="","",$B$8)</f>
        <v/>
      </c>
      <c r="C174" s="24">
        <f>IF($B$8="","",9)</f>
        <v/>
      </c>
      <c r="D174" s="30">
        <f>IF(OR($B$8="",9&gt;$H$8),"",EDATE($J$8,8))</f>
        <v/>
      </c>
      <c r="E174" s="18">
        <f>IF(OR($B$8="",9&gt;$H$8),"",IF($I$8="SAC",ROUND($E$8/$H$8+$F174,2),ROUND(($E$8*$G$8*(1+$G$8)^$H$8/((1+$G$8)^$H$8-1)),2)))</f>
        <v/>
      </c>
      <c r="F174" s="18">
        <f>IF(OR($B$8="",9&gt;$H$8),"",ROUND($H173*$G$8,2))</f>
        <v/>
      </c>
      <c r="G174" s="18">
        <f>IF(OR($B$8="",9&gt;$H$8),"",IF($I$8="SAC",ROUND($E$8/$H$8,2),ROUND($E174-$F174,2)))</f>
        <v/>
      </c>
      <c r="H174" s="18">
        <f>IF(OR($B$8="",9&gt;$H$8),"",ROUND(MAX(0,$H173-$G174),2))</f>
        <v/>
      </c>
      <c r="I174" s="17">
        <f>IF(OR($B$8="",9&gt;$H$8),"",IF($D174&lt;=TODAY(),"Vencida","A vencer"))</f>
        <v/>
      </c>
      <c r="J174" s="30">
        <f>IF($D174="","",EOMONTH($D174,0))</f>
        <v/>
      </c>
    </row>
    <row r="175">
      <c r="A175" s="24">
        <f>IF($B$8="","",$A$8)</f>
        <v/>
      </c>
      <c r="B175" s="9">
        <f>IF($B$8="","",$B$8)</f>
        <v/>
      </c>
      <c r="C175" s="24">
        <f>IF($B$8="","",10)</f>
        <v/>
      </c>
      <c r="D175" s="30">
        <f>IF(OR($B$8="",10&gt;$H$8),"",EDATE($J$8,9))</f>
        <v/>
      </c>
      <c r="E175" s="18">
        <f>IF(OR($B$8="",10&gt;$H$8),"",IF($I$8="SAC",ROUND($E$8/$H$8+$F175,2),ROUND(($E$8*$G$8*(1+$G$8)^$H$8/((1+$G$8)^$H$8-1)),2)))</f>
        <v/>
      </c>
      <c r="F175" s="18">
        <f>IF(OR($B$8="",10&gt;$H$8),"",ROUND($H174*$G$8,2))</f>
        <v/>
      </c>
      <c r="G175" s="18">
        <f>IF(OR($B$8="",10&gt;$H$8),"",IF($I$8="SAC",ROUND($E$8/$H$8,2),ROUND($E175-$F175,2)))</f>
        <v/>
      </c>
      <c r="H175" s="18">
        <f>IF(OR($B$8="",10&gt;$H$8),"",ROUND(MAX(0,$H174-$G175),2))</f>
        <v/>
      </c>
      <c r="I175" s="17">
        <f>IF(OR($B$8="",10&gt;$H$8),"",IF($D175&lt;=TODAY(),"Vencida","A vencer"))</f>
        <v/>
      </c>
      <c r="J175" s="30">
        <f>IF($D175="","",EOMONTH($D175,0))</f>
        <v/>
      </c>
    </row>
    <row r="176">
      <c r="A176" s="24">
        <f>IF($B$8="","",$A$8)</f>
        <v/>
      </c>
      <c r="B176" s="9">
        <f>IF($B$8="","",$B$8)</f>
        <v/>
      </c>
      <c r="C176" s="24">
        <f>IF($B$8="","",11)</f>
        <v/>
      </c>
      <c r="D176" s="30">
        <f>IF(OR($B$8="",11&gt;$H$8),"",EDATE($J$8,10))</f>
        <v/>
      </c>
      <c r="E176" s="18">
        <f>IF(OR($B$8="",11&gt;$H$8),"",IF($I$8="SAC",ROUND($E$8/$H$8+$F176,2),ROUND(($E$8*$G$8*(1+$G$8)^$H$8/((1+$G$8)^$H$8-1)),2)))</f>
        <v/>
      </c>
      <c r="F176" s="18">
        <f>IF(OR($B$8="",11&gt;$H$8),"",ROUND($H175*$G$8,2))</f>
        <v/>
      </c>
      <c r="G176" s="18">
        <f>IF(OR($B$8="",11&gt;$H$8),"",IF($I$8="SAC",ROUND($E$8/$H$8,2),ROUND($E176-$F176,2)))</f>
        <v/>
      </c>
      <c r="H176" s="18">
        <f>IF(OR($B$8="",11&gt;$H$8),"",ROUND(MAX(0,$H175-$G176),2))</f>
        <v/>
      </c>
      <c r="I176" s="17">
        <f>IF(OR($B$8="",11&gt;$H$8),"",IF($D176&lt;=TODAY(),"Vencida","A vencer"))</f>
        <v/>
      </c>
      <c r="J176" s="30">
        <f>IF($D176="","",EOMONTH($D176,0))</f>
        <v/>
      </c>
    </row>
    <row r="177">
      <c r="A177" s="24">
        <f>IF($B$8="","",$A$8)</f>
        <v/>
      </c>
      <c r="B177" s="9">
        <f>IF($B$8="","",$B$8)</f>
        <v/>
      </c>
      <c r="C177" s="24">
        <f>IF($B$8="","",12)</f>
        <v/>
      </c>
      <c r="D177" s="30">
        <f>IF(OR($B$8="",12&gt;$H$8),"",EDATE($J$8,11))</f>
        <v/>
      </c>
      <c r="E177" s="18">
        <f>IF(OR($B$8="",12&gt;$H$8),"",IF($I$8="SAC",ROUND($E$8/$H$8+$F177,2),ROUND(($E$8*$G$8*(1+$G$8)^$H$8/((1+$G$8)^$H$8-1)),2)))</f>
        <v/>
      </c>
      <c r="F177" s="18">
        <f>IF(OR($B$8="",12&gt;$H$8),"",ROUND($H176*$G$8,2))</f>
        <v/>
      </c>
      <c r="G177" s="18">
        <f>IF(OR($B$8="",12&gt;$H$8),"",IF($I$8="SAC",ROUND($E$8/$H$8,2),ROUND($E177-$F177,2)))</f>
        <v/>
      </c>
      <c r="H177" s="18">
        <f>IF(OR($B$8="",12&gt;$H$8),"",ROUND(MAX(0,$H176-$G177),2))</f>
        <v/>
      </c>
      <c r="I177" s="17">
        <f>IF(OR($B$8="",12&gt;$H$8),"",IF($D177&lt;=TODAY(),"Vencida","A vencer"))</f>
        <v/>
      </c>
      <c r="J177" s="30">
        <f>IF($D177="","",EOMONTH($D177,0))</f>
        <v/>
      </c>
    </row>
    <row r="178">
      <c r="A178" s="24">
        <f>IF($B$8="","",$A$8)</f>
        <v/>
      </c>
      <c r="B178" s="9">
        <f>IF($B$8="","",$B$8)</f>
        <v/>
      </c>
      <c r="C178" s="24">
        <f>IF($B$8="","",13)</f>
        <v/>
      </c>
      <c r="D178" s="30">
        <f>IF(OR($B$8="",13&gt;$H$8),"",EDATE($J$8,12))</f>
        <v/>
      </c>
      <c r="E178" s="18">
        <f>IF(OR($B$8="",13&gt;$H$8),"",IF($I$8="SAC",ROUND($E$8/$H$8+$F178,2),ROUND(($E$8*$G$8*(1+$G$8)^$H$8/((1+$G$8)^$H$8-1)),2)))</f>
        <v/>
      </c>
      <c r="F178" s="18">
        <f>IF(OR($B$8="",13&gt;$H$8),"",ROUND($H177*$G$8,2))</f>
        <v/>
      </c>
      <c r="G178" s="18">
        <f>IF(OR($B$8="",13&gt;$H$8),"",IF($I$8="SAC",ROUND($E$8/$H$8,2),ROUND($E178-$F178,2)))</f>
        <v/>
      </c>
      <c r="H178" s="18">
        <f>IF(OR($B$8="",13&gt;$H$8),"",ROUND(MAX(0,$H177-$G178),2))</f>
        <v/>
      </c>
      <c r="I178" s="17">
        <f>IF(OR($B$8="",13&gt;$H$8),"",IF($D178&lt;=TODAY(),"Vencida","A vencer"))</f>
        <v/>
      </c>
      <c r="J178" s="30">
        <f>IF($D178="","",EOMONTH($D178,0))</f>
        <v/>
      </c>
    </row>
    <row r="179">
      <c r="A179" s="24">
        <f>IF($B$8="","",$A$8)</f>
        <v/>
      </c>
      <c r="B179" s="9">
        <f>IF($B$8="","",$B$8)</f>
        <v/>
      </c>
      <c r="C179" s="24">
        <f>IF($B$8="","",14)</f>
        <v/>
      </c>
      <c r="D179" s="30">
        <f>IF(OR($B$8="",14&gt;$H$8),"",EDATE($J$8,13))</f>
        <v/>
      </c>
      <c r="E179" s="18">
        <f>IF(OR($B$8="",14&gt;$H$8),"",IF($I$8="SAC",ROUND($E$8/$H$8+$F179,2),ROUND(($E$8*$G$8*(1+$G$8)^$H$8/((1+$G$8)^$H$8-1)),2)))</f>
        <v/>
      </c>
      <c r="F179" s="18">
        <f>IF(OR($B$8="",14&gt;$H$8),"",ROUND($H178*$G$8,2))</f>
        <v/>
      </c>
      <c r="G179" s="18">
        <f>IF(OR($B$8="",14&gt;$H$8),"",IF($I$8="SAC",ROUND($E$8/$H$8,2),ROUND($E179-$F179,2)))</f>
        <v/>
      </c>
      <c r="H179" s="18">
        <f>IF(OR($B$8="",14&gt;$H$8),"",ROUND(MAX(0,$H178-$G179),2))</f>
        <v/>
      </c>
      <c r="I179" s="17">
        <f>IF(OR($B$8="",14&gt;$H$8),"",IF($D179&lt;=TODAY(),"Vencida","A vencer"))</f>
        <v/>
      </c>
      <c r="J179" s="30">
        <f>IF($D179="","",EOMONTH($D179,0))</f>
        <v/>
      </c>
    </row>
    <row r="180">
      <c r="A180" s="24">
        <f>IF($B$8="","",$A$8)</f>
        <v/>
      </c>
      <c r="B180" s="9">
        <f>IF($B$8="","",$B$8)</f>
        <v/>
      </c>
      <c r="C180" s="24">
        <f>IF($B$8="","",15)</f>
        <v/>
      </c>
      <c r="D180" s="30">
        <f>IF(OR($B$8="",15&gt;$H$8),"",EDATE($J$8,14))</f>
        <v/>
      </c>
      <c r="E180" s="18">
        <f>IF(OR($B$8="",15&gt;$H$8),"",IF($I$8="SAC",ROUND($E$8/$H$8+$F180,2),ROUND(($E$8*$G$8*(1+$G$8)^$H$8/((1+$G$8)^$H$8-1)),2)))</f>
        <v/>
      </c>
      <c r="F180" s="18">
        <f>IF(OR($B$8="",15&gt;$H$8),"",ROUND($H179*$G$8,2))</f>
        <v/>
      </c>
      <c r="G180" s="18">
        <f>IF(OR($B$8="",15&gt;$H$8),"",IF($I$8="SAC",ROUND($E$8/$H$8,2),ROUND($E180-$F180,2)))</f>
        <v/>
      </c>
      <c r="H180" s="18">
        <f>IF(OR($B$8="",15&gt;$H$8),"",ROUND(MAX(0,$H179-$G180),2))</f>
        <v/>
      </c>
      <c r="I180" s="17">
        <f>IF(OR($B$8="",15&gt;$H$8),"",IF($D180&lt;=TODAY(),"Vencida","A vencer"))</f>
        <v/>
      </c>
      <c r="J180" s="30">
        <f>IF($D180="","",EOMONTH($D180,0))</f>
        <v/>
      </c>
    </row>
    <row r="181">
      <c r="A181" s="24">
        <f>IF($B$8="","",$A$8)</f>
        <v/>
      </c>
      <c r="B181" s="9">
        <f>IF($B$8="","",$B$8)</f>
        <v/>
      </c>
      <c r="C181" s="24">
        <f>IF($B$8="","",16)</f>
        <v/>
      </c>
      <c r="D181" s="30">
        <f>IF(OR($B$8="",16&gt;$H$8),"",EDATE($J$8,15))</f>
        <v/>
      </c>
      <c r="E181" s="18">
        <f>IF(OR($B$8="",16&gt;$H$8),"",IF($I$8="SAC",ROUND($E$8/$H$8+$F181,2),ROUND(($E$8*$G$8*(1+$G$8)^$H$8/((1+$G$8)^$H$8-1)),2)))</f>
        <v/>
      </c>
      <c r="F181" s="18">
        <f>IF(OR($B$8="",16&gt;$H$8),"",ROUND($H180*$G$8,2))</f>
        <v/>
      </c>
      <c r="G181" s="18">
        <f>IF(OR($B$8="",16&gt;$H$8),"",IF($I$8="SAC",ROUND($E$8/$H$8,2),ROUND($E181-$F181,2)))</f>
        <v/>
      </c>
      <c r="H181" s="18">
        <f>IF(OR($B$8="",16&gt;$H$8),"",ROUND(MAX(0,$H180-$G181),2))</f>
        <v/>
      </c>
      <c r="I181" s="17">
        <f>IF(OR($B$8="",16&gt;$H$8),"",IF($D181&lt;=TODAY(),"Vencida","A vencer"))</f>
        <v/>
      </c>
      <c r="J181" s="30">
        <f>IF($D181="","",EOMONTH($D181,0))</f>
        <v/>
      </c>
    </row>
    <row r="182">
      <c r="A182" s="24">
        <f>IF($B$8="","",$A$8)</f>
        <v/>
      </c>
      <c r="B182" s="9">
        <f>IF($B$8="","",$B$8)</f>
        <v/>
      </c>
      <c r="C182" s="24">
        <f>IF($B$8="","",17)</f>
        <v/>
      </c>
      <c r="D182" s="30">
        <f>IF(OR($B$8="",17&gt;$H$8),"",EDATE($J$8,16))</f>
        <v/>
      </c>
      <c r="E182" s="18">
        <f>IF(OR($B$8="",17&gt;$H$8),"",IF($I$8="SAC",ROUND($E$8/$H$8+$F182,2),ROUND(($E$8*$G$8*(1+$G$8)^$H$8/((1+$G$8)^$H$8-1)),2)))</f>
        <v/>
      </c>
      <c r="F182" s="18">
        <f>IF(OR($B$8="",17&gt;$H$8),"",ROUND($H181*$G$8,2))</f>
        <v/>
      </c>
      <c r="G182" s="18">
        <f>IF(OR($B$8="",17&gt;$H$8),"",IF($I$8="SAC",ROUND($E$8/$H$8,2),ROUND($E182-$F182,2)))</f>
        <v/>
      </c>
      <c r="H182" s="18">
        <f>IF(OR($B$8="",17&gt;$H$8),"",ROUND(MAX(0,$H181-$G182),2))</f>
        <v/>
      </c>
      <c r="I182" s="17">
        <f>IF(OR($B$8="",17&gt;$H$8),"",IF($D182&lt;=TODAY(),"Vencida","A vencer"))</f>
        <v/>
      </c>
      <c r="J182" s="30">
        <f>IF($D182="","",EOMONTH($D182,0))</f>
        <v/>
      </c>
    </row>
    <row r="183">
      <c r="A183" s="24">
        <f>IF($B$8="","",$A$8)</f>
        <v/>
      </c>
      <c r="B183" s="9">
        <f>IF($B$8="","",$B$8)</f>
        <v/>
      </c>
      <c r="C183" s="24">
        <f>IF($B$8="","",18)</f>
        <v/>
      </c>
      <c r="D183" s="30">
        <f>IF(OR($B$8="",18&gt;$H$8),"",EDATE($J$8,17))</f>
        <v/>
      </c>
      <c r="E183" s="18">
        <f>IF(OR($B$8="",18&gt;$H$8),"",IF($I$8="SAC",ROUND($E$8/$H$8+$F183,2),ROUND(($E$8*$G$8*(1+$G$8)^$H$8/((1+$G$8)^$H$8-1)),2)))</f>
        <v/>
      </c>
      <c r="F183" s="18">
        <f>IF(OR($B$8="",18&gt;$H$8),"",ROUND($H182*$G$8,2))</f>
        <v/>
      </c>
      <c r="G183" s="18">
        <f>IF(OR($B$8="",18&gt;$H$8),"",IF($I$8="SAC",ROUND($E$8/$H$8,2),ROUND($E183-$F183,2)))</f>
        <v/>
      </c>
      <c r="H183" s="18">
        <f>IF(OR($B$8="",18&gt;$H$8),"",ROUND(MAX(0,$H182-$G183),2))</f>
        <v/>
      </c>
      <c r="I183" s="17">
        <f>IF(OR($B$8="",18&gt;$H$8),"",IF($D183&lt;=TODAY(),"Vencida","A vencer"))</f>
        <v/>
      </c>
      <c r="J183" s="30">
        <f>IF($D183="","",EOMONTH($D183,0))</f>
        <v/>
      </c>
    </row>
    <row r="184">
      <c r="A184" s="24">
        <f>IF($B$8="","",$A$8)</f>
        <v/>
      </c>
      <c r="B184" s="9">
        <f>IF($B$8="","",$B$8)</f>
        <v/>
      </c>
      <c r="C184" s="24">
        <f>IF($B$8="","",19)</f>
        <v/>
      </c>
      <c r="D184" s="30">
        <f>IF(OR($B$8="",19&gt;$H$8),"",EDATE($J$8,18))</f>
        <v/>
      </c>
      <c r="E184" s="18">
        <f>IF(OR($B$8="",19&gt;$H$8),"",IF($I$8="SAC",ROUND($E$8/$H$8+$F184,2),ROUND(($E$8*$G$8*(1+$G$8)^$H$8/((1+$G$8)^$H$8-1)),2)))</f>
        <v/>
      </c>
      <c r="F184" s="18">
        <f>IF(OR($B$8="",19&gt;$H$8),"",ROUND($H183*$G$8,2))</f>
        <v/>
      </c>
      <c r="G184" s="18">
        <f>IF(OR($B$8="",19&gt;$H$8),"",IF($I$8="SAC",ROUND($E$8/$H$8,2),ROUND($E184-$F184,2)))</f>
        <v/>
      </c>
      <c r="H184" s="18">
        <f>IF(OR($B$8="",19&gt;$H$8),"",ROUND(MAX(0,$H183-$G184),2))</f>
        <v/>
      </c>
      <c r="I184" s="17">
        <f>IF(OR($B$8="",19&gt;$H$8),"",IF($D184&lt;=TODAY(),"Vencida","A vencer"))</f>
        <v/>
      </c>
      <c r="J184" s="30">
        <f>IF($D184="","",EOMONTH($D184,0))</f>
        <v/>
      </c>
    </row>
    <row r="185">
      <c r="A185" s="24">
        <f>IF($B$8="","",$A$8)</f>
        <v/>
      </c>
      <c r="B185" s="9">
        <f>IF($B$8="","",$B$8)</f>
        <v/>
      </c>
      <c r="C185" s="24">
        <f>IF($B$8="","",20)</f>
        <v/>
      </c>
      <c r="D185" s="30">
        <f>IF(OR($B$8="",20&gt;$H$8),"",EDATE($J$8,19))</f>
        <v/>
      </c>
      <c r="E185" s="18">
        <f>IF(OR($B$8="",20&gt;$H$8),"",IF($I$8="SAC",ROUND($E$8/$H$8+$F185,2),ROUND(($E$8*$G$8*(1+$G$8)^$H$8/((1+$G$8)^$H$8-1)),2)))</f>
        <v/>
      </c>
      <c r="F185" s="18">
        <f>IF(OR($B$8="",20&gt;$H$8),"",ROUND($H184*$G$8,2))</f>
        <v/>
      </c>
      <c r="G185" s="18">
        <f>IF(OR($B$8="",20&gt;$H$8),"",IF($I$8="SAC",ROUND($E$8/$H$8,2),ROUND($E185-$F185,2)))</f>
        <v/>
      </c>
      <c r="H185" s="18">
        <f>IF(OR($B$8="",20&gt;$H$8),"",ROUND(MAX(0,$H184-$G185),2))</f>
        <v/>
      </c>
      <c r="I185" s="17">
        <f>IF(OR($B$8="",20&gt;$H$8),"",IF($D185&lt;=TODAY(),"Vencida","A vencer"))</f>
        <v/>
      </c>
      <c r="J185" s="30">
        <f>IF($D185="","",EOMONTH($D185,0))</f>
        <v/>
      </c>
    </row>
    <row r="186">
      <c r="A186" s="24">
        <f>IF($B$8="","",$A$8)</f>
        <v/>
      </c>
      <c r="B186" s="9">
        <f>IF($B$8="","",$B$8)</f>
        <v/>
      </c>
      <c r="C186" s="24">
        <f>IF($B$8="","",21)</f>
        <v/>
      </c>
      <c r="D186" s="30">
        <f>IF(OR($B$8="",21&gt;$H$8),"",EDATE($J$8,20))</f>
        <v/>
      </c>
      <c r="E186" s="18">
        <f>IF(OR($B$8="",21&gt;$H$8),"",IF($I$8="SAC",ROUND($E$8/$H$8+$F186,2),ROUND(($E$8*$G$8*(1+$G$8)^$H$8/((1+$G$8)^$H$8-1)),2)))</f>
        <v/>
      </c>
      <c r="F186" s="18">
        <f>IF(OR($B$8="",21&gt;$H$8),"",ROUND($H185*$G$8,2))</f>
        <v/>
      </c>
      <c r="G186" s="18">
        <f>IF(OR($B$8="",21&gt;$H$8),"",IF($I$8="SAC",ROUND($E$8/$H$8,2),ROUND($E186-$F186,2)))</f>
        <v/>
      </c>
      <c r="H186" s="18">
        <f>IF(OR($B$8="",21&gt;$H$8),"",ROUND(MAX(0,$H185-$G186),2))</f>
        <v/>
      </c>
      <c r="I186" s="17">
        <f>IF(OR($B$8="",21&gt;$H$8),"",IF($D186&lt;=TODAY(),"Vencida","A vencer"))</f>
        <v/>
      </c>
      <c r="J186" s="30">
        <f>IF($D186="","",EOMONTH($D186,0))</f>
        <v/>
      </c>
    </row>
    <row r="187">
      <c r="A187" s="24">
        <f>IF($B$8="","",$A$8)</f>
        <v/>
      </c>
      <c r="B187" s="9">
        <f>IF($B$8="","",$B$8)</f>
        <v/>
      </c>
      <c r="C187" s="24">
        <f>IF($B$8="","",22)</f>
        <v/>
      </c>
      <c r="D187" s="30">
        <f>IF(OR($B$8="",22&gt;$H$8),"",EDATE($J$8,21))</f>
        <v/>
      </c>
      <c r="E187" s="18">
        <f>IF(OR($B$8="",22&gt;$H$8),"",IF($I$8="SAC",ROUND($E$8/$H$8+$F187,2),ROUND(($E$8*$G$8*(1+$G$8)^$H$8/((1+$G$8)^$H$8-1)),2)))</f>
        <v/>
      </c>
      <c r="F187" s="18">
        <f>IF(OR($B$8="",22&gt;$H$8),"",ROUND($H186*$G$8,2))</f>
        <v/>
      </c>
      <c r="G187" s="18">
        <f>IF(OR($B$8="",22&gt;$H$8),"",IF($I$8="SAC",ROUND($E$8/$H$8,2),ROUND($E187-$F187,2)))</f>
        <v/>
      </c>
      <c r="H187" s="18">
        <f>IF(OR($B$8="",22&gt;$H$8),"",ROUND(MAX(0,$H186-$G187),2))</f>
        <v/>
      </c>
      <c r="I187" s="17">
        <f>IF(OR($B$8="",22&gt;$H$8),"",IF($D187&lt;=TODAY(),"Vencida","A vencer"))</f>
        <v/>
      </c>
      <c r="J187" s="30">
        <f>IF($D187="","",EOMONTH($D187,0))</f>
        <v/>
      </c>
    </row>
    <row r="188">
      <c r="A188" s="24">
        <f>IF($B$8="","",$A$8)</f>
        <v/>
      </c>
      <c r="B188" s="9">
        <f>IF($B$8="","",$B$8)</f>
        <v/>
      </c>
      <c r="C188" s="24">
        <f>IF($B$8="","",23)</f>
        <v/>
      </c>
      <c r="D188" s="30">
        <f>IF(OR($B$8="",23&gt;$H$8),"",EDATE($J$8,22))</f>
        <v/>
      </c>
      <c r="E188" s="18">
        <f>IF(OR($B$8="",23&gt;$H$8),"",IF($I$8="SAC",ROUND($E$8/$H$8+$F188,2),ROUND(($E$8*$G$8*(1+$G$8)^$H$8/((1+$G$8)^$H$8-1)),2)))</f>
        <v/>
      </c>
      <c r="F188" s="18">
        <f>IF(OR($B$8="",23&gt;$H$8),"",ROUND($H187*$G$8,2))</f>
        <v/>
      </c>
      <c r="G188" s="18">
        <f>IF(OR($B$8="",23&gt;$H$8),"",IF($I$8="SAC",ROUND($E$8/$H$8,2),ROUND($E188-$F188,2)))</f>
        <v/>
      </c>
      <c r="H188" s="18">
        <f>IF(OR($B$8="",23&gt;$H$8),"",ROUND(MAX(0,$H187-$G188),2))</f>
        <v/>
      </c>
      <c r="I188" s="17">
        <f>IF(OR($B$8="",23&gt;$H$8),"",IF($D188&lt;=TODAY(),"Vencida","A vencer"))</f>
        <v/>
      </c>
      <c r="J188" s="30">
        <f>IF($D188="","",EOMONTH($D188,0))</f>
        <v/>
      </c>
    </row>
    <row r="189">
      <c r="A189" s="24">
        <f>IF($B$8="","",$A$8)</f>
        <v/>
      </c>
      <c r="B189" s="9">
        <f>IF($B$8="","",$B$8)</f>
        <v/>
      </c>
      <c r="C189" s="24">
        <f>IF($B$8="","",24)</f>
        <v/>
      </c>
      <c r="D189" s="30">
        <f>IF(OR($B$8="",24&gt;$H$8),"",EDATE($J$8,23))</f>
        <v/>
      </c>
      <c r="E189" s="18">
        <f>IF(OR($B$8="",24&gt;$H$8),"",IF($I$8="SAC",ROUND($E$8/$H$8+$F189,2),ROUND(($E$8*$G$8*(1+$G$8)^$H$8/((1+$G$8)^$H$8-1)),2)))</f>
        <v/>
      </c>
      <c r="F189" s="18">
        <f>IF(OR($B$8="",24&gt;$H$8),"",ROUND($H188*$G$8,2))</f>
        <v/>
      </c>
      <c r="G189" s="18">
        <f>IF(OR($B$8="",24&gt;$H$8),"",IF($I$8="SAC",ROUND($E$8/$H$8,2),ROUND($E189-$F189,2)))</f>
        <v/>
      </c>
      <c r="H189" s="18">
        <f>IF(OR($B$8="",24&gt;$H$8),"",ROUND(MAX(0,$H188-$G189),2))</f>
        <v/>
      </c>
      <c r="I189" s="17">
        <f>IF(OR($B$8="",24&gt;$H$8),"",IF($D189&lt;=TODAY(),"Vencida","A vencer"))</f>
        <v/>
      </c>
      <c r="J189" s="30">
        <f>IF($D189="","",EOMONTH($D189,0))</f>
        <v/>
      </c>
    </row>
    <row r="190">
      <c r="A190" s="24">
        <f>IF($B$8="","",$A$8)</f>
        <v/>
      </c>
      <c r="B190" s="9">
        <f>IF($B$8="","",$B$8)</f>
        <v/>
      </c>
      <c r="C190" s="24">
        <f>IF($B$8="","",25)</f>
        <v/>
      </c>
      <c r="D190" s="30">
        <f>IF(OR($B$8="",25&gt;$H$8),"",EDATE($J$8,24))</f>
        <v/>
      </c>
      <c r="E190" s="18">
        <f>IF(OR($B$8="",25&gt;$H$8),"",IF($I$8="SAC",ROUND($E$8/$H$8+$F190,2),ROUND(($E$8*$G$8*(1+$G$8)^$H$8/((1+$G$8)^$H$8-1)),2)))</f>
        <v/>
      </c>
      <c r="F190" s="18">
        <f>IF(OR($B$8="",25&gt;$H$8),"",ROUND($H189*$G$8,2))</f>
        <v/>
      </c>
      <c r="G190" s="18">
        <f>IF(OR($B$8="",25&gt;$H$8),"",IF($I$8="SAC",ROUND($E$8/$H$8,2),ROUND($E190-$F190,2)))</f>
        <v/>
      </c>
      <c r="H190" s="18">
        <f>IF(OR($B$8="",25&gt;$H$8),"",ROUND(MAX(0,$H189-$G190),2))</f>
        <v/>
      </c>
      <c r="I190" s="17">
        <f>IF(OR($B$8="",25&gt;$H$8),"",IF($D190&lt;=TODAY(),"Vencida","A vencer"))</f>
        <v/>
      </c>
      <c r="J190" s="30">
        <f>IF($D190="","",EOMONTH($D190,0))</f>
        <v/>
      </c>
    </row>
    <row r="191">
      <c r="A191" s="24">
        <f>IF($B$8="","",$A$8)</f>
        <v/>
      </c>
      <c r="B191" s="9">
        <f>IF($B$8="","",$B$8)</f>
        <v/>
      </c>
      <c r="C191" s="24">
        <f>IF($B$8="","",26)</f>
        <v/>
      </c>
      <c r="D191" s="30">
        <f>IF(OR($B$8="",26&gt;$H$8),"",EDATE($J$8,25))</f>
        <v/>
      </c>
      <c r="E191" s="18">
        <f>IF(OR($B$8="",26&gt;$H$8),"",IF($I$8="SAC",ROUND($E$8/$H$8+$F191,2),ROUND(($E$8*$G$8*(1+$G$8)^$H$8/((1+$G$8)^$H$8-1)),2)))</f>
        <v/>
      </c>
      <c r="F191" s="18">
        <f>IF(OR($B$8="",26&gt;$H$8),"",ROUND($H190*$G$8,2))</f>
        <v/>
      </c>
      <c r="G191" s="18">
        <f>IF(OR($B$8="",26&gt;$H$8),"",IF($I$8="SAC",ROUND($E$8/$H$8,2),ROUND($E191-$F191,2)))</f>
        <v/>
      </c>
      <c r="H191" s="18">
        <f>IF(OR($B$8="",26&gt;$H$8),"",ROUND(MAX(0,$H190-$G191),2))</f>
        <v/>
      </c>
      <c r="I191" s="17">
        <f>IF(OR($B$8="",26&gt;$H$8),"",IF($D191&lt;=TODAY(),"Vencida","A vencer"))</f>
        <v/>
      </c>
      <c r="J191" s="30">
        <f>IF($D191="","",EOMONTH($D191,0))</f>
        <v/>
      </c>
    </row>
    <row r="192">
      <c r="A192" s="24">
        <f>IF($B$8="","",$A$8)</f>
        <v/>
      </c>
      <c r="B192" s="9">
        <f>IF($B$8="","",$B$8)</f>
        <v/>
      </c>
      <c r="C192" s="24">
        <f>IF($B$8="","",27)</f>
        <v/>
      </c>
      <c r="D192" s="30">
        <f>IF(OR($B$8="",27&gt;$H$8),"",EDATE($J$8,26))</f>
        <v/>
      </c>
      <c r="E192" s="18">
        <f>IF(OR($B$8="",27&gt;$H$8),"",IF($I$8="SAC",ROUND($E$8/$H$8+$F192,2),ROUND(($E$8*$G$8*(1+$G$8)^$H$8/((1+$G$8)^$H$8-1)),2)))</f>
        <v/>
      </c>
      <c r="F192" s="18">
        <f>IF(OR($B$8="",27&gt;$H$8),"",ROUND($H191*$G$8,2))</f>
        <v/>
      </c>
      <c r="G192" s="18">
        <f>IF(OR($B$8="",27&gt;$H$8),"",IF($I$8="SAC",ROUND($E$8/$H$8,2),ROUND($E192-$F192,2)))</f>
        <v/>
      </c>
      <c r="H192" s="18">
        <f>IF(OR($B$8="",27&gt;$H$8),"",ROUND(MAX(0,$H191-$G192),2))</f>
        <v/>
      </c>
      <c r="I192" s="17">
        <f>IF(OR($B$8="",27&gt;$H$8),"",IF($D192&lt;=TODAY(),"Vencida","A vencer"))</f>
        <v/>
      </c>
      <c r="J192" s="30">
        <f>IF($D192="","",EOMONTH($D192,0))</f>
        <v/>
      </c>
    </row>
    <row r="193">
      <c r="A193" s="24">
        <f>IF($B$8="","",$A$8)</f>
        <v/>
      </c>
      <c r="B193" s="9">
        <f>IF($B$8="","",$B$8)</f>
        <v/>
      </c>
      <c r="C193" s="24">
        <f>IF($B$8="","",28)</f>
        <v/>
      </c>
      <c r="D193" s="30">
        <f>IF(OR($B$8="",28&gt;$H$8),"",EDATE($J$8,27))</f>
        <v/>
      </c>
      <c r="E193" s="18">
        <f>IF(OR($B$8="",28&gt;$H$8),"",IF($I$8="SAC",ROUND($E$8/$H$8+$F193,2),ROUND(($E$8*$G$8*(1+$G$8)^$H$8/((1+$G$8)^$H$8-1)),2)))</f>
        <v/>
      </c>
      <c r="F193" s="18">
        <f>IF(OR($B$8="",28&gt;$H$8),"",ROUND($H192*$G$8,2))</f>
        <v/>
      </c>
      <c r="G193" s="18">
        <f>IF(OR($B$8="",28&gt;$H$8),"",IF($I$8="SAC",ROUND($E$8/$H$8,2),ROUND($E193-$F193,2)))</f>
        <v/>
      </c>
      <c r="H193" s="18">
        <f>IF(OR($B$8="",28&gt;$H$8),"",ROUND(MAX(0,$H192-$G193),2))</f>
        <v/>
      </c>
      <c r="I193" s="17">
        <f>IF(OR($B$8="",28&gt;$H$8),"",IF($D193&lt;=TODAY(),"Vencida","A vencer"))</f>
        <v/>
      </c>
      <c r="J193" s="30">
        <f>IF($D193="","",EOMONTH($D193,0))</f>
        <v/>
      </c>
    </row>
    <row r="194">
      <c r="A194" s="24">
        <f>IF($B$8="","",$A$8)</f>
        <v/>
      </c>
      <c r="B194" s="9">
        <f>IF($B$8="","",$B$8)</f>
        <v/>
      </c>
      <c r="C194" s="24">
        <f>IF($B$8="","",29)</f>
        <v/>
      </c>
      <c r="D194" s="30">
        <f>IF(OR($B$8="",29&gt;$H$8),"",EDATE($J$8,28))</f>
        <v/>
      </c>
      <c r="E194" s="18">
        <f>IF(OR($B$8="",29&gt;$H$8),"",IF($I$8="SAC",ROUND($E$8/$H$8+$F194,2),ROUND(($E$8*$G$8*(1+$G$8)^$H$8/((1+$G$8)^$H$8-1)),2)))</f>
        <v/>
      </c>
      <c r="F194" s="18">
        <f>IF(OR($B$8="",29&gt;$H$8),"",ROUND($H193*$G$8,2))</f>
        <v/>
      </c>
      <c r="G194" s="18">
        <f>IF(OR($B$8="",29&gt;$H$8),"",IF($I$8="SAC",ROUND($E$8/$H$8,2),ROUND($E194-$F194,2)))</f>
        <v/>
      </c>
      <c r="H194" s="18">
        <f>IF(OR($B$8="",29&gt;$H$8),"",ROUND(MAX(0,$H193-$G194),2))</f>
        <v/>
      </c>
      <c r="I194" s="17">
        <f>IF(OR($B$8="",29&gt;$H$8),"",IF($D194&lt;=TODAY(),"Vencida","A vencer"))</f>
        <v/>
      </c>
      <c r="J194" s="30">
        <f>IF($D194="","",EOMONTH($D194,0))</f>
        <v/>
      </c>
    </row>
    <row r="195">
      <c r="A195" s="24">
        <f>IF($B$8="","",$A$8)</f>
        <v/>
      </c>
      <c r="B195" s="9">
        <f>IF($B$8="","",$B$8)</f>
        <v/>
      </c>
      <c r="C195" s="24">
        <f>IF($B$8="","",30)</f>
        <v/>
      </c>
      <c r="D195" s="30">
        <f>IF(OR($B$8="",30&gt;$H$8),"",EDATE($J$8,29))</f>
        <v/>
      </c>
      <c r="E195" s="18">
        <f>IF(OR($B$8="",30&gt;$H$8),"",IF($I$8="SAC",ROUND($E$8/$H$8+$F195,2),ROUND(($E$8*$G$8*(1+$G$8)^$H$8/((1+$G$8)^$H$8-1)),2)))</f>
        <v/>
      </c>
      <c r="F195" s="18">
        <f>IF(OR($B$8="",30&gt;$H$8),"",ROUND($H194*$G$8,2))</f>
        <v/>
      </c>
      <c r="G195" s="18">
        <f>IF(OR($B$8="",30&gt;$H$8),"",IF($I$8="SAC",ROUND($E$8/$H$8,2),ROUND($E195-$F195,2)))</f>
        <v/>
      </c>
      <c r="H195" s="18">
        <f>IF(OR($B$8="",30&gt;$H$8),"",ROUND(MAX(0,$H194-$G195),2))</f>
        <v/>
      </c>
      <c r="I195" s="17">
        <f>IF(OR($B$8="",30&gt;$H$8),"",IF($D195&lt;=TODAY(),"Vencida","A vencer"))</f>
        <v/>
      </c>
      <c r="J195" s="30">
        <f>IF($D195="","",EOMONTH($D195,0))</f>
        <v/>
      </c>
    </row>
    <row r="196">
      <c r="A196" s="24">
        <f>IF($B$8="","",$A$8)</f>
        <v/>
      </c>
      <c r="B196" s="9">
        <f>IF($B$8="","",$B$8)</f>
        <v/>
      </c>
      <c r="C196" s="24">
        <f>IF($B$8="","",31)</f>
        <v/>
      </c>
      <c r="D196" s="30">
        <f>IF(OR($B$8="",31&gt;$H$8),"",EDATE($J$8,30))</f>
        <v/>
      </c>
      <c r="E196" s="18">
        <f>IF(OR($B$8="",31&gt;$H$8),"",IF($I$8="SAC",ROUND($E$8/$H$8+$F196,2),ROUND(($E$8*$G$8*(1+$G$8)^$H$8/((1+$G$8)^$H$8-1)),2)))</f>
        <v/>
      </c>
      <c r="F196" s="18">
        <f>IF(OR($B$8="",31&gt;$H$8),"",ROUND($H195*$G$8,2))</f>
        <v/>
      </c>
      <c r="G196" s="18">
        <f>IF(OR($B$8="",31&gt;$H$8),"",IF($I$8="SAC",ROUND($E$8/$H$8,2),ROUND($E196-$F196,2)))</f>
        <v/>
      </c>
      <c r="H196" s="18">
        <f>IF(OR($B$8="",31&gt;$H$8),"",ROUND(MAX(0,$H195-$G196),2))</f>
        <v/>
      </c>
      <c r="I196" s="17">
        <f>IF(OR($B$8="",31&gt;$H$8),"",IF($D196&lt;=TODAY(),"Vencida","A vencer"))</f>
        <v/>
      </c>
      <c r="J196" s="30">
        <f>IF($D196="","",EOMONTH($D196,0))</f>
        <v/>
      </c>
    </row>
    <row r="197">
      <c r="A197" s="24">
        <f>IF($B$8="","",$A$8)</f>
        <v/>
      </c>
      <c r="B197" s="9">
        <f>IF($B$8="","",$B$8)</f>
        <v/>
      </c>
      <c r="C197" s="24">
        <f>IF($B$8="","",32)</f>
        <v/>
      </c>
      <c r="D197" s="30">
        <f>IF(OR($B$8="",32&gt;$H$8),"",EDATE($J$8,31))</f>
        <v/>
      </c>
      <c r="E197" s="18">
        <f>IF(OR($B$8="",32&gt;$H$8),"",IF($I$8="SAC",ROUND($E$8/$H$8+$F197,2),ROUND(($E$8*$G$8*(1+$G$8)^$H$8/((1+$G$8)^$H$8-1)),2)))</f>
        <v/>
      </c>
      <c r="F197" s="18">
        <f>IF(OR($B$8="",32&gt;$H$8),"",ROUND($H196*$G$8,2))</f>
        <v/>
      </c>
      <c r="G197" s="18">
        <f>IF(OR($B$8="",32&gt;$H$8),"",IF($I$8="SAC",ROUND($E$8/$H$8,2),ROUND($E197-$F197,2)))</f>
        <v/>
      </c>
      <c r="H197" s="18">
        <f>IF(OR($B$8="",32&gt;$H$8),"",ROUND(MAX(0,$H196-$G197),2))</f>
        <v/>
      </c>
      <c r="I197" s="17">
        <f>IF(OR($B$8="",32&gt;$H$8),"",IF($D197&lt;=TODAY(),"Vencida","A vencer"))</f>
        <v/>
      </c>
      <c r="J197" s="30">
        <f>IF($D197="","",EOMONTH($D197,0))</f>
        <v/>
      </c>
    </row>
    <row r="198">
      <c r="A198" s="24">
        <f>IF($B$8="","",$A$8)</f>
        <v/>
      </c>
      <c r="B198" s="9">
        <f>IF($B$8="","",$B$8)</f>
        <v/>
      </c>
      <c r="C198" s="24">
        <f>IF($B$8="","",33)</f>
        <v/>
      </c>
      <c r="D198" s="30">
        <f>IF(OR($B$8="",33&gt;$H$8),"",EDATE($J$8,32))</f>
        <v/>
      </c>
      <c r="E198" s="18">
        <f>IF(OR($B$8="",33&gt;$H$8),"",IF($I$8="SAC",ROUND($E$8/$H$8+$F198,2),ROUND(($E$8*$G$8*(1+$G$8)^$H$8/((1+$G$8)^$H$8-1)),2)))</f>
        <v/>
      </c>
      <c r="F198" s="18">
        <f>IF(OR($B$8="",33&gt;$H$8),"",ROUND($H197*$G$8,2))</f>
        <v/>
      </c>
      <c r="G198" s="18">
        <f>IF(OR($B$8="",33&gt;$H$8),"",IF($I$8="SAC",ROUND($E$8/$H$8,2),ROUND($E198-$F198,2)))</f>
        <v/>
      </c>
      <c r="H198" s="18">
        <f>IF(OR($B$8="",33&gt;$H$8),"",ROUND(MAX(0,$H197-$G198),2))</f>
        <v/>
      </c>
      <c r="I198" s="17">
        <f>IF(OR($B$8="",33&gt;$H$8),"",IF($D198&lt;=TODAY(),"Vencida","A vencer"))</f>
        <v/>
      </c>
      <c r="J198" s="30">
        <f>IF($D198="","",EOMONTH($D198,0))</f>
        <v/>
      </c>
    </row>
    <row r="199">
      <c r="A199" s="24">
        <f>IF($B$8="","",$A$8)</f>
        <v/>
      </c>
      <c r="B199" s="9">
        <f>IF($B$8="","",$B$8)</f>
        <v/>
      </c>
      <c r="C199" s="24">
        <f>IF($B$8="","",34)</f>
        <v/>
      </c>
      <c r="D199" s="30">
        <f>IF(OR($B$8="",34&gt;$H$8),"",EDATE($J$8,33))</f>
        <v/>
      </c>
      <c r="E199" s="18">
        <f>IF(OR($B$8="",34&gt;$H$8),"",IF($I$8="SAC",ROUND($E$8/$H$8+$F199,2),ROUND(($E$8*$G$8*(1+$G$8)^$H$8/((1+$G$8)^$H$8-1)),2)))</f>
        <v/>
      </c>
      <c r="F199" s="18">
        <f>IF(OR($B$8="",34&gt;$H$8),"",ROUND($H198*$G$8,2))</f>
        <v/>
      </c>
      <c r="G199" s="18">
        <f>IF(OR($B$8="",34&gt;$H$8),"",IF($I$8="SAC",ROUND($E$8/$H$8,2),ROUND($E199-$F199,2)))</f>
        <v/>
      </c>
      <c r="H199" s="18">
        <f>IF(OR($B$8="",34&gt;$H$8),"",ROUND(MAX(0,$H198-$G199),2))</f>
        <v/>
      </c>
      <c r="I199" s="17">
        <f>IF(OR($B$8="",34&gt;$H$8),"",IF($D199&lt;=TODAY(),"Vencida","A vencer"))</f>
        <v/>
      </c>
      <c r="J199" s="30">
        <f>IF($D199="","",EOMONTH($D199,0))</f>
        <v/>
      </c>
    </row>
    <row r="200">
      <c r="A200" s="24">
        <f>IF($B$8="","",$A$8)</f>
        <v/>
      </c>
      <c r="B200" s="9">
        <f>IF($B$8="","",$B$8)</f>
        <v/>
      </c>
      <c r="C200" s="24">
        <f>IF($B$8="","",35)</f>
        <v/>
      </c>
      <c r="D200" s="30">
        <f>IF(OR($B$8="",35&gt;$H$8),"",EDATE($J$8,34))</f>
        <v/>
      </c>
      <c r="E200" s="18">
        <f>IF(OR($B$8="",35&gt;$H$8),"",IF($I$8="SAC",ROUND($E$8/$H$8+$F200,2),ROUND(($E$8*$G$8*(1+$G$8)^$H$8/((1+$G$8)^$H$8-1)),2)))</f>
        <v/>
      </c>
      <c r="F200" s="18">
        <f>IF(OR($B$8="",35&gt;$H$8),"",ROUND($H199*$G$8,2))</f>
        <v/>
      </c>
      <c r="G200" s="18">
        <f>IF(OR($B$8="",35&gt;$H$8),"",IF($I$8="SAC",ROUND($E$8/$H$8,2),ROUND($E200-$F200,2)))</f>
        <v/>
      </c>
      <c r="H200" s="18">
        <f>IF(OR($B$8="",35&gt;$H$8),"",ROUND(MAX(0,$H199-$G200),2))</f>
        <v/>
      </c>
      <c r="I200" s="17">
        <f>IF(OR($B$8="",35&gt;$H$8),"",IF($D200&lt;=TODAY(),"Vencida","A vencer"))</f>
        <v/>
      </c>
      <c r="J200" s="30">
        <f>IF($D200="","",EOMONTH($D200,0))</f>
        <v/>
      </c>
    </row>
    <row r="201">
      <c r="A201" s="24">
        <f>IF($B$8="","",$A$8)</f>
        <v/>
      </c>
      <c r="B201" s="9">
        <f>IF($B$8="","",$B$8)</f>
        <v/>
      </c>
      <c r="C201" s="24">
        <f>IF($B$8="","",36)</f>
        <v/>
      </c>
      <c r="D201" s="30">
        <f>IF(OR($B$8="",36&gt;$H$8),"",EDATE($J$8,35))</f>
        <v/>
      </c>
      <c r="E201" s="18">
        <f>IF(OR($B$8="",36&gt;$H$8),"",IF($I$8="SAC",ROUND($E$8/$H$8+$F201,2),ROUND(($E$8*$G$8*(1+$G$8)^$H$8/((1+$G$8)^$H$8-1)),2)))</f>
        <v/>
      </c>
      <c r="F201" s="18">
        <f>IF(OR($B$8="",36&gt;$H$8),"",ROUND($H200*$G$8,2))</f>
        <v/>
      </c>
      <c r="G201" s="18">
        <f>IF(OR($B$8="",36&gt;$H$8),"",IF($I$8="SAC",ROUND($E$8/$H$8,2),ROUND($E201-$F201,2)))</f>
        <v/>
      </c>
      <c r="H201" s="18">
        <f>IF(OR($B$8="",36&gt;$H$8),"",ROUND(MAX(0,$H200-$G201),2))</f>
        <v/>
      </c>
      <c r="I201" s="17">
        <f>IF(OR($B$8="",36&gt;$H$8),"",IF($D201&lt;=TODAY(),"Vencida","A vencer"))</f>
        <v/>
      </c>
      <c r="J201" s="30">
        <f>IF($D201="","",EOMONTH($D201,0))</f>
        <v/>
      </c>
    </row>
    <row r="202">
      <c r="A202" s="24">
        <f>IF($B$8="","",$A$8)</f>
        <v/>
      </c>
      <c r="B202" s="9">
        <f>IF($B$8="","",$B$8)</f>
        <v/>
      </c>
      <c r="C202" s="24">
        <f>IF($B$8="","",37)</f>
        <v/>
      </c>
      <c r="D202" s="30">
        <f>IF(OR($B$8="",37&gt;$H$8),"",EDATE($J$8,36))</f>
        <v/>
      </c>
      <c r="E202" s="18">
        <f>IF(OR($B$8="",37&gt;$H$8),"",IF($I$8="SAC",ROUND($E$8/$H$8+$F202,2),ROUND(($E$8*$G$8*(1+$G$8)^$H$8/((1+$G$8)^$H$8-1)),2)))</f>
        <v/>
      </c>
      <c r="F202" s="18">
        <f>IF(OR($B$8="",37&gt;$H$8),"",ROUND($H201*$G$8,2))</f>
        <v/>
      </c>
      <c r="G202" s="18">
        <f>IF(OR($B$8="",37&gt;$H$8),"",IF($I$8="SAC",ROUND($E$8/$H$8,2),ROUND($E202-$F202,2)))</f>
        <v/>
      </c>
      <c r="H202" s="18">
        <f>IF(OR($B$8="",37&gt;$H$8),"",ROUND(MAX(0,$H201-$G202),2))</f>
        <v/>
      </c>
      <c r="I202" s="17">
        <f>IF(OR($B$8="",37&gt;$H$8),"",IF($D202&lt;=TODAY(),"Vencida","A vencer"))</f>
        <v/>
      </c>
      <c r="J202" s="30">
        <f>IF($D202="","",EOMONTH($D202,0))</f>
        <v/>
      </c>
    </row>
    <row r="203">
      <c r="A203" s="24">
        <f>IF($B$8="","",$A$8)</f>
        <v/>
      </c>
      <c r="B203" s="9">
        <f>IF($B$8="","",$B$8)</f>
        <v/>
      </c>
      <c r="C203" s="24">
        <f>IF($B$8="","",38)</f>
        <v/>
      </c>
      <c r="D203" s="30">
        <f>IF(OR($B$8="",38&gt;$H$8),"",EDATE($J$8,37))</f>
        <v/>
      </c>
      <c r="E203" s="18">
        <f>IF(OR($B$8="",38&gt;$H$8),"",IF($I$8="SAC",ROUND($E$8/$H$8+$F203,2),ROUND(($E$8*$G$8*(1+$G$8)^$H$8/((1+$G$8)^$H$8-1)),2)))</f>
        <v/>
      </c>
      <c r="F203" s="18">
        <f>IF(OR($B$8="",38&gt;$H$8),"",ROUND($H202*$G$8,2))</f>
        <v/>
      </c>
      <c r="G203" s="18">
        <f>IF(OR($B$8="",38&gt;$H$8),"",IF($I$8="SAC",ROUND($E$8/$H$8,2),ROUND($E203-$F203,2)))</f>
        <v/>
      </c>
      <c r="H203" s="18">
        <f>IF(OR($B$8="",38&gt;$H$8),"",ROUND(MAX(0,$H202-$G203),2))</f>
        <v/>
      </c>
      <c r="I203" s="17">
        <f>IF(OR($B$8="",38&gt;$H$8),"",IF($D203&lt;=TODAY(),"Vencida","A vencer"))</f>
        <v/>
      </c>
      <c r="J203" s="30">
        <f>IF($D203="","",EOMONTH($D203,0))</f>
        <v/>
      </c>
    </row>
    <row r="204">
      <c r="A204" s="24">
        <f>IF($B$8="","",$A$8)</f>
        <v/>
      </c>
      <c r="B204" s="9">
        <f>IF($B$8="","",$B$8)</f>
        <v/>
      </c>
      <c r="C204" s="24">
        <f>IF($B$8="","",39)</f>
        <v/>
      </c>
      <c r="D204" s="30">
        <f>IF(OR($B$8="",39&gt;$H$8),"",EDATE($J$8,38))</f>
        <v/>
      </c>
      <c r="E204" s="18">
        <f>IF(OR($B$8="",39&gt;$H$8),"",IF($I$8="SAC",ROUND($E$8/$H$8+$F204,2),ROUND(($E$8*$G$8*(1+$G$8)^$H$8/((1+$G$8)^$H$8-1)),2)))</f>
        <v/>
      </c>
      <c r="F204" s="18">
        <f>IF(OR($B$8="",39&gt;$H$8),"",ROUND($H203*$G$8,2))</f>
        <v/>
      </c>
      <c r="G204" s="18">
        <f>IF(OR($B$8="",39&gt;$H$8),"",IF($I$8="SAC",ROUND($E$8/$H$8,2),ROUND($E204-$F204,2)))</f>
        <v/>
      </c>
      <c r="H204" s="18">
        <f>IF(OR($B$8="",39&gt;$H$8),"",ROUND(MAX(0,$H203-$G204),2))</f>
        <v/>
      </c>
      <c r="I204" s="17">
        <f>IF(OR($B$8="",39&gt;$H$8),"",IF($D204&lt;=TODAY(),"Vencida","A vencer"))</f>
        <v/>
      </c>
      <c r="J204" s="30">
        <f>IF($D204="","",EOMONTH($D204,0))</f>
        <v/>
      </c>
    </row>
    <row r="205">
      <c r="A205" s="24">
        <f>IF($B$8="","",$A$8)</f>
        <v/>
      </c>
      <c r="B205" s="9">
        <f>IF($B$8="","",$B$8)</f>
        <v/>
      </c>
      <c r="C205" s="24">
        <f>IF($B$8="","",40)</f>
        <v/>
      </c>
      <c r="D205" s="30">
        <f>IF(OR($B$8="",40&gt;$H$8),"",EDATE($J$8,39))</f>
        <v/>
      </c>
      <c r="E205" s="18">
        <f>IF(OR($B$8="",40&gt;$H$8),"",IF($I$8="SAC",ROUND($E$8/$H$8+$F205,2),ROUND(($E$8*$G$8*(1+$G$8)^$H$8/((1+$G$8)^$H$8-1)),2)))</f>
        <v/>
      </c>
      <c r="F205" s="18">
        <f>IF(OR($B$8="",40&gt;$H$8),"",ROUND($H204*$G$8,2))</f>
        <v/>
      </c>
      <c r="G205" s="18">
        <f>IF(OR($B$8="",40&gt;$H$8),"",IF($I$8="SAC",ROUND($E$8/$H$8,2),ROUND($E205-$F205,2)))</f>
        <v/>
      </c>
      <c r="H205" s="18">
        <f>IF(OR($B$8="",40&gt;$H$8),"",ROUND(MAX(0,$H204-$G205),2))</f>
        <v/>
      </c>
      <c r="I205" s="17">
        <f>IF(OR($B$8="",40&gt;$H$8),"",IF($D205&lt;=TODAY(),"Vencida","A vencer"))</f>
        <v/>
      </c>
      <c r="J205" s="30">
        <f>IF($D205="","",EOMONTH($D205,0))</f>
        <v/>
      </c>
    </row>
    <row r="206">
      <c r="A206" s="24">
        <f>IF($B$8="","",$A$8)</f>
        <v/>
      </c>
      <c r="B206" s="9">
        <f>IF($B$8="","",$B$8)</f>
        <v/>
      </c>
      <c r="C206" s="24">
        <f>IF($B$8="","",41)</f>
        <v/>
      </c>
      <c r="D206" s="30">
        <f>IF(OR($B$8="",41&gt;$H$8),"",EDATE($J$8,40))</f>
        <v/>
      </c>
      <c r="E206" s="18">
        <f>IF(OR($B$8="",41&gt;$H$8),"",IF($I$8="SAC",ROUND($E$8/$H$8+$F206,2),ROUND(($E$8*$G$8*(1+$G$8)^$H$8/((1+$G$8)^$H$8-1)),2)))</f>
        <v/>
      </c>
      <c r="F206" s="18">
        <f>IF(OR($B$8="",41&gt;$H$8),"",ROUND($H205*$G$8,2))</f>
        <v/>
      </c>
      <c r="G206" s="18">
        <f>IF(OR($B$8="",41&gt;$H$8),"",IF($I$8="SAC",ROUND($E$8/$H$8,2),ROUND($E206-$F206,2)))</f>
        <v/>
      </c>
      <c r="H206" s="18">
        <f>IF(OR($B$8="",41&gt;$H$8),"",ROUND(MAX(0,$H205-$G206),2))</f>
        <v/>
      </c>
      <c r="I206" s="17">
        <f>IF(OR($B$8="",41&gt;$H$8),"",IF($D206&lt;=TODAY(),"Vencida","A vencer"))</f>
        <v/>
      </c>
      <c r="J206" s="30">
        <f>IF($D206="","",EOMONTH($D206,0))</f>
        <v/>
      </c>
    </row>
    <row r="207">
      <c r="A207" s="24">
        <f>IF($B$8="","",$A$8)</f>
        <v/>
      </c>
      <c r="B207" s="9">
        <f>IF($B$8="","",$B$8)</f>
        <v/>
      </c>
      <c r="C207" s="24">
        <f>IF($B$8="","",42)</f>
        <v/>
      </c>
      <c r="D207" s="30">
        <f>IF(OR($B$8="",42&gt;$H$8),"",EDATE($J$8,41))</f>
        <v/>
      </c>
      <c r="E207" s="18">
        <f>IF(OR($B$8="",42&gt;$H$8),"",IF($I$8="SAC",ROUND($E$8/$H$8+$F207,2),ROUND(($E$8*$G$8*(1+$G$8)^$H$8/((1+$G$8)^$H$8-1)),2)))</f>
        <v/>
      </c>
      <c r="F207" s="18">
        <f>IF(OR($B$8="",42&gt;$H$8),"",ROUND($H206*$G$8,2))</f>
        <v/>
      </c>
      <c r="G207" s="18">
        <f>IF(OR($B$8="",42&gt;$H$8),"",IF($I$8="SAC",ROUND($E$8/$H$8,2),ROUND($E207-$F207,2)))</f>
        <v/>
      </c>
      <c r="H207" s="18">
        <f>IF(OR($B$8="",42&gt;$H$8),"",ROUND(MAX(0,$H206-$G207),2))</f>
        <v/>
      </c>
      <c r="I207" s="17">
        <f>IF(OR($B$8="",42&gt;$H$8),"",IF($D207&lt;=TODAY(),"Vencida","A vencer"))</f>
        <v/>
      </c>
      <c r="J207" s="30">
        <f>IF($D207="","",EOMONTH($D207,0))</f>
        <v/>
      </c>
    </row>
    <row r="208">
      <c r="A208" s="24">
        <f>IF($B$8="","",$A$8)</f>
        <v/>
      </c>
      <c r="B208" s="9">
        <f>IF($B$8="","",$B$8)</f>
        <v/>
      </c>
      <c r="C208" s="24">
        <f>IF($B$8="","",43)</f>
        <v/>
      </c>
      <c r="D208" s="30">
        <f>IF(OR($B$8="",43&gt;$H$8),"",EDATE($J$8,42))</f>
        <v/>
      </c>
      <c r="E208" s="18">
        <f>IF(OR($B$8="",43&gt;$H$8),"",IF($I$8="SAC",ROUND($E$8/$H$8+$F208,2),ROUND(($E$8*$G$8*(1+$G$8)^$H$8/((1+$G$8)^$H$8-1)),2)))</f>
        <v/>
      </c>
      <c r="F208" s="18">
        <f>IF(OR($B$8="",43&gt;$H$8),"",ROUND($H207*$G$8,2))</f>
        <v/>
      </c>
      <c r="G208" s="18">
        <f>IF(OR($B$8="",43&gt;$H$8),"",IF($I$8="SAC",ROUND($E$8/$H$8,2),ROUND($E208-$F208,2)))</f>
        <v/>
      </c>
      <c r="H208" s="18">
        <f>IF(OR($B$8="",43&gt;$H$8),"",ROUND(MAX(0,$H207-$G208),2))</f>
        <v/>
      </c>
      <c r="I208" s="17">
        <f>IF(OR($B$8="",43&gt;$H$8),"",IF($D208&lt;=TODAY(),"Vencida","A vencer"))</f>
        <v/>
      </c>
      <c r="J208" s="30">
        <f>IF($D208="","",EOMONTH($D208,0))</f>
        <v/>
      </c>
    </row>
    <row r="209">
      <c r="A209" s="24">
        <f>IF($B$8="","",$A$8)</f>
        <v/>
      </c>
      <c r="B209" s="9">
        <f>IF($B$8="","",$B$8)</f>
        <v/>
      </c>
      <c r="C209" s="24">
        <f>IF($B$8="","",44)</f>
        <v/>
      </c>
      <c r="D209" s="30">
        <f>IF(OR($B$8="",44&gt;$H$8),"",EDATE($J$8,43))</f>
        <v/>
      </c>
      <c r="E209" s="18">
        <f>IF(OR($B$8="",44&gt;$H$8),"",IF($I$8="SAC",ROUND($E$8/$H$8+$F209,2),ROUND(($E$8*$G$8*(1+$G$8)^$H$8/((1+$G$8)^$H$8-1)),2)))</f>
        <v/>
      </c>
      <c r="F209" s="18">
        <f>IF(OR($B$8="",44&gt;$H$8),"",ROUND($H208*$G$8,2))</f>
        <v/>
      </c>
      <c r="G209" s="18">
        <f>IF(OR($B$8="",44&gt;$H$8),"",IF($I$8="SAC",ROUND($E$8/$H$8,2),ROUND($E209-$F209,2)))</f>
        <v/>
      </c>
      <c r="H209" s="18">
        <f>IF(OR($B$8="",44&gt;$H$8),"",ROUND(MAX(0,$H208-$G209),2))</f>
        <v/>
      </c>
      <c r="I209" s="17">
        <f>IF(OR($B$8="",44&gt;$H$8),"",IF($D209&lt;=TODAY(),"Vencida","A vencer"))</f>
        <v/>
      </c>
      <c r="J209" s="30">
        <f>IF($D209="","",EOMONTH($D209,0))</f>
        <v/>
      </c>
    </row>
    <row r="210">
      <c r="A210" s="24">
        <f>IF($B$8="","",$A$8)</f>
        <v/>
      </c>
      <c r="B210" s="9">
        <f>IF($B$8="","",$B$8)</f>
        <v/>
      </c>
      <c r="C210" s="24">
        <f>IF($B$8="","",45)</f>
        <v/>
      </c>
      <c r="D210" s="30">
        <f>IF(OR($B$8="",45&gt;$H$8),"",EDATE($J$8,44))</f>
        <v/>
      </c>
      <c r="E210" s="18">
        <f>IF(OR($B$8="",45&gt;$H$8),"",IF($I$8="SAC",ROUND($E$8/$H$8+$F210,2),ROUND(($E$8*$G$8*(1+$G$8)^$H$8/((1+$G$8)^$H$8-1)),2)))</f>
        <v/>
      </c>
      <c r="F210" s="18">
        <f>IF(OR($B$8="",45&gt;$H$8),"",ROUND($H209*$G$8,2))</f>
        <v/>
      </c>
      <c r="G210" s="18">
        <f>IF(OR($B$8="",45&gt;$H$8),"",IF($I$8="SAC",ROUND($E$8/$H$8,2),ROUND($E210-$F210,2)))</f>
        <v/>
      </c>
      <c r="H210" s="18">
        <f>IF(OR($B$8="",45&gt;$H$8),"",ROUND(MAX(0,$H209-$G210),2))</f>
        <v/>
      </c>
      <c r="I210" s="17">
        <f>IF(OR($B$8="",45&gt;$H$8),"",IF($D210&lt;=TODAY(),"Vencida","A vencer"))</f>
        <v/>
      </c>
      <c r="J210" s="30">
        <f>IF($D210="","",EOMONTH($D210,0))</f>
        <v/>
      </c>
    </row>
    <row r="211">
      <c r="A211" s="24">
        <f>IF($B$8="","",$A$8)</f>
        <v/>
      </c>
      <c r="B211" s="9">
        <f>IF($B$8="","",$B$8)</f>
        <v/>
      </c>
      <c r="C211" s="24">
        <f>IF($B$8="","",46)</f>
        <v/>
      </c>
      <c r="D211" s="30">
        <f>IF(OR($B$8="",46&gt;$H$8),"",EDATE($J$8,45))</f>
        <v/>
      </c>
      <c r="E211" s="18">
        <f>IF(OR($B$8="",46&gt;$H$8),"",IF($I$8="SAC",ROUND($E$8/$H$8+$F211,2),ROUND(($E$8*$G$8*(1+$G$8)^$H$8/((1+$G$8)^$H$8-1)),2)))</f>
        <v/>
      </c>
      <c r="F211" s="18">
        <f>IF(OR($B$8="",46&gt;$H$8),"",ROUND($H210*$G$8,2))</f>
        <v/>
      </c>
      <c r="G211" s="18">
        <f>IF(OR($B$8="",46&gt;$H$8),"",IF($I$8="SAC",ROUND($E$8/$H$8,2),ROUND($E211-$F211,2)))</f>
        <v/>
      </c>
      <c r="H211" s="18">
        <f>IF(OR($B$8="",46&gt;$H$8),"",ROUND(MAX(0,$H210-$G211),2))</f>
        <v/>
      </c>
      <c r="I211" s="17">
        <f>IF(OR($B$8="",46&gt;$H$8),"",IF($D211&lt;=TODAY(),"Vencida","A vencer"))</f>
        <v/>
      </c>
      <c r="J211" s="30">
        <f>IF($D211="","",EOMONTH($D211,0))</f>
        <v/>
      </c>
    </row>
    <row r="212">
      <c r="A212" s="24">
        <f>IF($B$8="","",$A$8)</f>
        <v/>
      </c>
      <c r="B212" s="9">
        <f>IF($B$8="","",$B$8)</f>
        <v/>
      </c>
      <c r="C212" s="24">
        <f>IF($B$8="","",47)</f>
        <v/>
      </c>
      <c r="D212" s="30">
        <f>IF(OR($B$8="",47&gt;$H$8),"",EDATE($J$8,46))</f>
        <v/>
      </c>
      <c r="E212" s="18">
        <f>IF(OR($B$8="",47&gt;$H$8),"",IF($I$8="SAC",ROUND($E$8/$H$8+$F212,2),ROUND(($E$8*$G$8*(1+$G$8)^$H$8/((1+$G$8)^$H$8-1)),2)))</f>
        <v/>
      </c>
      <c r="F212" s="18">
        <f>IF(OR($B$8="",47&gt;$H$8),"",ROUND($H211*$G$8,2))</f>
        <v/>
      </c>
      <c r="G212" s="18">
        <f>IF(OR($B$8="",47&gt;$H$8),"",IF($I$8="SAC",ROUND($E$8/$H$8,2),ROUND($E212-$F212,2)))</f>
        <v/>
      </c>
      <c r="H212" s="18">
        <f>IF(OR($B$8="",47&gt;$H$8),"",ROUND(MAX(0,$H211-$G212),2))</f>
        <v/>
      </c>
      <c r="I212" s="17">
        <f>IF(OR($B$8="",47&gt;$H$8),"",IF($D212&lt;=TODAY(),"Vencida","A vencer"))</f>
        <v/>
      </c>
      <c r="J212" s="30">
        <f>IF($D212="","",EOMONTH($D212,0))</f>
        <v/>
      </c>
    </row>
    <row r="213">
      <c r="A213" s="24">
        <f>IF($B$8="","",$A$8)</f>
        <v/>
      </c>
      <c r="B213" s="9">
        <f>IF($B$8="","",$B$8)</f>
        <v/>
      </c>
      <c r="C213" s="24">
        <f>IF($B$8="","",48)</f>
        <v/>
      </c>
      <c r="D213" s="30">
        <f>IF(OR($B$8="",48&gt;$H$8),"",EDATE($J$8,47))</f>
        <v/>
      </c>
      <c r="E213" s="18">
        <f>IF(OR($B$8="",48&gt;$H$8),"",IF($I$8="SAC",ROUND($E$8/$H$8+$F213,2),ROUND(($E$8*$G$8*(1+$G$8)^$H$8/((1+$G$8)^$H$8-1)),2)))</f>
        <v/>
      </c>
      <c r="F213" s="18">
        <f>IF(OR($B$8="",48&gt;$H$8),"",ROUND($H212*$G$8,2))</f>
        <v/>
      </c>
      <c r="G213" s="18">
        <f>IF(OR($B$8="",48&gt;$H$8),"",IF($I$8="SAC",ROUND($E$8/$H$8,2),ROUND($E213-$F213,2)))</f>
        <v/>
      </c>
      <c r="H213" s="18">
        <f>IF(OR($B$8="",48&gt;$H$8),"",ROUND(MAX(0,$H212-$G213),2))</f>
        <v/>
      </c>
      <c r="I213" s="17">
        <f>IF(OR($B$8="",48&gt;$H$8),"",IF($D213&lt;=TODAY(),"Vencida","A vencer"))</f>
        <v/>
      </c>
      <c r="J213" s="30">
        <f>IF($D213="","",EOMONTH($D213,0))</f>
        <v/>
      </c>
    </row>
    <row r="214">
      <c r="A214" s="24">
        <f>IF($B$8="","",$A$8)</f>
        <v/>
      </c>
      <c r="B214" s="9">
        <f>IF($B$8="","",$B$8)</f>
        <v/>
      </c>
      <c r="C214" s="24">
        <f>IF($B$8="","",49)</f>
        <v/>
      </c>
      <c r="D214" s="30">
        <f>IF(OR($B$8="",49&gt;$H$8),"",EDATE($J$8,48))</f>
        <v/>
      </c>
      <c r="E214" s="18">
        <f>IF(OR($B$8="",49&gt;$H$8),"",IF($I$8="SAC",ROUND($E$8/$H$8+$F214,2),ROUND(($E$8*$G$8*(1+$G$8)^$H$8/((1+$G$8)^$H$8-1)),2)))</f>
        <v/>
      </c>
      <c r="F214" s="18">
        <f>IF(OR($B$8="",49&gt;$H$8),"",ROUND($H213*$G$8,2))</f>
        <v/>
      </c>
      <c r="G214" s="18">
        <f>IF(OR($B$8="",49&gt;$H$8),"",IF($I$8="SAC",ROUND($E$8/$H$8,2),ROUND($E214-$F214,2)))</f>
        <v/>
      </c>
      <c r="H214" s="18">
        <f>IF(OR($B$8="",49&gt;$H$8),"",ROUND(MAX(0,$H213-$G214),2))</f>
        <v/>
      </c>
      <c r="I214" s="17">
        <f>IF(OR($B$8="",49&gt;$H$8),"",IF($D214&lt;=TODAY(),"Vencida","A vencer"))</f>
        <v/>
      </c>
      <c r="J214" s="30">
        <f>IF($D214="","",EOMONTH($D214,0))</f>
        <v/>
      </c>
    </row>
    <row r="215">
      <c r="A215" s="24">
        <f>IF($B$8="","",$A$8)</f>
        <v/>
      </c>
      <c r="B215" s="9">
        <f>IF($B$8="","",$B$8)</f>
        <v/>
      </c>
      <c r="C215" s="24">
        <f>IF($B$8="","",50)</f>
        <v/>
      </c>
      <c r="D215" s="30">
        <f>IF(OR($B$8="",50&gt;$H$8),"",EDATE($J$8,49))</f>
        <v/>
      </c>
      <c r="E215" s="18">
        <f>IF(OR($B$8="",50&gt;$H$8),"",IF($I$8="SAC",ROUND($E$8/$H$8+$F215,2),ROUND(($E$8*$G$8*(1+$G$8)^$H$8/((1+$G$8)^$H$8-1)),2)))</f>
        <v/>
      </c>
      <c r="F215" s="18">
        <f>IF(OR($B$8="",50&gt;$H$8),"",ROUND($H214*$G$8,2))</f>
        <v/>
      </c>
      <c r="G215" s="18">
        <f>IF(OR($B$8="",50&gt;$H$8),"",IF($I$8="SAC",ROUND($E$8/$H$8,2),ROUND($E215-$F215,2)))</f>
        <v/>
      </c>
      <c r="H215" s="18">
        <f>IF(OR($B$8="",50&gt;$H$8),"",ROUND(MAX(0,$H214-$G215),2))</f>
        <v/>
      </c>
      <c r="I215" s="17">
        <f>IF(OR($B$8="",50&gt;$H$8),"",IF($D215&lt;=TODAY(),"Vencida","A vencer"))</f>
        <v/>
      </c>
      <c r="J215" s="30">
        <f>IF($D215="","",EOMONTH($D215,0))</f>
        <v/>
      </c>
    </row>
    <row r="216">
      <c r="A216" s="24">
        <f>IF($B$8="","",$A$8)</f>
        <v/>
      </c>
      <c r="B216" s="9">
        <f>IF($B$8="","",$B$8)</f>
        <v/>
      </c>
      <c r="C216" s="24">
        <f>IF($B$8="","",51)</f>
        <v/>
      </c>
      <c r="D216" s="30">
        <f>IF(OR($B$8="",51&gt;$H$8),"",EDATE($J$8,50))</f>
        <v/>
      </c>
      <c r="E216" s="18">
        <f>IF(OR($B$8="",51&gt;$H$8),"",IF($I$8="SAC",ROUND($E$8/$H$8+$F216,2),ROUND(($E$8*$G$8*(1+$G$8)^$H$8/((1+$G$8)^$H$8-1)),2)))</f>
        <v/>
      </c>
      <c r="F216" s="18">
        <f>IF(OR($B$8="",51&gt;$H$8),"",ROUND($H215*$G$8,2))</f>
        <v/>
      </c>
      <c r="G216" s="18">
        <f>IF(OR($B$8="",51&gt;$H$8),"",IF($I$8="SAC",ROUND($E$8/$H$8,2),ROUND($E216-$F216,2)))</f>
        <v/>
      </c>
      <c r="H216" s="18">
        <f>IF(OR($B$8="",51&gt;$H$8),"",ROUND(MAX(0,$H215-$G216),2))</f>
        <v/>
      </c>
      <c r="I216" s="17">
        <f>IF(OR($B$8="",51&gt;$H$8),"",IF($D216&lt;=TODAY(),"Vencida","A vencer"))</f>
        <v/>
      </c>
      <c r="J216" s="30">
        <f>IF($D216="","",EOMONTH($D216,0))</f>
        <v/>
      </c>
    </row>
    <row r="217">
      <c r="A217" s="24">
        <f>IF($B$8="","",$A$8)</f>
        <v/>
      </c>
      <c r="B217" s="9">
        <f>IF($B$8="","",$B$8)</f>
        <v/>
      </c>
      <c r="C217" s="24">
        <f>IF($B$8="","",52)</f>
        <v/>
      </c>
      <c r="D217" s="30">
        <f>IF(OR($B$8="",52&gt;$H$8),"",EDATE($J$8,51))</f>
        <v/>
      </c>
      <c r="E217" s="18">
        <f>IF(OR($B$8="",52&gt;$H$8),"",IF($I$8="SAC",ROUND($E$8/$H$8+$F217,2),ROUND(($E$8*$G$8*(1+$G$8)^$H$8/((1+$G$8)^$H$8-1)),2)))</f>
        <v/>
      </c>
      <c r="F217" s="18">
        <f>IF(OR($B$8="",52&gt;$H$8),"",ROUND($H216*$G$8,2))</f>
        <v/>
      </c>
      <c r="G217" s="18">
        <f>IF(OR($B$8="",52&gt;$H$8),"",IF($I$8="SAC",ROUND($E$8/$H$8,2),ROUND($E217-$F217,2)))</f>
        <v/>
      </c>
      <c r="H217" s="18">
        <f>IF(OR($B$8="",52&gt;$H$8),"",ROUND(MAX(0,$H216-$G217),2))</f>
        <v/>
      </c>
      <c r="I217" s="17">
        <f>IF(OR($B$8="",52&gt;$H$8),"",IF($D217&lt;=TODAY(),"Vencida","A vencer"))</f>
        <v/>
      </c>
      <c r="J217" s="30">
        <f>IF($D217="","",EOMONTH($D217,0))</f>
        <v/>
      </c>
    </row>
    <row r="218">
      <c r="A218" s="24">
        <f>IF($B$8="","",$A$8)</f>
        <v/>
      </c>
      <c r="B218" s="9">
        <f>IF($B$8="","",$B$8)</f>
        <v/>
      </c>
      <c r="C218" s="24">
        <f>IF($B$8="","",53)</f>
        <v/>
      </c>
      <c r="D218" s="30">
        <f>IF(OR($B$8="",53&gt;$H$8),"",EDATE($J$8,52))</f>
        <v/>
      </c>
      <c r="E218" s="18">
        <f>IF(OR($B$8="",53&gt;$H$8),"",IF($I$8="SAC",ROUND($E$8/$H$8+$F218,2),ROUND(($E$8*$G$8*(1+$G$8)^$H$8/((1+$G$8)^$H$8-1)),2)))</f>
        <v/>
      </c>
      <c r="F218" s="18">
        <f>IF(OR($B$8="",53&gt;$H$8),"",ROUND($H217*$G$8,2))</f>
        <v/>
      </c>
      <c r="G218" s="18">
        <f>IF(OR($B$8="",53&gt;$H$8),"",IF($I$8="SAC",ROUND($E$8/$H$8,2),ROUND($E218-$F218,2)))</f>
        <v/>
      </c>
      <c r="H218" s="18">
        <f>IF(OR($B$8="",53&gt;$H$8),"",ROUND(MAX(0,$H217-$G218),2))</f>
        <v/>
      </c>
      <c r="I218" s="17">
        <f>IF(OR($B$8="",53&gt;$H$8),"",IF($D218&lt;=TODAY(),"Vencida","A vencer"))</f>
        <v/>
      </c>
      <c r="J218" s="30">
        <f>IF($D218="","",EOMONTH($D218,0))</f>
        <v/>
      </c>
    </row>
    <row r="219">
      <c r="A219" s="24">
        <f>IF($B$8="","",$A$8)</f>
        <v/>
      </c>
      <c r="B219" s="9">
        <f>IF($B$8="","",$B$8)</f>
        <v/>
      </c>
      <c r="C219" s="24">
        <f>IF($B$8="","",54)</f>
        <v/>
      </c>
      <c r="D219" s="30">
        <f>IF(OR($B$8="",54&gt;$H$8),"",EDATE($J$8,53))</f>
        <v/>
      </c>
      <c r="E219" s="18">
        <f>IF(OR($B$8="",54&gt;$H$8),"",IF($I$8="SAC",ROUND($E$8/$H$8+$F219,2),ROUND(($E$8*$G$8*(1+$G$8)^$H$8/((1+$G$8)^$H$8-1)),2)))</f>
        <v/>
      </c>
      <c r="F219" s="18">
        <f>IF(OR($B$8="",54&gt;$H$8),"",ROUND($H218*$G$8,2))</f>
        <v/>
      </c>
      <c r="G219" s="18">
        <f>IF(OR($B$8="",54&gt;$H$8),"",IF($I$8="SAC",ROUND($E$8/$H$8,2),ROUND($E219-$F219,2)))</f>
        <v/>
      </c>
      <c r="H219" s="18">
        <f>IF(OR($B$8="",54&gt;$H$8),"",ROUND(MAX(0,$H218-$G219),2))</f>
        <v/>
      </c>
      <c r="I219" s="17">
        <f>IF(OR($B$8="",54&gt;$H$8),"",IF($D219&lt;=TODAY(),"Vencida","A vencer"))</f>
        <v/>
      </c>
      <c r="J219" s="30">
        <f>IF($D219="","",EOMONTH($D219,0))</f>
        <v/>
      </c>
    </row>
    <row r="220">
      <c r="A220" s="24">
        <f>IF($B$8="","",$A$8)</f>
        <v/>
      </c>
      <c r="B220" s="9">
        <f>IF($B$8="","",$B$8)</f>
        <v/>
      </c>
      <c r="C220" s="24">
        <f>IF($B$8="","",55)</f>
        <v/>
      </c>
      <c r="D220" s="30">
        <f>IF(OR($B$8="",55&gt;$H$8),"",EDATE($J$8,54))</f>
        <v/>
      </c>
      <c r="E220" s="18">
        <f>IF(OR($B$8="",55&gt;$H$8),"",IF($I$8="SAC",ROUND($E$8/$H$8+$F220,2),ROUND(($E$8*$G$8*(1+$G$8)^$H$8/((1+$G$8)^$H$8-1)),2)))</f>
        <v/>
      </c>
      <c r="F220" s="18">
        <f>IF(OR($B$8="",55&gt;$H$8),"",ROUND($H219*$G$8,2))</f>
        <v/>
      </c>
      <c r="G220" s="18">
        <f>IF(OR($B$8="",55&gt;$H$8),"",IF($I$8="SAC",ROUND($E$8/$H$8,2),ROUND($E220-$F220,2)))</f>
        <v/>
      </c>
      <c r="H220" s="18">
        <f>IF(OR($B$8="",55&gt;$H$8),"",ROUND(MAX(0,$H219-$G220),2))</f>
        <v/>
      </c>
      <c r="I220" s="17">
        <f>IF(OR($B$8="",55&gt;$H$8),"",IF($D220&lt;=TODAY(),"Vencida","A vencer"))</f>
        <v/>
      </c>
      <c r="J220" s="30">
        <f>IF($D220="","",EOMONTH($D220,0))</f>
        <v/>
      </c>
    </row>
    <row r="221">
      <c r="A221" s="24">
        <f>IF($B$8="","",$A$8)</f>
        <v/>
      </c>
      <c r="B221" s="9">
        <f>IF($B$8="","",$B$8)</f>
        <v/>
      </c>
      <c r="C221" s="24">
        <f>IF($B$8="","",56)</f>
        <v/>
      </c>
      <c r="D221" s="30">
        <f>IF(OR($B$8="",56&gt;$H$8),"",EDATE($J$8,55))</f>
        <v/>
      </c>
      <c r="E221" s="18">
        <f>IF(OR($B$8="",56&gt;$H$8),"",IF($I$8="SAC",ROUND($E$8/$H$8+$F221,2),ROUND(($E$8*$G$8*(1+$G$8)^$H$8/((1+$G$8)^$H$8-1)),2)))</f>
        <v/>
      </c>
      <c r="F221" s="18">
        <f>IF(OR($B$8="",56&gt;$H$8),"",ROUND($H220*$G$8,2))</f>
        <v/>
      </c>
      <c r="G221" s="18">
        <f>IF(OR($B$8="",56&gt;$H$8),"",IF($I$8="SAC",ROUND($E$8/$H$8,2),ROUND($E221-$F221,2)))</f>
        <v/>
      </c>
      <c r="H221" s="18">
        <f>IF(OR($B$8="",56&gt;$H$8),"",ROUND(MAX(0,$H220-$G221),2))</f>
        <v/>
      </c>
      <c r="I221" s="17">
        <f>IF(OR($B$8="",56&gt;$H$8),"",IF($D221&lt;=TODAY(),"Vencida","A vencer"))</f>
        <v/>
      </c>
      <c r="J221" s="30">
        <f>IF($D221="","",EOMONTH($D221,0))</f>
        <v/>
      </c>
    </row>
    <row r="222">
      <c r="A222" s="24">
        <f>IF($B$8="","",$A$8)</f>
        <v/>
      </c>
      <c r="B222" s="9">
        <f>IF($B$8="","",$B$8)</f>
        <v/>
      </c>
      <c r="C222" s="24">
        <f>IF($B$8="","",57)</f>
        <v/>
      </c>
      <c r="D222" s="30">
        <f>IF(OR($B$8="",57&gt;$H$8),"",EDATE($J$8,56))</f>
        <v/>
      </c>
      <c r="E222" s="18">
        <f>IF(OR($B$8="",57&gt;$H$8),"",IF($I$8="SAC",ROUND($E$8/$H$8+$F222,2),ROUND(($E$8*$G$8*(1+$G$8)^$H$8/((1+$G$8)^$H$8-1)),2)))</f>
        <v/>
      </c>
      <c r="F222" s="18">
        <f>IF(OR($B$8="",57&gt;$H$8),"",ROUND($H221*$G$8,2))</f>
        <v/>
      </c>
      <c r="G222" s="18">
        <f>IF(OR($B$8="",57&gt;$H$8),"",IF($I$8="SAC",ROUND($E$8/$H$8,2),ROUND($E222-$F222,2)))</f>
        <v/>
      </c>
      <c r="H222" s="18">
        <f>IF(OR($B$8="",57&gt;$H$8),"",ROUND(MAX(0,$H221-$G222),2))</f>
        <v/>
      </c>
      <c r="I222" s="17">
        <f>IF(OR($B$8="",57&gt;$H$8),"",IF($D222&lt;=TODAY(),"Vencida","A vencer"))</f>
        <v/>
      </c>
      <c r="J222" s="30">
        <f>IF($D222="","",EOMONTH($D222,0))</f>
        <v/>
      </c>
    </row>
    <row r="223">
      <c r="A223" s="24">
        <f>IF($B$8="","",$A$8)</f>
        <v/>
      </c>
      <c r="B223" s="9">
        <f>IF($B$8="","",$B$8)</f>
        <v/>
      </c>
      <c r="C223" s="24">
        <f>IF($B$8="","",58)</f>
        <v/>
      </c>
      <c r="D223" s="30">
        <f>IF(OR($B$8="",58&gt;$H$8),"",EDATE($J$8,57))</f>
        <v/>
      </c>
      <c r="E223" s="18">
        <f>IF(OR($B$8="",58&gt;$H$8),"",IF($I$8="SAC",ROUND($E$8/$H$8+$F223,2),ROUND(($E$8*$G$8*(1+$G$8)^$H$8/((1+$G$8)^$H$8-1)),2)))</f>
        <v/>
      </c>
      <c r="F223" s="18">
        <f>IF(OR($B$8="",58&gt;$H$8),"",ROUND($H222*$G$8,2))</f>
        <v/>
      </c>
      <c r="G223" s="18">
        <f>IF(OR($B$8="",58&gt;$H$8),"",IF($I$8="SAC",ROUND($E$8/$H$8,2),ROUND($E223-$F223,2)))</f>
        <v/>
      </c>
      <c r="H223" s="18">
        <f>IF(OR($B$8="",58&gt;$H$8),"",ROUND(MAX(0,$H222-$G223),2))</f>
        <v/>
      </c>
      <c r="I223" s="17">
        <f>IF(OR($B$8="",58&gt;$H$8),"",IF($D223&lt;=TODAY(),"Vencida","A vencer"))</f>
        <v/>
      </c>
      <c r="J223" s="30">
        <f>IF($D223="","",EOMONTH($D223,0))</f>
        <v/>
      </c>
    </row>
    <row r="224">
      <c r="A224" s="24">
        <f>IF($B$8="","",$A$8)</f>
        <v/>
      </c>
      <c r="B224" s="9">
        <f>IF($B$8="","",$B$8)</f>
        <v/>
      </c>
      <c r="C224" s="24">
        <f>IF($B$8="","",59)</f>
        <v/>
      </c>
      <c r="D224" s="30">
        <f>IF(OR($B$8="",59&gt;$H$8),"",EDATE($J$8,58))</f>
        <v/>
      </c>
      <c r="E224" s="18">
        <f>IF(OR($B$8="",59&gt;$H$8),"",IF($I$8="SAC",ROUND($E$8/$H$8+$F224,2),ROUND(($E$8*$G$8*(1+$G$8)^$H$8/((1+$G$8)^$H$8-1)),2)))</f>
        <v/>
      </c>
      <c r="F224" s="18">
        <f>IF(OR($B$8="",59&gt;$H$8),"",ROUND($H223*$G$8,2))</f>
        <v/>
      </c>
      <c r="G224" s="18">
        <f>IF(OR($B$8="",59&gt;$H$8),"",IF($I$8="SAC",ROUND($E$8/$H$8,2),ROUND($E224-$F224,2)))</f>
        <v/>
      </c>
      <c r="H224" s="18">
        <f>IF(OR($B$8="",59&gt;$H$8),"",ROUND(MAX(0,$H223-$G224),2))</f>
        <v/>
      </c>
      <c r="I224" s="17">
        <f>IF(OR($B$8="",59&gt;$H$8),"",IF($D224&lt;=TODAY(),"Vencida","A vencer"))</f>
        <v/>
      </c>
      <c r="J224" s="30">
        <f>IF($D224="","",EOMONTH($D224,0))</f>
        <v/>
      </c>
    </row>
    <row r="225">
      <c r="A225" s="24">
        <f>IF($B$8="","",$A$8)</f>
        <v/>
      </c>
      <c r="B225" s="9">
        <f>IF($B$8="","",$B$8)</f>
        <v/>
      </c>
      <c r="C225" s="24">
        <f>IF($B$8="","",60)</f>
        <v/>
      </c>
      <c r="D225" s="30">
        <f>IF(OR($B$8="",60&gt;$H$8),"",EDATE($J$8,59))</f>
        <v/>
      </c>
      <c r="E225" s="18">
        <f>IF(OR($B$8="",60&gt;$H$8),"",IF($I$8="SAC",ROUND($E$8/$H$8+$F225,2),ROUND(($E$8*$G$8*(1+$G$8)^$H$8/((1+$G$8)^$H$8-1)),2)))</f>
        <v/>
      </c>
      <c r="F225" s="18">
        <f>IF(OR($B$8="",60&gt;$H$8),"",ROUND($H224*$G$8,2))</f>
        <v/>
      </c>
      <c r="G225" s="18">
        <f>IF(OR($B$8="",60&gt;$H$8),"",IF($I$8="SAC",ROUND($E$8/$H$8,2),ROUND($E225-$F225,2)))</f>
        <v/>
      </c>
      <c r="H225" s="18">
        <f>IF(OR($B$8="",60&gt;$H$8),"",ROUND(MAX(0,$H224-$G225),2))</f>
        <v/>
      </c>
      <c r="I225" s="17">
        <f>IF(OR($B$8="",60&gt;$H$8),"",IF($D225&lt;=TODAY(),"Vencida","A vencer"))</f>
        <v/>
      </c>
      <c r="J225" s="30">
        <f>IF($D225="","",EOMONTH($D225,0))</f>
        <v/>
      </c>
    </row>
    <row r="226">
      <c r="A226" s="24">
        <f>IF($B$9="","",$A$9)</f>
        <v/>
      </c>
      <c r="B226" s="9">
        <f>IF($B$9="","",$B$9)</f>
        <v/>
      </c>
      <c r="C226" s="24">
        <f>IF($B$9="","",1)</f>
        <v/>
      </c>
      <c r="D226" s="30">
        <f>IF(OR($B$9="",1&gt;$H$9),"",EDATE($J$9,0))</f>
        <v/>
      </c>
      <c r="E226" s="18">
        <f>IF(OR($B$9="",1&gt;$H$9),"",IF($I$9="SAC",ROUND($E$9/$H$9+$F226,2),ROUND(($E$9*$G$9*(1+$G$9)^$H$9/((1+$G$9)^$H$9-1)),2)))</f>
        <v/>
      </c>
      <c r="F226" s="18">
        <f>IF(OR($B$9="",1&gt;$H$9),"",ROUND($E$9*$G$9,2))</f>
        <v/>
      </c>
      <c r="G226" s="18">
        <f>IF(OR($B$9="",1&gt;$H$9),"",IF($I$9="SAC",ROUND($E$9/$H$9,2),ROUND($E226-$F226,2)))</f>
        <v/>
      </c>
      <c r="H226" s="18">
        <f>IF(OR($B$9="",1&gt;$H$9),"",ROUND($E$9-$G226,2))</f>
        <v/>
      </c>
      <c r="I226" s="17">
        <f>IF(OR($B$9="",1&gt;$H$9),"",IF($D226&lt;=TODAY(),"Vencida","A vencer"))</f>
        <v/>
      </c>
      <c r="J226" s="30">
        <f>IF($D226="","",EOMONTH($D226,0))</f>
        <v/>
      </c>
    </row>
    <row r="227">
      <c r="A227" s="24">
        <f>IF($B$9="","",$A$9)</f>
        <v/>
      </c>
      <c r="B227" s="9">
        <f>IF($B$9="","",$B$9)</f>
        <v/>
      </c>
      <c r="C227" s="24">
        <f>IF($B$9="","",2)</f>
        <v/>
      </c>
      <c r="D227" s="30">
        <f>IF(OR($B$9="",2&gt;$H$9),"",EDATE($J$9,1))</f>
        <v/>
      </c>
      <c r="E227" s="18">
        <f>IF(OR($B$9="",2&gt;$H$9),"",IF($I$9="SAC",ROUND($E$9/$H$9+$F227,2),ROUND(($E$9*$G$9*(1+$G$9)^$H$9/((1+$G$9)^$H$9-1)),2)))</f>
        <v/>
      </c>
      <c r="F227" s="18">
        <f>IF(OR($B$9="",2&gt;$H$9),"",ROUND($H226*$G$9,2))</f>
        <v/>
      </c>
      <c r="G227" s="18">
        <f>IF(OR($B$9="",2&gt;$H$9),"",IF($I$9="SAC",ROUND($E$9/$H$9,2),ROUND($E227-$F227,2)))</f>
        <v/>
      </c>
      <c r="H227" s="18">
        <f>IF(OR($B$9="",2&gt;$H$9),"",ROUND(MAX(0,$H226-$G227),2))</f>
        <v/>
      </c>
      <c r="I227" s="17">
        <f>IF(OR($B$9="",2&gt;$H$9),"",IF($D227&lt;=TODAY(),"Vencida","A vencer"))</f>
        <v/>
      </c>
      <c r="J227" s="30">
        <f>IF($D227="","",EOMONTH($D227,0))</f>
        <v/>
      </c>
    </row>
    <row r="228">
      <c r="A228" s="24">
        <f>IF($B$9="","",$A$9)</f>
        <v/>
      </c>
      <c r="B228" s="9">
        <f>IF($B$9="","",$B$9)</f>
        <v/>
      </c>
      <c r="C228" s="24">
        <f>IF($B$9="","",3)</f>
        <v/>
      </c>
      <c r="D228" s="30">
        <f>IF(OR($B$9="",3&gt;$H$9),"",EDATE($J$9,2))</f>
        <v/>
      </c>
      <c r="E228" s="18">
        <f>IF(OR($B$9="",3&gt;$H$9),"",IF($I$9="SAC",ROUND($E$9/$H$9+$F228,2),ROUND(($E$9*$G$9*(1+$G$9)^$H$9/((1+$G$9)^$H$9-1)),2)))</f>
        <v/>
      </c>
      <c r="F228" s="18">
        <f>IF(OR($B$9="",3&gt;$H$9),"",ROUND($H227*$G$9,2))</f>
        <v/>
      </c>
      <c r="G228" s="18">
        <f>IF(OR($B$9="",3&gt;$H$9),"",IF($I$9="SAC",ROUND($E$9/$H$9,2),ROUND($E228-$F228,2)))</f>
        <v/>
      </c>
      <c r="H228" s="18">
        <f>IF(OR($B$9="",3&gt;$H$9),"",ROUND(MAX(0,$H227-$G228),2))</f>
        <v/>
      </c>
      <c r="I228" s="17">
        <f>IF(OR($B$9="",3&gt;$H$9),"",IF($D228&lt;=TODAY(),"Vencida","A vencer"))</f>
        <v/>
      </c>
      <c r="J228" s="30">
        <f>IF($D228="","",EOMONTH($D228,0))</f>
        <v/>
      </c>
    </row>
    <row r="229">
      <c r="A229" s="24">
        <f>IF($B$9="","",$A$9)</f>
        <v/>
      </c>
      <c r="B229" s="9">
        <f>IF($B$9="","",$B$9)</f>
        <v/>
      </c>
      <c r="C229" s="24">
        <f>IF($B$9="","",4)</f>
        <v/>
      </c>
      <c r="D229" s="30">
        <f>IF(OR($B$9="",4&gt;$H$9),"",EDATE($J$9,3))</f>
        <v/>
      </c>
      <c r="E229" s="18">
        <f>IF(OR($B$9="",4&gt;$H$9),"",IF($I$9="SAC",ROUND($E$9/$H$9+$F229,2),ROUND(($E$9*$G$9*(1+$G$9)^$H$9/((1+$G$9)^$H$9-1)),2)))</f>
        <v/>
      </c>
      <c r="F229" s="18">
        <f>IF(OR($B$9="",4&gt;$H$9),"",ROUND($H228*$G$9,2))</f>
        <v/>
      </c>
      <c r="G229" s="18">
        <f>IF(OR($B$9="",4&gt;$H$9),"",IF($I$9="SAC",ROUND($E$9/$H$9,2),ROUND($E229-$F229,2)))</f>
        <v/>
      </c>
      <c r="H229" s="18">
        <f>IF(OR($B$9="",4&gt;$H$9),"",ROUND(MAX(0,$H228-$G229),2))</f>
        <v/>
      </c>
      <c r="I229" s="17">
        <f>IF(OR($B$9="",4&gt;$H$9),"",IF($D229&lt;=TODAY(),"Vencida","A vencer"))</f>
        <v/>
      </c>
      <c r="J229" s="30">
        <f>IF($D229="","",EOMONTH($D229,0))</f>
        <v/>
      </c>
    </row>
    <row r="230">
      <c r="A230" s="24">
        <f>IF($B$9="","",$A$9)</f>
        <v/>
      </c>
      <c r="B230" s="9">
        <f>IF($B$9="","",$B$9)</f>
        <v/>
      </c>
      <c r="C230" s="24">
        <f>IF($B$9="","",5)</f>
        <v/>
      </c>
      <c r="D230" s="30">
        <f>IF(OR($B$9="",5&gt;$H$9),"",EDATE($J$9,4))</f>
        <v/>
      </c>
      <c r="E230" s="18">
        <f>IF(OR($B$9="",5&gt;$H$9),"",IF($I$9="SAC",ROUND($E$9/$H$9+$F230,2),ROUND(($E$9*$G$9*(1+$G$9)^$H$9/((1+$G$9)^$H$9-1)),2)))</f>
        <v/>
      </c>
      <c r="F230" s="18">
        <f>IF(OR($B$9="",5&gt;$H$9),"",ROUND($H229*$G$9,2))</f>
        <v/>
      </c>
      <c r="G230" s="18">
        <f>IF(OR($B$9="",5&gt;$H$9),"",IF($I$9="SAC",ROUND($E$9/$H$9,2),ROUND($E230-$F230,2)))</f>
        <v/>
      </c>
      <c r="H230" s="18">
        <f>IF(OR($B$9="",5&gt;$H$9),"",ROUND(MAX(0,$H229-$G230),2))</f>
        <v/>
      </c>
      <c r="I230" s="17">
        <f>IF(OR($B$9="",5&gt;$H$9),"",IF($D230&lt;=TODAY(),"Vencida","A vencer"))</f>
        <v/>
      </c>
      <c r="J230" s="30">
        <f>IF($D230="","",EOMONTH($D230,0))</f>
        <v/>
      </c>
    </row>
    <row r="231">
      <c r="A231" s="24">
        <f>IF($B$9="","",$A$9)</f>
        <v/>
      </c>
      <c r="B231" s="9">
        <f>IF($B$9="","",$B$9)</f>
        <v/>
      </c>
      <c r="C231" s="24">
        <f>IF($B$9="","",6)</f>
        <v/>
      </c>
      <c r="D231" s="30">
        <f>IF(OR($B$9="",6&gt;$H$9),"",EDATE($J$9,5))</f>
        <v/>
      </c>
      <c r="E231" s="18">
        <f>IF(OR($B$9="",6&gt;$H$9),"",IF($I$9="SAC",ROUND($E$9/$H$9+$F231,2),ROUND(($E$9*$G$9*(1+$G$9)^$H$9/((1+$G$9)^$H$9-1)),2)))</f>
        <v/>
      </c>
      <c r="F231" s="18">
        <f>IF(OR($B$9="",6&gt;$H$9),"",ROUND($H230*$G$9,2))</f>
        <v/>
      </c>
      <c r="G231" s="18">
        <f>IF(OR($B$9="",6&gt;$H$9),"",IF($I$9="SAC",ROUND($E$9/$H$9,2),ROUND($E231-$F231,2)))</f>
        <v/>
      </c>
      <c r="H231" s="18">
        <f>IF(OR($B$9="",6&gt;$H$9),"",ROUND(MAX(0,$H230-$G231),2))</f>
        <v/>
      </c>
      <c r="I231" s="17">
        <f>IF(OR($B$9="",6&gt;$H$9),"",IF($D231&lt;=TODAY(),"Vencida","A vencer"))</f>
        <v/>
      </c>
      <c r="J231" s="30">
        <f>IF($D231="","",EOMONTH($D231,0))</f>
        <v/>
      </c>
    </row>
    <row r="232">
      <c r="A232" s="24">
        <f>IF($B$9="","",$A$9)</f>
        <v/>
      </c>
      <c r="B232" s="9">
        <f>IF($B$9="","",$B$9)</f>
        <v/>
      </c>
      <c r="C232" s="24">
        <f>IF($B$9="","",7)</f>
        <v/>
      </c>
      <c r="D232" s="30">
        <f>IF(OR($B$9="",7&gt;$H$9),"",EDATE($J$9,6))</f>
        <v/>
      </c>
      <c r="E232" s="18">
        <f>IF(OR($B$9="",7&gt;$H$9),"",IF($I$9="SAC",ROUND($E$9/$H$9+$F232,2),ROUND(($E$9*$G$9*(1+$G$9)^$H$9/((1+$G$9)^$H$9-1)),2)))</f>
        <v/>
      </c>
      <c r="F232" s="18">
        <f>IF(OR($B$9="",7&gt;$H$9),"",ROUND($H231*$G$9,2))</f>
        <v/>
      </c>
      <c r="G232" s="18">
        <f>IF(OR($B$9="",7&gt;$H$9),"",IF($I$9="SAC",ROUND($E$9/$H$9,2),ROUND($E232-$F232,2)))</f>
        <v/>
      </c>
      <c r="H232" s="18">
        <f>IF(OR($B$9="",7&gt;$H$9),"",ROUND(MAX(0,$H231-$G232),2))</f>
        <v/>
      </c>
      <c r="I232" s="17">
        <f>IF(OR($B$9="",7&gt;$H$9),"",IF($D232&lt;=TODAY(),"Vencida","A vencer"))</f>
        <v/>
      </c>
      <c r="J232" s="30">
        <f>IF($D232="","",EOMONTH($D232,0))</f>
        <v/>
      </c>
    </row>
    <row r="233">
      <c r="A233" s="24">
        <f>IF($B$9="","",$A$9)</f>
        <v/>
      </c>
      <c r="B233" s="9">
        <f>IF($B$9="","",$B$9)</f>
        <v/>
      </c>
      <c r="C233" s="24">
        <f>IF($B$9="","",8)</f>
        <v/>
      </c>
      <c r="D233" s="30">
        <f>IF(OR($B$9="",8&gt;$H$9),"",EDATE($J$9,7))</f>
        <v/>
      </c>
      <c r="E233" s="18">
        <f>IF(OR($B$9="",8&gt;$H$9),"",IF($I$9="SAC",ROUND($E$9/$H$9+$F233,2),ROUND(($E$9*$G$9*(1+$G$9)^$H$9/((1+$G$9)^$H$9-1)),2)))</f>
        <v/>
      </c>
      <c r="F233" s="18">
        <f>IF(OR($B$9="",8&gt;$H$9),"",ROUND($H232*$G$9,2))</f>
        <v/>
      </c>
      <c r="G233" s="18">
        <f>IF(OR($B$9="",8&gt;$H$9),"",IF($I$9="SAC",ROUND($E$9/$H$9,2),ROUND($E233-$F233,2)))</f>
        <v/>
      </c>
      <c r="H233" s="18">
        <f>IF(OR($B$9="",8&gt;$H$9),"",ROUND(MAX(0,$H232-$G233),2))</f>
        <v/>
      </c>
      <c r="I233" s="17">
        <f>IF(OR($B$9="",8&gt;$H$9),"",IF($D233&lt;=TODAY(),"Vencida","A vencer"))</f>
        <v/>
      </c>
      <c r="J233" s="30">
        <f>IF($D233="","",EOMONTH($D233,0))</f>
        <v/>
      </c>
    </row>
    <row r="234">
      <c r="A234" s="24">
        <f>IF($B$9="","",$A$9)</f>
        <v/>
      </c>
      <c r="B234" s="9">
        <f>IF($B$9="","",$B$9)</f>
        <v/>
      </c>
      <c r="C234" s="24">
        <f>IF($B$9="","",9)</f>
        <v/>
      </c>
      <c r="D234" s="30">
        <f>IF(OR($B$9="",9&gt;$H$9),"",EDATE($J$9,8))</f>
        <v/>
      </c>
      <c r="E234" s="18">
        <f>IF(OR($B$9="",9&gt;$H$9),"",IF($I$9="SAC",ROUND($E$9/$H$9+$F234,2),ROUND(($E$9*$G$9*(1+$G$9)^$H$9/((1+$G$9)^$H$9-1)),2)))</f>
        <v/>
      </c>
      <c r="F234" s="18">
        <f>IF(OR($B$9="",9&gt;$H$9),"",ROUND($H233*$G$9,2))</f>
        <v/>
      </c>
      <c r="G234" s="18">
        <f>IF(OR($B$9="",9&gt;$H$9),"",IF($I$9="SAC",ROUND($E$9/$H$9,2),ROUND($E234-$F234,2)))</f>
        <v/>
      </c>
      <c r="H234" s="18">
        <f>IF(OR($B$9="",9&gt;$H$9),"",ROUND(MAX(0,$H233-$G234),2))</f>
        <v/>
      </c>
      <c r="I234" s="17">
        <f>IF(OR($B$9="",9&gt;$H$9),"",IF($D234&lt;=TODAY(),"Vencida","A vencer"))</f>
        <v/>
      </c>
      <c r="J234" s="30">
        <f>IF($D234="","",EOMONTH($D234,0))</f>
        <v/>
      </c>
    </row>
    <row r="235">
      <c r="A235" s="24">
        <f>IF($B$9="","",$A$9)</f>
        <v/>
      </c>
      <c r="B235" s="9">
        <f>IF($B$9="","",$B$9)</f>
        <v/>
      </c>
      <c r="C235" s="24">
        <f>IF($B$9="","",10)</f>
        <v/>
      </c>
      <c r="D235" s="30">
        <f>IF(OR($B$9="",10&gt;$H$9),"",EDATE($J$9,9))</f>
        <v/>
      </c>
      <c r="E235" s="18">
        <f>IF(OR($B$9="",10&gt;$H$9),"",IF($I$9="SAC",ROUND($E$9/$H$9+$F235,2),ROUND(($E$9*$G$9*(1+$G$9)^$H$9/((1+$G$9)^$H$9-1)),2)))</f>
        <v/>
      </c>
      <c r="F235" s="18">
        <f>IF(OR($B$9="",10&gt;$H$9),"",ROUND($H234*$G$9,2))</f>
        <v/>
      </c>
      <c r="G235" s="18">
        <f>IF(OR($B$9="",10&gt;$H$9),"",IF($I$9="SAC",ROUND($E$9/$H$9,2),ROUND($E235-$F235,2)))</f>
        <v/>
      </c>
      <c r="H235" s="18">
        <f>IF(OR($B$9="",10&gt;$H$9),"",ROUND(MAX(0,$H234-$G235),2))</f>
        <v/>
      </c>
      <c r="I235" s="17">
        <f>IF(OR($B$9="",10&gt;$H$9),"",IF($D235&lt;=TODAY(),"Vencida","A vencer"))</f>
        <v/>
      </c>
      <c r="J235" s="30">
        <f>IF($D235="","",EOMONTH($D235,0))</f>
        <v/>
      </c>
    </row>
    <row r="236">
      <c r="A236" s="24">
        <f>IF($B$9="","",$A$9)</f>
        <v/>
      </c>
      <c r="B236" s="9">
        <f>IF($B$9="","",$B$9)</f>
        <v/>
      </c>
      <c r="C236" s="24">
        <f>IF($B$9="","",11)</f>
        <v/>
      </c>
      <c r="D236" s="30">
        <f>IF(OR($B$9="",11&gt;$H$9),"",EDATE($J$9,10))</f>
        <v/>
      </c>
      <c r="E236" s="18">
        <f>IF(OR($B$9="",11&gt;$H$9),"",IF($I$9="SAC",ROUND($E$9/$H$9+$F236,2),ROUND(($E$9*$G$9*(1+$G$9)^$H$9/((1+$G$9)^$H$9-1)),2)))</f>
        <v/>
      </c>
      <c r="F236" s="18">
        <f>IF(OR($B$9="",11&gt;$H$9),"",ROUND($H235*$G$9,2))</f>
        <v/>
      </c>
      <c r="G236" s="18">
        <f>IF(OR($B$9="",11&gt;$H$9),"",IF($I$9="SAC",ROUND($E$9/$H$9,2),ROUND($E236-$F236,2)))</f>
        <v/>
      </c>
      <c r="H236" s="18">
        <f>IF(OR($B$9="",11&gt;$H$9),"",ROUND(MAX(0,$H235-$G236),2))</f>
        <v/>
      </c>
      <c r="I236" s="17">
        <f>IF(OR($B$9="",11&gt;$H$9),"",IF($D236&lt;=TODAY(),"Vencida","A vencer"))</f>
        <v/>
      </c>
      <c r="J236" s="30">
        <f>IF($D236="","",EOMONTH($D236,0))</f>
        <v/>
      </c>
    </row>
    <row r="237">
      <c r="A237" s="24">
        <f>IF($B$9="","",$A$9)</f>
        <v/>
      </c>
      <c r="B237" s="9">
        <f>IF($B$9="","",$B$9)</f>
        <v/>
      </c>
      <c r="C237" s="24">
        <f>IF($B$9="","",12)</f>
        <v/>
      </c>
      <c r="D237" s="30">
        <f>IF(OR($B$9="",12&gt;$H$9),"",EDATE($J$9,11))</f>
        <v/>
      </c>
      <c r="E237" s="18">
        <f>IF(OR($B$9="",12&gt;$H$9),"",IF($I$9="SAC",ROUND($E$9/$H$9+$F237,2),ROUND(($E$9*$G$9*(1+$G$9)^$H$9/((1+$G$9)^$H$9-1)),2)))</f>
        <v/>
      </c>
      <c r="F237" s="18">
        <f>IF(OR($B$9="",12&gt;$H$9),"",ROUND($H236*$G$9,2))</f>
        <v/>
      </c>
      <c r="G237" s="18">
        <f>IF(OR($B$9="",12&gt;$H$9),"",IF($I$9="SAC",ROUND($E$9/$H$9,2),ROUND($E237-$F237,2)))</f>
        <v/>
      </c>
      <c r="H237" s="18">
        <f>IF(OR($B$9="",12&gt;$H$9),"",ROUND(MAX(0,$H236-$G237),2))</f>
        <v/>
      </c>
      <c r="I237" s="17">
        <f>IF(OR($B$9="",12&gt;$H$9),"",IF($D237&lt;=TODAY(),"Vencida","A vencer"))</f>
        <v/>
      </c>
      <c r="J237" s="30">
        <f>IF($D237="","",EOMONTH($D237,0))</f>
        <v/>
      </c>
    </row>
    <row r="238">
      <c r="A238" s="24">
        <f>IF($B$9="","",$A$9)</f>
        <v/>
      </c>
      <c r="B238" s="9">
        <f>IF($B$9="","",$B$9)</f>
        <v/>
      </c>
      <c r="C238" s="24">
        <f>IF($B$9="","",13)</f>
        <v/>
      </c>
      <c r="D238" s="30">
        <f>IF(OR($B$9="",13&gt;$H$9),"",EDATE($J$9,12))</f>
        <v/>
      </c>
      <c r="E238" s="18">
        <f>IF(OR($B$9="",13&gt;$H$9),"",IF($I$9="SAC",ROUND($E$9/$H$9+$F238,2),ROUND(($E$9*$G$9*(1+$G$9)^$H$9/((1+$G$9)^$H$9-1)),2)))</f>
        <v/>
      </c>
      <c r="F238" s="18">
        <f>IF(OR($B$9="",13&gt;$H$9),"",ROUND($H237*$G$9,2))</f>
        <v/>
      </c>
      <c r="G238" s="18">
        <f>IF(OR($B$9="",13&gt;$H$9),"",IF($I$9="SAC",ROUND($E$9/$H$9,2),ROUND($E238-$F238,2)))</f>
        <v/>
      </c>
      <c r="H238" s="18">
        <f>IF(OR($B$9="",13&gt;$H$9),"",ROUND(MAX(0,$H237-$G238),2))</f>
        <v/>
      </c>
      <c r="I238" s="17">
        <f>IF(OR($B$9="",13&gt;$H$9),"",IF($D238&lt;=TODAY(),"Vencida","A vencer"))</f>
        <v/>
      </c>
      <c r="J238" s="30">
        <f>IF($D238="","",EOMONTH($D238,0))</f>
        <v/>
      </c>
    </row>
    <row r="239">
      <c r="A239" s="24">
        <f>IF($B$9="","",$A$9)</f>
        <v/>
      </c>
      <c r="B239" s="9">
        <f>IF($B$9="","",$B$9)</f>
        <v/>
      </c>
      <c r="C239" s="24">
        <f>IF($B$9="","",14)</f>
        <v/>
      </c>
      <c r="D239" s="30">
        <f>IF(OR($B$9="",14&gt;$H$9),"",EDATE($J$9,13))</f>
        <v/>
      </c>
      <c r="E239" s="18">
        <f>IF(OR($B$9="",14&gt;$H$9),"",IF($I$9="SAC",ROUND($E$9/$H$9+$F239,2),ROUND(($E$9*$G$9*(1+$G$9)^$H$9/((1+$G$9)^$H$9-1)),2)))</f>
        <v/>
      </c>
      <c r="F239" s="18">
        <f>IF(OR($B$9="",14&gt;$H$9),"",ROUND($H238*$G$9,2))</f>
        <v/>
      </c>
      <c r="G239" s="18">
        <f>IF(OR($B$9="",14&gt;$H$9),"",IF($I$9="SAC",ROUND($E$9/$H$9,2),ROUND($E239-$F239,2)))</f>
        <v/>
      </c>
      <c r="H239" s="18">
        <f>IF(OR($B$9="",14&gt;$H$9),"",ROUND(MAX(0,$H238-$G239),2))</f>
        <v/>
      </c>
      <c r="I239" s="17">
        <f>IF(OR($B$9="",14&gt;$H$9),"",IF($D239&lt;=TODAY(),"Vencida","A vencer"))</f>
        <v/>
      </c>
      <c r="J239" s="30">
        <f>IF($D239="","",EOMONTH($D239,0))</f>
        <v/>
      </c>
    </row>
    <row r="240">
      <c r="A240" s="24">
        <f>IF($B$9="","",$A$9)</f>
        <v/>
      </c>
      <c r="B240" s="9">
        <f>IF($B$9="","",$B$9)</f>
        <v/>
      </c>
      <c r="C240" s="24">
        <f>IF($B$9="","",15)</f>
        <v/>
      </c>
      <c r="D240" s="30">
        <f>IF(OR($B$9="",15&gt;$H$9),"",EDATE($J$9,14))</f>
        <v/>
      </c>
      <c r="E240" s="18">
        <f>IF(OR($B$9="",15&gt;$H$9),"",IF($I$9="SAC",ROUND($E$9/$H$9+$F240,2),ROUND(($E$9*$G$9*(1+$G$9)^$H$9/((1+$G$9)^$H$9-1)),2)))</f>
        <v/>
      </c>
      <c r="F240" s="18">
        <f>IF(OR($B$9="",15&gt;$H$9),"",ROUND($H239*$G$9,2))</f>
        <v/>
      </c>
      <c r="G240" s="18">
        <f>IF(OR($B$9="",15&gt;$H$9),"",IF($I$9="SAC",ROUND($E$9/$H$9,2),ROUND($E240-$F240,2)))</f>
        <v/>
      </c>
      <c r="H240" s="18">
        <f>IF(OR($B$9="",15&gt;$H$9),"",ROUND(MAX(0,$H239-$G240),2))</f>
        <v/>
      </c>
      <c r="I240" s="17">
        <f>IF(OR($B$9="",15&gt;$H$9),"",IF($D240&lt;=TODAY(),"Vencida","A vencer"))</f>
        <v/>
      </c>
      <c r="J240" s="30">
        <f>IF($D240="","",EOMONTH($D240,0))</f>
        <v/>
      </c>
    </row>
    <row r="241">
      <c r="A241" s="24">
        <f>IF($B$9="","",$A$9)</f>
        <v/>
      </c>
      <c r="B241" s="9">
        <f>IF($B$9="","",$B$9)</f>
        <v/>
      </c>
      <c r="C241" s="24">
        <f>IF($B$9="","",16)</f>
        <v/>
      </c>
      <c r="D241" s="30">
        <f>IF(OR($B$9="",16&gt;$H$9),"",EDATE($J$9,15))</f>
        <v/>
      </c>
      <c r="E241" s="18">
        <f>IF(OR($B$9="",16&gt;$H$9),"",IF($I$9="SAC",ROUND($E$9/$H$9+$F241,2),ROUND(($E$9*$G$9*(1+$G$9)^$H$9/((1+$G$9)^$H$9-1)),2)))</f>
        <v/>
      </c>
      <c r="F241" s="18">
        <f>IF(OR($B$9="",16&gt;$H$9),"",ROUND($H240*$G$9,2))</f>
        <v/>
      </c>
      <c r="G241" s="18">
        <f>IF(OR($B$9="",16&gt;$H$9),"",IF($I$9="SAC",ROUND($E$9/$H$9,2),ROUND($E241-$F241,2)))</f>
        <v/>
      </c>
      <c r="H241" s="18">
        <f>IF(OR($B$9="",16&gt;$H$9),"",ROUND(MAX(0,$H240-$G241),2))</f>
        <v/>
      </c>
      <c r="I241" s="17">
        <f>IF(OR($B$9="",16&gt;$H$9),"",IF($D241&lt;=TODAY(),"Vencida","A vencer"))</f>
        <v/>
      </c>
      <c r="J241" s="30">
        <f>IF($D241="","",EOMONTH($D241,0))</f>
        <v/>
      </c>
    </row>
    <row r="242">
      <c r="A242" s="24">
        <f>IF($B$9="","",$A$9)</f>
        <v/>
      </c>
      <c r="B242" s="9">
        <f>IF($B$9="","",$B$9)</f>
        <v/>
      </c>
      <c r="C242" s="24">
        <f>IF($B$9="","",17)</f>
        <v/>
      </c>
      <c r="D242" s="30">
        <f>IF(OR($B$9="",17&gt;$H$9),"",EDATE($J$9,16))</f>
        <v/>
      </c>
      <c r="E242" s="18">
        <f>IF(OR($B$9="",17&gt;$H$9),"",IF($I$9="SAC",ROUND($E$9/$H$9+$F242,2),ROUND(($E$9*$G$9*(1+$G$9)^$H$9/((1+$G$9)^$H$9-1)),2)))</f>
        <v/>
      </c>
      <c r="F242" s="18">
        <f>IF(OR($B$9="",17&gt;$H$9),"",ROUND($H241*$G$9,2))</f>
        <v/>
      </c>
      <c r="G242" s="18">
        <f>IF(OR($B$9="",17&gt;$H$9),"",IF($I$9="SAC",ROUND($E$9/$H$9,2),ROUND($E242-$F242,2)))</f>
        <v/>
      </c>
      <c r="H242" s="18">
        <f>IF(OR($B$9="",17&gt;$H$9),"",ROUND(MAX(0,$H241-$G242),2))</f>
        <v/>
      </c>
      <c r="I242" s="17">
        <f>IF(OR($B$9="",17&gt;$H$9),"",IF($D242&lt;=TODAY(),"Vencida","A vencer"))</f>
        <v/>
      </c>
      <c r="J242" s="30">
        <f>IF($D242="","",EOMONTH($D242,0))</f>
        <v/>
      </c>
    </row>
    <row r="243">
      <c r="A243" s="24">
        <f>IF($B$9="","",$A$9)</f>
        <v/>
      </c>
      <c r="B243" s="9">
        <f>IF($B$9="","",$B$9)</f>
        <v/>
      </c>
      <c r="C243" s="24">
        <f>IF($B$9="","",18)</f>
        <v/>
      </c>
      <c r="D243" s="30">
        <f>IF(OR($B$9="",18&gt;$H$9),"",EDATE($J$9,17))</f>
        <v/>
      </c>
      <c r="E243" s="18">
        <f>IF(OR($B$9="",18&gt;$H$9),"",IF($I$9="SAC",ROUND($E$9/$H$9+$F243,2),ROUND(($E$9*$G$9*(1+$G$9)^$H$9/((1+$G$9)^$H$9-1)),2)))</f>
        <v/>
      </c>
      <c r="F243" s="18">
        <f>IF(OR($B$9="",18&gt;$H$9),"",ROUND($H242*$G$9,2))</f>
        <v/>
      </c>
      <c r="G243" s="18">
        <f>IF(OR($B$9="",18&gt;$H$9),"",IF($I$9="SAC",ROUND($E$9/$H$9,2),ROUND($E243-$F243,2)))</f>
        <v/>
      </c>
      <c r="H243" s="18">
        <f>IF(OR($B$9="",18&gt;$H$9),"",ROUND(MAX(0,$H242-$G243),2))</f>
        <v/>
      </c>
      <c r="I243" s="17">
        <f>IF(OR($B$9="",18&gt;$H$9),"",IF($D243&lt;=TODAY(),"Vencida","A vencer"))</f>
        <v/>
      </c>
      <c r="J243" s="30">
        <f>IF($D243="","",EOMONTH($D243,0))</f>
        <v/>
      </c>
    </row>
    <row r="244">
      <c r="A244" s="24">
        <f>IF($B$9="","",$A$9)</f>
        <v/>
      </c>
      <c r="B244" s="9">
        <f>IF($B$9="","",$B$9)</f>
        <v/>
      </c>
      <c r="C244" s="24">
        <f>IF($B$9="","",19)</f>
        <v/>
      </c>
      <c r="D244" s="30">
        <f>IF(OR($B$9="",19&gt;$H$9),"",EDATE($J$9,18))</f>
        <v/>
      </c>
      <c r="E244" s="18">
        <f>IF(OR($B$9="",19&gt;$H$9),"",IF($I$9="SAC",ROUND($E$9/$H$9+$F244,2),ROUND(($E$9*$G$9*(1+$G$9)^$H$9/((1+$G$9)^$H$9-1)),2)))</f>
        <v/>
      </c>
      <c r="F244" s="18">
        <f>IF(OR($B$9="",19&gt;$H$9),"",ROUND($H243*$G$9,2))</f>
        <v/>
      </c>
      <c r="G244" s="18">
        <f>IF(OR($B$9="",19&gt;$H$9),"",IF($I$9="SAC",ROUND($E$9/$H$9,2),ROUND($E244-$F244,2)))</f>
        <v/>
      </c>
      <c r="H244" s="18">
        <f>IF(OR($B$9="",19&gt;$H$9),"",ROUND(MAX(0,$H243-$G244),2))</f>
        <v/>
      </c>
      <c r="I244" s="17">
        <f>IF(OR($B$9="",19&gt;$H$9),"",IF($D244&lt;=TODAY(),"Vencida","A vencer"))</f>
        <v/>
      </c>
      <c r="J244" s="30">
        <f>IF($D244="","",EOMONTH($D244,0))</f>
        <v/>
      </c>
    </row>
    <row r="245">
      <c r="A245" s="24">
        <f>IF($B$9="","",$A$9)</f>
        <v/>
      </c>
      <c r="B245" s="9">
        <f>IF($B$9="","",$B$9)</f>
        <v/>
      </c>
      <c r="C245" s="24">
        <f>IF($B$9="","",20)</f>
        <v/>
      </c>
      <c r="D245" s="30">
        <f>IF(OR($B$9="",20&gt;$H$9),"",EDATE($J$9,19))</f>
        <v/>
      </c>
      <c r="E245" s="18">
        <f>IF(OR($B$9="",20&gt;$H$9),"",IF($I$9="SAC",ROUND($E$9/$H$9+$F245,2),ROUND(($E$9*$G$9*(1+$G$9)^$H$9/((1+$G$9)^$H$9-1)),2)))</f>
        <v/>
      </c>
      <c r="F245" s="18">
        <f>IF(OR($B$9="",20&gt;$H$9),"",ROUND($H244*$G$9,2))</f>
        <v/>
      </c>
      <c r="G245" s="18">
        <f>IF(OR($B$9="",20&gt;$H$9),"",IF($I$9="SAC",ROUND($E$9/$H$9,2),ROUND($E245-$F245,2)))</f>
        <v/>
      </c>
      <c r="H245" s="18">
        <f>IF(OR($B$9="",20&gt;$H$9),"",ROUND(MAX(0,$H244-$G245),2))</f>
        <v/>
      </c>
      <c r="I245" s="17">
        <f>IF(OR($B$9="",20&gt;$H$9),"",IF($D245&lt;=TODAY(),"Vencida","A vencer"))</f>
        <v/>
      </c>
      <c r="J245" s="30">
        <f>IF($D245="","",EOMONTH($D245,0))</f>
        <v/>
      </c>
    </row>
    <row r="246">
      <c r="A246" s="24">
        <f>IF($B$9="","",$A$9)</f>
        <v/>
      </c>
      <c r="B246" s="9">
        <f>IF($B$9="","",$B$9)</f>
        <v/>
      </c>
      <c r="C246" s="24">
        <f>IF($B$9="","",21)</f>
        <v/>
      </c>
      <c r="D246" s="30">
        <f>IF(OR($B$9="",21&gt;$H$9),"",EDATE($J$9,20))</f>
        <v/>
      </c>
      <c r="E246" s="18">
        <f>IF(OR($B$9="",21&gt;$H$9),"",IF($I$9="SAC",ROUND($E$9/$H$9+$F246,2),ROUND(($E$9*$G$9*(1+$G$9)^$H$9/((1+$G$9)^$H$9-1)),2)))</f>
        <v/>
      </c>
      <c r="F246" s="18">
        <f>IF(OR($B$9="",21&gt;$H$9),"",ROUND($H245*$G$9,2))</f>
        <v/>
      </c>
      <c r="G246" s="18">
        <f>IF(OR($B$9="",21&gt;$H$9),"",IF($I$9="SAC",ROUND($E$9/$H$9,2),ROUND($E246-$F246,2)))</f>
        <v/>
      </c>
      <c r="H246" s="18">
        <f>IF(OR($B$9="",21&gt;$H$9),"",ROUND(MAX(0,$H245-$G246),2))</f>
        <v/>
      </c>
      <c r="I246" s="17">
        <f>IF(OR($B$9="",21&gt;$H$9),"",IF($D246&lt;=TODAY(),"Vencida","A vencer"))</f>
        <v/>
      </c>
      <c r="J246" s="30">
        <f>IF($D246="","",EOMONTH($D246,0))</f>
        <v/>
      </c>
    </row>
    <row r="247">
      <c r="A247" s="24">
        <f>IF($B$9="","",$A$9)</f>
        <v/>
      </c>
      <c r="B247" s="9">
        <f>IF($B$9="","",$B$9)</f>
        <v/>
      </c>
      <c r="C247" s="24">
        <f>IF($B$9="","",22)</f>
        <v/>
      </c>
      <c r="D247" s="30">
        <f>IF(OR($B$9="",22&gt;$H$9),"",EDATE($J$9,21))</f>
        <v/>
      </c>
      <c r="E247" s="18">
        <f>IF(OR($B$9="",22&gt;$H$9),"",IF($I$9="SAC",ROUND($E$9/$H$9+$F247,2),ROUND(($E$9*$G$9*(1+$G$9)^$H$9/((1+$G$9)^$H$9-1)),2)))</f>
        <v/>
      </c>
      <c r="F247" s="18">
        <f>IF(OR($B$9="",22&gt;$H$9),"",ROUND($H246*$G$9,2))</f>
        <v/>
      </c>
      <c r="G247" s="18">
        <f>IF(OR($B$9="",22&gt;$H$9),"",IF($I$9="SAC",ROUND($E$9/$H$9,2),ROUND($E247-$F247,2)))</f>
        <v/>
      </c>
      <c r="H247" s="18">
        <f>IF(OR($B$9="",22&gt;$H$9),"",ROUND(MAX(0,$H246-$G247),2))</f>
        <v/>
      </c>
      <c r="I247" s="17">
        <f>IF(OR($B$9="",22&gt;$H$9),"",IF($D247&lt;=TODAY(),"Vencida","A vencer"))</f>
        <v/>
      </c>
      <c r="J247" s="30">
        <f>IF($D247="","",EOMONTH($D247,0))</f>
        <v/>
      </c>
    </row>
    <row r="248">
      <c r="A248" s="24">
        <f>IF($B$9="","",$A$9)</f>
        <v/>
      </c>
      <c r="B248" s="9">
        <f>IF($B$9="","",$B$9)</f>
        <v/>
      </c>
      <c r="C248" s="24">
        <f>IF($B$9="","",23)</f>
        <v/>
      </c>
      <c r="D248" s="30">
        <f>IF(OR($B$9="",23&gt;$H$9),"",EDATE($J$9,22))</f>
        <v/>
      </c>
      <c r="E248" s="18">
        <f>IF(OR($B$9="",23&gt;$H$9),"",IF($I$9="SAC",ROUND($E$9/$H$9+$F248,2),ROUND(($E$9*$G$9*(1+$G$9)^$H$9/((1+$G$9)^$H$9-1)),2)))</f>
        <v/>
      </c>
      <c r="F248" s="18">
        <f>IF(OR($B$9="",23&gt;$H$9),"",ROUND($H247*$G$9,2))</f>
        <v/>
      </c>
      <c r="G248" s="18">
        <f>IF(OR($B$9="",23&gt;$H$9),"",IF($I$9="SAC",ROUND($E$9/$H$9,2),ROUND($E248-$F248,2)))</f>
        <v/>
      </c>
      <c r="H248" s="18">
        <f>IF(OR($B$9="",23&gt;$H$9),"",ROUND(MAX(0,$H247-$G248),2))</f>
        <v/>
      </c>
      <c r="I248" s="17">
        <f>IF(OR($B$9="",23&gt;$H$9),"",IF($D248&lt;=TODAY(),"Vencida","A vencer"))</f>
        <v/>
      </c>
      <c r="J248" s="30">
        <f>IF($D248="","",EOMONTH($D248,0))</f>
        <v/>
      </c>
    </row>
    <row r="249">
      <c r="A249" s="24">
        <f>IF($B$9="","",$A$9)</f>
        <v/>
      </c>
      <c r="B249" s="9">
        <f>IF($B$9="","",$B$9)</f>
        <v/>
      </c>
      <c r="C249" s="24">
        <f>IF($B$9="","",24)</f>
        <v/>
      </c>
      <c r="D249" s="30">
        <f>IF(OR($B$9="",24&gt;$H$9),"",EDATE($J$9,23))</f>
        <v/>
      </c>
      <c r="E249" s="18">
        <f>IF(OR($B$9="",24&gt;$H$9),"",IF($I$9="SAC",ROUND($E$9/$H$9+$F249,2),ROUND(($E$9*$G$9*(1+$G$9)^$H$9/((1+$G$9)^$H$9-1)),2)))</f>
        <v/>
      </c>
      <c r="F249" s="18">
        <f>IF(OR($B$9="",24&gt;$H$9),"",ROUND($H248*$G$9,2))</f>
        <v/>
      </c>
      <c r="G249" s="18">
        <f>IF(OR($B$9="",24&gt;$H$9),"",IF($I$9="SAC",ROUND($E$9/$H$9,2),ROUND($E249-$F249,2)))</f>
        <v/>
      </c>
      <c r="H249" s="18">
        <f>IF(OR($B$9="",24&gt;$H$9),"",ROUND(MAX(0,$H248-$G249),2))</f>
        <v/>
      </c>
      <c r="I249" s="17">
        <f>IF(OR($B$9="",24&gt;$H$9),"",IF($D249&lt;=TODAY(),"Vencida","A vencer"))</f>
        <v/>
      </c>
      <c r="J249" s="30">
        <f>IF($D249="","",EOMONTH($D249,0))</f>
        <v/>
      </c>
    </row>
    <row r="250">
      <c r="A250" s="24">
        <f>IF($B$9="","",$A$9)</f>
        <v/>
      </c>
      <c r="B250" s="9">
        <f>IF($B$9="","",$B$9)</f>
        <v/>
      </c>
      <c r="C250" s="24">
        <f>IF($B$9="","",25)</f>
        <v/>
      </c>
      <c r="D250" s="30">
        <f>IF(OR($B$9="",25&gt;$H$9),"",EDATE($J$9,24))</f>
        <v/>
      </c>
      <c r="E250" s="18">
        <f>IF(OR($B$9="",25&gt;$H$9),"",IF($I$9="SAC",ROUND($E$9/$H$9+$F250,2),ROUND(($E$9*$G$9*(1+$G$9)^$H$9/((1+$G$9)^$H$9-1)),2)))</f>
        <v/>
      </c>
      <c r="F250" s="18">
        <f>IF(OR($B$9="",25&gt;$H$9),"",ROUND($H249*$G$9,2))</f>
        <v/>
      </c>
      <c r="G250" s="18">
        <f>IF(OR($B$9="",25&gt;$H$9),"",IF($I$9="SAC",ROUND($E$9/$H$9,2),ROUND($E250-$F250,2)))</f>
        <v/>
      </c>
      <c r="H250" s="18">
        <f>IF(OR($B$9="",25&gt;$H$9),"",ROUND(MAX(0,$H249-$G250),2))</f>
        <v/>
      </c>
      <c r="I250" s="17">
        <f>IF(OR($B$9="",25&gt;$H$9),"",IF($D250&lt;=TODAY(),"Vencida","A vencer"))</f>
        <v/>
      </c>
      <c r="J250" s="30">
        <f>IF($D250="","",EOMONTH($D250,0))</f>
        <v/>
      </c>
    </row>
    <row r="251">
      <c r="A251" s="24">
        <f>IF($B$9="","",$A$9)</f>
        <v/>
      </c>
      <c r="B251" s="9">
        <f>IF($B$9="","",$B$9)</f>
        <v/>
      </c>
      <c r="C251" s="24">
        <f>IF($B$9="","",26)</f>
        <v/>
      </c>
      <c r="D251" s="30">
        <f>IF(OR($B$9="",26&gt;$H$9),"",EDATE($J$9,25))</f>
        <v/>
      </c>
      <c r="E251" s="18">
        <f>IF(OR($B$9="",26&gt;$H$9),"",IF($I$9="SAC",ROUND($E$9/$H$9+$F251,2),ROUND(($E$9*$G$9*(1+$G$9)^$H$9/((1+$G$9)^$H$9-1)),2)))</f>
        <v/>
      </c>
      <c r="F251" s="18">
        <f>IF(OR($B$9="",26&gt;$H$9),"",ROUND($H250*$G$9,2))</f>
        <v/>
      </c>
      <c r="G251" s="18">
        <f>IF(OR($B$9="",26&gt;$H$9),"",IF($I$9="SAC",ROUND($E$9/$H$9,2),ROUND($E251-$F251,2)))</f>
        <v/>
      </c>
      <c r="H251" s="18">
        <f>IF(OR($B$9="",26&gt;$H$9),"",ROUND(MAX(0,$H250-$G251),2))</f>
        <v/>
      </c>
      <c r="I251" s="17">
        <f>IF(OR($B$9="",26&gt;$H$9),"",IF($D251&lt;=TODAY(),"Vencida","A vencer"))</f>
        <v/>
      </c>
      <c r="J251" s="30">
        <f>IF($D251="","",EOMONTH($D251,0))</f>
        <v/>
      </c>
    </row>
    <row r="252">
      <c r="A252" s="24">
        <f>IF($B$9="","",$A$9)</f>
        <v/>
      </c>
      <c r="B252" s="9">
        <f>IF($B$9="","",$B$9)</f>
        <v/>
      </c>
      <c r="C252" s="24">
        <f>IF($B$9="","",27)</f>
        <v/>
      </c>
      <c r="D252" s="30">
        <f>IF(OR($B$9="",27&gt;$H$9),"",EDATE($J$9,26))</f>
        <v/>
      </c>
      <c r="E252" s="18">
        <f>IF(OR($B$9="",27&gt;$H$9),"",IF($I$9="SAC",ROUND($E$9/$H$9+$F252,2),ROUND(($E$9*$G$9*(1+$G$9)^$H$9/((1+$G$9)^$H$9-1)),2)))</f>
        <v/>
      </c>
      <c r="F252" s="18">
        <f>IF(OR($B$9="",27&gt;$H$9),"",ROUND($H251*$G$9,2))</f>
        <v/>
      </c>
      <c r="G252" s="18">
        <f>IF(OR($B$9="",27&gt;$H$9),"",IF($I$9="SAC",ROUND($E$9/$H$9,2),ROUND($E252-$F252,2)))</f>
        <v/>
      </c>
      <c r="H252" s="18">
        <f>IF(OR($B$9="",27&gt;$H$9),"",ROUND(MAX(0,$H251-$G252),2))</f>
        <v/>
      </c>
      <c r="I252" s="17">
        <f>IF(OR($B$9="",27&gt;$H$9),"",IF($D252&lt;=TODAY(),"Vencida","A vencer"))</f>
        <v/>
      </c>
      <c r="J252" s="30">
        <f>IF($D252="","",EOMONTH($D252,0))</f>
        <v/>
      </c>
    </row>
    <row r="253">
      <c r="A253" s="24">
        <f>IF($B$9="","",$A$9)</f>
        <v/>
      </c>
      <c r="B253" s="9">
        <f>IF($B$9="","",$B$9)</f>
        <v/>
      </c>
      <c r="C253" s="24">
        <f>IF($B$9="","",28)</f>
        <v/>
      </c>
      <c r="D253" s="30">
        <f>IF(OR($B$9="",28&gt;$H$9),"",EDATE($J$9,27))</f>
        <v/>
      </c>
      <c r="E253" s="18">
        <f>IF(OR($B$9="",28&gt;$H$9),"",IF($I$9="SAC",ROUND($E$9/$H$9+$F253,2),ROUND(($E$9*$G$9*(1+$G$9)^$H$9/((1+$G$9)^$H$9-1)),2)))</f>
        <v/>
      </c>
      <c r="F253" s="18">
        <f>IF(OR($B$9="",28&gt;$H$9),"",ROUND($H252*$G$9,2))</f>
        <v/>
      </c>
      <c r="G253" s="18">
        <f>IF(OR($B$9="",28&gt;$H$9),"",IF($I$9="SAC",ROUND($E$9/$H$9,2),ROUND($E253-$F253,2)))</f>
        <v/>
      </c>
      <c r="H253" s="18">
        <f>IF(OR($B$9="",28&gt;$H$9),"",ROUND(MAX(0,$H252-$G253),2))</f>
        <v/>
      </c>
      <c r="I253" s="17">
        <f>IF(OR($B$9="",28&gt;$H$9),"",IF($D253&lt;=TODAY(),"Vencida","A vencer"))</f>
        <v/>
      </c>
      <c r="J253" s="30">
        <f>IF($D253="","",EOMONTH($D253,0))</f>
        <v/>
      </c>
    </row>
    <row r="254">
      <c r="A254" s="24">
        <f>IF($B$9="","",$A$9)</f>
        <v/>
      </c>
      <c r="B254" s="9">
        <f>IF($B$9="","",$B$9)</f>
        <v/>
      </c>
      <c r="C254" s="24">
        <f>IF($B$9="","",29)</f>
        <v/>
      </c>
      <c r="D254" s="30">
        <f>IF(OR($B$9="",29&gt;$H$9),"",EDATE($J$9,28))</f>
        <v/>
      </c>
      <c r="E254" s="18">
        <f>IF(OR($B$9="",29&gt;$H$9),"",IF($I$9="SAC",ROUND($E$9/$H$9+$F254,2),ROUND(($E$9*$G$9*(1+$G$9)^$H$9/((1+$G$9)^$H$9-1)),2)))</f>
        <v/>
      </c>
      <c r="F254" s="18">
        <f>IF(OR($B$9="",29&gt;$H$9),"",ROUND($H253*$G$9,2))</f>
        <v/>
      </c>
      <c r="G254" s="18">
        <f>IF(OR($B$9="",29&gt;$H$9),"",IF($I$9="SAC",ROUND($E$9/$H$9,2),ROUND($E254-$F254,2)))</f>
        <v/>
      </c>
      <c r="H254" s="18">
        <f>IF(OR($B$9="",29&gt;$H$9),"",ROUND(MAX(0,$H253-$G254),2))</f>
        <v/>
      </c>
      <c r="I254" s="17">
        <f>IF(OR($B$9="",29&gt;$H$9),"",IF($D254&lt;=TODAY(),"Vencida","A vencer"))</f>
        <v/>
      </c>
      <c r="J254" s="30">
        <f>IF($D254="","",EOMONTH($D254,0))</f>
        <v/>
      </c>
    </row>
    <row r="255">
      <c r="A255" s="24">
        <f>IF($B$9="","",$A$9)</f>
        <v/>
      </c>
      <c r="B255" s="9">
        <f>IF($B$9="","",$B$9)</f>
        <v/>
      </c>
      <c r="C255" s="24">
        <f>IF($B$9="","",30)</f>
        <v/>
      </c>
      <c r="D255" s="30">
        <f>IF(OR($B$9="",30&gt;$H$9),"",EDATE($J$9,29))</f>
        <v/>
      </c>
      <c r="E255" s="18">
        <f>IF(OR($B$9="",30&gt;$H$9),"",IF($I$9="SAC",ROUND($E$9/$H$9+$F255,2),ROUND(($E$9*$G$9*(1+$G$9)^$H$9/((1+$G$9)^$H$9-1)),2)))</f>
        <v/>
      </c>
      <c r="F255" s="18">
        <f>IF(OR($B$9="",30&gt;$H$9),"",ROUND($H254*$G$9,2))</f>
        <v/>
      </c>
      <c r="G255" s="18">
        <f>IF(OR($B$9="",30&gt;$H$9),"",IF($I$9="SAC",ROUND($E$9/$H$9,2),ROUND($E255-$F255,2)))</f>
        <v/>
      </c>
      <c r="H255" s="18">
        <f>IF(OR($B$9="",30&gt;$H$9),"",ROUND(MAX(0,$H254-$G255),2))</f>
        <v/>
      </c>
      <c r="I255" s="17">
        <f>IF(OR($B$9="",30&gt;$H$9),"",IF($D255&lt;=TODAY(),"Vencida","A vencer"))</f>
        <v/>
      </c>
      <c r="J255" s="30">
        <f>IF($D255="","",EOMONTH($D255,0))</f>
        <v/>
      </c>
    </row>
    <row r="256">
      <c r="A256" s="24">
        <f>IF($B$9="","",$A$9)</f>
        <v/>
      </c>
      <c r="B256" s="9">
        <f>IF($B$9="","",$B$9)</f>
        <v/>
      </c>
      <c r="C256" s="24">
        <f>IF($B$9="","",31)</f>
        <v/>
      </c>
      <c r="D256" s="30">
        <f>IF(OR($B$9="",31&gt;$H$9),"",EDATE($J$9,30))</f>
        <v/>
      </c>
      <c r="E256" s="18">
        <f>IF(OR($B$9="",31&gt;$H$9),"",IF($I$9="SAC",ROUND($E$9/$H$9+$F256,2),ROUND(($E$9*$G$9*(1+$G$9)^$H$9/((1+$G$9)^$H$9-1)),2)))</f>
        <v/>
      </c>
      <c r="F256" s="18">
        <f>IF(OR($B$9="",31&gt;$H$9),"",ROUND($H255*$G$9,2))</f>
        <v/>
      </c>
      <c r="G256" s="18">
        <f>IF(OR($B$9="",31&gt;$H$9),"",IF($I$9="SAC",ROUND($E$9/$H$9,2),ROUND($E256-$F256,2)))</f>
        <v/>
      </c>
      <c r="H256" s="18">
        <f>IF(OR($B$9="",31&gt;$H$9),"",ROUND(MAX(0,$H255-$G256),2))</f>
        <v/>
      </c>
      <c r="I256" s="17">
        <f>IF(OR($B$9="",31&gt;$H$9),"",IF($D256&lt;=TODAY(),"Vencida","A vencer"))</f>
        <v/>
      </c>
      <c r="J256" s="30">
        <f>IF($D256="","",EOMONTH($D256,0))</f>
        <v/>
      </c>
    </row>
    <row r="257">
      <c r="A257" s="24">
        <f>IF($B$9="","",$A$9)</f>
        <v/>
      </c>
      <c r="B257" s="9">
        <f>IF($B$9="","",$B$9)</f>
        <v/>
      </c>
      <c r="C257" s="24">
        <f>IF($B$9="","",32)</f>
        <v/>
      </c>
      <c r="D257" s="30">
        <f>IF(OR($B$9="",32&gt;$H$9),"",EDATE($J$9,31))</f>
        <v/>
      </c>
      <c r="E257" s="18">
        <f>IF(OR($B$9="",32&gt;$H$9),"",IF($I$9="SAC",ROUND($E$9/$H$9+$F257,2),ROUND(($E$9*$G$9*(1+$G$9)^$H$9/((1+$G$9)^$H$9-1)),2)))</f>
        <v/>
      </c>
      <c r="F257" s="18">
        <f>IF(OR($B$9="",32&gt;$H$9),"",ROUND($H256*$G$9,2))</f>
        <v/>
      </c>
      <c r="G257" s="18">
        <f>IF(OR($B$9="",32&gt;$H$9),"",IF($I$9="SAC",ROUND($E$9/$H$9,2),ROUND($E257-$F257,2)))</f>
        <v/>
      </c>
      <c r="H257" s="18">
        <f>IF(OR($B$9="",32&gt;$H$9),"",ROUND(MAX(0,$H256-$G257),2))</f>
        <v/>
      </c>
      <c r="I257" s="17">
        <f>IF(OR($B$9="",32&gt;$H$9),"",IF($D257&lt;=TODAY(),"Vencida","A vencer"))</f>
        <v/>
      </c>
      <c r="J257" s="30">
        <f>IF($D257="","",EOMONTH($D257,0))</f>
        <v/>
      </c>
    </row>
    <row r="258">
      <c r="A258" s="24">
        <f>IF($B$9="","",$A$9)</f>
        <v/>
      </c>
      <c r="B258" s="9">
        <f>IF($B$9="","",$B$9)</f>
        <v/>
      </c>
      <c r="C258" s="24">
        <f>IF($B$9="","",33)</f>
        <v/>
      </c>
      <c r="D258" s="30">
        <f>IF(OR($B$9="",33&gt;$H$9),"",EDATE($J$9,32))</f>
        <v/>
      </c>
      <c r="E258" s="18">
        <f>IF(OR($B$9="",33&gt;$H$9),"",IF($I$9="SAC",ROUND($E$9/$H$9+$F258,2),ROUND(($E$9*$G$9*(1+$G$9)^$H$9/((1+$G$9)^$H$9-1)),2)))</f>
        <v/>
      </c>
      <c r="F258" s="18">
        <f>IF(OR($B$9="",33&gt;$H$9),"",ROUND($H257*$G$9,2))</f>
        <v/>
      </c>
      <c r="G258" s="18">
        <f>IF(OR($B$9="",33&gt;$H$9),"",IF($I$9="SAC",ROUND($E$9/$H$9,2),ROUND($E258-$F258,2)))</f>
        <v/>
      </c>
      <c r="H258" s="18">
        <f>IF(OR($B$9="",33&gt;$H$9),"",ROUND(MAX(0,$H257-$G258),2))</f>
        <v/>
      </c>
      <c r="I258" s="17">
        <f>IF(OR($B$9="",33&gt;$H$9),"",IF($D258&lt;=TODAY(),"Vencida","A vencer"))</f>
        <v/>
      </c>
      <c r="J258" s="30">
        <f>IF($D258="","",EOMONTH($D258,0))</f>
        <v/>
      </c>
    </row>
    <row r="259">
      <c r="A259" s="24">
        <f>IF($B$9="","",$A$9)</f>
        <v/>
      </c>
      <c r="B259" s="9">
        <f>IF($B$9="","",$B$9)</f>
        <v/>
      </c>
      <c r="C259" s="24">
        <f>IF($B$9="","",34)</f>
        <v/>
      </c>
      <c r="D259" s="30">
        <f>IF(OR($B$9="",34&gt;$H$9),"",EDATE($J$9,33))</f>
        <v/>
      </c>
      <c r="E259" s="18">
        <f>IF(OR($B$9="",34&gt;$H$9),"",IF($I$9="SAC",ROUND($E$9/$H$9+$F259,2),ROUND(($E$9*$G$9*(1+$G$9)^$H$9/((1+$G$9)^$H$9-1)),2)))</f>
        <v/>
      </c>
      <c r="F259" s="18">
        <f>IF(OR($B$9="",34&gt;$H$9),"",ROUND($H258*$G$9,2))</f>
        <v/>
      </c>
      <c r="G259" s="18">
        <f>IF(OR($B$9="",34&gt;$H$9),"",IF($I$9="SAC",ROUND($E$9/$H$9,2),ROUND($E259-$F259,2)))</f>
        <v/>
      </c>
      <c r="H259" s="18">
        <f>IF(OR($B$9="",34&gt;$H$9),"",ROUND(MAX(0,$H258-$G259),2))</f>
        <v/>
      </c>
      <c r="I259" s="17">
        <f>IF(OR($B$9="",34&gt;$H$9),"",IF($D259&lt;=TODAY(),"Vencida","A vencer"))</f>
        <v/>
      </c>
      <c r="J259" s="30">
        <f>IF($D259="","",EOMONTH($D259,0))</f>
        <v/>
      </c>
    </row>
    <row r="260">
      <c r="A260" s="24">
        <f>IF($B$9="","",$A$9)</f>
        <v/>
      </c>
      <c r="B260" s="9">
        <f>IF($B$9="","",$B$9)</f>
        <v/>
      </c>
      <c r="C260" s="24">
        <f>IF($B$9="","",35)</f>
        <v/>
      </c>
      <c r="D260" s="30">
        <f>IF(OR($B$9="",35&gt;$H$9),"",EDATE($J$9,34))</f>
        <v/>
      </c>
      <c r="E260" s="18">
        <f>IF(OR($B$9="",35&gt;$H$9),"",IF($I$9="SAC",ROUND($E$9/$H$9+$F260,2),ROUND(($E$9*$G$9*(1+$G$9)^$H$9/((1+$G$9)^$H$9-1)),2)))</f>
        <v/>
      </c>
      <c r="F260" s="18">
        <f>IF(OR($B$9="",35&gt;$H$9),"",ROUND($H259*$G$9,2))</f>
        <v/>
      </c>
      <c r="G260" s="18">
        <f>IF(OR($B$9="",35&gt;$H$9),"",IF($I$9="SAC",ROUND($E$9/$H$9,2),ROUND($E260-$F260,2)))</f>
        <v/>
      </c>
      <c r="H260" s="18">
        <f>IF(OR($B$9="",35&gt;$H$9),"",ROUND(MAX(0,$H259-$G260),2))</f>
        <v/>
      </c>
      <c r="I260" s="17">
        <f>IF(OR($B$9="",35&gt;$H$9),"",IF($D260&lt;=TODAY(),"Vencida","A vencer"))</f>
        <v/>
      </c>
      <c r="J260" s="30">
        <f>IF($D260="","",EOMONTH($D260,0))</f>
        <v/>
      </c>
    </row>
    <row r="261">
      <c r="A261" s="24">
        <f>IF($B$9="","",$A$9)</f>
        <v/>
      </c>
      <c r="B261" s="9">
        <f>IF($B$9="","",$B$9)</f>
        <v/>
      </c>
      <c r="C261" s="24">
        <f>IF($B$9="","",36)</f>
        <v/>
      </c>
      <c r="D261" s="30">
        <f>IF(OR($B$9="",36&gt;$H$9),"",EDATE($J$9,35))</f>
        <v/>
      </c>
      <c r="E261" s="18">
        <f>IF(OR($B$9="",36&gt;$H$9),"",IF($I$9="SAC",ROUND($E$9/$H$9+$F261,2),ROUND(($E$9*$G$9*(1+$G$9)^$H$9/((1+$G$9)^$H$9-1)),2)))</f>
        <v/>
      </c>
      <c r="F261" s="18">
        <f>IF(OR($B$9="",36&gt;$H$9),"",ROUND($H260*$G$9,2))</f>
        <v/>
      </c>
      <c r="G261" s="18">
        <f>IF(OR($B$9="",36&gt;$H$9),"",IF($I$9="SAC",ROUND($E$9/$H$9,2),ROUND($E261-$F261,2)))</f>
        <v/>
      </c>
      <c r="H261" s="18">
        <f>IF(OR($B$9="",36&gt;$H$9),"",ROUND(MAX(0,$H260-$G261),2))</f>
        <v/>
      </c>
      <c r="I261" s="17">
        <f>IF(OR($B$9="",36&gt;$H$9),"",IF($D261&lt;=TODAY(),"Vencida","A vencer"))</f>
        <v/>
      </c>
      <c r="J261" s="30">
        <f>IF($D261="","",EOMONTH($D261,0))</f>
        <v/>
      </c>
    </row>
    <row r="262">
      <c r="A262" s="24">
        <f>IF($B$9="","",$A$9)</f>
        <v/>
      </c>
      <c r="B262" s="9">
        <f>IF($B$9="","",$B$9)</f>
        <v/>
      </c>
      <c r="C262" s="24">
        <f>IF($B$9="","",37)</f>
        <v/>
      </c>
      <c r="D262" s="30">
        <f>IF(OR($B$9="",37&gt;$H$9),"",EDATE($J$9,36))</f>
        <v/>
      </c>
      <c r="E262" s="18">
        <f>IF(OR($B$9="",37&gt;$H$9),"",IF($I$9="SAC",ROUND($E$9/$H$9+$F262,2),ROUND(($E$9*$G$9*(1+$G$9)^$H$9/((1+$G$9)^$H$9-1)),2)))</f>
        <v/>
      </c>
      <c r="F262" s="18">
        <f>IF(OR($B$9="",37&gt;$H$9),"",ROUND($H261*$G$9,2))</f>
        <v/>
      </c>
      <c r="G262" s="18">
        <f>IF(OR($B$9="",37&gt;$H$9),"",IF($I$9="SAC",ROUND($E$9/$H$9,2),ROUND($E262-$F262,2)))</f>
        <v/>
      </c>
      <c r="H262" s="18">
        <f>IF(OR($B$9="",37&gt;$H$9),"",ROUND(MAX(0,$H261-$G262),2))</f>
        <v/>
      </c>
      <c r="I262" s="17">
        <f>IF(OR($B$9="",37&gt;$H$9),"",IF($D262&lt;=TODAY(),"Vencida","A vencer"))</f>
        <v/>
      </c>
      <c r="J262" s="30">
        <f>IF($D262="","",EOMONTH($D262,0))</f>
        <v/>
      </c>
    </row>
    <row r="263">
      <c r="A263" s="24">
        <f>IF($B$9="","",$A$9)</f>
        <v/>
      </c>
      <c r="B263" s="9">
        <f>IF($B$9="","",$B$9)</f>
        <v/>
      </c>
      <c r="C263" s="24">
        <f>IF($B$9="","",38)</f>
        <v/>
      </c>
      <c r="D263" s="30">
        <f>IF(OR($B$9="",38&gt;$H$9),"",EDATE($J$9,37))</f>
        <v/>
      </c>
      <c r="E263" s="18">
        <f>IF(OR($B$9="",38&gt;$H$9),"",IF($I$9="SAC",ROUND($E$9/$H$9+$F263,2),ROUND(($E$9*$G$9*(1+$G$9)^$H$9/((1+$G$9)^$H$9-1)),2)))</f>
        <v/>
      </c>
      <c r="F263" s="18">
        <f>IF(OR($B$9="",38&gt;$H$9),"",ROUND($H262*$G$9,2))</f>
        <v/>
      </c>
      <c r="G263" s="18">
        <f>IF(OR($B$9="",38&gt;$H$9),"",IF($I$9="SAC",ROUND($E$9/$H$9,2),ROUND($E263-$F263,2)))</f>
        <v/>
      </c>
      <c r="H263" s="18">
        <f>IF(OR($B$9="",38&gt;$H$9),"",ROUND(MAX(0,$H262-$G263),2))</f>
        <v/>
      </c>
      <c r="I263" s="17">
        <f>IF(OR($B$9="",38&gt;$H$9),"",IF($D263&lt;=TODAY(),"Vencida","A vencer"))</f>
        <v/>
      </c>
      <c r="J263" s="30">
        <f>IF($D263="","",EOMONTH($D263,0))</f>
        <v/>
      </c>
    </row>
    <row r="264">
      <c r="A264" s="24">
        <f>IF($B$9="","",$A$9)</f>
        <v/>
      </c>
      <c r="B264" s="9">
        <f>IF($B$9="","",$B$9)</f>
        <v/>
      </c>
      <c r="C264" s="24">
        <f>IF($B$9="","",39)</f>
        <v/>
      </c>
      <c r="D264" s="30">
        <f>IF(OR($B$9="",39&gt;$H$9),"",EDATE($J$9,38))</f>
        <v/>
      </c>
      <c r="E264" s="18">
        <f>IF(OR($B$9="",39&gt;$H$9),"",IF($I$9="SAC",ROUND($E$9/$H$9+$F264,2),ROUND(($E$9*$G$9*(1+$G$9)^$H$9/((1+$G$9)^$H$9-1)),2)))</f>
        <v/>
      </c>
      <c r="F264" s="18">
        <f>IF(OR($B$9="",39&gt;$H$9),"",ROUND($H263*$G$9,2))</f>
        <v/>
      </c>
      <c r="G264" s="18">
        <f>IF(OR($B$9="",39&gt;$H$9),"",IF($I$9="SAC",ROUND($E$9/$H$9,2),ROUND($E264-$F264,2)))</f>
        <v/>
      </c>
      <c r="H264" s="18">
        <f>IF(OR($B$9="",39&gt;$H$9),"",ROUND(MAX(0,$H263-$G264),2))</f>
        <v/>
      </c>
      <c r="I264" s="17">
        <f>IF(OR($B$9="",39&gt;$H$9),"",IF($D264&lt;=TODAY(),"Vencida","A vencer"))</f>
        <v/>
      </c>
      <c r="J264" s="30">
        <f>IF($D264="","",EOMONTH($D264,0))</f>
        <v/>
      </c>
    </row>
    <row r="265">
      <c r="A265" s="24">
        <f>IF($B$9="","",$A$9)</f>
        <v/>
      </c>
      <c r="B265" s="9">
        <f>IF($B$9="","",$B$9)</f>
        <v/>
      </c>
      <c r="C265" s="24">
        <f>IF($B$9="","",40)</f>
        <v/>
      </c>
      <c r="D265" s="30">
        <f>IF(OR($B$9="",40&gt;$H$9),"",EDATE($J$9,39))</f>
        <v/>
      </c>
      <c r="E265" s="18">
        <f>IF(OR($B$9="",40&gt;$H$9),"",IF($I$9="SAC",ROUND($E$9/$H$9+$F265,2),ROUND(($E$9*$G$9*(1+$G$9)^$H$9/((1+$G$9)^$H$9-1)),2)))</f>
        <v/>
      </c>
      <c r="F265" s="18">
        <f>IF(OR($B$9="",40&gt;$H$9),"",ROUND($H264*$G$9,2))</f>
        <v/>
      </c>
      <c r="G265" s="18">
        <f>IF(OR($B$9="",40&gt;$H$9),"",IF($I$9="SAC",ROUND($E$9/$H$9,2),ROUND($E265-$F265,2)))</f>
        <v/>
      </c>
      <c r="H265" s="18">
        <f>IF(OR($B$9="",40&gt;$H$9),"",ROUND(MAX(0,$H264-$G265),2))</f>
        <v/>
      </c>
      <c r="I265" s="17">
        <f>IF(OR($B$9="",40&gt;$H$9),"",IF($D265&lt;=TODAY(),"Vencida","A vencer"))</f>
        <v/>
      </c>
      <c r="J265" s="30">
        <f>IF($D265="","",EOMONTH($D265,0))</f>
        <v/>
      </c>
    </row>
    <row r="266">
      <c r="A266" s="24">
        <f>IF($B$9="","",$A$9)</f>
        <v/>
      </c>
      <c r="B266" s="9">
        <f>IF($B$9="","",$B$9)</f>
        <v/>
      </c>
      <c r="C266" s="24">
        <f>IF($B$9="","",41)</f>
        <v/>
      </c>
      <c r="D266" s="30">
        <f>IF(OR($B$9="",41&gt;$H$9),"",EDATE($J$9,40))</f>
        <v/>
      </c>
      <c r="E266" s="18">
        <f>IF(OR($B$9="",41&gt;$H$9),"",IF($I$9="SAC",ROUND($E$9/$H$9+$F266,2),ROUND(($E$9*$G$9*(1+$G$9)^$H$9/((1+$G$9)^$H$9-1)),2)))</f>
        <v/>
      </c>
      <c r="F266" s="18">
        <f>IF(OR($B$9="",41&gt;$H$9),"",ROUND($H265*$G$9,2))</f>
        <v/>
      </c>
      <c r="G266" s="18">
        <f>IF(OR($B$9="",41&gt;$H$9),"",IF($I$9="SAC",ROUND($E$9/$H$9,2),ROUND($E266-$F266,2)))</f>
        <v/>
      </c>
      <c r="H266" s="18">
        <f>IF(OR($B$9="",41&gt;$H$9),"",ROUND(MAX(0,$H265-$G266),2))</f>
        <v/>
      </c>
      <c r="I266" s="17">
        <f>IF(OR($B$9="",41&gt;$H$9),"",IF($D266&lt;=TODAY(),"Vencida","A vencer"))</f>
        <v/>
      </c>
      <c r="J266" s="30">
        <f>IF($D266="","",EOMONTH($D266,0))</f>
        <v/>
      </c>
    </row>
    <row r="267">
      <c r="A267" s="24">
        <f>IF($B$9="","",$A$9)</f>
        <v/>
      </c>
      <c r="B267" s="9">
        <f>IF($B$9="","",$B$9)</f>
        <v/>
      </c>
      <c r="C267" s="24">
        <f>IF($B$9="","",42)</f>
        <v/>
      </c>
      <c r="D267" s="30">
        <f>IF(OR($B$9="",42&gt;$H$9),"",EDATE($J$9,41))</f>
        <v/>
      </c>
      <c r="E267" s="18">
        <f>IF(OR($B$9="",42&gt;$H$9),"",IF($I$9="SAC",ROUND($E$9/$H$9+$F267,2),ROUND(($E$9*$G$9*(1+$G$9)^$H$9/((1+$G$9)^$H$9-1)),2)))</f>
        <v/>
      </c>
      <c r="F267" s="18">
        <f>IF(OR($B$9="",42&gt;$H$9),"",ROUND($H266*$G$9,2))</f>
        <v/>
      </c>
      <c r="G267" s="18">
        <f>IF(OR($B$9="",42&gt;$H$9),"",IF($I$9="SAC",ROUND($E$9/$H$9,2),ROUND($E267-$F267,2)))</f>
        <v/>
      </c>
      <c r="H267" s="18">
        <f>IF(OR($B$9="",42&gt;$H$9),"",ROUND(MAX(0,$H266-$G267),2))</f>
        <v/>
      </c>
      <c r="I267" s="17">
        <f>IF(OR($B$9="",42&gt;$H$9),"",IF($D267&lt;=TODAY(),"Vencida","A vencer"))</f>
        <v/>
      </c>
      <c r="J267" s="30">
        <f>IF($D267="","",EOMONTH($D267,0))</f>
        <v/>
      </c>
    </row>
    <row r="268">
      <c r="A268" s="24">
        <f>IF($B$9="","",$A$9)</f>
        <v/>
      </c>
      <c r="B268" s="9">
        <f>IF($B$9="","",$B$9)</f>
        <v/>
      </c>
      <c r="C268" s="24">
        <f>IF($B$9="","",43)</f>
        <v/>
      </c>
      <c r="D268" s="30">
        <f>IF(OR($B$9="",43&gt;$H$9),"",EDATE($J$9,42))</f>
        <v/>
      </c>
      <c r="E268" s="18">
        <f>IF(OR($B$9="",43&gt;$H$9),"",IF($I$9="SAC",ROUND($E$9/$H$9+$F268,2),ROUND(($E$9*$G$9*(1+$G$9)^$H$9/((1+$G$9)^$H$9-1)),2)))</f>
        <v/>
      </c>
      <c r="F268" s="18">
        <f>IF(OR($B$9="",43&gt;$H$9),"",ROUND($H267*$G$9,2))</f>
        <v/>
      </c>
      <c r="G268" s="18">
        <f>IF(OR($B$9="",43&gt;$H$9),"",IF($I$9="SAC",ROUND($E$9/$H$9,2),ROUND($E268-$F268,2)))</f>
        <v/>
      </c>
      <c r="H268" s="18">
        <f>IF(OR($B$9="",43&gt;$H$9),"",ROUND(MAX(0,$H267-$G268),2))</f>
        <v/>
      </c>
      <c r="I268" s="17">
        <f>IF(OR($B$9="",43&gt;$H$9),"",IF($D268&lt;=TODAY(),"Vencida","A vencer"))</f>
        <v/>
      </c>
      <c r="J268" s="30">
        <f>IF($D268="","",EOMONTH($D268,0))</f>
        <v/>
      </c>
    </row>
    <row r="269">
      <c r="A269" s="24">
        <f>IF($B$9="","",$A$9)</f>
        <v/>
      </c>
      <c r="B269" s="9">
        <f>IF($B$9="","",$B$9)</f>
        <v/>
      </c>
      <c r="C269" s="24">
        <f>IF($B$9="","",44)</f>
        <v/>
      </c>
      <c r="D269" s="30">
        <f>IF(OR($B$9="",44&gt;$H$9),"",EDATE($J$9,43))</f>
        <v/>
      </c>
      <c r="E269" s="18">
        <f>IF(OR($B$9="",44&gt;$H$9),"",IF($I$9="SAC",ROUND($E$9/$H$9+$F269,2),ROUND(($E$9*$G$9*(1+$G$9)^$H$9/((1+$G$9)^$H$9-1)),2)))</f>
        <v/>
      </c>
      <c r="F269" s="18">
        <f>IF(OR($B$9="",44&gt;$H$9),"",ROUND($H268*$G$9,2))</f>
        <v/>
      </c>
      <c r="G269" s="18">
        <f>IF(OR($B$9="",44&gt;$H$9),"",IF($I$9="SAC",ROUND($E$9/$H$9,2),ROUND($E269-$F269,2)))</f>
        <v/>
      </c>
      <c r="H269" s="18">
        <f>IF(OR($B$9="",44&gt;$H$9),"",ROUND(MAX(0,$H268-$G269),2))</f>
        <v/>
      </c>
      <c r="I269" s="17">
        <f>IF(OR($B$9="",44&gt;$H$9),"",IF($D269&lt;=TODAY(),"Vencida","A vencer"))</f>
        <v/>
      </c>
      <c r="J269" s="30">
        <f>IF($D269="","",EOMONTH($D269,0))</f>
        <v/>
      </c>
    </row>
    <row r="270">
      <c r="A270" s="24">
        <f>IF($B$9="","",$A$9)</f>
        <v/>
      </c>
      <c r="B270" s="9">
        <f>IF($B$9="","",$B$9)</f>
        <v/>
      </c>
      <c r="C270" s="24">
        <f>IF($B$9="","",45)</f>
        <v/>
      </c>
      <c r="D270" s="30">
        <f>IF(OR($B$9="",45&gt;$H$9),"",EDATE($J$9,44))</f>
        <v/>
      </c>
      <c r="E270" s="18">
        <f>IF(OR($B$9="",45&gt;$H$9),"",IF($I$9="SAC",ROUND($E$9/$H$9+$F270,2),ROUND(($E$9*$G$9*(1+$G$9)^$H$9/((1+$G$9)^$H$9-1)),2)))</f>
        <v/>
      </c>
      <c r="F270" s="18">
        <f>IF(OR($B$9="",45&gt;$H$9),"",ROUND($H269*$G$9,2))</f>
        <v/>
      </c>
      <c r="G270" s="18">
        <f>IF(OR($B$9="",45&gt;$H$9),"",IF($I$9="SAC",ROUND($E$9/$H$9,2),ROUND($E270-$F270,2)))</f>
        <v/>
      </c>
      <c r="H270" s="18">
        <f>IF(OR($B$9="",45&gt;$H$9),"",ROUND(MAX(0,$H269-$G270),2))</f>
        <v/>
      </c>
      <c r="I270" s="17">
        <f>IF(OR($B$9="",45&gt;$H$9),"",IF($D270&lt;=TODAY(),"Vencida","A vencer"))</f>
        <v/>
      </c>
      <c r="J270" s="30">
        <f>IF($D270="","",EOMONTH($D270,0))</f>
        <v/>
      </c>
    </row>
    <row r="271">
      <c r="A271" s="24">
        <f>IF($B$9="","",$A$9)</f>
        <v/>
      </c>
      <c r="B271" s="9">
        <f>IF($B$9="","",$B$9)</f>
        <v/>
      </c>
      <c r="C271" s="24">
        <f>IF($B$9="","",46)</f>
        <v/>
      </c>
      <c r="D271" s="30">
        <f>IF(OR($B$9="",46&gt;$H$9),"",EDATE($J$9,45))</f>
        <v/>
      </c>
      <c r="E271" s="18">
        <f>IF(OR($B$9="",46&gt;$H$9),"",IF($I$9="SAC",ROUND($E$9/$H$9+$F271,2),ROUND(($E$9*$G$9*(1+$G$9)^$H$9/((1+$G$9)^$H$9-1)),2)))</f>
        <v/>
      </c>
      <c r="F271" s="18">
        <f>IF(OR($B$9="",46&gt;$H$9),"",ROUND($H270*$G$9,2))</f>
        <v/>
      </c>
      <c r="G271" s="18">
        <f>IF(OR($B$9="",46&gt;$H$9),"",IF($I$9="SAC",ROUND($E$9/$H$9,2),ROUND($E271-$F271,2)))</f>
        <v/>
      </c>
      <c r="H271" s="18">
        <f>IF(OR($B$9="",46&gt;$H$9),"",ROUND(MAX(0,$H270-$G271),2))</f>
        <v/>
      </c>
      <c r="I271" s="17">
        <f>IF(OR($B$9="",46&gt;$H$9),"",IF($D271&lt;=TODAY(),"Vencida","A vencer"))</f>
        <v/>
      </c>
      <c r="J271" s="30">
        <f>IF($D271="","",EOMONTH($D271,0))</f>
        <v/>
      </c>
    </row>
    <row r="272">
      <c r="A272" s="24">
        <f>IF($B$9="","",$A$9)</f>
        <v/>
      </c>
      <c r="B272" s="9">
        <f>IF($B$9="","",$B$9)</f>
        <v/>
      </c>
      <c r="C272" s="24">
        <f>IF($B$9="","",47)</f>
        <v/>
      </c>
      <c r="D272" s="30">
        <f>IF(OR($B$9="",47&gt;$H$9),"",EDATE($J$9,46))</f>
        <v/>
      </c>
      <c r="E272" s="18">
        <f>IF(OR($B$9="",47&gt;$H$9),"",IF($I$9="SAC",ROUND($E$9/$H$9+$F272,2),ROUND(($E$9*$G$9*(1+$G$9)^$H$9/((1+$G$9)^$H$9-1)),2)))</f>
        <v/>
      </c>
      <c r="F272" s="18">
        <f>IF(OR($B$9="",47&gt;$H$9),"",ROUND($H271*$G$9,2))</f>
        <v/>
      </c>
      <c r="G272" s="18">
        <f>IF(OR($B$9="",47&gt;$H$9),"",IF($I$9="SAC",ROUND($E$9/$H$9,2),ROUND($E272-$F272,2)))</f>
        <v/>
      </c>
      <c r="H272" s="18">
        <f>IF(OR($B$9="",47&gt;$H$9),"",ROUND(MAX(0,$H271-$G272),2))</f>
        <v/>
      </c>
      <c r="I272" s="17">
        <f>IF(OR($B$9="",47&gt;$H$9),"",IF($D272&lt;=TODAY(),"Vencida","A vencer"))</f>
        <v/>
      </c>
      <c r="J272" s="30">
        <f>IF($D272="","",EOMONTH($D272,0))</f>
        <v/>
      </c>
    </row>
    <row r="273">
      <c r="A273" s="24">
        <f>IF($B$9="","",$A$9)</f>
        <v/>
      </c>
      <c r="B273" s="9">
        <f>IF($B$9="","",$B$9)</f>
        <v/>
      </c>
      <c r="C273" s="24">
        <f>IF($B$9="","",48)</f>
        <v/>
      </c>
      <c r="D273" s="30">
        <f>IF(OR($B$9="",48&gt;$H$9),"",EDATE($J$9,47))</f>
        <v/>
      </c>
      <c r="E273" s="18">
        <f>IF(OR($B$9="",48&gt;$H$9),"",IF($I$9="SAC",ROUND($E$9/$H$9+$F273,2),ROUND(($E$9*$G$9*(1+$G$9)^$H$9/((1+$G$9)^$H$9-1)),2)))</f>
        <v/>
      </c>
      <c r="F273" s="18">
        <f>IF(OR($B$9="",48&gt;$H$9),"",ROUND($H272*$G$9,2))</f>
        <v/>
      </c>
      <c r="G273" s="18">
        <f>IF(OR($B$9="",48&gt;$H$9),"",IF($I$9="SAC",ROUND($E$9/$H$9,2),ROUND($E273-$F273,2)))</f>
        <v/>
      </c>
      <c r="H273" s="18">
        <f>IF(OR($B$9="",48&gt;$H$9),"",ROUND(MAX(0,$H272-$G273),2))</f>
        <v/>
      </c>
      <c r="I273" s="17">
        <f>IF(OR($B$9="",48&gt;$H$9),"",IF($D273&lt;=TODAY(),"Vencida","A vencer"))</f>
        <v/>
      </c>
      <c r="J273" s="30">
        <f>IF($D273="","",EOMONTH($D273,0))</f>
        <v/>
      </c>
    </row>
    <row r="274">
      <c r="A274" s="24">
        <f>IF($B$9="","",$A$9)</f>
        <v/>
      </c>
      <c r="B274" s="9">
        <f>IF($B$9="","",$B$9)</f>
        <v/>
      </c>
      <c r="C274" s="24">
        <f>IF($B$9="","",49)</f>
        <v/>
      </c>
      <c r="D274" s="30">
        <f>IF(OR($B$9="",49&gt;$H$9),"",EDATE($J$9,48))</f>
        <v/>
      </c>
      <c r="E274" s="18">
        <f>IF(OR($B$9="",49&gt;$H$9),"",IF($I$9="SAC",ROUND($E$9/$H$9+$F274,2),ROUND(($E$9*$G$9*(1+$G$9)^$H$9/((1+$G$9)^$H$9-1)),2)))</f>
        <v/>
      </c>
      <c r="F274" s="18">
        <f>IF(OR($B$9="",49&gt;$H$9),"",ROUND($H273*$G$9,2))</f>
        <v/>
      </c>
      <c r="G274" s="18">
        <f>IF(OR($B$9="",49&gt;$H$9),"",IF($I$9="SAC",ROUND($E$9/$H$9,2),ROUND($E274-$F274,2)))</f>
        <v/>
      </c>
      <c r="H274" s="18">
        <f>IF(OR($B$9="",49&gt;$H$9),"",ROUND(MAX(0,$H273-$G274),2))</f>
        <v/>
      </c>
      <c r="I274" s="17">
        <f>IF(OR($B$9="",49&gt;$H$9),"",IF($D274&lt;=TODAY(),"Vencida","A vencer"))</f>
        <v/>
      </c>
      <c r="J274" s="30">
        <f>IF($D274="","",EOMONTH($D274,0))</f>
        <v/>
      </c>
    </row>
    <row r="275">
      <c r="A275" s="24">
        <f>IF($B$9="","",$A$9)</f>
        <v/>
      </c>
      <c r="B275" s="9">
        <f>IF($B$9="","",$B$9)</f>
        <v/>
      </c>
      <c r="C275" s="24">
        <f>IF($B$9="","",50)</f>
        <v/>
      </c>
      <c r="D275" s="30">
        <f>IF(OR($B$9="",50&gt;$H$9),"",EDATE($J$9,49))</f>
        <v/>
      </c>
      <c r="E275" s="18">
        <f>IF(OR($B$9="",50&gt;$H$9),"",IF($I$9="SAC",ROUND($E$9/$H$9+$F275,2),ROUND(($E$9*$G$9*(1+$G$9)^$H$9/((1+$G$9)^$H$9-1)),2)))</f>
        <v/>
      </c>
      <c r="F275" s="18">
        <f>IF(OR($B$9="",50&gt;$H$9),"",ROUND($H274*$G$9,2))</f>
        <v/>
      </c>
      <c r="G275" s="18">
        <f>IF(OR($B$9="",50&gt;$H$9),"",IF($I$9="SAC",ROUND($E$9/$H$9,2),ROUND($E275-$F275,2)))</f>
        <v/>
      </c>
      <c r="H275" s="18">
        <f>IF(OR($B$9="",50&gt;$H$9),"",ROUND(MAX(0,$H274-$G275),2))</f>
        <v/>
      </c>
      <c r="I275" s="17">
        <f>IF(OR($B$9="",50&gt;$H$9),"",IF($D275&lt;=TODAY(),"Vencida","A vencer"))</f>
        <v/>
      </c>
      <c r="J275" s="30">
        <f>IF($D275="","",EOMONTH($D275,0))</f>
        <v/>
      </c>
    </row>
    <row r="276">
      <c r="A276" s="24">
        <f>IF($B$9="","",$A$9)</f>
        <v/>
      </c>
      <c r="B276" s="9">
        <f>IF($B$9="","",$B$9)</f>
        <v/>
      </c>
      <c r="C276" s="24">
        <f>IF($B$9="","",51)</f>
        <v/>
      </c>
      <c r="D276" s="30">
        <f>IF(OR($B$9="",51&gt;$H$9),"",EDATE($J$9,50))</f>
        <v/>
      </c>
      <c r="E276" s="18">
        <f>IF(OR($B$9="",51&gt;$H$9),"",IF($I$9="SAC",ROUND($E$9/$H$9+$F276,2),ROUND(($E$9*$G$9*(1+$G$9)^$H$9/((1+$G$9)^$H$9-1)),2)))</f>
        <v/>
      </c>
      <c r="F276" s="18">
        <f>IF(OR($B$9="",51&gt;$H$9),"",ROUND($H275*$G$9,2))</f>
        <v/>
      </c>
      <c r="G276" s="18">
        <f>IF(OR($B$9="",51&gt;$H$9),"",IF($I$9="SAC",ROUND($E$9/$H$9,2),ROUND($E276-$F276,2)))</f>
        <v/>
      </c>
      <c r="H276" s="18">
        <f>IF(OR($B$9="",51&gt;$H$9),"",ROUND(MAX(0,$H275-$G276),2))</f>
        <v/>
      </c>
      <c r="I276" s="17">
        <f>IF(OR($B$9="",51&gt;$H$9),"",IF($D276&lt;=TODAY(),"Vencida","A vencer"))</f>
        <v/>
      </c>
      <c r="J276" s="30">
        <f>IF($D276="","",EOMONTH($D276,0))</f>
        <v/>
      </c>
    </row>
    <row r="277">
      <c r="A277" s="24">
        <f>IF($B$9="","",$A$9)</f>
        <v/>
      </c>
      <c r="B277" s="9">
        <f>IF($B$9="","",$B$9)</f>
        <v/>
      </c>
      <c r="C277" s="24">
        <f>IF($B$9="","",52)</f>
        <v/>
      </c>
      <c r="D277" s="30">
        <f>IF(OR($B$9="",52&gt;$H$9),"",EDATE($J$9,51))</f>
        <v/>
      </c>
      <c r="E277" s="18">
        <f>IF(OR($B$9="",52&gt;$H$9),"",IF($I$9="SAC",ROUND($E$9/$H$9+$F277,2),ROUND(($E$9*$G$9*(1+$G$9)^$H$9/((1+$G$9)^$H$9-1)),2)))</f>
        <v/>
      </c>
      <c r="F277" s="18">
        <f>IF(OR($B$9="",52&gt;$H$9),"",ROUND($H276*$G$9,2))</f>
        <v/>
      </c>
      <c r="G277" s="18">
        <f>IF(OR($B$9="",52&gt;$H$9),"",IF($I$9="SAC",ROUND($E$9/$H$9,2),ROUND($E277-$F277,2)))</f>
        <v/>
      </c>
      <c r="H277" s="18">
        <f>IF(OR($B$9="",52&gt;$H$9),"",ROUND(MAX(0,$H276-$G277),2))</f>
        <v/>
      </c>
      <c r="I277" s="17">
        <f>IF(OR($B$9="",52&gt;$H$9),"",IF($D277&lt;=TODAY(),"Vencida","A vencer"))</f>
        <v/>
      </c>
      <c r="J277" s="30">
        <f>IF($D277="","",EOMONTH($D277,0))</f>
        <v/>
      </c>
    </row>
    <row r="278">
      <c r="A278" s="24">
        <f>IF($B$9="","",$A$9)</f>
        <v/>
      </c>
      <c r="B278" s="9">
        <f>IF($B$9="","",$B$9)</f>
        <v/>
      </c>
      <c r="C278" s="24">
        <f>IF($B$9="","",53)</f>
        <v/>
      </c>
      <c r="D278" s="30">
        <f>IF(OR($B$9="",53&gt;$H$9),"",EDATE($J$9,52))</f>
        <v/>
      </c>
      <c r="E278" s="18">
        <f>IF(OR($B$9="",53&gt;$H$9),"",IF($I$9="SAC",ROUND($E$9/$H$9+$F278,2),ROUND(($E$9*$G$9*(1+$G$9)^$H$9/((1+$G$9)^$H$9-1)),2)))</f>
        <v/>
      </c>
      <c r="F278" s="18">
        <f>IF(OR($B$9="",53&gt;$H$9),"",ROUND($H277*$G$9,2))</f>
        <v/>
      </c>
      <c r="G278" s="18">
        <f>IF(OR($B$9="",53&gt;$H$9),"",IF($I$9="SAC",ROUND($E$9/$H$9,2),ROUND($E278-$F278,2)))</f>
        <v/>
      </c>
      <c r="H278" s="18">
        <f>IF(OR($B$9="",53&gt;$H$9),"",ROUND(MAX(0,$H277-$G278),2))</f>
        <v/>
      </c>
      <c r="I278" s="17">
        <f>IF(OR($B$9="",53&gt;$H$9),"",IF($D278&lt;=TODAY(),"Vencida","A vencer"))</f>
        <v/>
      </c>
      <c r="J278" s="30">
        <f>IF($D278="","",EOMONTH($D278,0))</f>
        <v/>
      </c>
    </row>
    <row r="279">
      <c r="A279" s="24">
        <f>IF($B$9="","",$A$9)</f>
        <v/>
      </c>
      <c r="B279" s="9">
        <f>IF($B$9="","",$B$9)</f>
        <v/>
      </c>
      <c r="C279" s="24">
        <f>IF($B$9="","",54)</f>
        <v/>
      </c>
      <c r="D279" s="30">
        <f>IF(OR($B$9="",54&gt;$H$9),"",EDATE($J$9,53))</f>
        <v/>
      </c>
      <c r="E279" s="18">
        <f>IF(OR($B$9="",54&gt;$H$9),"",IF($I$9="SAC",ROUND($E$9/$H$9+$F279,2),ROUND(($E$9*$G$9*(1+$G$9)^$H$9/((1+$G$9)^$H$9-1)),2)))</f>
        <v/>
      </c>
      <c r="F279" s="18">
        <f>IF(OR($B$9="",54&gt;$H$9),"",ROUND($H278*$G$9,2))</f>
        <v/>
      </c>
      <c r="G279" s="18">
        <f>IF(OR($B$9="",54&gt;$H$9),"",IF($I$9="SAC",ROUND($E$9/$H$9,2),ROUND($E279-$F279,2)))</f>
        <v/>
      </c>
      <c r="H279" s="18">
        <f>IF(OR($B$9="",54&gt;$H$9),"",ROUND(MAX(0,$H278-$G279),2))</f>
        <v/>
      </c>
      <c r="I279" s="17">
        <f>IF(OR($B$9="",54&gt;$H$9),"",IF($D279&lt;=TODAY(),"Vencida","A vencer"))</f>
        <v/>
      </c>
      <c r="J279" s="30">
        <f>IF($D279="","",EOMONTH($D279,0))</f>
        <v/>
      </c>
    </row>
    <row r="280">
      <c r="A280" s="24">
        <f>IF($B$9="","",$A$9)</f>
        <v/>
      </c>
      <c r="B280" s="9">
        <f>IF($B$9="","",$B$9)</f>
        <v/>
      </c>
      <c r="C280" s="24">
        <f>IF($B$9="","",55)</f>
        <v/>
      </c>
      <c r="D280" s="30">
        <f>IF(OR($B$9="",55&gt;$H$9),"",EDATE($J$9,54))</f>
        <v/>
      </c>
      <c r="E280" s="18">
        <f>IF(OR($B$9="",55&gt;$H$9),"",IF($I$9="SAC",ROUND($E$9/$H$9+$F280,2),ROUND(($E$9*$G$9*(1+$G$9)^$H$9/((1+$G$9)^$H$9-1)),2)))</f>
        <v/>
      </c>
      <c r="F280" s="18">
        <f>IF(OR($B$9="",55&gt;$H$9),"",ROUND($H279*$G$9,2))</f>
        <v/>
      </c>
      <c r="G280" s="18">
        <f>IF(OR($B$9="",55&gt;$H$9),"",IF($I$9="SAC",ROUND($E$9/$H$9,2),ROUND($E280-$F280,2)))</f>
        <v/>
      </c>
      <c r="H280" s="18">
        <f>IF(OR($B$9="",55&gt;$H$9),"",ROUND(MAX(0,$H279-$G280),2))</f>
        <v/>
      </c>
      <c r="I280" s="17">
        <f>IF(OR($B$9="",55&gt;$H$9),"",IF($D280&lt;=TODAY(),"Vencida","A vencer"))</f>
        <v/>
      </c>
      <c r="J280" s="30">
        <f>IF($D280="","",EOMONTH($D280,0))</f>
        <v/>
      </c>
    </row>
    <row r="281">
      <c r="A281" s="24">
        <f>IF($B$9="","",$A$9)</f>
        <v/>
      </c>
      <c r="B281" s="9">
        <f>IF($B$9="","",$B$9)</f>
        <v/>
      </c>
      <c r="C281" s="24">
        <f>IF($B$9="","",56)</f>
        <v/>
      </c>
      <c r="D281" s="30">
        <f>IF(OR($B$9="",56&gt;$H$9),"",EDATE($J$9,55))</f>
        <v/>
      </c>
      <c r="E281" s="18">
        <f>IF(OR($B$9="",56&gt;$H$9),"",IF($I$9="SAC",ROUND($E$9/$H$9+$F281,2),ROUND(($E$9*$G$9*(1+$G$9)^$H$9/((1+$G$9)^$H$9-1)),2)))</f>
        <v/>
      </c>
      <c r="F281" s="18">
        <f>IF(OR($B$9="",56&gt;$H$9),"",ROUND($H280*$G$9,2))</f>
        <v/>
      </c>
      <c r="G281" s="18">
        <f>IF(OR($B$9="",56&gt;$H$9),"",IF($I$9="SAC",ROUND($E$9/$H$9,2),ROUND($E281-$F281,2)))</f>
        <v/>
      </c>
      <c r="H281" s="18">
        <f>IF(OR($B$9="",56&gt;$H$9),"",ROUND(MAX(0,$H280-$G281),2))</f>
        <v/>
      </c>
      <c r="I281" s="17">
        <f>IF(OR($B$9="",56&gt;$H$9),"",IF($D281&lt;=TODAY(),"Vencida","A vencer"))</f>
        <v/>
      </c>
      <c r="J281" s="30">
        <f>IF($D281="","",EOMONTH($D281,0))</f>
        <v/>
      </c>
    </row>
    <row r="282">
      <c r="A282" s="24">
        <f>IF($B$9="","",$A$9)</f>
        <v/>
      </c>
      <c r="B282" s="9">
        <f>IF($B$9="","",$B$9)</f>
        <v/>
      </c>
      <c r="C282" s="24">
        <f>IF($B$9="","",57)</f>
        <v/>
      </c>
      <c r="D282" s="30">
        <f>IF(OR($B$9="",57&gt;$H$9),"",EDATE($J$9,56))</f>
        <v/>
      </c>
      <c r="E282" s="18">
        <f>IF(OR($B$9="",57&gt;$H$9),"",IF($I$9="SAC",ROUND($E$9/$H$9+$F282,2),ROUND(($E$9*$G$9*(1+$G$9)^$H$9/((1+$G$9)^$H$9-1)),2)))</f>
        <v/>
      </c>
      <c r="F282" s="18">
        <f>IF(OR($B$9="",57&gt;$H$9),"",ROUND($H281*$G$9,2))</f>
        <v/>
      </c>
      <c r="G282" s="18">
        <f>IF(OR($B$9="",57&gt;$H$9),"",IF($I$9="SAC",ROUND($E$9/$H$9,2),ROUND($E282-$F282,2)))</f>
        <v/>
      </c>
      <c r="H282" s="18">
        <f>IF(OR($B$9="",57&gt;$H$9),"",ROUND(MAX(0,$H281-$G282),2))</f>
        <v/>
      </c>
      <c r="I282" s="17">
        <f>IF(OR($B$9="",57&gt;$H$9),"",IF($D282&lt;=TODAY(),"Vencida","A vencer"))</f>
        <v/>
      </c>
      <c r="J282" s="30">
        <f>IF($D282="","",EOMONTH($D282,0))</f>
        <v/>
      </c>
    </row>
    <row r="283">
      <c r="A283" s="24">
        <f>IF($B$9="","",$A$9)</f>
        <v/>
      </c>
      <c r="B283" s="9">
        <f>IF($B$9="","",$B$9)</f>
        <v/>
      </c>
      <c r="C283" s="24">
        <f>IF($B$9="","",58)</f>
        <v/>
      </c>
      <c r="D283" s="30">
        <f>IF(OR($B$9="",58&gt;$H$9),"",EDATE($J$9,57))</f>
        <v/>
      </c>
      <c r="E283" s="18">
        <f>IF(OR($B$9="",58&gt;$H$9),"",IF($I$9="SAC",ROUND($E$9/$H$9+$F283,2),ROUND(($E$9*$G$9*(1+$G$9)^$H$9/((1+$G$9)^$H$9-1)),2)))</f>
        <v/>
      </c>
      <c r="F283" s="18">
        <f>IF(OR($B$9="",58&gt;$H$9),"",ROUND($H282*$G$9,2))</f>
        <v/>
      </c>
      <c r="G283" s="18">
        <f>IF(OR($B$9="",58&gt;$H$9),"",IF($I$9="SAC",ROUND($E$9/$H$9,2),ROUND($E283-$F283,2)))</f>
        <v/>
      </c>
      <c r="H283" s="18">
        <f>IF(OR($B$9="",58&gt;$H$9),"",ROUND(MAX(0,$H282-$G283),2))</f>
        <v/>
      </c>
      <c r="I283" s="17">
        <f>IF(OR($B$9="",58&gt;$H$9),"",IF($D283&lt;=TODAY(),"Vencida","A vencer"))</f>
        <v/>
      </c>
      <c r="J283" s="30">
        <f>IF($D283="","",EOMONTH($D283,0))</f>
        <v/>
      </c>
    </row>
    <row r="284">
      <c r="A284" s="24">
        <f>IF($B$9="","",$A$9)</f>
        <v/>
      </c>
      <c r="B284" s="9">
        <f>IF($B$9="","",$B$9)</f>
        <v/>
      </c>
      <c r="C284" s="24">
        <f>IF($B$9="","",59)</f>
        <v/>
      </c>
      <c r="D284" s="30">
        <f>IF(OR($B$9="",59&gt;$H$9),"",EDATE($J$9,58))</f>
        <v/>
      </c>
      <c r="E284" s="18">
        <f>IF(OR($B$9="",59&gt;$H$9),"",IF($I$9="SAC",ROUND($E$9/$H$9+$F284,2),ROUND(($E$9*$G$9*(1+$G$9)^$H$9/((1+$G$9)^$H$9-1)),2)))</f>
        <v/>
      </c>
      <c r="F284" s="18">
        <f>IF(OR($B$9="",59&gt;$H$9),"",ROUND($H283*$G$9,2))</f>
        <v/>
      </c>
      <c r="G284" s="18">
        <f>IF(OR($B$9="",59&gt;$H$9),"",IF($I$9="SAC",ROUND($E$9/$H$9,2),ROUND($E284-$F284,2)))</f>
        <v/>
      </c>
      <c r="H284" s="18">
        <f>IF(OR($B$9="",59&gt;$H$9),"",ROUND(MAX(0,$H283-$G284),2))</f>
        <v/>
      </c>
      <c r="I284" s="17">
        <f>IF(OR($B$9="",59&gt;$H$9),"",IF($D284&lt;=TODAY(),"Vencida","A vencer"))</f>
        <v/>
      </c>
      <c r="J284" s="30">
        <f>IF($D284="","",EOMONTH($D284,0))</f>
        <v/>
      </c>
    </row>
    <row r="285">
      <c r="A285" s="24">
        <f>IF($B$9="","",$A$9)</f>
        <v/>
      </c>
      <c r="B285" s="9">
        <f>IF($B$9="","",$B$9)</f>
        <v/>
      </c>
      <c r="C285" s="24">
        <f>IF($B$9="","",60)</f>
        <v/>
      </c>
      <c r="D285" s="30">
        <f>IF(OR($B$9="",60&gt;$H$9),"",EDATE($J$9,59))</f>
        <v/>
      </c>
      <c r="E285" s="18">
        <f>IF(OR($B$9="",60&gt;$H$9),"",IF($I$9="SAC",ROUND($E$9/$H$9+$F285,2),ROUND(($E$9*$G$9*(1+$G$9)^$H$9/((1+$G$9)^$H$9-1)),2)))</f>
        <v/>
      </c>
      <c r="F285" s="18">
        <f>IF(OR($B$9="",60&gt;$H$9),"",ROUND($H284*$G$9,2))</f>
        <v/>
      </c>
      <c r="G285" s="18">
        <f>IF(OR($B$9="",60&gt;$H$9),"",IF($I$9="SAC",ROUND($E$9/$H$9,2),ROUND($E285-$F285,2)))</f>
        <v/>
      </c>
      <c r="H285" s="18">
        <f>IF(OR($B$9="",60&gt;$H$9),"",ROUND(MAX(0,$H284-$G285),2))</f>
        <v/>
      </c>
      <c r="I285" s="17">
        <f>IF(OR($B$9="",60&gt;$H$9),"",IF($D285&lt;=TODAY(),"Vencida","A vencer"))</f>
        <v/>
      </c>
      <c r="J285" s="30">
        <f>IF($D285="","",EOMONTH($D285,0))</f>
        <v/>
      </c>
    </row>
    <row r="286">
      <c r="A286" s="24">
        <f>IF($B$10="","",$A$10)</f>
        <v/>
      </c>
      <c r="B286" s="9">
        <f>IF($B$10="","",$B$10)</f>
        <v/>
      </c>
      <c r="C286" s="24">
        <f>IF($B$10="","",1)</f>
        <v/>
      </c>
      <c r="D286" s="30">
        <f>IF(OR($B$10="",1&gt;$H$10),"",EDATE($J$10,0))</f>
        <v/>
      </c>
      <c r="E286" s="18">
        <f>IF(OR($B$10="",1&gt;$H$10),"",IF($I$10="SAC",ROUND($E$10/$H$10+$F286,2),ROUND(($E$10*$G$10*(1+$G$10)^$H$10/((1+$G$10)^$H$10-1)),2)))</f>
        <v/>
      </c>
      <c r="F286" s="18">
        <f>IF(OR($B$10="",1&gt;$H$10),"",ROUND($E$10*$G$10,2))</f>
        <v/>
      </c>
      <c r="G286" s="18">
        <f>IF(OR($B$10="",1&gt;$H$10),"",IF($I$10="SAC",ROUND($E$10/$H$10,2),ROUND($E286-$F286,2)))</f>
        <v/>
      </c>
      <c r="H286" s="18">
        <f>IF(OR($B$10="",1&gt;$H$10),"",ROUND($E$10-$G286,2))</f>
        <v/>
      </c>
      <c r="I286" s="17">
        <f>IF(OR($B$10="",1&gt;$H$10),"",IF($D286&lt;=TODAY(),"Vencida","A vencer"))</f>
        <v/>
      </c>
      <c r="J286" s="30">
        <f>IF($D286="","",EOMONTH($D286,0))</f>
        <v/>
      </c>
    </row>
    <row r="287">
      <c r="A287" s="24">
        <f>IF($B$10="","",$A$10)</f>
        <v/>
      </c>
      <c r="B287" s="9">
        <f>IF($B$10="","",$B$10)</f>
        <v/>
      </c>
      <c r="C287" s="24">
        <f>IF($B$10="","",2)</f>
        <v/>
      </c>
      <c r="D287" s="30">
        <f>IF(OR($B$10="",2&gt;$H$10),"",EDATE($J$10,1))</f>
        <v/>
      </c>
      <c r="E287" s="18">
        <f>IF(OR($B$10="",2&gt;$H$10),"",IF($I$10="SAC",ROUND($E$10/$H$10+$F287,2),ROUND(($E$10*$G$10*(1+$G$10)^$H$10/((1+$G$10)^$H$10-1)),2)))</f>
        <v/>
      </c>
      <c r="F287" s="18">
        <f>IF(OR($B$10="",2&gt;$H$10),"",ROUND($H286*$G$10,2))</f>
        <v/>
      </c>
      <c r="G287" s="18">
        <f>IF(OR($B$10="",2&gt;$H$10),"",IF($I$10="SAC",ROUND($E$10/$H$10,2),ROUND($E287-$F287,2)))</f>
        <v/>
      </c>
      <c r="H287" s="18">
        <f>IF(OR($B$10="",2&gt;$H$10),"",ROUND(MAX(0,$H286-$G287),2))</f>
        <v/>
      </c>
      <c r="I287" s="17">
        <f>IF(OR($B$10="",2&gt;$H$10),"",IF($D287&lt;=TODAY(),"Vencida","A vencer"))</f>
        <v/>
      </c>
      <c r="J287" s="30">
        <f>IF($D287="","",EOMONTH($D287,0))</f>
        <v/>
      </c>
    </row>
    <row r="288">
      <c r="A288" s="24">
        <f>IF($B$10="","",$A$10)</f>
        <v/>
      </c>
      <c r="B288" s="9">
        <f>IF($B$10="","",$B$10)</f>
        <v/>
      </c>
      <c r="C288" s="24">
        <f>IF($B$10="","",3)</f>
        <v/>
      </c>
      <c r="D288" s="30">
        <f>IF(OR($B$10="",3&gt;$H$10),"",EDATE($J$10,2))</f>
        <v/>
      </c>
      <c r="E288" s="18">
        <f>IF(OR($B$10="",3&gt;$H$10),"",IF($I$10="SAC",ROUND($E$10/$H$10+$F288,2),ROUND(($E$10*$G$10*(1+$G$10)^$H$10/((1+$G$10)^$H$10-1)),2)))</f>
        <v/>
      </c>
      <c r="F288" s="18">
        <f>IF(OR($B$10="",3&gt;$H$10),"",ROUND($H287*$G$10,2))</f>
        <v/>
      </c>
      <c r="G288" s="18">
        <f>IF(OR($B$10="",3&gt;$H$10),"",IF($I$10="SAC",ROUND($E$10/$H$10,2),ROUND($E288-$F288,2)))</f>
        <v/>
      </c>
      <c r="H288" s="18">
        <f>IF(OR($B$10="",3&gt;$H$10),"",ROUND(MAX(0,$H287-$G288),2))</f>
        <v/>
      </c>
      <c r="I288" s="17">
        <f>IF(OR($B$10="",3&gt;$H$10),"",IF($D288&lt;=TODAY(),"Vencida","A vencer"))</f>
        <v/>
      </c>
      <c r="J288" s="30">
        <f>IF($D288="","",EOMONTH($D288,0))</f>
        <v/>
      </c>
    </row>
    <row r="289">
      <c r="A289" s="24">
        <f>IF($B$10="","",$A$10)</f>
        <v/>
      </c>
      <c r="B289" s="9">
        <f>IF($B$10="","",$B$10)</f>
        <v/>
      </c>
      <c r="C289" s="24">
        <f>IF($B$10="","",4)</f>
        <v/>
      </c>
      <c r="D289" s="30">
        <f>IF(OR($B$10="",4&gt;$H$10),"",EDATE($J$10,3))</f>
        <v/>
      </c>
      <c r="E289" s="18">
        <f>IF(OR($B$10="",4&gt;$H$10),"",IF($I$10="SAC",ROUND($E$10/$H$10+$F289,2),ROUND(($E$10*$G$10*(1+$G$10)^$H$10/((1+$G$10)^$H$10-1)),2)))</f>
        <v/>
      </c>
      <c r="F289" s="18">
        <f>IF(OR($B$10="",4&gt;$H$10),"",ROUND($H288*$G$10,2))</f>
        <v/>
      </c>
      <c r="G289" s="18">
        <f>IF(OR($B$10="",4&gt;$H$10),"",IF($I$10="SAC",ROUND($E$10/$H$10,2),ROUND($E289-$F289,2)))</f>
        <v/>
      </c>
      <c r="H289" s="18">
        <f>IF(OR($B$10="",4&gt;$H$10),"",ROUND(MAX(0,$H288-$G289),2))</f>
        <v/>
      </c>
      <c r="I289" s="17">
        <f>IF(OR($B$10="",4&gt;$H$10),"",IF($D289&lt;=TODAY(),"Vencida","A vencer"))</f>
        <v/>
      </c>
      <c r="J289" s="30">
        <f>IF($D289="","",EOMONTH($D289,0))</f>
        <v/>
      </c>
    </row>
    <row r="290">
      <c r="A290" s="24">
        <f>IF($B$10="","",$A$10)</f>
        <v/>
      </c>
      <c r="B290" s="9">
        <f>IF($B$10="","",$B$10)</f>
        <v/>
      </c>
      <c r="C290" s="24">
        <f>IF($B$10="","",5)</f>
        <v/>
      </c>
      <c r="D290" s="30">
        <f>IF(OR($B$10="",5&gt;$H$10),"",EDATE($J$10,4))</f>
        <v/>
      </c>
      <c r="E290" s="18">
        <f>IF(OR($B$10="",5&gt;$H$10),"",IF($I$10="SAC",ROUND($E$10/$H$10+$F290,2),ROUND(($E$10*$G$10*(1+$G$10)^$H$10/((1+$G$10)^$H$10-1)),2)))</f>
        <v/>
      </c>
      <c r="F290" s="18">
        <f>IF(OR($B$10="",5&gt;$H$10),"",ROUND($H289*$G$10,2))</f>
        <v/>
      </c>
      <c r="G290" s="18">
        <f>IF(OR($B$10="",5&gt;$H$10),"",IF($I$10="SAC",ROUND($E$10/$H$10,2),ROUND($E290-$F290,2)))</f>
        <v/>
      </c>
      <c r="H290" s="18">
        <f>IF(OR($B$10="",5&gt;$H$10),"",ROUND(MAX(0,$H289-$G290),2))</f>
        <v/>
      </c>
      <c r="I290" s="17">
        <f>IF(OR($B$10="",5&gt;$H$10),"",IF($D290&lt;=TODAY(),"Vencida","A vencer"))</f>
        <v/>
      </c>
      <c r="J290" s="30">
        <f>IF($D290="","",EOMONTH($D290,0))</f>
        <v/>
      </c>
    </row>
    <row r="291">
      <c r="A291" s="24">
        <f>IF($B$10="","",$A$10)</f>
        <v/>
      </c>
      <c r="B291" s="9">
        <f>IF($B$10="","",$B$10)</f>
        <v/>
      </c>
      <c r="C291" s="24">
        <f>IF($B$10="","",6)</f>
        <v/>
      </c>
      <c r="D291" s="30">
        <f>IF(OR($B$10="",6&gt;$H$10),"",EDATE($J$10,5))</f>
        <v/>
      </c>
      <c r="E291" s="18">
        <f>IF(OR($B$10="",6&gt;$H$10),"",IF($I$10="SAC",ROUND($E$10/$H$10+$F291,2),ROUND(($E$10*$G$10*(1+$G$10)^$H$10/((1+$G$10)^$H$10-1)),2)))</f>
        <v/>
      </c>
      <c r="F291" s="18">
        <f>IF(OR($B$10="",6&gt;$H$10),"",ROUND($H290*$G$10,2))</f>
        <v/>
      </c>
      <c r="G291" s="18">
        <f>IF(OR($B$10="",6&gt;$H$10),"",IF($I$10="SAC",ROUND($E$10/$H$10,2),ROUND($E291-$F291,2)))</f>
        <v/>
      </c>
      <c r="H291" s="18">
        <f>IF(OR($B$10="",6&gt;$H$10),"",ROUND(MAX(0,$H290-$G291),2))</f>
        <v/>
      </c>
      <c r="I291" s="17">
        <f>IF(OR($B$10="",6&gt;$H$10),"",IF($D291&lt;=TODAY(),"Vencida","A vencer"))</f>
        <v/>
      </c>
      <c r="J291" s="30">
        <f>IF($D291="","",EOMONTH($D291,0))</f>
        <v/>
      </c>
    </row>
    <row r="292">
      <c r="A292" s="24">
        <f>IF($B$10="","",$A$10)</f>
        <v/>
      </c>
      <c r="B292" s="9">
        <f>IF($B$10="","",$B$10)</f>
        <v/>
      </c>
      <c r="C292" s="24">
        <f>IF($B$10="","",7)</f>
        <v/>
      </c>
      <c r="D292" s="30">
        <f>IF(OR($B$10="",7&gt;$H$10),"",EDATE($J$10,6))</f>
        <v/>
      </c>
      <c r="E292" s="18">
        <f>IF(OR($B$10="",7&gt;$H$10),"",IF($I$10="SAC",ROUND($E$10/$H$10+$F292,2),ROUND(($E$10*$G$10*(1+$G$10)^$H$10/((1+$G$10)^$H$10-1)),2)))</f>
        <v/>
      </c>
      <c r="F292" s="18">
        <f>IF(OR($B$10="",7&gt;$H$10),"",ROUND($H291*$G$10,2))</f>
        <v/>
      </c>
      <c r="G292" s="18">
        <f>IF(OR($B$10="",7&gt;$H$10),"",IF($I$10="SAC",ROUND($E$10/$H$10,2),ROUND($E292-$F292,2)))</f>
        <v/>
      </c>
      <c r="H292" s="18">
        <f>IF(OR($B$10="",7&gt;$H$10),"",ROUND(MAX(0,$H291-$G292),2))</f>
        <v/>
      </c>
      <c r="I292" s="17">
        <f>IF(OR($B$10="",7&gt;$H$10),"",IF($D292&lt;=TODAY(),"Vencida","A vencer"))</f>
        <v/>
      </c>
      <c r="J292" s="30">
        <f>IF($D292="","",EOMONTH($D292,0))</f>
        <v/>
      </c>
    </row>
    <row r="293">
      <c r="A293" s="24">
        <f>IF($B$10="","",$A$10)</f>
        <v/>
      </c>
      <c r="B293" s="9">
        <f>IF($B$10="","",$B$10)</f>
        <v/>
      </c>
      <c r="C293" s="24">
        <f>IF($B$10="","",8)</f>
        <v/>
      </c>
      <c r="D293" s="30">
        <f>IF(OR($B$10="",8&gt;$H$10),"",EDATE($J$10,7))</f>
        <v/>
      </c>
      <c r="E293" s="18">
        <f>IF(OR($B$10="",8&gt;$H$10),"",IF($I$10="SAC",ROUND($E$10/$H$10+$F293,2),ROUND(($E$10*$G$10*(1+$G$10)^$H$10/((1+$G$10)^$H$10-1)),2)))</f>
        <v/>
      </c>
      <c r="F293" s="18">
        <f>IF(OR($B$10="",8&gt;$H$10),"",ROUND($H292*$G$10,2))</f>
        <v/>
      </c>
      <c r="G293" s="18">
        <f>IF(OR($B$10="",8&gt;$H$10),"",IF($I$10="SAC",ROUND($E$10/$H$10,2),ROUND($E293-$F293,2)))</f>
        <v/>
      </c>
      <c r="H293" s="18">
        <f>IF(OR($B$10="",8&gt;$H$10),"",ROUND(MAX(0,$H292-$G293),2))</f>
        <v/>
      </c>
      <c r="I293" s="17">
        <f>IF(OR($B$10="",8&gt;$H$10),"",IF($D293&lt;=TODAY(),"Vencida","A vencer"))</f>
        <v/>
      </c>
      <c r="J293" s="30">
        <f>IF($D293="","",EOMONTH($D293,0))</f>
        <v/>
      </c>
    </row>
    <row r="294">
      <c r="A294" s="24">
        <f>IF($B$10="","",$A$10)</f>
        <v/>
      </c>
      <c r="B294" s="9">
        <f>IF($B$10="","",$B$10)</f>
        <v/>
      </c>
      <c r="C294" s="24">
        <f>IF($B$10="","",9)</f>
        <v/>
      </c>
      <c r="D294" s="30">
        <f>IF(OR($B$10="",9&gt;$H$10),"",EDATE($J$10,8))</f>
        <v/>
      </c>
      <c r="E294" s="18">
        <f>IF(OR($B$10="",9&gt;$H$10),"",IF($I$10="SAC",ROUND($E$10/$H$10+$F294,2),ROUND(($E$10*$G$10*(1+$G$10)^$H$10/((1+$G$10)^$H$10-1)),2)))</f>
        <v/>
      </c>
      <c r="F294" s="18">
        <f>IF(OR($B$10="",9&gt;$H$10),"",ROUND($H293*$G$10,2))</f>
        <v/>
      </c>
      <c r="G294" s="18">
        <f>IF(OR($B$10="",9&gt;$H$10),"",IF($I$10="SAC",ROUND($E$10/$H$10,2),ROUND($E294-$F294,2)))</f>
        <v/>
      </c>
      <c r="H294" s="18">
        <f>IF(OR($B$10="",9&gt;$H$10),"",ROUND(MAX(0,$H293-$G294),2))</f>
        <v/>
      </c>
      <c r="I294" s="17">
        <f>IF(OR($B$10="",9&gt;$H$10),"",IF($D294&lt;=TODAY(),"Vencida","A vencer"))</f>
        <v/>
      </c>
      <c r="J294" s="30">
        <f>IF($D294="","",EOMONTH($D294,0))</f>
        <v/>
      </c>
    </row>
    <row r="295">
      <c r="A295" s="24">
        <f>IF($B$10="","",$A$10)</f>
        <v/>
      </c>
      <c r="B295" s="9">
        <f>IF($B$10="","",$B$10)</f>
        <v/>
      </c>
      <c r="C295" s="24">
        <f>IF($B$10="","",10)</f>
        <v/>
      </c>
      <c r="D295" s="30">
        <f>IF(OR($B$10="",10&gt;$H$10),"",EDATE($J$10,9))</f>
        <v/>
      </c>
      <c r="E295" s="18">
        <f>IF(OR($B$10="",10&gt;$H$10),"",IF($I$10="SAC",ROUND($E$10/$H$10+$F295,2),ROUND(($E$10*$G$10*(1+$G$10)^$H$10/((1+$G$10)^$H$10-1)),2)))</f>
        <v/>
      </c>
      <c r="F295" s="18">
        <f>IF(OR($B$10="",10&gt;$H$10),"",ROUND($H294*$G$10,2))</f>
        <v/>
      </c>
      <c r="G295" s="18">
        <f>IF(OR($B$10="",10&gt;$H$10),"",IF($I$10="SAC",ROUND($E$10/$H$10,2),ROUND($E295-$F295,2)))</f>
        <v/>
      </c>
      <c r="H295" s="18">
        <f>IF(OR($B$10="",10&gt;$H$10),"",ROUND(MAX(0,$H294-$G295),2))</f>
        <v/>
      </c>
      <c r="I295" s="17">
        <f>IF(OR($B$10="",10&gt;$H$10),"",IF($D295&lt;=TODAY(),"Vencida","A vencer"))</f>
        <v/>
      </c>
      <c r="J295" s="30">
        <f>IF($D295="","",EOMONTH($D295,0))</f>
        <v/>
      </c>
    </row>
    <row r="296">
      <c r="A296" s="24">
        <f>IF($B$10="","",$A$10)</f>
        <v/>
      </c>
      <c r="B296" s="9">
        <f>IF($B$10="","",$B$10)</f>
        <v/>
      </c>
      <c r="C296" s="24">
        <f>IF($B$10="","",11)</f>
        <v/>
      </c>
      <c r="D296" s="30">
        <f>IF(OR($B$10="",11&gt;$H$10),"",EDATE($J$10,10))</f>
        <v/>
      </c>
      <c r="E296" s="18">
        <f>IF(OR($B$10="",11&gt;$H$10),"",IF($I$10="SAC",ROUND($E$10/$H$10+$F296,2),ROUND(($E$10*$G$10*(1+$G$10)^$H$10/((1+$G$10)^$H$10-1)),2)))</f>
        <v/>
      </c>
      <c r="F296" s="18">
        <f>IF(OR($B$10="",11&gt;$H$10),"",ROUND($H295*$G$10,2))</f>
        <v/>
      </c>
      <c r="G296" s="18">
        <f>IF(OR($B$10="",11&gt;$H$10),"",IF($I$10="SAC",ROUND($E$10/$H$10,2),ROUND($E296-$F296,2)))</f>
        <v/>
      </c>
      <c r="H296" s="18">
        <f>IF(OR($B$10="",11&gt;$H$10),"",ROUND(MAX(0,$H295-$G296),2))</f>
        <v/>
      </c>
      <c r="I296" s="17">
        <f>IF(OR($B$10="",11&gt;$H$10),"",IF($D296&lt;=TODAY(),"Vencida","A vencer"))</f>
        <v/>
      </c>
      <c r="J296" s="30">
        <f>IF($D296="","",EOMONTH($D296,0))</f>
        <v/>
      </c>
    </row>
    <row r="297">
      <c r="A297" s="24">
        <f>IF($B$10="","",$A$10)</f>
        <v/>
      </c>
      <c r="B297" s="9">
        <f>IF($B$10="","",$B$10)</f>
        <v/>
      </c>
      <c r="C297" s="24">
        <f>IF($B$10="","",12)</f>
        <v/>
      </c>
      <c r="D297" s="30">
        <f>IF(OR($B$10="",12&gt;$H$10),"",EDATE($J$10,11))</f>
        <v/>
      </c>
      <c r="E297" s="18">
        <f>IF(OR($B$10="",12&gt;$H$10),"",IF($I$10="SAC",ROUND($E$10/$H$10+$F297,2),ROUND(($E$10*$G$10*(1+$G$10)^$H$10/((1+$G$10)^$H$10-1)),2)))</f>
        <v/>
      </c>
      <c r="F297" s="18">
        <f>IF(OR($B$10="",12&gt;$H$10),"",ROUND($H296*$G$10,2))</f>
        <v/>
      </c>
      <c r="G297" s="18">
        <f>IF(OR($B$10="",12&gt;$H$10),"",IF($I$10="SAC",ROUND($E$10/$H$10,2),ROUND($E297-$F297,2)))</f>
        <v/>
      </c>
      <c r="H297" s="18">
        <f>IF(OR($B$10="",12&gt;$H$10),"",ROUND(MAX(0,$H296-$G297),2))</f>
        <v/>
      </c>
      <c r="I297" s="17">
        <f>IF(OR($B$10="",12&gt;$H$10),"",IF($D297&lt;=TODAY(),"Vencida","A vencer"))</f>
        <v/>
      </c>
      <c r="J297" s="30">
        <f>IF($D297="","",EOMONTH($D297,0))</f>
        <v/>
      </c>
    </row>
    <row r="298">
      <c r="A298" s="24">
        <f>IF($B$10="","",$A$10)</f>
        <v/>
      </c>
      <c r="B298" s="9">
        <f>IF($B$10="","",$B$10)</f>
        <v/>
      </c>
      <c r="C298" s="24">
        <f>IF($B$10="","",13)</f>
        <v/>
      </c>
      <c r="D298" s="30">
        <f>IF(OR($B$10="",13&gt;$H$10),"",EDATE($J$10,12))</f>
        <v/>
      </c>
      <c r="E298" s="18">
        <f>IF(OR($B$10="",13&gt;$H$10),"",IF($I$10="SAC",ROUND($E$10/$H$10+$F298,2),ROUND(($E$10*$G$10*(1+$G$10)^$H$10/((1+$G$10)^$H$10-1)),2)))</f>
        <v/>
      </c>
      <c r="F298" s="18">
        <f>IF(OR($B$10="",13&gt;$H$10),"",ROUND($H297*$G$10,2))</f>
        <v/>
      </c>
      <c r="G298" s="18">
        <f>IF(OR($B$10="",13&gt;$H$10),"",IF($I$10="SAC",ROUND($E$10/$H$10,2),ROUND($E298-$F298,2)))</f>
        <v/>
      </c>
      <c r="H298" s="18">
        <f>IF(OR($B$10="",13&gt;$H$10),"",ROUND(MAX(0,$H297-$G298),2))</f>
        <v/>
      </c>
      <c r="I298" s="17">
        <f>IF(OR($B$10="",13&gt;$H$10),"",IF($D298&lt;=TODAY(),"Vencida","A vencer"))</f>
        <v/>
      </c>
      <c r="J298" s="30">
        <f>IF($D298="","",EOMONTH($D298,0))</f>
        <v/>
      </c>
    </row>
    <row r="299">
      <c r="A299" s="24">
        <f>IF($B$10="","",$A$10)</f>
        <v/>
      </c>
      <c r="B299" s="9">
        <f>IF($B$10="","",$B$10)</f>
        <v/>
      </c>
      <c r="C299" s="24">
        <f>IF($B$10="","",14)</f>
        <v/>
      </c>
      <c r="D299" s="30">
        <f>IF(OR($B$10="",14&gt;$H$10),"",EDATE($J$10,13))</f>
        <v/>
      </c>
      <c r="E299" s="18">
        <f>IF(OR($B$10="",14&gt;$H$10),"",IF($I$10="SAC",ROUND($E$10/$H$10+$F299,2),ROUND(($E$10*$G$10*(1+$G$10)^$H$10/((1+$G$10)^$H$10-1)),2)))</f>
        <v/>
      </c>
      <c r="F299" s="18">
        <f>IF(OR($B$10="",14&gt;$H$10),"",ROUND($H298*$G$10,2))</f>
        <v/>
      </c>
      <c r="G299" s="18">
        <f>IF(OR($B$10="",14&gt;$H$10),"",IF($I$10="SAC",ROUND($E$10/$H$10,2),ROUND($E299-$F299,2)))</f>
        <v/>
      </c>
      <c r="H299" s="18">
        <f>IF(OR($B$10="",14&gt;$H$10),"",ROUND(MAX(0,$H298-$G299),2))</f>
        <v/>
      </c>
      <c r="I299" s="17">
        <f>IF(OR($B$10="",14&gt;$H$10),"",IF($D299&lt;=TODAY(),"Vencida","A vencer"))</f>
        <v/>
      </c>
      <c r="J299" s="30">
        <f>IF($D299="","",EOMONTH($D299,0))</f>
        <v/>
      </c>
    </row>
    <row r="300">
      <c r="A300" s="24">
        <f>IF($B$10="","",$A$10)</f>
        <v/>
      </c>
      <c r="B300" s="9">
        <f>IF($B$10="","",$B$10)</f>
        <v/>
      </c>
      <c r="C300" s="24">
        <f>IF($B$10="","",15)</f>
        <v/>
      </c>
      <c r="D300" s="30">
        <f>IF(OR($B$10="",15&gt;$H$10),"",EDATE($J$10,14))</f>
        <v/>
      </c>
      <c r="E300" s="18">
        <f>IF(OR($B$10="",15&gt;$H$10),"",IF($I$10="SAC",ROUND($E$10/$H$10+$F300,2),ROUND(($E$10*$G$10*(1+$G$10)^$H$10/((1+$G$10)^$H$10-1)),2)))</f>
        <v/>
      </c>
      <c r="F300" s="18">
        <f>IF(OR($B$10="",15&gt;$H$10),"",ROUND($H299*$G$10,2))</f>
        <v/>
      </c>
      <c r="G300" s="18">
        <f>IF(OR($B$10="",15&gt;$H$10),"",IF($I$10="SAC",ROUND($E$10/$H$10,2),ROUND($E300-$F300,2)))</f>
        <v/>
      </c>
      <c r="H300" s="18">
        <f>IF(OR($B$10="",15&gt;$H$10),"",ROUND(MAX(0,$H299-$G300),2))</f>
        <v/>
      </c>
      <c r="I300" s="17">
        <f>IF(OR($B$10="",15&gt;$H$10),"",IF($D300&lt;=TODAY(),"Vencida","A vencer"))</f>
        <v/>
      </c>
      <c r="J300" s="30">
        <f>IF($D300="","",EOMONTH($D300,0))</f>
        <v/>
      </c>
    </row>
    <row r="301">
      <c r="A301" s="24">
        <f>IF($B$10="","",$A$10)</f>
        <v/>
      </c>
      <c r="B301" s="9">
        <f>IF($B$10="","",$B$10)</f>
        <v/>
      </c>
      <c r="C301" s="24">
        <f>IF($B$10="","",16)</f>
        <v/>
      </c>
      <c r="D301" s="30">
        <f>IF(OR($B$10="",16&gt;$H$10),"",EDATE($J$10,15))</f>
        <v/>
      </c>
      <c r="E301" s="18">
        <f>IF(OR($B$10="",16&gt;$H$10),"",IF($I$10="SAC",ROUND($E$10/$H$10+$F301,2),ROUND(($E$10*$G$10*(1+$G$10)^$H$10/((1+$G$10)^$H$10-1)),2)))</f>
        <v/>
      </c>
      <c r="F301" s="18">
        <f>IF(OR($B$10="",16&gt;$H$10),"",ROUND($H300*$G$10,2))</f>
        <v/>
      </c>
      <c r="G301" s="18">
        <f>IF(OR($B$10="",16&gt;$H$10),"",IF($I$10="SAC",ROUND($E$10/$H$10,2),ROUND($E301-$F301,2)))</f>
        <v/>
      </c>
      <c r="H301" s="18">
        <f>IF(OR($B$10="",16&gt;$H$10),"",ROUND(MAX(0,$H300-$G301),2))</f>
        <v/>
      </c>
      <c r="I301" s="17">
        <f>IF(OR($B$10="",16&gt;$H$10),"",IF($D301&lt;=TODAY(),"Vencida","A vencer"))</f>
        <v/>
      </c>
      <c r="J301" s="30">
        <f>IF($D301="","",EOMONTH($D301,0))</f>
        <v/>
      </c>
    </row>
    <row r="302">
      <c r="A302" s="24">
        <f>IF($B$10="","",$A$10)</f>
        <v/>
      </c>
      <c r="B302" s="9">
        <f>IF($B$10="","",$B$10)</f>
        <v/>
      </c>
      <c r="C302" s="24">
        <f>IF($B$10="","",17)</f>
        <v/>
      </c>
      <c r="D302" s="30">
        <f>IF(OR($B$10="",17&gt;$H$10),"",EDATE($J$10,16))</f>
        <v/>
      </c>
      <c r="E302" s="18">
        <f>IF(OR($B$10="",17&gt;$H$10),"",IF($I$10="SAC",ROUND($E$10/$H$10+$F302,2),ROUND(($E$10*$G$10*(1+$G$10)^$H$10/((1+$G$10)^$H$10-1)),2)))</f>
        <v/>
      </c>
      <c r="F302" s="18">
        <f>IF(OR($B$10="",17&gt;$H$10),"",ROUND($H301*$G$10,2))</f>
        <v/>
      </c>
      <c r="G302" s="18">
        <f>IF(OR($B$10="",17&gt;$H$10),"",IF($I$10="SAC",ROUND($E$10/$H$10,2),ROUND($E302-$F302,2)))</f>
        <v/>
      </c>
      <c r="H302" s="18">
        <f>IF(OR($B$10="",17&gt;$H$10),"",ROUND(MAX(0,$H301-$G302),2))</f>
        <v/>
      </c>
      <c r="I302" s="17">
        <f>IF(OR($B$10="",17&gt;$H$10),"",IF($D302&lt;=TODAY(),"Vencida","A vencer"))</f>
        <v/>
      </c>
      <c r="J302" s="30">
        <f>IF($D302="","",EOMONTH($D302,0))</f>
        <v/>
      </c>
    </row>
    <row r="303">
      <c r="A303" s="24">
        <f>IF($B$10="","",$A$10)</f>
        <v/>
      </c>
      <c r="B303" s="9">
        <f>IF($B$10="","",$B$10)</f>
        <v/>
      </c>
      <c r="C303" s="24">
        <f>IF($B$10="","",18)</f>
        <v/>
      </c>
      <c r="D303" s="30">
        <f>IF(OR($B$10="",18&gt;$H$10),"",EDATE($J$10,17))</f>
        <v/>
      </c>
      <c r="E303" s="18">
        <f>IF(OR($B$10="",18&gt;$H$10),"",IF($I$10="SAC",ROUND($E$10/$H$10+$F303,2),ROUND(($E$10*$G$10*(1+$G$10)^$H$10/((1+$G$10)^$H$10-1)),2)))</f>
        <v/>
      </c>
      <c r="F303" s="18">
        <f>IF(OR($B$10="",18&gt;$H$10),"",ROUND($H302*$G$10,2))</f>
        <v/>
      </c>
      <c r="G303" s="18">
        <f>IF(OR($B$10="",18&gt;$H$10),"",IF($I$10="SAC",ROUND($E$10/$H$10,2),ROUND($E303-$F303,2)))</f>
        <v/>
      </c>
      <c r="H303" s="18">
        <f>IF(OR($B$10="",18&gt;$H$10),"",ROUND(MAX(0,$H302-$G303),2))</f>
        <v/>
      </c>
      <c r="I303" s="17">
        <f>IF(OR($B$10="",18&gt;$H$10),"",IF($D303&lt;=TODAY(),"Vencida","A vencer"))</f>
        <v/>
      </c>
      <c r="J303" s="30">
        <f>IF($D303="","",EOMONTH($D303,0))</f>
        <v/>
      </c>
    </row>
    <row r="304">
      <c r="A304" s="24">
        <f>IF($B$10="","",$A$10)</f>
        <v/>
      </c>
      <c r="B304" s="9">
        <f>IF($B$10="","",$B$10)</f>
        <v/>
      </c>
      <c r="C304" s="24">
        <f>IF($B$10="","",19)</f>
        <v/>
      </c>
      <c r="D304" s="30">
        <f>IF(OR($B$10="",19&gt;$H$10),"",EDATE($J$10,18))</f>
        <v/>
      </c>
      <c r="E304" s="18">
        <f>IF(OR($B$10="",19&gt;$H$10),"",IF($I$10="SAC",ROUND($E$10/$H$10+$F304,2),ROUND(($E$10*$G$10*(1+$G$10)^$H$10/((1+$G$10)^$H$10-1)),2)))</f>
        <v/>
      </c>
      <c r="F304" s="18">
        <f>IF(OR($B$10="",19&gt;$H$10),"",ROUND($H303*$G$10,2))</f>
        <v/>
      </c>
      <c r="G304" s="18">
        <f>IF(OR($B$10="",19&gt;$H$10),"",IF($I$10="SAC",ROUND($E$10/$H$10,2),ROUND($E304-$F304,2)))</f>
        <v/>
      </c>
      <c r="H304" s="18">
        <f>IF(OR($B$10="",19&gt;$H$10),"",ROUND(MAX(0,$H303-$G304),2))</f>
        <v/>
      </c>
      <c r="I304" s="17">
        <f>IF(OR($B$10="",19&gt;$H$10),"",IF($D304&lt;=TODAY(),"Vencida","A vencer"))</f>
        <v/>
      </c>
      <c r="J304" s="30">
        <f>IF($D304="","",EOMONTH($D304,0))</f>
        <v/>
      </c>
    </row>
    <row r="305">
      <c r="A305" s="24">
        <f>IF($B$10="","",$A$10)</f>
        <v/>
      </c>
      <c r="B305" s="9">
        <f>IF($B$10="","",$B$10)</f>
        <v/>
      </c>
      <c r="C305" s="24">
        <f>IF($B$10="","",20)</f>
        <v/>
      </c>
      <c r="D305" s="30">
        <f>IF(OR($B$10="",20&gt;$H$10),"",EDATE($J$10,19))</f>
        <v/>
      </c>
      <c r="E305" s="18">
        <f>IF(OR($B$10="",20&gt;$H$10),"",IF($I$10="SAC",ROUND($E$10/$H$10+$F305,2),ROUND(($E$10*$G$10*(1+$G$10)^$H$10/((1+$G$10)^$H$10-1)),2)))</f>
        <v/>
      </c>
      <c r="F305" s="18">
        <f>IF(OR($B$10="",20&gt;$H$10),"",ROUND($H304*$G$10,2))</f>
        <v/>
      </c>
      <c r="G305" s="18">
        <f>IF(OR($B$10="",20&gt;$H$10),"",IF($I$10="SAC",ROUND($E$10/$H$10,2),ROUND($E305-$F305,2)))</f>
        <v/>
      </c>
      <c r="H305" s="18">
        <f>IF(OR($B$10="",20&gt;$H$10),"",ROUND(MAX(0,$H304-$G305),2))</f>
        <v/>
      </c>
      <c r="I305" s="17">
        <f>IF(OR($B$10="",20&gt;$H$10),"",IF($D305&lt;=TODAY(),"Vencida","A vencer"))</f>
        <v/>
      </c>
      <c r="J305" s="30">
        <f>IF($D305="","",EOMONTH($D305,0))</f>
        <v/>
      </c>
    </row>
    <row r="306">
      <c r="A306" s="24">
        <f>IF($B$10="","",$A$10)</f>
        <v/>
      </c>
      <c r="B306" s="9">
        <f>IF($B$10="","",$B$10)</f>
        <v/>
      </c>
      <c r="C306" s="24">
        <f>IF($B$10="","",21)</f>
        <v/>
      </c>
      <c r="D306" s="30">
        <f>IF(OR($B$10="",21&gt;$H$10),"",EDATE($J$10,20))</f>
        <v/>
      </c>
      <c r="E306" s="18">
        <f>IF(OR($B$10="",21&gt;$H$10),"",IF($I$10="SAC",ROUND($E$10/$H$10+$F306,2),ROUND(($E$10*$G$10*(1+$G$10)^$H$10/((1+$G$10)^$H$10-1)),2)))</f>
        <v/>
      </c>
      <c r="F306" s="18">
        <f>IF(OR($B$10="",21&gt;$H$10),"",ROUND($H305*$G$10,2))</f>
        <v/>
      </c>
      <c r="G306" s="18">
        <f>IF(OR($B$10="",21&gt;$H$10),"",IF($I$10="SAC",ROUND($E$10/$H$10,2),ROUND($E306-$F306,2)))</f>
        <v/>
      </c>
      <c r="H306" s="18">
        <f>IF(OR($B$10="",21&gt;$H$10),"",ROUND(MAX(0,$H305-$G306),2))</f>
        <v/>
      </c>
      <c r="I306" s="17">
        <f>IF(OR($B$10="",21&gt;$H$10),"",IF($D306&lt;=TODAY(),"Vencida","A vencer"))</f>
        <v/>
      </c>
      <c r="J306" s="30">
        <f>IF($D306="","",EOMONTH($D306,0))</f>
        <v/>
      </c>
    </row>
    <row r="307">
      <c r="A307" s="24">
        <f>IF($B$10="","",$A$10)</f>
        <v/>
      </c>
      <c r="B307" s="9">
        <f>IF($B$10="","",$B$10)</f>
        <v/>
      </c>
      <c r="C307" s="24">
        <f>IF($B$10="","",22)</f>
        <v/>
      </c>
      <c r="D307" s="30">
        <f>IF(OR($B$10="",22&gt;$H$10),"",EDATE($J$10,21))</f>
        <v/>
      </c>
      <c r="E307" s="18">
        <f>IF(OR($B$10="",22&gt;$H$10),"",IF($I$10="SAC",ROUND($E$10/$H$10+$F307,2),ROUND(($E$10*$G$10*(1+$G$10)^$H$10/((1+$G$10)^$H$10-1)),2)))</f>
        <v/>
      </c>
      <c r="F307" s="18">
        <f>IF(OR($B$10="",22&gt;$H$10),"",ROUND($H306*$G$10,2))</f>
        <v/>
      </c>
      <c r="G307" s="18">
        <f>IF(OR($B$10="",22&gt;$H$10),"",IF($I$10="SAC",ROUND($E$10/$H$10,2),ROUND($E307-$F307,2)))</f>
        <v/>
      </c>
      <c r="H307" s="18">
        <f>IF(OR($B$10="",22&gt;$H$10),"",ROUND(MAX(0,$H306-$G307),2))</f>
        <v/>
      </c>
      <c r="I307" s="17">
        <f>IF(OR($B$10="",22&gt;$H$10),"",IF($D307&lt;=TODAY(),"Vencida","A vencer"))</f>
        <v/>
      </c>
      <c r="J307" s="30">
        <f>IF($D307="","",EOMONTH($D307,0))</f>
        <v/>
      </c>
    </row>
    <row r="308">
      <c r="A308" s="24">
        <f>IF($B$10="","",$A$10)</f>
        <v/>
      </c>
      <c r="B308" s="9">
        <f>IF($B$10="","",$B$10)</f>
        <v/>
      </c>
      <c r="C308" s="24">
        <f>IF($B$10="","",23)</f>
        <v/>
      </c>
      <c r="D308" s="30">
        <f>IF(OR($B$10="",23&gt;$H$10),"",EDATE($J$10,22))</f>
        <v/>
      </c>
      <c r="E308" s="18">
        <f>IF(OR($B$10="",23&gt;$H$10),"",IF($I$10="SAC",ROUND($E$10/$H$10+$F308,2),ROUND(($E$10*$G$10*(1+$G$10)^$H$10/((1+$G$10)^$H$10-1)),2)))</f>
        <v/>
      </c>
      <c r="F308" s="18">
        <f>IF(OR($B$10="",23&gt;$H$10),"",ROUND($H307*$G$10,2))</f>
        <v/>
      </c>
      <c r="G308" s="18">
        <f>IF(OR($B$10="",23&gt;$H$10),"",IF($I$10="SAC",ROUND($E$10/$H$10,2),ROUND($E308-$F308,2)))</f>
        <v/>
      </c>
      <c r="H308" s="18">
        <f>IF(OR($B$10="",23&gt;$H$10),"",ROUND(MAX(0,$H307-$G308),2))</f>
        <v/>
      </c>
      <c r="I308" s="17">
        <f>IF(OR($B$10="",23&gt;$H$10),"",IF($D308&lt;=TODAY(),"Vencida","A vencer"))</f>
        <v/>
      </c>
      <c r="J308" s="30">
        <f>IF($D308="","",EOMONTH($D308,0))</f>
        <v/>
      </c>
    </row>
    <row r="309">
      <c r="A309" s="24">
        <f>IF($B$10="","",$A$10)</f>
        <v/>
      </c>
      <c r="B309" s="9">
        <f>IF($B$10="","",$B$10)</f>
        <v/>
      </c>
      <c r="C309" s="24">
        <f>IF($B$10="","",24)</f>
        <v/>
      </c>
      <c r="D309" s="30">
        <f>IF(OR($B$10="",24&gt;$H$10),"",EDATE($J$10,23))</f>
        <v/>
      </c>
      <c r="E309" s="18">
        <f>IF(OR($B$10="",24&gt;$H$10),"",IF($I$10="SAC",ROUND($E$10/$H$10+$F309,2),ROUND(($E$10*$G$10*(1+$G$10)^$H$10/((1+$G$10)^$H$10-1)),2)))</f>
        <v/>
      </c>
      <c r="F309" s="18">
        <f>IF(OR($B$10="",24&gt;$H$10),"",ROUND($H308*$G$10,2))</f>
        <v/>
      </c>
      <c r="G309" s="18">
        <f>IF(OR($B$10="",24&gt;$H$10),"",IF($I$10="SAC",ROUND($E$10/$H$10,2),ROUND($E309-$F309,2)))</f>
        <v/>
      </c>
      <c r="H309" s="18">
        <f>IF(OR($B$10="",24&gt;$H$10),"",ROUND(MAX(0,$H308-$G309),2))</f>
        <v/>
      </c>
      <c r="I309" s="17">
        <f>IF(OR($B$10="",24&gt;$H$10),"",IF($D309&lt;=TODAY(),"Vencida","A vencer"))</f>
        <v/>
      </c>
      <c r="J309" s="30">
        <f>IF($D309="","",EOMONTH($D309,0))</f>
        <v/>
      </c>
    </row>
    <row r="310">
      <c r="A310" s="24">
        <f>IF($B$10="","",$A$10)</f>
        <v/>
      </c>
      <c r="B310" s="9">
        <f>IF($B$10="","",$B$10)</f>
        <v/>
      </c>
      <c r="C310" s="24">
        <f>IF($B$10="","",25)</f>
        <v/>
      </c>
      <c r="D310" s="30">
        <f>IF(OR($B$10="",25&gt;$H$10),"",EDATE($J$10,24))</f>
        <v/>
      </c>
      <c r="E310" s="18">
        <f>IF(OR($B$10="",25&gt;$H$10),"",IF($I$10="SAC",ROUND($E$10/$H$10+$F310,2),ROUND(($E$10*$G$10*(1+$G$10)^$H$10/((1+$G$10)^$H$10-1)),2)))</f>
        <v/>
      </c>
      <c r="F310" s="18">
        <f>IF(OR($B$10="",25&gt;$H$10),"",ROUND($H309*$G$10,2))</f>
        <v/>
      </c>
      <c r="G310" s="18">
        <f>IF(OR($B$10="",25&gt;$H$10),"",IF($I$10="SAC",ROUND($E$10/$H$10,2),ROUND($E310-$F310,2)))</f>
        <v/>
      </c>
      <c r="H310" s="18">
        <f>IF(OR($B$10="",25&gt;$H$10),"",ROUND(MAX(0,$H309-$G310),2))</f>
        <v/>
      </c>
      <c r="I310" s="17">
        <f>IF(OR($B$10="",25&gt;$H$10),"",IF($D310&lt;=TODAY(),"Vencida","A vencer"))</f>
        <v/>
      </c>
      <c r="J310" s="30">
        <f>IF($D310="","",EOMONTH($D310,0))</f>
        <v/>
      </c>
    </row>
    <row r="311">
      <c r="A311" s="24">
        <f>IF($B$10="","",$A$10)</f>
        <v/>
      </c>
      <c r="B311" s="9">
        <f>IF($B$10="","",$B$10)</f>
        <v/>
      </c>
      <c r="C311" s="24">
        <f>IF($B$10="","",26)</f>
        <v/>
      </c>
      <c r="D311" s="30">
        <f>IF(OR($B$10="",26&gt;$H$10),"",EDATE($J$10,25))</f>
        <v/>
      </c>
      <c r="E311" s="18">
        <f>IF(OR($B$10="",26&gt;$H$10),"",IF($I$10="SAC",ROUND($E$10/$H$10+$F311,2),ROUND(($E$10*$G$10*(1+$G$10)^$H$10/((1+$G$10)^$H$10-1)),2)))</f>
        <v/>
      </c>
      <c r="F311" s="18">
        <f>IF(OR($B$10="",26&gt;$H$10),"",ROUND($H310*$G$10,2))</f>
        <v/>
      </c>
      <c r="G311" s="18">
        <f>IF(OR($B$10="",26&gt;$H$10),"",IF($I$10="SAC",ROUND($E$10/$H$10,2),ROUND($E311-$F311,2)))</f>
        <v/>
      </c>
      <c r="H311" s="18">
        <f>IF(OR($B$10="",26&gt;$H$10),"",ROUND(MAX(0,$H310-$G311),2))</f>
        <v/>
      </c>
      <c r="I311" s="17">
        <f>IF(OR($B$10="",26&gt;$H$10),"",IF($D311&lt;=TODAY(),"Vencida","A vencer"))</f>
        <v/>
      </c>
      <c r="J311" s="30">
        <f>IF($D311="","",EOMONTH($D311,0))</f>
        <v/>
      </c>
    </row>
    <row r="312">
      <c r="A312" s="24">
        <f>IF($B$10="","",$A$10)</f>
        <v/>
      </c>
      <c r="B312" s="9">
        <f>IF($B$10="","",$B$10)</f>
        <v/>
      </c>
      <c r="C312" s="24">
        <f>IF($B$10="","",27)</f>
        <v/>
      </c>
      <c r="D312" s="30">
        <f>IF(OR($B$10="",27&gt;$H$10),"",EDATE($J$10,26))</f>
        <v/>
      </c>
      <c r="E312" s="18">
        <f>IF(OR($B$10="",27&gt;$H$10),"",IF($I$10="SAC",ROUND($E$10/$H$10+$F312,2),ROUND(($E$10*$G$10*(1+$G$10)^$H$10/((1+$G$10)^$H$10-1)),2)))</f>
        <v/>
      </c>
      <c r="F312" s="18">
        <f>IF(OR($B$10="",27&gt;$H$10),"",ROUND($H311*$G$10,2))</f>
        <v/>
      </c>
      <c r="G312" s="18">
        <f>IF(OR($B$10="",27&gt;$H$10),"",IF($I$10="SAC",ROUND($E$10/$H$10,2),ROUND($E312-$F312,2)))</f>
        <v/>
      </c>
      <c r="H312" s="18">
        <f>IF(OR($B$10="",27&gt;$H$10),"",ROUND(MAX(0,$H311-$G312),2))</f>
        <v/>
      </c>
      <c r="I312" s="17">
        <f>IF(OR($B$10="",27&gt;$H$10),"",IF($D312&lt;=TODAY(),"Vencida","A vencer"))</f>
        <v/>
      </c>
      <c r="J312" s="30">
        <f>IF($D312="","",EOMONTH($D312,0))</f>
        <v/>
      </c>
    </row>
    <row r="313">
      <c r="A313" s="24">
        <f>IF($B$10="","",$A$10)</f>
        <v/>
      </c>
      <c r="B313" s="9">
        <f>IF($B$10="","",$B$10)</f>
        <v/>
      </c>
      <c r="C313" s="24">
        <f>IF($B$10="","",28)</f>
        <v/>
      </c>
      <c r="D313" s="30">
        <f>IF(OR($B$10="",28&gt;$H$10),"",EDATE($J$10,27))</f>
        <v/>
      </c>
      <c r="E313" s="18">
        <f>IF(OR($B$10="",28&gt;$H$10),"",IF($I$10="SAC",ROUND($E$10/$H$10+$F313,2),ROUND(($E$10*$G$10*(1+$G$10)^$H$10/((1+$G$10)^$H$10-1)),2)))</f>
        <v/>
      </c>
      <c r="F313" s="18">
        <f>IF(OR($B$10="",28&gt;$H$10),"",ROUND($H312*$G$10,2))</f>
        <v/>
      </c>
      <c r="G313" s="18">
        <f>IF(OR($B$10="",28&gt;$H$10),"",IF($I$10="SAC",ROUND($E$10/$H$10,2),ROUND($E313-$F313,2)))</f>
        <v/>
      </c>
      <c r="H313" s="18">
        <f>IF(OR($B$10="",28&gt;$H$10),"",ROUND(MAX(0,$H312-$G313),2))</f>
        <v/>
      </c>
      <c r="I313" s="17">
        <f>IF(OR($B$10="",28&gt;$H$10),"",IF($D313&lt;=TODAY(),"Vencida","A vencer"))</f>
        <v/>
      </c>
      <c r="J313" s="30">
        <f>IF($D313="","",EOMONTH($D313,0))</f>
        <v/>
      </c>
    </row>
    <row r="314">
      <c r="A314" s="24">
        <f>IF($B$10="","",$A$10)</f>
        <v/>
      </c>
      <c r="B314" s="9">
        <f>IF($B$10="","",$B$10)</f>
        <v/>
      </c>
      <c r="C314" s="24">
        <f>IF($B$10="","",29)</f>
        <v/>
      </c>
      <c r="D314" s="30">
        <f>IF(OR($B$10="",29&gt;$H$10),"",EDATE($J$10,28))</f>
        <v/>
      </c>
      <c r="E314" s="18">
        <f>IF(OR($B$10="",29&gt;$H$10),"",IF($I$10="SAC",ROUND($E$10/$H$10+$F314,2),ROUND(($E$10*$G$10*(1+$G$10)^$H$10/((1+$G$10)^$H$10-1)),2)))</f>
        <v/>
      </c>
      <c r="F314" s="18">
        <f>IF(OR($B$10="",29&gt;$H$10),"",ROUND($H313*$G$10,2))</f>
        <v/>
      </c>
      <c r="G314" s="18">
        <f>IF(OR($B$10="",29&gt;$H$10),"",IF($I$10="SAC",ROUND($E$10/$H$10,2),ROUND($E314-$F314,2)))</f>
        <v/>
      </c>
      <c r="H314" s="18">
        <f>IF(OR($B$10="",29&gt;$H$10),"",ROUND(MAX(0,$H313-$G314),2))</f>
        <v/>
      </c>
      <c r="I314" s="17">
        <f>IF(OR($B$10="",29&gt;$H$10),"",IF($D314&lt;=TODAY(),"Vencida","A vencer"))</f>
        <v/>
      </c>
      <c r="J314" s="30">
        <f>IF($D314="","",EOMONTH($D314,0))</f>
        <v/>
      </c>
    </row>
    <row r="315">
      <c r="A315" s="24">
        <f>IF($B$10="","",$A$10)</f>
        <v/>
      </c>
      <c r="B315" s="9">
        <f>IF($B$10="","",$B$10)</f>
        <v/>
      </c>
      <c r="C315" s="24">
        <f>IF($B$10="","",30)</f>
        <v/>
      </c>
      <c r="D315" s="30">
        <f>IF(OR($B$10="",30&gt;$H$10),"",EDATE($J$10,29))</f>
        <v/>
      </c>
      <c r="E315" s="18">
        <f>IF(OR($B$10="",30&gt;$H$10),"",IF($I$10="SAC",ROUND($E$10/$H$10+$F315,2),ROUND(($E$10*$G$10*(1+$G$10)^$H$10/((1+$G$10)^$H$10-1)),2)))</f>
        <v/>
      </c>
      <c r="F315" s="18">
        <f>IF(OR($B$10="",30&gt;$H$10),"",ROUND($H314*$G$10,2))</f>
        <v/>
      </c>
      <c r="G315" s="18">
        <f>IF(OR($B$10="",30&gt;$H$10),"",IF($I$10="SAC",ROUND($E$10/$H$10,2),ROUND($E315-$F315,2)))</f>
        <v/>
      </c>
      <c r="H315" s="18">
        <f>IF(OR($B$10="",30&gt;$H$10),"",ROUND(MAX(0,$H314-$G315),2))</f>
        <v/>
      </c>
      <c r="I315" s="17">
        <f>IF(OR($B$10="",30&gt;$H$10),"",IF($D315&lt;=TODAY(),"Vencida","A vencer"))</f>
        <v/>
      </c>
      <c r="J315" s="30">
        <f>IF($D315="","",EOMONTH($D315,0))</f>
        <v/>
      </c>
    </row>
    <row r="316">
      <c r="A316" s="24">
        <f>IF($B$10="","",$A$10)</f>
        <v/>
      </c>
      <c r="B316" s="9">
        <f>IF($B$10="","",$B$10)</f>
        <v/>
      </c>
      <c r="C316" s="24">
        <f>IF($B$10="","",31)</f>
        <v/>
      </c>
      <c r="D316" s="30">
        <f>IF(OR($B$10="",31&gt;$H$10),"",EDATE($J$10,30))</f>
        <v/>
      </c>
      <c r="E316" s="18">
        <f>IF(OR($B$10="",31&gt;$H$10),"",IF($I$10="SAC",ROUND($E$10/$H$10+$F316,2),ROUND(($E$10*$G$10*(1+$G$10)^$H$10/((1+$G$10)^$H$10-1)),2)))</f>
        <v/>
      </c>
      <c r="F316" s="18">
        <f>IF(OR($B$10="",31&gt;$H$10),"",ROUND($H315*$G$10,2))</f>
        <v/>
      </c>
      <c r="G316" s="18">
        <f>IF(OR($B$10="",31&gt;$H$10),"",IF($I$10="SAC",ROUND($E$10/$H$10,2),ROUND($E316-$F316,2)))</f>
        <v/>
      </c>
      <c r="H316" s="18">
        <f>IF(OR($B$10="",31&gt;$H$10),"",ROUND(MAX(0,$H315-$G316),2))</f>
        <v/>
      </c>
      <c r="I316" s="17">
        <f>IF(OR($B$10="",31&gt;$H$10),"",IF($D316&lt;=TODAY(),"Vencida","A vencer"))</f>
        <v/>
      </c>
      <c r="J316" s="30">
        <f>IF($D316="","",EOMONTH($D316,0))</f>
        <v/>
      </c>
    </row>
    <row r="317">
      <c r="A317" s="24">
        <f>IF($B$10="","",$A$10)</f>
        <v/>
      </c>
      <c r="B317" s="9">
        <f>IF($B$10="","",$B$10)</f>
        <v/>
      </c>
      <c r="C317" s="24">
        <f>IF($B$10="","",32)</f>
        <v/>
      </c>
      <c r="D317" s="30">
        <f>IF(OR($B$10="",32&gt;$H$10),"",EDATE($J$10,31))</f>
        <v/>
      </c>
      <c r="E317" s="18">
        <f>IF(OR($B$10="",32&gt;$H$10),"",IF($I$10="SAC",ROUND($E$10/$H$10+$F317,2),ROUND(($E$10*$G$10*(1+$G$10)^$H$10/((1+$G$10)^$H$10-1)),2)))</f>
        <v/>
      </c>
      <c r="F317" s="18">
        <f>IF(OR($B$10="",32&gt;$H$10),"",ROUND($H316*$G$10,2))</f>
        <v/>
      </c>
      <c r="G317" s="18">
        <f>IF(OR($B$10="",32&gt;$H$10),"",IF($I$10="SAC",ROUND($E$10/$H$10,2),ROUND($E317-$F317,2)))</f>
        <v/>
      </c>
      <c r="H317" s="18">
        <f>IF(OR($B$10="",32&gt;$H$10),"",ROUND(MAX(0,$H316-$G317),2))</f>
        <v/>
      </c>
      <c r="I317" s="17">
        <f>IF(OR($B$10="",32&gt;$H$10),"",IF($D317&lt;=TODAY(),"Vencida","A vencer"))</f>
        <v/>
      </c>
      <c r="J317" s="30">
        <f>IF($D317="","",EOMONTH($D317,0))</f>
        <v/>
      </c>
    </row>
    <row r="318">
      <c r="A318" s="24">
        <f>IF($B$10="","",$A$10)</f>
        <v/>
      </c>
      <c r="B318" s="9">
        <f>IF($B$10="","",$B$10)</f>
        <v/>
      </c>
      <c r="C318" s="24">
        <f>IF($B$10="","",33)</f>
        <v/>
      </c>
      <c r="D318" s="30">
        <f>IF(OR($B$10="",33&gt;$H$10),"",EDATE($J$10,32))</f>
        <v/>
      </c>
      <c r="E318" s="18">
        <f>IF(OR($B$10="",33&gt;$H$10),"",IF($I$10="SAC",ROUND($E$10/$H$10+$F318,2),ROUND(($E$10*$G$10*(1+$G$10)^$H$10/((1+$G$10)^$H$10-1)),2)))</f>
        <v/>
      </c>
      <c r="F318" s="18">
        <f>IF(OR($B$10="",33&gt;$H$10),"",ROUND($H317*$G$10,2))</f>
        <v/>
      </c>
      <c r="G318" s="18">
        <f>IF(OR($B$10="",33&gt;$H$10),"",IF($I$10="SAC",ROUND($E$10/$H$10,2),ROUND($E318-$F318,2)))</f>
        <v/>
      </c>
      <c r="H318" s="18">
        <f>IF(OR($B$10="",33&gt;$H$10),"",ROUND(MAX(0,$H317-$G318),2))</f>
        <v/>
      </c>
      <c r="I318" s="17">
        <f>IF(OR($B$10="",33&gt;$H$10),"",IF($D318&lt;=TODAY(),"Vencida","A vencer"))</f>
        <v/>
      </c>
      <c r="J318" s="30">
        <f>IF($D318="","",EOMONTH($D318,0))</f>
        <v/>
      </c>
    </row>
    <row r="319">
      <c r="A319" s="24">
        <f>IF($B$10="","",$A$10)</f>
        <v/>
      </c>
      <c r="B319" s="9">
        <f>IF($B$10="","",$B$10)</f>
        <v/>
      </c>
      <c r="C319" s="24">
        <f>IF($B$10="","",34)</f>
        <v/>
      </c>
      <c r="D319" s="30">
        <f>IF(OR($B$10="",34&gt;$H$10),"",EDATE($J$10,33))</f>
        <v/>
      </c>
      <c r="E319" s="18">
        <f>IF(OR($B$10="",34&gt;$H$10),"",IF($I$10="SAC",ROUND($E$10/$H$10+$F319,2),ROUND(($E$10*$G$10*(1+$G$10)^$H$10/((1+$G$10)^$H$10-1)),2)))</f>
        <v/>
      </c>
      <c r="F319" s="18">
        <f>IF(OR($B$10="",34&gt;$H$10),"",ROUND($H318*$G$10,2))</f>
        <v/>
      </c>
      <c r="G319" s="18">
        <f>IF(OR($B$10="",34&gt;$H$10),"",IF($I$10="SAC",ROUND($E$10/$H$10,2),ROUND($E319-$F319,2)))</f>
        <v/>
      </c>
      <c r="H319" s="18">
        <f>IF(OR($B$10="",34&gt;$H$10),"",ROUND(MAX(0,$H318-$G319),2))</f>
        <v/>
      </c>
      <c r="I319" s="17">
        <f>IF(OR($B$10="",34&gt;$H$10),"",IF($D319&lt;=TODAY(),"Vencida","A vencer"))</f>
        <v/>
      </c>
      <c r="J319" s="30">
        <f>IF($D319="","",EOMONTH($D319,0))</f>
        <v/>
      </c>
    </row>
    <row r="320">
      <c r="A320" s="24">
        <f>IF($B$10="","",$A$10)</f>
        <v/>
      </c>
      <c r="B320" s="9">
        <f>IF($B$10="","",$B$10)</f>
        <v/>
      </c>
      <c r="C320" s="24">
        <f>IF($B$10="","",35)</f>
        <v/>
      </c>
      <c r="D320" s="30">
        <f>IF(OR($B$10="",35&gt;$H$10),"",EDATE($J$10,34))</f>
        <v/>
      </c>
      <c r="E320" s="18">
        <f>IF(OR($B$10="",35&gt;$H$10),"",IF($I$10="SAC",ROUND($E$10/$H$10+$F320,2),ROUND(($E$10*$G$10*(1+$G$10)^$H$10/((1+$G$10)^$H$10-1)),2)))</f>
        <v/>
      </c>
      <c r="F320" s="18">
        <f>IF(OR($B$10="",35&gt;$H$10),"",ROUND($H319*$G$10,2))</f>
        <v/>
      </c>
      <c r="G320" s="18">
        <f>IF(OR($B$10="",35&gt;$H$10),"",IF($I$10="SAC",ROUND($E$10/$H$10,2),ROUND($E320-$F320,2)))</f>
        <v/>
      </c>
      <c r="H320" s="18">
        <f>IF(OR($B$10="",35&gt;$H$10),"",ROUND(MAX(0,$H319-$G320),2))</f>
        <v/>
      </c>
      <c r="I320" s="17">
        <f>IF(OR($B$10="",35&gt;$H$10),"",IF($D320&lt;=TODAY(),"Vencida","A vencer"))</f>
        <v/>
      </c>
      <c r="J320" s="30">
        <f>IF($D320="","",EOMONTH($D320,0))</f>
        <v/>
      </c>
    </row>
    <row r="321">
      <c r="A321" s="24">
        <f>IF($B$10="","",$A$10)</f>
        <v/>
      </c>
      <c r="B321" s="9">
        <f>IF($B$10="","",$B$10)</f>
        <v/>
      </c>
      <c r="C321" s="24">
        <f>IF($B$10="","",36)</f>
        <v/>
      </c>
      <c r="D321" s="30">
        <f>IF(OR($B$10="",36&gt;$H$10),"",EDATE($J$10,35))</f>
        <v/>
      </c>
      <c r="E321" s="18">
        <f>IF(OR($B$10="",36&gt;$H$10),"",IF($I$10="SAC",ROUND($E$10/$H$10+$F321,2),ROUND(($E$10*$G$10*(1+$G$10)^$H$10/((1+$G$10)^$H$10-1)),2)))</f>
        <v/>
      </c>
      <c r="F321" s="18">
        <f>IF(OR($B$10="",36&gt;$H$10),"",ROUND($H320*$G$10,2))</f>
        <v/>
      </c>
      <c r="G321" s="18">
        <f>IF(OR($B$10="",36&gt;$H$10),"",IF($I$10="SAC",ROUND($E$10/$H$10,2),ROUND($E321-$F321,2)))</f>
        <v/>
      </c>
      <c r="H321" s="18">
        <f>IF(OR($B$10="",36&gt;$H$10),"",ROUND(MAX(0,$H320-$G321),2))</f>
        <v/>
      </c>
      <c r="I321" s="17">
        <f>IF(OR($B$10="",36&gt;$H$10),"",IF($D321&lt;=TODAY(),"Vencida","A vencer"))</f>
        <v/>
      </c>
      <c r="J321" s="30">
        <f>IF($D321="","",EOMONTH($D321,0))</f>
        <v/>
      </c>
    </row>
    <row r="322">
      <c r="A322" s="24">
        <f>IF($B$10="","",$A$10)</f>
        <v/>
      </c>
      <c r="B322" s="9">
        <f>IF($B$10="","",$B$10)</f>
        <v/>
      </c>
      <c r="C322" s="24">
        <f>IF($B$10="","",37)</f>
        <v/>
      </c>
      <c r="D322" s="30">
        <f>IF(OR($B$10="",37&gt;$H$10),"",EDATE($J$10,36))</f>
        <v/>
      </c>
      <c r="E322" s="18">
        <f>IF(OR($B$10="",37&gt;$H$10),"",IF($I$10="SAC",ROUND($E$10/$H$10+$F322,2),ROUND(($E$10*$G$10*(1+$G$10)^$H$10/((1+$G$10)^$H$10-1)),2)))</f>
        <v/>
      </c>
      <c r="F322" s="18">
        <f>IF(OR($B$10="",37&gt;$H$10),"",ROUND($H321*$G$10,2))</f>
        <v/>
      </c>
      <c r="G322" s="18">
        <f>IF(OR($B$10="",37&gt;$H$10),"",IF($I$10="SAC",ROUND($E$10/$H$10,2),ROUND($E322-$F322,2)))</f>
        <v/>
      </c>
      <c r="H322" s="18">
        <f>IF(OR($B$10="",37&gt;$H$10),"",ROUND(MAX(0,$H321-$G322),2))</f>
        <v/>
      </c>
      <c r="I322" s="17">
        <f>IF(OR($B$10="",37&gt;$H$10),"",IF($D322&lt;=TODAY(),"Vencida","A vencer"))</f>
        <v/>
      </c>
      <c r="J322" s="30">
        <f>IF($D322="","",EOMONTH($D322,0))</f>
        <v/>
      </c>
    </row>
    <row r="323">
      <c r="A323" s="24">
        <f>IF($B$10="","",$A$10)</f>
        <v/>
      </c>
      <c r="B323" s="9">
        <f>IF($B$10="","",$B$10)</f>
        <v/>
      </c>
      <c r="C323" s="24">
        <f>IF($B$10="","",38)</f>
        <v/>
      </c>
      <c r="D323" s="30">
        <f>IF(OR($B$10="",38&gt;$H$10),"",EDATE($J$10,37))</f>
        <v/>
      </c>
      <c r="E323" s="18">
        <f>IF(OR($B$10="",38&gt;$H$10),"",IF($I$10="SAC",ROUND($E$10/$H$10+$F323,2),ROUND(($E$10*$G$10*(1+$G$10)^$H$10/((1+$G$10)^$H$10-1)),2)))</f>
        <v/>
      </c>
      <c r="F323" s="18">
        <f>IF(OR($B$10="",38&gt;$H$10),"",ROUND($H322*$G$10,2))</f>
        <v/>
      </c>
      <c r="G323" s="18">
        <f>IF(OR($B$10="",38&gt;$H$10),"",IF($I$10="SAC",ROUND($E$10/$H$10,2),ROUND($E323-$F323,2)))</f>
        <v/>
      </c>
      <c r="H323" s="18">
        <f>IF(OR($B$10="",38&gt;$H$10),"",ROUND(MAX(0,$H322-$G323),2))</f>
        <v/>
      </c>
      <c r="I323" s="17">
        <f>IF(OR($B$10="",38&gt;$H$10),"",IF($D323&lt;=TODAY(),"Vencida","A vencer"))</f>
        <v/>
      </c>
      <c r="J323" s="30">
        <f>IF($D323="","",EOMONTH($D323,0))</f>
        <v/>
      </c>
    </row>
    <row r="324">
      <c r="A324" s="24">
        <f>IF($B$10="","",$A$10)</f>
        <v/>
      </c>
      <c r="B324" s="9">
        <f>IF($B$10="","",$B$10)</f>
        <v/>
      </c>
      <c r="C324" s="24">
        <f>IF($B$10="","",39)</f>
        <v/>
      </c>
      <c r="D324" s="30">
        <f>IF(OR($B$10="",39&gt;$H$10),"",EDATE($J$10,38))</f>
        <v/>
      </c>
      <c r="E324" s="18">
        <f>IF(OR($B$10="",39&gt;$H$10),"",IF($I$10="SAC",ROUND($E$10/$H$10+$F324,2),ROUND(($E$10*$G$10*(1+$G$10)^$H$10/((1+$G$10)^$H$10-1)),2)))</f>
        <v/>
      </c>
      <c r="F324" s="18">
        <f>IF(OR($B$10="",39&gt;$H$10),"",ROUND($H323*$G$10,2))</f>
        <v/>
      </c>
      <c r="G324" s="18">
        <f>IF(OR($B$10="",39&gt;$H$10),"",IF($I$10="SAC",ROUND($E$10/$H$10,2),ROUND($E324-$F324,2)))</f>
        <v/>
      </c>
      <c r="H324" s="18">
        <f>IF(OR($B$10="",39&gt;$H$10),"",ROUND(MAX(0,$H323-$G324),2))</f>
        <v/>
      </c>
      <c r="I324" s="17">
        <f>IF(OR($B$10="",39&gt;$H$10),"",IF($D324&lt;=TODAY(),"Vencida","A vencer"))</f>
        <v/>
      </c>
      <c r="J324" s="30">
        <f>IF($D324="","",EOMONTH($D324,0))</f>
        <v/>
      </c>
    </row>
    <row r="325">
      <c r="A325" s="24">
        <f>IF($B$10="","",$A$10)</f>
        <v/>
      </c>
      <c r="B325" s="9">
        <f>IF($B$10="","",$B$10)</f>
        <v/>
      </c>
      <c r="C325" s="24">
        <f>IF($B$10="","",40)</f>
        <v/>
      </c>
      <c r="D325" s="30">
        <f>IF(OR($B$10="",40&gt;$H$10),"",EDATE($J$10,39))</f>
        <v/>
      </c>
      <c r="E325" s="18">
        <f>IF(OR($B$10="",40&gt;$H$10),"",IF($I$10="SAC",ROUND($E$10/$H$10+$F325,2),ROUND(($E$10*$G$10*(1+$G$10)^$H$10/((1+$G$10)^$H$10-1)),2)))</f>
        <v/>
      </c>
      <c r="F325" s="18">
        <f>IF(OR($B$10="",40&gt;$H$10),"",ROUND($H324*$G$10,2))</f>
        <v/>
      </c>
      <c r="G325" s="18">
        <f>IF(OR($B$10="",40&gt;$H$10),"",IF($I$10="SAC",ROUND($E$10/$H$10,2),ROUND($E325-$F325,2)))</f>
        <v/>
      </c>
      <c r="H325" s="18">
        <f>IF(OR($B$10="",40&gt;$H$10),"",ROUND(MAX(0,$H324-$G325),2))</f>
        <v/>
      </c>
      <c r="I325" s="17">
        <f>IF(OR($B$10="",40&gt;$H$10),"",IF($D325&lt;=TODAY(),"Vencida","A vencer"))</f>
        <v/>
      </c>
      <c r="J325" s="30">
        <f>IF($D325="","",EOMONTH($D325,0))</f>
        <v/>
      </c>
    </row>
    <row r="326">
      <c r="A326" s="24">
        <f>IF($B$10="","",$A$10)</f>
        <v/>
      </c>
      <c r="B326" s="9">
        <f>IF($B$10="","",$B$10)</f>
        <v/>
      </c>
      <c r="C326" s="24">
        <f>IF($B$10="","",41)</f>
        <v/>
      </c>
      <c r="D326" s="30">
        <f>IF(OR($B$10="",41&gt;$H$10),"",EDATE($J$10,40))</f>
        <v/>
      </c>
      <c r="E326" s="18">
        <f>IF(OR($B$10="",41&gt;$H$10),"",IF($I$10="SAC",ROUND($E$10/$H$10+$F326,2),ROUND(($E$10*$G$10*(1+$G$10)^$H$10/((1+$G$10)^$H$10-1)),2)))</f>
        <v/>
      </c>
      <c r="F326" s="18">
        <f>IF(OR($B$10="",41&gt;$H$10),"",ROUND($H325*$G$10,2))</f>
        <v/>
      </c>
      <c r="G326" s="18">
        <f>IF(OR($B$10="",41&gt;$H$10),"",IF($I$10="SAC",ROUND($E$10/$H$10,2),ROUND($E326-$F326,2)))</f>
        <v/>
      </c>
      <c r="H326" s="18">
        <f>IF(OR($B$10="",41&gt;$H$10),"",ROUND(MAX(0,$H325-$G326),2))</f>
        <v/>
      </c>
      <c r="I326" s="17">
        <f>IF(OR($B$10="",41&gt;$H$10),"",IF($D326&lt;=TODAY(),"Vencida","A vencer"))</f>
        <v/>
      </c>
      <c r="J326" s="30">
        <f>IF($D326="","",EOMONTH($D326,0))</f>
        <v/>
      </c>
    </row>
    <row r="327">
      <c r="A327" s="24">
        <f>IF($B$10="","",$A$10)</f>
        <v/>
      </c>
      <c r="B327" s="9">
        <f>IF($B$10="","",$B$10)</f>
        <v/>
      </c>
      <c r="C327" s="24">
        <f>IF($B$10="","",42)</f>
        <v/>
      </c>
      <c r="D327" s="30">
        <f>IF(OR($B$10="",42&gt;$H$10),"",EDATE($J$10,41))</f>
        <v/>
      </c>
      <c r="E327" s="18">
        <f>IF(OR($B$10="",42&gt;$H$10),"",IF($I$10="SAC",ROUND($E$10/$H$10+$F327,2),ROUND(($E$10*$G$10*(1+$G$10)^$H$10/((1+$G$10)^$H$10-1)),2)))</f>
        <v/>
      </c>
      <c r="F327" s="18">
        <f>IF(OR($B$10="",42&gt;$H$10),"",ROUND($H326*$G$10,2))</f>
        <v/>
      </c>
      <c r="G327" s="18">
        <f>IF(OR($B$10="",42&gt;$H$10),"",IF($I$10="SAC",ROUND($E$10/$H$10,2),ROUND($E327-$F327,2)))</f>
        <v/>
      </c>
      <c r="H327" s="18">
        <f>IF(OR($B$10="",42&gt;$H$10),"",ROUND(MAX(0,$H326-$G327),2))</f>
        <v/>
      </c>
      <c r="I327" s="17">
        <f>IF(OR($B$10="",42&gt;$H$10),"",IF($D327&lt;=TODAY(),"Vencida","A vencer"))</f>
        <v/>
      </c>
      <c r="J327" s="30">
        <f>IF($D327="","",EOMONTH($D327,0))</f>
        <v/>
      </c>
    </row>
    <row r="328">
      <c r="A328" s="24">
        <f>IF($B$10="","",$A$10)</f>
        <v/>
      </c>
      <c r="B328" s="9">
        <f>IF($B$10="","",$B$10)</f>
        <v/>
      </c>
      <c r="C328" s="24">
        <f>IF($B$10="","",43)</f>
        <v/>
      </c>
      <c r="D328" s="30">
        <f>IF(OR($B$10="",43&gt;$H$10),"",EDATE($J$10,42))</f>
        <v/>
      </c>
      <c r="E328" s="18">
        <f>IF(OR($B$10="",43&gt;$H$10),"",IF($I$10="SAC",ROUND($E$10/$H$10+$F328,2),ROUND(($E$10*$G$10*(1+$G$10)^$H$10/((1+$G$10)^$H$10-1)),2)))</f>
        <v/>
      </c>
      <c r="F328" s="18">
        <f>IF(OR($B$10="",43&gt;$H$10),"",ROUND($H327*$G$10,2))</f>
        <v/>
      </c>
      <c r="G328" s="18">
        <f>IF(OR($B$10="",43&gt;$H$10),"",IF($I$10="SAC",ROUND($E$10/$H$10,2),ROUND($E328-$F328,2)))</f>
        <v/>
      </c>
      <c r="H328" s="18">
        <f>IF(OR($B$10="",43&gt;$H$10),"",ROUND(MAX(0,$H327-$G328),2))</f>
        <v/>
      </c>
      <c r="I328" s="17">
        <f>IF(OR($B$10="",43&gt;$H$10),"",IF($D328&lt;=TODAY(),"Vencida","A vencer"))</f>
        <v/>
      </c>
      <c r="J328" s="30">
        <f>IF($D328="","",EOMONTH($D328,0))</f>
        <v/>
      </c>
    </row>
    <row r="329">
      <c r="A329" s="24">
        <f>IF($B$10="","",$A$10)</f>
        <v/>
      </c>
      <c r="B329" s="9">
        <f>IF($B$10="","",$B$10)</f>
        <v/>
      </c>
      <c r="C329" s="24">
        <f>IF($B$10="","",44)</f>
        <v/>
      </c>
      <c r="D329" s="30">
        <f>IF(OR($B$10="",44&gt;$H$10),"",EDATE($J$10,43))</f>
        <v/>
      </c>
      <c r="E329" s="18">
        <f>IF(OR($B$10="",44&gt;$H$10),"",IF($I$10="SAC",ROUND($E$10/$H$10+$F329,2),ROUND(($E$10*$G$10*(1+$G$10)^$H$10/((1+$G$10)^$H$10-1)),2)))</f>
        <v/>
      </c>
      <c r="F329" s="18">
        <f>IF(OR($B$10="",44&gt;$H$10),"",ROUND($H328*$G$10,2))</f>
        <v/>
      </c>
      <c r="G329" s="18">
        <f>IF(OR($B$10="",44&gt;$H$10),"",IF($I$10="SAC",ROUND($E$10/$H$10,2),ROUND($E329-$F329,2)))</f>
        <v/>
      </c>
      <c r="H329" s="18">
        <f>IF(OR($B$10="",44&gt;$H$10),"",ROUND(MAX(0,$H328-$G329),2))</f>
        <v/>
      </c>
      <c r="I329" s="17">
        <f>IF(OR($B$10="",44&gt;$H$10),"",IF($D329&lt;=TODAY(),"Vencida","A vencer"))</f>
        <v/>
      </c>
      <c r="J329" s="30">
        <f>IF($D329="","",EOMONTH($D329,0))</f>
        <v/>
      </c>
    </row>
    <row r="330">
      <c r="A330" s="24">
        <f>IF($B$10="","",$A$10)</f>
        <v/>
      </c>
      <c r="B330" s="9">
        <f>IF($B$10="","",$B$10)</f>
        <v/>
      </c>
      <c r="C330" s="24">
        <f>IF($B$10="","",45)</f>
        <v/>
      </c>
      <c r="D330" s="30">
        <f>IF(OR($B$10="",45&gt;$H$10),"",EDATE($J$10,44))</f>
        <v/>
      </c>
      <c r="E330" s="18">
        <f>IF(OR($B$10="",45&gt;$H$10),"",IF($I$10="SAC",ROUND($E$10/$H$10+$F330,2),ROUND(($E$10*$G$10*(1+$G$10)^$H$10/((1+$G$10)^$H$10-1)),2)))</f>
        <v/>
      </c>
      <c r="F330" s="18">
        <f>IF(OR($B$10="",45&gt;$H$10),"",ROUND($H329*$G$10,2))</f>
        <v/>
      </c>
      <c r="G330" s="18">
        <f>IF(OR($B$10="",45&gt;$H$10),"",IF($I$10="SAC",ROUND($E$10/$H$10,2),ROUND($E330-$F330,2)))</f>
        <v/>
      </c>
      <c r="H330" s="18">
        <f>IF(OR($B$10="",45&gt;$H$10),"",ROUND(MAX(0,$H329-$G330),2))</f>
        <v/>
      </c>
      <c r="I330" s="17">
        <f>IF(OR($B$10="",45&gt;$H$10),"",IF($D330&lt;=TODAY(),"Vencida","A vencer"))</f>
        <v/>
      </c>
      <c r="J330" s="30">
        <f>IF($D330="","",EOMONTH($D330,0))</f>
        <v/>
      </c>
    </row>
    <row r="331">
      <c r="A331" s="24">
        <f>IF($B$10="","",$A$10)</f>
        <v/>
      </c>
      <c r="B331" s="9">
        <f>IF($B$10="","",$B$10)</f>
        <v/>
      </c>
      <c r="C331" s="24">
        <f>IF($B$10="","",46)</f>
        <v/>
      </c>
      <c r="D331" s="30">
        <f>IF(OR($B$10="",46&gt;$H$10),"",EDATE($J$10,45))</f>
        <v/>
      </c>
      <c r="E331" s="18">
        <f>IF(OR($B$10="",46&gt;$H$10),"",IF($I$10="SAC",ROUND($E$10/$H$10+$F331,2),ROUND(($E$10*$G$10*(1+$G$10)^$H$10/((1+$G$10)^$H$10-1)),2)))</f>
        <v/>
      </c>
      <c r="F331" s="18">
        <f>IF(OR($B$10="",46&gt;$H$10),"",ROUND($H330*$G$10,2))</f>
        <v/>
      </c>
      <c r="G331" s="18">
        <f>IF(OR($B$10="",46&gt;$H$10),"",IF($I$10="SAC",ROUND($E$10/$H$10,2),ROUND($E331-$F331,2)))</f>
        <v/>
      </c>
      <c r="H331" s="18">
        <f>IF(OR($B$10="",46&gt;$H$10),"",ROUND(MAX(0,$H330-$G331),2))</f>
        <v/>
      </c>
      <c r="I331" s="17">
        <f>IF(OR($B$10="",46&gt;$H$10),"",IF($D331&lt;=TODAY(),"Vencida","A vencer"))</f>
        <v/>
      </c>
      <c r="J331" s="30">
        <f>IF($D331="","",EOMONTH($D331,0))</f>
        <v/>
      </c>
    </row>
    <row r="332">
      <c r="A332" s="24">
        <f>IF($B$10="","",$A$10)</f>
        <v/>
      </c>
      <c r="B332" s="9">
        <f>IF($B$10="","",$B$10)</f>
        <v/>
      </c>
      <c r="C332" s="24">
        <f>IF($B$10="","",47)</f>
        <v/>
      </c>
      <c r="D332" s="30">
        <f>IF(OR($B$10="",47&gt;$H$10),"",EDATE($J$10,46))</f>
        <v/>
      </c>
      <c r="E332" s="18">
        <f>IF(OR($B$10="",47&gt;$H$10),"",IF($I$10="SAC",ROUND($E$10/$H$10+$F332,2),ROUND(($E$10*$G$10*(1+$G$10)^$H$10/((1+$G$10)^$H$10-1)),2)))</f>
        <v/>
      </c>
      <c r="F332" s="18">
        <f>IF(OR($B$10="",47&gt;$H$10),"",ROUND($H331*$G$10,2))</f>
        <v/>
      </c>
      <c r="G332" s="18">
        <f>IF(OR($B$10="",47&gt;$H$10),"",IF($I$10="SAC",ROUND($E$10/$H$10,2),ROUND($E332-$F332,2)))</f>
        <v/>
      </c>
      <c r="H332" s="18">
        <f>IF(OR($B$10="",47&gt;$H$10),"",ROUND(MAX(0,$H331-$G332),2))</f>
        <v/>
      </c>
      <c r="I332" s="17">
        <f>IF(OR($B$10="",47&gt;$H$10),"",IF($D332&lt;=TODAY(),"Vencida","A vencer"))</f>
        <v/>
      </c>
      <c r="J332" s="30">
        <f>IF($D332="","",EOMONTH($D332,0))</f>
        <v/>
      </c>
    </row>
    <row r="333">
      <c r="A333" s="24">
        <f>IF($B$10="","",$A$10)</f>
        <v/>
      </c>
      <c r="B333" s="9">
        <f>IF($B$10="","",$B$10)</f>
        <v/>
      </c>
      <c r="C333" s="24">
        <f>IF($B$10="","",48)</f>
        <v/>
      </c>
      <c r="D333" s="30">
        <f>IF(OR($B$10="",48&gt;$H$10),"",EDATE($J$10,47))</f>
        <v/>
      </c>
      <c r="E333" s="18">
        <f>IF(OR($B$10="",48&gt;$H$10),"",IF($I$10="SAC",ROUND($E$10/$H$10+$F333,2),ROUND(($E$10*$G$10*(1+$G$10)^$H$10/((1+$G$10)^$H$10-1)),2)))</f>
        <v/>
      </c>
      <c r="F333" s="18">
        <f>IF(OR($B$10="",48&gt;$H$10),"",ROUND($H332*$G$10,2))</f>
        <v/>
      </c>
      <c r="G333" s="18">
        <f>IF(OR($B$10="",48&gt;$H$10),"",IF($I$10="SAC",ROUND($E$10/$H$10,2),ROUND($E333-$F333,2)))</f>
        <v/>
      </c>
      <c r="H333" s="18">
        <f>IF(OR($B$10="",48&gt;$H$10),"",ROUND(MAX(0,$H332-$G333),2))</f>
        <v/>
      </c>
      <c r="I333" s="17">
        <f>IF(OR($B$10="",48&gt;$H$10),"",IF($D333&lt;=TODAY(),"Vencida","A vencer"))</f>
        <v/>
      </c>
      <c r="J333" s="30">
        <f>IF($D333="","",EOMONTH($D333,0))</f>
        <v/>
      </c>
    </row>
    <row r="334">
      <c r="A334" s="24">
        <f>IF($B$10="","",$A$10)</f>
        <v/>
      </c>
      <c r="B334" s="9">
        <f>IF($B$10="","",$B$10)</f>
        <v/>
      </c>
      <c r="C334" s="24">
        <f>IF($B$10="","",49)</f>
        <v/>
      </c>
      <c r="D334" s="30">
        <f>IF(OR($B$10="",49&gt;$H$10),"",EDATE($J$10,48))</f>
        <v/>
      </c>
      <c r="E334" s="18">
        <f>IF(OR($B$10="",49&gt;$H$10),"",IF($I$10="SAC",ROUND($E$10/$H$10+$F334,2),ROUND(($E$10*$G$10*(1+$G$10)^$H$10/((1+$G$10)^$H$10-1)),2)))</f>
        <v/>
      </c>
      <c r="F334" s="18">
        <f>IF(OR($B$10="",49&gt;$H$10),"",ROUND($H333*$G$10,2))</f>
        <v/>
      </c>
      <c r="G334" s="18">
        <f>IF(OR($B$10="",49&gt;$H$10),"",IF($I$10="SAC",ROUND($E$10/$H$10,2),ROUND($E334-$F334,2)))</f>
        <v/>
      </c>
      <c r="H334" s="18">
        <f>IF(OR($B$10="",49&gt;$H$10),"",ROUND(MAX(0,$H333-$G334),2))</f>
        <v/>
      </c>
      <c r="I334" s="17">
        <f>IF(OR($B$10="",49&gt;$H$10),"",IF($D334&lt;=TODAY(),"Vencida","A vencer"))</f>
        <v/>
      </c>
      <c r="J334" s="30">
        <f>IF($D334="","",EOMONTH($D334,0))</f>
        <v/>
      </c>
    </row>
    <row r="335">
      <c r="A335" s="24">
        <f>IF($B$10="","",$A$10)</f>
        <v/>
      </c>
      <c r="B335" s="9">
        <f>IF($B$10="","",$B$10)</f>
        <v/>
      </c>
      <c r="C335" s="24">
        <f>IF($B$10="","",50)</f>
        <v/>
      </c>
      <c r="D335" s="30">
        <f>IF(OR($B$10="",50&gt;$H$10),"",EDATE($J$10,49))</f>
        <v/>
      </c>
      <c r="E335" s="18">
        <f>IF(OR($B$10="",50&gt;$H$10),"",IF($I$10="SAC",ROUND($E$10/$H$10+$F335,2),ROUND(($E$10*$G$10*(1+$G$10)^$H$10/((1+$G$10)^$H$10-1)),2)))</f>
        <v/>
      </c>
      <c r="F335" s="18">
        <f>IF(OR($B$10="",50&gt;$H$10),"",ROUND($H334*$G$10,2))</f>
        <v/>
      </c>
      <c r="G335" s="18">
        <f>IF(OR($B$10="",50&gt;$H$10),"",IF($I$10="SAC",ROUND($E$10/$H$10,2),ROUND($E335-$F335,2)))</f>
        <v/>
      </c>
      <c r="H335" s="18">
        <f>IF(OR($B$10="",50&gt;$H$10),"",ROUND(MAX(0,$H334-$G335),2))</f>
        <v/>
      </c>
      <c r="I335" s="17">
        <f>IF(OR($B$10="",50&gt;$H$10),"",IF($D335&lt;=TODAY(),"Vencida","A vencer"))</f>
        <v/>
      </c>
      <c r="J335" s="30">
        <f>IF($D335="","",EOMONTH($D335,0))</f>
        <v/>
      </c>
    </row>
    <row r="336">
      <c r="A336" s="24">
        <f>IF($B$10="","",$A$10)</f>
        <v/>
      </c>
      <c r="B336" s="9">
        <f>IF($B$10="","",$B$10)</f>
        <v/>
      </c>
      <c r="C336" s="24">
        <f>IF($B$10="","",51)</f>
        <v/>
      </c>
      <c r="D336" s="30">
        <f>IF(OR($B$10="",51&gt;$H$10),"",EDATE($J$10,50))</f>
        <v/>
      </c>
      <c r="E336" s="18">
        <f>IF(OR($B$10="",51&gt;$H$10),"",IF($I$10="SAC",ROUND($E$10/$H$10+$F336,2),ROUND(($E$10*$G$10*(1+$G$10)^$H$10/((1+$G$10)^$H$10-1)),2)))</f>
        <v/>
      </c>
      <c r="F336" s="18">
        <f>IF(OR($B$10="",51&gt;$H$10),"",ROUND($H335*$G$10,2))</f>
        <v/>
      </c>
      <c r="G336" s="18">
        <f>IF(OR($B$10="",51&gt;$H$10),"",IF($I$10="SAC",ROUND($E$10/$H$10,2),ROUND($E336-$F336,2)))</f>
        <v/>
      </c>
      <c r="H336" s="18">
        <f>IF(OR($B$10="",51&gt;$H$10),"",ROUND(MAX(0,$H335-$G336),2))</f>
        <v/>
      </c>
      <c r="I336" s="17">
        <f>IF(OR($B$10="",51&gt;$H$10),"",IF($D336&lt;=TODAY(),"Vencida","A vencer"))</f>
        <v/>
      </c>
      <c r="J336" s="30">
        <f>IF($D336="","",EOMONTH($D336,0))</f>
        <v/>
      </c>
    </row>
    <row r="337">
      <c r="A337" s="24">
        <f>IF($B$10="","",$A$10)</f>
        <v/>
      </c>
      <c r="B337" s="9">
        <f>IF($B$10="","",$B$10)</f>
        <v/>
      </c>
      <c r="C337" s="24">
        <f>IF($B$10="","",52)</f>
        <v/>
      </c>
      <c r="D337" s="30">
        <f>IF(OR($B$10="",52&gt;$H$10),"",EDATE($J$10,51))</f>
        <v/>
      </c>
      <c r="E337" s="18">
        <f>IF(OR($B$10="",52&gt;$H$10),"",IF($I$10="SAC",ROUND($E$10/$H$10+$F337,2),ROUND(($E$10*$G$10*(1+$G$10)^$H$10/((1+$G$10)^$H$10-1)),2)))</f>
        <v/>
      </c>
      <c r="F337" s="18">
        <f>IF(OR($B$10="",52&gt;$H$10),"",ROUND($H336*$G$10,2))</f>
        <v/>
      </c>
      <c r="G337" s="18">
        <f>IF(OR($B$10="",52&gt;$H$10),"",IF($I$10="SAC",ROUND($E$10/$H$10,2),ROUND($E337-$F337,2)))</f>
        <v/>
      </c>
      <c r="H337" s="18">
        <f>IF(OR($B$10="",52&gt;$H$10),"",ROUND(MAX(0,$H336-$G337),2))</f>
        <v/>
      </c>
      <c r="I337" s="17">
        <f>IF(OR($B$10="",52&gt;$H$10),"",IF($D337&lt;=TODAY(),"Vencida","A vencer"))</f>
        <v/>
      </c>
      <c r="J337" s="30">
        <f>IF($D337="","",EOMONTH($D337,0))</f>
        <v/>
      </c>
    </row>
    <row r="338">
      <c r="A338" s="24">
        <f>IF($B$10="","",$A$10)</f>
        <v/>
      </c>
      <c r="B338" s="9">
        <f>IF($B$10="","",$B$10)</f>
        <v/>
      </c>
      <c r="C338" s="24">
        <f>IF($B$10="","",53)</f>
        <v/>
      </c>
      <c r="D338" s="30">
        <f>IF(OR($B$10="",53&gt;$H$10),"",EDATE($J$10,52))</f>
        <v/>
      </c>
      <c r="E338" s="18">
        <f>IF(OR($B$10="",53&gt;$H$10),"",IF($I$10="SAC",ROUND($E$10/$H$10+$F338,2),ROUND(($E$10*$G$10*(1+$G$10)^$H$10/((1+$G$10)^$H$10-1)),2)))</f>
        <v/>
      </c>
      <c r="F338" s="18">
        <f>IF(OR($B$10="",53&gt;$H$10),"",ROUND($H337*$G$10,2))</f>
        <v/>
      </c>
      <c r="G338" s="18">
        <f>IF(OR($B$10="",53&gt;$H$10),"",IF($I$10="SAC",ROUND($E$10/$H$10,2),ROUND($E338-$F338,2)))</f>
        <v/>
      </c>
      <c r="H338" s="18">
        <f>IF(OR($B$10="",53&gt;$H$10),"",ROUND(MAX(0,$H337-$G338),2))</f>
        <v/>
      </c>
      <c r="I338" s="17">
        <f>IF(OR($B$10="",53&gt;$H$10),"",IF($D338&lt;=TODAY(),"Vencida","A vencer"))</f>
        <v/>
      </c>
      <c r="J338" s="30">
        <f>IF($D338="","",EOMONTH($D338,0))</f>
        <v/>
      </c>
    </row>
    <row r="339">
      <c r="A339" s="24">
        <f>IF($B$10="","",$A$10)</f>
        <v/>
      </c>
      <c r="B339" s="9">
        <f>IF($B$10="","",$B$10)</f>
        <v/>
      </c>
      <c r="C339" s="24">
        <f>IF($B$10="","",54)</f>
        <v/>
      </c>
      <c r="D339" s="30">
        <f>IF(OR($B$10="",54&gt;$H$10),"",EDATE($J$10,53))</f>
        <v/>
      </c>
      <c r="E339" s="18">
        <f>IF(OR($B$10="",54&gt;$H$10),"",IF($I$10="SAC",ROUND($E$10/$H$10+$F339,2),ROUND(($E$10*$G$10*(1+$G$10)^$H$10/((1+$G$10)^$H$10-1)),2)))</f>
        <v/>
      </c>
      <c r="F339" s="18">
        <f>IF(OR($B$10="",54&gt;$H$10),"",ROUND($H338*$G$10,2))</f>
        <v/>
      </c>
      <c r="G339" s="18">
        <f>IF(OR($B$10="",54&gt;$H$10),"",IF($I$10="SAC",ROUND($E$10/$H$10,2),ROUND($E339-$F339,2)))</f>
        <v/>
      </c>
      <c r="H339" s="18">
        <f>IF(OR($B$10="",54&gt;$H$10),"",ROUND(MAX(0,$H338-$G339),2))</f>
        <v/>
      </c>
      <c r="I339" s="17">
        <f>IF(OR($B$10="",54&gt;$H$10),"",IF($D339&lt;=TODAY(),"Vencida","A vencer"))</f>
        <v/>
      </c>
      <c r="J339" s="30">
        <f>IF($D339="","",EOMONTH($D339,0))</f>
        <v/>
      </c>
    </row>
    <row r="340">
      <c r="A340" s="24">
        <f>IF($B$10="","",$A$10)</f>
        <v/>
      </c>
      <c r="B340" s="9">
        <f>IF($B$10="","",$B$10)</f>
        <v/>
      </c>
      <c r="C340" s="24">
        <f>IF($B$10="","",55)</f>
        <v/>
      </c>
      <c r="D340" s="30">
        <f>IF(OR($B$10="",55&gt;$H$10),"",EDATE($J$10,54))</f>
        <v/>
      </c>
      <c r="E340" s="18">
        <f>IF(OR($B$10="",55&gt;$H$10),"",IF($I$10="SAC",ROUND($E$10/$H$10+$F340,2),ROUND(($E$10*$G$10*(1+$G$10)^$H$10/((1+$G$10)^$H$10-1)),2)))</f>
        <v/>
      </c>
      <c r="F340" s="18">
        <f>IF(OR($B$10="",55&gt;$H$10),"",ROUND($H339*$G$10,2))</f>
        <v/>
      </c>
      <c r="G340" s="18">
        <f>IF(OR($B$10="",55&gt;$H$10),"",IF($I$10="SAC",ROUND($E$10/$H$10,2),ROUND($E340-$F340,2)))</f>
        <v/>
      </c>
      <c r="H340" s="18">
        <f>IF(OR($B$10="",55&gt;$H$10),"",ROUND(MAX(0,$H339-$G340),2))</f>
        <v/>
      </c>
      <c r="I340" s="17">
        <f>IF(OR($B$10="",55&gt;$H$10),"",IF($D340&lt;=TODAY(),"Vencida","A vencer"))</f>
        <v/>
      </c>
      <c r="J340" s="30">
        <f>IF($D340="","",EOMONTH($D340,0))</f>
        <v/>
      </c>
    </row>
    <row r="341">
      <c r="A341" s="24">
        <f>IF($B$10="","",$A$10)</f>
        <v/>
      </c>
      <c r="B341" s="9">
        <f>IF($B$10="","",$B$10)</f>
        <v/>
      </c>
      <c r="C341" s="24">
        <f>IF($B$10="","",56)</f>
        <v/>
      </c>
      <c r="D341" s="30">
        <f>IF(OR($B$10="",56&gt;$H$10),"",EDATE($J$10,55))</f>
        <v/>
      </c>
      <c r="E341" s="18">
        <f>IF(OR($B$10="",56&gt;$H$10),"",IF($I$10="SAC",ROUND($E$10/$H$10+$F341,2),ROUND(($E$10*$G$10*(1+$G$10)^$H$10/((1+$G$10)^$H$10-1)),2)))</f>
        <v/>
      </c>
      <c r="F341" s="18">
        <f>IF(OR($B$10="",56&gt;$H$10),"",ROUND($H340*$G$10,2))</f>
        <v/>
      </c>
      <c r="G341" s="18">
        <f>IF(OR($B$10="",56&gt;$H$10),"",IF($I$10="SAC",ROUND($E$10/$H$10,2),ROUND($E341-$F341,2)))</f>
        <v/>
      </c>
      <c r="H341" s="18">
        <f>IF(OR($B$10="",56&gt;$H$10),"",ROUND(MAX(0,$H340-$G341),2))</f>
        <v/>
      </c>
      <c r="I341" s="17">
        <f>IF(OR($B$10="",56&gt;$H$10),"",IF($D341&lt;=TODAY(),"Vencida","A vencer"))</f>
        <v/>
      </c>
      <c r="J341" s="30">
        <f>IF($D341="","",EOMONTH($D341,0))</f>
        <v/>
      </c>
    </row>
    <row r="342">
      <c r="A342" s="24">
        <f>IF($B$10="","",$A$10)</f>
        <v/>
      </c>
      <c r="B342" s="9">
        <f>IF($B$10="","",$B$10)</f>
        <v/>
      </c>
      <c r="C342" s="24">
        <f>IF($B$10="","",57)</f>
        <v/>
      </c>
      <c r="D342" s="30">
        <f>IF(OR($B$10="",57&gt;$H$10),"",EDATE($J$10,56))</f>
        <v/>
      </c>
      <c r="E342" s="18">
        <f>IF(OR($B$10="",57&gt;$H$10),"",IF($I$10="SAC",ROUND($E$10/$H$10+$F342,2),ROUND(($E$10*$G$10*(1+$G$10)^$H$10/((1+$G$10)^$H$10-1)),2)))</f>
        <v/>
      </c>
      <c r="F342" s="18">
        <f>IF(OR($B$10="",57&gt;$H$10),"",ROUND($H341*$G$10,2))</f>
        <v/>
      </c>
      <c r="G342" s="18">
        <f>IF(OR($B$10="",57&gt;$H$10),"",IF($I$10="SAC",ROUND($E$10/$H$10,2),ROUND($E342-$F342,2)))</f>
        <v/>
      </c>
      <c r="H342" s="18">
        <f>IF(OR($B$10="",57&gt;$H$10),"",ROUND(MAX(0,$H341-$G342),2))</f>
        <v/>
      </c>
      <c r="I342" s="17">
        <f>IF(OR($B$10="",57&gt;$H$10),"",IF($D342&lt;=TODAY(),"Vencida","A vencer"))</f>
        <v/>
      </c>
      <c r="J342" s="30">
        <f>IF($D342="","",EOMONTH($D342,0))</f>
        <v/>
      </c>
    </row>
    <row r="343">
      <c r="A343" s="24">
        <f>IF($B$10="","",$A$10)</f>
        <v/>
      </c>
      <c r="B343" s="9">
        <f>IF($B$10="","",$B$10)</f>
        <v/>
      </c>
      <c r="C343" s="24">
        <f>IF($B$10="","",58)</f>
        <v/>
      </c>
      <c r="D343" s="30">
        <f>IF(OR($B$10="",58&gt;$H$10),"",EDATE($J$10,57))</f>
        <v/>
      </c>
      <c r="E343" s="18">
        <f>IF(OR($B$10="",58&gt;$H$10),"",IF($I$10="SAC",ROUND($E$10/$H$10+$F343,2),ROUND(($E$10*$G$10*(1+$G$10)^$H$10/((1+$G$10)^$H$10-1)),2)))</f>
        <v/>
      </c>
      <c r="F343" s="18">
        <f>IF(OR($B$10="",58&gt;$H$10),"",ROUND($H342*$G$10,2))</f>
        <v/>
      </c>
      <c r="G343" s="18">
        <f>IF(OR($B$10="",58&gt;$H$10),"",IF($I$10="SAC",ROUND($E$10/$H$10,2),ROUND($E343-$F343,2)))</f>
        <v/>
      </c>
      <c r="H343" s="18">
        <f>IF(OR($B$10="",58&gt;$H$10),"",ROUND(MAX(0,$H342-$G343),2))</f>
        <v/>
      </c>
      <c r="I343" s="17">
        <f>IF(OR($B$10="",58&gt;$H$10),"",IF($D343&lt;=TODAY(),"Vencida","A vencer"))</f>
        <v/>
      </c>
      <c r="J343" s="30">
        <f>IF($D343="","",EOMONTH($D343,0))</f>
        <v/>
      </c>
    </row>
    <row r="344">
      <c r="A344" s="24">
        <f>IF($B$10="","",$A$10)</f>
        <v/>
      </c>
      <c r="B344" s="9">
        <f>IF($B$10="","",$B$10)</f>
        <v/>
      </c>
      <c r="C344" s="24">
        <f>IF($B$10="","",59)</f>
        <v/>
      </c>
      <c r="D344" s="30">
        <f>IF(OR($B$10="",59&gt;$H$10),"",EDATE($J$10,58))</f>
        <v/>
      </c>
      <c r="E344" s="18">
        <f>IF(OR($B$10="",59&gt;$H$10),"",IF($I$10="SAC",ROUND($E$10/$H$10+$F344,2),ROUND(($E$10*$G$10*(1+$G$10)^$H$10/((1+$G$10)^$H$10-1)),2)))</f>
        <v/>
      </c>
      <c r="F344" s="18">
        <f>IF(OR($B$10="",59&gt;$H$10),"",ROUND($H343*$G$10,2))</f>
        <v/>
      </c>
      <c r="G344" s="18">
        <f>IF(OR($B$10="",59&gt;$H$10),"",IF($I$10="SAC",ROUND($E$10/$H$10,2),ROUND($E344-$F344,2)))</f>
        <v/>
      </c>
      <c r="H344" s="18">
        <f>IF(OR($B$10="",59&gt;$H$10),"",ROUND(MAX(0,$H343-$G344),2))</f>
        <v/>
      </c>
      <c r="I344" s="17">
        <f>IF(OR($B$10="",59&gt;$H$10),"",IF($D344&lt;=TODAY(),"Vencida","A vencer"))</f>
        <v/>
      </c>
      <c r="J344" s="30">
        <f>IF($D344="","",EOMONTH($D344,0))</f>
        <v/>
      </c>
    </row>
    <row r="345">
      <c r="A345" s="24">
        <f>IF($B$10="","",$A$10)</f>
        <v/>
      </c>
      <c r="B345" s="9">
        <f>IF($B$10="","",$B$10)</f>
        <v/>
      </c>
      <c r="C345" s="24">
        <f>IF($B$10="","",60)</f>
        <v/>
      </c>
      <c r="D345" s="30">
        <f>IF(OR($B$10="",60&gt;$H$10),"",EDATE($J$10,59))</f>
        <v/>
      </c>
      <c r="E345" s="18">
        <f>IF(OR($B$10="",60&gt;$H$10),"",IF($I$10="SAC",ROUND($E$10/$H$10+$F345,2),ROUND(($E$10*$G$10*(1+$G$10)^$H$10/((1+$G$10)^$H$10-1)),2)))</f>
        <v/>
      </c>
      <c r="F345" s="18">
        <f>IF(OR($B$10="",60&gt;$H$10),"",ROUND($H344*$G$10,2))</f>
        <v/>
      </c>
      <c r="G345" s="18">
        <f>IF(OR($B$10="",60&gt;$H$10),"",IF($I$10="SAC",ROUND($E$10/$H$10,2),ROUND($E345-$F345,2)))</f>
        <v/>
      </c>
      <c r="H345" s="18">
        <f>IF(OR($B$10="",60&gt;$H$10),"",ROUND(MAX(0,$H344-$G345),2))</f>
        <v/>
      </c>
      <c r="I345" s="17">
        <f>IF(OR($B$10="",60&gt;$H$10),"",IF($D345&lt;=TODAY(),"Vencida","A vencer"))</f>
        <v/>
      </c>
      <c r="J345" s="30">
        <f>IF($D345="","",EOMONTH($D345,0))</f>
        <v/>
      </c>
    </row>
    <row r="346">
      <c r="A346" s="24">
        <f>IF($B$11="","",$A$11)</f>
        <v/>
      </c>
      <c r="B346" s="9">
        <f>IF($B$11="","",$B$11)</f>
        <v/>
      </c>
      <c r="C346" s="24">
        <f>IF($B$11="","",1)</f>
        <v/>
      </c>
      <c r="D346" s="30">
        <f>IF(OR($B$11="",1&gt;$H$11),"",EDATE($J$11,0))</f>
        <v/>
      </c>
      <c r="E346" s="18">
        <f>IF(OR($B$11="",1&gt;$H$11),"",IF($I$11="SAC",ROUND($E$11/$H$11+$F346,2),ROUND(($E$11*$G$11*(1+$G$11)^$H$11/((1+$G$11)^$H$11-1)),2)))</f>
        <v/>
      </c>
      <c r="F346" s="18">
        <f>IF(OR($B$11="",1&gt;$H$11),"",ROUND($E$11*$G$11,2))</f>
        <v/>
      </c>
      <c r="G346" s="18">
        <f>IF(OR($B$11="",1&gt;$H$11),"",IF($I$11="SAC",ROUND($E$11/$H$11,2),ROUND($E346-$F346,2)))</f>
        <v/>
      </c>
      <c r="H346" s="18">
        <f>IF(OR($B$11="",1&gt;$H$11),"",ROUND($E$11-$G346,2))</f>
        <v/>
      </c>
      <c r="I346" s="17">
        <f>IF(OR($B$11="",1&gt;$H$11),"",IF($D346&lt;=TODAY(),"Vencida","A vencer"))</f>
        <v/>
      </c>
      <c r="J346" s="30">
        <f>IF($D346="","",EOMONTH($D346,0))</f>
        <v/>
      </c>
    </row>
    <row r="347">
      <c r="A347" s="24">
        <f>IF($B$11="","",$A$11)</f>
        <v/>
      </c>
      <c r="B347" s="9">
        <f>IF($B$11="","",$B$11)</f>
        <v/>
      </c>
      <c r="C347" s="24">
        <f>IF($B$11="","",2)</f>
        <v/>
      </c>
      <c r="D347" s="30">
        <f>IF(OR($B$11="",2&gt;$H$11),"",EDATE($J$11,1))</f>
        <v/>
      </c>
      <c r="E347" s="18">
        <f>IF(OR($B$11="",2&gt;$H$11),"",IF($I$11="SAC",ROUND($E$11/$H$11+$F347,2),ROUND(($E$11*$G$11*(1+$G$11)^$H$11/((1+$G$11)^$H$11-1)),2)))</f>
        <v/>
      </c>
      <c r="F347" s="18">
        <f>IF(OR($B$11="",2&gt;$H$11),"",ROUND($H346*$G$11,2))</f>
        <v/>
      </c>
      <c r="G347" s="18">
        <f>IF(OR($B$11="",2&gt;$H$11),"",IF($I$11="SAC",ROUND($E$11/$H$11,2),ROUND($E347-$F347,2)))</f>
        <v/>
      </c>
      <c r="H347" s="18">
        <f>IF(OR($B$11="",2&gt;$H$11),"",ROUND(MAX(0,$H346-$G347),2))</f>
        <v/>
      </c>
      <c r="I347" s="17">
        <f>IF(OR($B$11="",2&gt;$H$11),"",IF($D347&lt;=TODAY(),"Vencida","A vencer"))</f>
        <v/>
      </c>
      <c r="J347" s="30">
        <f>IF($D347="","",EOMONTH($D347,0))</f>
        <v/>
      </c>
    </row>
    <row r="348">
      <c r="A348" s="24">
        <f>IF($B$11="","",$A$11)</f>
        <v/>
      </c>
      <c r="B348" s="9">
        <f>IF($B$11="","",$B$11)</f>
        <v/>
      </c>
      <c r="C348" s="24">
        <f>IF($B$11="","",3)</f>
        <v/>
      </c>
      <c r="D348" s="30">
        <f>IF(OR($B$11="",3&gt;$H$11),"",EDATE($J$11,2))</f>
        <v/>
      </c>
      <c r="E348" s="18">
        <f>IF(OR($B$11="",3&gt;$H$11),"",IF($I$11="SAC",ROUND($E$11/$H$11+$F348,2),ROUND(($E$11*$G$11*(1+$G$11)^$H$11/((1+$G$11)^$H$11-1)),2)))</f>
        <v/>
      </c>
      <c r="F348" s="18">
        <f>IF(OR($B$11="",3&gt;$H$11),"",ROUND($H347*$G$11,2))</f>
        <v/>
      </c>
      <c r="G348" s="18">
        <f>IF(OR($B$11="",3&gt;$H$11),"",IF($I$11="SAC",ROUND($E$11/$H$11,2),ROUND($E348-$F348,2)))</f>
        <v/>
      </c>
      <c r="H348" s="18">
        <f>IF(OR($B$11="",3&gt;$H$11),"",ROUND(MAX(0,$H347-$G348),2))</f>
        <v/>
      </c>
      <c r="I348" s="17">
        <f>IF(OR($B$11="",3&gt;$H$11),"",IF($D348&lt;=TODAY(),"Vencida","A vencer"))</f>
        <v/>
      </c>
      <c r="J348" s="30">
        <f>IF($D348="","",EOMONTH($D348,0))</f>
        <v/>
      </c>
    </row>
    <row r="349">
      <c r="A349" s="24">
        <f>IF($B$11="","",$A$11)</f>
        <v/>
      </c>
      <c r="B349" s="9">
        <f>IF($B$11="","",$B$11)</f>
        <v/>
      </c>
      <c r="C349" s="24">
        <f>IF($B$11="","",4)</f>
        <v/>
      </c>
      <c r="D349" s="30">
        <f>IF(OR($B$11="",4&gt;$H$11),"",EDATE($J$11,3))</f>
        <v/>
      </c>
      <c r="E349" s="18">
        <f>IF(OR($B$11="",4&gt;$H$11),"",IF($I$11="SAC",ROUND($E$11/$H$11+$F349,2),ROUND(($E$11*$G$11*(1+$G$11)^$H$11/((1+$G$11)^$H$11-1)),2)))</f>
        <v/>
      </c>
      <c r="F349" s="18">
        <f>IF(OR($B$11="",4&gt;$H$11),"",ROUND($H348*$G$11,2))</f>
        <v/>
      </c>
      <c r="G349" s="18">
        <f>IF(OR($B$11="",4&gt;$H$11),"",IF($I$11="SAC",ROUND($E$11/$H$11,2),ROUND($E349-$F349,2)))</f>
        <v/>
      </c>
      <c r="H349" s="18">
        <f>IF(OR($B$11="",4&gt;$H$11),"",ROUND(MAX(0,$H348-$G349),2))</f>
        <v/>
      </c>
      <c r="I349" s="17">
        <f>IF(OR($B$11="",4&gt;$H$11),"",IF($D349&lt;=TODAY(),"Vencida","A vencer"))</f>
        <v/>
      </c>
      <c r="J349" s="30">
        <f>IF($D349="","",EOMONTH($D349,0))</f>
        <v/>
      </c>
    </row>
    <row r="350">
      <c r="A350" s="24">
        <f>IF($B$11="","",$A$11)</f>
        <v/>
      </c>
      <c r="B350" s="9">
        <f>IF($B$11="","",$B$11)</f>
        <v/>
      </c>
      <c r="C350" s="24">
        <f>IF($B$11="","",5)</f>
        <v/>
      </c>
      <c r="D350" s="30">
        <f>IF(OR($B$11="",5&gt;$H$11),"",EDATE($J$11,4))</f>
        <v/>
      </c>
      <c r="E350" s="18">
        <f>IF(OR($B$11="",5&gt;$H$11),"",IF($I$11="SAC",ROUND($E$11/$H$11+$F350,2),ROUND(($E$11*$G$11*(1+$G$11)^$H$11/((1+$G$11)^$H$11-1)),2)))</f>
        <v/>
      </c>
      <c r="F350" s="18">
        <f>IF(OR($B$11="",5&gt;$H$11),"",ROUND($H349*$G$11,2))</f>
        <v/>
      </c>
      <c r="G350" s="18">
        <f>IF(OR($B$11="",5&gt;$H$11),"",IF($I$11="SAC",ROUND($E$11/$H$11,2),ROUND($E350-$F350,2)))</f>
        <v/>
      </c>
      <c r="H350" s="18">
        <f>IF(OR($B$11="",5&gt;$H$11),"",ROUND(MAX(0,$H349-$G350),2))</f>
        <v/>
      </c>
      <c r="I350" s="17">
        <f>IF(OR($B$11="",5&gt;$H$11),"",IF($D350&lt;=TODAY(),"Vencida","A vencer"))</f>
        <v/>
      </c>
      <c r="J350" s="30">
        <f>IF($D350="","",EOMONTH($D350,0))</f>
        <v/>
      </c>
    </row>
    <row r="351">
      <c r="A351" s="24">
        <f>IF($B$11="","",$A$11)</f>
        <v/>
      </c>
      <c r="B351" s="9">
        <f>IF($B$11="","",$B$11)</f>
        <v/>
      </c>
      <c r="C351" s="24">
        <f>IF($B$11="","",6)</f>
        <v/>
      </c>
      <c r="D351" s="30">
        <f>IF(OR($B$11="",6&gt;$H$11),"",EDATE($J$11,5))</f>
        <v/>
      </c>
      <c r="E351" s="18">
        <f>IF(OR($B$11="",6&gt;$H$11),"",IF($I$11="SAC",ROUND($E$11/$H$11+$F351,2),ROUND(($E$11*$G$11*(1+$G$11)^$H$11/((1+$G$11)^$H$11-1)),2)))</f>
        <v/>
      </c>
      <c r="F351" s="18">
        <f>IF(OR($B$11="",6&gt;$H$11),"",ROUND($H350*$G$11,2))</f>
        <v/>
      </c>
      <c r="G351" s="18">
        <f>IF(OR($B$11="",6&gt;$H$11),"",IF($I$11="SAC",ROUND($E$11/$H$11,2),ROUND($E351-$F351,2)))</f>
        <v/>
      </c>
      <c r="H351" s="18">
        <f>IF(OR($B$11="",6&gt;$H$11),"",ROUND(MAX(0,$H350-$G351),2))</f>
        <v/>
      </c>
      <c r="I351" s="17">
        <f>IF(OR($B$11="",6&gt;$H$11),"",IF($D351&lt;=TODAY(),"Vencida","A vencer"))</f>
        <v/>
      </c>
      <c r="J351" s="30">
        <f>IF($D351="","",EOMONTH($D351,0))</f>
        <v/>
      </c>
    </row>
    <row r="352">
      <c r="A352" s="24">
        <f>IF($B$11="","",$A$11)</f>
        <v/>
      </c>
      <c r="B352" s="9">
        <f>IF($B$11="","",$B$11)</f>
        <v/>
      </c>
      <c r="C352" s="24">
        <f>IF($B$11="","",7)</f>
        <v/>
      </c>
      <c r="D352" s="30">
        <f>IF(OR($B$11="",7&gt;$H$11),"",EDATE($J$11,6))</f>
        <v/>
      </c>
      <c r="E352" s="18">
        <f>IF(OR($B$11="",7&gt;$H$11),"",IF($I$11="SAC",ROUND($E$11/$H$11+$F352,2),ROUND(($E$11*$G$11*(1+$G$11)^$H$11/((1+$G$11)^$H$11-1)),2)))</f>
        <v/>
      </c>
      <c r="F352" s="18">
        <f>IF(OR($B$11="",7&gt;$H$11),"",ROUND($H351*$G$11,2))</f>
        <v/>
      </c>
      <c r="G352" s="18">
        <f>IF(OR($B$11="",7&gt;$H$11),"",IF($I$11="SAC",ROUND($E$11/$H$11,2),ROUND($E352-$F352,2)))</f>
        <v/>
      </c>
      <c r="H352" s="18">
        <f>IF(OR($B$11="",7&gt;$H$11),"",ROUND(MAX(0,$H351-$G352),2))</f>
        <v/>
      </c>
      <c r="I352" s="17">
        <f>IF(OR($B$11="",7&gt;$H$11),"",IF($D352&lt;=TODAY(),"Vencida","A vencer"))</f>
        <v/>
      </c>
      <c r="J352" s="30">
        <f>IF($D352="","",EOMONTH($D352,0))</f>
        <v/>
      </c>
    </row>
    <row r="353">
      <c r="A353" s="24">
        <f>IF($B$11="","",$A$11)</f>
        <v/>
      </c>
      <c r="B353" s="9">
        <f>IF($B$11="","",$B$11)</f>
        <v/>
      </c>
      <c r="C353" s="24">
        <f>IF($B$11="","",8)</f>
        <v/>
      </c>
      <c r="D353" s="30">
        <f>IF(OR($B$11="",8&gt;$H$11),"",EDATE($J$11,7))</f>
        <v/>
      </c>
      <c r="E353" s="18">
        <f>IF(OR($B$11="",8&gt;$H$11),"",IF($I$11="SAC",ROUND($E$11/$H$11+$F353,2),ROUND(($E$11*$G$11*(1+$G$11)^$H$11/((1+$G$11)^$H$11-1)),2)))</f>
        <v/>
      </c>
      <c r="F353" s="18">
        <f>IF(OR($B$11="",8&gt;$H$11),"",ROUND($H352*$G$11,2))</f>
        <v/>
      </c>
      <c r="G353" s="18">
        <f>IF(OR($B$11="",8&gt;$H$11),"",IF($I$11="SAC",ROUND($E$11/$H$11,2),ROUND($E353-$F353,2)))</f>
        <v/>
      </c>
      <c r="H353" s="18">
        <f>IF(OR($B$11="",8&gt;$H$11),"",ROUND(MAX(0,$H352-$G353),2))</f>
        <v/>
      </c>
      <c r="I353" s="17">
        <f>IF(OR($B$11="",8&gt;$H$11),"",IF($D353&lt;=TODAY(),"Vencida","A vencer"))</f>
        <v/>
      </c>
      <c r="J353" s="30">
        <f>IF($D353="","",EOMONTH($D353,0))</f>
        <v/>
      </c>
    </row>
    <row r="354">
      <c r="A354" s="24">
        <f>IF($B$11="","",$A$11)</f>
        <v/>
      </c>
      <c r="B354" s="9">
        <f>IF($B$11="","",$B$11)</f>
        <v/>
      </c>
      <c r="C354" s="24">
        <f>IF($B$11="","",9)</f>
        <v/>
      </c>
      <c r="D354" s="30">
        <f>IF(OR($B$11="",9&gt;$H$11),"",EDATE($J$11,8))</f>
        <v/>
      </c>
      <c r="E354" s="18">
        <f>IF(OR($B$11="",9&gt;$H$11),"",IF($I$11="SAC",ROUND($E$11/$H$11+$F354,2),ROUND(($E$11*$G$11*(1+$G$11)^$H$11/((1+$G$11)^$H$11-1)),2)))</f>
        <v/>
      </c>
      <c r="F354" s="18">
        <f>IF(OR($B$11="",9&gt;$H$11),"",ROUND($H353*$G$11,2))</f>
        <v/>
      </c>
      <c r="G354" s="18">
        <f>IF(OR($B$11="",9&gt;$H$11),"",IF($I$11="SAC",ROUND($E$11/$H$11,2),ROUND($E354-$F354,2)))</f>
        <v/>
      </c>
      <c r="H354" s="18">
        <f>IF(OR($B$11="",9&gt;$H$11),"",ROUND(MAX(0,$H353-$G354),2))</f>
        <v/>
      </c>
      <c r="I354" s="17">
        <f>IF(OR($B$11="",9&gt;$H$11),"",IF($D354&lt;=TODAY(),"Vencida","A vencer"))</f>
        <v/>
      </c>
      <c r="J354" s="30">
        <f>IF($D354="","",EOMONTH($D354,0))</f>
        <v/>
      </c>
    </row>
    <row r="355">
      <c r="A355" s="24">
        <f>IF($B$11="","",$A$11)</f>
        <v/>
      </c>
      <c r="B355" s="9">
        <f>IF($B$11="","",$B$11)</f>
        <v/>
      </c>
      <c r="C355" s="24">
        <f>IF($B$11="","",10)</f>
        <v/>
      </c>
      <c r="D355" s="30">
        <f>IF(OR($B$11="",10&gt;$H$11),"",EDATE($J$11,9))</f>
        <v/>
      </c>
      <c r="E355" s="18">
        <f>IF(OR($B$11="",10&gt;$H$11),"",IF($I$11="SAC",ROUND($E$11/$H$11+$F355,2),ROUND(($E$11*$G$11*(1+$G$11)^$H$11/((1+$G$11)^$H$11-1)),2)))</f>
        <v/>
      </c>
      <c r="F355" s="18">
        <f>IF(OR($B$11="",10&gt;$H$11),"",ROUND($H354*$G$11,2))</f>
        <v/>
      </c>
      <c r="G355" s="18">
        <f>IF(OR($B$11="",10&gt;$H$11),"",IF($I$11="SAC",ROUND($E$11/$H$11,2),ROUND($E355-$F355,2)))</f>
        <v/>
      </c>
      <c r="H355" s="18">
        <f>IF(OR($B$11="",10&gt;$H$11),"",ROUND(MAX(0,$H354-$G355),2))</f>
        <v/>
      </c>
      <c r="I355" s="17">
        <f>IF(OR($B$11="",10&gt;$H$11),"",IF($D355&lt;=TODAY(),"Vencida","A vencer"))</f>
        <v/>
      </c>
      <c r="J355" s="30">
        <f>IF($D355="","",EOMONTH($D355,0))</f>
        <v/>
      </c>
    </row>
    <row r="356">
      <c r="A356" s="24">
        <f>IF($B$11="","",$A$11)</f>
        <v/>
      </c>
      <c r="B356" s="9">
        <f>IF($B$11="","",$B$11)</f>
        <v/>
      </c>
      <c r="C356" s="24">
        <f>IF($B$11="","",11)</f>
        <v/>
      </c>
      <c r="D356" s="30">
        <f>IF(OR($B$11="",11&gt;$H$11),"",EDATE($J$11,10))</f>
        <v/>
      </c>
      <c r="E356" s="18">
        <f>IF(OR($B$11="",11&gt;$H$11),"",IF($I$11="SAC",ROUND($E$11/$H$11+$F356,2),ROUND(($E$11*$G$11*(1+$G$11)^$H$11/((1+$G$11)^$H$11-1)),2)))</f>
        <v/>
      </c>
      <c r="F356" s="18">
        <f>IF(OR($B$11="",11&gt;$H$11),"",ROUND($H355*$G$11,2))</f>
        <v/>
      </c>
      <c r="G356" s="18">
        <f>IF(OR($B$11="",11&gt;$H$11),"",IF($I$11="SAC",ROUND($E$11/$H$11,2),ROUND($E356-$F356,2)))</f>
        <v/>
      </c>
      <c r="H356" s="18">
        <f>IF(OR($B$11="",11&gt;$H$11),"",ROUND(MAX(0,$H355-$G356),2))</f>
        <v/>
      </c>
      <c r="I356" s="17">
        <f>IF(OR($B$11="",11&gt;$H$11),"",IF($D356&lt;=TODAY(),"Vencida","A vencer"))</f>
        <v/>
      </c>
      <c r="J356" s="30">
        <f>IF($D356="","",EOMONTH($D356,0))</f>
        <v/>
      </c>
    </row>
    <row r="357">
      <c r="A357" s="24">
        <f>IF($B$11="","",$A$11)</f>
        <v/>
      </c>
      <c r="B357" s="9">
        <f>IF($B$11="","",$B$11)</f>
        <v/>
      </c>
      <c r="C357" s="24">
        <f>IF($B$11="","",12)</f>
        <v/>
      </c>
      <c r="D357" s="30">
        <f>IF(OR($B$11="",12&gt;$H$11),"",EDATE($J$11,11))</f>
        <v/>
      </c>
      <c r="E357" s="18">
        <f>IF(OR($B$11="",12&gt;$H$11),"",IF($I$11="SAC",ROUND($E$11/$H$11+$F357,2),ROUND(($E$11*$G$11*(1+$G$11)^$H$11/((1+$G$11)^$H$11-1)),2)))</f>
        <v/>
      </c>
      <c r="F357" s="18">
        <f>IF(OR($B$11="",12&gt;$H$11),"",ROUND($H356*$G$11,2))</f>
        <v/>
      </c>
      <c r="G357" s="18">
        <f>IF(OR($B$11="",12&gt;$H$11),"",IF($I$11="SAC",ROUND($E$11/$H$11,2),ROUND($E357-$F357,2)))</f>
        <v/>
      </c>
      <c r="H357" s="18">
        <f>IF(OR($B$11="",12&gt;$H$11),"",ROUND(MAX(0,$H356-$G357),2))</f>
        <v/>
      </c>
      <c r="I357" s="17">
        <f>IF(OR($B$11="",12&gt;$H$11),"",IF($D357&lt;=TODAY(),"Vencida","A vencer"))</f>
        <v/>
      </c>
      <c r="J357" s="30">
        <f>IF($D357="","",EOMONTH($D357,0))</f>
        <v/>
      </c>
    </row>
    <row r="358">
      <c r="A358" s="24">
        <f>IF($B$11="","",$A$11)</f>
        <v/>
      </c>
      <c r="B358" s="9">
        <f>IF($B$11="","",$B$11)</f>
        <v/>
      </c>
      <c r="C358" s="24">
        <f>IF($B$11="","",13)</f>
        <v/>
      </c>
      <c r="D358" s="30">
        <f>IF(OR($B$11="",13&gt;$H$11),"",EDATE($J$11,12))</f>
        <v/>
      </c>
      <c r="E358" s="18">
        <f>IF(OR($B$11="",13&gt;$H$11),"",IF($I$11="SAC",ROUND($E$11/$H$11+$F358,2),ROUND(($E$11*$G$11*(1+$G$11)^$H$11/((1+$G$11)^$H$11-1)),2)))</f>
        <v/>
      </c>
      <c r="F358" s="18">
        <f>IF(OR($B$11="",13&gt;$H$11),"",ROUND($H357*$G$11,2))</f>
        <v/>
      </c>
      <c r="G358" s="18">
        <f>IF(OR($B$11="",13&gt;$H$11),"",IF($I$11="SAC",ROUND($E$11/$H$11,2),ROUND($E358-$F358,2)))</f>
        <v/>
      </c>
      <c r="H358" s="18">
        <f>IF(OR($B$11="",13&gt;$H$11),"",ROUND(MAX(0,$H357-$G358),2))</f>
        <v/>
      </c>
      <c r="I358" s="17">
        <f>IF(OR($B$11="",13&gt;$H$11),"",IF($D358&lt;=TODAY(),"Vencida","A vencer"))</f>
        <v/>
      </c>
      <c r="J358" s="30">
        <f>IF($D358="","",EOMONTH($D358,0))</f>
        <v/>
      </c>
    </row>
    <row r="359">
      <c r="A359" s="24">
        <f>IF($B$11="","",$A$11)</f>
        <v/>
      </c>
      <c r="B359" s="9">
        <f>IF($B$11="","",$B$11)</f>
        <v/>
      </c>
      <c r="C359" s="24">
        <f>IF($B$11="","",14)</f>
        <v/>
      </c>
      <c r="D359" s="30">
        <f>IF(OR($B$11="",14&gt;$H$11),"",EDATE($J$11,13))</f>
        <v/>
      </c>
      <c r="E359" s="18">
        <f>IF(OR($B$11="",14&gt;$H$11),"",IF($I$11="SAC",ROUND($E$11/$H$11+$F359,2),ROUND(($E$11*$G$11*(1+$G$11)^$H$11/((1+$G$11)^$H$11-1)),2)))</f>
        <v/>
      </c>
      <c r="F359" s="18">
        <f>IF(OR($B$11="",14&gt;$H$11),"",ROUND($H358*$G$11,2))</f>
        <v/>
      </c>
      <c r="G359" s="18">
        <f>IF(OR($B$11="",14&gt;$H$11),"",IF($I$11="SAC",ROUND($E$11/$H$11,2),ROUND($E359-$F359,2)))</f>
        <v/>
      </c>
      <c r="H359" s="18">
        <f>IF(OR($B$11="",14&gt;$H$11),"",ROUND(MAX(0,$H358-$G359),2))</f>
        <v/>
      </c>
      <c r="I359" s="17">
        <f>IF(OR($B$11="",14&gt;$H$11),"",IF($D359&lt;=TODAY(),"Vencida","A vencer"))</f>
        <v/>
      </c>
      <c r="J359" s="30">
        <f>IF($D359="","",EOMONTH($D359,0))</f>
        <v/>
      </c>
    </row>
    <row r="360">
      <c r="A360" s="24">
        <f>IF($B$11="","",$A$11)</f>
        <v/>
      </c>
      <c r="B360" s="9">
        <f>IF($B$11="","",$B$11)</f>
        <v/>
      </c>
      <c r="C360" s="24">
        <f>IF($B$11="","",15)</f>
        <v/>
      </c>
      <c r="D360" s="30">
        <f>IF(OR($B$11="",15&gt;$H$11),"",EDATE($J$11,14))</f>
        <v/>
      </c>
      <c r="E360" s="18">
        <f>IF(OR($B$11="",15&gt;$H$11),"",IF($I$11="SAC",ROUND($E$11/$H$11+$F360,2),ROUND(($E$11*$G$11*(1+$G$11)^$H$11/((1+$G$11)^$H$11-1)),2)))</f>
        <v/>
      </c>
      <c r="F360" s="18">
        <f>IF(OR($B$11="",15&gt;$H$11),"",ROUND($H359*$G$11,2))</f>
        <v/>
      </c>
      <c r="G360" s="18">
        <f>IF(OR($B$11="",15&gt;$H$11),"",IF($I$11="SAC",ROUND($E$11/$H$11,2),ROUND($E360-$F360,2)))</f>
        <v/>
      </c>
      <c r="H360" s="18">
        <f>IF(OR($B$11="",15&gt;$H$11),"",ROUND(MAX(0,$H359-$G360),2))</f>
        <v/>
      </c>
      <c r="I360" s="17">
        <f>IF(OR($B$11="",15&gt;$H$11),"",IF($D360&lt;=TODAY(),"Vencida","A vencer"))</f>
        <v/>
      </c>
      <c r="J360" s="30">
        <f>IF($D360="","",EOMONTH($D360,0))</f>
        <v/>
      </c>
    </row>
    <row r="361">
      <c r="A361" s="24">
        <f>IF($B$11="","",$A$11)</f>
        <v/>
      </c>
      <c r="B361" s="9">
        <f>IF($B$11="","",$B$11)</f>
        <v/>
      </c>
      <c r="C361" s="24">
        <f>IF($B$11="","",16)</f>
        <v/>
      </c>
      <c r="D361" s="30">
        <f>IF(OR($B$11="",16&gt;$H$11),"",EDATE($J$11,15))</f>
        <v/>
      </c>
      <c r="E361" s="18">
        <f>IF(OR($B$11="",16&gt;$H$11),"",IF($I$11="SAC",ROUND($E$11/$H$11+$F361,2),ROUND(($E$11*$G$11*(1+$G$11)^$H$11/((1+$G$11)^$H$11-1)),2)))</f>
        <v/>
      </c>
      <c r="F361" s="18">
        <f>IF(OR($B$11="",16&gt;$H$11),"",ROUND($H360*$G$11,2))</f>
        <v/>
      </c>
      <c r="G361" s="18">
        <f>IF(OR($B$11="",16&gt;$H$11),"",IF($I$11="SAC",ROUND($E$11/$H$11,2),ROUND($E361-$F361,2)))</f>
        <v/>
      </c>
      <c r="H361" s="18">
        <f>IF(OR($B$11="",16&gt;$H$11),"",ROUND(MAX(0,$H360-$G361),2))</f>
        <v/>
      </c>
      <c r="I361" s="17">
        <f>IF(OR($B$11="",16&gt;$H$11),"",IF($D361&lt;=TODAY(),"Vencida","A vencer"))</f>
        <v/>
      </c>
      <c r="J361" s="30">
        <f>IF($D361="","",EOMONTH($D361,0))</f>
        <v/>
      </c>
    </row>
    <row r="362">
      <c r="A362" s="24">
        <f>IF($B$11="","",$A$11)</f>
        <v/>
      </c>
      <c r="B362" s="9">
        <f>IF($B$11="","",$B$11)</f>
        <v/>
      </c>
      <c r="C362" s="24">
        <f>IF($B$11="","",17)</f>
        <v/>
      </c>
      <c r="D362" s="30">
        <f>IF(OR($B$11="",17&gt;$H$11),"",EDATE($J$11,16))</f>
        <v/>
      </c>
      <c r="E362" s="18">
        <f>IF(OR($B$11="",17&gt;$H$11),"",IF($I$11="SAC",ROUND($E$11/$H$11+$F362,2),ROUND(($E$11*$G$11*(1+$G$11)^$H$11/((1+$G$11)^$H$11-1)),2)))</f>
        <v/>
      </c>
      <c r="F362" s="18">
        <f>IF(OR($B$11="",17&gt;$H$11),"",ROUND($H361*$G$11,2))</f>
        <v/>
      </c>
      <c r="G362" s="18">
        <f>IF(OR($B$11="",17&gt;$H$11),"",IF($I$11="SAC",ROUND($E$11/$H$11,2),ROUND($E362-$F362,2)))</f>
        <v/>
      </c>
      <c r="H362" s="18">
        <f>IF(OR($B$11="",17&gt;$H$11),"",ROUND(MAX(0,$H361-$G362),2))</f>
        <v/>
      </c>
      <c r="I362" s="17">
        <f>IF(OR($B$11="",17&gt;$H$11),"",IF($D362&lt;=TODAY(),"Vencida","A vencer"))</f>
        <v/>
      </c>
      <c r="J362" s="30">
        <f>IF($D362="","",EOMONTH($D362,0))</f>
        <v/>
      </c>
    </row>
    <row r="363">
      <c r="A363" s="24">
        <f>IF($B$11="","",$A$11)</f>
        <v/>
      </c>
      <c r="B363" s="9">
        <f>IF($B$11="","",$B$11)</f>
        <v/>
      </c>
      <c r="C363" s="24">
        <f>IF($B$11="","",18)</f>
        <v/>
      </c>
      <c r="D363" s="30">
        <f>IF(OR($B$11="",18&gt;$H$11),"",EDATE($J$11,17))</f>
        <v/>
      </c>
      <c r="E363" s="18">
        <f>IF(OR($B$11="",18&gt;$H$11),"",IF($I$11="SAC",ROUND($E$11/$H$11+$F363,2),ROUND(($E$11*$G$11*(1+$G$11)^$H$11/((1+$G$11)^$H$11-1)),2)))</f>
        <v/>
      </c>
      <c r="F363" s="18">
        <f>IF(OR($B$11="",18&gt;$H$11),"",ROUND($H362*$G$11,2))</f>
        <v/>
      </c>
      <c r="G363" s="18">
        <f>IF(OR($B$11="",18&gt;$H$11),"",IF($I$11="SAC",ROUND($E$11/$H$11,2),ROUND($E363-$F363,2)))</f>
        <v/>
      </c>
      <c r="H363" s="18">
        <f>IF(OR($B$11="",18&gt;$H$11),"",ROUND(MAX(0,$H362-$G363),2))</f>
        <v/>
      </c>
      <c r="I363" s="17">
        <f>IF(OR($B$11="",18&gt;$H$11),"",IF($D363&lt;=TODAY(),"Vencida","A vencer"))</f>
        <v/>
      </c>
      <c r="J363" s="30">
        <f>IF($D363="","",EOMONTH($D363,0))</f>
        <v/>
      </c>
    </row>
    <row r="364">
      <c r="A364" s="24">
        <f>IF($B$11="","",$A$11)</f>
        <v/>
      </c>
      <c r="B364" s="9">
        <f>IF($B$11="","",$B$11)</f>
        <v/>
      </c>
      <c r="C364" s="24">
        <f>IF($B$11="","",19)</f>
        <v/>
      </c>
      <c r="D364" s="30">
        <f>IF(OR($B$11="",19&gt;$H$11),"",EDATE($J$11,18))</f>
        <v/>
      </c>
      <c r="E364" s="18">
        <f>IF(OR($B$11="",19&gt;$H$11),"",IF($I$11="SAC",ROUND($E$11/$H$11+$F364,2),ROUND(($E$11*$G$11*(1+$G$11)^$H$11/((1+$G$11)^$H$11-1)),2)))</f>
        <v/>
      </c>
      <c r="F364" s="18">
        <f>IF(OR($B$11="",19&gt;$H$11),"",ROUND($H363*$G$11,2))</f>
        <v/>
      </c>
      <c r="G364" s="18">
        <f>IF(OR($B$11="",19&gt;$H$11),"",IF($I$11="SAC",ROUND($E$11/$H$11,2),ROUND($E364-$F364,2)))</f>
        <v/>
      </c>
      <c r="H364" s="18">
        <f>IF(OR($B$11="",19&gt;$H$11),"",ROUND(MAX(0,$H363-$G364),2))</f>
        <v/>
      </c>
      <c r="I364" s="17">
        <f>IF(OR($B$11="",19&gt;$H$11),"",IF($D364&lt;=TODAY(),"Vencida","A vencer"))</f>
        <v/>
      </c>
      <c r="J364" s="30">
        <f>IF($D364="","",EOMONTH($D364,0))</f>
        <v/>
      </c>
    </row>
    <row r="365">
      <c r="A365" s="24">
        <f>IF($B$11="","",$A$11)</f>
        <v/>
      </c>
      <c r="B365" s="9">
        <f>IF($B$11="","",$B$11)</f>
        <v/>
      </c>
      <c r="C365" s="24">
        <f>IF($B$11="","",20)</f>
        <v/>
      </c>
      <c r="D365" s="30">
        <f>IF(OR($B$11="",20&gt;$H$11),"",EDATE($J$11,19))</f>
        <v/>
      </c>
      <c r="E365" s="18">
        <f>IF(OR($B$11="",20&gt;$H$11),"",IF($I$11="SAC",ROUND($E$11/$H$11+$F365,2),ROUND(($E$11*$G$11*(1+$G$11)^$H$11/((1+$G$11)^$H$11-1)),2)))</f>
        <v/>
      </c>
      <c r="F365" s="18">
        <f>IF(OR($B$11="",20&gt;$H$11),"",ROUND($H364*$G$11,2))</f>
        <v/>
      </c>
      <c r="G365" s="18">
        <f>IF(OR($B$11="",20&gt;$H$11),"",IF($I$11="SAC",ROUND($E$11/$H$11,2),ROUND($E365-$F365,2)))</f>
        <v/>
      </c>
      <c r="H365" s="18">
        <f>IF(OR($B$11="",20&gt;$H$11),"",ROUND(MAX(0,$H364-$G365),2))</f>
        <v/>
      </c>
      <c r="I365" s="17">
        <f>IF(OR($B$11="",20&gt;$H$11),"",IF($D365&lt;=TODAY(),"Vencida","A vencer"))</f>
        <v/>
      </c>
      <c r="J365" s="30">
        <f>IF($D365="","",EOMONTH($D365,0))</f>
        <v/>
      </c>
    </row>
    <row r="366">
      <c r="A366" s="24">
        <f>IF($B$11="","",$A$11)</f>
        <v/>
      </c>
      <c r="B366" s="9">
        <f>IF($B$11="","",$B$11)</f>
        <v/>
      </c>
      <c r="C366" s="24">
        <f>IF($B$11="","",21)</f>
        <v/>
      </c>
      <c r="D366" s="30">
        <f>IF(OR($B$11="",21&gt;$H$11),"",EDATE($J$11,20))</f>
        <v/>
      </c>
      <c r="E366" s="18">
        <f>IF(OR($B$11="",21&gt;$H$11),"",IF($I$11="SAC",ROUND($E$11/$H$11+$F366,2),ROUND(($E$11*$G$11*(1+$G$11)^$H$11/((1+$G$11)^$H$11-1)),2)))</f>
        <v/>
      </c>
      <c r="F366" s="18">
        <f>IF(OR($B$11="",21&gt;$H$11),"",ROUND($H365*$G$11,2))</f>
        <v/>
      </c>
      <c r="G366" s="18">
        <f>IF(OR($B$11="",21&gt;$H$11),"",IF($I$11="SAC",ROUND($E$11/$H$11,2),ROUND($E366-$F366,2)))</f>
        <v/>
      </c>
      <c r="H366" s="18">
        <f>IF(OR($B$11="",21&gt;$H$11),"",ROUND(MAX(0,$H365-$G366),2))</f>
        <v/>
      </c>
      <c r="I366" s="17">
        <f>IF(OR($B$11="",21&gt;$H$11),"",IF($D366&lt;=TODAY(),"Vencida","A vencer"))</f>
        <v/>
      </c>
      <c r="J366" s="30">
        <f>IF($D366="","",EOMONTH($D366,0))</f>
        <v/>
      </c>
    </row>
    <row r="367">
      <c r="A367" s="24">
        <f>IF($B$11="","",$A$11)</f>
        <v/>
      </c>
      <c r="B367" s="9">
        <f>IF($B$11="","",$B$11)</f>
        <v/>
      </c>
      <c r="C367" s="24">
        <f>IF($B$11="","",22)</f>
        <v/>
      </c>
      <c r="D367" s="30">
        <f>IF(OR($B$11="",22&gt;$H$11),"",EDATE($J$11,21))</f>
        <v/>
      </c>
      <c r="E367" s="18">
        <f>IF(OR($B$11="",22&gt;$H$11),"",IF($I$11="SAC",ROUND($E$11/$H$11+$F367,2),ROUND(($E$11*$G$11*(1+$G$11)^$H$11/((1+$G$11)^$H$11-1)),2)))</f>
        <v/>
      </c>
      <c r="F367" s="18">
        <f>IF(OR($B$11="",22&gt;$H$11),"",ROUND($H366*$G$11,2))</f>
        <v/>
      </c>
      <c r="G367" s="18">
        <f>IF(OR($B$11="",22&gt;$H$11),"",IF($I$11="SAC",ROUND($E$11/$H$11,2),ROUND($E367-$F367,2)))</f>
        <v/>
      </c>
      <c r="H367" s="18">
        <f>IF(OR($B$11="",22&gt;$H$11),"",ROUND(MAX(0,$H366-$G367),2))</f>
        <v/>
      </c>
      <c r="I367" s="17">
        <f>IF(OR($B$11="",22&gt;$H$11),"",IF($D367&lt;=TODAY(),"Vencida","A vencer"))</f>
        <v/>
      </c>
      <c r="J367" s="30">
        <f>IF($D367="","",EOMONTH($D367,0))</f>
        <v/>
      </c>
    </row>
    <row r="368">
      <c r="A368" s="24">
        <f>IF($B$11="","",$A$11)</f>
        <v/>
      </c>
      <c r="B368" s="9">
        <f>IF($B$11="","",$B$11)</f>
        <v/>
      </c>
      <c r="C368" s="24">
        <f>IF($B$11="","",23)</f>
        <v/>
      </c>
      <c r="D368" s="30">
        <f>IF(OR($B$11="",23&gt;$H$11),"",EDATE($J$11,22))</f>
        <v/>
      </c>
      <c r="E368" s="18">
        <f>IF(OR($B$11="",23&gt;$H$11),"",IF($I$11="SAC",ROUND($E$11/$H$11+$F368,2),ROUND(($E$11*$G$11*(1+$G$11)^$H$11/((1+$G$11)^$H$11-1)),2)))</f>
        <v/>
      </c>
      <c r="F368" s="18">
        <f>IF(OR($B$11="",23&gt;$H$11),"",ROUND($H367*$G$11,2))</f>
        <v/>
      </c>
      <c r="G368" s="18">
        <f>IF(OR($B$11="",23&gt;$H$11),"",IF($I$11="SAC",ROUND($E$11/$H$11,2),ROUND($E368-$F368,2)))</f>
        <v/>
      </c>
      <c r="H368" s="18">
        <f>IF(OR($B$11="",23&gt;$H$11),"",ROUND(MAX(0,$H367-$G368),2))</f>
        <v/>
      </c>
      <c r="I368" s="17">
        <f>IF(OR($B$11="",23&gt;$H$11),"",IF($D368&lt;=TODAY(),"Vencida","A vencer"))</f>
        <v/>
      </c>
      <c r="J368" s="30">
        <f>IF($D368="","",EOMONTH($D368,0))</f>
        <v/>
      </c>
    </row>
    <row r="369">
      <c r="A369" s="24">
        <f>IF($B$11="","",$A$11)</f>
        <v/>
      </c>
      <c r="B369" s="9">
        <f>IF($B$11="","",$B$11)</f>
        <v/>
      </c>
      <c r="C369" s="24">
        <f>IF($B$11="","",24)</f>
        <v/>
      </c>
      <c r="D369" s="30">
        <f>IF(OR($B$11="",24&gt;$H$11),"",EDATE($J$11,23))</f>
        <v/>
      </c>
      <c r="E369" s="18">
        <f>IF(OR($B$11="",24&gt;$H$11),"",IF($I$11="SAC",ROUND($E$11/$H$11+$F369,2),ROUND(($E$11*$G$11*(1+$G$11)^$H$11/((1+$G$11)^$H$11-1)),2)))</f>
        <v/>
      </c>
      <c r="F369" s="18">
        <f>IF(OR($B$11="",24&gt;$H$11),"",ROUND($H368*$G$11,2))</f>
        <v/>
      </c>
      <c r="G369" s="18">
        <f>IF(OR($B$11="",24&gt;$H$11),"",IF($I$11="SAC",ROUND($E$11/$H$11,2),ROUND($E369-$F369,2)))</f>
        <v/>
      </c>
      <c r="H369" s="18">
        <f>IF(OR($B$11="",24&gt;$H$11),"",ROUND(MAX(0,$H368-$G369),2))</f>
        <v/>
      </c>
      <c r="I369" s="17">
        <f>IF(OR($B$11="",24&gt;$H$11),"",IF($D369&lt;=TODAY(),"Vencida","A vencer"))</f>
        <v/>
      </c>
      <c r="J369" s="30">
        <f>IF($D369="","",EOMONTH($D369,0))</f>
        <v/>
      </c>
    </row>
    <row r="370">
      <c r="A370" s="24">
        <f>IF($B$11="","",$A$11)</f>
        <v/>
      </c>
      <c r="B370" s="9">
        <f>IF($B$11="","",$B$11)</f>
        <v/>
      </c>
      <c r="C370" s="24">
        <f>IF($B$11="","",25)</f>
        <v/>
      </c>
      <c r="D370" s="30">
        <f>IF(OR($B$11="",25&gt;$H$11),"",EDATE($J$11,24))</f>
        <v/>
      </c>
      <c r="E370" s="18">
        <f>IF(OR($B$11="",25&gt;$H$11),"",IF($I$11="SAC",ROUND($E$11/$H$11+$F370,2),ROUND(($E$11*$G$11*(1+$G$11)^$H$11/((1+$G$11)^$H$11-1)),2)))</f>
        <v/>
      </c>
      <c r="F370" s="18">
        <f>IF(OR($B$11="",25&gt;$H$11),"",ROUND($H369*$G$11,2))</f>
        <v/>
      </c>
      <c r="G370" s="18">
        <f>IF(OR($B$11="",25&gt;$H$11),"",IF($I$11="SAC",ROUND($E$11/$H$11,2),ROUND($E370-$F370,2)))</f>
        <v/>
      </c>
      <c r="H370" s="18">
        <f>IF(OR($B$11="",25&gt;$H$11),"",ROUND(MAX(0,$H369-$G370),2))</f>
        <v/>
      </c>
      <c r="I370" s="17">
        <f>IF(OR($B$11="",25&gt;$H$11),"",IF($D370&lt;=TODAY(),"Vencida","A vencer"))</f>
        <v/>
      </c>
      <c r="J370" s="30">
        <f>IF($D370="","",EOMONTH($D370,0))</f>
        <v/>
      </c>
    </row>
    <row r="371">
      <c r="A371" s="24">
        <f>IF($B$11="","",$A$11)</f>
        <v/>
      </c>
      <c r="B371" s="9">
        <f>IF($B$11="","",$B$11)</f>
        <v/>
      </c>
      <c r="C371" s="24">
        <f>IF($B$11="","",26)</f>
        <v/>
      </c>
      <c r="D371" s="30">
        <f>IF(OR($B$11="",26&gt;$H$11),"",EDATE($J$11,25))</f>
        <v/>
      </c>
      <c r="E371" s="18">
        <f>IF(OR($B$11="",26&gt;$H$11),"",IF($I$11="SAC",ROUND($E$11/$H$11+$F371,2),ROUND(($E$11*$G$11*(1+$G$11)^$H$11/((1+$G$11)^$H$11-1)),2)))</f>
        <v/>
      </c>
      <c r="F371" s="18">
        <f>IF(OR($B$11="",26&gt;$H$11),"",ROUND($H370*$G$11,2))</f>
        <v/>
      </c>
      <c r="G371" s="18">
        <f>IF(OR($B$11="",26&gt;$H$11),"",IF($I$11="SAC",ROUND($E$11/$H$11,2),ROUND($E371-$F371,2)))</f>
        <v/>
      </c>
      <c r="H371" s="18">
        <f>IF(OR($B$11="",26&gt;$H$11),"",ROUND(MAX(0,$H370-$G371),2))</f>
        <v/>
      </c>
      <c r="I371" s="17">
        <f>IF(OR($B$11="",26&gt;$H$11),"",IF($D371&lt;=TODAY(),"Vencida","A vencer"))</f>
        <v/>
      </c>
      <c r="J371" s="30">
        <f>IF($D371="","",EOMONTH($D371,0))</f>
        <v/>
      </c>
    </row>
    <row r="372">
      <c r="A372" s="24">
        <f>IF($B$11="","",$A$11)</f>
        <v/>
      </c>
      <c r="B372" s="9">
        <f>IF($B$11="","",$B$11)</f>
        <v/>
      </c>
      <c r="C372" s="24">
        <f>IF($B$11="","",27)</f>
        <v/>
      </c>
      <c r="D372" s="30">
        <f>IF(OR($B$11="",27&gt;$H$11),"",EDATE($J$11,26))</f>
        <v/>
      </c>
      <c r="E372" s="18">
        <f>IF(OR($B$11="",27&gt;$H$11),"",IF($I$11="SAC",ROUND($E$11/$H$11+$F372,2),ROUND(($E$11*$G$11*(1+$G$11)^$H$11/((1+$G$11)^$H$11-1)),2)))</f>
        <v/>
      </c>
      <c r="F372" s="18">
        <f>IF(OR($B$11="",27&gt;$H$11),"",ROUND($H371*$G$11,2))</f>
        <v/>
      </c>
      <c r="G372" s="18">
        <f>IF(OR($B$11="",27&gt;$H$11),"",IF($I$11="SAC",ROUND($E$11/$H$11,2),ROUND($E372-$F372,2)))</f>
        <v/>
      </c>
      <c r="H372" s="18">
        <f>IF(OR($B$11="",27&gt;$H$11),"",ROUND(MAX(0,$H371-$G372),2))</f>
        <v/>
      </c>
      <c r="I372" s="17">
        <f>IF(OR($B$11="",27&gt;$H$11),"",IF($D372&lt;=TODAY(),"Vencida","A vencer"))</f>
        <v/>
      </c>
      <c r="J372" s="30">
        <f>IF($D372="","",EOMONTH($D372,0))</f>
        <v/>
      </c>
    </row>
    <row r="373">
      <c r="A373" s="24">
        <f>IF($B$11="","",$A$11)</f>
        <v/>
      </c>
      <c r="B373" s="9">
        <f>IF($B$11="","",$B$11)</f>
        <v/>
      </c>
      <c r="C373" s="24">
        <f>IF($B$11="","",28)</f>
        <v/>
      </c>
      <c r="D373" s="30">
        <f>IF(OR($B$11="",28&gt;$H$11),"",EDATE($J$11,27))</f>
        <v/>
      </c>
      <c r="E373" s="18">
        <f>IF(OR($B$11="",28&gt;$H$11),"",IF($I$11="SAC",ROUND($E$11/$H$11+$F373,2),ROUND(($E$11*$G$11*(1+$G$11)^$H$11/((1+$G$11)^$H$11-1)),2)))</f>
        <v/>
      </c>
      <c r="F373" s="18">
        <f>IF(OR($B$11="",28&gt;$H$11),"",ROUND($H372*$G$11,2))</f>
        <v/>
      </c>
      <c r="G373" s="18">
        <f>IF(OR($B$11="",28&gt;$H$11),"",IF($I$11="SAC",ROUND($E$11/$H$11,2),ROUND($E373-$F373,2)))</f>
        <v/>
      </c>
      <c r="H373" s="18">
        <f>IF(OR($B$11="",28&gt;$H$11),"",ROUND(MAX(0,$H372-$G373),2))</f>
        <v/>
      </c>
      <c r="I373" s="17">
        <f>IF(OR($B$11="",28&gt;$H$11),"",IF($D373&lt;=TODAY(),"Vencida","A vencer"))</f>
        <v/>
      </c>
      <c r="J373" s="30">
        <f>IF($D373="","",EOMONTH($D373,0))</f>
        <v/>
      </c>
    </row>
    <row r="374">
      <c r="A374" s="24">
        <f>IF($B$11="","",$A$11)</f>
        <v/>
      </c>
      <c r="B374" s="9">
        <f>IF($B$11="","",$B$11)</f>
        <v/>
      </c>
      <c r="C374" s="24">
        <f>IF($B$11="","",29)</f>
        <v/>
      </c>
      <c r="D374" s="30">
        <f>IF(OR($B$11="",29&gt;$H$11),"",EDATE($J$11,28))</f>
        <v/>
      </c>
      <c r="E374" s="18">
        <f>IF(OR($B$11="",29&gt;$H$11),"",IF($I$11="SAC",ROUND($E$11/$H$11+$F374,2),ROUND(($E$11*$G$11*(1+$G$11)^$H$11/((1+$G$11)^$H$11-1)),2)))</f>
        <v/>
      </c>
      <c r="F374" s="18">
        <f>IF(OR($B$11="",29&gt;$H$11),"",ROUND($H373*$G$11,2))</f>
        <v/>
      </c>
      <c r="G374" s="18">
        <f>IF(OR($B$11="",29&gt;$H$11),"",IF($I$11="SAC",ROUND($E$11/$H$11,2),ROUND($E374-$F374,2)))</f>
        <v/>
      </c>
      <c r="H374" s="18">
        <f>IF(OR($B$11="",29&gt;$H$11),"",ROUND(MAX(0,$H373-$G374),2))</f>
        <v/>
      </c>
      <c r="I374" s="17">
        <f>IF(OR($B$11="",29&gt;$H$11),"",IF($D374&lt;=TODAY(),"Vencida","A vencer"))</f>
        <v/>
      </c>
      <c r="J374" s="30">
        <f>IF($D374="","",EOMONTH($D374,0))</f>
        <v/>
      </c>
    </row>
    <row r="375">
      <c r="A375" s="24">
        <f>IF($B$11="","",$A$11)</f>
        <v/>
      </c>
      <c r="B375" s="9">
        <f>IF($B$11="","",$B$11)</f>
        <v/>
      </c>
      <c r="C375" s="24">
        <f>IF($B$11="","",30)</f>
        <v/>
      </c>
      <c r="D375" s="30">
        <f>IF(OR($B$11="",30&gt;$H$11),"",EDATE($J$11,29))</f>
        <v/>
      </c>
      <c r="E375" s="18">
        <f>IF(OR($B$11="",30&gt;$H$11),"",IF($I$11="SAC",ROUND($E$11/$H$11+$F375,2),ROUND(($E$11*$G$11*(1+$G$11)^$H$11/((1+$G$11)^$H$11-1)),2)))</f>
        <v/>
      </c>
      <c r="F375" s="18">
        <f>IF(OR($B$11="",30&gt;$H$11),"",ROUND($H374*$G$11,2))</f>
        <v/>
      </c>
      <c r="G375" s="18">
        <f>IF(OR($B$11="",30&gt;$H$11),"",IF($I$11="SAC",ROUND($E$11/$H$11,2),ROUND($E375-$F375,2)))</f>
        <v/>
      </c>
      <c r="H375" s="18">
        <f>IF(OR($B$11="",30&gt;$H$11),"",ROUND(MAX(0,$H374-$G375),2))</f>
        <v/>
      </c>
      <c r="I375" s="17">
        <f>IF(OR($B$11="",30&gt;$H$11),"",IF($D375&lt;=TODAY(),"Vencida","A vencer"))</f>
        <v/>
      </c>
      <c r="J375" s="30">
        <f>IF($D375="","",EOMONTH($D375,0))</f>
        <v/>
      </c>
    </row>
    <row r="376">
      <c r="A376" s="24">
        <f>IF($B$11="","",$A$11)</f>
        <v/>
      </c>
      <c r="B376" s="9">
        <f>IF($B$11="","",$B$11)</f>
        <v/>
      </c>
      <c r="C376" s="24">
        <f>IF($B$11="","",31)</f>
        <v/>
      </c>
      <c r="D376" s="30">
        <f>IF(OR($B$11="",31&gt;$H$11),"",EDATE($J$11,30))</f>
        <v/>
      </c>
      <c r="E376" s="18">
        <f>IF(OR($B$11="",31&gt;$H$11),"",IF($I$11="SAC",ROUND($E$11/$H$11+$F376,2),ROUND(($E$11*$G$11*(1+$G$11)^$H$11/((1+$G$11)^$H$11-1)),2)))</f>
        <v/>
      </c>
      <c r="F376" s="18">
        <f>IF(OR($B$11="",31&gt;$H$11),"",ROUND($H375*$G$11,2))</f>
        <v/>
      </c>
      <c r="G376" s="18">
        <f>IF(OR($B$11="",31&gt;$H$11),"",IF($I$11="SAC",ROUND($E$11/$H$11,2),ROUND($E376-$F376,2)))</f>
        <v/>
      </c>
      <c r="H376" s="18">
        <f>IF(OR($B$11="",31&gt;$H$11),"",ROUND(MAX(0,$H375-$G376),2))</f>
        <v/>
      </c>
      <c r="I376" s="17">
        <f>IF(OR($B$11="",31&gt;$H$11),"",IF($D376&lt;=TODAY(),"Vencida","A vencer"))</f>
        <v/>
      </c>
      <c r="J376" s="30">
        <f>IF($D376="","",EOMONTH($D376,0))</f>
        <v/>
      </c>
    </row>
    <row r="377">
      <c r="A377" s="24">
        <f>IF($B$11="","",$A$11)</f>
        <v/>
      </c>
      <c r="B377" s="9">
        <f>IF($B$11="","",$B$11)</f>
        <v/>
      </c>
      <c r="C377" s="24">
        <f>IF($B$11="","",32)</f>
        <v/>
      </c>
      <c r="D377" s="30">
        <f>IF(OR($B$11="",32&gt;$H$11),"",EDATE($J$11,31))</f>
        <v/>
      </c>
      <c r="E377" s="18">
        <f>IF(OR($B$11="",32&gt;$H$11),"",IF($I$11="SAC",ROUND($E$11/$H$11+$F377,2),ROUND(($E$11*$G$11*(1+$G$11)^$H$11/((1+$G$11)^$H$11-1)),2)))</f>
        <v/>
      </c>
      <c r="F377" s="18">
        <f>IF(OR($B$11="",32&gt;$H$11),"",ROUND($H376*$G$11,2))</f>
        <v/>
      </c>
      <c r="G377" s="18">
        <f>IF(OR($B$11="",32&gt;$H$11),"",IF($I$11="SAC",ROUND($E$11/$H$11,2),ROUND($E377-$F377,2)))</f>
        <v/>
      </c>
      <c r="H377" s="18">
        <f>IF(OR($B$11="",32&gt;$H$11),"",ROUND(MAX(0,$H376-$G377),2))</f>
        <v/>
      </c>
      <c r="I377" s="17">
        <f>IF(OR($B$11="",32&gt;$H$11),"",IF($D377&lt;=TODAY(),"Vencida","A vencer"))</f>
        <v/>
      </c>
      <c r="J377" s="30">
        <f>IF($D377="","",EOMONTH($D377,0))</f>
        <v/>
      </c>
    </row>
    <row r="378">
      <c r="A378" s="24">
        <f>IF($B$11="","",$A$11)</f>
        <v/>
      </c>
      <c r="B378" s="9">
        <f>IF($B$11="","",$B$11)</f>
        <v/>
      </c>
      <c r="C378" s="24">
        <f>IF($B$11="","",33)</f>
        <v/>
      </c>
      <c r="D378" s="30">
        <f>IF(OR($B$11="",33&gt;$H$11),"",EDATE($J$11,32))</f>
        <v/>
      </c>
      <c r="E378" s="18">
        <f>IF(OR($B$11="",33&gt;$H$11),"",IF($I$11="SAC",ROUND($E$11/$H$11+$F378,2),ROUND(($E$11*$G$11*(1+$G$11)^$H$11/((1+$G$11)^$H$11-1)),2)))</f>
        <v/>
      </c>
      <c r="F378" s="18">
        <f>IF(OR($B$11="",33&gt;$H$11),"",ROUND($H377*$G$11,2))</f>
        <v/>
      </c>
      <c r="G378" s="18">
        <f>IF(OR($B$11="",33&gt;$H$11),"",IF($I$11="SAC",ROUND($E$11/$H$11,2),ROUND($E378-$F378,2)))</f>
        <v/>
      </c>
      <c r="H378" s="18">
        <f>IF(OR($B$11="",33&gt;$H$11),"",ROUND(MAX(0,$H377-$G378),2))</f>
        <v/>
      </c>
      <c r="I378" s="17">
        <f>IF(OR($B$11="",33&gt;$H$11),"",IF($D378&lt;=TODAY(),"Vencida","A vencer"))</f>
        <v/>
      </c>
      <c r="J378" s="30">
        <f>IF($D378="","",EOMONTH($D378,0))</f>
        <v/>
      </c>
    </row>
    <row r="379">
      <c r="A379" s="24">
        <f>IF($B$11="","",$A$11)</f>
        <v/>
      </c>
      <c r="B379" s="9">
        <f>IF($B$11="","",$B$11)</f>
        <v/>
      </c>
      <c r="C379" s="24">
        <f>IF($B$11="","",34)</f>
        <v/>
      </c>
      <c r="D379" s="30">
        <f>IF(OR($B$11="",34&gt;$H$11),"",EDATE($J$11,33))</f>
        <v/>
      </c>
      <c r="E379" s="18">
        <f>IF(OR($B$11="",34&gt;$H$11),"",IF($I$11="SAC",ROUND($E$11/$H$11+$F379,2),ROUND(($E$11*$G$11*(1+$G$11)^$H$11/((1+$G$11)^$H$11-1)),2)))</f>
        <v/>
      </c>
      <c r="F379" s="18">
        <f>IF(OR($B$11="",34&gt;$H$11),"",ROUND($H378*$G$11,2))</f>
        <v/>
      </c>
      <c r="G379" s="18">
        <f>IF(OR($B$11="",34&gt;$H$11),"",IF($I$11="SAC",ROUND($E$11/$H$11,2),ROUND($E379-$F379,2)))</f>
        <v/>
      </c>
      <c r="H379" s="18">
        <f>IF(OR($B$11="",34&gt;$H$11),"",ROUND(MAX(0,$H378-$G379),2))</f>
        <v/>
      </c>
      <c r="I379" s="17">
        <f>IF(OR($B$11="",34&gt;$H$11),"",IF($D379&lt;=TODAY(),"Vencida","A vencer"))</f>
        <v/>
      </c>
      <c r="J379" s="30">
        <f>IF($D379="","",EOMONTH($D379,0))</f>
        <v/>
      </c>
    </row>
    <row r="380">
      <c r="A380" s="24">
        <f>IF($B$11="","",$A$11)</f>
        <v/>
      </c>
      <c r="B380" s="9">
        <f>IF($B$11="","",$B$11)</f>
        <v/>
      </c>
      <c r="C380" s="24">
        <f>IF($B$11="","",35)</f>
        <v/>
      </c>
      <c r="D380" s="30">
        <f>IF(OR($B$11="",35&gt;$H$11),"",EDATE($J$11,34))</f>
        <v/>
      </c>
      <c r="E380" s="18">
        <f>IF(OR($B$11="",35&gt;$H$11),"",IF($I$11="SAC",ROUND($E$11/$H$11+$F380,2),ROUND(($E$11*$G$11*(1+$G$11)^$H$11/((1+$G$11)^$H$11-1)),2)))</f>
        <v/>
      </c>
      <c r="F380" s="18">
        <f>IF(OR($B$11="",35&gt;$H$11),"",ROUND($H379*$G$11,2))</f>
        <v/>
      </c>
      <c r="G380" s="18">
        <f>IF(OR($B$11="",35&gt;$H$11),"",IF($I$11="SAC",ROUND($E$11/$H$11,2),ROUND($E380-$F380,2)))</f>
        <v/>
      </c>
      <c r="H380" s="18">
        <f>IF(OR($B$11="",35&gt;$H$11),"",ROUND(MAX(0,$H379-$G380),2))</f>
        <v/>
      </c>
      <c r="I380" s="17">
        <f>IF(OR($B$11="",35&gt;$H$11),"",IF($D380&lt;=TODAY(),"Vencida","A vencer"))</f>
        <v/>
      </c>
      <c r="J380" s="30">
        <f>IF($D380="","",EOMONTH($D380,0))</f>
        <v/>
      </c>
    </row>
    <row r="381">
      <c r="A381" s="24">
        <f>IF($B$11="","",$A$11)</f>
        <v/>
      </c>
      <c r="B381" s="9">
        <f>IF($B$11="","",$B$11)</f>
        <v/>
      </c>
      <c r="C381" s="24">
        <f>IF($B$11="","",36)</f>
        <v/>
      </c>
      <c r="D381" s="30">
        <f>IF(OR($B$11="",36&gt;$H$11),"",EDATE($J$11,35))</f>
        <v/>
      </c>
      <c r="E381" s="18">
        <f>IF(OR($B$11="",36&gt;$H$11),"",IF($I$11="SAC",ROUND($E$11/$H$11+$F381,2),ROUND(($E$11*$G$11*(1+$G$11)^$H$11/((1+$G$11)^$H$11-1)),2)))</f>
        <v/>
      </c>
      <c r="F381" s="18">
        <f>IF(OR($B$11="",36&gt;$H$11),"",ROUND($H380*$G$11,2))</f>
        <v/>
      </c>
      <c r="G381" s="18">
        <f>IF(OR($B$11="",36&gt;$H$11),"",IF($I$11="SAC",ROUND($E$11/$H$11,2),ROUND($E381-$F381,2)))</f>
        <v/>
      </c>
      <c r="H381" s="18">
        <f>IF(OR($B$11="",36&gt;$H$11),"",ROUND(MAX(0,$H380-$G381),2))</f>
        <v/>
      </c>
      <c r="I381" s="17">
        <f>IF(OR($B$11="",36&gt;$H$11),"",IF($D381&lt;=TODAY(),"Vencida","A vencer"))</f>
        <v/>
      </c>
      <c r="J381" s="30">
        <f>IF($D381="","",EOMONTH($D381,0))</f>
        <v/>
      </c>
    </row>
    <row r="382">
      <c r="A382" s="24">
        <f>IF($B$11="","",$A$11)</f>
        <v/>
      </c>
      <c r="B382" s="9">
        <f>IF($B$11="","",$B$11)</f>
        <v/>
      </c>
      <c r="C382" s="24">
        <f>IF($B$11="","",37)</f>
        <v/>
      </c>
      <c r="D382" s="30">
        <f>IF(OR($B$11="",37&gt;$H$11),"",EDATE($J$11,36))</f>
        <v/>
      </c>
      <c r="E382" s="18">
        <f>IF(OR($B$11="",37&gt;$H$11),"",IF($I$11="SAC",ROUND($E$11/$H$11+$F382,2),ROUND(($E$11*$G$11*(1+$G$11)^$H$11/((1+$G$11)^$H$11-1)),2)))</f>
        <v/>
      </c>
      <c r="F382" s="18">
        <f>IF(OR($B$11="",37&gt;$H$11),"",ROUND($H381*$G$11,2))</f>
        <v/>
      </c>
      <c r="G382" s="18">
        <f>IF(OR($B$11="",37&gt;$H$11),"",IF($I$11="SAC",ROUND($E$11/$H$11,2),ROUND($E382-$F382,2)))</f>
        <v/>
      </c>
      <c r="H382" s="18">
        <f>IF(OR($B$11="",37&gt;$H$11),"",ROUND(MAX(0,$H381-$G382),2))</f>
        <v/>
      </c>
      <c r="I382" s="17">
        <f>IF(OR($B$11="",37&gt;$H$11),"",IF($D382&lt;=TODAY(),"Vencida","A vencer"))</f>
        <v/>
      </c>
      <c r="J382" s="30">
        <f>IF($D382="","",EOMONTH($D382,0))</f>
        <v/>
      </c>
    </row>
    <row r="383">
      <c r="A383" s="24">
        <f>IF($B$11="","",$A$11)</f>
        <v/>
      </c>
      <c r="B383" s="9">
        <f>IF($B$11="","",$B$11)</f>
        <v/>
      </c>
      <c r="C383" s="24">
        <f>IF($B$11="","",38)</f>
        <v/>
      </c>
      <c r="D383" s="30">
        <f>IF(OR($B$11="",38&gt;$H$11),"",EDATE($J$11,37))</f>
        <v/>
      </c>
      <c r="E383" s="18">
        <f>IF(OR($B$11="",38&gt;$H$11),"",IF($I$11="SAC",ROUND($E$11/$H$11+$F383,2),ROUND(($E$11*$G$11*(1+$G$11)^$H$11/((1+$G$11)^$H$11-1)),2)))</f>
        <v/>
      </c>
      <c r="F383" s="18">
        <f>IF(OR($B$11="",38&gt;$H$11),"",ROUND($H382*$G$11,2))</f>
        <v/>
      </c>
      <c r="G383" s="18">
        <f>IF(OR($B$11="",38&gt;$H$11),"",IF($I$11="SAC",ROUND($E$11/$H$11,2),ROUND($E383-$F383,2)))</f>
        <v/>
      </c>
      <c r="H383" s="18">
        <f>IF(OR($B$11="",38&gt;$H$11),"",ROUND(MAX(0,$H382-$G383),2))</f>
        <v/>
      </c>
      <c r="I383" s="17">
        <f>IF(OR($B$11="",38&gt;$H$11),"",IF($D383&lt;=TODAY(),"Vencida","A vencer"))</f>
        <v/>
      </c>
      <c r="J383" s="30">
        <f>IF($D383="","",EOMONTH($D383,0))</f>
        <v/>
      </c>
    </row>
    <row r="384">
      <c r="A384" s="24">
        <f>IF($B$11="","",$A$11)</f>
        <v/>
      </c>
      <c r="B384" s="9">
        <f>IF($B$11="","",$B$11)</f>
        <v/>
      </c>
      <c r="C384" s="24">
        <f>IF($B$11="","",39)</f>
        <v/>
      </c>
      <c r="D384" s="30">
        <f>IF(OR($B$11="",39&gt;$H$11),"",EDATE($J$11,38))</f>
        <v/>
      </c>
      <c r="E384" s="18">
        <f>IF(OR($B$11="",39&gt;$H$11),"",IF($I$11="SAC",ROUND($E$11/$H$11+$F384,2),ROUND(($E$11*$G$11*(1+$G$11)^$H$11/((1+$G$11)^$H$11-1)),2)))</f>
        <v/>
      </c>
      <c r="F384" s="18">
        <f>IF(OR($B$11="",39&gt;$H$11),"",ROUND($H383*$G$11,2))</f>
        <v/>
      </c>
      <c r="G384" s="18">
        <f>IF(OR($B$11="",39&gt;$H$11),"",IF($I$11="SAC",ROUND($E$11/$H$11,2),ROUND($E384-$F384,2)))</f>
        <v/>
      </c>
      <c r="H384" s="18">
        <f>IF(OR($B$11="",39&gt;$H$11),"",ROUND(MAX(0,$H383-$G384),2))</f>
        <v/>
      </c>
      <c r="I384" s="17">
        <f>IF(OR($B$11="",39&gt;$H$11),"",IF($D384&lt;=TODAY(),"Vencida","A vencer"))</f>
        <v/>
      </c>
      <c r="J384" s="30">
        <f>IF($D384="","",EOMONTH($D384,0))</f>
        <v/>
      </c>
    </row>
    <row r="385">
      <c r="A385" s="24">
        <f>IF($B$11="","",$A$11)</f>
        <v/>
      </c>
      <c r="B385" s="9">
        <f>IF($B$11="","",$B$11)</f>
        <v/>
      </c>
      <c r="C385" s="24">
        <f>IF($B$11="","",40)</f>
        <v/>
      </c>
      <c r="D385" s="30">
        <f>IF(OR($B$11="",40&gt;$H$11),"",EDATE($J$11,39))</f>
        <v/>
      </c>
      <c r="E385" s="18">
        <f>IF(OR($B$11="",40&gt;$H$11),"",IF($I$11="SAC",ROUND($E$11/$H$11+$F385,2),ROUND(($E$11*$G$11*(1+$G$11)^$H$11/((1+$G$11)^$H$11-1)),2)))</f>
        <v/>
      </c>
      <c r="F385" s="18">
        <f>IF(OR($B$11="",40&gt;$H$11),"",ROUND($H384*$G$11,2))</f>
        <v/>
      </c>
      <c r="G385" s="18">
        <f>IF(OR($B$11="",40&gt;$H$11),"",IF($I$11="SAC",ROUND($E$11/$H$11,2),ROUND($E385-$F385,2)))</f>
        <v/>
      </c>
      <c r="H385" s="18">
        <f>IF(OR($B$11="",40&gt;$H$11),"",ROUND(MAX(0,$H384-$G385),2))</f>
        <v/>
      </c>
      <c r="I385" s="17">
        <f>IF(OR($B$11="",40&gt;$H$11),"",IF($D385&lt;=TODAY(),"Vencida","A vencer"))</f>
        <v/>
      </c>
      <c r="J385" s="30">
        <f>IF($D385="","",EOMONTH($D385,0))</f>
        <v/>
      </c>
    </row>
    <row r="386">
      <c r="A386" s="24">
        <f>IF($B$11="","",$A$11)</f>
        <v/>
      </c>
      <c r="B386" s="9">
        <f>IF($B$11="","",$B$11)</f>
        <v/>
      </c>
      <c r="C386" s="24">
        <f>IF($B$11="","",41)</f>
        <v/>
      </c>
      <c r="D386" s="30">
        <f>IF(OR($B$11="",41&gt;$H$11),"",EDATE($J$11,40))</f>
        <v/>
      </c>
      <c r="E386" s="18">
        <f>IF(OR($B$11="",41&gt;$H$11),"",IF($I$11="SAC",ROUND($E$11/$H$11+$F386,2),ROUND(($E$11*$G$11*(1+$G$11)^$H$11/((1+$G$11)^$H$11-1)),2)))</f>
        <v/>
      </c>
      <c r="F386" s="18">
        <f>IF(OR($B$11="",41&gt;$H$11),"",ROUND($H385*$G$11,2))</f>
        <v/>
      </c>
      <c r="G386" s="18">
        <f>IF(OR($B$11="",41&gt;$H$11),"",IF($I$11="SAC",ROUND($E$11/$H$11,2),ROUND($E386-$F386,2)))</f>
        <v/>
      </c>
      <c r="H386" s="18">
        <f>IF(OR($B$11="",41&gt;$H$11),"",ROUND(MAX(0,$H385-$G386),2))</f>
        <v/>
      </c>
      <c r="I386" s="17">
        <f>IF(OR($B$11="",41&gt;$H$11),"",IF($D386&lt;=TODAY(),"Vencida","A vencer"))</f>
        <v/>
      </c>
      <c r="J386" s="30">
        <f>IF($D386="","",EOMONTH($D386,0))</f>
        <v/>
      </c>
    </row>
    <row r="387">
      <c r="A387" s="24">
        <f>IF($B$11="","",$A$11)</f>
        <v/>
      </c>
      <c r="B387" s="9">
        <f>IF($B$11="","",$B$11)</f>
        <v/>
      </c>
      <c r="C387" s="24">
        <f>IF($B$11="","",42)</f>
        <v/>
      </c>
      <c r="D387" s="30">
        <f>IF(OR($B$11="",42&gt;$H$11),"",EDATE($J$11,41))</f>
        <v/>
      </c>
      <c r="E387" s="18">
        <f>IF(OR($B$11="",42&gt;$H$11),"",IF($I$11="SAC",ROUND($E$11/$H$11+$F387,2),ROUND(($E$11*$G$11*(1+$G$11)^$H$11/((1+$G$11)^$H$11-1)),2)))</f>
        <v/>
      </c>
      <c r="F387" s="18">
        <f>IF(OR($B$11="",42&gt;$H$11),"",ROUND($H386*$G$11,2))</f>
        <v/>
      </c>
      <c r="G387" s="18">
        <f>IF(OR($B$11="",42&gt;$H$11),"",IF($I$11="SAC",ROUND($E$11/$H$11,2),ROUND($E387-$F387,2)))</f>
        <v/>
      </c>
      <c r="H387" s="18">
        <f>IF(OR($B$11="",42&gt;$H$11),"",ROUND(MAX(0,$H386-$G387),2))</f>
        <v/>
      </c>
      <c r="I387" s="17">
        <f>IF(OR($B$11="",42&gt;$H$11),"",IF($D387&lt;=TODAY(),"Vencida","A vencer"))</f>
        <v/>
      </c>
      <c r="J387" s="30">
        <f>IF($D387="","",EOMONTH($D387,0))</f>
        <v/>
      </c>
    </row>
    <row r="388">
      <c r="A388" s="24">
        <f>IF($B$11="","",$A$11)</f>
        <v/>
      </c>
      <c r="B388" s="9">
        <f>IF($B$11="","",$B$11)</f>
        <v/>
      </c>
      <c r="C388" s="24">
        <f>IF($B$11="","",43)</f>
        <v/>
      </c>
      <c r="D388" s="30">
        <f>IF(OR($B$11="",43&gt;$H$11),"",EDATE($J$11,42))</f>
        <v/>
      </c>
      <c r="E388" s="18">
        <f>IF(OR($B$11="",43&gt;$H$11),"",IF($I$11="SAC",ROUND($E$11/$H$11+$F388,2),ROUND(($E$11*$G$11*(1+$G$11)^$H$11/((1+$G$11)^$H$11-1)),2)))</f>
        <v/>
      </c>
      <c r="F388" s="18">
        <f>IF(OR($B$11="",43&gt;$H$11),"",ROUND($H387*$G$11,2))</f>
        <v/>
      </c>
      <c r="G388" s="18">
        <f>IF(OR($B$11="",43&gt;$H$11),"",IF($I$11="SAC",ROUND($E$11/$H$11,2),ROUND($E388-$F388,2)))</f>
        <v/>
      </c>
      <c r="H388" s="18">
        <f>IF(OR($B$11="",43&gt;$H$11),"",ROUND(MAX(0,$H387-$G388),2))</f>
        <v/>
      </c>
      <c r="I388" s="17">
        <f>IF(OR($B$11="",43&gt;$H$11),"",IF($D388&lt;=TODAY(),"Vencida","A vencer"))</f>
        <v/>
      </c>
      <c r="J388" s="30">
        <f>IF($D388="","",EOMONTH($D388,0))</f>
        <v/>
      </c>
    </row>
    <row r="389">
      <c r="A389" s="24">
        <f>IF($B$11="","",$A$11)</f>
        <v/>
      </c>
      <c r="B389" s="9">
        <f>IF($B$11="","",$B$11)</f>
        <v/>
      </c>
      <c r="C389" s="24">
        <f>IF($B$11="","",44)</f>
        <v/>
      </c>
      <c r="D389" s="30">
        <f>IF(OR($B$11="",44&gt;$H$11),"",EDATE($J$11,43))</f>
        <v/>
      </c>
      <c r="E389" s="18">
        <f>IF(OR($B$11="",44&gt;$H$11),"",IF($I$11="SAC",ROUND($E$11/$H$11+$F389,2),ROUND(($E$11*$G$11*(1+$G$11)^$H$11/((1+$G$11)^$H$11-1)),2)))</f>
        <v/>
      </c>
      <c r="F389" s="18">
        <f>IF(OR($B$11="",44&gt;$H$11),"",ROUND($H388*$G$11,2))</f>
        <v/>
      </c>
      <c r="G389" s="18">
        <f>IF(OR($B$11="",44&gt;$H$11),"",IF($I$11="SAC",ROUND($E$11/$H$11,2),ROUND($E389-$F389,2)))</f>
        <v/>
      </c>
      <c r="H389" s="18">
        <f>IF(OR($B$11="",44&gt;$H$11),"",ROUND(MAX(0,$H388-$G389),2))</f>
        <v/>
      </c>
      <c r="I389" s="17">
        <f>IF(OR($B$11="",44&gt;$H$11),"",IF($D389&lt;=TODAY(),"Vencida","A vencer"))</f>
        <v/>
      </c>
      <c r="J389" s="30">
        <f>IF($D389="","",EOMONTH($D389,0))</f>
        <v/>
      </c>
    </row>
    <row r="390">
      <c r="A390" s="24">
        <f>IF($B$11="","",$A$11)</f>
        <v/>
      </c>
      <c r="B390" s="9">
        <f>IF($B$11="","",$B$11)</f>
        <v/>
      </c>
      <c r="C390" s="24">
        <f>IF($B$11="","",45)</f>
        <v/>
      </c>
      <c r="D390" s="30">
        <f>IF(OR($B$11="",45&gt;$H$11),"",EDATE($J$11,44))</f>
        <v/>
      </c>
      <c r="E390" s="18">
        <f>IF(OR($B$11="",45&gt;$H$11),"",IF($I$11="SAC",ROUND($E$11/$H$11+$F390,2),ROUND(($E$11*$G$11*(1+$G$11)^$H$11/((1+$G$11)^$H$11-1)),2)))</f>
        <v/>
      </c>
      <c r="F390" s="18">
        <f>IF(OR($B$11="",45&gt;$H$11),"",ROUND($H389*$G$11,2))</f>
        <v/>
      </c>
      <c r="G390" s="18">
        <f>IF(OR($B$11="",45&gt;$H$11),"",IF($I$11="SAC",ROUND($E$11/$H$11,2),ROUND($E390-$F390,2)))</f>
        <v/>
      </c>
      <c r="H390" s="18">
        <f>IF(OR($B$11="",45&gt;$H$11),"",ROUND(MAX(0,$H389-$G390),2))</f>
        <v/>
      </c>
      <c r="I390" s="17">
        <f>IF(OR($B$11="",45&gt;$H$11),"",IF($D390&lt;=TODAY(),"Vencida","A vencer"))</f>
        <v/>
      </c>
      <c r="J390" s="30">
        <f>IF($D390="","",EOMONTH($D390,0))</f>
        <v/>
      </c>
    </row>
    <row r="391">
      <c r="A391" s="24">
        <f>IF($B$11="","",$A$11)</f>
        <v/>
      </c>
      <c r="B391" s="9">
        <f>IF($B$11="","",$B$11)</f>
        <v/>
      </c>
      <c r="C391" s="24">
        <f>IF($B$11="","",46)</f>
        <v/>
      </c>
      <c r="D391" s="30">
        <f>IF(OR($B$11="",46&gt;$H$11),"",EDATE($J$11,45))</f>
        <v/>
      </c>
      <c r="E391" s="18">
        <f>IF(OR($B$11="",46&gt;$H$11),"",IF($I$11="SAC",ROUND($E$11/$H$11+$F391,2),ROUND(($E$11*$G$11*(1+$G$11)^$H$11/((1+$G$11)^$H$11-1)),2)))</f>
        <v/>
      </c>
      <c r="F391" s="18">
        <f>IF(OR($B$11="",46&gt;$H$11),"",ROUND($H390*$G$11,2))</f>
        <v/>
      </c>
      <c r="G391" s="18">
        <f>IF(OR($B$11="",46&gt;$H$11),"",IF($I$11="SAC",ROUND($E$11/$H$11,2),ROUND($E391-$F391,2)))</f>
        <v/>
      </c>
      <c r="H391" s="18">
        <f>IF(OR($B$11="",46&gt;$H$11),"",ROUND(MAX(0,$H390-$G391),2))</f>
        <v/>
      </c>
      <c r="I391" s="17">
        <f>IF(OR($B$11="",46&gt;$H$11),"",IF($D391&lt;=TODAY(),"Vencida","A vencer"))</f>
        <v/>
      </c>
      <c r="J391" s="30">
        <f>IF($D391="","",EOMONTH($D391,0))</f>
        <v/>
      </c>
    </row>
    <row r="392">
      <c r="A392" s="24">
        <f>IF($B$11="","",$A$11)</f>
        <v/>
      </c>
      <c r="B392" s="9">
        <f>IF($B$11="","",$B$11)</f>
        <v/>
      </c>
      <c r="C392" s="24">
        <f>IF($B$11="","",47)</f>
        <v/>
      </c>
      <c r="D392" s="30">
        <f>IF(OR($B$11="",47&gt;$H$11),"",EDATE($J$11,46))</f>
        <v/>
      </c>
      <c r="E392" s="18">
        <f>IF(OR($B$11="",47&gt;$H$11),"",IF($I$11="SAC",ROUND($E$11/$H$11+$F392,2),ROUND(($E$11*$G$11*(1+$G$11)^$H$11/((1+$G$11)^$H$11-1)),2)))</f>
        <v/>
      </c>
      <c r="F392" s="18">
        <f>IF(OR($B$11="",47&gt;$H$11),"",ROUND($H391*$G$11,2))</f>
        <v/>
      </c>
      <c r="G392" s="18">
        <f>IF(OR($B$11="",47&gt;$H$11),"",IF($I$11="SAC",ROUND($E$11/$H$11,2),ROUND($E392-$F392,2)))</f>
        <v/>
      </c>
      <c r="H392" s="18">
        <f>IF(OR($B$11="",47&gt;$H$11),"",ROUND(MAX(0,$H391-$G392),2))</f>
        <v/>
      </c>
      <c r="I392" s="17">
        <f>IF(OR($B$11="",47&gt;$H$11),"",IF($D392&lt;=TODAY(),"Vencida","A vencer"))</f>
        <v/>
      </c>
      <c r="J392" s="30">
        <f>IF($D392="","",EOMONTH($D392,0))</f>
        <v/>
      </c>
    </row>
    <row r="393">
      <c r="A393" s="24">
        <f>IF($B$11="","",$A$11)</f>
        <v/>
      </c>
      <c r="B393" s="9">
        <f>IF($B$11="","",$B$11)</f>
        <v/>
      </c>
      <c r="C393" s="24">
        <f>IF($B$11="","",48)</f>
        <v/>
      </c>
      <c r="D393" s="30">
        <f>IF(OR($B$11="",48&gt;$H$11),"",EDATE($J$11,47))</f>
        <v/>
      </c>
      <c r="E393" s="18">
        <f>IF(OR($B$11="",48&gt;$H$11),"",IF($I$11="SAC",ROUND($E$11/$H$11+$F393,2),ROUND(($E$11*$G$11*(1+$G$11)^$H$11/((1+$G$11)^$H$11-1)),2)))</f>
        <v/>
      </c>
      <c r="F393" s="18">
        <f>IF(OR($B$11="",48&gt;$H$11),"",ROUND($H392*$G$11,2))</f>
        <v/>
      </c>
      <c r="G393" s="18">
        <f>IF(OR($B$11="",48&gt;$H$11),"",IF($I$11="SAC",ROUND($E$11/$H$11,2),ROUND($E393-$F393,2)))</f>
        <v/>
      </c>
      <c r="H393" s="18">
        <f>IF(OR($B$11="",48&gt;$H$11),"",ROUND(MAX(0,$H392-$G393),2))</f>
        <v/>
      </c>
      <c r="I393" s="17">
        <f>IF(OR($B$11="",48&gt;$H$11),"",IF($D393&lt;=TODAY(),"Vencida","A vencer"))</f>
        <v/>
      </c>
      <c r="J393" s="30">
        <f>IF($D393="","",EOMONTH($D393,0))</f>
        <v/>
      </c>
    </row>
    <row r="394">
      <c r="A394" s="24">
        <f>IF($B$11="","",$A$11)</f>
        <v/>
      </c>
      <c r="B394" s="9">
        <f>IF($B$11="","",$B$11)</f>
        <v/>
      </c>
      <c r="C394" s="24">
        <f>IF($B$11="","",49)</f>
        <v/>
      </c>
      <c r="D394" s="30">
        <f>IF(OR($B$11="",49&gt;$H$11),"",EDATE($J$11,48))</f>
        <v/>
      </c>
      <c r="E394" s="18">
        <f>IF(OR($B$11="",49&gt;$H$11),"",IF($I$11="SAC",ROUND($E$11/$H$11+$F394,2),ROUND(($E$11*$G$11*(1+$G$11)^$H$11/((1+$G$11)^$H$11-1)),2)))</f>
        <v/>
      </c>
      <c r="F394" s="18">
        <f>IF(OR($B$11="",49&gt;$H$11),"",ROUND($H393*$G$11,2))</f>
        <v/>
      </c>
      <c r="G394" s="18">
        <f>IF(OR($B$11="",49&gt;$H$11),"",IF($I$11="SAC",ROUND($E$11/$H$11,2),ROUND($E394-$F394,2)))</f>
        <v/>
      </c>
      <c r="H394" s="18">
        <f>IF(OR($B$11="",49&gt;$H$11),"",ROUND(MAX(0,$H393-$G394),2))</f>
        <v/>
      </c>
      <c r="I394" s="17">
        <f>IF(OR($B$11="",49&gt;$H$11),"",IF($D394&lt;=TODAY(),"Vencida","A vencer"))</f>
        <v/>
      </c>
      <c r="J394" s="30">
        <f>IF($D394="","",EOMONTH($D394,0))</f>
        <v/>
      </c>
    </row>
    <row r="395">
      <c r="A395" s="24">
        <f>IF($B$11="","",$A$11)</f>
        <v/>
      </c>
      <c r="B395" s="9">
        <f>IF($B$11="","",$B$11)</f>
        <v/>
      </c>
      <c r="C395" s="24">
        <f>IF($B$11="","",50)</f>
        <v/>
      </c>
      <c r="D395" s="30">
        <f>IF(OR($B$11="",50&gt;$H$11),"",EDATE($J$11,49))</f>
        <v/>
      </c>
      <c r="E395" s="18">
        <f>IF(OR($B$11="",50&gt;$H$11),"",IF($I$11="SAC",ROUND($E$11/$H$11+$F395,2),ROUND(($E$11*$G$11*(1+$G$11)^$H$11/((1+$G$11)^$H$11-1)),2)))</f>
        <v/>
      </c>
      <c r="F395" s="18">
        <f>IF(OR($B$11="",50&gt;$H$11),"",ROUND($H394*$G$11,2))</f>
        <v/>
      </c>
      <c r="G395" s="18">
        <f>IF(OR($B$11="",50&gt;$H$11),"",IF($I$11="SAC",ROUND($E$11/$H$11,2),ROUND($E395-$F395,2)))</f>
        <v/>
      </c>
      <c r="H395" s="18">
        <f>IF(OR($B$11="",50&gt;$H$11),"",ROUND(MAX(0,$H394-$G395),2))</f>
        <v/>
      </c>
      <c r="I395" s="17">
        <f>IF(OR($B$11="",50&gt;$H$11),"",IF($D395&lt;=TODAY(),"Vencida","A vencer"))</f>
        <v/>
      </c>
      <c r="J395" s="30">
        <f>IF($D395="","",EOMONTH($D395,0))</f>
        <v/>
      </c>
    </row>
    <row r="396">
      <c r="A396" s="24">
        <f>IF($B$11="","",$A$11)</f>
        <v/>
      </c>
      <c r="B396" s="9">
        <f>IF($B$11="","",$B$11)</f>
        <v/>
      </c>
      <c r="C396" s="24">
        <f>IF($B$11="","",51)</f>
        <v/>
      </c>
      <c r="D396" s="30">
        <f>IF(OR($B$11="",51&gt;$H$11),"",EDATE($J$11,50))</f>
        <v/>
      </c>
      <c r="E396" s="18">
        <f>IF(OR($B$11="",51&gt;$H$11),"",IF($I$11="SAC",ROUND($E$11/$H$11+$F396,2),ROUND(($E$11*$G$11*(1+$G$11)^$H$11/((1+$G$11)^$H$11-1)),2)))</f>
        <v/>
      </c>
      <c r="F396" s="18">
        <f>IF(OR($B$11="",51&gt;$H$11),"",ROUND($H395*$G$11,2))</f>
        <v/>
      </c>
      <c r="G396" s="18">
        <f>IF(OR($B$11="",51&gt;$H$11),"",IF($I$11="SAC",ROUND($E$11/$H$11,2),ROUND($E396-$F396,2)))</f>
        <v/>
      </c>
      <c r="H396" s="18">
        <f>IF(OR($B$11="",51&gt;$H$11),"",ROUND(MAX(0,$H395-$G396),2))</f>
        <v/>
      </c>
      <c r="I396" s="17">
        <f>IF(OR($B$11="",51&gt;$H$11),"",IF($D396&lt;=TODAY(),"Vencida","A vencer"))</f>
        <v/>
      </c>
      <c r="J396" s="30">
        <f>IF($D396="","",EOMONTH($D396,0))</f>
        <v/>
      </c>
    </row>
    <row r="397">
      <c r="A397" s="24">
        <f>IF($B$11="","",$A$11)</f>
        <v/>
      </c>
      <c r="B397" s="9">
        <f>IF($B$11="","",$B$11)</f>
        <v/>
      </c>
      <c r="C397" s="24">
        <f>IF($B$11="","",52)</f>
        <v/>
      </c>
      <c r="D397" s="30">
        <f>IF(OR($B$11="",52&gt;$H$11),"",EDATE($J$11,51))</f>
        <v/>
      </c>
      <c r="E397" s="18">
        <f>IF(OR($B$11="",52&gt;$H$11),"",IF($I$11="SAC",ROUND($E$11/$H$11+$F397,2),ROUND(($E$11*$G$11*(1+$G$11)^$H$11/((1+$G$11)^$H$11-1)),2)))</f>
        <v/>
      </c>
      <c r="F397" s="18">
        <f>IF(OR($B$11="",52&gt;$H$11),"",ROUND($H396*$G$11,2))</f>
        <v/>
      </c>
      <c r="G397" s="18">
        <f>IF(OR($B$11="",52&gt;$H$11),"",IF($I$11="SAC",ROUND($E$11/$H$11,2),ROUND($E397-$F397,2)))</f>
        <v/>
      </c>
      <c r="H397" s="18">
        <f>IF(OR($B$11="",52&gt;$H$11),"",ROUND(MAX(0,$H396-$G397),2))</f>
        <v/>
      </c>
      <c r="I397" s="17">
        <f>IF(OR($B$11="",52&gt;$H$11),"",IF($D397&lt;=TODAY(),"Vencida","A vencer"))</f>
        <v/>
      </c>
      <c r="J397" s="30">
        <f>IF($D397="","",EOMONTH($D397,0))</f>
        <v/>
      </c>
    </row>
    <row r="398">
      <c r="A398" s="24">
        <f>IF($B$11="","",$A$11)</f>
        <v/>
      </c>
      <c r="B398" s="9">
        <f>IF($B$11="","",$B$11)</f>
        <v/>
      </c>
      <c r="C398" s="24">
        <f>IF($B$11="","",53)</f>
        <v/>
      </c>
      <c r="D398" s="30">
        <f>IF(OR($B$11="",53&gt;$H$11),"",EDATE($J$11,52))</f>
        <v/>
      </c>
      <c r="E398" s="18">
        <f>IF(OR($B$11="",53&gt;$H$11),"",IF($I$11="SAC",ROUND($E$11/$H$11+$F398,2),ROUND(($E$11*$G$11*(1+$G$11)^$H$11/((1+$G$11)^$H$11-1)),2)))</f>
        <v/>
      </c>
      <c r="F398" s="18">
        <f>IF(OR($B$11="",53&gt;$H$11),"",ROUND($H397*$G$11,2))</f>
        <v/>
      </c>
      <c r="G398" s="18">
        <f>IF(OR($B$11="",53&gt;$H$11),"",IF($I$11="SAC",ROUND($E$11/$H$11,2),ROUND($E398-$F398,2)))</f>
        <v/>
      </c>
      <c r="H398" s="18">
        <f>IF(OR($B$11="",53&gt;$H$11),"",ROUND(MAX(0,$H397-$G398),2))</f>
        <v/>
      </c>
      <c r="I398" s="17">
        <f>IF(OR($B$11="",53&gt;$H$11),"",IF($D398&lt;=TODAY(),"Vencida","A vencer"))</f>
        <v/>
      </c>
      <c r="J398" s="30">
        <f>IF($D398="","",EOMONTH($D398,0))</f>
        <v/>
      </c>
    </row>
    <row r="399">
      <c r="A399" s="24">
        <f>IF($B$11="","",$A$11)</f>
        <v/>
      </c>
      <c r="B399" s="9">
        <f>IF($B$11="","",$B$11)</f>
        <v/>
      </c>
      <c r="C399" s="24">
        <f>IF($B$11="","",54)</f>
        <v/>
      </c>
      <c r="D399" s="30">
        <f>IF(OR($B$11="",54&gt;$H$11),"",EDATE($J$11,53))</f>
        <v/>
      </c>
      <c r="E399" s="18">
        <f>IF(OR($B$11="",54&gt;$H$11),"",IF($I$11="SAC",ROUND($E$11/$H$11+$F399,2),ROUND(($E$11*$G$11*(1+$G$11)^$H$11/((1+$G$11)^$H$11-1)),2)))</f>
        <v/>
      </c>
      <c r="F399" s="18">
        <f>IF(OR($B$11="",54&gt;$H$11),"",ROUND($H398*$G$11,2))</f>
        <v/>
      </c>
      <c r="G399" s="18">
        <f>IF(OR($B$11="",54&gt;$H$11),"",IF($I$11="SAC",ROUND($E$11/$H$11,2),ROUND($E399-$F399,2)))</f>
        <v/>
      </c>
      <c r="H399" s="18">
        <f>IF(OR($B$11="",54&gt;$H$11),"",ROUND(MAX(0,$H398-$G399),2))</f>
        <v/>
      </c>
      <c r="I399" s="17">
        <f>IF(OR($B$11="",54&gt;$H$11),"",IF($D399&lt;=TODAY(),"Vencida","A vencer"))</f>
        <v/>
      </c>
      <c r="J399" s="30">
        <f>IF($D399="","",EOMONTH($D399,0))</f>
        <v/>
      </c>
    </row>
    <row r="400">
      <c r="A400" s="24">
        <f>IF($B$11="","",$A$11)</f>
        <v/>
      </c>
      <c r="B400" s="9">
        <f>IF($B$11="","",$B$11)</f>
        <v/>
      </c>
      <c r="C400" s="24">
        <f>IF($B$11="","",55)</f>
        <v/>
      </c>
      <c r="D400" s="30">
        <f>IF(OR($B$11="",55&gt;$H$11),"",EDATE($J$11,54))</f>
        <v/>
      </c>
      <c r="E400" s="18">
        <f>IF(OR($B$11="",55&gt;$H$11),"",IF($I$11="SAC",ROUND($E$11/$H$11+$F400,2),ROUND(($E$11*$G$11*(1+$G$11)^$H$11/((1+$G$11)^$H$11-1)),2)))</f>
        <v/>
      </c>
      <c r="F400" s="18">
        <f>IF(OR($B$11="",55&gt;$H$11),"",ROUND($H399*$G$11,2))</f>
        <v/>
      </c>
      <c r="G400" s="18">
        <f>IF(OR($B$11="",55&gt;$H$11),"",IF($I$11="SAC",ROUND($E$11/$H$11,2),ROUND($E400-$F400,2)))</f>
        <v/>
      </c>
      <c r="H400" s="18">
        <f>IF(OR($B$11="",55&gt;$H$11),"",ROUND(MAX(0,$H399-$G400),2))</f>
        <v/>
      </c>
      <c r="I400" s="17">
        <f>IF(OR($B$11="",55&gt;$H$11),"",IF($D400&lt;=TODAY(),"Vencida","A vencer"))</f>
        <v/>
      </c>
      <c r="J400" s="30">
        <f>IF($D400="","",EOMONTH($D400,0))</f>
        <v/>
      </c>
    </row>
    <row r="401">
      <c r="A401" s="24">
        <f>IF($B$11="","",$A$11)</f>
        <v/>
      </c>
      <c r="B401" s="9">
        <f>IF($B$11="","",$B$11)</f>
        <v/>
      </c>
      <c r="C401" s="24">
        <f>IF($B$11="","",56)</f>
        <v/>
      </c>
      <c r="D401" s="30">
        <f>IF(OR($B$11="",56&gt;$H$11),"",EDATE($J$11,55))</f>
        <v/>
      </c>
      <c r="E401" s="18">
        <f>IF(OR($B$11="",56&gt;$H$11),"",IF($I$11="SAC",ROUND($E$11/$H$11+$F401,2),ROUND(($E$11*$G$11*(1+$G$11)^$H$11/((1+$G$11)^$H$11-1)),2)))</f>
        <v/>
      </c>
      <c r="F401" s="18">
        <f>IF(OR($B$11="",56&gt;$H$11),"",ROUND($H400*$G$11,2))</f>
        <v/>
      </c>
      <c r="G401" s="18">
        <f>IF(OR($B$11="",56&gt;$H$11),"",IF($I$11="SAC",ROUND($E$11/$H$11,2),ROUND($E401-$F401,2)))</f>
        <v/>
      </c>
      <c r="H401" s="18">
        <f>IF(OR($B$11="",56&gt;$H$11),"",ROUND(MAX(0,$H400-$G401),2))</f>
        <v/>
      </c>
      <c r="I401" s="17">
        <f>IF(OR($B$11="",56&gt;$H$11),"",IF($D401&lt;=TODAY(),"Vencida","A vencer"))</f>
        <v/>
      </c>
      <c r="J401" s="30">
        <f>IF($D401="","",EOMONTH($D401,0))</f>
        <v/>
      </c>
    </row>
    <row r="402">
      <c r="A402" s="24">
        <f>IF($B$11="","",$A$11)</f>
        <v/>
      </c>
      <c r="B402" s="9">
        <f>IF($B$11="","",$B$11)</f>
        <v/>
      </c>
      <c r="C402" s="24">
        <f>IF($B$11="","",57)</f>
        <v/>
      </c>
      <c r="D402" s="30">
        <f>IF(OR($B$11="",57&gt;$H$11),"",EDATE($J$11,56))</f>
        <v/>
      </c>
      <c r="E402" s="18">
        <f>IF(OR($B$11="",57&gt;$H$11),"",IF($I$11="SAC",ROUND($E$11/$H$11+$F402,2),ROUND(($E$11*$G$11*(1+$G$11)^$H$11/((1+$G$11)^$H$11-1)),2)))</f>
        <v/>
      </c>
      <c r="F402" s="18">
        <f>IF(OR($B$11="",57&gt;$H$11),"",ROUND($H401*$G$11,2))</f>
        <v/>
      </c>
      <c r="G402" s="18">
        <f>IF(OR($B$11="",57&gt;$H$11),"",IF($I$11="SAC",ROUND($E$11/$H$11,2),ROUND($E402-$F402,2)))</f>
        <v/>
      </c>
      <c r="H402" s="18">
        <f>IF(OR($B$11="",57&gt;$H$11),"",ROUND(MAX(0,$H401-$G402),2))</f>
        <v/>
      </c>
      <c r="I402" s="17">
        <f>IF(OR($B$11="",57&gt;$H$11),"",IF($D402&lt;=TODAY(),"Vencida","A vencer"))</f>
        <v/>
      </c>
      <c r="J402" s="30">
        <f>IF($D402="","",EOMONTH($D402,0))</f>
        <v/>
      </c>
    </row>
    <row r="403">
      <c r="A403" s="24">
        <f>IF($B$11="","",$A$11)</f>
        <v/>
      </c>
      <c r="B403" s="9">
        <f>IF($B$11="","",$B$11)</f>
        <v/>
      </c>
      <c r="C403" s="24">
        <f>IF($B$11="","",58)</f>
        <v/>
      </c>
      <c r="D403" s="30">
        <f>IF(OR($B$11="",58&gt;$H$11),"",EDATE($J$11,57))</f>
        <v/>
      </c>
      <c r="E403" s="18">
        <f>IF(OR($B$11="",58&gt;$H$11),"",IF($I$11="SAC",ROUND($E$11/$H$11+$F403,2),ROUND(($E$11*$G$11*(1+$G$11)^$H$11/((1+$G$11)^$H$11-1)),2)))</f>
        <v/>
      </c>
      <c r="F403" s="18">
        <f>IF(OR($B$11="",58&gt;$H$11),"",ROUND($H402*$G$11,2))</f>
        <v/>
      </c>
      <c r="G403" s="18">
        <f>IF(OR($B$11="",58&gt;$H$11),"",IF($I$11="SAC",ROUND($E$11/$H$11,2),ROUND($E403-$F403,2)))</f>
        <v/>
      </c>
      <c r="H403" s="18">
        <f>IF(OR($B$11="",58&gt;$H$11),"",ROUND(MAX(0,$H402-$G403),2))</f>
        <v/>
      </c>
      <c r="I403" s="17">
        <f>IF(OR($B$11="",58&gt;$H$11),"",IF($D403&lt;=TODAY(),"Vencida","A vencer"))</f>
        <v/>
      </c>
      <c r="J403" s="30">
        <f>IF($D403="","",EOMONTH($D403,0))</f>
        <v/>
      </c>
    </row>
    <row r="404">
      <c r="A404" s="24">
        <f>IF($B$11="","",$A$11)</f>
        <v/>
      </c>
      <c r="B404" s="9">
        <f>IF($B$11="","",$B$11)</f>
        <v/>
      </c>
      <c r="C404" s="24">
        <f>IF($B$11="","",59)</f>
        <v/>
      </c>
      <c r="D404" s="30">
        <f>IF(OR($B$11="",59&gt;$H$11),"",EDATE($J$11,58))</f>
        <v/>
      </c>
      <c r="E404" s="18">
        <f>IF(OR($B$11="",59&gt;$H$11),"",IF($I$11="SAC",ROUND($E$11/$H$11+$F404,2),ROUND(($E$11*$G$11*(1+$G$11)^$H$11/((1+$G$11)^$H$11-1)),2)))</f>
        <v/>
      </c>
      <c r="F404" s="18">
        <f>IF(OR($B$11="",59&gt;$H$11),"",ROUND($H403*$G$11,2))</f>
        <v/>
      </c>
      <c r="G404" s="18">
        <f>IF(OR($B$11="",59&gt;$H$11),"",IF($I$11="SAC",ROUND($E$11/$H$11,2),ROUND($E404-$F404,2)))</f>
        <v/>
      </c>
      <c r="H404" s="18">
        <f>IF(OR($B$11="",59&gt;$H$11),"",ROUND(MAX(0,$H403-$G404),2))</f>
        <v/>
      </c>
      <c r="I404" s="17">
        <f>IF(OR($B$11="",59&gt;$H$11),"",IF($D404&lt;=TODAY(),"Vencida","A vencer"))</f>
        <v/>
      </c>
      <c r="J404" s="30">
        <f>IF($D404="","",EOMONTH($D404,0))</f>
        <v/>
      </c>
    </row>
    <row r="405">
      <c r="A405" s="24">
        <f>IF($B$11="","",$A$11)</f>
        <v/>
      </c>
      <c r="B405" s="9">
        <f>IF($B$11="","",$B$11)</f>
        <v/>
      </c>
      <c r="C405" s="24">
        <f>IF($B$11="","",60)</f>
        <v/>
      </c>
      <c r="D405" s="30">
        <f>IF(OR($B$11="",60&gt;$H$11),"",EDATE($J$11,59))</f>
        <v/>
      </c>
      <c r="E405" s="18">
        <f>IF(OR($B$11="",60&gt;$H$11),"",IF($I$11="SAC",ROUND($E$11/$H$11+$F405,2),ROUND(($E$11*$G$11*(1+$G$11)^$H$11/((1+$G$11)^$H$11-1)),2)))</f>
        <v/>
      </c>
      <c r="F405" s="18">
        <f>IF(OR($B$11="",60&gt;$H$11),"",ROUND($H404*$G$11,2))</f>
        <v/>
      </c>
      <c r="G405" s="18">
        <f>IF(OR($B$11="",60&gt;$H$11),"",IF($I$11="SAC",ROUND($E$11/$H$11,2),ROUND($E405-$F405,2)))</f>
        <v/>
      </c>
      <c r="H405" s="18">
        <f>IF(OR($B$11="",60&gt;$H$11),"",ROUND(MAX(0,$H404-$G405),2))</f>
        <v/>
      </c>
      <c r="I405" s="17">
        <f>IF(OR($B$11="",60&gt;$H$11),"",IF($D405&lt;=TODAY(),"Vencida","A vencer"))</f>
        <v/>
      </c>
      <c r="J405" s="30">
        <f>IF($D405="","",EOMONTH($D405,0))</f>
        <v/>
      </c>
    </row>
    <row r="406">
      <c r="A406" s="37" t="inlineStr">
        <is>
          <t>TOTAIS DOS CRONOGRAMAS</t>
        </is>
      </c>
      <c r="E406" s="38">
        <f>SUM(E46:E405)</f>
        <v/>
      </c>
      <c r="F406" s="38">
        <f>SUM(F46:F405)</f>
        <v/>
      </c>
      <c r="G406" s="38">
        <f>SUM(G46:G405)</f>
        <v/>
      </c>
      <c r="H406" s="38">
        <f>SUM($Q$6:$Q$15)</f>
        <v/>
      </c>
    </row>
    <row r="408" ht="20" customHeight="1">
      <c r="A408" s="4" t="inlineStr">
        <is>
          <t>5. SERVIÇO DA DÍVIDA NOS PRÓXIMOS 12 MESES — PARCELAS, JUROS E AMORTIZAÇÃO PREVISTOS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26" customHeight="1">
      <c r="A409" s="21" t="inlineStr">
        <is>
          <t>Mês</t>
        </is>
      </c>
      <c r="B409" s="21" t="inlineStr">
        <is>
          <t>Parcelas do mês</t>
        </is>
      </c>
      <c r="C409" s="21" t="inlineStr">
        <is>
          <t>Juros do mês</t>
        </is>
      </c>
      <c r="D409" s="21" t="inlineStr">
        <is>
          <t>Amortização do mês</t>
        </is>
      </c>
      <c r="E409" s="21" t="inlineStr">
        <is>
          <t>Saldo devedor no fim do mês</t>
        </is>
      </c>
      <c r="F409" s="21" t="inlineStr">
        <is>
          <t>% das parcelas no mês</t>
        </is>
      </c>
    </row>
    <row r="410">
      <c r="A410" s="17">
        <f>TEXT(EDATE(TODAY(),0),"MM/AAAA")</f>
        <v/>
      </c>
      <c r="B410" s="18">
        <f>SUMIFS($E$46:$E$405,$J$46:$J$405,"&gt;="&amp;DATE(YEAR(EDATE(TODAY(),0)),MONTH(EDATE(TODAY(),0)),1),$J$46:$J$405,"&lt;="&amp;EOMONTH(EDATE(TODAY(),0),0))</f>
        <v/>
      </c>
      <c r="C410" s="18">
        <f>SUMIFS($F$46:$F$405,$J$46:$J$405,"&gt;="&amp;DATE(YEAR(EDATE(TODAY(),0)),MONTH(EDATE(TODAY(),0)),1),$J$46:$J$405,"&lt;="&amp;EOMONTH(EDATE(TODAY(),0),0))</f>
        <v/>
      </c>
      <c r="D410" s="18">
        <f>SUMIFS($G$46:$G$405,$J$46:$J$405,"&gt;="&amp;DATE(YEAR(EDATE(TODAY(),0)),MONTH(EDATE(TODAY(),0)),1),$J$46:$J$405,"&lt;="&amp;EOMONTH(EDATE(TODAY(),0),0))</f>
        <v/>
      </c>
      <c r="E410" s="18">
        <f>SUMIFS($H$46:$H$405,$J$46:$J$405,"&gt;="&amp;DATE(YEAR(EDATE(TODAY(),0)),MONTH(EDATE(TODAY(),0)),1),$J$46:$J$405,"&lt;="&amp;EOMONTH(EDATE(TODAY(),0),0))</f>
        <v/>
      </c>
      <c r="F410" s="23">
        <f>IFERROR($B410/SUM($B$410:$B$421),"")</f>
        <v/>
      </c>
    </row>
    <row r="411">
      <c r="A411" s="17">
        <f>TEXT(EDATE(TODAY(),1),"MM/AAAA")</f>
        <v/>
      </c>
      <c r="B411" s="18">
        <f>SUMIFS($E$46:$E$405,$J$46:$J$405,"&gt;="&amp;DATE(YEAR(EDATE(TODAY(),1)),MONTH(EDATE(TODAY(),1)),1),$J$46:$J$405,"&lt;="&amp;EOMONTH(EDATE(TODAY(),1),0))</f>
        <v/>
      </c>
      <c r="C411" s="18">
        <f>SUMIFS($F$46:$F$405,$J$46:$J$405,"&gt;="&amp;DATE(YEAR(EDATE(TODAY(),1)),MONTH(EDATE(TODAY(),1)),1),$J$46:$J$405,"&lt;="&amp;EOMONTH(EDATE(TODAY(),1),0))</f>
        <v/>
      </c>
      <c r="D411" s="18">
        <f>SUMIFS($G$46:$G$405,$J$46:$J$405,"&gt;="&amp;DATE(YEAR(EDATE(TODAY(),1)),MONTH(EDATE(TODAY(),1)),1),$J$46:$J$405,"&lt;="&amp;EOMONTH(EDATE(TODAY(),1),0))</f>
        <v/>
      </c>
      <c r="E411" s="18">
        <f>SUMIFS($H$46:$H$405,$J$46:$J$405,"&gt;="&amp;DATE(YEAR(EDATE(TODAY(),1)),MONTH(EDATE(TODAY(),1)),1),$J$46:$J$405,"&lt;="&amp;EOMONTH(EDATE(TODAY(),1),0))</f>
        <v/>
      </c>
      <c r="F411" s="23">
        <f>IFERROR($B411/SUM($B$410:$B$421),"")</f>
        <v/>
      </c>
    </row>
    <row r="412">
      <c r="A412" s="17">
        <f>TEXT(EDATE(TODAY(),2),"MM/AAAA")</f>
        <v/>
      </c>
      <c r="B412" s="18">
        <f>SUMIFS($E$46:$E$405,$J$46:$J$405,"&gt;="&amp;DATE(YEAR(EDATE(TODAY(),2)),MONTH(EDATE(TODAY(),2)),1),$J$46:$J$405,"&lt;="&amp;EOMONTH(EDATE(TODAY(),2),0))</f>
        <v/>
      </c>
      <c r="C412" s="18">
        <f>SUMIFS($F$46:$F$405,$J$46:$J$405,"&gt;="&amp;DATE(YEAR(EDATE(TODAY(),2)),MONTH(EDATE(TODAY(),2)),1),$J$46:$J$405,"&lt;="&amp;EOMONTH(EDATE(TODAY(),2),0))</f>
        <v/>
      </c>
      <c r="D412" s="18">
        <f>SUMIFS($G$46:$G$405,$J$46:$J$405,"&gt;="&amp;DATE(YEAR(EDATE(TODAY(),2)),MONTH(EDATE(TODAY(),2)),1),$J$46:$J$405,"&lt;="&amp;EOMONTH(EDATE(TODAY(),2),0))</f>
        <v/>
      </c>
      <c r="E412" s="18">
        <f>SUMIFS($H$46:$H$405,$J$46:$J$405,"&gt;="&amp;DATE(YEAR(EDATE(TODAY(),2)),MONTH(EDATE(TODAY(),2)),1),$J$46:$J$405,"&lt;="&amp;EOMONTH(EDATE(TODAY(),2),0))</f>
        <v/>
      </c>
      <c r="F412" s="23">
        <f>IFERROR($B412/SUM($B$410:$B$421),"")</f>
        <v/>
      </c>
    </row>
    <row r="413">
      <c r="A413" s="17">
        <f>TEXT(EDATE(TODAY(),3),"MM/AAAA")</f>
        <v/>
      </c>
      <c r="B413" s="18">
        <f>SUMIFS($E$46:$E$405,$J$46:$J$405,"&gt;="&amp;DATE(YEAR(EDATE(TODAY(),3)),MONTH(EDATE(TODAY(),3)),1),$J$46:$J$405,"&lt;="&amp;EOMONTH(EDATE(TODAY(),3),0))</f>
        <v/>
      </c>
      <c r="C413" s="18">
        <f>SUMIFS($F$46:$F$405,$J$46:$J$405,"&gt;="&amp;DATE(YEAR(EDATE(TODAY(),3)),MONTH(EDATE(TODAY(),3)),1),$J$46:$J$405,"&lt;="&amp;EOMONTH(EDATE(TODAY(),3),0))</f>
        <v/>
      </c>
      <c r="D413" s="18">
        <f>SUMIFS($G$46:$G$405,$J$46:$J$405,"&gt;="&amp;DATE(YEAR(EDATE(TODAY(),3)),MONTH(EDATE(TODAY(),3)),1),$J$46:$J$405,"&lt;="&amp;EOMONTH(EDATE(TODAY(),3),0))</f>
        <v/>
      </c>
      <c r="E413" s="18">
        <f>SUMIFS($H$46:$H$405,$J$46:$J$405,"&gt;="&amp;DATE(YEAR(EDATE(TODAY(),3)),MONTH(EDATE(TODAY(),3)),1),$J$46:$J$405,"&lt;="&amp;EOMONTH(EDATE(TODAY(),3),0))</f>
        <v/>
      </c>
      <c r="F413" s="23">
        <f>IFERROR($B413/SUM($B$410:$B$421),"")</f>
        <v/>
      </c>
    </row>
    <row r="414">
      <c r="A414" s="17">
        <f>TEXT(EDATE(TODAY(),4),"MM/AAAA")</f>
        <v/>
      </c>
      <c r="B414" s="18">
        <f>SUMIFS($E$46:$E$405,$J$46:$J$405,"&gt;="&amp;DATE(YEAR(EDATE(TODAY(),4)),MONTH(EDATE(TODAY(),4)),1),$J$46:$J$405,"&lt;="&amp;EOMONTH(EDATE(TODAY(),4),0))</f>
        <v/>
      </c>
      <c r="C414" s="18">
        <f>SUMIFS($F$46:$F$405,$J$46:$J$405,"&gt;="&amp;DATE(YEAR(EDATE(TODAY(),4)),MONTH(EDATE(TODAY(),4)),1),$J$46:$J$405,"&lt;="&amp;EOMONTH(EDATE(TODAY(),4),0))</f>
        <v/>
      </c>
      <c r="D414" s="18">
        <f>SUMIFS($G$46:$G$405,$J$46:$J$405,"&gt;="&amp;DATE(YEAR(EDATE(TODAY(),4)),MONTH(EDATE(TODAY(),4)),1),$J$46:$J$405,"&lt;="&amp;EOMONTH(EDATE(TODAY(),4),0))</f>
        <v/>
      </c>
      <c r="E414" s="18">
        <f>SUMIFS($H$46:$H$405,$J$46:$J$405,"&gt;="&amp;DATE(YEAR(EDATE(TODAY(),4)),MONTH(EDATE(TODAY(),4)),1),$J$46:$J$405,"&lt;="&amp;EOMONTH(EDATE(TODAY(),4),0))</f>
        <v/>
      </c>
      <c r="F414" s="23">
        <f>IFERROR($B414/SUM($B$410:$B$421),"")</f>
        <v/>
      </c>
    </row>
    <row r="415">
      <c r="A415" s="17">
        <f>TEXT(EDATE(TODAY(),5),"MM/AAAA")</f>
        <v/>
      </c>
      <c r="B415" s="18">
        <f>SUMIFS($E$46:$E$405,$J$46:$J$405,"&gt;="&amp;DATE(YEAR(EDATE(TODAY(),5)),MONTH(EDATE(TODAY(),5)),1),$J$46:$J$405,"&lt;="&amp;EOMONTH(EDATE(TODAY(),5),0))</f>
        <v/>
      </c>
      <c r="C415" s="18">
        <f>SUMIFS($F$46:$F$405,$J$46:$J$405,"&gt;="&amp;DATE(YEAR(EDATE(TODAY(),5)),MONTH(EDATE(TODAY(),5)),1),$J$46:$J$405,"&lt;="&amp;EOMONTH(EDATE(TODAY(),5),0))</f>
        <v/>
      </c>
      <c r="D415" s="18">
        <f>SUMIFS($G$46:$G$405,$J$46:$J$405,"&gt;="&amp;DATE(YEAR(EDATE(TODAY(),5)),MONTH(EDATE(TODAY(),5)),1),$J$46:$J$405,"&lt;="&amp;EOMONTH(EDATE(TODAY(),5),0))</f>
        <v/>
      </c>
      <c r="E415" s="18">
        <f>SUMIFS($H$46:$H$405,$J$46:$J$405,"&gt;="&amp;DATE(YEAR(EDATE(TODAY(),5)),MONTH(EDATE(TODAY(),5)),1),$J$46:$J$405,"&lt;="&amp;EOMONTH(EDATE(TODAY(),5),0))</f>
        <v/>
      </c>
      <c r="F415" s="23">
        <f>IFERROR($B415/SUM($B$410:$B$421),"")</f>
        <v/>
      </c>
    </row>
    <row r="416">
      <c r="A416" s="17">
        <f>TEXT(EDATE(TODAY(),6),"MM/AAAA")</f>
        <v/>
      </c>
      <c r="B416" s="18">
        <f>SUMIFS($E$46:$E$405,$J$46:$J$405,"&gt;="&amp;DATE(YEAR(EDATE(TODAY(),6)),MONTH(EDATE(TODAY(),6)),1),$J$46:$J$405,"&lt;="&amp;EOMONTH(EDATE(TODAY(),6),0))</f>
        <v/>
      </c>
      <c r="C416" s="18">
        <f>SUMIFS($F$46:$F$405,$J$46:$J$405,"&gt;="&amp;DATE(YEAR(EDATE(TODAY(),6)),MONTH(EDATE(TODAY(),6)),1),$J$46:$J$405,"&lt;="&amp;EOMONTH(EDATE(TODAY(),6),0))</f>
        <v/>
      </c>
      <c r="D416" s="18">
        <f>SUMIFS($G$46:$G$405,$J$46:$J$405,"&gt;="&amp;DATE(YEAR(EDATE(TODAY(),6)),MONTH(EDATE(TODAY(),6)),1),$J$46:$J$405,"&lt;="&amp;EOMONTH(EDATE(TODAY(),6),0))</f>
        <v/>
      </c>
      <c r="E416" s="18">
        <f>SUMIFS($H$46:$H$405,$J$46:$J$405,"&gt;="&amp;DATE(YEAR(EDATE(TODAY(),6)),MONTH(EDATE(TODAY(),6)),1),$J$46:$J$405,"&lt;="&amp;EOMONTH(EDATE(TODAY(),6),0))</f>
        <v/>
      </c>
      <c r="F416" s="23">
        <f>IFERROR($B416/SUM($B$410:$B$421),"")</f>
        <v/>
      </c>
    </row>
    <row r="417">
      <c r="A417" s="17">
        <f>TEXT(EDATE(TODAY(),7),"MM/AAAA")</f>
        <v/>
      </c>
      <c r="B417" s="18">
        <f>SUMIFS($E$46:$E$405,$J$46:$J$405,"&gt;="&amp;DATE(YEAR(EDATE(TODAY(),7)),MONTH(EDATE(TODAY(),7)),1),$J$46:$J$405,"&lt;="&amp;EOMONTH(EDATE(TODAY(),7),0))</f>
        <v/>
      </c>
      <c r="C417" s="18">
        <f>SUMIFS($F$46:$F$405,$J$46:$J$405,"&gt;="&amp;DATE(YEAR(EDATE(TODAY(),7)),MONTH(EDATE(TODAY(),7)),1),$J$46:$J$405,"&lt;="&amp;EOMONTH(EDATE(TODAY(),7),0))</f>
        <v/>
      </c>
      <c r="D417" s="18">
        <f>SUMIFS($G$46:$G$405,$J$46:$J$405,"&gt;="&amp;DATE(YEAR(EDATE(TODAY(),7)),MONTH(EDATE(TODAY(),7)),1),$J$46:$J$405,"&lt;="&amp;EOMONTH(EDATE(TODAY(),7),0))</f>
        <v/>
      </c>
      <c r="E417" s="18">
        <f>SUMIFS($H$46:$H$405,$J$46:$J$405,"&gt;="&amp;DATE(YEAR(EDATE(TODAY(),7)),MONTH(EDATE(TODAY(),7)),1),$J$46:$J$405,"&lt;="&amp;EOMONTH(EDATE(TODAY(),7),0))</f>
        <v/>
      </c>
      <c r="F417" s="23">
        <f>IFERROR($B417/SUM($B$410:$B$421),"")</f>
        <v/>
      </c>
    </row>
    <row r="418">
      <c r="A418" s="17">
        <f>TEXT(EDATE(TODAY(),8),"MM/AAAA")</f>
        <v/>
      </c>
      <c r="B418" s="18">
        <f>SUMIFS($E$46:$E$405,$J$46:$J$405,"&gt;="&amp;DATE(YEAR(EDATE(TODAY(),8)),MONTH(EDATE(TODAY(),8)),1),$J$46:$J$405,"&lt;="&amp;EOMONTH(EDATE(TODAY(),8),0))</f>
        <v/>
      </c>
      <c r="C418" s="18">
        <f>SUMIFS($F$46:$F$405,$J$46:$J$405,"&gt;="&amp;DATE(YEAR(EDATE(TODAY(),8)),MONTH(EDATE(TODAY(),8)),1),$J$46:$J$405,"&lt;="&amp;EOMONTH(EDATE(TODAY(),8),0))</f>
        <v/>
      </c>
      <c r="D418" s="18">
        <f>SUMIFS($G$46:$G$405,$J$46:$J$405,"&gt;="&amp;DATE(YEAR(EDATE(TODAY(),8)),MONTH(EDATE(TODAY(),8)),1),$J$46:$J$405,"&lt;="&amp;EOMONTH(EDATE(TODAY(),8),0))</f>
        <v/>
      </c>
      <c r="E418" s="18">
        <f>SUMIFS($H$46:$H$405,$J$46:$J$405,"&gt;="&amp;DATE(YEAR(EDATE(TODAY(),8)),MONTH(EDATE(TODAY(),8)),1),$J$46:$J$405,"&lt;="&amp;EOMONTH(EDATE(TODAY(),8),0))</f>
        <v/>
      </c>
      <c r="F418" s="23">
        <f>IFERROR($B418/SUM($B$410:$B$421),"")</f>
        <v/>
      </c>
    </row>
    <row r="419">
      <c r="A419" s="17">
        <f>TEXT(EDATE(TODAY(),9),"MM/AAAA")</f>
        <v/>
      </c>
      <c r="B419" s="18">
        <f>SUMIFS($E$46:$E$405,$J$46:$J$405,"&gt;="&amp;DATE(YEAR(EDATE(TODAY(),9)),MONTH(EDATE(TODAY(),9)),1),$J$46:$J$405,"&lt;="&amp;EOMONTH(EDATE(TODAY(),9),0))</f>
        <v/>
      </c>
      <c r="C419" s="18">
        <f>SUMIFS($F$46:$F$405,$J$46:$J$405,"&gt;="&amp;DATE(YEAR(EDATE(TODAY(),9)),MONTH(EDATE(TODAY(),9)),1),$J$46:$J$405,"&lt;="&amp;EOMONTH(EDATE(TODAY(),9),0))</f>
        <v/>
      </c>
      <c r="D419" s="18">
        <f>SUMIFS($G$46:$G$405,$J$46:$J$405,"&gt;="&amp;DATE(YEAR(EDATE(TODAY(),9)),MONTH(EDATE(TODAY(),9)),1),$J$46:$J$405,"&lt;="&amp;EOMONTH(EDATE(TODAY(),9),0))</f>
        <v/>
      </c>
      <c r="E419" s="18">
        <f>SUMIFS($H$46:$H$405,$J$46:$J$405,"&gt;="&amp;DATE(YEAR(EDATE(TODAY(),9)),MONTH(EDATE(TODAY(),9)),1),$J$46:$J$405,"&lt;="&amp;EOMONTH(EDATE(TODAY(),9),0))</f>
        <v/>
      </c>
      <c r="F419" s="23">
        <f>IFERROR($B419/SUM($B$410:$B$421),"")</f>
        <v/>
      </c>
    </row>
    <row r="420">
      <c r="A420" s="17">
        <f>TEXT(EDATE(TODAY(),10),"MM/AAAA")</f>
        <v/>
      </c>
      <c r="B420" s="18">
        <f>SUMIFS($E$46:$E$405,$J$46:$J$405,"&gt;="&amp;DATE(YEAR(EDATE(TODAY(),10)),MONTH(EDATE(TODAY(),10)),1),$J$46:$J$405,"&lt;="&amp;EOMONTH(EDATE(TODAY(),10),0))</f>
        <v/>
      </c>
      <c r="C420" s="18">
        <f>SUMIFS($F$46:$F$405,$J$46:$J$405,"&gt;="&amp;DATE(YEAR(EDATE(TODAY(),10)),MONTH(EDATE(TODAY(),10)),1),$J$46:$J$405,"&lt;="&amp;EOMONTH(EDATE(TODAY(),10),0))</f>
        <v/>
      </c>
      <c r="D420" s="18">
        <f>SUMIFS($G$46:$G$405,$J$46:$J$405,"&gt;="&amp;DATE(YEAR(EDATE(TODAY(),10)),MONTH(EDATE(TODAY(),10)),1),$J$46:$J$405,"&lt;="&amp;EOMONTH(EDATE(TODAY(),10),0))</f>
        <v/>
      </c>
      <c r="E420" s="18">
        <f>SUMIFS($H$46:$H$405,$J$46:$J$405,"&gt;="&amp;DATE(YEAR(EDATE(TODAY(),10)),MONTH(EDATE(TODAY(),10)),1),$J$46:$J$405,"&lt;="&amp;EOMONTH(EDATE(TODAY(),10),0))</f>
        <v/>
      </c>
      <c r="F420" s="23">
        <f>IFERROR($B420/SUM($B$410:$B$421),"")</f>
        <v/>
      </c>
    </row>
    <row r="421">
      <c r="A421" s="17">
        <f>TEXT(EDATE(TODAY(),11),"MM/AAAA")</f>
        <v/>
      </c>
      <c r="B421" s="18">
        <f>SUMIFS($E$46:$E$405,$J$46:$J$405,"&gt;="&amp;DATE(YEAR(EDATE(TODAY(),11)),MONTH(EDATE(TODAY(),11)),1),$J$46:$J$405,"&lt;="&amp;EOMONTH(EDATE(TODAY(),11),0))</f>
        <v/>
      </c>
      <c r="C421" s="18">
        <f>SUMIFS($F$46:$F$405,$J$46:$J$405,"&gt;="&amp;DATE(YEAR(EDATE(TODAY(),11)),MONTH(EDATE(TODAY(),11)),1),$J$46:$J$405,"&lt;="&amp;EOMONTH(EDATE(TODAY(),11),0))</f>
        <v/>
      </c>
      <c r="D421" s="18">
        <f>SUMIFS($G$46:$G$405,$J$46:$J$405,"&gt;="&amp;DATE(YEAR(EDATE(TODAY(),11)),MONTH(EDATE(TODAY(),11)),1),$J$46:$J$405,"&lt;="&amp;EOMONTH(EDATE(TODAY(),11),0))</f>
        <v/>
      </c>
      <c r="E421" s="18">
        <f>SUMIFS($H$46:$H$405,$J$46:$J$405,"&gt;="&amp;DATE(YEAR(EDATE(TODAY(),11)),MONTH(EDATE(TODAY(),11)),1),$J$46:$J$405,"&lt;="&amp;EOMONTH(EDATE(TODAY(),11),0))</f>
        <v/>
      </c>
      <c r="F421" s="23">
        <f>IFERROR($B421/SUM($B$410:$B$421),"")</f>
        <v/>
      </c>
    </row>
    <row r="422">
      <c r="A422" s="37" t="inlineStr">
        <is>
          <t>TOTAL DOS 12 MESES</t>
        </is>
      </c>
      <c r="B422" s="38">
        <f>SUM(B410:B421)</f>
        <v/>
      </c>
      <c r="C422" s="38">
        <f>SUM(C410:C421)</f>
        <v/>
      </c>
      <c r="D422" s="38">
        <f>SUM(D410:D421)</f>
        <v/>
      </c>
      <c r="E422" s="38">
        <f>SUM(E410:E421)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5:R15"/>
  <mergeCells count="47">
    <mergeCell ref="G21:H21"/>
    <mergeCell ref="A24:B24"/>
    <mergeCell ref="C24:D24"/>
    <mergeCell ref="E24:F24"/>
    <mergeCell ref="E23:F23"/>
    <mergeCell ref="G23:H23"/>
    <mergeCell ref="A27:L27"/>
    <mergeCell ref="C26:D26"/>
    <mergeCell ref="A3:R3"/>
    <mergeCell ref="A2:L2"/>
    <mergeCell ref="C20:D20"/>
    <mergeCell ref="E20:F20"/>
    <mergeCell ref="G22:H22"/>
    <mergeCell ref="A25:B25"/>
    <mergeCell ref="C25:D25"/>
    <mergeCell ref="E19:F19"/>
    <mergeCell ref="G19:H19"/>
    <mergeCell ref="A17:L17"/>
    <mergeCell ref="C22:D22"/>
    <mergeCell ref="A18:B18"/>
    <mergeCell ref="G18:H18"/>
    <mergeCell ref="A4:L4"/>
    <mergeCell ref="A26:B26"/>
    <mergeCell ref="A21:B21"/>
    <mergeCell ref="A29:L29"/>
    <mergeCell ref="C21:D21"/>
    <mergeCell ref="G24:H24"/>
    <mergeCell ref="A43:R43"/>
    <mergeCell ref="A408:J408"/>
    <mergeCell ref="A44:R44"/>
    <mergeCell ref="A23:B23"/>
    <mergeCell ref="E26:F26"/>
    <mergeCell ref="C23:D23"/>
    <mergeCell ref="G26:H26"/>
    <mergeCell ref="A22:B22"/>
    <mergeCell ref="A30:L30"/>
    <mergeCell ref="A20:B20"/>
    <mergeCell ref="G20:H20"/>
    <mergeCell ref="E25:F25"/>
    <mergeCell ref="A19:B19"/>
    <mergeCell ref="A1:L1"/>
    <mergeCell ref="C19:D19"/>
    <mergeCell ref="G25:H25"/>
    <mergeCell ref="E22:F22"/>
    <mergeCell ref="C18:D18"/>
    <mergeCell ref="E18:F18"/>
    <mergeCell ref="E21:F21"/>
  </mergeCells>
  <conditionalFormatting sqref="N6:N15">
    <cfRule type="expression" priority="1" dxfId="4" stopIfTrue="0">
      <formula>ISNUMBER(SEARCH("Em dia",N6))</formula>
    </cfRule>
    <cfRule type="expression" priority="2" dxfId="2" stopIfTrue="0">
      <formula>ISNUMBER(SEARCH("atraso",N6))</formula>
    </cfRule>
  </conditionalFormatting>
  <conditionalFormatting sqref="I46:I405">
    <cfRule type="expression" priority="3" dxfId="4" stopIfTrue="0">
      <formula>ISNUMBER(SEARCH("A vencer",I46))</formula>
    </cfRule>
    <cfRule type="expression" priority="4" dxfId="3" stopIfTrue="0">
      <formula>ISNUMBER(SEARCH("Vencida",I46))</formula>
    </cfRule>
  </conditionalFormatting>
  <conditionalFormatting sqref="H46:H405">
    <cfRule type="dataBar" priority="5">
      <dataBar showValue="1">
        <cfvo type="num" val="0"/>
        <cfvo type="max"/>
        <color rgb="002E75B6"/>
      </dataBar>
    </cfRule>
  </conditionalFormatting>
  <conditionalFormatting sqref="B410:B421">
    <cfRule type="dataBar" priority="6">
      <dataBar showValue="1">
        <cfvo type="num" val="0"/>
        <cfvo type="max"/>
        <color rgb="002E75B6"/>
      </dataBar>
    </cfRule>
  </conditionalFormatting>
  <dataValidations count="10">
    <dataValidation sqref="I6:I15" showDropDown="0" showInputMessage="1" showErrorMessage="1" allowBlank="1" errorTitle="Sistema inválido" error="Escolha SAC ou PRICE." promptTitle="Valores permitidos" prompt="Escolha SAC ou PRICE." type="list" errorStyle="stop">
      <formula1>SISTEMA_AMORTIZACAO</formula1>
    </dataValidation>
    <dataValidation sqref="N6:N15" showDropDown="0" showInputMessage="1" showErrorMessage="1" allowBlank="1" errorTitle="Status inválido" error="Escolha um status da lista." promptTitle="Valores permitidos" prompt="Escolha um status da lista." type="list" errorStyle="stop">
      <formula1>STATUS_CONTRATO</formula1>
    </dataValidation>
    <dataValidation sqref="E6:E15" showDropDown="0" showInputMessage="0" showErrorMessage="1" allowBlank="1" errorTitle="Valor inválido" error="Informe o valor contratado (maior que zero)." type="decimal" errorStyle="stop" operator="greaterThan">
      <formula1>0</formula1>
    </dataValidation>
    <dataValidation sqref="G6:G15" showDropDown="0" showInputMessage="0" showErrorMessage="1" allowBlank="1" errorTitle="0.2" error="Taxa inválida" type="decimal" errorStyle="stop" operator="between">
      <formula1>0</formula1>
    </dataValidation>
    <dataValidation sqref="H6:H15" showDropDown="0" showInputMessage="0" showErrorMessage="1" allowBlank="1" errorTitle="Nº de parcelas inválido" error="Informe entre 1 e 360 parcelas." type="whole" errorStyle="stop" operator="between">
      <formula1>1</formula1>
      <formula2>360</formula2>
    </dataValidation>
    <dataValidation sqref="F6:F15" showDropDown="0" showInputMessage="0" showErrorMessage="1" allowBlank="1" errorTitle="Data inválida" error="Informe uma data válida (entre 01/01/2000 e 31/12/2100)." type="date" errorStyle="warning" operator="between">
      <formula1>DATE(2000,1,1)</formula1>
      <formula2>DATE(2100,12,31)</formula2>
    </dataValidation>
    <dataValidation sqref="J6:J15" showDropDown="0" showInputMessage="0" showErrorMessage="1" allowBlank="1" errorTitle="Data inválida" error="Informe uma data válida (entre 01/01/2000 e 31/12/2100)." type="date" errorStyle="warning" operator="between">
      <formula1>DATE(2000,1,1)</formula1>
      <formula2>DATE(2100,12,31)</formula2>
    </dataValidation>
    <dataValidation sqref="C31" showDropDown="0" showInputMessage="0" showErrorMessage="1" allowBlank="1" errorTitle="Valor inválido" error="Informe o valor do crédito simulado." type="decimal" errorStyle="stop" operator="greaterThan">
      <formula1>0</formula1>
    </dataValidation>
    <dataValidation sqref="C32" showDropDown="0" showInputMessage="0" showErrorMessage="1" allowBlank="1" errorTitle="0.2" error="Taxa inválida" type="decimal" errorStyle="stop" operator="between">
      <formula1>0</formula1>
    </dataValidation>
    <dataValidation sqref="C33" showDropDown="0" showInputMessage="0" showErrorMessage="1" allowBlank="1" errorTitle="Prazo inválido" error="Informe o prazo em meses (1 a 360)." type="whole" errorStyle="stop" operator="between">
      <formula1>1</formula1>
      <formula2>360</formula2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N523"/>
  <sheetViews>
    <sheetView showGridLines="0" tabSelected="0" zoomScale="10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5" customWidth="1" min="4" max="4"/>
    <col width="12" customWidth="1" min="5" max="5"/>
    <col width="26" customWidth="1" min="6" max="6"/>
    <col width="16" customWidth="1" min="7" max="7"/>
    <col width="24" customWidth="1" min="8" max="8"/>
    <col width="16" customWidth="1" min="9" max="9"/>
    <col width="40" customWidth="1" min="10" max="10"/>
    <col width="16" customWidth="1" min="11" max="11"/>
    <col width="22" customWidth="1" min="12" max="12"/>
    <col width="16" customWidth="1" min="13" max="13"/>
    <col width="16" customWidth="1" min="14" max="14"/>
  </cols>
  <sheetData>
    <row r="1" ht="24" customHeight="1">
      <c r="A1" s="26" t="inlineStr">
        <is>
          <t>CONCILIAÇÃO BANCÁRIA — EXTRATO BANCÁRIO x PLANILHA</t>
        </is>
      </c>
    </row>
    <row r="2">
      <c r="A2" s="27" t="inlineStr">
        <is>
          <t>Compare o extrato do banco com os lançamentos do sistema. O status de cada item é sugerido automaticamente e as divergências ficam destacadas.</t>
        </is>
      </c>
    </row>
    <row r="3" ht="30" customHeight="1">
      <c r="A3" s="3" t="inlineStr">
        <is>
          <t>Como usar: 1) importe/registre as linhas do extrato nas colunas amarelas; 2) o sistema procura automaticamente o lançamento correspondente (mesma data, valor e conta); 3) ajuste o status para Conciliado quando estiver certo. ⚠ As linhas preenchidas são dados de exemplo.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20" customHeight="1">
      <c r="A5" s="4" t="inlineStr">
        <is>
          <t>1. INDICADORES DA CONCILIAÇÃO</t>
        </is>
      </c>
      <c r="B5" s="4" t="n"/>
      <c r="C5" s="4" t="n"/>
      <c r="D5" s="4" t="n"/>
      <c r="E5" s="4" t="n"/>
      <c r="F5" s="4" t="n"/>
      <c r="G5" s="4" t="n"/>
      <c r="H5" s="4" t="n"/>
    </row>
    <row r="6" ht="26" customHeight="1">
      <c r="A6" s="5" t="inlineStr">
        <is>
          <t>Total de créditos no extrato</t>
        </is>
      </c>
      <c r="B6" s="5" t="n"/>
      <c r="C6" s="5" t="inlineStr">
        <is>
          <t>Total de débitos no extrato</t>
        </is>
      </c>
      <c r="D6" s="5" t="n"/>
      <c r="E6" s="5" t="inlineStr">
        <is>
          <t>Saldo líquido do extrato</t>
        </is>
      </c>
      <c r="F6" s="5" t="n"/>
      <c r="G6" s="5" t="inlineStr">
        <is>
          <t>Itens conciliados</t>
        </is>
      </c>
      <c r="H6" s="5" t="n"/>
    </row>
    <row r="7" ht="30" customHeight="1">
      <c r="A7" s="6">
        <f>SUMIF($E$17:$E$516,"Crédito",$D$17:$D$516)</f>
        <v/>
      </c>
      <c r="B7" s="6" t="n"/>
      <c r="C7" s="6">
        <f>SUMIF($E$17:$E$516,"Débito",$D$17:$D$516)</f>
        <v/>
      </c>
      <c r="D7" s="6" t="n"/>
      <c r="E7" s="6">
        <f>SUMIF($E$17:$E$516,"Crédito",$D$17:$D$516)+SUMIF($E$17:$E$516,"Débito",$D$17:$D$516)</f>
        <v/>
      </c>
      <c r="F7" s="6" t="n"/>
      <c r="G7" s="16">
        <f>COUNTIF($G$17:$G$516,"Conciliado")</f>
        <v/>
      </c>
      <c r="H7" s="16" t="n"/>
    </row>
    <row r="8" ht="16" customHeight="1">
      <c r="A8" s="40" t="inlineStr">
        <is>
          <t>Entradas registradas no banco</t>
        </is>
      </c>
      <c r="B8" s="40" t="n"/>
      <c r="C8" s="40" t="inlineStr">
        <is>
          <t>Saídas registradas no banco</t>
        </is>
      </c>
      <c r="D8" s="40" t="n"/>
      <c r="E8" s="40" t="inlineStr">
        <is>
          <t>Créditos − débitos</t>
        </is>
      </c>
      <c r="F8" s="40" t="n"/>
      <c r="G8" s="40" t="inlineStr">
        <is>
          <t>Sem pendências</t>
        </is>
      </c>
      <c r="H8" s="40" t="n"/>
    </row>
    <row r="9" ht="26" customHeight="1">
      <c r="A9" s="5" t="inlineStr">
        <is>
          <t>Itens pendentes</t>
        </is>
      </c>
      <c r="B9" s="5" t="n"/>
      <c r="C9" s="5" t="inlineStr">
        <is>
          <t>Itens divergentes</t>
        </is>
      </c>
      <c r="D9" s="5" t="n"/>
      <c r="E9" s="5" t="inlineStr">
        <is>
          <t>Divergência líquida (pendentes + divergentes)</t>
        </is>
      </c>
      <c r="F9" s="5" t="n"/>
      <c r="G9" s="5" t="inlineStr">
        <is>
          <t>Itens do extrato não localizados na planilha</t>
        </is>
      </c>
      <c r="H9" s="5" t="n"/>
    </row>
    <row r="10" ht="30" customHeight="1">
      <c r="A10" s="16">
        <f>COUNTIF($G$17:$G$516,"Pendente")</f>
        <v/>
      </c>
      <c r="B10" s="16" t="n"/>
      <c r="C10" s="16">
        <f>COUNTIF($G$17:$G$516,"Divergente")</f>
        <v/>
      </c>
      <c r="D10" s="16" t="n"/>
      <c r="E10" s="6">
        <f>SUMIF($G$17:$G$516,"Divergente",$D$17:$D$516)+SUMIF($G$17:$G$516,"Pendente",$D$17:$D$516)</f>
        <v/>
      </c>
      <c r="F10" s="6" t="n"/>
      <c r="G10" s="16">
        <f>COUNTIF($L$17:$L$516,"Não localizado")</f>
        <v/>
      </c>
      <c r="H10" s="16" t="n"/>
    </row>
    <row r="11" ht="16" customHeight="1">
      <c r="A11" s="40" t="inlineStr">
        <is>
          <t>Precisam de classificação</t>
        </is>
      </c>
      <c r="B11" s="40" t="n"/>
      <c r="C11" s="40" t="inlineStr">
        <is>
          <t>Valor não confere</t>
        </is>
      </c>
      <c r="D11" s="40" t="n"/>
      <c r="E11" s="40" t="inlineStr">
        <is>
          <t>Ajuste necessário no extrato ou na planilha</t>
        </is>
      </c>
      <c r="F11" s="40" t="n"/>
      <c r="G11" s="40" t="inlineStr">
        <is>
          <t>Lançar na aba LANÇAMENTOS</t>
        </is>
      </c>
      <c r="H11" s="40" t="n"/>
    </row>
    <row r="15" ht="20" customHeight="1">
      <c r="A15" s="4" t="inlineStr">
        <is>
          <t>2. EXTRATO BANCÁRIO x LANÇAMENTOS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34" customHeight="1">
      <c r="A16" s="34" t="inlineStr">
        <is>
          <t>Data</t>
        </is>
      </c>
      <c r="B16" s="34" t="inlineStr">
        <is>
          <t>Histórico do extrato</t>
        </is>
      </c>
      <c r="C16" s="34" t="inlineStr">
        <is>
          <t>Documento</t>
        </is>
      </c>
      <c r="D16" s="34" t="inlineStr">
        <is>
          <t>Valor</t>
        </is>
      </c>
      <c r="E16" s="34" t="inlineStr">
        <is>
          <t>Tipo</t>
        </is>
      </c>
      <c r="F16" s="34" t="inlineStr">
        <is>
          <t>Conta / banco</t>
        </is>
      </c>
      <c r="G16" s="34" t="inlineStr">
        <is>
          <t>Status</t>
        </is>
      </c>
      <c r="H16" s="34" t="inlineStr">
        <is>
          <t>Categoria</t>
        </is>
      </c>
      <c r="I16" s="34" t="inlineStr">
        <is>
          <t>Centro de custo</t>
        </is>
      </c>
      <c r="J16" s="34" t="inlineStr">
        <is>
          <t>Observação</t>
        </is>
      </c>
      <c r="K16" s="34" t="inlineStr">
        <is>
          <t>Valor com sinal</t>
        </is>
      </c>
      <c r="L16" s="34" t="inlineStr">
        <is>
          <t>Situação automática (busca na planilha)</t>
        </is>
      </c>
    </row>
    <row r="17">
      <c r="A17" s="36" t="n">
        <v>46249</v>
      </c>
      <c r="B17" s="29" t="inlineStr">
        <is>
          <t>Financiamento de Máquinas — parcela 6/36 (juros)</t>
        </is>
      </c>
      <c r="C17" s="14" t="inlineStr">
        <is>
          <t>FIN-2026-1198-P06</t>
        </is>
      </c>
      <c r="D17" s="35" t="n">
        <v>1136.67</v>
      </c>
      <c r="E17" s="14" t="inlineStr">
        <is>
          <t>Débito</t>
        </is>
      </c>
      <c r="F17" s="29" t="inlineStr">
        <is>
          <t>Banco do Brasil — C/C 12345-6</t>
        </is>
      </c>
      <c r="G17" s="14" t="inlineStr">
        <is>
          <t>Conciliado</t>
        </is>
      </c>
      <c r="H17" s="29" t="inlineStr">
        <is>
          <t>Juros de Empréstimos e Financiamentos</t>
        </is>
      </c>
      <c r="I17" s="14" t="inlineStr">
        <is>
          <t>Financeiro</t>
        </is>
      </c>
      <c r="J17" s="29" t="inlineStr">
        <is>
          <t>Conferido com o comprovante</t>
        </is>
      </c>
      <c r="K17" s="18">
        <f>IF($D17="","",IF($E17="Débito",-ABS($D17),ABS($D17)))</f>
        <v/>
      </c>
      <c r="L17" s="9">
        <f>IF($A17="","",IF(COUNTIFS('LANÇAMENTOS'!$D$6:$D$2005,$A17,'LANÇAMENTOS'!$V$6:$V$2005,ABS($D17),'LANÇAMENTOS'!$L$6:$L$2005,$F17)&gt;0,"✔ Encontrado na planilha",IF(COUNTIFS('LANÇAMENTOS'!$D$6:$D$2005,$A17,'LANÇAMENTOS'!$V$6:$V$2005,"&gt;="&amp;ABS($D17)*0.98,'LANÇAMENTOS'!$V$6:$V$2005,"&lt;="&amp;ABS($D17)*1.02)&gt;0,"🟡 Valor próximo de um lançamento","❌ Não localizado")))</f>
        <v/>
      </c>
    </row>
    <row r="18">
      <c r="A18" s="36" t="n">
        <v>46254</v>
      </c>
      <c r="B18" s="29" t="inlineStr">
        <is>
          <t>Financiamento de Veículo — parcela 7/48 (principal)</t>
        </is>
      </c>
      <c r="C18" s="14" t="inlineStr">
        <is>
          <t>VEI-2026-0088-P07</t>
        </is>
      </c>
      <c r="D18" s="35" t="n">
        <v>1321.37</v>
      </c>
      <c r="E18" s="14" t="inlineStr">
        <is>
          <t>Débito</t>
        </is>
      </c>
      <c r="F18" s="29" t="inlineStr">
        <is>
          <t>Itaú Unibanco — C/C 45678-9</t>
        </is>
      </c>
      <c r="G18" s="14" t="inlineStr">
        <is>
          <t>Conciliado</t>
        </is>
      </c>
      <c r="H18" s="29" t="inlineStr">
        <is>
          <t>Pagamento de Principal de Empréstimos</t>
        </is>
      </c>
      <c r="I18" s="14" t="inlineStr">
        <is>
          <t>Diretoria</t>
        </is>
      </c>
      <c r="J18" s="29" t="inlineStr">
        <is>
          <t>Conferido com o comprovante</t>
        </is>
      </c>
      <c r="K18" s="18">
        <f>IF($D18="","",IF($E18="Débito",-ABS($D18),ABS($D18)))</f>
        <v/>
      </c>
      <c r="L18" s="9">
        <f>IF($A18="","",IF(COUNTIFS('LANÇAMENTOS'!$D$6:$D$2005,$A18,'LANÇAMENTOS'!$V$6:$V$2005,ABS($D18),'LANÇAMENTOS'!$L$6:$L$2005,$F18)&gt;0,"✔ Encontrado na planilha",IF(COUNTIFS('LANÇAMENTOS'!$D$6:$D$2005,$A18,'LANÇAMENTOS'!$V$6:$V$2005,"&gt;="&amp;ABS($D18)*0.98,'LANÇAMENTOS'!$V$6:$V$2005,"&lt;="&amp;ABS($D18)*1.02)&gt;0,"🟡 Valor próximo de um lançamento","❌ Não localizado")))</f>
        <v/>
      </c>
    </row>
    <row r="19">
      <c r="A19" s="36" t="n">
        <v>46257</v>
      </c>
      <c r="B19" s="29" t="inlineStr">
        <is>
          <t>Energia elétrica — fatura 08/2026</t>
        </is>
      </c>
      <c r="C19" s="14" t="inlineStr">
        <is>
          <t>DOC 8381</t>
        </is>
      </c>
      <c r="D19" s="35" t="n">
        <v>2731.92</v>
      </c>
      <c r="E19" s="14" t="inlineStr">
        <is>
          <t>Débito</t>
        </is>
      </c>
      <c r="F19" s="29" t="inlineStr">
        <is>
          <t>Itaú Unibanco — C/C 45678-9</t>
        </is>
      </c>
      <c r="G19" s="14" t="inlineStr">
        <is>
          <t>Conciliado</t>
        </is>
      </c>
      <c r="H19" s="29" t="inlineStr">
        <is>
          <t>Energia Elétrica</t>
        </is>
      </c>
      <c r="I19" s="14" t="inlineStr">
        <is>
          <t>Administrativo</t>
        </is>
      </c>
      <c r="J19" s="29" t="inlineStr">
        <is>
          <t>Conferido com o comprovante</t>
        </is>
      </c>
      <c r="K19" s="18">
        <f>IF($D19="","",IF($E19="Débito",-ABS($D19),ABS($D19)))</f>
        <v/>
      </c>
      <c r="L19" s="9">
        <f>IF($A19="","",IF(COUNTIFS('LANÇAMENTOS'!$D$6:$D$2005,$A19,'LANÇAMENTOS'!$V$6:$V$2005,ABS($D19),'LANÇAMENTOS'!$L$6:$L$2005,$F19)&gt;0,"✔ Encontrado na planilha",IF(COUNTIFS('LANÇAMENTOS'!$D$6:$D$2005,$A19,'LANÇAMENTOS'!$V$6:$V$2005,"&gt;="&amp;ABS($D19)*0.98,'LANÇAMENTOS'!$V$6:$V$2005,"&lt;="&amp;ABS($D19)*1.02)&gt;0,"🟡 Valor próximo de um lançamento","❌ Não localizado")))</f>
        <v/>
      </c>
    </row>
    <row r="20">
      <c r="A20" s="36" t="n">
        <v>46261</v>
      </c>
      <c r="B20" s="29" t="inlineStr">
        <is>
          <t>Equipe terceirizada de separação e expedição</t>
        </is>
      </c>
      <c r="C20" s="14" t="inlineStr">
        <is>
          <t>DOC 8393</t>
        </is>
      </c>
      <c r="D20" s="35" t="n">
        <v>1800</v>
      </c>
      <c r="E20" s="14" t="inlineStr">
        <is>
          <t>Débito</t>
        </is>
      </c>
      <c r="F20" s="29" t="inlineStr">
        <is>
          <t>Banco do Brasil — C/C 12345-6</t>
        </is>
      </c>
      <c r="G20" s="14" t="inlineStr">
        <is>
          <t>Conciliado</t>
        </is>
      </c>
      <c r="H20" s="29" t="inlineStr">
        <is>
          <t>Serviços Terceirizados (PJ)</t>
        </is>
      </c>
      <c r="I20" s="14" t="inlineStr">
        <is>
          <t>Produção</t>
        </is>
      </c>
      <c r="J20" s="29" t="inlineStr">
        <is>
          <t>Conferido com o comprovante</t>
        </is>
      </c>
      <c r="K20" s="18">
        <f>IF($D20="","",IF($E20="Débito",-ABS($D20),ABS($D20)))</f>
        <v/>
      </c>
      <c r="L20" s="9">
        <f>IF($A20="","",IF(COUNTIFS('LANÇAMENTOS'!$D$6:$D$2005,$A20,'LANÇAMENTOS'!$V$6:$V$2005,ABS($D20),'LANÇAMENTOS'!$L$6:$L$2005,$F20)&gt;0,"✔ Encontrado na planilha",IF(COUNTIFS('LANÇAMENTOS'!$D$6:$D$2005,$A20,'LANÇAMENTOS'!$V$6:$V$2005,"&gt;="&amp;ABS($D20)*0.98,'LANÇAMENTOS'!$V$6:$V$2005,"&lt;="&amp;ABS($D20)*1.02)&gt;0,"🟡 Valor próximo de um lançamento","❌ Não localizado")))</f>
        <v/>
      </c>
    </row>
    <row r="21">
      <c r="A21" s="36" t="n">
        <v>46262</v>
      </c>
      <c r="B21" s="29" t="inlineStr">
        <is>
          <t>Rendimento de aplicação financeira — 08/2026</t>
        </is>
      </c>
      <c r="C21" s="14" t="inlineStr">
        <is>
          <t>REND-APL</t>
        </is>
      </c>
      <c r="D21" s="35" t="n">
        <v>902.65</v>
      </c>
      <c r="E21" s="14" t="inlineStr">
        <is>
          <t>Crédito</t>
        </is>
      </c>
      <c r="F21" s="29" t="inlineStr">
        <is>
          <t>Itaú Unibanco — C/C 45678-9</t>
        </is>
      </c>
      <c r="G21" s="14" t="inlineStr">
        <is>
          <t>Conciliado</t>
        </is>
      </c>
      <c r="H21" s="29" t="inlineStr">
        <is>
          <t>Rendimentos de Aplicações Financeiras</t>
        </is>
      </c>
      <c r="I21" s="14" t="inlineStr">
        <is>
          <t>Financeiro</t>
        </is>
      </c>
      <c r="J21" s="29" t="inlineStr">
        <is>
          <t>Conferido com o comprovante</t>
        </is>
      </c>
      <c r="K21" s="18">
        <f>IF($D21="","",IF($E21="Débito",-ABS($D21),ABS($D21)))</f>
        <v/>
      </c>
      <c r="L21" s="9">
        <f>IF($A21="","",IF(COUNTIFS('LANÇAMENTOS'!$D$6:$D$2005,$A21,'LANÇAMENTOS'!$V$6:$V$2005,ABS($D21),'LANÇAMENTOS'!$L$6:$L$2005,$F21)&gt;0,"✔ Encontrado na planilha",IF(COUNTIFS('LANÇAMENTOS'!$D$6:$D$2005,$A21,'LANÇAMENTOS'!$V$6:$V$2005,"&gt;="&amp;ABS($D21)*0.98,'LANÇAMENTOS'!$V$6:$V$2005,"&lt;="&amp;ABS($D21)*1.02)&gt;0,"🟡 Valor próximo de um lançamento","❌ Não localizado")))</f>
        <v/>
      </c>
    </row>
    <row r="22">
      <c r="A22" s="36" t="n">
        <v>46263</v>
      </c>
      <c r="B22" s="29" t="inlineStr">
        <is>
          <t>Anúncios e campanhas digitais</t>
        </is>
      </c>
      <c r="C22" s="14" t="inlineStr">
        <is>
          <t>DOC 8391</t>
        </is>
      </c>
      <c r="D22" s="35" t="n">
        <v>1488.18</v>
      </c>
      <c r="E22" s="14" t="inlineStr">
        <is>
          <t>Débito</t>
        </is>
      </c>
      <c r="F22" s="29" t="inlineStr">
        <is>
          <t>Nubank PJ — C/C 9876543-2</t>
        </is>
      </c>
      <c r="G22" s="14" t="inlineStr">
        <is>
          <t>Conciliado</t>
        </is>
      </c>
      <c r="H22" s="29" t="inlineStr">
        <is>
          <t>Publicidade e Anúncios</t>
        </is>
      </c>
      <c r="I22" s="14" t="inlineStr">
        <is>
          <t>Marketing</t>
        </is>
      </c>
      <c r="J22" s="29" t="inlineStr">
        <is>
          <t>Conferido com o comprovante</t>
        </is>
      </c>
      <c r="K22" s="18">
        <f>IF($D22="","",IF($E22="Débito",-ABS($D22),ABS($D22)))</f>
        <v/>
      </c>
      <c r="L22" s="9">
        <f>IF($A22="","",IF(COUNTIFS('LANÇAMENTOS'!$D$6:$D$2005,$A22,'LANÇAMENTOS'!$V$6:$V$2005,ABS($D22),'LANÇAMENTOS'!$L$6:$L$2005,$F22)&gt;0,"✔ Encontrado na planilha",IF(COUNTIFS('LANÇAMENTOS'!$D$6:$D$2005,$A22,'LANÇAMENTOS'!$V$6:$V$2005,"&gt;="&amp;ABS($D22)*0.98,'LANÇAMENTOS'!$V$6:$V$2005,"&lt;="&amp;ABS($D22)*1.02)&gt;0,"🟡 Valor próximo de um lançamento","❌ Não localizado")))</f>
        <v/>
      </c>
    </row>
    <row r="23">
      <c r="A23" s="36" t="n">
        <v>46265</v>
      </c>
      <c r="B23" s="29" t="inlineStr">
        <is>
          <t>Tarifas e pacote de serviços bancários</t>
        </is>
      </c>
      <c r="C23" s="14" t="inlineStr">
        <is>
          <t>DOC 8396</t>
        </is>
      </c>
      <c r="D23" s="35" t="n">
        <v>190</v>
      </c>
      <c r="E23" s="14" t="inlineStr">
        <is>
          <t>Débito</t>
        </is>
      </c>
      <c r="F23" s="29" t="inlineStr">
        <is>
          <t>Itaú Unibanco — C/C 45678-9</t>
        </is>
      </c>
      <c r="G23" s="14" t="inlineStr">
        <is>
          <t>Conciliado</t>
        </is>
      </c>
      <c r="H23" s="29" t="inlineStr">
        <is>
          <t>Tarifas Bancárias</t>
        </is>
      </c>
      <c r="I23" s="14" t="inlineStr">
        <is>
          <t>Financeiro</t>
        </is>
      </c>
      <c r="J23" s="29" t="inlineStr">
        <is>
          <t>Conferido com o comprovante</t>
        </is>
      </c>
      <c r="K23" s="18">
        <f>IF($D23="","",IF($E23="Débito",-ABS($D23),ABS($D23)))</f>
        <v/>
      </c>
      <c r="L23" s="9">
        <f>IF($A23="","",IF(COUNTIFS('LANÇAMENTOS'!$D$6:$D$2005,$A23,'LANÇAMENTOS'!$V$6:$V$2005,ABS($D23),'LANÇAMENTOS'!$L$6:$L$2005,$F23)&gt;0,"✔ Encontrado na planilha",IF(COUNTIFS('LANÇAMENTOS'!$D$6:$D$2005,$A23,'LANÇAMENTOS'!$V$6:$V$2005,"&gt;="&amp;ABS($D23)*0.98,'LANÇAMENTOS'!$V$6:$V$2005,"&lt;="&amp;ABS($D23)*1.02)&gt;0,"🟡 Valor próximo de um lançamento","❌ Não localizado")))</f>
        <v/>
      </c>
    </row>
    <row r="24">
      <c r="A24" s="36" t="n">
        <v>46266</v>
      </c>
      <c r="B24" s="29" t="inlineStr">
        <is>
          <t>Venda de mercadorias (parcela 1/3)</t>
        </is>
      </c>
      <c r="C24" s="14" t="inlineStr">
        <is>
          <t>NF-e 2091</t>
        </is>
      </c>
      <c r="D24" s="35" t="n">
        <v>8929.98</v>
      </c>
      <c r="E24" s="14" t="inlineStr">
        <is>
          <t>Crédito</t>
        </is>
      </c>
      <c r="F24" s="29" t="inlineStr">
        <is>
          <t>Itaú Unibanco — C/C 45678-9</t>
        </is>
      </c>
      <c r="G24" s="14" t="inlineStr">
        <is>
          <t>Conciliado</t>
        </is>
      </c>
      <c r="H24" s="29" t="inlineStr">
        <is>
          <t>Vendas de Produtos</t>
        </is>
      </c>
      <c r="I24" s="14" t="inlineStr">
        <is>
          <t>Comercial</t>
        </is>
      </c>
      <c r="J24" s="29" t="inlineStr">
        <is>
          <t>Conferido com o comprovante</t>
        </is>
      </c>
      <c r="K24" s="18">
        <f>IF($D24="","",IF($E24="Débito",-ABS($D24),ABS($D24)))</f>
        <v/>
      </c>
      <c r="L24" s="9">
        <f>IF($A24="","",IF(COUNTIFS('LANÇAMENTOS'!$D$6:$D$2005,$A24,'LANÇAMENTOS'!$V$6:$V$2005,ABS($D24),'LANÇAMENTOS'!$L$6:$L$2005,$F24)&gt;0,"✔ Encontrado na planilha",IF(COUNTIFS('LANÇAMENTOS'!$D$6:$D$2005,$A24,'LANÇAMENTOS'!$V$6:$V$2005,"&gt;="&amp;ABS($D24)*0.98,'LANÇAMENTOS'!$V$6:$V$2005,"&lt;="&amp;ABS($D24)*1.02)&gt;0,"🟡 Valor próximo de um lançamento","❌ Não localizado")))</f>
        <v/>
      </c>
    </row>
    <row r="25">
      <c r="A25" s="36" t="n">
        <v>46269</v>
      </c>
      <c r="B25" s="29" t="inlineStr">
        <is>
          <t>Manutenção predial, empilhadeira e frota</t>
        </is>
      </c>
      <c r="C25" s="14" t="inlineStr">
        <is>
          <t>DOC 8392</t>
        </is>
      </c>
      <c r="D25" s="35" t="n">
        <v>890.36</v>
      </c>
      <c r="E25" s="14" t="inlineStr">
        <is>
          <t>Débito</t>
        </is>
      </c>
      <c r="F25" s="29" t="inlineStr">
        <is>
          <t>Banco do Brasil — C/C 12345-6</t>
        </is>
      </c>
      <c r="G25" s="14" t="inlineStr">
        <is>
          <t>Conciliado</t>
        </is>
      </c>
      <c r="H25" s="29" t="inlineStr">
        <is>
          <t>Manutenção e Conservação</t>
        </is>
      </c>
      <c r="I25" s="14" t="inlineStr">
        <is>
          <t>Administrativo</t>
        </is>
      </c>
      <c r="J25" s="29" t="inlineStr">
        <is>
          <t>Conferido com o comprovante</t>
        </is>
      </c>
      <c r="K25" s="18">
        <f>IF($D25="","",IF($E25="Débito",-ABS($D25),ABS($D25)))</f>
        <v/>
      </c>
      <c r="L25" s="9">
        <f>IF($A25="","",IF(COUNTIFS('LANÇAMENTOS'!$D$6:$D$2005,$A25,'LANÇAMENTOS'!$V$6:$V$2005,ABS($D25),'LANÇAMENTOS'!$L$6:$L$2005,$F25)&gt;0,"✔ Encontrado na planilha",IF(COUNTIFS('LANÇAMENTOS'!$D$6:$D$2005,$A25,'LANÇAMENTOS'!$V$6:$V$2005,"&gt;="&amp;ABS($D25)*0.98,'LANÇAMENTOS'!$V$6:$V$2005,"&lt;="&amp;ABS($D25)*1.02)&gt;0,"🟡 Valor próximo de um lançamento","❌ Não localizado")))</f>
        <v/>
      </c>
    </row>
    <row r="26">
      <c r="A26" s="36" t="n">
        <v>46274</v>
      </c>
      <c r="B26" s="29" t="inlineStr">
        <is>
          <t>Serviços de logística, montagem e reposição</t>
        </is>
      </c>
      <c r="C26" s="14" t="inlineStr">
        <is>
          <t>RPS 3089</t>
        </is>
      </c>
      <c r="D26" s="35" t="n">
        <v>8071.41</v>
      </c>
      <c r="E26" s="14" t="inlineStr">
        <is>
          <t>Crédito</t>
        </is>
      </c>
      <c r="F26" s="29" t="inlineStr">
        <is>
          <t>Itaú Unibanco — C/C 45678-9</t>
        </is>
      </c>
      <c r="G26" s="14" t="inlineStr">
        <is>
          <t>Conciliado</t>
        </is>
      </c>
      <c r="H26" s="29" t="inlineStr">
        <is>
          <t>Vendas de Serviços</t>
        </is>
      </c>
      <c r="I26" s="14" t="inlineStr">
        <is>
          <t>Comercial</t>
        </is>
      </c>
      <c r="J26" s="29" t="inlineStr">
        <is>
          <t>Conferido com o comprovante</t>
        </is>
      </c>
      <c r="K26" s="18">
        <f>IF($D26="","",IF($E26="Débito",-ABS($D26),ABS($D26)))</f>
        <v/>
      </c>
      <c r="L26" s="9">
        <f>IF($A26="","",IF(COUNTIFS('LANÇAMENTOS'!$D$6:$D$2005,$A26,'LANÇAMENTOS'!$V$6:$V$2005,ABS($D26),'LANÇAMENTOS'!$L$6:$L$2005,$F26)&gt;0,"✔ Encontrado na planilha",IF(COUNTIFS('LANÇAMENTOS'!$D$6:$D$2005,$A26,'LANÇAMENTOS'!$V$6:$V$2005,"&gt;="&amp;ABS($D26)*0.98,'LANÇAMENTOS'!$V$6:$V$2005,"&lt;="&amp;ABS($D26)*1.02)&gt;0,"🟡 Valor próximo de um lançamento","❌ Não localizado")))</f>
        <v/>
      </c>
    </row>
    <row r="27">
      <c r="A27" s="36" t="n">
        <v>46275</v>
      </c>
      <c r="B27" s="29" t="inlineStr">
        <is>
          <t>Taxas de intermediação do marketplace</t>
        </is>
      </c>
      <c r="C27" s="14" t="inlineStr">
        <is>
          <t>DOC 7226</t>
        </is>
      </c>
      <c r="D27" s="35" t="n">
        <v>1950.87</v>
      </c>
      <c r="E27" s="14" t="inlineStr">
        <is>
          <t>Débito</t>
        </is>
      </c>
      <c r="F27" s="29" t="inlineStr">
        <is>
          <t>Banco do Brasil — C/C 12345-6</t>
        </is>
      </c>
      <c r="G27" s="14" t="inlineStr">
        <is>
          <t>Conciliado</t>
        </is>
      </c>
      <c r="H27" s="29" t="inlineStr">
        <is>
          <t>Taxas de Marketplace</t>
        </is>
      </c>
      <c r="I27" s="14" t="inlineStr">
        <is>
          <t>Comercial</t>
        </is>
      </c>
      <c r="J27" s="29" t="inlineStr">
        <is>
          <t>Conferido com o comprovante</t>
        </is>
      </c>
      <c r="K27" s="18">
        <f>IF($D27="","",IF($E27="Débito",-ABS($D27),ABS($D27)))</f>
        <v/>
      </c>
      <c r="L27" s="9">
        <f>IF($A27="","",IF(COUNTIFS('LANÇAMENTOS'!$D$6:$D$2005,$A27,'LANÇAMENTOS'!$V$6:$V$2005,ABS($D27),'LANÇAMENTOS'!$L$6:$L$2005,$F27)&gt;0,"✔ Encontrado na planilha",IF(COUNTIFS('LANÇAMENTOS'!$D$6:$D$2005,$A27,'LANÇAMENTOS'!$V$6:$V$2005,"&gt;="&amp;ABS($D27)*0.98,'LANÇAMENTOS'!$V$6:$V$2005,"&lt;="&amp;ABS($D27)*1.02)&gt;0,"🟡 Valor próximo de um lançamento","❌ Não localizado")))</f>
        <v/>
      </c>
    </row>
    <row r="28">
      <c r="A28" s="36" t="n">
        <v>46275</v>
      </c>
      <c r="B28" s="29" t="inlineStr">
        <is>
          <t>Honorários contábeis — competência 09/2026</t>
        </is>
      </c>
      <c r="C28" s="14" t="inlineStr">
        <is>
          <t>DOC 8401</t>
        </is>
      </c>
      <c r="D28" s="35" t="n">
        <v>1250</v>
      </c>
      <c r="E28" s="14" t="inlineStr">
        <is>
          <t>Débito</t>
        </is>
      </c>
      <c r="F28" s="29" t="inlineStr">
        <is>
          <t>Itaú Unibanco — C/C 45678-9</t>
        </is>
      </c>
      <c r="G28" s="14" t="inlineStr">
        <is>
          <t>Conciliado</t>
        </is>
      </c>
      <c r="H28" s="29" t="inlineStr">
        <is>
          <t>Contabilidade</t>
        </is>
      </c>
      <c r="I28" s="14" t="inlineStr">
        <is>
          <t>Financeiro</t>
        </is>
      </c>
      <c r="J28" s="29" t="inlineStr">
        <is>
          <t>Conferido com o comprovante</t>
        </is>
      </c>
      <c r="K28" s="18">
        <f>IF($D28="","",IF($E28="Débito",-ABS($D28),ABS($D28)))</f>
        <v/>
      </c>
      <c r="L28" s="9">
        <f>IF($A28="","",IF(COUNTIFS('LANÇAMENTOS'!$D$6:$D$2005,$A28,'LANÇAMENTOS'!$V$6:$V$2005,ABS($D28),'LANÇAMENTOS'!$L$6:$L$2005,$F28)&gt;0,"✔ Encontrado na planilha",IF(COUNTIFS('LANÇAMENTOS'!$D$6:$D$2005,$A28,'LANÇAMENTOS'!$V$6:$V$2005,"&gt;="&amp;ABS($D28)*0.98,'LANÇAMENTOS'!$V$6:$V$2005,"&lt;="&amp;ABS($D28)*1.02)&gt;0,"🟡 Valor próximo de um lançamento","❌ Não localizado")))</f>
        <v/>
      </c>
    </row>
    <row r="29">
      <c r="A29" s="36" t="n">
        <v>46275</v>
      </c>
      <c r="B29" s="29" t="inlineStr">
        <is>
          <t>Capital de Giro — parcela 8/24 (juros)</t>
        </is>
      </c>
      <c r="C29" s="14" t="inlineStr">
        <is>
          <t>CG-2026-0417-P08</t>
        </is>
      </c>
      <c r="D29" s="35" t="n">
        <v>669.83</v>
      </c>
      <c r="E29" s="14" t="inlineStr">
        <is>
          <t>Débito</t>
        </is>
      </c>
      <c r="F29" s="29" t="inlineStr">
        <is>
          <t>Banco do Brasil — C/C 12345-6</t>
        </is>
      </c>
      <c r="G29" s="14" t="inlineStr">
        <is>
          <t>Conciliado</t>
        </is>
      </c>
      <c r="H29" s="29" t="inlineStr">
        <is>
          <t>Juros de Empréstimos e Financiamentos</t>
        </is>
      </c>
      <c r="I29" s="14" t="inlineStr">
        <is>
          <t>Financeiro</t>
        </is>
      </c>
      <c r="J29" s="29" t="inlineStr">
        <is>
          <t>Conferido com o comprovante</t>
        </is>
      </c>
      <c r="K29" s="18">
        <f>IF($D29="","",IF($E29="Débito",-ABS($D29),ABS($D29)))</f>
        <v/>
      </c>
      <c r="L29" s="9">
        <f>IF($A29="","",IF(COUNTIFS('LANÇAMENTOS'!$D$6:$D$2005,$A29,'LANÇAMENTOS'!$V$6:$V$2005,ABS($D29),'LANÇAMENTOS'!$L$6:$L$2005,$F29)&gt;0,"✔ Encontrado na planilha",IF(COUNTIFS('LANÇAMENTOS'!$D$6:$D$2005,$A29,'LANÇAMENTOS'!$V$6:$V$2005,"&gt;="&amp;ABS($D29)*0.98,'LANÇAMENTOS'!$V$6:$V$2005,"&lt;="&amp;ABS($D29)*1.02)&gt;0,"🟡 Valor próximo de um lançamento","❌ Não localizado")))</f>
        <v/>
      </c>
    </row>
    <row r="30">
      <c r="A30" s="36" t="n">
        <v>46275</v>
      </c>
      <c r="B30" s="29" t="inlineStr">
        <is>
          <t>Capital de Giro — parcela 8/24 (juros)</t>
        </is>
      </c>
      <c r="C30" s="14" t="inlineStr">
        <is>
          <t>EXTRATO-090</t>
        </is>
      </c>
      <c r="D30" s="35" t="n">
        <v>579.9299999999999</v>
      </c>
      <c r="E30" s="14" t="inlineStr">
        <is>
          <t>Débito</t>
        </is>
      </c>
      <c r="F30" s="29" t="inlineStr">
        <is>
          <t>Banco do Brasil — C/C 12345-6</t>
        </is>
      </c>
      <c r="G30" s="14" t="inlineStr">
        <is>
          <t>Divergente</t>
        </is>
      </c>
      <c r="H30" s="29" t="inlineStr">
        <is>
          <t>Juros de Empréstimos e Financiamentos</t>
        </is>
      </c>
      <c r="I30" s="14" t="inlineStr">
        <is>
          <t>Financeiro</t>
        </is>
      </c>
      <c r="J30" s="29" t="inlineStr">
        <is>
          <t>Diferença de tarifa bancária não lançada</t>
        </is>
      </c>
      <c r="K30" s="18">
        <f>IF($D30="","",IF($E30="Débito",-ABS($D30),ABS($D30)))</f>
        <v/>
      </c>
      <c r="L30" s="9">
        <f>IF($A30="","",IF(COUNTIFS('LANÇAMENTOS'!$D$6:$D$2005,$A30,'LANÇAMENTOS'!$V$6:$V$2005,ABS($D30),'LANÇAMENTOS'!$L$6:$L$2005,$F30)&gt;0,"✔ Encontrado na planilha",IF(COUNTIFS('LANÇAMENTOS'!$D$6:$D$2005,$A30,'LANÇAMENTOS'!$V$6:$V$2005,"&gt;="&amp;ABS($D30)*0.98,'LANÇAMENTOS'!$V$6:$V$2005,"&lt;="&amp;ABS($D30)*1.02)&gt;0,"🟡 Valor próximo de um lançamento","❌ Não localizado")))</f>
        <v/>
      </c>
    </row>
    <row r="31">
      <c r="A31" s="36" t="n">
        <v>46276</v>
      </c>
      <c r="B31" s="29" t="inlineStr">
        <is>
          <t>Venda de mercadorias para revenda</t>
        </is>
      </c>
      <c r="C31" s="14" t="inlineStr">
        <is>
          <t>NF-e 2083</t>
        </is>
      </c>
      <c r="D31" s="35" t="n">
        <v>44774.44</v>
      </c>
      <c r="E31" s="14" t="inlineStr">
        <is>
          <t>Crédito</t>
        </is>
      </c>
      <c r="F31" s="29" t="inlineStr">
        <is>
          <t>Banco do Brasil — C/C 12345-6</t>
        </is>
      </c>
      <c r="G31" s="14" t="inlineStr">
        <is>
          <t>Conciliado</t>
        </is>
      </c>
      <c r="H31" s="29" t="inlineStr">
        <is>
          <t>Vendas de Produtos</t>
        </is>
      </c>
      <c r="I31" s="14" t="inlineStr">
        <is>
          <t>Comercial</t>
        </is>
      </c>
      <c r="J31" s="29" t="inlineStr">
        <is>
          <t>Conferido com o comprovante</t>
        </is>
      </c>
      <c r="K31" s="18">
        <f>IF($D31="","",IF($E31="Débito",-ABS($D31),ABS($D31)))</f>
        <v/>
      </c>
      <c r="L31" s="9">
        <f>IF($A31="","",IF(COUNTIFS('LANÇAMENTOS'!$D$6:$D$2005,$A31,'LANÇAMENTOS'!$V$6:$V$2005,ABS($D31),'LANÇAMENTOS'!$L$6:$L$2005,$F31)&gt;0,"✔ Encontrado na planilha",IF(COUNTIFS('LANÇAMENTOS'!$D$6:$D$2005,$A31,'LANÇAMENTOS'!$V$6:$V$2005,"&gt;="&amp;ABS($D31)*0.98,'LANÇAMENTOS'!$V$6:$V$2005,"&lt;="&amp;ABS($D31)*1.02)&gt;0,"🟡 Valor próximo de um lançamento","❌ Não localizado")))</f>
        <v/>
      </c>
    </row>
    <row r="32">
      <c r="A32" s="36" t="n">
        <v>46276</v>
      </c>
      <c r="B32" s="29" t="inlineStr">
        <is>
          <t>Venda de mercadorias para revenda</t>
        </is>
      </c>
      <c r="C32" s="14" t="inlineStr">
        <is>
          <t>NF-e 2094</t>
        </is>
      </c>
      <c r="D32" s="35" t="n">
        <v>19770.56</v>
      </c>
      <c r="E32" s="14" t="inlineStr">
        <is>
          <t>Crédito</t>
        </is>
      </c>
      <c r="F32" s="29" t="inlineStr">
        <is>
          <t>Itaú Unibanco — C/C 45678-9</t>
        </is>
      </c>
      <c r="G32" s="14" t="inlineStr">
        <is>
          <t>Conciliado</t>
        </is>
      </c>
      <c r="H32" s="29" t="inlineStr">
        <is>
          <t>Vendas de Produtos</t>
        </is>
      </c>
      <c r="I32" s="14" t="inlineStr">
        <is>
          <t>Comercial</t>
        </is>
      </c>
      <c r="J32" s="29" t="inlineStr">
        <is>
          <t>Conferido com o comprovante</t>
        </is>
      </c>
      <c r="K32" s="18">
        <f>IF($D32="","",IF($E32="Débito",-ABS($D32),ABS($D32)))</f>
        <v/>
      </c>
      <c r="L32" s="9">
        <f>IF($A32="","",IF(COUNTIFS('LANÇAMENTOS'!$D$6:$D$2005,$A32,'LANÇAMENTOS'!$V$6:$V$2005,ABS($D32),'LANÇAMENTOS'!$L$6:$L$2005,$F32)&gt;0,"✔ Encontrado na planilha",IF(COUNTIFS('LANÇAMENTOS'!$D$6:$D$2005,$A32,'LANÇAMENTOS'!$V$6:$V$2005,"&gt;="&amp;ABS($D32)*0.98,'LANÇAMENTOS'!$V$6:$V$2005,"&lt;="&amp;ABS($D32)*1.02)&gt;0,"🟡 Valor próximo de um lançamento","❌ Não localizado")))</f>
        <v/>
      </c>
    </row>
    <row r="33">
      <c r="A33" s="36" t="n">
        <v>46276</v>
      </c>
      <c r="B33" s="29" t="inlineStr">
        <is>
          <t>Fretes de entrega — notas do período</t>
        </is>
      </c>
      <c r="C33" s="14" t="inlineStr">
        <is>
          <t>DOC 7224</t>
        </is>
      </c>
      <c r="D33" s="35" t="n">
        <v>4932.33</v>
      </c>
      <c r="E33" s="14" t="inlineStr">
        <is>
          <t>Débito</t>
        </is>
      </c>
      <c r="F33" s="29" t="inlineStr">
        <is>
          <t>Banco do Brasil — C/C 12345-6</t>
        </is>
      </c>
      <c r="G33" s="14" t="inlineStr">
        <is>
          <t>Conciliado</t>
        </is>
      </c>
      <c r="H33" s="29" t="inlineStr">
        <is>
          <t>Fretes e Entregas sobre Vendas</t>
        </is>
      </c>
      <c r="I33" s="14" t="inlineStr">
        <is>
          <t>Logística</t>
        </is>
      </c>
      <c r="J33" s="29" t="inlineStr">
        <is>
          <t>Conferido com o comprovante</t>
        </is>
      </c>
      <c r="K33" s="18">
        <f>IF($D33="","",IF($E33="Débito",-ABS($D33),ABS($D33)))</f>
        <v/>
      </c>
      <c r="L33" s="9">
        <f>IF($A33="","",IF(COUNTIFS('LANÇAMENTOS'!$D$6:$D$2005,$A33,'LANÇAMENTOS'!$V$6:$V$2005,ABS($D33),'LANÇAMENTOS'!$L$6:$L$2005,$F33)&gt;0,"✔ Encontrado na planilha",IF(COUNTIFS('LANÇAMENTOS'!$D$6:$D$2005,$A33,'LANÇAMENTOS'!$V$6:$V$2005,"&gt;="&amp;ABS($D33)*0.98,'LANÇAMENTOS'!$V$6:$V$2005,"&lt;="&amp;ABS($D33)*1.02)&gt;0,"🟡 Valor próximo de um lançamento","❌ Não localizado")))</f>
        <v/>
      </c>
    </row>
    <row r="34">
      <c r="A34" s="36" t="n">
        <v>46276</v>
      </c>
      <c r="B34" s="29" t="inlineStr">
        <is>
          <t>Folha de pagamento — 09/2026</t>
        </is>
      </c>
      <c r="C34" s="14" t="inlineStr">
        <is>
          <t>DOC 8403</t>
        </is>
      </c>
      <c r="D34" s="35" t="n">
        <v>16000</v>
      </c>
      <c r="E34" s="14" t="inlineStr">
        <is>
          <t>Débito</t>
        </is>
      </c>
      <c r="F34" s="29" t="inlineStr">
        <is>
          <t>Banco do Brasil — C/C 12345-6</t>
        </is>
      </c>
      <c r="G34" s="14" t="inlineStr">
        <is>
          <t>Conciliado</t>
        </is>
      </c>
      <c r="H34" s="29" t="inlineStr">
        <is>
          <t>Salários</t>
        </is>
      </c>
      <c r="I34" s="14" t="inlineStr">
        <is>
          <t>Administrativo</t>
        </is>
      </c>
      <c r="J34" s="29" t="inlineStr">
        <is>
          <t>Conferido com o comprovante</t>
        </is>
      </c>
      <c r="K34" s="18">
        <f>IF($D34="","",IF($E34="Débito",-ABS($D34),ABS($D34)))</f>
        <v/>
      </c>
      <c r="L34" s="9">
        <f>IF($A34="","",IF(COUNTIFS('LANÇAMENTOS'!$D$6:$D$2005,$A34,'LANÇAMENTOS'!$V$6:$V$2005,ABS($D34),'LANÇAMENTOS'!$L$6:$L$2005,$F34)&gt;0,"✔ Encontrado na planilha",IF(COUNTIFS('LANÇAMENTOS'!$D$6:$D$2005,$A34,'LANÇAMENTOS'!$V$6:$V$2005,"&gt;="&amp;ABS($D34)*0.98,'LANÇAMENTOS'!$V$6:$V$2005,"&lt;="&amp;ABS($D34)*1.02)&gt;0,"🟡 Valor próximo de um lançamento","❌ Não localizado")))</f>
        <v/>
      </c>
    </row>
    <row r="35">
      <c r="A35" s="36" t="n">
        <v>46276</v>
      </c>
      <c r="B35" s="29" t="inlineStr">
        <is>
          <t>Pró-labore dos sócios — 09/2026</t>
        </is>
      </c>
      <c r="C35" s="14" t="inlineStr">
        <is>
          <t>DOC 8406</t>
        </is>
      </c>
      <c r="D35" s="35" t="n">
        <v>9500</v>
      </c>
      <c r="E35" s="14" t="inlineStr">
        <is>
          <t>Débito</t>
        </is>
      </c>
      <c r="F35" s="29" t="inlineStr">
        <is>
          <t>Banco do Brasil — C/C 12345-6</t>
        </is>
      </c>
      <c r="G35" s="14" t="inlineStr">
        <is>
          <t>Conciliado</t>
        </is>
      </c>
      <c r="H35" s="29" t="inlineStr">
        <is>
          <t>Pró-labore</t>
        </is>
      </c>
      <c r="I35" s="14" t="inlineStr">
        <is>
          <t>Diretoria</t>
        </is>
      </c>
      <c r="J35" s="29" t="inlineStr">
        <is>
          <t>Conferido com o comprovante</t>
        </is>
      </c>
      <c r="K35" s="18">
        <f>IF($D35="","",IF($E35="Débito",-ABS($D35),ABS($D35)))</f>
        <v/>
      </c>
      <c r="L35" s="9">
        <f>IF($A35="","",IF(COUNTIFS('LANÇAMENTOS'!$D$6:$D$2005,$A35,'LANÇAMENTOS'!$V$6:$V$2005,ABS($D35),'LANÇAMENTOS'!$L$6:$L$2005,$F35)&gt;0,"✔ Encontrado na planilha",IF(COUNTIFS('LANÇAMENTOS'!$D$6:$D$2005,$A35,'LANÇAMENTOS'!$V$6:$V$2005,"&gt;="&amp;ABS($D35)*0.98,'LANÇAMENTOS'!$V$6:$V$2005,"&lt;="&amp;ABS($D35)*1.02)&gt;0,"🟡 Valor próximo de um lançamento","❌ Não localizado")))</f>
        <v/>
      </c>
    </row>
    <row r="36">
      <c r="A36" s="36" t="n">
        <v>46279</v>
      </c>
      <c r="B36" s="29" t="inlineStr">
        <is>
          <t>DEPOSITO EM DINHEIRO NAO IDENTIFICADO</t>
        </is>
      </c>
      <c r="C36" s="14" t="inlineStr">
        <is>
          <t>DEP-4451</t>
        </is>
      </c>
      <c r="D36" s="35" t="n">
        <v>2950</v>
      </c>
      <c r="E36" s="14" t="inlineStr">
        <is>
          <t>Crédito</t>
        </is>
      </c>
      <c r="F36" s="29" t="inlineStr">
        <is>
          <t>Nubank PJ — C/C 9876543-2</t>
        </is>
      </c>
      <c r="G36" s="14" t="inlineStr">
        <is>
          <t>Pendente</t>
        </is>
      </c>
      <c r="H36" s="29" t="n"/>
      <c r="I36" s="14" t="n"/>
      <c r="J36" s="29" t="inlineStr">
        <is>
          <t>Identificar a origem do depósito antes de classificar</t>
        </is>
      </c>
      <c r="K36" s="18">
        <f>IF($D36="","",IF($E36="Débito",-ABS($D36),ABS($D36)))</f>
        <v/>
      </c>
      <c r="L36" s="9">
        <f>IF($A36="","",IF(COUNTIFS('LANÇAMENTOS'!$D$6:$D$2005,$A36,'LANÇAMENTOS'!$V$6:$V$2005,ABS($D36),'LANÇAMENTOS'!$L$6:$L$2005,$F36)&gt;0,"✔ Encontrado na planilha",IF(COUNTIFS('LANÇAMENTOS'!$D$6:$D$2005,$A36,'LANÇAMENTOS'!$V$6:$V$2005,"&gt;="&amp;ABS($D36)*0.98,'LANÇAMENTOS'!$V$6:$V$2005,"&lt;="&amp;ABS($D36)*1.02)&gt;0,"🟡 Valor próximo de um lançamento","❌ Não localizado")))</f>
        <v/>
      </c>
    </row>
    <row r="37">
      <c r="A37" s="36" t="n">
        <v>46280</v>
      </c>
      <c r="B37" s="29" t="inlineStr">
        <is>
          <t>Financiamento de Máquinas — parcela 7/36 (principal)</t>
        </is>
      </c>
      <c r="C37" s="14" t="inlineStr">
        <is>
          <t>FIN-2026-1198-P07</t>
        </is>
      </c>
      <c r="D37" s="35" t="n">
        <v>3333.33</v>
      </c>
      <c r="E37" s="14" t="inlineStr">
        <is>
          <t>Débito</t>
        </is>
      </c>
      <c r="F37" s="29" t="inlineStr">
        <is>
          <t>Banco do Brasil — C/C 12345-6</t>
        </is>
      </c>
      <c r="G37" s="14" t="inlineStr">
        <is>
          <t>Conciliado</t>
        </is>
      </c>
      <c r="H37" s="29" t="inlineStr">
        <is>
          <t>Pagamento de Principal de Empréstimos</t>
        </is>
      </c>
      <c r="I37" s="14" t="inlineStr">
        <is>
          <t>Financeiro</t>
        </is>
      </c>
      <c r="J37" s="29" t="inlineStr">
        <is>
          <t>Conferido com o comprovante</t>
        </is>
      </c>
      <c r="K37" s="18">
        <f>IF($D37="","",IF($E37="Débito",-ABS($D37),ABS($D37)))</f>
        <v/>
      </c>
      <c r="L37" s="9">
        <f>IF($A37="","",IF(COUNTIFS('LANÇAMENTOS'!$D$6:$D$2005,$A37,'LANÇAMENTOS'!$V$6:$V$2005,ABS($D37),'LANÇAMENTOS'!$L$6:$L$2005,$F37)&gt;0,"✔ Encontrado na planilha",IF(COUNTIFS('LANÇAMENTOS'!$D$6:$D$2005,$A37,'LANÇAMENTOS'!$V$6:$V$2005,"&gt;="&amp;ABS($D37)*0.98,'LANÇAMENTOS'!$V$6:$V$2005,"&lt;="&amp;ABS($D37)*1.02)&gt;0,"🟡 Valor próximo de um lançamento","❌ Não localizado")))</f>
        <v/>
      </c>
    </row>
    <row r="38">
      <c r="A38" s="36" t="n">
        <v>46280</v>
      </c>
      <c r="B38" s="29" t="inlineStr">
        <is>
          <t>Financiamento de Máquinas — parcela 7/36 (principal)</t>
        </is>
      </c>
      <c r="C38" s="14" t="inlineStr">
        <is>
          <t>EXTRATO-021</t>
        </is>
      </c>
      <c r="D38" s="35" t="n">
        <v>3400</v>
      </c>
      <c r="E38" s="14" t="inlineStr">
        <is>
          <t>Débito</t>
        </is>
      </c>
      <c r="F38" s="29" t="inlineStr">
        <is>
          <t>Banco do Brasil — C/C 12345-6</t>
        </is>
      </c>
      <c r="G38" s="14" t="inlineStr">
        <is>
          <t>Divergente</t>
        </is>
      </c>
      <c r="H38" s="29" t="inlineStr">
        <is>
          <t>Pagamento de Principal de Empréstimos</t>
        </is>
      </c>
      <c r="I38" s="14" t="inlineStr">
        <is>
          <t>Financeiro</t>
        </is>
      </c>
      <c r="J38" s="29" t="inlineStr">
        <is>
          <t>Valor do extrato 2% maior que o registrado na planilha</t>
        </is>
      </c>
      <c r="K38" s="18">
        <f>IF($D38="","",IF($E38="Débito",-ABS($D38),ABS($D38)))</f>
        <v/>
      </c>
      <c r="L38" s="9">
        <f>IF($A38="","",IF(COUNTIFS('LANÇAMENTOS'!$D$6:$D$2005,$A38,'LANÇAMENTOS'!$V$6:$V$2005,ABS($D38),'LANÇAMENTOS'!$L$6:$L$2005,$F38)&gt;0,"✔ Encontrado na planilha",IF(COUNTIFS('LANÇAMENTOS'!$D$6:$D$2005,$A38,'LANÇAMENTOS'!$V$6:$V$2005,"&gt;="&amp;ABS($D38)*0.98,'LANÇAMENTOS'!$V$6:$V$2005,"&lt;="&amp;ABS($D38)*1.02)&gt;0,"🟡 Valor próximo de um lançamento","❌ Não localizado")))</f>
        <v/>
      </c>
    </row>
    <row r="39">
      <c r="A39" s="36" t="n">
        <v>46281</v>
      </c>
      <c r="B39" s="29" t="inlineStr">
        <is>
          <t>TARIFA PACOTE SERVICOS PJ</t>
        </is>
      </c>
      <c r="C39" s="14" t="inlineStr">
        <is>
          <t>TAR-2291</t>
        </is>
      </c>
      <c r="D39" s="35" t="n">
        <v>79.90000000000001</v>
      </c>
      <c r="E39" s="14" t="inlineStr">
        <is>
          <t>Débito</t>
        </is>
      </c>
      <c r="F39" s="29" t="inlineStr">
        <is>
          <t>Itaú Unibanco — C/C 45678-9</t>
        </is>
      </c>
      <c r="G39" s="14" t="inlineStr">
        <is>
          <t>Pendente</t>
        </is>
      </c>
      <c r="H39" s="29" t="inlineStr">
        <is>
          <t>Tarifas Bancárias</t>
        </is>
      </c>
      <c r="I39" s="14" t="inlineStr">
        <is>
          <t>Financeiro</t>
        </is>
      </c>
      <c r="J39" s="29" t="inlineStr">
        <is>
          <t>Classificar como tarifa bancária e lançar na planilha</t>
        </is>
      </c>
      <c r="K39" s="18">
        <f>IF($D39="","",IF($E39="Débito",-ABS($D39),ABS($D39)))</f>
        <v/>
      </c>
      <c r="L39" s="9">
        <f>IF($A39="","",IF(COUNTIFS('LANÇAMENTOS'!$D$6:$D$2005,$A39,'LANÇAMENTOS'!$V$6:$V$2005,ABS($D39),'LANÇAMENTOS'!$L$6:$L$2005,$F39)&gt;0,"✔ Encontrado na planilha",IF(COUNTIFS('LANÇAMENTOS'!$D$6:$D$2005,$A39,'LANÇAMENTOS'!$V$6:$V$2005,"&gt;="&amp;ABS($D39)*0.98,'LANÇAMENTOS'!$V$6:$V$2005,"&lt;="&amp;ABS($D39)*1.02)&gt;0,"🟡 Valor próximo de um lançamento","❌ Não localizado")))</f>
        <v/>
      </c>
    </row>
    <row r="40">
      <c r="A40" s="36" t="n">
        <v>46283</v>
      </c>
      <c r="B40" s="29" t="inlineStr">
        <is>
          <t>Rendimento de aplicação financeira — 09/2026</t>
        </is>
      </c>
      <c r="C40" s="14" t="inlineStr">
        <is>
          <t>REND-APL</t>
        </is>
      </c>
      <c r="D40" s="35" t="n">
        <v>810.71</v>
      </c>
      <c r="E40" s="14" t="inlineStr">
        <is>
          <t>Crédito</t>
        </is>
      </c>
      <c r="F40" s="29" t="inlineStr">
        <is>
          <t>Itaú Unibanco — C/C 45678-9</t>
        </is>
      </c>
      <c r="G40" s="14" t="inlineStr">
        <is>
          <t>Conciliado</t>
        </is>
      </c>
      <c r="H40" s="29" t="inlineStr">
        <is>
          <t>Rendimentos de Aplicações Financeiras</t>
        </is>
      </c>
      <c r="I40" s="14" t="inlineStr">
        <is>
          <t>Financeiro</t>
        </is>
      </c>
      <c r="J40" s="29" t="inlineStr">
        <is>
          <t>Conferido com o comprovante</t>
        </is>
      </c>
      <c r="K40" s="18">
        <f>IF($D40="","",IF($E40="Débito",-ABS($D40),ABS($D40)))</f>
        <v/>
      </c>
      <c r="L40" s="9">
        <f>IF($A40="","",IF(COUNTIFS('LANÇAMENTOS'!$D$6:$D$2005,$A40,'LANÇAMENTOS'!$V$6:$V$2005,ABS($D40),'LANÇAMENTOS'!$L$6:$L$2005,$F40)&gt;0,"✔ Encontrado na planilha",IF(COUNTIFS('LANÇAMENTOS'!$D$6:$D$2005,$A40,'LANÇAMENTOS'!$V$6:$V$2005,"&gt;="&amp;ABS($D40)*0.98,'LANÇAMENTOS'!$V$6:$V$2005,"&lt;="&amp;ABS($D40)*1.02)&gt;0,"🟡 Valor próximo de um lançamento","❌ Não localizado")))</f>
        <v/>
      </c>
    </row>
    <row r="41">
      <c r="A41" s="36" t="n">
        <v>46283</v>
      </c>
      <c r="B41" s="29" t="inlineStr">
        <is>
          <t>Rendimento de aplicação financeira — 09/2026</t>
        </is>
      </c>
      <c r="C41" s="14" t="inlineStr">
        <is>
          <t>EXTRATO-022</t>
        </is>
      </c>
      <c r="D41" s="35" t="n">
        <v>810.71</v>
      </c>
      <c r="E41" s="14" t="inlineStr">
        <is>
          <t>Crédito</t>
        </is>
      </c>
      <c r="F41" s="29" t="inlineStr">
        <is>
          <t>Itaú Unibanco — C/C 45678-9</t>
        </is>
      </c>
      <c r="G41" s="14" t="inlineStr">
        <is>
          <t>Pendente</t>
        </is>
      </c>
      <c r="H41" s="29" t="inlineStr">
        <is>
          <t>Rendimentos de Aplicações Financeiras</t>
        </is>
      </c>
      <c r="I41" s="14" t="inlineStr">
        <is>
          <t>Financeiro</t>
        </is>
      </c>
      <c r="J41" s="29" t="inlineStr">
        <is>
          <t>Lançamento não encontrado — verificar comprovante</t>
        </is>
      </c>
      <c r="K41" s="18">
        <f>IF($D41="","",IF($E41="Débito",-ABS($D41),ABS($D41)))</f>
        <v/>
      </c>
      <c r="L41" s="9">
        <f>IF($A41="","",IF(COUNTIFS('LANÇAMENTOS'!$D$6:$D$2005,$A41,'LANÇAMENTOS'!$V$6:$V$2005,ABS($D41),'LANÇAMENTOS'!$L$6:$L$2005,$F41)&gt;0,"✔ Encontrado na planilha",IF(COUNTIFS('LANÇAMENTOS'!$D$6:$D$2005,$A41,'LANÇAMENTOS'!$V$6:$V$2005,"&gt;="&amp;ABS($D41)*0.98,'LANÇAMENTOS'!$V$6:$V$2005,"&lt;="&amp;ABS($D41)*1.02)&gt;0,"🟡 Valor próximo de um lançamento","❌ Não localizado")))</f>
        <v/>
      </c>
    </row>
    <row r="42">
      <c r="A42" s="36" t="n"/>
      <c r="B42" s="29" t="n"/>
      <c r="C42" s="14" t="n"/>
      <c r="D42" s="35" t="n"/>
      <c r="E42" s="14" t="n"/>
      <c r="F42" s="29" t="n"/>
      <c r="G42" s="14" t="n"/>
      <c r="H42" s="29" t="n"/>
      <c r="I42" s="14" t="n"/>
      <c r="J42" s="29" t="n"/>
      <c r="K42" s="18">
        <f>IF($D42="","",IF($E42="Débito",-ABS($D42),ABS($D42)))</f>
        <v/>
      </c>
      <c r="L42" s="9">
        <f>IF($A42="","",IF(COUNTIFS('LANÇAMENTOS'!$D$6:$D$2005,$A42,'LANÇAMENTOS'!$V$6:$V$2005,ABS($D42),'LANÇAMENTOS'!$L$6:$L$2005,$F42)&gt;0,"✔ Encontrado na planilha",IF(COUNTIFS('LANÇAMENTOS'!$D$6:$D$2005,$A42,'LANÇAMENTOS'!$V$6:$V$2005,"&gt;="&amp;ABS($D42)*0.98,'LANÇAMENTOS'!$V$6:$V$2005,"&lt;="&amp;ABS($D42)*1.02)&gt;0,"🟡 Valor próximo de um lançamento","❌ Não localizado")))</f>
        <v/>
      </c>
    </row>
    <row r="43">
      <c r="A43" s="36" t="n"/>
      <c r="B43" s="29" t="n"/>
      <c r="C43" s="14" t="n"/>
      <c r="D43" s="35" t="n"/>
      <c r="E43" s="14" t="n"/>
      <c r="F43" s="29" t="n"/>
      <c r="G43" s="14" t="n"/>
      <c r="H43" s="29" t="n"/>
      <c r="I43" s="14" t="n"/>
      <c r="J43" s="29" t="n"/>
      <c r="K43" s="18">
        <f>IF($D43="","",IF($E43="Débito",-ABS($D43),ABS($D43)))</f>
        <v/>
      </c>
      <c r="L43" s="9">
        <f>IF($A43="","",IF(COUNTIFS('LANÇAMENTOS'!$D$6:$D$2005,$A43,'LANÇAMENTOS'!$V$6:$V$2005,ABS($D43),'LANÇAMENTOS'!$L$6:$L$2005,$F43)&gt;0,"✔ Encontrado na planilha",IF(COUNTIFS('LANÇAMENTOS'!$D$6:$D$2005,$A43,'LANÇAMENTOS'!$V$6:$V$2005,"&gt;="&amp;ABS($D43)*0.98,'LANÇAMENTOS'!$V$6:$V$2005,"&lt;="&amp;ABS($D43)*1.02)&gt;0,"🟡 Valor próximo de um lançamento","❌ Não localizado")))</f>
        <v/>
      </c>
    </row>
    <row r="44">
      <c r="A44" s="36" t="n"/>
      <c r="B44" s="29" t="n"/>
      <c r="C44" s="14" t="n"/>
      <c r="D44" s="35" t="n"/>
      <c r="E44" s="14" t="n"/>
      <c r="F44" s="29" t="n"/>
      <c r="G44" s="14" t="n"/>
      <c r="H44" s="29" t="n"/>
      <c r="I44" s="14" t="n"/>
      <c r="J44" s="29" t="n"/>
      <c r="K44" s="18">
        <f>IF($D44="","",IF($E44="Débito",-ABS($D44),ABS($D44)))</f>
        <v/>
      </c>
      <c r="L44" s="9">
        <f>IF($A44="","",IF(COUNTIFS('LANÇAMENTOS'!$D$6:$D$2005,$A44,'LANÇAMENTOS'!$V$6:$V$2005,ABS($D44),'LANÇAMENTOS'!$L$6:$L$2005,$F44)&gt;0,"✔ Encontrado na planilha",IF(COUNTIFS('LANÇAMENTOS'!$D$6:$D$2005,$A44,'LANÇAMENTOS'!$V$6:$V$2005,"&gt;="&amp;ABS($D44)*0.98,'LANÇAMENTOS'!$V$6:$V$2005,"&lt;="&amp;ABS($D44)*1.02)&gt;0,"🟡 Valor próximo de um lançamento","❌ Não localizado")))</f>
        <v/>
      </c>
    </row>
    <row r="45">
      <c r="A45" s="36" t="n"/>
      <c r="B45" s="29" t="n"/>
      <c r="C45" s="14" t="n"/>
      <c r="D45" s="35" t="n"/>
      <c r="E45" s="14" t="n"/>
      <c r="F45" s="29" t="n"/>
      <c r="G45" s="14" t="n"/>
      <c r="H45" s="29" t="n"/>
      <c r="I45" s="14" t="n"/>
      <c r="J45" s="29" t="n"/>
      <c r="K45" s="18">
        <f>IF($D45="","",IF($E45="Débito",-ABS($D45),ABS($D45)))</f>
        <v/>
      </c>
      <c r="L45" s="9">
        <f>IF($A45="","",IF(COUNTIFS('LANÇAMENTOS'!$D$6:$D$2005,$A45,'LANÇAMENTOS'!$V$6:$V$2005,ABS($D45),'LANÇAMENTOS'!$L$6:$L$2005,$F45)&gt;0,"✔ Encontrado na planilha",IF(COUNTIFS('LANÇAMENTOS'!$D$6:$D$2005,$A45,'LANÇAMENTOS'!$V$6:$V$2005,"&gt;="&amp;ABS($D45)*0.98,'LANÇAMENTOS'!$V$6:$V$2005,"&lt;="&amp;ABS($D45)*1.02)&gt;0,"🟡 Valor próximo de um lançamento","❌ Não localizado")))</f>
        <v/>
      </c>
    </row>
    <row r="46">
      <c r="A46" s="36" t="n"/>
      <c r="B46" s="29" t="n"/>
      <c r="C46" s="14" t="n"/>
      <c r="D46" s="35" t="n"/>
      <c r="E46" s="14" t="n"/>
      <c r="F46" s="29" t="n"/>
      <c r="G46" s="14" t="n"/>
      <c r="H46" s="29" t="n"/>
      <c r="I46" s="14" t="n"/>
      <c r="J46" s="29" t="n"/>
      <c r="K46" s="18">
        <f>IF($D46="","",IF($E46="Débito",-ABS($D46),ABS($D46)))</f>
        <v/>
      </c>
      <c r="L46" s="9">
        <f>IF($A46="","",IF(COUNTIFS('LANÇAMENTOS'!$D$6:$D$2005,$A46,'LANÇAMENTOS'!$V$6:$V$2005,ABS($D46),'LANÇAMENTOS'!$L$6:$L$2005,$F46)&gt;0,"✔ Encontrado na planilha",IF(COUNTIFS('LANÇAMENTOS'!$D$6:$D$2005,$A46,'LANÇAMENTOS'!$V$6:$V$2005,"&gt;="&amp;ABS($D46)*0.98,'LANÇAMENTOS'!$V$6:$V$2005,"&lt;="&amp;ABS($D46)*1.02)&gt;0,"🟡 Valor próximo de um lançamento","❌ Não localizado")))</f>
        <v/>
      </c>
    </row>
    <row r="47">
      <c r="A47" s="36" t="n"/>
      <c r="B47" s="29" t="n"/>
      <c r="C47" s="14" t="n"/>
      <c r="D47" s="35" t="n"/>
      <c r="E47" s="14" t="n"/>
      <c r="F47" s="29" t="n"/>
      <c r="G47" s="14" t="n"/>
      <c r="H47" s="29" t="n"/>
      <c r="I47" s="14" t="n"/>
      <c r="J47" s="29" t="n"/>
      <c r="K47" s="18">
        <f>IF($D47="","",IF($E47="Débito",-ABS($D47),ABS($D47)))</f>
        <v/>
      </c>
      <c r="L47" s="9">
        <f>IF($A47="","",IF(COUNTIFS('LANÇAMENTOS'!$D$6:$D$2005,$A47,'LANÇAMENTOS'!$V$6:$V$2005,ABS($D47),'LANÇAMENTOS'!$L$6:$L$2005,$F47)&gt;0,"✔ Encontrado na planilha",IF(COUNTIFS('LANÇAMENTOS'!$D$6:$D$2005,$A47,'LANÇAMENTOS'!$V$6:$V$2005,"&gt;="&amp;ABS($D47)*0.98,'LANÇAMENTOS'!$V$6:$V$2005,"&lt;="&amp;ABS($D47)*1.02)&gt;0,"🟡 Valor próximo de um lançamento","❌ Não localizado")))</f>
        <v/>
      </c>
    </row>
    <row r="48">
      <c r="A48" s="36" t="n"/>
      <c r="B48" s="29" t="n"/>
      <c r="C48" s="14" t="n"/>
      <c r="D48" s="35" t="n"/>
      <c r="E48" s="14" t="n"/>
      <c r="F48" s="29" t="n"/>
      <c r="G48" s="14" t="n"/>
      <c r="H48" s="29" t="n"/>
      <c r="I48" s="14" t="n"/>
      <c r="J48" s="29" t="n"/>
      <c r="K48" s="18">
        <f>IF($D48="","",IF($E48="Débito",-ABS($D48),ABS($D48)))</f>
        <v/>
      </c>
      <c r="L48" s="9">
        <f>IF($A48="","",IF(COUNTIFS('LANÇAMENTOS'!$D$6:$D$2005,$A48,'LANÇAMENTOS'!$V$6:$V$2005,ABS($D48),'LANÇAMENTOS'!$L$6:$L$2005,$F48)&gt;0,"✔ Encontrado na planilha",IF(COUNTIFS('LANÇAMENTOS'!$D$6:$D$2005,$A48,'LANÇAMENTOS'!$V$6:$V$2005,"&gt;="&amp;ABS($D48)*0.98,'LANÇAMENTOS'!$V$6:$V$2005,"&lt;="&amp;ABS($D48)*1.02)&gt;0,"🟡 Valor próximo de um lançamento","❌ Não localizado")))</f>
        <v/>
      </c>
    </row>
    <row r="49">
      <c r="A49" s="36" t="n"/>
      <c r="B49" s="29" t="n"/>
      <c r="C49" s="14" t="n"/>
      <c r="D49" s="35" t="n"/>
      <c r="E49" s="14" t="n"/>
      <c r="F49" s="29" t="n"/>
      <c r="G49" s="14" t="n"/>
      <c r="H49" s="29" t="n"/>
      <c r="I49" s="14" t="n"/>
      <c r="J49" s="29" t="n"/>
      <c r="K49" s="18">
        <f>IF($D49="","",IF($E49="Débito",-ABS($D49),ABS($D49)))</f>
        <v/>
      </c>
      <c r="L49" s="9">
        <f>IF($A49="","",IF(COUNTIFS('LANÇAMENTOS'!$D$6:$D$2005,$A49,'LANÇAMENTOS'!$V$6:$V$2005,ABS($D49),'LANÇAMENTOS'!$L$6:$L$2005,$F49)&gt;0,"✔ Encontrado na planilha",IF(COUNTIFS('LANÇAMENTOS'!$D$6:$D$2005,$A49,'LANÇAMENTOS'!$V$6:$V$2005,"&gt;="&amp;ABS($D49)*0.98,'LANÇAMENTOS'!$V$6:$V$2005,"&lt;="&amp;ABS($D49)*1.02)&gt;0,"🟡 Valor próximo de um lançamento","❌ Não localizado")))</f>
        <v/>
      </c>
    </row>
    <row r="50">
      <c r="A50" s="36" t="n"/>
      <c r="B50" s="29" t="n"/>
      <c r="C50" s="14" t="n"/>
      <c r="D50" s="35" t="n"/>
      <c r="E50" s="14" t="n"/>
      <c r="F50" s="29" t="n"/>
      <c r="G50" s="14" t="n"/>
      <c r="H50" s="29" t="n"/>
      <c r="I50" s="14" t="n"/>
      <c r="J50" s="29" t="n"/>
      <c r="K50" s="18">
        <f>IF($D50="","",IF($E50="Débito",-ABS($D50),ABS($D50)))</f>
        <v/>
      </c>
      <c r="L50" s="9">
        <f>IF($A50="","",IF(COUNTIFS('LANÇAMENTOS'!$D$6:$D$2005,$A50,'LANÇAMENTOS'!$V$6:$V$2005,ABS($D50),'LANÇAMENTOS'!$L$6:$L$2005,$F50)&gt;0,"✔ Encontrado na planilha",IF(COUNTIFS('LANÇAMENTOS'!$D$6:$D$2005,$A50,'LANÇAMENTOS'!$V$6:$V$2005,"&gt;="&amp;ABS($D50)*0.98,'LANÇAMENTOS'!$V$6:$V$2005,"&lt;="&amp;ABS($D50)*1.02)&gt;0,"🟡 Valor próximo de um lançamento","❌ Não localizado")))</f>
        <v/>
      </c>
    </row>
    <row r="51">
      <c r="A51" s="36" t="n"/>
      <c r="B51" s="29" t="n"/>
      <c r="C51" s="14" t="n"/>
      <c r="D51" s="35" t="n"/>
      <c r="E51" s="14" t="n"/>
      <c r="F51" s="29" t="n"/>
      <c r="G51" s="14" t="n"/>
      <c r="H51" s="29" t="n"/>
      <c r="I51" s="14" t="n"/>
      <c r="J51" s="29" t="n"/>
      <c r="K51" s="18">
        <f>IF($D51="","",IF($E51="Débito",-ABS($D51),ABS($D51)))</f>
        <v/>
      </c>
      <c r="L51" s="9">
        <f>IF($A51="","",IF(COUNTIFS('LANÇAMENTOS'!$D$6:$D$2005,$A51,'LANÇAMENTOS'!$V$6:$V$2005,ABS($D51),'LANÇAMENTOS'!$L$6:$L$2005,$F51)&gt;0,"✔ Encontrado na planilha",IF(COUNTIFS('LANÇAMENTOS'!$D$6:$D$2005,$A51,'LANÇAMENTOS'!$V$6:$V$2005,"&gt;="&amp;ABS($D51)*0.98,'LANÇAMENTOS'!$V$6:$V$2005,"&lt;="&amp;ABS($D51)*1.02)&gt;0,"🟡 Valor próximo de um lançamento","❌ Não localizado")))</f>
        <v/>
      </c>
    </row>
    <row r="52">
      <c r="A52" s="36" t="n"/>
      <c r="B52" s="29" t="n"/>
      <c r="C52" s="14" t="n"/>
      <c r="D52" s="35" t="n"/>
      <c r="E52" s="14" t="n"/>
      <c r="F52" s="29" t="n"/>
      <c r="G52" s="14" t="n"/>
      <c r="H52" s="29" t="n"/>
      <c r="I52" s="14" t="n"/>
      <c r="J52" s="29" t="n"/>
      <c r="K52" s="18">
        <f>IF($D52="","",IF($E52="Débito",-ABS($D52),ABS($D52)))</f>
        <v/>
      </c>
      <c r="L52" s="9">
        <f>IF($A52="","",IF(COUNTIFS('LANÇAMENTOS'!$D$6:$D$2005,$A52,'LANÇAMENTOS'!$V$6:$V$2005,ABS($D52),'LANÇAMENTOS'!$L$6:$L$2005,$F52)&gt;0,"✔ Encontrado na planilha",IF(COUNTIFS('LANÇAMENTOS'!$D$6:$D$2005,$A52,'LANÇAMENTOS'!$V$6:$V$2005,"&gt;="&amp;ABS($D52)*0.98,'LANÇAMENTOS'!$V$6:$V$2005,"&lt;="&amp;ABS($D52)*1.02)&gt;0,"🟡 Valor próximo de um lançamento","❌ Não localizado")))</f>
        <v/>
      </c>
    </row>
    <row r="53">
      <c r="A53" s="36" t="n"/>
      <c r="B53" s="29" t="n"/>
      <c r="C53" s="14" t="n"/>
      <c r="D53" s="35" t="n"/>
      <c r="E53" s="14" t="n"/>
      <c r="F53" s="29" t="n"/>
      <c r="G53" s="14" t="n"/>
      <c r="H53" s="29" t="n"/>
      <c r="I53" s="14" t="n"/>
      <c r="J53" s="29" t="n"/>
      <c r="K53" s="18">
        <f>IF($D53="","",IF($E53="Débito",-ABS($D53),ABS($D53)))</f>
        <v/>
      </c>
      <c r="L53" s="9">
        <f>IF($A53="","",IF(COUNTIFS('LANÇAMENTOS'!$D$6:$D$2005,$A53,'LANÇAMENTOS'!$V$6:$V$2005,ABS($D53),'LANÇAMENTOS'!$L$6:$L$2005,$F53)&gt;0,"✔ Encontrado na planilha",IF(COUNTIFS('LANÇAMENTOS'!$D$6:$D$2005,$A53,'LANÇAMENTOS'!$V$6:$V$2005,"&gt;="&amp;ABS($D53)*0.98,'LANÇAMENTOS'!$V$6:$V$2005,"&lt;="&amp;ABS($D53)*1.02)&gt;0,"🟡 Valor próximo de um lançamento","❌ Não localizado")))</f>
        <v/>
      </c>
    </row>
    <row r="54">
      <c r="A54" s="36" t="n"/>
      <c r="B54" s="29" t="n"/>
      <c r="C54" s="14" t="n"/>
      <c r="D54" s="35" t="n"/>
      <c r="E54" s="14" t="n"/>
      <c r="F54" s="29" t="n"/>
      <c r="G54" s="14" t="n"/>
      <c r="H54" s="29" t="n"/>
      <c r="I54" s="14" t="n"/>
      <c r="J54" s="29" t="n"/>
      <c r="K54" s="18">
        <f>IF($D54="","",IF($E54="Débito",-ABS($D54),ABS($D54)))</f>
        <v/>
      </c>
      <c r="L54" s="9">
        <f>IF($A54="","",IF(COUNTIFS('LANÇAMENTOS'!$D$6:$D$2005,$A54,'LANÇAMENTOS'!$V$6:$V$2005,ABS($D54),'LANÇAMENTOS'!$L$6:$L$2005,$F54)&gt;0,"✔ Encontrado na planilha",IF(COUNTIFS('LANÇAMENTOS'!$D$6:$D$2005,$A54,'LANÇAMENTOS'!$V$6:$V$2005,"&gt;="&amp;ABS($D54)*0.98,'LANÇAMENTOS'!$V$6:$V$2005,"&lt;="&amp;ABS($D54)*1.02)&gt;0,"🟡 Valor próximo de um lançamento","❌ Não localizado")))</f>
        <v/>
      </c>
    </row>
    <row r="55">
      <c r="A55" s="36" t="n"/>
      <c r="B55" s="29" t="n"/>
      <c r="C55" s="14" t="n"/>
      <c r="D55" s="35" t="n"/>
      <c r="E55" s="14" t="n"/>
      <c r="F55" s="29" t="n"/>
      <c r="G55" s="14" t="n"/>
      <c r="H55" s="29" t="n"/>
      <c r="I55" s="14" t="n"/>
      <c r="J55" s="29" t="n"/>
      <c r="K55" s="18">
        <f>IF($D55="","",IF($E55="Débito",-ABS($D55),ABS($D55)))</f>
        <v/>
      </c>
      <c r="L55" s="9">
        <f>IF($A55="","",IF(COUNTIFS('LANÇAMENTOS'!$D$6:$D$2005,$A55,'LANÇAMENTOS'!$V$6:$V$2005,ABS($D55),'LANÇAMENTOS'!$L$6:$L$2005,$F55)&gt;0,"✔ Encontrado na planilha",IF(COUNTIFS('LANÇAMENTOS'!$D$6:$D$2005,$A55,'LANÇAMENTOS'!$V$6:$V$2005,"&gt;="&amp;ABS($D55)*0.98,'LANÇAMENTOS'!$V$6:$V$2005,"&lt;="&amp;ABS($D55)*1.02)&gt;0,"🟡 Valor próximo de um lançamento","❌ Não localizado")))</f>
        <v/>
      </c>
    </row>
    <row r="56">
      <c r="A56" s="36" t="n"/>
      <c r="B56" s="29" t="n"/>
      <c r="C56" s="14" t="n"/>
      <c r="D56" s="35" t="n"/>
      <c r="E56" s="14" t="n"/>
      <c r="F56" s="29" t="n"/>
      <c r="G56" s="14" t="n"/>
      <c r="H56" s="29" t="n"/>
      <c r="I56" s="14" t="n"/>
      <c r="J56" s="29" t="n"/>
      <c r="K56" s="18">
        <f>IF($D56="","",IF($E56="Débito",-ABS($D56),ABS($D56)))</f>
        <v/>
      </c>
      <c r="L56" s="9">
        <f>IF($A56="","",IF(COUNTIFS('LANÇAMENTOS'!$D$6:$D$2005,$A56,'LANÇAMENTOS'!$V$6:$V$2005,ABS($D56),'LANÇAMENTOS'!$L$6:$L$2005,$F56)&gt;0,"✔ Encontrado na planilha",IF(COUNTIFS('LANÇAMENTOS'!$D$6:$D$2005,$A56,'LANÇAMENTOS'!$V$6:$V$2005,"&gt;="&amp;ABS($D56)*0.98,'LANÇAMENTOS'!$V$6:$V$2005,"&lt;="&amp;ABS($D56)*1.02)&gt;0,"🟡 Valor próximo de um lançamento","❌ Não localizado")))</f>
        <v/>
      </c>
    </row>
    <row r="57">
      <c r="A57" s="36" t="n"/>
      <c r="B57" s="29" t="n"/>
      <c r="C57" s="14" t="n"/>
      <c r="D57" s="35" t="n"/>
      <c r="E57" s="14" t="n"/>
      <c r="F57" s="29" t="n"/>
      <c r="G57" s="14" t="n"/>
      <c r="H57" s="29" t="n"/>
      <c r="I57" s="14" t="n"/>
      <c r="J57" s="29" t="n"/>
      <c r="K57" s="18">
        <f>IF($D57="","",IF($E57="Débito",-ABS($D57),ABS($D57)))</f>
        <v/>
      </c>
      <c r="L57" s="9">
        <f>IF($A57="","",IF(COUNTIFS('LANÇAMENTOS'!$D$6:$D$2005,$A57,'LANÇAMENTOS'!$V$6:$V$2005,ABS($D57),'LANÇAMENTOS'!$L$6:$L$2005,$F57)&gt;0,"✔ Encontrado na planilha",IF(COUNTIFS('LANÇAMENTOS'!$D$6:$D$2005,$A57,'LANÇAMENTOS'!$V$6:$V$2005,"&gt;="&amp;ABS($D57)*0.98,'LANÇAMENTOS'!$V$6:$V$2005,"&lt;="&amp;ABS($D57)*1.02)&gt;0,"🟡 Valor próximo de um lançamento","❌ Não localizado")))</f>
        <v/>
      </c>
    </row>
    <row r="58">
      <c r="A58" s="36" t="n"/>
      <c r="B58" s="29" t="n"/>
      <c r="C58" s="14" t="n"/>
      <c r="D58" s="35" t="n"/>
      <c r="E58" s="14" t="n"/>
      <c r="F58" s="29" t="n"/>
      <c r="G58" s="14" t="n"/>
      <c r="H58" s="29" t="n"/>
      <c r="I58" s="14" t="n"/>
      <c r="J58" s="29" t="n"/>
      <c r="K58" s="18">
        <f>IF($D58="","",IF($E58="Débito",-ABS($D58),ABS($D58)))</f>
        <v/>
      </c>
      <c r="L58" s="9">
        <f>IF($A58="","",IF(COUNTIFS('LANÇAMENTOS'!$D$6:$D$2005,$A58,'LANÇAMENTOS'!$V$6:$V$2005,ABS($D58),'LANÇAMENTOS'!$L$6:$L$2005,$F58)&gt;0,"✔ Encontrado na planilha",IF(COUNTIFS('LANÇAMENTOS'!$D$6:$D$2005,$A58,'LANÇAMENTOS'!$V$6:$V$2005,"&gt;="&amp;ABS($D58)*0.98,'LANÇAMENTOS'!$V$6:$V$2005,"&lt;="&amp;ABS($D58)*1.02)&gt;0,"🟡 Valor próximo de um lançamento","❌ Não localizado")))</f>
        <v/>
      </c>
    </row>
    <row r="59">
      <c r="A59" s="36" t="n"/>
      <c r="B59" s="29" t="n"/>
      <c r="C59" s="14" t="n"/>
      <c r="D59" s="35" t="n"/>
      <c r="E59" s="14" t="n"/>
      <c r="F59" s="29" t="n"/>
      <c r="G59" s="14" t="n"/>
      <c r="H59" s="29" t="n"/>
      <c r="I59" s="14" t="n"/>
      <c r="J59" s="29" t="n"/>
      <c r="K59" s="18">
        <f>IF($D59="","",IF($E59="Débito",-ABS($D59),ABS($D59)))</f>
        <v/>
      </c>
      <c r="L59" s="9">
        <f>IF($A59="","",IF(COUNTIFS('LANÇAMENTOS'!$D$6:$D$2005,$A59,'LANÇAMENTOS'!$V$6:$V$2005,ABS($D59),'LANÇAMENTOS'!$L$6:$L$2005,$F59)&gt;0,"✔ Encontrado na planilha",IF(COUNTIFS('LANÇAMENTOS'!$D$6:$D$2005,$A59,'LANÇAMENTOS'!$V$6:$V$2005,"&gt;="&amp;ABS($D59)*0.98,'LANÇAMENTOS'!$V$6:$V$2005,"&lt;="&amp;ABS($D59)*1.02)&gt;0,"🟡 Valor próximo de um lançamento","❌ Não localizado")))</f>
        <v/>
      </c>
    </row>
    <row r="60">
      <c r="A60" s="36" t="n"/>
      <c r="B60" s="29" t="n"/>
      <c r="C60" s="14" t="n"/>
      <c r="D60" s="35" t="n"/>
      <c r="E60" s="14" t="n"/>
      <c r="F60" s="29" t="n"/>
      <c r="G60" s="14" t="n"/>
      <c r="H60" s="29" t="n"/>
      <c r="I60" s="14" t="n"/>
      <c r="J60" s="29" t="n"/>
      <c r="K60" s="18">
        <f>IF($D60="","",IF($E60="Débito",-ABS($D60),ABS($D60)))</f>
        <v/>
      </c>
      <c r="L60" s="9">
        <f>IF($A60="","",IF(COUNTIFS('LANÇAMENTOS'!$D$6:$D$2005,$A60,'LANÇAMENTOS'!$V$6:$V$2005,ABS($D60),'LANÇAMENTOS'!$L$6:$L$2005,$F60)&gt;0,"✔ Encontrado na planilha",IF(COUNTIFS('LANÇAMENTOS'!$D$6:$D$2005,$A60,'LANÇAMENTOS'!$V$6:$V$2005,"&gt;="&amp;ABS($D60)*0.98,'LANÇAMENTOS'!$V$6:$V$2005,"&lt;="&amp;ABS($D60)*1.02)&gt;0,"🟡 Valor próximo de um lançamento","❌ Não localizado")))</f>
        <v/>
      </c>
    </row>
    <row r="61">
      <c r="A61" s="36" t="n"/>
      <c r="B61" s="29" t="n"/>
      <c r="C61" s="14" t="n"/>
      <c r="D61" s="35" t="n"/>
      <c r="E61" s="14" t="n"/>
      <c r="F61" s="29" t="n"/>
      <c r="G61" s="14" t="n"/>
      <c r="H61" s="29" t="n"/>
      <c r="I61" s="14" t="n"/>
      <c r="J61" s="29" t="n"/>
      <c r="K61" s="18">
        <f>IF($D61="","",IF($E61="Débito",-ABS($D61),ABS($D61)))</f>
        <v/>
      </c>
      <c r="L61" s="9">
        <f>IF($A61="","",IF(COUNTIFS('LANÇAMENTOS'!$D$6:$D$2005,$A61,'LANÇAMENTOS'!$V$6:$V$2005,ABS($D61),'LANÇAMENTOS'!$L$6:$L$2005,$F61)&gt;0,"✔ Encontrado na planilha",IF(COUNTIFS('LANÇAMENTOS'!$D$6:$D$2005,$A61,'LANÇAMENTOS'!$V$6:$V$2005,"&gt;="&amp;ABS($D61)*0.98,'LANÇAMENTOS'!$V$6:$V$2005,"&lt;="&amp;ABS($D61)*1.02)&gt;0,"🟡 Valor próximo de um lançamento","❌ Não localizado")))</f>
        <v/>
      </c>
    </row>
    <row r="62">
      <c r="A62" s="36" t="n"/>
      <c r="B62" s="29" t="n"/>
      <c r="C62" s="14" t="n"/>
      <c r="D62" s="35" t="n"/>
      <c r="E62" s="14" t="n"/>
      <c r="F62" s="29" t="n"/>
      <c r="G62" s="14" t="n"/>
      <c r="H62" s="29" t="n"/>
      <c r="I62" s="14" t="n"/>
      <c r="J62" s="29" t="n"/>
      <c r="K62" s="18">
        <f>IF($D62="","",IF($E62="Débito",-ABS($D62),ABS($D62)))</f>
        <v/>
      </c>
      <c r="L62" s="9">
        <f>IF($A62="","",IF(COUNTIFS('LANÇAMENTOS'!$D$6:$D$2005,$A62,'LANÇAMENTOS'!$V$6:$V$2005,ABS($D62),'LANÇAMENTOS'!$L$6:$L$2005,$F62)&gt;0,"✔ Encontrado na planilha",IF(COUNTIFS('LANÇAMENTOS'!$D$6:$D$2005,$A62,'LANÇAMENTOS'!$V$6:$V$2005,"&gt;="&amp;ABS($D62)*0.98,'LANÇAMENTOS'!$V$6:$V$2005,"&lt;="&amp;ABS($D62)*1.02)&gt;0,"🟡 Valor próximo de um lançamento","❌ Não localizado")))</f>
        <v/>
      </c>
    </row>
    <row r="63">
      <c r="A63" s="36" t="n"/>
      <c r="B63" s="29" t="n"/>
      <c r="C63" s="14" t="n"/>
      <c r="D63" s="35" t="n"/>
      <c r="E63" s="14" t="n"/>
      <c r="F63" s="29" t="n"/>
      <c r="G63" s="14" t="n"/>
      <c r="H63" s="29" t="n"/>
      <c r="I63" s="14" t="n"/>
      <c r="J63" s="29" t="n"/>
      <c r="K63" s="18">
        <f>IF($D63="","",IF($E63="Débito",-ABS($D63),ABS($D63)))</f>
        <v/>
      </c>
      <c r="L63" s="9">
        <f>IF($A63="","",IF(COUNTIFS('LANÇAMENTOS'!$D$6:$D$2005,$A63,'LANÇAMENTOS'!$V$6:$V$2005,ABS($D63),'LANÇAMENTOS'!$L$6:$L$2005,$F63)&gt;0,"✔ Encontrado na planilha",IF(COUNTIFS('LANÇAMENTOS'!$D$6:$D$2005,$A63,'LANÇAMENTOS'!$V$6:$V$2005,"&gt;="&amp;ABS($D63)*0.98,'LANÇAMENTOS'!$V$6:$V$2005,"&lt;="&amp;ABS($D63)*1.02)&gt;0,"🟡 Valor próximo de um lançamento","❌ Não localizado")))</f>
        <v/>
      </c>
    </row>
    <row r="64">
      <c r="A64" s="36" t="n"/>
      <c r="B64" s="29" t="n"/>
      <c r="C64" s="14" t="n"/>
      <c r="D64" s="35" t="n"/>
      <c r="E64" s="14" t="n"/>
      <c r="F64" s="29" t="n"/>
      <c r="G64" s="14" t="n"/>
      <c r="H64" s="29" t="n"/>
      <c r="I64" s="14" t="n"/>
      <c r="J64" s="29" t="n"/>
      <c r="K64" s="18">
        <f>IF($D64="","",IF($E64="Débito",-ABS($D64),ABS($D64)))</f>
        <v/>
      </c>
      <c r="L64" s="9">
        <f>IF($A64="","",IF(COUNTIFS('LANÇAMENTOS'!$D$6:$D$2005,$A64,'LANÇAMENTOS'!$V$6:$V$2005,ABS($D64),'LANÇAMENTOS'!$L$6:$L$2005,$F64)&gt;0,"✔ Encontrado na planilha",IF(COUNTIFS('LANÇAMENTOS'!$D$6:$D$2005,$A64,'LANÇAMENTOS'!$V$6:$V$2005,"&gt;="&amp;ABS($D64)*0.98,'LANÇAMENTOS'!$V$6:$V$2005,"&lt;="&amp;ABS($D64)*1.02)&gt;0,"🟡 Valor próximo de um lançamento","❌ Não localizado")))</f>
        <v/>
      </c>
    </row>
    <row r="65">
      <c r="A65" s="36" t="n"/>
      <c r="B65" s="29" t="n"/>
      <c r="C65" s="14" t="n"/>
      <c r="D65" s="35" t="n"/>
      <c r="E65" s="14" t="n"/>
      <c r="F65" s="29" t="n"/>
      <c r="G65" s="14" t="n"/>
      <c r="H65" s="29" t="n"/>
      <c r="I65" s="14" t="n"/>
      <c r="J65" s="29" t="n"/>
      <c r="K65" s="18">
        <f>IF($D65="","",IF($E65="Débito",-ABS($D65),ABS($D65)))</f>
        <v/>
      </c>
      <c r="L65" s="9">
        <f>IF($A65="","",IF(COUNTIFS('LANÇAMENTOS'!$D$6:$D$2005,$A65,'LANÇAMENTOS'!$V$6:$V$2005,ABS($D65),'LANÇAMENTOS'!$L$6:$L$2005,$F65)&gt;0,"✔ Encontrado na planilha",IF(COUNTIFS('LANÇAMENTOS'!$D$6:$D$2005,$A65,'LANÇAMENTOS'!$V$6:$V$2005,"&gt;="&amp;ABS($D65)*0.98,'LANÇAMENTOS'!$V$6:$V$2005,"&lt;="&amp;ABS($D65)*1.02)&gt;0,"🟡 Valor próximo de um lançamento","❌ Não localizado")))</f>
        <v/>
      </c>
    </row>
    <row r="66">
      <c r="A66" s="36" t="n"/>
      <c r="B66" s="29" t="n"/>
      <c r="C66" s="14" t="n"/>
      <c r="D66" s="35" t="n"/>
      <c r="E66" s="14" t="n"/>
      <c r="F66" s="29" t="n"/>
      <c r="G66" s="14" t="n"/>
      <c r="H66" s="29" t="n"/>
      <c r="I66" s="14" t="n"/>
      <c r="J66" s="29" t="n"/>
      <c r="K66" s="18">
        <f>IF($D66="","",IF($E66="Débito",-ABS($D66),ABS($D66)))</f>
        <v/>
      </c>
      <c r="L66" s="9">
        <f>IF($A66="","",IF(COUNTIFS('LANÇAMENTOS'!$D$6:$D$2005,$A66,'LANÇAMENTOS'!$V$6:$V$2005,ABS($D66),'LANÇAMENTOS'!$L$6:$L$2005,$F66)&gt;0,"✔ Encontrado na planilha",IF(COUNTIFS('LANÇAMENTOS'!$D$6:$D$2005,$A66,'LANÇAMENTOS'!$V$6:$V$2005,"&gt;="&amp;ABS($D66)*0.98,'LANÇAMENTOS'!$V$6:$V$2005,"&lt;="&amp;ABS($D66)*1.02)&gt;0,"🟡 Valor próximo de um lançamento","❌ Não localizado")))</f>
        <v/>
      </c>
    </row>
    <row r="67">
      <c r="A67" s="36" t="n"/>
      <c r="B67" s="29" t="n"/>
      <c r="C67" s="14" t="n"/>
      <c r="D67" s="35" t="n"/>
      <c r="E67" s="14" t="n"/>
      <c r="F67" s="29" t="n"/>
      <c r="G67" s="14" t="n"/>
      <c r="H67" s="29" t="n"/>
      <c r="I67" s="14" t="n"/>
      <c r="J67" s="29" t="n"/>
      <c r="K67" s="18">
        <f>IF($D67="","",IF($E67="Débito",-ABS($D67),ABS($D67)))</f>
        <v/>
      </c>
      <c r="L67" s="9">
        <f>IF($A67="","",IF(COUNTIFS('LANÇAMENTOS'!$D$6:$D$2005,$A67,'LANÇAMENTOS'!$V$6:$V$2005,ABS($D67),'LANÇAMENTOS'!$L$6:$L$2005,$F67)&gt;0,"✔ Encontrado na planilha",IF(COUNTIFS('LANÇAMENTOS'!$D$6:$D$2005,$A67,'LANÇAMENTOS'!$V$6:$V$2005,"&gt;="&amp;ABS($D67)*0.98,'LANÇAMENTOS'!$V$6:$V$2005,"&lt;="&amp;ABS($D67)*1.02)&gt;0,"🟡 Valor próximo de um lançamento","❌ Não localizado")))</f>
        <v/>
      </c>
    </row>
    <row r="68">
      <c r="A68" s="36" t="n"/>
      <c r="B68" s="29" t="n"/>
      <c r="C68" s="14" t="n"/>
      <c r="D68" s="35" t="n"/>
      <c r="E68" s="14" t="n"/>
      <c r="F68" s="29" t="n"/>
      <c r="G68" s="14" t="n"/>
      <c r="H68" s="29" t="n"/>
      <c r="I68" s="14" t="n"/>
      <c r="J68" s="29" t="n"/>
      <c r="K68" s="18">
        <f>IF($D68="","",IF($E68="Débito",-ABS($D68),ABS($D68)))</f>
        <v/>
      </c>
      <c r="L68" s="9">
        <f>IF($A68="","",IF(COUNTIFS('LANÇAMENTOS'!$D$6:$D$2005,$A68,'LANÇAMENTOS'!$V$6:$V$2005,ABS($D68),'LANÇAMENTOS'!$L$6:$L$2005,$F68)&gt;0,"✔ Encontrado na planilha",IF(COUNTIFS('LANÇAMENTOS'!$D$6:$D$2005,$A68,'LANÇAMENTOS'!$V$6:$V$2005,"&gt;="&amp;ABS($D68)*0.98,'LANÇAMENTOS'!$V$6:$V$2005,"&lt;="&amp;ABS($D68)*1.02)&gt;0,"🟡 Valor próximo de um lançamento","❌ Não localizado")))</f>
        <v/>
      </c>
    </row>
    <row r="69">
      <c r="A69" s="36" t="n"/>
      <c r="B69" s="29" t="n"/>
      <c r="C69" s="14" t="n"/>
      <c r="D69" s="35" t="n"/>
      <c r="E69" s="14" t="n"/>
      <c r="F69" s="29" t="n"/>
      <c r="G69" s="14" t="n"/>
      <c r="H69" s="29" t="n"/>
      <c r="I69" s="14" t="n"/>
      <c r="J69" s="29" t="n"/>
      <c r="K69" s="18">
        <f>IF($D69="","",IF($E69="Débito",-ABS($D69),ABS($D69)))</f>
        <v/>
      </c>
      <c r="L69" s="9">
        <f>IF($A69="","",IF(COUNTIFS('LANÇAMENTOS'!$D$6:$D$2005,$A69,'LANÇAMENTOS'!$V$6:$V$2005,ABS($D69),'LANÇAMENTOS'!$L$6:$L$2005,$F69)&gt;0,"✔ Encontrado na planilha",IF(COUNTIFS('LANÇAMENTOS'!$D$6:$D$2005,$A69,'LANÇAMENTOS'!$V$6:$V$2005,"&gt;="&amp;ABS($D69)*0.98,'LANÇAMENTOS'!$V$6:$V$2005,"&lt;="&amp;ABS($D69)*1.02)&gt;0,"🟡 Valor próximo de um lançamento","❌ Não localizado")))</f>
        <v/>
      </c>
    </row>
    <row r="70">
      <c r="A70" s="36" t="n"/>
      <c r="B70" s="29" t="n"/>
      <c r="C70" s="14" t="n"/>
      <c r="D70" s="35" t="n"/>
      <c r="E70" s="14" t="n"/>
      <c r="F70" s="29" t="n"/>
      <c r="G70" s="14" t="n"/>
      <c r="H70" s="29" t="n"/>
      <c r="I70" s="14" t="n"/>
      <c r="J70" s="29" t="n"/>
      <c r="K70" s="18">
        <f>IF($D70="","",IF($E70="Débito",-ABS($D70),ABS($D70)))</f>
        <v/>
      </c>
      <c r="L70" s="9">
        <f>IF($A70="","",IF(COUNTIFS('LANÇAMENTOS'!$D$6:$D$2005,$A70,'LANÇAMENTOS'!$V$6:$V$2005,ABS($D70),'LANÇAMENTOS'!$L$6:$L$2005,$F70)&gt;0,"✔ Encontrado na planilha",IF(COUNTIFS('LANÇAMENTOS'!$D$6:$D$2005,$A70,'LANÇAMENTOS'!$V$6:$V$2005,"&gt;="&amp;ABS($D70)*0.98,'LANÇAMENTOS'!$V$6:$V$2005,"&lt;="&amp;ABS($D70)*1.02)&gt;0,"🟡 Valor próximo de um lançamento","❌ Não localizado")))</f>
        <v/>
      </c>
    </row>
    <row r="71">
      <c r="A71" s="36" t="n"/>
      <c r="B71" s="29" t="n"/>
      <c r="C71" s="14" t="n"/>
      <c r="D71" s="35" t="n"/>
      <c r="E71" s="14" t="n"/>
      <c r="F71" s="29" t="n"/>
      <c r="G71" s="14" t="n"/>
      <c r="H71" s="29" t="n"/>
      <c r="I71" s="14" t="n"/>
      <c r="J71" s="29" t="n"/>
      <c r="K71" s="18">
        <f>IF($D71="","",IF($E71="Débito",-ABS($D71),ABS($D71)))</f>
        <v/>
      </c>
      <c r="L71" s="9">
        <f>IF($A71="","",IF(COUNTIFS('LANÇAMENTOS'!$D$6:$D$2005,$A71,'LANÇAMENTOS'!$V$6:$V$2005,ABS($D71),'LANÇAMENTOS'!$L$6:$L$2005,$F71)&gt;0,"✔ Encontrado na planilha",IF(COUNTIFS('LANÇAMENTOS'!$D$6:$D$2005,$A71,'LANÇAMENTOS'!$V$6:$V$2005,"&gt;="&amp;ABS($D71)*0.98,'LANÇAMENTOS'!$V$6:$V$2005,"&lt;="&amp;ABS($D71)*1.02)&gt;0,"🟡 Valor próximo de um lançamento","❌ Não localizado")))</f>
        <v/>
      </c>
    </row>
    <row r="72">
      <c r="A72" s="36" t="n"/>
      <c r="B72" s="29" t="n"/>
      <c r="C72" s="14" t="n"/>
      <c r="D72" s="35" t="n"/>
      <c r="E72" s="14" t="n"/>
      <c r="F72" s="29" t="n"/>
      <c r="G72" s="14" t="n"/>
      <c r="H72" s="29" t="n"/>
      <c r="I72" s="14" t="n"/>
      <c r="J72" s="29" t="n"/>
      <c r="K72" s="18">
        <f>IF($D72="","",IF($E72="Débito",-ABS($D72),ABS($D72)))</f>
        <v/>
      </c>
      <c r="L72" s="9">
        <f>IF($A72="","",IF(COUNTIFS('LANÇAMENTOS'!$D$6:$D$2005,$A72,'LANÇAMENTOS'!$V$6:$V$2005,ABS($D72),'LANÇAMENTOS'!$L$6:$L$2005,$F72)&gt;0,"✔ Encontrado na planilha",IF(COUNTIFS('LANÇAMENTOS'!$D$6:$D$2005,$A72,'LANÇAMENTOS'!$V$6:$V$2005,"&gt;="&amp;ABS($D72)*0.98,'LANÇAMENTOS'!$V$6:$V$2005,"&lt;="&amp;ABS($D72)*1.02)&gt;0,"🟡 Valor próximo de um lançamento","❌ Não localizado")))</f>
        <v/>
      </c>
    </row>
    <row r="73">
      <c r="A73" s="36" t="n"/>
      <c r="B73" s="29" t="n"/>
      <c r="C73" s="14" t="n"/>
      <c r="D73" s="35" t="n"/>
      <c r="E73" s="14" t="n"/>
      <c r="F73" s="29" t="n"/>
      <c r="G73" s="14" t="n"/>
      <c r="H73" s="29" t="n"/>
      <c r="I73" s="14" t="n"/>
      <c r="J73" s="29" t="n"/>
      <c r="K73" s="18">
        <f>IF($D73="","",IF($E73="Débito",-ABS($D73),ABS($D73)))</f>
        <v/>
      </c>
      <c r="L73" s="9">
        <f>IF($A73="","",IF(COUNTIFS('LANÇAMENTOS'!$D$6:$D$2005,$A73,'LANÇAMENTOS'!$V$6:$V$2005,ABS($D73),'LANÇAMENTOS'!$L$6:$L$2005,$F73)&gt;0,"✔ Encontrado na planilha",IF(COUNTIFS('LANÇAMENTOS'!$D$6:$D$2005,$A73,'LANÇAMENTOS'!$V$6:$V$2005,"&gt;="&amp;ABS($D73)*0.98,'LANÇAMENTOS'!$V$6:$V$2005,"&lt;="&amp;ABS($D73)*1.02)&gt;0,"🟡 Valor próximo de um lançamento","❌ Não localizado")))</f>
        <v/>
      </c>
    </row>
    <row r="74">
      <c r="A74" s="36" t="n"/>
      <c r="B74" s="29" t="n"/>
      <c r="C74" s="14" t="n"/>
      <c r="D74" s="35" t="n"/>
      <c r="E74" s="14" t="n"/>
      <c r="F74" s="29" t="n"/>
      <c r="G74" s="14" t="n"/>
      <c r="H74" s="29" t="n"/>
      <c r="I74" s="14" t="n"/>
      <c r="J74" s="29" t="n"/>
      <c r="K74" s="18">
        <f>IF($D74="","",IF($E74="Débito",-ABS($D74),ABS($D74)))</f>
        <v/>
      </c>
      <c r="L74" s="9">
        <f>IF($A74="","",IF(COUNTIFS('LANÇAMENTOS'!$D$6:$D$2005,$A74,'LANÇAMENTOS'!$V$6:$V$2005,ABS($D74),'LANÇAMENTOS'!$L$6:$L$2005,$F74)&gt;0,"✔ Encontrado na planilha",IF(COUNTIFS('LANÇAMENTOS'!$D$6:$D$2005,$A74,'LANÇAMENTOS'!$V$6:$V$2005,"&gt;="&amp;ABS($D74)*0.98,'LANÇAMENTOS'!$V$6:$V$2005,"&lt;="&amp;ABS($D74)*1.02)&gt;0,"🟡 Valor próximo de um lançamento","❌ Não localizado")))</f>
        <v/>
      </c>
    </row>
    <row r="75">
      <c r="A75" s="36" t="n"/>
      <c r="B75" s="29" t="n"/>
      <c r="C75" s="14" t="n"/>
      <c r="D75" s="35" t="n"/>
      <c r="E75" s="14" t="n"/>
      <c r="F75" s="29" t="n"/>
      <c r="G75" s="14" t="n"/>
      <c r="H75" s="29" t="n"/>
      <c r="I75" s="14" t="n"/>
      <c r="J75" s="29" t="n"/>
      <c r="K75" s="18">
        <f>IF($D75="","",IF($E75="Débito",-ABS($D75),ABS($D75)))</f>
        <v/>
      </c>
      <c r="L75" s="9">
        <f>IF($A75="","",IF(COUNTIFS('LANÇAMENTOS'!$D$6:$D$2005,$A75,'LANÇAMENTOS'!$V$6:$V$2005,ABS($D75),'LANÇAMENTOS'!$L$6:$L$2005,$F75)&gt;0,"✔ Encontrado na planilha",IF(COUNTIFS('LANÇAMENTOS'!$D$6:$D$2005,$A75,'LANÇAMENTOS'!$V$6:$V$2005,"&gt;="&amp;ABS($D75)*0.98,'LANÇAMENTOS'!$V$6:$V$2005,"&lt;="&amp;ABS($D75)*1.02)&gt;0,"🟡 Valor próximo de um lançamento","❌ Não localizado")))</f>
        <v/>
      </c>
    </row>
    <row r="76">
      <c r="A76" s="36" t="n"/>
      <c r="B76" s="29" t="n"/>
      <c r="C76" s="14" t="n"/>
      <c r="D76" s="35" t="n"/>
      <c r="E76" s="14" t="n"/>
      <c r="F76" s="29" t="n"/>
      <c r="G76" s="14" t="n"/>
      <c r="H76" s="29" t="n"/>
      <c r="I76" s="14" t="n"/>
      <c r="J76" s="29" t="n"/>
      <c r="K76" s="18">
        <f>IF($D76="","",IF($E76="Débito",-ABS($D76),ABS($D76)))</f>
        <v/>
      </c>
      <c r="L76" s="9">
        <f>IF($A76="","",IF(COUNTIFS('LANÇAMENTOS'!$D$6:$D$2005,$A76,'LANÇAMENTOS'!$V$6:$V$2005,ABS($D76),'LANÇAMENTOS'!$L$6:$L$2005,$F76)&gt;0,"✔ Encontrado na planilha",IF(COUNTIFS('LANÇAMENTOS'!$D$6:$D$2005,$A76,'LANÇAMENTOS'!$V$6:$V$2005,"&gt;="&amp;ABS($D76)*0.98,'LANÇAMENTOS'!$V$6:$V$2005,"&lt;="&amp;ABS($D76)*1.02)&gt;0,"🟡 Valor próximo de um lançamento","❌ Não localizado")))</f>
        <v/>
      </c>
    </row>
    <row r="77">
      <c r="A77" s="36" t="n"/>
      <c r="B77" s="29" t="n"/>
      <c r="C77" s="14" t="n"/>
      <c r="D77" s="35" t="n"/>
      <c r="E77" s="14" t="n"/>
      <c r="F77" s="29" t="n"/>
      <c r="G77" s="14" t="n"/>
      <c r="H77" s="29" t="n"/>
      <c r="I77" s="14" t="n"/>
      <c r="J77" s="29" t="n"/>
      <c r="K77" s="18">
        <f>IF($D77="","",IF($E77="Débito",-ABS($D77),ABS($D77)))</f>
        <v/>
      </c>
      <c r="L77" s="9">
        <f>IF($A77="","",IF(COUNTIFS('LANÇAMENTOS'!$D$6:$D$2005,$A77,'LANÇAMENTOS'!$V$6:$V$2005,ABS($D77),'LANÇAMENTOS'!$L$6:$L$2005,$F77)&gt;0,"✔ Encontrado na planilha",IF(COUNTIFS('LANÇAMENTOS'!$D$6:$D$2005,$A77,'LANÇAMENTOS'!$V$6:$V$2005,"&gt;="&amp;ABS($D77)*0.98,'LANÇAMENTOS'!$V$6:$V$2005,"&lt;="&amp;ABS($D77)*1.02)&gt;0,"🟡 Valor próximo de um lançamento","❌ Não localizado")))</f>
        <v/>
      </c>
    </row>
    <row r="78">
      <c r="A78" s="36" t="n"/>
      <c r="B78" s="29" t="n"/>
      <c r="C78" s="14" t="n"/>
      <c r="D78" s="35" t="n"/>
      <c r="E78" s="14" t="n"/>
      <c r="F78" s="29" t="n"/>
      <c r="G78" s="14" t="n"/>
      <c r="H78" s="29" t="n"/>
      <c r="I78" s="14" t="n"/>
      <c r="J78" s="29" t="n"/>
      <c r="K78" s="18">
        <f>IF($D78="","",IF($E78="Débito",-ABS($D78),ABS($D78)))</f>
        <v/>
      </c>
      <c r="L78" s="9">
        <f>IF($A78="","",IF(COUNTIFS('LANÇAMENTOS'!$D$6:$D$2005,$A78,'LANÇAMENTOS'!$V$6:$V$2005,ABS($D78),'LANÇAMENTOS'!$L$6:$L$2005,$F78)&gt;0,"✔ Encontrado na planilha",IF(COUNTIFS('LANÇAMENTOS'!$D$6:$D$2005,$A78,'LANÇAMENTOS'!$V$6:$V$2005,"&gt;="&amp;ABS($D78)*0.98,'LANÇAMENTOS'!$V$6:$V$2005,"&lt;="&amp;ABS($D78)*1.02)&gt;0,"🟡 Valor próximo de um lançamento","❌ Não localizado")))</f>
        <v/>
      </c>
    </row>
    <row r="79">
      <c r="A79" s="36" t="n"/>
      <c r="B79" s="29" t="n"/>
      <c r="C79" s="14" t="n"/>
      <c r="D79" s="35" t="n"/>
      <c r="E79" s="14" t="n"/>
      <c r="F79" s="29" t="n"/>
      <c r="G79" s="14" t="n"/>
      <c r="H79" s="29" t="n"/>
      <c r="I79" s="14" t="n"/>
      <c r="J79" s="29" t="n"/>
      <c r="K79" s="18">
        <f>IF($D79="","",IF($E79="Débito",-ABS($D79),ABS($D79)))</f>
        <v/>
      </c>
      <c r="L79" s="9">
        <f>IF($A79="","",IF(COUNTIFS('LANÇAMENTOS'!$D$6:$D$2005,$A79,'LANÇAMENTOS'!$V$6:$V$2005,ABS($D79),'LANÇAMENTOS'!$L$6:$L$2005,$F79)&gt;0,"✔ Encontrado na planilha",IF(COUNTIFS('LANÇAMENTOS'!$D$6:$D$2005,$A79,'LANÇAMENTOS'!$V$6:$V$2005,"&gt;="&amp;ABS($D79)*0.98,'LANÇAMENTOS'!$V$6:$V$2005,"&lt;="&amp;ABS($D79)*1.02)&gt;0,"🟡 Valor próximo de um lançamento","❌ Não localizado")))</f>
        <v/>
      </c>
    </row>
    <row r="80">
      <c r="A80" s="36" t="n"/>
      <c r="B80" s="29" t="n"/>
      <c r="C80" s="14" t="n"/>
      <c r="D80" s="35" t="n"/>
      <c r="E80" s="14" t="n"/>
      <c r="F80" s="29" t="n"/>
      <c r="G80" s="14" t="n"/>
      <c r="H80" s="29" t="n"/>
      <c r="I80" s="14" t="n"/>
      <c r="J80" s="29" t="n"/>
      <c r="K80" s="18">
        <f>IF($D80="","",IF($E80="Débito",-ABS($D80),ABS($D80)))</f>
        <v/>
      </c>
      <c r="L80" s="9">
        <f>IF($A80="","",IF(COUNTIFS('LANÇAMENTOS'!$D$6:$D$2005,$A80,'LANÇAMENTOS'!$V$6:$V$2005,ABS($D80),'LANÇAMENTOS'!$L$6:$L$2005,$F80)&gt;0,"✔ Encontrado na planilha",IF(COUNTIFS('LANÇAMENTOS'!$D$6:$D$2005,$A80,'LANÇAMENTOS'!$V$6:$V$2005,"&gt;="&amp;ABS($D80)*0.98,'LANÇAMENTOS'!$V$6:$V$2005,"&lt;="&amp;ABS($D80)*1.02)&gt;0,"🟡 Valor próximo de um lançamento","❌ Não localizado")))</f>
        <v/>
      </c>
    </row>
    <row r="81">
      <c r="A81" s="36" t="n"/>
      <c r="B81" s="29" t="n"/>
      <c r="C81" s="14" t="n"/>
      <c r="D81" s="35" t="n"/>
      <c r="E81" s="14" t="n"/>
      <c r="F81" s="29" t="n"/>
      <c r="G81" s="14" t="n"/>
      <c r="H81" s="29" t="n"/>
      <c r="I81" s="14" t="n"/>
      <c r="J81" s="29" t="n"/>
      <c r="K81" s="18">
        <f>IF($D81="","",IF($E81="Débito",-ABS($D81),ABS($D81)))</f>
        <v/>
      </c>
      <c r="L81" s="9">
        <f>IF($A81="","",IF(COUNTIFS('LANÇAMENTOS'!$D$6:$D$2005,$A81,'LANÇAMENTOS'!$V$6:$V$2005,ABS($D81),'LANÇAMENTOS'!$L$6:$L$2005,$F81)&gt;0,"✔ Encontrado na planilha",IF(COUNTIFS('LANÇAMENTOS'!$D$6:$D$2005,$A81,'LANÇAMENTOS'!$V$6:$V$2005,"&gt;="&amp;ABS($D81)*0.98,'LANÇAMENTOS'!$V$6:$V$2005,"&lt;="&amp;ABS($D81)*1.02)&gt;0,"🟡 Valor próximo de um lançamento","❌ Não localizado")))</f>
        <v/>
      </c>
    </row>
    <row r="82">
      <c r="A82" s="36" t="n"/>
      <c r="B82" s="29" t="n"/>
      <c r="C82" s="14" t="n"/>
      <c r="D82" s="35" t="n"/>
      <c r="E82" s="14" t="n"/>
      <c r="F82" s="29" t="n"/>
      <c r="G82" s="14" t="n"/>
      <c r="H82" s="29" t="n"/>
      <c r="I82" s="14" t="n"/>
      <c r="J82" s="29" t="n"/>
      <c r="K82" s="18">
        <f>IF($D82="","",IF($E82="Débito",-ABS($D82),ABS($D82)))</f>
        <v/>
      </c>
      <c r="L82" s="9">
        <f>IF($A82="","",IF(COUNTIFS('LANÇAMENTOS'!$D$6:$D$2005,$A82,'LANÇAMENTOS'!$V$6:$V$2005,ABS($D82),'LANÇAMENTOS'!$L$6:$L$2005,$F82)&gt;0,"✔ Encontrado na planilha",IF(COUNTIFS('LANÇAMENTOS'!$D$6:$D$2005,$A82,'LANÇAMENTOS'!$V$6:$V$2005,"&gt;="&amp;ABS($D82)*0.98,'LANÇAMENTOS'!$V$6:$V$2005,"&lt;="&amp;ABS($D82)*1.02)&gt;0,"🟡 Valor próximo de um lançamento","❌ Não localizado")))</f>
        <v/>
      </c>
    </row>
    <row r="83">
      <c r="A83" s="36" t="n"/>
      <c r="B83" s="29" t="n"/>
      <c r="C83" s="14" t="n"/>
      <c r="D83" s="35" t="n"/>
      <c r="E83" s="14" t="n"/>
      <c r="F83" s="29" t="n"/>
      <c r="G83" s="14" t="n"/>
      <c r="H83" s="29" t="n"/>
      <c r="I83" s="14" t="n"/>
      <c r="J83" s="29" t="n"/>
      <c r="K83" s="18">
        <f>IF($D83="","",IF($E83="Débito",-ABS($D83),ABS($D83)))</f>
        <v/>
      </c>
      <c r="L83" s="9">
        <f>IF($A83="","",IF(COUNTIFS('LANÇAMENTOS'!$D$6:$D$2005,$A83,'LANÇAMENTOS'!$V$6:$V$2005,ABS($D83),'LANÇAMENTOS'!$L$6:$L$2005,$F83)&gt;0,"✔ Encontrado na planilha",IF(COUNTIFS('LANÇAMENTOS'!$D$6:$D$2005,$A83,'LANÇAMENTOS'!$V$6:$V$2005,"&gt;="&amp;ABS($D83)*0.98,'LANÇAMENTOS'!$V$6:$V$2005,"&lt;="&amp;ABS($D83)*1.02)&gt;0,"🟡 Valor próximo de um lançamento","❌ Não localizado")))</f>
        <v/>
      </c>
    </row>
    <row r="84">
      <c r="A84" s="36" t="n"/>
      <c r="B84" s="29" t="n"/>
      <c r="C84" s="14" t="n"/>
      <c r="D84" s="35" t="n"/>
      <c r="E84" s="14" t="n"/>
      <c r="F84" s="29" t="n"/>
      <c r="G84" s="14" t="n"/>
      <c r="H84" s="29" t="n"/>
      <c r="I84" s="14" t="n"/>
      <c r="J84" s="29" t="n"/>
      <c r="K84" s="18">
        <f>IF($D84="","",IF($E84="Débito",-ABS($D84),ABS($D84)))</f>
        <v/>
      </c>
      <c r="L84" s="9">
        <f>IF($A84="","",IF(COUNTIFS('LANÇAMENTOS'!$D$6:$D$2005,$A84,'LANÇAMENTOS'!$V$6:$V$2005,ABS($D84),'LANÇAMENTOS'!$L$6:$L$2005,$F84)&gt;0,"✔ Encontrado na planilha",IF(COUNTIFS('LANÇAMENTOS'!$D$6:$D$2005,$A84,'LANÇAMENTOS'!$V$6:$V$2005,"&gt;="&amp;ABS($D84)*0.98,'LANÇAMENTOS'!$V$6:$V$2005,"&lt;="&amp;ABS($D84)*1.02)&gt;0,"🟡 Valor próximo de um lançamento","❌ Não localizado")))</f>
        <v/>
      </c>
    </row>
    <row r="85">
      <c r="A85" s="36" t="n"/>
      <c r="B85" s="29" t="n"/>
      <c r="C85" s="14" t="n"/>
      <c r="D85" s="35" t="n"/>
      <c r="E85" s="14" t="n"/>
      <c r="F85" s="29" t="n"/>
      <c r="G85" s="14" t="n"/>
      <c r="H85" s="29" t="n"/>
      <c r="I85" s="14" t="n"/>
      <c r="J85" s="29" t="n"/>
      <c r="K85" s="18">
        <f>IF($D85="","",IF($E85="Débito",-ABS($D85),ABS($D85)))</f>
        <v/>
      </c>
      <c r="L85" s="9">
        <f>IF($A85="","",IF(COUNTIFS('LANÇAMENTOS'!$D$6:$D$2005,$A85,'LANÇAMENTOS'!$V$6:$V$2005,ABS($D85),'LANÇAMENTOS'!$L$6:$L$2005,$F85)&gt;0,"✔ Encontrado na planilha",IF(COUNTIFS('LANÇAMENTOS'!$D$6:$D$2005,$A85,'LANÇAMENTOS'!$V$6:$V$2005,"&gt;="&amp;ABS($D85)*0.98,'LANÇAMENTOS'!$V$6:$V$2005,"&lt;="&amp;ABS($D85)*1.02)&gt;0,"🟡 Valor próximo de um lançamento","❌ Não localizado")))</f>
        <v/>
      </c>
    </row>
    <row r="86">
      <c r="A86" s="36" t="n"/>
      <c r="B86" s="29" t="n"/>
      <c r="C86" s="14" t="n"/>
      <c r="D86" s="35" t="n"/>
      <c r="E86" s="14" t="n"/>
      <c r="F86" s="29" t="n"/>
      <c r="G86" s="14" t="n"/>
      <c r="H86" s="29" t="n"/>
      <c r="I86" s="14" t="n"/>
      <c r="J86" s="29" t="n"/>
      <c r="K86" s="18">
        <f>IF($D86="","",IF($E86="Débito",-ABS($D86),ABS($D86)))</f>
        <v/>
      </c>
      <c r="L86" s="9">
        <f>IF($A86="","",IF(COUNTIFS('LANÇAMENTOS'!$D$6:$D$2005,$A86,'LANÇAMENTOS'!$V$6:$V$2005,ABS($D86),'LANÇAMENTOS'!$L$6:$L$2005,$F86)&gt;0,"✔ Encontrado na planilha",IF(COUNTIFS('LANÇAMENTOS'!$D$6:$D$2005,$A86,'LANÇAMENTOS'!$V$6:$V$2005,"&gt;="&amp;ABS($D86)*0.98,'LANÇAMENTOS'!$V$6:$V$2005,"&lt;="&amp;ABS($D86)*1.02)&gt;0,"🟡 Valor próximo de um lançamento","❌ Não localizado")))</f>
        <v/>
      </c>
    </row>
    <row r="87">
      <c r="A87" s="36" t="n"/>
      <c r="B87" s="29" t="n"/>
      <c r="C87" s="14" t="n"/>
      <c r="D87" s="35" t="n"/>
      <c r="E87" s="14" t="n"/>
      <c r="F87" s="29" t="n"/>
      <c r="G87" s="14" t="n"/>
      <c r="H87" s="29" t="n"/>
      <c r="I87" s="14" t="n"/>
      <c r="J87" s="29" t="n"/>
      <c r="K87" s="18">
        <f>IF($D87="","",IF($E87="Débito",-ABS($D87),ABS($D87)))</f>
        <v/>
      </c>
      <c r="L87" s="9">
        <f>IF($A87="","",IF(COUNTIFS('LANÇAMENTOS'!$D$6:$D$2005,$A87,'LANÇAMENTOS'!$V$6:$V$2005,ABS($D87),'LANÇAMENTOS'!$L$6:$L$2005,$F87)&gt;0,"✔ Encontrado na planilha",IF(COUNTIFS('LANÇAMENTOS'!$D$6:$D$2005,$A87,'LANÇAMENTOS'!$V$6:$V$2005,"&gt;="&amp;ABS($D87)*0.98,'LANÇAMENTOS'!$V$6:$V$2005,"&lt;="&amp;ABS($D87)*1.02)&gt;0,"🟡 Valor próximo de um lançamento","❌ Não localizado")))</f>
        <v/>
      </c>
    </row>
    <row r="88">
      <c r="A88" s="36" t="n"/>
      <c r="B88" s="29" t="n"/>
      <c r="C88" s="14" t="n"/>
      <c r="D88" s="35" t="n"/>
      <c r="E88" s="14" t="n"/>
      <c r="F88" s="29" t="n"/>
      <c r="G88" s="14" t="n"/>
      <c r="H88" s="29" t="n"/>
      <c r="I88" s="14" t="n"/>
      <c r="J88" s="29" t="n"/>
      <c r="K88" s="18">
        <f>IF($D88="","",IF($E88="Débito",-ABS($D88),ABS($D88)))</f>
        <v/>
      </c>
      <c r="L88" s="9">
        <f>IF($A88="","",IF(COUNTIFS('LANÇAMENTOS'!$D$6:$D$2005,$A88,'LANÇAMENTOS'!$V$6:$V$2005,ABS($D88),'LANÇAMENTOS'!$L$6:$L$2005,$F88)&gt;0,"✔ Encontrado na planilha",IF(COUNTIFS('LANÇAMENTOS'!$D$6:$D$2005,$A88,'LANÇAMENTOS'!$V$6:$V$2005,"&gt;="&amp;ABS($D88)*0.98,'LANÇAMENTOS'!$V$6:$V$2005,"&lt;="&amp;ABS($D88)*1.02)&gt;0,"🟡 Valor próximo de um lançamento","❌ Não localizado")))</f>
        <v/>
      </c>
    </row>
    <row r="89">
      <c r="A89" s="36" t="n"/>
      <c r="B89" s="29" t="n"/>
      <c r="C89" s="14" t="n"/>
      <c r="D89" s="35" t="n"/>
      <c r="E89" s="14" t="n"/>
      <c r="F89" s="29" t="n"/>
      <c r="G89" s="14" t="n"/>
      <c r="H89" s="29" t="n"/>
      <c r="I89" s="14" t="n"/>
      <c r="J89" s="29" t="n"/>
      <c r="K89" s="18">
        <f>IF($D89="","",IF($E89="Débito",-ABS($D89),ABS($D89)))</f>
        <v/>
      </c>
      <c r="L89" s="9">
        <f>IF($A89="","",IF(COUNTIFS('LANÇAMENTOS'!$D$6:$D$2005,$A89,'LANÇAMENTOS'!$V$6:$V$2005,ABS($D89),'LANÇAMENTOS'!$L$6:$L$2005,$F89)&gt;0,"✔ Encontrado na planilha",IF(COUNTIFS('LANÇAMENTOS'!$D$6:$D$2005,$A89,'LANÇAMENTOS'!$V$6:$V$2005,"&gt;="&amp;ABS($D89)*0.98,'LANÇAMENTOS'!$V$6:$V$2005,"&lt;="&amp;ABS($D89)*1.02)&gt;0,"🟡 Valor próximo de um lançamento","❌ Não localizado")))</f>
        <v/>
      </c>
    </row>
    <row r="90">
      <c r="A90" s="36" t="n"/>
      <c r="B90" s="29" t="n"/>
      <c r="C90" s="14" t="n"/>
      <c r="D90" s="35" t="n"/>
      <c r="E90" s="14" t="n"/>
      <c r="F90" s="29" t="n"/>
      <c r="G90" s="14" t="n"/>
      <c r="H90" s="29" t="n"/>
      <c r="I90" s="14" t="n"/>
      <c r="J90" s="29" t="n"/>
      <c r="K90" s="18">
        <f>IF($D90="","",IF($E90="Débito",-ABS($D90),ABS($D90)))</f>
        <v/>
      </c>
      <c r="L90" s="9">
        <f>IF($A90="","",IF(COUNTIFS('LANÇAMENTOS'!$D$6:$D$2005,$A90,'LANÇAMENTOS'!$V$6:$V$2005,ABS($D90),'LANÇAMENTOS'!$L$6:$L$2005,$F90)&gt;0,"✔ Encontrado na planilha",IF(COUNTIFS('LANÇAMENTOS'!$D$6:$D$2005,$A90,'LANÇAMENTOS'!$V$6:$V$2005,"&gt;="&amp;ABS($D90)*0.98,'LANÇAMENTOS'!$V$6:$V$2005,"&lt;="&amp;ABS($D90)*1.02)&gt;0,"🟡 Valor próximo de um lançamento","❌ Não localizado")))</f>
        <v/>
      </c>
    </row>
    <row r="91">
      <c r="A91" s="36" t="n"/>
      <c r="B91" s="29" t="n"/>
      <c r="C91" s="14" t="n"/>
      <c r="D91" s="35" t="n"/>
      <c r="E91" s="14" t="n"/>
      <c r="F91" s="29" t="n"/>
      <c r="G91" s="14" t="n"/>
      <c r="H91" s="29" t="n"/>
      <c r="I91" s="14" t="n"/>
      <c r="J91" s="29" t="n"/>
      <c r="K91" s="18">
        <f>IF($D91="","",IF($E91="Débito",-ABS($D91),ABS($D91)))</f>
        <v/>
      </c>
      <c r="L91" s="9">
        <f>IF($A91="","",IF(COUNTIFS('LANÇAMENTOS'!$D$6:$D$2005,$A91,'LANÇAMENTOS'!$V$6:$V$2005,ABS($D91),'LANÇAMENTOS'!$L$6:$L$2005,$F91)&gt;0,"✔ Encontrado na planilha",IF(COUNTIFS('LANÇAMENTOS'!$D$6:$D$2005,$A91,'LANÇAMENTOS'!$V$6:$V$2005,"&gt;="&amp;ABS($D91)*0.98,'LANÇAMENTOS'!$V$6:$V$2005,"&lt;="&amp;ABS($D91)*1.02)&gt;0,"🟡 Valor próximo de um lançamento","❌ Não localizado")))</f>
        <v/>
      </c>
    </row>
    <row r="92">
      <c r="A92" s="36" t="n"/>
      <c r="B92" s="29" t="n"/>
      <c r="C92" s="14" t="n"/>
      <c r="D92" s="35" t="n"/>
      <c r="E92" s="14" t="n"/>
      <c r="F92" s="29" t="n"/>
      <c r="G92" s="14" t="n"/>
      <c r="H92" s="29" t="n"/>
      <c r="I92" s="14" t="n"/>
      <c r="J92" s="29" t="n"/>
      <c r="K92" s="18">
        <f>IF($D92="","",IF($E92="Débito",-ABS($D92),ABS($D92)))</f>
        <v/>
      </c>
      <c r="L92" s="9">
        <f>IF($A92="","",IF(COUNTIFS('LANÇAMENTOS'!$D$6:$D$2005,$A92,'LANÇAMENTOS'!$V$6:$V$2005,ABS($D92),'LANÇAMENTOS'!$L$6:$L$2005,$F92)&gt;0,"✔ Encontrado na planilha",IF(COUNTIFS('LANÇAMENTOS'!$D$6:$D$2005,$A92,'LANÇAMENTOS'!$V$6:$V$2005,"&gt;="&amp;ABS($D92)*0.98,'LANÇAMENTOS'!$V$6:$V$2005,"&lt;="&amp;ABS($D92)*1.02)&gt;0,"🟡 Valor próximo de um lançamento","❌ Não localizado")))</f>
        <v/>
      </c>
    </row>
    <row r="93">
      <c r="A93" s="36" t="n"/>
      <c r="B93" s="29" t="n"/>
      <c r="C93" s="14" t="n"/>
      <c r="D93" s="35" t="n"/>
      <c r="E93" s="14" t="n"/>
      <c r="F93" s="29" t="n"/>
      <c r="G93" s="14" t="n"/>
      <c r="H93" s="29" t="n"/>
      <c r="I93" s="14" t="n"/>
      <c r="J93" s="29" t="n"/>
      <c r="K93" s="18">
        <f>IF($D93="","",IF($E93="Débito",-ABS($D93),ABS($D93)))</f>
        <v/>
      </c>
      <c r="L93" s="9">
        <f>IF($A93="","",IF(COUNTIFS('LANÇAMENTOS'!$D$6:$D$2005,$A93,'LANÇAMENTOS'!$V$6:$V$2005,ABS($D93),'LANÇAMENTOS'!$L$6:$L$2005,$F93)&gt;0,"✔ Encontrado na planilha",IF(COUNTIFS('LANÇAMENTOS'!$D$6:$D$2005,$A93,'LANÇAMENTOS'!$V$6:$V$2005,"&gt;="&amp;ABS($D93)*0.98,'LANÇAMENTOS'!$V$6:$V$2005,"&lt;="&amp;ABS($D93)*1.02)&gt;0,"🟡 Valor próximo de um lançamento","❌ Não localizado")))</f>
        <v/>
      </c>
    </row>
    <row r="94">
      <c r="A94" s="36" t="n"/>
      <c r="B94" s="29" t="n"/>
      <c r="C94" s="14" t="n"/>
      <c r="D94" s="35" t="n"/>
      <c r="E94" s="14" t="n"/>
      <c r="F94" s="29" t="n"/>
      <c r="G94" s="14" t="n"/>
      <c r="H94" s="29" t="n"/>
      <c r="I94" s="14" t="n"/>
      <c r="J94" s="29" t="n"/>
      <c r="K94" s="18">
        <f>IF($D94="","",IF($E94="Débito",-ABS($D94),ABS($D94)))</f>
        <v/>
      </c>
      <c r="L94" s="9">
        <f>IF($A94="","",IF(COUNTIFS('LANÇAMENTOS'!$D$6:$D$2005,$A94,'LANÇAMENTOS'!$V$6:$V$2005,ABS($D94),'LANÇAMENTOS'!$L$6:$L$2005,$F94)&gt;0,"✔ Encontrado na planilha",IF(COUNTIFS('LANÇAMENTOS'!$D$6:$D$2005,$A94,'LANÇAMENTOS'!$V$6:$V$2005,"&gt;="&amp;ABS($D94)*0.98,'LANÇAMENTOS'!$V$6:$V$2005,"&lt;="&amp;ABS($D94)*1.02)&gt;0,"🟡 Valor próximo de um lançamento","❌ Não localizado")))</f>
        <v/>
      </c>
    </row>
    <row r="95">
      <c r="A95" s="36" t="n"/>
      <c r="B95" s="29" t="n"/>
      <c r="C95" s="14" t="n"/>
      <c r="D95" s="35" t="n"/>
      <c r="E95" s="14" t="n"/>
      <c r="F95" s="29" t="n"/>
      <c r="G95" s="14" t="n"/>
      <c r="H95" s="29" t="n"/>
      <c r="I95" s="14" t="n"/>
      <c r="J95" s="29" t="n"/>
      <c r="K95" s="18">
        <f>IF($D95="","",IF($E95="Débito",-ABS($D95),ABS($D95)))</f>
        <v/>
      </c>
      <c r="L95" s="9">
        <f>IF($A95="","",IF(COUNTIFS('LANÇAMENTOS'!$D$6:$D$2005,$A95,'LANÇAMENTOS'!$V$6:$V$2005,ABS($D95),'LANÇAMENTOS'!$L$6:$L$2005,$F95)&gt;0,"✔ Encontrado na planilha",IF(COUNTIFS('LANÇAMENTOS'!$D$6:$D$2005,$A95,'LANÇAMENTOS'!$V$6:$V$2005,"&gt;="&amp;ABS($D95)*0.98,'LANÇAMENTOS'!$V$6:$V$2005,"&lt;="&amp;ABS($D95)*1.02)&gt;0,"🟡 Valor próximo de um lançamento","❌ Não localizado")))</f>
        <v/>
      </c>
    </row>
    <row r="96">
      <c r="A96" s="36" t="n"/>
      <c r="B96" s="29" t="n"/>
      <c r="C96" s="14" t="n"/>
      <c r="D96" s="35" t="n"/>
      <c r="E96" s="14" t="n"/>
      <c r="F96" s="29" t="n"/>
      <c r="G96" s="14" t="n"/>
      <c r="H96" s="29" t="n"/>
      <c r="I96" s="14" t="n"/>
      <c r="J96" s="29" t="n"/>
      <c r="K96" s="18">
        <f>IF($D96="","",IF($E96="Débito",-ABS($D96),ABS($D96)))</f>
        <v/>
      </c>
      <c r="L96" s="9">
        <f>IF($A96="","",IF(COUNTIFS('LANÇAMENTOS'!$D$6:$D$2005,$A96,'LANÇAMENTOS'!$V$6:$V$2005,ABS($D96),'LANÇAMENTOS'!$L$6:$L$2005,$F96)&gt;0,"✔ Encontrado na planilha",IF(COUNTIFS('LANÇAMENTOS'!$D$6:$D$2005,$A96,'LANÇAMENTOS'!$V$6:$V$2005,"&gt;="&amp;ABS($D96)*0.98,'LANÇAMENTOS'!$V$6:$V$2005,"&lt;="&amp;ABS($D96)*1.02)&gt;0,"🟡 Valor próximo de um lançamento","❌ Não localizado")))</f>
        <v/>
      </c>
    </row>
    <row r="97">
      <c r="A97" s="36" t="n"/>
      <c r="B97" s="29" t="n"/>
      <c r="C97" s="14" t="n"/>
      <c r="D97" s="35" t="n"/>
      <c r="E97" s="14" t="n"/>
      <c r="F97" s="29" t="n"/>
      <c r="G97" s="14" t="n"/>
      <c r="H97" s="29" t="n"/>
      <c r="I97" s="14" t="n"/>
      <c r="J97" s="29" t="n"/>
      <c r="K97" s="18">
        <f>IF($D97="","",IF($E97="Débito",-ABS($D97),ABS($D97)))</f>
        <v/>
      </c>
      <c r="L97" s="9">
        <f>IF($A97="","",IF(COUNTIFS('LANÇAMENTOS'!$D$6:$D$2005,$A97,'LANÇAMENTOS'!$V$6:$V$2005,ABS($D97),'LANÇAMENTOS'!$L$6:$L$2005,$F97)&gt;0,"✔ Encontrado na planilha",IF(COUNTIFS('LANÇAMENTOS'!$D$6:$D$2005,$A97,'LANÇAMENTOS'!$V$6:$V$2005,"&gt;="&amp;ABS($D97)*0.98,'LANÇAMENTOS'!$V$6:$V$2005,"&lt;="&amp;ABS($D97)*1.02)&gt;0,"🟡 Valor próximo de um lançamento","❌ Não localizado")))</f>
        <v/>
      </c>
    </row>
    <row r="98">
      <c r="A98" s="36" t="n"/>
      <c r="B98" s="29" t="n"/>
      <c r="C98" s="14" t="n"/>
      <c r="D98" s="35" t="n"/>
      <c r="E98" s="14" t="n"/>
      <c r="F98" s="29" t="n"/>
      <c r="G98" s="14" t="n"/>
      <c r="H98" s="29" t="n"/>
      <c r="I98" s="14" t="n"/>
      <c r="J98" s="29" t="n"/>
      <c r="K98" s="18">
        <f>IF($D98="","",IF($E98="Débito",-ABS($D98),ABS($D98)))</f>
        <v/>
      </c>
      <c r="L98" s="9">
        <f>IF($A98="","",IF(COUNTIFS('LANÇAMENTOS'!$D$6:$D$2005,$A98,'LANÇAMENTOS'!$V$6:$V$2005,ABS($D98),'LANÇAMENTOS'!$L$6:$L$2005,$F98)&gt;0,"✔ Encontrado na planilha",IF(COUNTIFS('LANÇAMENTOS'!$D$6:$D$2005,$A98,'LANÇAMENTOS'!$V$6:$V$2005,"&gt;="&amp;ABS($D98)*0.98,'LANÇAMENTOS'!$V$6:$V$2005,"&lt;="&amp;ABS($D98)*1.02)&gt;0,"🟡 Valor próximo de um lançamento","❌ Não localizado")))</f>
        <v/>
      </c>
    </row>
    <row r="99">
      <c r="A99" s="36" t="n"/>
      <c r="B99" s="29" t="n"/>
      <c r="C99" s="14" t="n"/>
      <c r="D99" s="35" t="n"/>
      <c r="E99" s="14" t="n"/>
      <c r="F99" s="29" t="n"/>
      <c r="G99" s="14" t="n"/>
      <c r="H99" s="29" t="n"/>
      <c r="I99" s="14" t="n"/>
      <c r="J99" s="29" t="n"/>
      <c r="K99" s="18">
        <f>IF($D99="","",IF($E99="Débito",-ABS($D99),ABS($D99)))</f>
        <v/>
      </c>
      <c r="L99" s="9">
        <f>IF($A99="","",IF(COUNTIFS('LANÇAMENTOS'!$D$6:$D$2005,$A99,'LANÇAMENTOS'!$V$6:$V$2005,ABS($D99),'LANÇAMENTOS'!$L$6:$L$2005,$F99)&gt;0,"✔ Encontrado na planilha",IF(COUNTIFS('LANÇAMENTOS'!$D$6:$D$2005,$A99,'LANÇAMENTOS'!$V$6:$V$2005,"&gt;="&amp;ABS($D99)*0.98,'LANÇAMENTOS'!$V$6:$V$2005,"&lt;="&amp;ABS($D99)*1.02)&gt;0,"🟡 Valor próximo de um lançamento","❌ Não localizado")))</f>
        <v/>
      </c>
    </row>
    <row r="100">
      <c r="A100" s="36" t="n"/>
      <c r="B100" s="29" t="n"/>
      <c r="C100" s="14" t="n"/>
      <c r="D100" s="35" t="n"/>
      <c r="E100" s="14" t="n"/>
      <c r="F100" s="29" t="n"/>
      <c r="G100" s="14" t="n"/>
      <c r="H100" s="29" t="n"/>
      <c r="I100" s="14" t="n"/>
      <c r="J100" s="29" t="n"/>
      <c r="K100" s="18">
        <f>IF($D100="","",IF($E100="Débito",-ABS($D100),ABS($D100)))</f>
        <v/>
      </c>
      <c r="L100" s="9">
        <f>IF($A100="","",IF(COUNTIFS('LANÇAMENTOS'!$D$6:$D$2005,$A100,'LANÇAMENTOS'!$V$6:$V$2005,ABS($D100),'LANÇAMENTOS'!$L$6:$L$2005,$F100)&gt;0,"✔ Encontrado na planilha",IF(COUNTIFS('LANÇAMENTOS'!$D$6:$D$2005,$A100,'LANÇAMENTOS'!$V$6:$V$2005,"&gt;="&amp;ABS($D100)*0.98,'LANÇAMENTOS'!$V$6:$V$2005,"&lt;="&amp;ABS($D100)*1.02)&gt;0,"🟡 Valor próximo de um lançamento","❌ Não localizado")))</f>
        <v/>
      </c>
    </row>
    <row r="101">
      <c r="A101" s="36" t="n"/>
      <c r="B101" s="29" t="n"/>
      <c r="C101" s="14" t="n"/>
      <c r="D101" s="35" t="n"/>
      <c r="E101" s="14" t="n"/>
      <c r="F101" s="29" t="n"/>
      <c r="G101" s="14" t="n"/>
      <c r="H101" s="29" t="n"/>
      <c r="I101" s="14" t="n"/>
      <c r="J101" s="29" t="n"/>
      <c r="K101" s="18">
        <f>IF($D101="","",IF($E101="Débito",-ABS($D101),ABS($D101)))</f>
        <v/>
      </c>
      <c r="L101" s="9">
        <f>IF($A101="","",IF(COUNTIFS('LANÇAMENTOS'!$D$6:$D$2005,$A101,'LANÇAMENTOS'!$V$6:$V$2005,ABS($D101),'LANÇAMENTOS'!$L$6:$L$2005,$F101)&gt;0,"✔ Encontrado na planilha",IF(COUNTIFS('LANÇAMENTOS'!$D$6:$D$2005,$A101,'LANÇAMENTOS'!$V$6:$V$2005,"&gt;="&amp;ABS($D101)*0.98,'LANÇAMENTOS'!$V$6:$V$2005,"&lt;="&amp;ABS($D101)*1.02)&gt;0,"🟡 Valor próximo de um lançamento","❌ Não localizado")))</f>
        <v/>
      </c>
    </row>
    <row r="102">
      <c r="A102" s="36" t="n"/>
      <c r="B102" s="29" t="n"/>
      <c r="C102" s="14" t="n"/>
      <c r="D102" s="35" t="n"/>
      <c r="E102" s="14" t="n"/>
      <c r="F102" s="29" t="n"/>
      <c r="G102" s="14" t="n"/>
      <c r="H102" s="29" t="n"/>
      <c r="I102" s="14" t="n"/>
      <c r="J102" s="29" t="n"/>
      <c r="K102" s="18">
        <f>IF($D102="","",IF($E102="Débito",-ABS($D102),ABS($D102)))</f>
        <v/>
      </c>
      <c r="L102" s="9">
        <f>IF($A102="","",IF(COUNTIFS('LANÇAMENTOS'!$D$6:$D$2005,$A102,'LANÇAMENTOS'!$V$6:$V$2005,ABS($D102),'LANÇAMENTOS'!$L$6:$L$2005,$F102)&gt;0,"✔ Encontrado na planilha",IF(COUNTIFS('LANÇAMENTOS'!$D$6:$D$2005,$A102,'LANÇAMENTOS'!$V$6:$V$2005,"&gt;="&amp;ABS($D102)*0.98,'LANÇAMENTOS'!$V$6:$V$2005,"&lt;="&amp;ABS($D102)*1.02)&gt;0,"🟡 Valor próximo de um lançamento","❌ Não localizado")))</f>
        <v/>
      </c>
    </row>
    <row r="103">
      <c r="A103" s="36" t="n"/>
      <c r="B103" s="29" t="n"/>
      <c r="C103" s="14" t="n"/>
      <c r="D103" s="35" t="n"/>
      <c r="E103" s="14" t="n"/>
      <c r="F103" s="29" t="n"/>
      <c r="G103" s="14" t="n"/>
      <c r="H103" s="29" t="n"/>
      <c r="I103" s="14" t="n"/>
      <c r="J103" s="29" t="n"/>
      <c r="K103" s="18">
        <f>IF($D103="","",IF($E103="Débito",-ABS($D103),ABS($D103)))</f>
        <v/>
      </c>
      <c r="L103" s="9">
        <f>IF($A103="","",IF(COUNTIFS('LANÇAMENTOS'!$D$6:$D$2005,$A103,'LANÇAMENTOS'!$V$6:$V$2005,ABS($D103),'LANÇAMENTOS'!$L$6:$L$2005,$F103)&gt;0,"✔ Encontrado na planilha",IF(COUNTIFS('LANÇAMENTOS'!$D$6:$D$2005,$A103,'LANÇAMENTOS'!$V$6:$V$2005,"&gt;="&amp;ABS($D103)*0.98,'LANÇAMENTOS'!$V$6:$V$2005,"&lt;="&amp;ABS($D103)*1.02)&gt;0,"🟡 Valor próximo de um lançamento","❌ Não localizado")))</f>
        <v/>
      </c>
    </row>
    <row r="104">
      <c r="A104" s="36" t="n"/>
      <c r="B104" s="29" t="n"/>
      <c r="C104" s="14" t="n"/>
      <c r="D104" s="35" t="n"/>
      <c r="E104" s="14" t="n"/>
      <c r="F104" s="29" t="n"/>
      <c r="G104" s="14" t="n"/>
      <c r="H104" s="29" t="n"/>
      <c r="I104" s="14" t="n"/>
      <c r="J104" s="29" t="n"/>
      <c r="K104" s="18">
        <f>IF($D104="","",IF($E104="Débito",-ABS($D104),ABS($D104)))</f>
        <v/>
      </c>
      <c r="L104" s="9">
        <f>IF($A104="","",IF(COUNTIFS('LANÇAMENTOS'!$D$6:$D$2005,$A104,'LANÇAMENTOS'!$V$6:$V$2005,ABS($D104),'LANÇAMENTOS'!$L$6:$L$2005,$F104)&gt;0,"✔ Encontrado na planilha",IF(COUNTIFS('LANÇAMENTOS'!$D$6:$D$2005,$A104,'LANÇAMENTOS'!$V$6:$V$2005,"&gt;="&amp;ABS($D104)*0.98,'LANÇAMENTOS'!$V$6:$V$2005,"&lt;="&amp;ABS($D104)*1.02)&gt;0,"🟡 Valor próximo de um lançamento","❌ Não localizado")))</f>
        <v/>
      </c>
    </row>
    <row r="105">
      <c r="A105" s="36" t="n"/>
      <c r="B105" s="29" t="n"/>
      <c r="C105" s="14" t="n"/>
      <c r="D105" s="35" t="n"/>
      <c r="E105" s="14" t="n"/>
      <c r="F105" s="29" t="n"/>
      <c r="G105" s="14" t="n"/>
      <c r="H105" s="29" t="n"/>
      <c r="I105" s="14" t="n"/>
      <c r="J105" s="29" t="n"/>
      <c r="K105" s="18">
        <f>IF($D105="","",IF($E105="Débito",-ABS($D105),ABS($D105)))</f>
        <v/>
      </c>
      <c r="L105" s="9">
        <f>IF($A105="","",IF(COUNTIFS('LANÇAMENTOS'!$D$6:$D$2005,$A105,'LANÇAMENTOS'!$V$6:$V$2005,ABS($D105),'LANÇAMENTOS'!$L$6:$L$2005,$F105)&gt;0,"✔ Encontrado na planilha",IF(COUNTIFS('LANÇAMENTOS'!$D$6:$D$2005,$A105,'LANÇAMENTOS'!$V$6:$V$2005,"&gt;="&amp;ABS($D105)*0.98,'LANÇAMENTOS'!$V$6:$V$2005,"&lt;="&amp;ABS($D105)*1.02)&gt;0,"🟡 Valor próximo de um lançamento","❌ Não localizado")))</f>
        <v/>
      </c>
    </row>
    <row r="106">
      <c r="A106" s="36" t="n"/>
      <c r="B106" s="29" t="n"/>
      <c r="C106" s="14" t="n"/>
      <c r="D106" s="35" t="n"/>
      <c r="E106" s="14" t="n"/>
      <c r="F106" s="29" t="n"/>
      <c r="G106" s="14" t="n"/>
      <c r="H106" s="29" t="n"/>
      <c r="I106" s="14" t="n"/>
      <c r="J106" s="29" t="n"/>
      <c r="K106" s="18">
        <f>IF($D106="","",IF($E106="Débito",-ABS($D106),ABS($D106)))</f>
        <v/>
      </c>
      <c r="L106" s="9">
        <f>IF($A106="","",IF(COUNTIFS('LANÇAMENTOS'!$D$6:$D$2005,$A106,'LANÇAMENTOS'!$V$6:$V$2005,ABS($D106),'LANÇAMENTOS'!$L$6:$L$2005,$F106)&gt;0,"✔ Encontrado na planilha",IF(COUNTIFS('LANÇAMENTOS'!$D$6:$D$2005,$A106,'LANÇAMENTOS'!$V$6:$V$2005,"&gt;="&amp;ABS($D106)*0.98,'LANÇAMENTOS'!$V$6:$V$2005,"&lt;="&amp;ABS($D106)*1.02)&gt;0,"🟡 Valor próximo de um lançamento","❌ Não localizado")))</f>
        <v/>
      </c>
    </row>
    <row r="107">
      <c r="A107" s="36" t="n"/>
      <c r="B107" s="29" t="n"/>
      <c r="C107" s="14" t="n"/>
      <c r="D107" s="35" t="n"/>
      <c r="E107" s="14" t="n"/>
      <c r="F107" s="29" t="n"/>
      <c r="G107" s="14" t="n"/>
      <c r="H107" s="29" t="n"/>
      <c r="I107" s="14" t="n"/>
      <c r="J107" s="29" t="n"/>
      <c r="K107" s="18">
        <f>IF($D107="","",IF($E107="Débito",-ABS($D107),ABS($D107)))</f>
        <v/>
      </c>
      <c r="L107" s="9">
        <f>IF($A107="","",IF(COUNTIFS('LANÇAMENTOS'!$D$6:$D$2005,$A107,'LANÇAMENTOS'!$V$6:$V$2005,ABS($D107),'LANÇAMENTOS'!$L$6:$L$2005,$F107)&gt;0,"✔ Encontrado na planilha",IF(COUNTIFS('LANÇAMENTOS'!$D$6:$D$2005,$A107,'LANÇAMENTOS'!$V$6:$V$2005,"&gt;="&amp;ABS($D107)*0.98,'LANÇAMENTOS'!$V$6:$V$2005,"&lt;="&amp;ABS($D107)*1.02)&gt;0,"🟡 Valor próximo de um lançamento","❌ Não localizado")))</f>
        <v/>
      </c>
    </row>
    <row r="108">
      <c r="A108" s="36" t="n"/>
      <c r="B108" s="29" t="n"/>
      <c r="C108" s="14" t="n"/>
      <c r="D108" s="35" t="n"/>
      <c r="E108" s="14" t="n"/>
      <c r="F108" s="29" t="n"/>
      <c r="G108" s="14" t="n"/>
      <c r="H108" s="29" t="n"/>
      <c r="I108" s="14" t="n"/>
      <c r="J108" s="29" t="n"/>
      <c r="K108" s="18">
        <f>IF($D108="","",IF($E108="Débito",-ABS($D108),ABS($D108)))</f>
        <v/>
      </c>
      <c r="L108" s="9">
        <f>IF($A108="","",IF(COUNTIFS('LANÇAMENTOS'!$D$6:$D$2005,$A108,'LANÇAMENTOS'!$V$6:$V$2005,ABS($D108),'LANÇAMENTOS'!$L$6:$L$2005,$F108)&gt;0,"✔ Encontrado na planilha",IF(COUNTIFS('LANÇAMENTOS'!$D$6:$D$2005,$A108,'LANÇAMENTOS'!$V$6:$V$2005,"&gt;="&amp;ABS($D108)*0.98,'LANÇAMENTOS'!$V$6:$V$2005,"&lt;="&amp;ABS($D108)*1.02)&gt;0,"🟡 Valor próximo de um lançamento","❌ Não localizado")))</f>
        <v/>
      </c>
    </row>
    <row r="109">
      <c r="A109" s="36" t="n"/>
      <c r="B109" s="29" t="n"/>
      <c r="C109" s="14" t="n"/>
      <c r="D109" s="35" t="n"/>
      <c r="E109" s="14" t="n"/>
      <c r="F109" s="29" t="n"/>
      <c r="G109" s="14" t="n"/>
      <c r="H109" s="29" t="n"/>
      <c r="I109" s="14" t="n"/>
      <c r="J109" s="29" t="n"/>
      <c r="K109" s="18">
        <f>IF($D109="","",IF($E109="Débito",-ABS($D109),ABS($D109)))</f>
        <v/>
      </c>
      <c r="L109" s="9">
        <f>IF($A109="","",IF(COUNTIFS('LANÇAMENTOS'!$D$6:$D$2005,$A109,'LANÇAMENTOS'!$V$6:$V$2005,ABS($D109),'LANÇAMENTOS'!$L$6:$L$2005,$F109)&gt;0,"✔ Encontrado na planilha",IF(COUNTIFS('LANÇAMENTOS'!$D$6:$D$2005,$A109,'LANÇAMENTOS'!$V$6:$V$2005,"&gt;="&amp;ABS($D109)*0.98,'LANÇAMENTOS'!$V$6:$V$2005,"&lt;="&amp;ABS($D109)*1.02)&gt;0,"🟡 Valor próximo de um lançamento","❌ Não localizado")))</f>
        <v/>
      </c>
    </row>
    <row r="110">
      <c r="A110" s="36" t="n"/>
      <c r="B110" s="29" t="n"/>
      <c r="C110" s="14" t="n"/>
      <c r="D110" s="35" t="n"/>
      <c r="E110" s="14" t="n"/>
      <c r="F110" s="29" t="n"/>
      <c r="G110" s="14" t="n"/>
      <c r="H110" s="29" t="n"/>
      <c r="I110" s="14" t="n"/>
      <c r="J110" s="29" t="n"/>
      <c r="K110" s="18">
        <f>IF($D110="","",IF($E110="Débito",-ABS($D110),ABS($D110)))</f>
        <v/>
      </c>
      <c r="L110" s="9">
        <f>IF($A110="","",IF(COUNTIFS('LANÇAMENTOS'!$D$6:$D$2005,$A110,'LANÇAMENTOS'!$V$6:$V$2005,ABS($D110),'LANÇAMENTOS'!$L$6:$L$2005,$F110)&gt;0,"✔ Encontrado na planilha",IF(COUNTIFS('LANÇAMENTOS'!$D$6:$D$2005,$A110,'LANÇAMENTOS'!$V$6:$V$2005,"&gt;="&amp;ABS($D110)*0.98,'LANÇAMENTOS'!$V$6:$V$2005,"&lt;="&amp;ABS($D110)*1.02)&gt;0,"🟡 Valor próximo de um lançamento","❌ Não localizado")))</f>
        <v/>
      </c>
    </row>
    <row r="111">
      <c r="A111" s="36" t="n"/>
      <c r="B111" s="29" t="n"/>
      <c r="C111" s="14" t="n"/>
      <c r="D111" s="35" t="n"/>
      <c r="E111" s="14" t="n"/>
      <c r="F111" s="29" t="n"/>
      <c r="G111" s="14" t="n"/>
      <c r="H111" s="29" t="n"/>
      <c r="I111" s="14" t="n"/>
      <c r="J111" s="29" t="n"/>
      <c r="K111" s="18">
        <f>IF($D111="","",IF($E111="Débito",-ABS($D111),ABS($D111)))</f>
        <v/>
      </c>
      <c r="L111" s="9">
        <f>IF($A111="","",IF(COUNTIFS('LANÇAMENTOS'!$D$6:$D$2005,$A111,'LANÇAMENTOS'!$V$6:$V$2005,ABS($D111),'LANÇAMENTOS'!$L$6:$L$2005,$F111)&gt;0,"✔ Encontrado na planilha",IF(COUNTIFS('LANÇAMENTOS'!$D$6:$D$2005,$A111,'LANÇAMENTOS'!$V$6:$V$2005,"&gt;="&amp;ABS($D111)*0.98,'LANÇAMENTOS'!$V$6:$V$2005,"&lt;="&amp;ABS($D111)*1.02)&gt;0,"🟡 Valor próximo de um lançamento","❌ Não localizado")))</f>
        <v/>
      </c>
    </row>
    <row r="112">
      <c r="A112" s="36" t="n"/>
      <c r="B112" s="29" t="n"/>
      <c r="C112" s="14" t="n"/>
      <c r="D112" s="35" t="n"/>
      <c r="E112" s="14" t="n"/>
      <c r="F112" s="29" t="n"/>
      <c r="G112" s="14" t="n"/>
      <c r="H112" s="29" t="n"/>
      <c r="I112" s="14" t="n"/>
      <c r="J112" s="29" t="n"/>
      <c r="K112" s="18">
        <f>IF($D112="","",IF($E112="Débito",-ABS($D112),ABS($D112)))</f>
        <v/>
      </c>
      <c r="L112" s="9">
        <f>IF($A112="","",IF(COUNTIFS('LANÇAMENTOS'!$D$6:$D$2005,$A112,'LANÇAMENTOS'!$V$6:$V$2005,ABS($D112),'LANÇAMENTOS'!$L$6:$L$2005,$F112)&gt;0,"✔ Encontrado na planilha",IF(COUNTIFS('LANÇAMENTOS'!$D$6:$D$2005,$A112,'LANÇAMENTOS'!$V$6:$V$2005,"&gt;="&amp;ABS($D112)*0.98,'LANÇAMENTOS'!$V$6:$V$2005,"&lt;="&amp;ABS($D112)*1.02)&gt;0,"🟡 Valor próximo de um lançamento","❌ Não localizado")))</f>
        <v/>
      </c>
    </row>
    <row r="113">
      <c r="A113" s="36" t="n"/>
      <c r="B113" s="29" t="n"/>
      <c r="C113" s="14" t="n"/>
      <c r="D113" s="35" t="n"/>
      <c r="E113" s="14" t="n"/>
      <c r="F113" s="29" t="n"/>
      <c r="G113" s="14" t="n"/>
      <c r="H113" s="29" t="n"/>
      <c r="I113" s="14" t="n"/>
      <c r="J113" s="29" t="n"/>
      <c r="K113" s="18">
        <f>IF($D113="","",IF($E113="Débito",-ABS($D113),ABS($D113)))</f>
        <v/>
      </c>
      <c r="L113" s="9">
        <f>IF($A113="","",IF(COUNTIFS('LANÇAMENTOS'!$D$6:$D$2005,$A113,'LANÇAMENTOS'!$V$6:$V$2005,ABS($D113),'LANÇAMENTOS'!$L$6:$L$2005,$F113)&gt;0,"✔ Encontrado na planilha",IF(COUNTIFS('LANÇAMENTOS'!$D$6:$D$2005,$A113,'LANÇAMENTOS'!$V$6:$V$2005,"&gt;="&amp;ABS($D113)*0.98,'LANÇAMENTOS'!$V$6:$V$2005,"&lt;="&amp;ABS($D113)*1.02)&gt;0,"🟡 Valor próximo de um lançamento","❌ Não localizado")))</f>
        <v/>
      </c>
    </row>
    <row r="114">
      <c r="A114" s="36" t="n"/>
      <c r="B114" s="29" t="n"/>
      <c r="C114" s="14" t="n"/>
      <c r="D114" s="35" t="n"/>
      <c r="E114" s="14" t="n"/>
      <c r="F114" s="29" t="n"/>
      <c r="G114" s="14" t="n"/>
      <c r="H114" s="29" t="n"/>
      <c r="I114" s="14" t="n"/>
      <c r="J114" s="29" t="n"/>
      <c r="K114" s="18">
        <f>IF($D114="","",IF($E114="Débito",-ABS($D114),ABS($D114)))</f>
        <v/>
      </c>
      <c r="L114" s="9">
        <f>IF($A114="","",IF(COUNTIFS('LANÇAMENTOS'!$D$6:$D$2005,$A114,'LANÇAMENTOS'!$V$6:$V$2005,ABS($D114),'LANÇAMENTOS'!$L$6:$L$2005,$F114)&gt;0,"✔ Encontrado na planilha",IF(COUNTIFS('LANÇAMENTOS'!$D$6:$D$2005,$A114,'LANÇAMENTOS'!$V$6:$V$2005,"&gt;="&amp;ABS($D114)*0.98,'LANÇAMENTOS'!$V$6:$V$2005,"&lt;="&amp;ABS($D114)*1.02)&gt;0,"🟡 Valor próximo de um lançamento","❌ Não localizado")))</f>
        <v/>
      </c>
    </row>
    <row r="115">
      <c r="A115" s="36" t="n"/>
      <c r="B115" s="29" t="n"/>
      <c r="C115" s="14" t="n"/>
      <c r="D115" s="35" t="n"/>
      <c r="E115" s="14" t="n"/>
      <c r="F115" s="29" t="n"/>
      <c r="G115" s="14" t="n"/>
      <c r="H115" s="29" t="n"/>
      <c r="I115" s="14" t="n"/>
      <c r="J115" s="29" t="n"/>
      <c r="K115" s="18">
        <f>IF($D115="","",IF($E115="Débito",-ABS($D115),ABS($D115)))</f>
        <v/>
      </c>
      <c r="L115" s="9">
        <f>IF($A115="","",IF(COUNTIFS('LANÇAMENTOS'!$D$6:$D$2005,$A115,'LANÇAMENTOS'!$V$6:$V$2005,ABS($D115),'LANÇAMENTOS'!$L$6:$L$2005,$F115)&gt;0,"✔ Encontrado na planilha",IF(COUNTIFS('LANÇAMENTOS'!$D$6:$D$2005,$A115,'LANÇAMENTOS'!$V$6:$V$2005,"&gt;="&amp;ABS($D115)*0.98,'LANÇAMENTOS'!$V$6:$V$2005,"&lt;="&amp;ABS($D115)*1.02)&gt;0,"🟡 Valor próximo de um lançamento","❌ Não localizado")))</f>
        <v/>
      </c>
    </row>
    <row r="116">
      <c r="A116" s="36" t="n"/>
      <c r="B116" s="29" t="n"/>
      <c r="C116" s="14" t="n"/>
      <c r="D116" s="35" t="n"/>
      <c r="E116" s="14" t="n"/>
      <c r="F116" s="29" t="n"/>
      <c r="G116" s="14" t="n"/>
      <c r="H116" s="29" t="n"/>
      <c r="I116" s="14" t="n"/>
      <c r="J116" s="29" t="n"/>
      <c r="K116" s="18">
        <f>IF($D116="","",IF($E116="Débito",-ABS($D116),ABS($D116)))</f>
        <v/>
      </c>
      <c r="L116" s="9">
        <f>IF($A116="","",IF(COUNTIFS('LANÇAMENTOS'!$D$6:$D$2005,$A116,'LANÇAMENTOS'!$V$6:$V$2005,ABS($D116),'LANÇAMENTOS'!$L$6:$L$2005,$F116)&gt;0,"✔ Encontrado na planilha",IF(COUNTIFS('LANÇAMENTOS'!$D$6:$D$2005,$A116,'LANÇAMENTOS'!$V$6:$V$2005,"&gt;="&amp;ABS($D116)*0.98,'LANÇAMENTOS'!$V$6:$V$2005,"&lt;="&amp;ABS($D116)*1.02)&gt;0,"🟡 Valor próximo de um lançamento","❌ Não localizado")))</f>
        <v/>
      </c>
    </row>
    <row r="117">
      <c r="A117" s="36" t="n"/>
      <c r="B117" s="29" t="n"/>
      <c r="C117" s="14" t="n"/>
      <c r="D117" s="35" t="n"/>
      <c r="E117" s="14" t="n"/>
      <c r="F117" s="29" t="n"/>
      <c r="G117" s="14" t="n"/>
      <c r="H117" s="29" t="n"/>
      <c r="I117" s="14" t="n"/>
      <c r="J117" s="29" t="n"/>
      <c r="K117" s="18">
        <f>IF($D117="","",IF($E117="Débito",-ABS($D117),ABS($D117)))</f>
        <v/>
      </c>
      <c r="L117" s="9">
        <f>IF($A117="","",IF(COUNTIFS('LANÇAMENTOS'!$D$6:$D$2005,$A117,'LANÇAMENTOS'!$V$6:$V$2005,ABS($D117),'LANÇAMENTOS'!$L$6:$L$2005,$F117)&gt;0,"✔ Encontrado na planilha",IF(COUNTIFS('LANÇAMENTOS'!$D$6:$D$2005,$A117,'LANÇAMENTOS'!$V$6:$V$2005,"&gt;="&amp;ABS($D117)*0.98,'LANÇAMENTOS'!$V$6:$V$2005,"&lt;="&amp;ABS($D117)*1.02)&gt;0,"🟡 Valor próximo de um lançamento","❌ Não localizado")))</f>
        <v/>
      </c>
    </row>
    <row r="118">
      <c r="A118" s="36" t="n"/>
      <c r="B118" s="29" t="n"/>
      <c r="C118" s="14" t="n"/>
      <c r="D118" s="35" t="n"/>
      <c r="E118" s="14" t="n"/>
      <c r="F118" s="29" t="n"/>
      <c r="G118" s="14" t="n"/>
      <c r="H118" s="29" t="n"/>
      <c r="I118" s="14" t="n"/>
      <c r="J118" s="29" t="n"/>
      <c r="K118" s="18">
        <f>IF($D118="","",IF($E118="Débito",-ABS($D118),ABS($D118)))</f>
        <v/>
      </c>
      <c r="L118" s="9">
        <f>IF($A118="","",IF(COUNTIFS('LANÇAMENTOS'!$D$6:$D$2005,$A118,'LANÇAMENTOS'!$V$6:$V$2005,ABS($D118),'LANÇAMENTOS'!$L$6:$L$2005,$F118)&gt;0,"✔ Encontrado na planilha",IF(COUNTIFS('LANÇAMENTOS'!$D$6:$D$2005,$A118,'LANÇAMENTOS'!$V$6:$V$2005,"&gt;="&amp;ABS($D118)*0.98,'LANÇAMENTOS'!$V$6:$V$2005,"&lt;="&amp;ABS($D118)*1.02)&gt;0,"🟡 Valor próximo de um lançamento","❌ Não localizado")))</f>
        <v/>
      </c>
    </row>
    <row r="119">
      <c r="A119" s="36" t="n"/>
      <c r="B119" s="29" t="n"/>
      <c r="C119" s="14" t="n"/>
      <c r="D119" s="35" t="n"/>
      <c r="E119" s="14" t="n"/>
      <c r="F119" s="29" t="n"/>
      <c r="G119" s="14" t="n"/>
      <c r="H119" s="29" t="n"/>
      <c r="I119" s="14" t="n"/>
      <c r="J119" s="29" t="n"/>
      <c r="K119" s="18">
        <f>IF($D119="","",IF($E119="Débito",-ABS($D119),ABS($D119)))</f>
        <v/>
      </c>
      <c r="L119" s="9">
        <f>IF($A119="","",IF(COUNTIFS('LANÇAMENTOS'!$D$6:$D$2005,$A119,'LANÇAMENTOS'!$V$6:$V$2005,ABS($D119),'LANÇAMENTOS'!$L$6:$L$2005,$F119)&gt;0,"✔ Encontrado na planilha",IF(COUNTIFS('LANÇAMENTOS'!$D$6:$D$2005,$A119,'LANÇAMENTOS'!$V$6:$V$2005,"&gt;="&amp;ABS($D119)*0.98,'LANÇAMENTOS'!$V$6:$V$2005,"&lt;="&amp;ABS($D119)*1.02)&gt;0,"🟡 Valor próximo de um lançamento","❌ Não localizado")))</f>
        <v/>
      </c>
    </row>
    <row r="120">
      <c r="A120" s="36" t="n"/>
      <c r="B120" s="29" t="n"/>
      <c r="C120" s="14" t="n"/>
      <c r="D120" s="35" t="n"/>
      <c r="E120" s="14" t="n"/>
      <c r="F120" s="29" t="n"/>
      <c r="G120" s="14" t="n"/>
      <c r="H120" s="29" t="n"/>
      <c r="I120" s="14" t="n"/>
      <c r="J120" s="29" t="n"/>
      <c r="K120" s="18">
        <f>IF($D120="","",IF($E120="Débito",-ABS($D120),ABS($D120)))</f>
        <v/>
      </c>
      <c r="L120" s="9">
        <f>IF($A120="","",IF(COUNTIFS('LANÇAMENTOS'!$D$6:$D$2005,$A120,'LANÇAMENTOS'!$V$6:$V$2005,ABS($D120),'LANÇAMENTOS'!$L$6:$L$2005,$F120)&gt;0,"✔ Encontrado na planilha",IF(COUNTIFS('LANÇAMENTOS'!$D$6:$D$2005,$A120,'LANÇAMENTOS'!$V$6:$V$2005,"&gt;="&amp;ABS($D120)*0.98,'LANÇAMENTOS'!$V$6:$V$2005,"&lt;="&amp;ABS($D120)*1.02)&gt;0,"🟡 Valor próximo de um lançamento","❌ Não localizado")))</f>
        <v/>
      </c>
    </row>
    <row r="121">
      <c r="A121" s="36" t="n"/>
      <c r="B121" s="29" t="n"/>
      <c r="C121" s="14" t="n"/>
      <c r="D121" s="35" t="n"/>
      <c r="E121" s="14" t="n"/>
      <c r="F121" s="29" t="n"/>
      <c r="G121" s="14" t="n"/>
      <c r="H121" s="29" t="n"/>
      <c r="I121" s="14" t="n"/>
      <c r="J121" s="29" t="n"/>
      <c r="K121" s="18">
        <f>IF($D121="","",IF($E121="Débito",-ABS($D121),ABS($D121)))</f>
        <v/>
      </c>
      <c r="L121" s="9">
        <f>IF($A121="","",IF(COUNTIFS('LANÇAMENTOS'!$D$6:$D$2005,$A121,'LANÇAMENTOS'!$V$6:$V$2005,ABS($D121),'LANÇAMENTOS'!$L$6:$L$2005,$F121)&gt;0,"✔ Encontrado na planilha",IF(COUNTIFS('LANÇAMENTOS'!$D$6:$D$2005,$A121,'LANÇAMENTOS'!$V$6:$V$2005,"&gt;="&amp;ABS($D121)*0.98,'LANÇAMENTOS'!$V$6:$V$2005,"&lt;="&amp;ABS($D121)*1.02)&gt;0,"🟡 Valor próximo de um lançamento","❌ Não localizado")))</f>
        <v/>
      </c>
    </row>
    <row r="122">
      <c r="A122" s="36" t="n"/>
      <c r="B122" s="29" t="n"/>
      <c r="C122" s="14" t="n"/>
      <c r="D122" s="35" t="n"/>
      <c r="E122" s="14" t="n"/>
      <c r="F122" s="29" t="n"/>
      <c r="G122" s="14" t="n"/>
      <c r="H122" s="29" t="n"/>
      <c r="I122" s="14" t="n"/>
      <c r="J122" s="29" t="n"/>
      <c r="K122" s="18">
        <f>IF($D122="","",IF($E122="Débito",-ABS($D122),ABS($D122)))</f>
        <v/>
      </c>
      <c r="L122" s="9">
        <f>IF($A122="","",IF(COUNTIFS('LANÇAMENTOS'!$D$6:$D$2005,$A122,'LANÇAMENTOS'!$V$6:$V$2005,ABS($D122),'LANÇAMENTOS'!$L$6:$L$2005,$F122)&gt;0,"✔ Encontrado na planilha",IF(COUNTIFS('LANÇAMENTOS'!$D$6:$D$2005,$A122,'LANÇAMENTOS'!$V$6:$V$2005,"&gt;="&amp;ABS($D122)*0.98,'LANÇAMENTOS'!$V$6:$V$2005,"&lt;="&amp;ABS($D122)*1.02)&gt;0,"🟡 Valor próximo de um lançamento","❌ Não localizado")))</f>
        <v/>
      </c>
    </row>
    <row r="123">
      <c r="A123" s="36" t="n"/>
      <c r="B123" s="29" t="n"/>
      <c r="C123" s="14" t="n"/>
      <c r="D123" s="35" t="n"/>
      <c r="E123" s="14" t="n"/>
      <c r="F123" s="29" t="n"/>
      <c r="G123" s="14" t="n"/>
      <c r="H123" s="29" t="n"/>
      <c r="I123" s="14" t="n"/>
      <c r="J123" s="29" t="n"/>
      <c r="K123" s="18">
        <f>IF($D123="","",IF($E123="Débito",-ABS($D123),ABS($D123)))</f>
        <v/>
      </c>
      <c r="L123" s="9">
        <f>IF($A123="","",IF(COUNTIFS('LANÇAMENTOS'!$D$6:$D$2005,$A123,'LANÇAMENTOS'!$V$6:$V$2005,ABS($D123),'LANÇAMENTOS'!$L$6:$L$2005,$F123)&gt;0,"✔ Encontrado na planilha",IF(COUNTIFS('LANÇAMENTOS'!$D$6:$D$2005,$A123,'LANÇAMENTOS'!$V$6:$V$2005,"&gt;="&amp;ABS($D123)*0.98,'LANÇAMENTOS'!$V$6:$V$2005,"&lt;="&amp;ABS($D123)*1.02)&gt;0,"🟡 Valor próximo de um lançamento","❌ Não localizado")))</f>
        <v/>
      </c>
    </row>
    <row r="124">
      <c r="A124" s="36" t="n"/>
      <c r="B124" s="29" t="n"/>
      <c r="C124" s="14" t="n"/>
      <c r="D124" s="35" t="n"/>
      <c r="E124" s="14" t="n"/>
      <c r="F124" s="29" t="n"/>
      <c r="G124" s="14" t="n"/>
      <c r="H124" s="29" t="n"/>
      <c r="I124" s="14" t="n"/>
      <c r="J124" s="29" t="n"/>
      <c r="K124" s="18">
        <f>IF($D124="","",IF($E124="Débito",-ABS($D124),ABS($D124)))</f>
        <v/>
      </c>
      <c r="L124" s="9">
        <f>IF($A124="","",IF(COUNTIFS('LANÇAMENTOS'!$D$6:$D$2005,$A124,'LANÇAMENTOS'!$V$6:$V$2005,ABS($D124),'LANÇAMENTOS'!$L$6:$L$2005,$F124)&gt;0,"✔ Encontrado na planilha",IF(COUNTIFS('LANÇAMENTOS'!$D$6:$D$2005,$A124,'LANÇAMENTOS'!$V$6:$V$2005,"&gt;="&amp;ABS($D124)*0.98,'LANÇAMENTOS'!$V$6:$V$2005,"&lt;="&amp;ABS($D124)*1.02)&gt;0,"🟡 Valor próximo de um lançamento","❌ Não localizado")))</f>
        <v/>
      </c>
    </row>
    <row r="125">
      <c r="A125" s="36" t="n"/>
      <c r="B125" s="29" t="n"/>
      <c r="C125" s="14" t="n"/>
      <c r="D125" s="35" t="n"/>
      <c r="E125" s="14" t="n"/>
      <c r="F125" s="29" t="n"/>
      <c r="G125" s="14" t="n"/>
      <c r="H125" s="29" t="n"/>
      <c r="I125" s="14" t="n"/>
      <c r="J125" s="29" t="n"/>
      <c r="K125" s="18">
        <f>IF($D125="","",IF($E125="Débito",-ABS($D125),ABS($D125)))</f>
        <v/>
      </c>
      <c r="L125" s="9">
        <f>IF($A125="","",IF(COUNTIFS('LANÇAMENTOS'!$D$6:$D$2005,$A125,'LANÇAMENTOS'!$V$6:$V$2005,ABS($D125),'LANÇAMENTOS'!$L$6:$L$2005,$F125)&gt;0,"✔ Encontrado na planilha",IF(COUNTIFS('LANÇAMENTOS'!$D$6:$D$2005,$A125,'LANÇAMENTOS'!$V$6:$V$2005,"&gt;="&amp;ABS($D125)*0.98,'LANÇAMENTOS'!$V$6:$V$2005,"&lt;="&amp;ABS($D125)*1.02)&gt;0,"🟡 Valor próximo de um lançamento","❌ Não localizado")))</f>
        <v/>
      </c>
    </row>
    <row r="126">
      <c r="A126" s="36" t="n"/>
      <c r="B126" s="29" t="n"/>
      <c r="C126" s="14" t="n"/>
      <c r="D126" s="35" t="n"/>
      <c r="E126" s="14" t="n"/>
      <c r="F126" s="29" t="n"/>
      <c r="G126" s="14" t="n"/>
      <c r="H126" s="29" t="n"/>
      <c r="I126" s="14" t="n"/>
      <c r="J126" s="29" t="n"/>
      <c r="K126" s="18">
        <f>IF($D126="","",IF($E126="Débito",-ABS($D126),ABS($D126)))</f>
        <v/>
      </c>
      <c r="L126" s="9">
        <f>IF($A126="","",IF(COUNTIFS('LANÇAMENTOS'!$D$6:$D$2005,$A126,'LANÇAMENTOS'!$V$6:$V$2005,ABS($D126),'LANÇAMENTOS'!$L$6:$L$2005,$F126)&gt;0,"✔ Encontrado na planilha",IF(COUNTIFS('LANÇAMENTOS'!$D$6:$D$2005,$A126,'LANÇAMENTOS'!$V$6:$V$2005,"&gt;="&amp;ABS($D126)*0.98,'LANÇAMENTOS'!$V$6:$V$2005,"&lt;="&amp;ABS($D126)*1.02)&gt;0,"🟡 Valor próximo de um lançamento","❌ Não localizado")))</f>
        <v/>
      </c>
    </row>
    <row r="127">
      <c r="A127" s="36" t="n"/>
      <c r="B127" s="29" t="n"/>
      <c r="C127" s="14" t="n"/>
      <c r="D127" s="35" t="n"/>
      <c r="E127" s="14" t="n"/>
      <c r="F127" s="29" t="n"/>
      <c r="G127" s="14" t="n"/>
      <c r="H127" s="29" t="n"/>
      <c r="I127" s="14" t="n"/>
      <c r="J127" s="29" t="n"/>
      <c r="K127" s="18">
        <f>IF($D127="","",IF($E127="Débito",-ABS($D127),ABS($D127)))</f>
        <v/>
      </c>
      <c r="L127" s="9">
        <f>IF($A127="","",IF(COUNTIFS('LANÇAMENTOS'!$D$6:$D$2005,$A127,'LANÇAMENTOS'!$V$6:$V$2005,ABS($D127),'LANÇAMENTOS'!$L$6:$L$2005,$F127)&gt;0,"✔ Encontrado na planilha",IF(COUNTIFS('LANÇAMENTOS'!$D$6:$D$2005,$A127,'LANÇAMENTOS'!$V$6:$V$2005,"&gt;="&amp;ABS($D127)*0.98,'LANÇAMENTOS'!$V$6:$V$2005,"&lt;="&amp;ABS($D127)*1.02)&gt;0,"🟡 Valor próximo de um lançamento","❌ Não localizado")))</f>
        <v/>
      </c>
    </row>
    <row r="128">
      <c r="A128" s="36" t="n"/>
      <c r="B128" s="29" t="n"/>
      <c r="C128" s="14" t="n"/>
      <c r="D128" s="35" t="n"/>
      <c r="E128" s="14" t="n"/>
      <c r="F128" s="29" t="n"/>
      <c r="G128" s="14" t="n"/>
      <c r="H128" s="29" t="n"/>
      <c r="I128" s="14" t="n"/>
      <c r="J128" s="29" t="n"/>
      <c r="K128" s="18">
        <f>IF($D128="","",IF($E128="Débito",-ABS($D128),ABS($D128)))</f>
        <v/>
      </c>
      <c r="L128" s="9">
        <f>IF($A128="","",IF(COUNTIFS('LANÇAMENTOS'!$D$6:$D$2005,$A128,'LANÇAMENTOS'!$V$6:$V$2005,ABS($D128),'LANÇAMENTOS'!$L$6:$L$2005,$F128)&gt;0,"✔ Encontrado na planilha",IF(COUNTIFS('LANÇAMENTOS'!$D$6:$D$2005,$A128,'LANÇAMENTOS'!$V$6:$V$2005,"&gt;="&amp;ABS($D128)*0.98,'LANÇAMENTOS'!$V$6:$V$2005,"&lt;="&amp;ABS($D128)*1.02)&gt;0,"🟡 Valor próximo de um lançamento","❌ Não localizado")))</f>
        <v/>
      </c>
    </row>
    <row r="129">
      <c r="A129" s="36" t="n"/>
      <c r="B129" s="29" t="n"/>
      <c r="C129" s="14" t="n"/>
      <c r="D129" s="35" t="n"/>
      <c r="E129" s="14" t="n"/>
      <c r="F129" s="29" t="n"/>
      <c r="G129" s="14" t="n"/>
      <c r="H129" s="29" t="n"/>
      <c r="I129" s="14" t="n"/>
      <c r="J129" s="29" t="n"/>
      <c r="K129" s="18">
        <f>IF($D129="","",IF($E129="Débito",-ABS($D129),ABS($D129)))</f>
        <v/>
      </c>
      <c r="L129" s="9">
        <f>IF($A129="","",IF(COUNTIFS('LANÇAMENTOS'!$D$6:$D$2005,$A129,'LANÇAMENTOS'!$V$6:$V$2005,ABS($D129),'LANÇAMENTOS'!$L$6:$L$2005,$F129)&gt;0,"✔ Encontrado na planilha",IF(COUNTIFS('LANÇAMENTOS'!$D$6:$D$2005,$A129,'LANÇAMENTOS'!$V$6:$V$2005,"&gt;="&amp;ABS($D129)*0.98,'LANÇAMENTOS'!$V$6:$V$2005,"&lt;="&amp;ABS($D129)*1.02)&gt;0,"🟡 Valor próximo de um lançamento","❌ Não localizado")))</f>
        <v/>
      </c>
    </row>
    <row r="130">
      <c r="A130" s="36" t="n"/>
      <c r="B130" s="29" t="n"/>
      <c r="C130" s="14" t="n"/>
      <c r="D130" s="35" t="n"/>
      <c r="E130" s="14" t="n"/>
      <c r="F130" s="29" t="n"/>
      <c r="G130" s="14" t="n"/>
      <c r="H130" s="29" t="n"/>
      <c r="I130" s="14" t="n"/>
      <c r="J130" s="29" t="n"/>
      <c r="K130" s="18">
        <f>IF($D130="","",IF($E130="Débito",-ABS($D130),ABS($D130)))</f>
        <v/>
      </c>
      <c r="L130" s="9">
        <f>IF($A130="","",IF(COUNTIFS('LANÇAMENTOS'!$D$6:$D$2005,$A130,'LANÇAMENTOS'!$V$6:$V$2005,ABS($D130),'LANÇAMENTOS'!$L$6:$L$2005,$F130)&gt;0,"✔ Encontrado na planilha",IF(COUNTIFS('LANÇAMENTOS'!$D$6:$D$2005,$A130,'LANÇAMENTOS'!$V$6:$V$2005,"&gt;="&amp;ABS($D130)*0.98,'LANÇAMENTOS'!$V$6:$V$2005,"&lt;="&amp;ABS($D130)*1.02)&gt;0,"🟡 Valor próximo de um lançamento","❌ Não localizado")))</f>
        <v/>
      </c>
    </row>
    <row r="131">
      <c r="A131" s="36" t="n"/>
      <c r="B131" s="29" t="n"/>
      <c r="C131" s="14" t="n"/>
      <c r="D131" s="35" t="n"/>
      <c r="E131" s="14" t="n"/>
      <c r="F131" s="29" t="n"/>
      <c r="G131" s="14" t="n"/>
      <c r="H131" s="29" t="n"/>
      <c r="I131" s="14" t="n"/>
      <c r="J131" s="29" t="n"/>
      <c r="K131" s="18">
        <f>IF($D131="","",IF($E131="Débito",-ABS($D131),ABS($D131)))</f>
        <v/>
      </c>
      <c r="L131" s="9">
        <f>IF($A131="","",IF(COUNTIFS('LANÇAMENTOS'!$D$6:$D$2005,$A131,'LANÇAMENTOS'!$V$6:$V$2005,ABS($D131),'LANÇAMENTOS'!$L$6:$L$2005,$F131)&gt;0,"✔ Encontrado na planilha",IF(COUNTIFS('LANÇAMENTOS'!$D$6:$D$2005,$A131,'LANÇAMENTOS'!$V$6:$V$2005,"&gt;="&amp;ABS($D131)*0.98,'LANÇAMENTOS'!$V$6:$V$2005,"&lt;="&amp;ABS($D131)*1.02)&gt;0,"🟡 Valor próximo de um lançamento","❌ Não localizado")))</f>
        <v/>
      </c>
    </row>
    <row r="132">
      <c r="A132" s="36" t="n"/>
      <c r="B132" s="29" t="n"/>
      <c r="C132" s="14" t="n"/>
      <c r="D132" s="35" t="n"/>
      <c r="E132" s="14" t="n"/>
      <c r="F132" s="29" t="n"/>
      <c r="G132" s="14" t="n"/>
      <c r="H132" s="29" t="n"/>
      <c r="I132" s="14" t="n"/>
      <c r="J132" s="29" t="n"/>
      <c r="K132" s="18">
        <f>IF($D132="","",IF($E132="Débito",-ABS($D132),ABS($D132)))</f>
        <v/>
      </c>
      <c r="L132" s="9">
        <f>IF($A132="","",IF(COUNTIFS('LANÇAMENTOS'!$D$6:$D$2005,$A132,'LANÇAMENTOS'!$V$6:$V$2005,ABS($D132),'LANÇAMENTOS'!$L$6:$L$2005,$F132)&gt;0,"✔ Encontrado na planilha",IF(COUNTIFS('LANÇAMENTOS'!$D$6:$D$2005,$A132,'LANÇAMENTOS'!$V$6:$V$2005,"&gt;="&amp;ABS($D132)*0.98,'LANÇAMENTOS'!$V$6:$V$2005,"&lt;="&amp;ABS($D132)*1.02)&gt;0,"🟡 Valor próximo de um lançamento","❌ Não localizado")))</f>
        <v/>
      </c>
    </row>
    <row r="133">
      <c r="A133" s="36" t="n"/>
      <c r="B133" s="29" t="n"/>
      <c r="C133" s="14" t="n"/>
      <c r="D133" s="35" t="n"/>
      <c r="E133" s="14" t="n"/>
      <c r="F133" s="29" t="n"/>
      <c r="G133" s="14" t="n"/>
      <c r="H133" s="29" t="n"/>
      <c r="I133" s="14" t="n"/>
      <c r="J133" s="29" t="n"/>
      <c r="K133" s="18">
        <f>IF($D133="","",IF($E133="Débito",-ABS($D133),ABS($D133)))</f>
        <v/>
      </c>
      <c r="L133" s="9">
        <f>IF($A133="","",IF(COUNTIFS('LANÇAMENTOS'!$D$6:$D$2005,$A133,'LANÇAMENTOS'!$V$6:$V$2005,ABS($D133),'LANÇAMENTOS'!$L$6:$L$2005,$F133)&gt;0,"✔ Encontrado na planilha",IF(COUNTIFS('LANÇAMENTOS'!$D$6:$D$2005,$A133,'LANÇAMENTOS'!$V$6:$V$2005,"&gt;="&amp;ABS($D133)*0.98,'LANÇAMENTOS'!$V$6:$V$2005,"&lt;="&amp;ABS($D133)*1.02)&gt;0,"🟡 Valor próximo de um lançamento","❌ Não localizado")))</f>
        <v/>
      </c>
    </row>
    <row r="134">
      <c r="A134" s="36" t="n"/>
      <c r="B134" s="29" t="n"/>
      <c r="C134" s="14" t="n"/>
      <c r="D134" s="35" t="n"/>
      <c r="E134" s="14" t="n"/>
      <c r="F134" s="29" t="n"/>
      <c r="G134" s="14" t="n"/>
      <c r="H134" s="29" t="n"/>
      <c r="I134" s="14" t="n"/>
      <c r="J134" s="29" t="n"/>
      <c r="K134" s="18">
        <f>IF($D134="","",IF($E134="Débito",-ABS($D134),ABS($D134)))</f>
        <v/>
      </c>
      <c r="L134" s="9">
        <f>IF($A134="","",IF(COUNTIFS('LANÇAMENTOS'!$D$6:$D$2005,$A134,'LANÇAMENTOS'!$V$6:$V$2005,ABS($D134),'LANÇAMENTOS'!$L$6:$L$2005,$F134)&gt;0,"✔ Encontrado na planilha",IF(COUNTIFS('LANÇAMENTOS'!$D$6:$D$2005,$A134,'LANÇAMENTOS'!$V$6:$V$2005,"&gt;="&amp;ABS($D134)*0.98,'LANÇAMENTOS'!$V$6:$V$2005,"&lt;="&amp;ABS($D134)*1.02)&gt;0,"🟡 Valor próximo de um lançamento","❌ Não localizado")))</f>
        <v/>
      </c>
    </row>
    <row r="135">
      <c r="A135" s="36" t="n"/>
      <c r="B135" s="29" t="n"/>
      <c r="C135" s="14" t="n"/>
      <c r="D135" s="35" t="n"/>
      <c r="E135" s="14" t="n"/>
      <c r="F135" s="29" t="n"/>
      <c r="G135" s="14" t="n"/>
      <c r="H135" s="29" t="n"/>
      <c r="I135" s="14" t="n"/>
      <c r="J135" s="29" t="n"/>
      <c r="K135" s="18">
        <f>IF($D135="","",IF($E135="Débito",-ABS($D135),ABS($D135)))</f>
        <v/>
      </c>
      <c r="L135" s="9">
        <f>IF($A135="","",IF(COUNTIFS('LANÇAMENTOS'!$D$6:$D$2005,$A135,'LANÇAMENTOS'!$V$6:$V$2005,ABS($D135),'LANÇAMENTOS'!$L$6:$L$2005,$F135)&gt;0,"✔ Encontrado na planilha",IF(COUNTIFS('LANÇAMENTOS'!$D$6:$D$2005,$A135,'LANÇAMENTOS'!$V$6:$V$2005,"&gt;="&amp;ABS($D135)*0.98,'LANÇAMENTOS'!$V$6:$V$2005,"&lt;="&amp;ABS($D135)*1.02)&gt;0,"🟡 Valor próximo de um lançamento","❌ Não localizado")))</f>
        <v/>
      </c>
    </row>
    <row r="136">
      <c r="A136" s="36" t="n"/>
      <c r="B136" s="29" t="n"/>
      <c r="C136" s="14" t="n"/>
      <c r="D136" s="35" t="n"/>
      <c r="E136" s="14" t="n"/>
      <c r="F136" s="29" t="n"/>
      <c r="G136" s="14" t="n"/>
      <c r="H136" s="29" t="n"/>
      <c r="I136" s="14" t="n"/>
      <c r="J136" s="29" t="n"/>
      <c r="K136" s="18">
        <f>IF($D136="","",IF($E136="Débito",-ABS($D136),ABS($D136)))</f>
        <v/>
      </c>
      <c r="L136" s="9">
        <f>IF($A136="","",IF(COUNTIFS('LANÇAMENTOS'!$D$6:$D$2005,$A136,'LANÇAMENTOS'!$V$6:$V$2005,ABS($D136),'LANÇAMENTOS'!$L$6:$L$2005,$F136)&gt;0,"✔ Encontrado na planilha",IF(COUNTIFS('LANÇAMENTOS'!$D$6:$D$2005,$A136,'LANÇAMENTOS'!$V$6:$V$2005,"&gt;="&amp;ABS($D136)*0.98,'LANÇAMENTOS'!$V$6:$V$2005,"&lt;="&amp;ABS($D136)*1.02)&gt;0,"🟡 Valor próximo de um lançamento","❌ Não localizado")))</f>
        <v/>
      </c>
    </row>
    <row r="137">
      <c r="A137" s="36" t="n"/>
      <c r="B137" s="29" t="n"/>
      <c r="C137" s="14" t="n"/>
      <c r="D137" s="35" t="n"/>
      <c r="E137" s="14" t="n"/>
      <c r="F137" s="29" t="n"/>
      <c r="G137" s="14" t="n"/>
      <c r="H137" s="29" t="n"/>
      <c r="I137" s="14" t="n"/>
      <c r="J137" s="29" t="n"/>
      <c r="K137" s="18">
        <f>IF($D137="","",IF($E137="Débito",-ABS($D137),ABS($D137)))</f>
        <v/>
      </c>
      <c r="L137" s="9">
        <f>IF($A137="","",IF(COUNTIFS('LANÇAMENTOS'!$D$6:$D$2005,$A137,'LANÇAMENTOS'!$V$6:$V$2005,ABS($D137),'LANÇAMENTOS'!$L$6:$L$2005,$F137)&gt;0,"✔ Encontrado na planilha",IF(COUNTIFS('LANÇAMENTOS'!$D$6:$D$2005,$A137,'LANÇAMENTOS'!$V$6:$V$2005,"&gt;="&amp;ABS($D137)*0.98,'LANÇAMENTOS'!$V$6:$V$2005,"&lt;="&amp;ABS($D137)*1.02)&gt;0,"🟡 Valor próximo de um lançamento","❌ Não localizado")))</f>
        <v/>
      </c>
    </row>
    <row r="138">
      <c r="A138" s="36" t="n"/>
      <c r="B138" s="29" t="n"/>
      <c r="C138" s="14" t="n"/>
      <c r="D138" s="35" t="n"/>
      <c r="E138" s="14" t="n"/>
      <c r="F138" s="29" t="n"/>
      <c r="G138" s="14" t="n"/>
      <c r="H138" s="29" t="n"/>
      <c r="I138" s="14" t="n"/>
      <c r="J138" s="29" t="n"/>
      <c r="K138" s="18">
        <f>IF($D138="","",IF($E138="Débito",-ABS($D138),ABS($D138)))</f>
        <v/>
      </c>
      <c r="L138" s="9">
        <f>IF($A138="","",IF(COUNTIFS('LANÇAMENTOS'!$D$6:$D$2005,$A138,'LANÇAMENTOS'!$V$6:$V$2005,ABS($D138),'LANÇAMENTOS'!$L$6:$L$2005,$F138)&gt;0,"✔ Encontrado na planilha",IF(COUNTIFS('LANÇAMENTOS'!$D$6:$D$2005,$A138,'LANÇAMENTOS'!$V$6:$V$2005,"&gt;="&amp;ABS($D138)*0.98,'LANÇAMENTOS'!$V$6:$V$2005,"&lt;="&amp;ABS($D138)*1.02)&gt;0,"🟡 Valor próximo de um lançamento","❌ Não localizado")))</f>
        <v/>
      </c>
    </row>
    <row r="139">
      <c r="A139" s="36" t="n"/>
      <c r="B139" s="29" t="n"/>
      <c r="C139" s="14" t="n"/>
      <c r="D139" s="35" t="n"/>
      <c r="E139" s="14" t="n"/>
      <c r="F139" s="29" t="n"/>
      <c r="G139" s="14" t="n"/>
      <c r="H139" s="29" t="n"/>
      <c r="I139" s="14" t="n"/>
      <c r="J139" s="29" t="n"/>
      <c r="K139" s="18">
        <f>IF($D139="","",IF($E139="Débito",-ABS($D139),ABS($D139)))</f>
        <v/>
      </c>
      <c r="L139" s="9">
        <f>IF($A139="","",IF(COUNTIFS('LANÇAMENTOS'!$D$6:$D$2005,$A139,'LANÇAMENTOS'!$V$6:$V$2005,ABS($D139),'LANÇAMENTOS'!$L$6:$L$2005,$F139)&gt;0,"✔ Encontrado na planilha",IF(COUNTIFS('LANÇAMENTOS'!$D$6:$D$2005,$A139,'LANÇAMENTOS'!$V$6:$V$2005,"&gt;="&amp;ABS($D139)*0.98,'LANÇAMENTOS'!$V$6:$V$2005,"&lt;="&amp;ABS($D139)*1.02)&gt;0,"🟡 Valor próximo de um lançamento","❌ Não localizado")))</f>
        <v/>
      </c>
    </row>
    <row r="140">
      <c r="A140" s="36" t="n"/>
      <c r="B140" s="29" t="n"/>
      <c r="C140" s="14" t="n"/>
      <c r="D140" s="35" t="n"/>
      <c r="E140" s="14" t="n"/>
      <c r="F140" s="29" t="n"/>
      <c r="G140" s="14" t="n"/>
      <c r="H140" s="29" t="n"/>
      <c r="I140" s="14" t="n"/>
      <c r="J140" s="29" t="n"/>
      <c r="K140" s="18">
        <f>IF($D140="","",IF($E140="Débito",-ABS($D140),ABS($D140)))</f>
        <v/>
      </c>
      <c r="L140" s="9">
        <f>IF($A140="","",IF(COUNTIFS('LANÇAMENTOS'!$D$6:$D$2005,$A140,'LANÇAMENTOS'!$V$6:$V$2005,ABS($D140),'LANÇAMENTOS'!$L$6:$L$2005,$F140)&gt;0,"✔ Encontrado na planilha",IF(COUNTIFS('LANÇAMENTOS'!$D$6:$D$2005,$A140,'LANÇAMENTOS'!$V$6:$V$2005,"&gt;="&amp;ABS($D140)*0.98,'LANÇAMENTOS'!$V$6:$V$2005,"&lt;="&amp;ABS($D140)*1.02)&gt;0,"🟡 Valor próximo de um lançamento","❌ Não localizado")))</f>
        <v/>
      </c>
    </row>
    <row r="141">
      <c r="A141" s="36" t="n"/>
      <c r="B141" s="29" t="n"/>
      <c r="C141" s="14" t="n"/>
      <c r="D141" s="35" t="n"/>
      <c r="E141" s="14" t="n"/>
      <c r="F141" s="29" t="n"/>
      <c r="G141" s="14" t="n"/>
      <c r="H141" s="29" t="n"/>
      <c r="I141" s="14" t="n"/>
      <c r="J141" s="29" t="n"/>
      <c r="K141" s="18">
        <f>IF($D141="","",IF($E141="Débito",-ABS($D141),ABS($D141)))</f>
        <v/>
      </c>
      <c r="L141" s="9">
        <f>IF($A141="","",IF(COUNTIFS('LANÇAMENTOS'!$D$6:$D$2005,$A141,'LANÇAMENTOS'!$V$6:$V$2005,ABS($D141),'LANÇAMENTOS'!$L$6:$L$2005,$F141)&gt;0,"✔ Encontrado na planilha",IF(COUNTIFS('LANÇAMENTOS'!$D$6:$D$2005,$A141,'LANÇAMENTOS'!$V$6:$V$2005,"&gt;="&amp;ABS($D141)*0.98,'LANÇAMENTOS'!$V$6:$V$2005,"&lt;="&amp;ABS($D141)*1.02)&gt;0,"🟡 Valor próximo de um lançamento","❌ Não localizado")))</f>
        <v/>
      </c>
    </row>
    <row r="142">
      <c r="A142" s="36" t="n"/>
      <c r="B142" s="29" t="n"/>
      <c r="C142" s="14" t="n"/>
      <c r="D142" s="35" t="n"/>
      <c r="E142" s="14" t="n"/>
      <c r="F142" s="29" t="n"/>
      <c r="G142" s="14" t="n"/>
      <c r="H142" s="29" t="n"/>
      <c r="I142" s="14" t="n"/>
      <c r="J142" s="29" t="n"/>
      <c r="K142" s="18">
        <f>IF($D142="","",IF($E142="Débito",-ABS($D142),ABS($D142)))</f>
        <v/>
      </c>
      <c r="L142" s="9">
        <f>IF($A142="","",IF(COUNTIFS('LANÇAMENTOS'!$D$6:$D$2005,$A142,'LANÇAMENTOS'!$V$6:$V$2005,ABS($D142),'LANÇAMENTOS'!$L$6:$L$2005,$F142)&gt;0,"✔ Encontrado na planilha",IF(COUNTIFS('LANÇAMENTOS'!$D$6:$D$2005,$A142,'LANÇAMENTOS'!$V$6:$V$2005,"&gt;="&amp;ABS($D142)*0.98,'LANÇAMENTOS'!$V$6:$V$2005,"&lt;="&amp;ABS($D142)*1.02)&gt;0,"🟡 Valor próximo de um lançamento","❌ Não localizado")))</f>
        <v/>
      </c>
    </row>
    <row r="143">
      <c r="A143" s="36" t="n"/>
      <c r="B143" s="29" t="n"/>
      <c r="C143" s="14" t="n"/>
      <c r="D143" s="35" t="n"/>
      <c r="E143" s="14" t="n"/>
      <c r="F143" s="29" t="n"/>
      <c r="G143" s="14" t="n"/>
      <c r="H143" s="29" t="n"/>
      <c r="I143" s="14" t="n"/>
      <c r="J143" s="29" t="n"/>
      <c r="K143" s="18">
        <f>IF($D143="","",IF($E143="Débito",-ABS($D143),ABS($D143)))</f>
        <v/>
      </c>
      <c r="L143" s="9">
        <f>IF($A143="","",IF(COUNTIFS('LANÇAMENTOS'!$D$6:$D$2005,$A143,'LANÇAMENTOS'!$V$6:$V$2005,ABS($D143),'LANÇAMENTOS'!$L$6:$L$2005,$F143)&gt;0,"✔ Encontrado na planilha",IF(COUNTIFS('LANÇAMENTOS'!$D$6:$D$2005,$A143,'LANÇAMENTOS'!$V$6:$V$2005,"&gt;="&amp;ABS($D143)*0.98,'LANÇAMENTOS'!$V$6:$V$2005,"&lt;="&amp;ABS($D143)*1.02)&gt;0,"🟡 Valor próximo de um lançamento","❌ Não localizado")))</f>
        <v/>
      </c>
    </row>
    <row r="144">
      <c r="A144" s="36" t="n"/>
      <c r="B144" s="29" t="n"/>
      <c r="C144" s="14" t="n"/>
      <c r="D144" s="35" t="n"/>
      <c r="E144" s="14" t="n"/>
      <c r="F144" s="29" t="n"/>
      <c r="G144" s="14" t="n"/>
      <c r="H144" s="29" t="n"/>
      <c r="I144" s="14" t="n"/>
      <c r="J144" s="29" t="n"/>
      <c r="K144" s="18">
        <f>IF($D144="","",IF($E144="Débito",-ABS($D144),ABS($D144)))</f>
        <v/>
      </c>
      <c r="L144" s="9">
        <f>IF($A144="","",IF(COUNTIFS('LANÇAMENTOS'!$D$6:$D$2005,$A144,'LANÇAMENTOS'!$V$6:$V$2005,ABS($D144),'LANÇAMENTOS'!$L$6:$L$2005,$F144)&gt;0,"✔ Encontrado na planilha",IF(COUNTIFS('LANÇAMENTOS'!$D$6:$D$2005,$A144,'LANÇAMENTOS'!$V$6:$V$2005,"&gt;="&amp;ABS($D144)*0.98,'LANÇAMENTOS'!$V$6:$V$2005,"&lt;="&amp;ABS($D144)*1.02)&gt;0,"🟡 Valor próximo de um lançamento","❌ Não localizado")))</f>
        <v/>
      </c>
    </row>
    <row r="145">
      <c r="A145" s="36" t="n"/>
      <c r="B145" s="29" t="n"/>
      <c r="C145" s="14" t="n"/>
      <c r="D145" s="35" t="n"/>
      <c r="E145" s="14" t="n"/>
      <c r="F145" s="29" t="n"/>
      <c r="G145" s="14" t="n"/>
      <c r="H145" s="29" t="n"/>
      <c r="I145" s="14" t="n"/>
      <c r="J145" s="29" t="n"/>
      <c r="K145" s="18">
        <f>IF($D145="","",IF($E145="Débito",-ABS($D145),ABS($D145)))</f>
        <v/>
      </c>
      <c r="L145" s="9">
        <f>IF($A145="","",IF(COUNTIFS('LANÇAMENTOS'!$D$6:$D$2005,$A145,'LANÇAMENTOS'!$V$6:$V$2005,ABS($D145),'LANÇAMENTOS'!$L$6:$L$2005,$F145)&gt;0,"✔ Encontrado na planilha",IF(COUNTIFS('LANÇAMENTOS'!$D$6:$D$2005,$A145,'LANÇAMENTOS'!$V$6:$V$2005,"&gt;="&amp;ABS($D145)*0.98,'LANÇAMENTOS'!$V$6:$V$2005,"&lt;="&amp;ABS($D145)*1.02)&gt;0,"🟡 Valor próximo de um lançamento","❌ Não localizado")))</f>
        <v/>
      </c>
    </row>
    <row r="146">
      <c r="A146" s="36" t="n"/>
      <c r="B146" s="29" t="n"/>
      <c r="C146" s="14" t="n"/>
      <c r="D146" s="35" t="n"/>
      <c r="E146" s="14" t="n"/>
      <c r="F146" s="29" t="n"/>
      <c r="G146" s="14" t="n"/>
      <c r="H146" s="29" t="n"/>
      <c r="I146" s="14" t="n"/>
      <c r="J146" s="29" t="n"/>
      <c r="K146" s="18">
        <f>IF($D146="","",IF($E146="Débito",-ABS($D146),ABS($D146)))</f>
        <v/>
      </c>
      <c r="L146" s="9">
        <f>IF($A146="","",IF(COUNTIFS('LANÇAMENTOS'!$D$6:$D$2005,$A146,'LANÇAMENTOS'!$V$6:$V$2005,ABS($D146),'LANÇAMENTOS'!$L$6:$L$2005,$F146)&gt;0,"✔ Encontrado na planilha",IF(COUNTIFS('LANÇAMENTOS'!$D$6:$D$2005,$A146,'LANÇAMENTOS'!$V$6:$V$2005,"&gt;="&amp;ABS($D146)*0.98,'LANÇAMENTOS'!$V$6:$V$2005,"&lt;="&amp;ABS($D146)*1.02)&gt;0,"🟡 Valor próximo de um lançamento","❌ Não localizado")))</f>
        <v/>
      </c>
    </row>
    <row r="147">
      <c r="A147" s="36" t="n"/>
      <c r="B147" s="29" t="n"/>
      <c r="C147" s="14" t="n"/>
      <c r="D147" s="35" t="n"/>
      <c r="E147" s="14" t="n"/>
      <c r="F147" s="29" t="n"/>
      <c r="G147" s="14" t="n"/>
      <c r="H147" s="29" t="n"/>
      <c r="I147" s="14" t="n"/>
      <c r="J147" s="29" t="n"/>
      <c r="K147" s="18">
        <f>IF($D147="","",IF($E147="Débito",-ABS($D147),ABS($D147)))</f>
        <v/>
      </c>
      <c r="L147" s="9">
        <f>IF($A147="","",IF(COUNTIFS('LANÇAMENTOS'!$D$6:$D$2005,$A147,'LANÇAMENTOS'!$V$6:$V$2005,ABS($D147),'LANÇAMENTOS'!$L$6:$L$2005,$F147)&gt;0,"✔ Encontrado na planilha",IF(COUNTIFS('LANÇAMENTOS'!$D$6:$D$2005,$A147,'LANÇAMENTOS'!$V$6:$V$2005,"&gt;="&amp;ABS($D147)*0.98,'LANÇAMENTOS'!$V$6:$V$2005,"&lt;="&amp;ABS($D147)*1.02)&gt;0,"🟡 Valor próximo de um lançamento","❌ Não localizado")))</f>
        <v/>
      </c>
    </row>
    <row r="148">
      <c r="A148" s="36" t="n"/>
      <c r="B148" s="29" t="n"/>
      <c r="C148" s="14" t="n"/>
      <c r="D148" s="35" t="n"/>
      <c r="E148" s="14" t="n"/>
      <c r="F148" s="29" t="n"/>
      <c r="G148" s="14" t="n"/>
      <c r="H148" s="29" t="n"/>
      <c r="I148" s="14" t="n"/>
      <c r="J148" s="29" t="n"/>
      <c r="K148" s="18">
        <f>IF($D148="","",IF($E148="Débito",-ABS($D148),ABS($D148)))</f>
        <v/>
      </c>
      <c r="L148" s="9">
        <f>IF($A148="","",IF(COUNTIFS('LANÇAMENTOS'!$D$6:$D$2005,$A148,'LANÇAMENTOS'!$V$6:$V$2005,ABS($D148),'LANÇAMENTOS'!$L$6:$L$2005,$F148)&gt;0,"✔ Encontrado na planilha",IF(COUNTIFS('LANÇAMENTOS'!$D$6:$D$2005,$A148,'LANÇAMENTOS'!$V$6:$V$2005,"&gt;="&amp;ABS($D148)*0.98,'LANÇAMENTOS'!$V$6:$V$2005,"&lt;="&amp;ABS($D148)*1.02)&gt;0,"🟡 Valor próximo de um lançamento","❌ Não localizado")))</f>
        <v/>
      </c>
    </row>
    <row r="149">
      <c r="A149" s="36" t="n"/>
      <c r="B149" s="29" t="n"/>
      <c r="C149" s="14" t="n"/>
      <c r="D149" s="35" t="n"/>
      <c r="E149" s="14" t="n"/>
      <c r="F149" s="29" t="n"/>
      <c r="G149" s="14" t="n"/>
      <c r="H149" s="29" t="n"/>
      <c r="I149" s="14" t="n"/>
      <c r="J149" s="29" t="n"/>
      <c r="K149" s="18">
        <f>IF($D149="","",IF($E149="Débito",-ABS($D149),ABS($D149)))</f>
        <v/>
      </c>
      <c r="L149" s="9">
        <f>IF($A149="","",IF(COUNTIFS('LANÇAMENTOS'!$D$6:$D$2005,$A149,'LANÇAMENTOS'!$V$6:$V$2005,ABS($D149),'LANÇAMENTOS'!$L$6:$L$2005,$F149)&gt;0,"✔ Encontrado na planilha",IF(COUNTIFS('LANÇAMENTOS'!$D$6:$D$2005,$A149,'LANÇAMENTOS'!$V$6:$V$2005,"&gt;="&amp;ABS($D149)*0.98,'LANÇAMENTOS'!$V$6:$V$2005,"&lt;="&amp;ABS($D149)*1.02)&gt;0,"🟡 Valor próximo de um lançamento","❌ Não localizado")))</f>
        <v/>
      </c>
    </row>
    <row r="150">
      <c r="A150" s="36" t="n"/>
      <c r="B150" s="29" t="n"/>
      <c r="C150" s="14" t="n"/>
      <c r="D150" s="35" t="n"/>
      <c r="E150" s="14" t="n"/>
      <c r="F150" s="29" t="n"/>
      <c r="G150" s="14" t="n"/>
      <c r="H150" s="29" t="n"/>
      <c r="I150" s="14" t="n"/>
      <c r="J150" s="29" t="n"/>
      <c r="K150" s="18">
        <f>IF($D150="","",IF($E150="Débito",-ABS($D150),ABS($D150)))</f>
        <v/>
      </c>
      <c r="L150" s="9">
        <f>IF($A150="","",IF(COUNTIFS('LANÇAMENTOS'!$D$6:$D$2005,$A150,'LANÇAMENTOS'!$V$6:$V$2005,ABS($D150),'LANÇAMENTOS'!$L$6:$L$2005,$F150)&gt;0,"✔ Encontrado na planilha",IF(COUNTIFS('LANÇAMENTOS'!$D$6:$D$2005,$A150,'LANÇAMENTOS'!$V$6:$V$2005,"&gt;="&amp;ABS($D150)*0.98,'LANÇAMENTOS'!$V$6:$V$2005,"&lt;="&amp;ABS($D150)*1.02)&gt;0,"🟡 Valor próximo de um lançamento","❌ Não localizado")))</f>
        <v/>
      </c>
    </row>
    <row r="151">
      <c r="A151" s="36" t="n"/>
      <c r="B151" s="29" t="n"/>
      <c r="C151" s="14" t="n"/>
      <c r="D151" s="35" t="n"/>
      <c r="E151" s="14" t="n"/>
      <c r="F151" s="29" t="n"/>
      <c r="G151" s="14" t="n"/>
      <c r="H151" s="29" t="n"/>
      <c r="I151" s="14" t="n"/>
      <c r="J151" s="29" t="n"/>
      <c r="K151" s="18">
        <f>IF($D151="","",IF($E151="Débito",-ABS($D151),ABS($D151)))</f>
        <v/>
      </c>
      <c r="L151" s="9">
        <f>IF($A151="","",IF(COUNTIFS('LANÇAMENTOS'!$D$6:$D$2005,$A151,'LANÇAMENTOS'!$V$6:$V$2005,ABS($D151),'LANÇAMENTOS'!$L$6:$L$2005,$F151)&gt;0,"✔ Encontrado na planilha",IF(COUNTIFS('LANÇAMENTOS'!$D$6:$D$2005,$A151,'LANÇAMENTOS'!$V$6:$V$2005,"&gt;="&amp;ABS($D151)*0.98,'LANÇAMENTOS'!$V$6:$V$2005,"&lt;="&amp;ABS($D151)*1.02)&gt;0,"🟡 Valor próximo de um lançamento","❌ Não localizado")))</f>
        <v/>
      </c>
    </row>
    <row r="152">
      <c r="A152" s="36" t="n"/>
      <c r="B152" s="29" t="n"/>
      <c r="C152" s="14" t="n"/>
      <c r="D152" s="35" t="n"/>
      <c r="E152" s="14" t="n"/>
      <c r="F152" s="29" t="n"/>
      <c r="G152" s="14" t="n"/>
      <c r="H152" s="29" t="n"/>
      <c r="I152" s="14" t="n"/>
      <c r="J152" s="29" t="n"/>
      <c r="K152" s="18">
        <f>IF($D152="","",IF($E152="Débito",-ABS($D152),ABS($D152)))</f>
        <v/>
      </c>
      <c r="L152" s="9">
        <f>IF($A152="","",IF(COUNTIFS('LANÇAMENTOS'!$D$6:$D$2005,$A152,'LANÇAMENTOS'!$V$6:$V$2005,ABS($D152),'LANÇAMENTOS'!$L$6:$L$2005,$F152)&gt;0,"✔ Encontrado na planilha",IF(COUNTIFS('LANÇAMENTOS'!$D$6:$D$2005,$A152,'LANÇAMENTOS'!$V$6:$V$2005,"&gt;="&amp;ABS($D152)*0.98,'LANÇAMENTOS'!$V$6:$V$2005,"&lt;="&amp;ABS($D152)*1.02)&gt;0,"🟡 Valor próximo de um lançamento","❌ Não localizado")))</f>
        <v/>
      </c>
    </row>
    <row r="153">
      <c r="A153" s="36" t="n"/>
      <c r="B153" s="29" t="n"/>
      <c r="C153" s="14" t="n"/>
      <c r="D153" s="35" t="n"/>
      <c r="E153" s="14" t="n"/>
      <c r="F153" s="29" t="n"/>
      <c r="G153" s="14" t="n"/>
      <c r="H153" s="29" t="n"/>
      <c r="I153" s="14" t="n"/>
      <c r="J153" s="29" t="n"/>
      <c r="K153" s="18">
        <f>IF($D153="","",IF($E153="Débito",-ABS($D153),ABS($D153)))</f>
        <v/>
      </c>
      <c r="L153" s="9">
        <f>IF($A153="","",IF(COUNTIFS('LANÇAMENTOS'!$D$6:$D$2005,$A153,'LANÇAMENTOS'!$V$6:$V$2005,ABS($D153),'LANÇAMENTOS'!$L$6:$L$2005,$F153)&gt;0,"✔ Encontrado na planilha",IF(COUNTIFS('LANÇAMENTOS'!$D$6:$D$2005,$A153,'LANÇAMENTOS'!$V$6:$V$2005,"&gt;="&amp;ABS($D153)*0.98,'LANÇAMENTOS'!$V$6:$V$2005,"&lt;="&amp;ABS($D153)*1.02)&gt;0,"🟡 Valor próximo de um lançamento","❌ Não localizado")))</f>
        <v/>
      </c>
    </row>
    <row r="154">
      <c r="A154" s="36" t="n"/>
      <c r="B154" s="29" t="n"/>
      <c r="C154" s="14" t="n"/>
      <c r="D154" s="35" t="n"/>
      <c r="E154" s="14" t="n"/>
      <c r="F154" s="29" t="n"/>
      <c r="G154" s="14" t="n"/>
      <c r="H154" s="29" t="n"/>
      <c r="I154" s="14" t="n"/>
      <c r="J154" s="29" t="n"/>
      <c r="K154" s="18">
        <f>IF($D154="","",IF($E154="Débito",-ABS($D154),ABS($D154)))</f>
        <v/>
      </c>
      <c r="L154" s="9">
        <f>IF($A154="","",IF(COUNTIFS('LANÇAMENTOS'!$D$6:$D$2005,$A154,'LANÇAMENTOS'!$V$6:$V$2005,ABS($D154),'LANÇAMENTOS'!$L$6:$L$2005,$F154)&gt;0,"✔ Encontrado na planilha",IF(COUNTIFS('LANÇAMENTOS'!$D$6:$D$2005,$A154,'LANÇAMENTOS'!$V$6:$V$2005,"&gt;="&amp;ABS($D154)*0.98,'LANÇAMENTOS'!$V$6:$V$2005,"&lt;="&amp;ABS($D154)*1.02)&gt;0,"🟡 Valor próximo de um lançamento","❌ Não localizado")))</f>
        <v/>
      </c>
    </row>
    <row r="155">
      <c r="A155" s="36" t="n"/>
      <c r="B155" s="29" t="n"/>
      <c r="C155" s="14" t="n"/>
      <c r="D155" s="35" t="n"/>
      <c r="E155" s="14" t="n"/>
      <c r="F155" s="29" t="n"/>
      <c r="G155" s="14" t="n"/>
      <c r="H155" s="29" t="n"/>
      <c r="I155" s="14" t="n"/>
      <c r="J155" s="29" t="n"/>
      <c r="K155" s="18">
        <f>IF($D155="","",IF($E155="Débito",-ABS($D155),ABS($D155)))</f>
        <v/>
      </c>
      <c r="L155" s="9">
        <f>IF($A155="","",IF(COUNTIFS('LANÇAMENTOS'!$D$6:$D$2005,$A155,'LANÇAMENTOS'!$V$6:$V$2005,ABS($D155),'LANÇAMENTOS'!$L$6:$L$2005,$F155)&gt;0,"✔ Encontrado na planilha",IF(COUNTIFS('LANÇAMENTOS'!$D$6:$D$2005,$A155,'LANÇAMENTOS'!$V$6:$V$2005,"&gt;="&amp;ABS($D155)*0.98,'LANÇAMENTOS'!$V$6:$V$2005,"&lt;="&amp;ABS($D155)*1.02)&gt;0,"🟡 Valor próximo de um lançamento","❌ Não localizado")))</f>
        <v/>
      </c>
    </row>
    <row r="156">
      <c r="A156" s="36" t="n"/>
      <c r="B156" s="29" t="n"/>
      <c r="C156" s="14" t="n"/>
      <c r="D156" s="35" t="n"/>
      <c r="E156" s="14" t="n"/>
      <c r="F156" s="29" t="n"/>
      <c r="G156" s="14" t="n"/>
      <c r="H156" s="29" t="n"/>
      <c r="I156" s="14" t="n"/>
      <c r="J156" s="29" t="n"/>
      <c r="K156" s="18">
        <f>IF($D156="","",IF($E156="Débito",-ABS($D156),ABS($D156)))</f>
        <v/>
      </c>
      <c r="L156" s="9">
        <f>IF($A156="","",IF(COUNTIFS('LANÇAMENTOS'!$D$6:$D$2005,$A156,'LANÇAMENTOS'!$V$6:$V$2005,ABS($D156),'LANÇAMENTOS'!$L$6:$L$2005,$F156)&gt;0,"✔ Encontrado na planilha",IF(COUNTIFS('LANÇAMENTOS'!$D$6:$D$2005,$A156,'LANÇAMENTOS'!$V$6:$V$2005,"&gt;="&amp;ABS($D156)*0.98,'LANÇAMENTOS'!$V$6:$V$2005,"&lt;="&amp;ABS($D156)*1.02)&gt;0,"🟡 Valor próximo de um lançamento","❌ Não localizado")))</f>
        <v/>
      </c>
    </row>
    <row r="157">
      <c r="A157" s="36" t="n"/>
      <c r="B157" s="29" t="n"/>
      <c r="C157" s="14" t="n"/>
      <c r="D157" s="35" t="n"/>
      <c r="E157" s="14" t="n"/>
      <c r="F157" s="29" t="n"/>
      <c r="G157" s="14" t="n"/>
      <c r="H157" s="29" t="n"/>
      <c r="I157" s="14" t="n"/>
      <c r="J157" s="29" t="n"/>
      <c r="K157" s="18">
        <f>IF($D157="","",IF($E157="Débito",-ABS($D157),ABS($D157)))</f>
        <v/>
      </c>
      <c r="L157" s="9">
        <f>IF($A157="","",IF(COUNTIFS('LANÇAMENTOS'!$D$6:$D$2005,$A157,'LANÇAMENTOS'!$V$6:$V$2005,ABS($D157),'LANÇAMENTOS'!$L$6:$L$2005,$F157)&gt;0,"✔ Encontrado na planilha",IF(COUNTIFS('LANÇAMENTOS'!$D$6:$D$2005,$A157,'LANÇAMENTOS'!$V$6:$V$2005,"&gt;="&amp;ABS($D157)*0.98,'LANÇAMENTOS'!$V$6:$V$2005,"&lt;="&amp;ABS($D157)*1.02)&gt;0,"🟡 Valor próximo de um lançamento","❌ Não localizado")))</f>
        <v/>
      </c>
    </row>
    <row r="158">
      <c r="A158" s="36" t="n"/>
      <c r="B158" s="29" t="n"/>
      <c r="C158" s="14" t="n"/>
      <c r="D158" s="35" t="n"/>
      <c r="E158" s="14" t="n"/>
      <c r="F158" s="29" t="n"/>
      <c r="G158" s="14" t="n"/>
      <c r="H158" s="29" t="n"/>
      <c r="I158" s="14" t="n"/>
      <c r="J158" s="29" t="n"/>
      <c r="K158" s="18">
        <f>IF($D158="","",IF($E158="Débito",-ABS($D158),ABS($D158)))</f>
        <v/>
      </c>
      <c r="L158" s="9">
        <f>IF($A158="","",IF(COUNTIFS('LANÇAMENTOS'!$D$6:$D$2005,$A158,'LANÇAMENTOS'!$V$6:$V$2005,ABS($D158),'LANÇAMENTOS'!$L$6:$L$2005,$F158)&gt;0,"✔ Encontrado na planilha",IF(COUNTIFS('LANÇAMENTOS'!$D$6:$D$2005,$A158,'LANÇAMENTOS'!$V$6:$V$2005,"&gt;="&amp;ABS($D158)*0.98,'LANÇAMENTOS'!$V$6:$V$2005,"&lt;="&amp;ABS($D158)*1.02)&gt;0,"🟡 Valor próximo de um lançamento","❌ Não localizado")))</f>
        <v/>
      </c>
    </row>
    <row r="159">
      <c r="A159" s="36" t="n"/>
      <c r="B159" s="29" t="n"/>
      <c r="C159" s="14" t="n"/>
      <c r="D159" s="35" t="n"/>
      <c r="E159" s="14" t="n"/>
      <c r="F159" s="29" t="n"/>
      <c r="G159" s="14" t="n"/>
      <c r="H159" s="29" t="n"/>
      <c r="I159" s="14" t="n"/>
      <c r="J159" s="29" t="n"/>
      <c r="K159" s="18">
        <f>IF($D159="","",IF($E159="Débito",-ABS($D159),ABS($D159)))</f>
        <v/>
      </c>
      <c r="L159" s="9">
        <f>IF($A159="","",IF(COUNTIFS('LANÇAMENTOS'!$D$6:$D$2005,$A159,'LANÇAMENTOS'!$V$6:$V$2005,ABS($D159),'LANÇAMENTOS'!$L$6:$L$2005,$F159)&gt;0,"✔ Encontrado na planilha",IF(COUNTIFS('LANÇAMENTOS'!$D$6:$D$2005,$A159,'LANÇAMENTOS'!$V$6:$V$2005,"&gt;="&amp;ABS($D159)*0.98,'LANÇAMENTOS'!$V$6:$V$2005,"&lt;="&amp;ABS($D159)*1.02)&gt;0,"🟡 Valor próximo de um lançamento","❌ Não localizado")))</f>
        <v/>
      </c>
    </row>
    <row r="160">
      <c r="A160" s="36" t="n"/>
      <c r="B160" s="29" t="n"/>
      <c r="C160" s="14" t="n"/>
      <c r="D160" s="35" t="n"/>
      <c r="E160" s="14" t="n"/>
      <c r="F160" s="29" t="n"/>
      <c r="G160" s="14" t="n"/>
      <c r="H160" s="29" t="n"/>
      <c r="I160" s="14" t="n"/>
      <c r="J160" s="29" t="n"/>
      <c r="K160" s="18">
        <f>IF($D160="","",IF($E160="Débito",-ABS($D160),ABS($D160)))</f>
        <v/>
      </c>
      <c r="L160" s="9">
        <f>IF($A160="","",IF(COUNTIFS('LANÇAMENTOS'!$D$6:$D$2005,$A160,'LANÇAMENTOS'!$V$6:$V$2005,ABS($D160),'LANÇAMENTOS'!$L$6:$L$2005,$F160)&gt;0,"✔ Encontrado na planilha",IF(COUNTIFS('LANÇAMENTOS'!$D$6:$D$2005,$A160,'LANÇAMENTOS'!$V$6:$V$2005,"&gt;="&amp;ABS($D160)*0.98,'LANÇAMENTOS'!$V$6:$V$2005,"&lt;="&amp;ABS($D160)*1.02)&gt;0,"🟡 Valor próximo de um lançamento","❌ Não localizado")))</f>
        <v/>
      </c>
    </row>
    <row r="161">
      <c r="A161" s="36" t="n"/>
      <c r="B161" s="29" t="n"/>
      <c r="C161" s="14" t="n"/>
      <c r="D161" s="35" t="n"/>
      <c r="E161" s="14" t="n"/>
      <c r="F161" s="29" t="n"/>
      <c r="G161" s="14" t="n"/>
      <c r="H161" s="29" t="n"/>
      <c r="I161" s="14" t="n"/>
      <c r="J161" s="29" t="n"/>
      <c r="K161" s="18">
        <f>IF($D161="","",IF($E161="Débito",-ABS($D161),ABS($D161)))</f>
        <v/>
      </c>
      <c r="L161" s="9">
        <f>IF($A161="","",IF(COUNTIFS('LANÇAMENTOS'!$D$6:$D$2005,$A161,'LANÇAMENTOS'!$V$6:$V$2005,ABS($D161),'LANÇAMENTOS'!$L$6:$L$2005,$F161)&gt;0,"✔ Encontrado na planilha",IF(COUNTIFS('LANÇAMENTOS'!$D$6:$D$2005,$A161,'LANÇAMENTOS'!$V$6:$V$2005,"&gt;="&amp;ABS($D161)*0.98,'LANÇAMENTOS'!$V$6:$V$2005,"&lt;="&amp;ABS($D161)*1.02)&gt;0,"🟡 Valor próximo de um lançamento","❌ Não localizado")))</f>
        <v/>
      </c>
    </row>
    <row r="162">
      <c r="A162" s="36" t="n"/>
      <c r="B162" s="29" t="n"/>
      <c r="C162" s="14" t="n"/>
      <c r="D162" s="35" t="n"/>
      <c r="E162" s="14" t="n"/>
      <c r="F162" s="29" t="n"/>
      <c r="G162" s="14" t="n"/>
      <c r="H162" s="29" t="n"/>
      <c r="I162" s="14" t="n"/>
      <c r="J162" s="29" t="n"/>
      <c r="K162" s="18">
        <f>IF($D162="","",IF($E162="Débito",-ABS($D162),ABS($D162)))</f>
        <v/>
      </c>
      <c r="L162" s="9">
        <f>IF($A162="","",IF(COUNTIFS('LANÇAMENTOS'!$D$6:$D$2005,$A162,'LANÇAMENTOS'!$V$6:$V$2005,ABS($D162),'LANÇAMENTOS'!$L$6:$L$2005,$F162)&gt;0,"✔ Encontrado na planilha",IF(COUNTIFS('LANÇAMENTOS'!$D$6:$D$2005,$A162,'LANÇAMENTOS'!$V$6:$V$2005,"&gt;="&amp;ABS($D162)*0.98,'LANÇAMENTOS'!$V$6:$V$2005,"&lt;="&amp;ABS($D162)*1.02)&gt;0,"🟡 Valor próximo de um lançamento","❌ Não localizado")))</f>
        <v/>
      </c>
    </row>
    <row r="163">
      <c r="A163" s="36" t="n"/>
      <c r="B163" s="29" t="n"/>
      <c r="C163" s="14" t="n"/>
      <c r="D163" s="35" t="n"/>
      <c r="E163" s="14" t="n"/>
      <c r="F163" s="29" t="n"/>
      <c r="G163" s="14" t="n"/>
      <c r="H163" s="29" t="n"/>
      <c r="I163" s="14" t="n"/>
      <c r="J163" s="29" t="n"/>
      <c r="K163" s="18">
        <f>IF($D163="","",IF($E163="Débito",-ABS($D163),ABS($D163)))</f>
        <v/>
      </c>
      <c r="L163" s="9">
        <f>IF($A163="","",IF(COUNTIFS('LANÇAMENTOS'!$D$6:$D$2005,$A163,'LANÇAMENTOS'!$V$6:$V$2005,ABS($D163),'LANÇAMENTOS'!$L$6:$L$2005,$F163)&gt;0,"✔ Encontrado na planilha",IF(COUNTIFS('LANÇAMENTOS'!$D$6:$D$2005,$A163,'LANÇAMENTOS'!$V$6:$V$2005,"&gt;="&amp;ABS($D163)*0.98,'LANÇAMENTOS'!$V$6:$V$2005,"&lt;="&amp;ABS($D163)*1.02)&gt;0,"🟡 Valor próximo de um lançamento","❌ Não localizado")))</f>
        <v/>
      </c>
    </row>
    <row r="164">
      <c r="A164" s="36" t="n"/>
      <c r="B164" s="29" t="n"/>
      <c r="C164" s="14" t="n"/>
      <c r="D164" s="35" t="n"/>
      <c r="E164" s="14" t="n"/>
      <c r="F164" s="29" t="n"/>
      <c r="G164" s="14" t="n"/>
      <c r="H164" s="29" t="n"/>
      <c r="I164" s="14" t="n"/>
      <c r="J164" s="29" t="n"/>
      <c r="K164" s="18">
        <f>IF($D164="","",IF($E164="Débito",-ABS($D164),ABS($D164)))</f>
        <v/>
      </c>
      <c r="L164" s="9">
        <f>IF($A164="","",IF(COUNTIFS('LANÇAMENTOS'!$D$6:$D$2005,$A164,'LANÇAMENTOS'!$V$6:$V$2005,ABS($D164),'LANÇAMENTOS'!$L$6:$L$2005,$F164)&gt;0,"✔ Encontrado na planilha",IF(COUNTIFS('LANÇAMENTOS'!$D$6:$D$2005,$A164,'LANÇAMENTOS'!$V$6:$V$2005,"&gt;="&amp;ABS($D164)*0.98,'LANÇAMENTOS'!$V$6:$V$2005,"&lt;="&amp;ABS($D164)*1.02)&gt;0,"🟡 Valor próximo de um lançamento","❌ Não localizado")))</f>
        <v/>
      </c>
    </row>
    <row r="165">
      <c r="A165" s="36" t="n"/>
      <c r="B165" s="29" t="n"/>
      <c r="C165" s="14" t="n"/>
      <c r="D165" s="35" t="n"/>
      <c r="E165" s="14" t="n"/>
      <c r="F165" s="29" t="n"/>
      <c r="G165" s="14" t="n"/>
      <c r="H165" s="29" t="n"/>
      <c r="I165" s="14" t="n"/>
      <c r="J165" s="29" t="n"/>
      <c r="K165" s="18">
        <f>IF($D165="","",IF($E165="Débito",-ABS($D165),ABS($D165)))</f>
        <v/>
      </c>
      <c r="L165" s="9">
        <f>IF($A165="","",IF(COUNTIFS('LANÇAMENTOS'!$D$6:$D$2005,$A165,'LANÇAMENTOS'!$V$6:$V$2005,ABS($D165),'LANÇAMENTOS'!$L$6:$L$2005,$F165)&gt;0,"✔ Encontrado na planilha",IF(COUNTIFS('LANÇAMENTOS'!$D$6:$D$2005,$A165,'LANÇAMENTOS'!$V$6:$V$2005,"&gt;="&amp;ABS($D165)*0.98,'LANÇAMENTOS'!$V$6:$V$2005,"&lt;="&amp;ABS($D165)*1.02)&gt;0,"🟡 Valor próximo de um lançamento","❌ Não localizado")))</f>
        <v/>
      </c>
    </row>
    <row r="166">
      <c r="A166" s="36" t="n"/>
      <c r="B166" s="29" t="n"/>
      <c r="C166" s="14" t="n"/>
      <c r="D166" s="35" t="n"/>
      <c r="E166" s="14" t="n"/>
      <c r="F166" s="29" t="n"/>
      <c r="G166" s="14" t="n"/>
      <c r="H166" s="29" t="n"/>
      <c r="I166" s="14" t="n"/>
      <c r="J166" s="29" t="n"/>
      <c r="K166" s="18">
        <f>IF($D166="","",IF($E166="Débito",-ABS($D166),ABS($D166)))</f>
        <v/>
      </c>
      <c r="L166" s="9">
        <f>IF($A166="","",IF(COUNTIFS('LANÇAMENTOS'!$D$6:$D$2005,$A166,'LANÇAMENTOS'!$V$6:$V$2005,ABS($D166),'LANÇAMENTOS'!$L$6:$L$2005,$F166)&gt;0,"✔ Encontrado na planilha",IF(COUNTIFS('LANÇAMENTOS'!$D$6:$D$2005,$A166,'LANÇAMENTOS'!$V$6:$V$2005,"&gt;="&amp;ABS($D166)*0.98,'LANÇAMENTOS'!$V$6:$V$2005,"&lt;="&amp;ABS($D166)*1.02)&gt;0,"🟡 Valor próximo de um lançamento","❌ Não localizado")))</f>
        <v/>
      </c>
    </row>
    <row r="167">
      <c r="A167" s="36" t="n"/>
      <c r="B167" s="29" t="n"/>
      <c r="C167" s="14" t="n"/>
      <c r="D167" s="35" t="n"/>
      <c r="E167" s="14" t="n"/>
      <c r="F167" s="29" t="n"/>
      <c r="G167" s="14" t="n"/>
      <c r="H167" s="29" t="n"/>
      <c r="I167" s="14" t="n"/>
      <c r="J167" s="29" t="n"/>
      <c r="K167" s="18">
        <f>IF($D167="","",IF($E167="Débito",-ABS($D167),ABS($D167)))</f>
        <v/>
      </c>
      <c r="L167" s="9">
        <f>IF($A167="","",IF(COUNTIFS('LANÇAMENTOS'!$D$6:$D$2005,$A167,'LANÇAMENTOS'!$V$6:$V$2005,ABS($D167),'LANÇAMENTOS'!$L$6:$L$2005,$F167)&gt;0,"✔ Encontrado na planilha",IF(COUNTIFS('LANÇAMENTOS'!$D$6:$D$2005,$A167,'LANÇAMENTOS'!$V$6:$V$2005,"&gt;="&amp;ABS($D167)*0.98,'LANÇAMENTOS'!$V$6:$V$2005,"&lt;="&amp;ABS($D167)*1.02)&gt;0,"🟡 Valor próximo de um lançamento","❌ Não localizado")))</f>
        <v/>
      </c>
    </row>
    <row r="168">
      <c r="A168" s="36" t="n"/>
      <c r="B168" s="29" t="n"/>
      <c r="C168" s="14" t="n"/>
      <c r="D168" s="35" t="n"/>
      <c r="E168" s="14" t="n"/>
      <c r="F168" s="29" t="n"/>
      <c r="G168" s="14" t="n"/>
      <c r="H168" s="29" t="n"/>
      <c r="I168" s="14" t="n"/>
      <c r="J168" s="29" t="n"/>
      <c r="K168" s="18">
        <f>IF($D168="","",IF($E168="Débito",-ABS($D168),ABS($D168)))</f>
        <v/>
      </c>
      <c r="L168" s="9">
        <f>IF($A168="","",IF(COUNTIFS('LANÇAMENTOS'!$D$6:$D$2005,$A168,'LANÇAMENTOS'!$V$6:$V$2005,ABS($D168),'LANÇAMENTOS'!$L$6:$L$2005,$F168)&gt;0,"✔ Encontrado na planilha",IF(COUNTIFS('LANÇAMENTOS'!$D$6:$D$2005,$A168,'LANÇAMENTOS'!$V$6:$V$2005,"&gt;="&amp;ABS($D168)*0.98,'LANÇAMENTOS'!$V$6:$V$2005,"&lt;="&amp;ABS($D168)*1.02)&gt;0,"🟡 Valor próximo de um lançamento","❌ Não localizado")))</f>
        <v/>
      </c>
    </row>
    <row r="169">
      <c r="A169" s="36" t="n"/>
      <c r="B169" s="29" t="n"/>
      <c r="C169" s="14" t="n"/>
      <c r="D169" s="35" t="n"/>
      <c r="E169" s="14" t="n"/>
      <c r="F169" s="29" t="n"/>
      <c r="G169" s="14" t="n"/>
      <c r="H169" s="29" t="n"/>
      <c r="I169" s="14" t="n"/>
      <c r="J169" s="29" t="n"/>
      <c r="K169" s="18">
        <f>IF($D169="","",IF($E169="Débito",-ABS($D169),ABS($D169)))</f>
        <v/>
      </c>
      <c r="L169" s="9">
        <f>IF($A169="","",IF(COUNTIFS('LANÇAMENTOS'!$D$6:$D$2005,$A169,'LANÇAMENTOS'!$V$6:$V$2005,ABS($D169),'LANÇAMENTOS'!$L$6:$L$2005,$F169)&gt;0,"✔ Encontrado na planilha",IF(COUNTIFS('LANÇAMENTOS'!$D$6:$D$2005,$A169,'LANÇAMENTOS'!$V$6:$V$2005,"&gt;="&amp;ABS($D169)*0.98,'LANÇAMENTOS'!$V$6:$V$2005,"&lt;="&amp;ABS($D169)*1.02)&gt;0,"🟡 Valor próximo de um lançamento","❌ Não localizado")))</f>
        <v/>
      </c>
    </row>
    <row r="170">
      <c r="A170" s="36" t="n"/>
      <c r="B170" s="29" t="n"/>
      <c r="C170" s="14" t="n"/>
      <c r="D170" s="35" t="n"/>
      <c r="E170" s="14" t="n"/>
      <c r="F170" s="29" t="n"/>
      <c r="G170" s="14" t="n"/>
      <c r="H170" s="29" t="n"/>
      <c r="I170" s="14" t="n"/>
      <c r="J170" s="29" t="n"/>
      <c r="K170" s="18">
        <f>IF($D170="","",IF($E170="Débito",-ABS($D170),ABS($D170)))</f>
        <v/>
      </c>
      <c r="L170" s="9">
        <f>IF($A170="","",IF(COUNTIFS('LANÇAMENTOS'!$D$6:$D$2005,$A170,'LANÇAMENTOS'!$V$6:$V$2005,ABS($D170),'LANÇAMENTOS'!$L$6:$L$2005,$F170)&gt;0,"✔ Encontrado na planilha",IF(COUNTIFS('LANÇAMENTOS'!$D$6:$D$2005,$A170,'LANÇAMENTOS'!$V$6:$V$2005,"&gt;="&amp;ABS($D170)*0.98,'LANÇAMENTOS'!$V$6:$V$2005,"&lt;="&amp;ABS($D170)*1.02)&gt;0,"🟡 Valor próximo de um lançamento","❌ Não localizado")))</f>
        <v/>
      </c>
    </row>
    <row r="171">
      <c r="A171" s="36" t="n"/>
      <c r="B171" s="29" t="n"/>
      <c r="C171" s="14" t="n"/>
      <c r="D171" s="35" t="n"/>
      <c r="E171" s="14" t="n"/>
      <c r="F171" s="29" t="n"/>
      <c r="G171" s="14" t="n"/>
      <c r="H171" s="29" t="n"/>
      <c r="I171" s="14" t="n"/>
      <c r="J171" s="29" t="n"/>
      <c r="K171" s="18">
        <f>IF($D171="","",IF($E171="Débito",-ABS($D171),ABS($D171)))</f>
        <v/>
      </c>
      <c r="L171" s="9">
        <f>IF($A171="","",IF(COUNTIFS('LANÇAMENTOS'!$D$6:$D$2005,$A171,'LANÇAMENTOS'!$V$6:$V$2005,ABS($D171),'LANÇAMENTOS'!$L$6:$L$2005,$F171)&gt;0,"✔ Encontrado na planilha",IF(COUNTIFS('LANÇAMENTOS'!$D$6:$D$2005,$A171,'LANÇAMENTOS'!$V$6:$V$2005,"&gt;="&amp;ABS($D171)*0.98,'LANÇAMENTOS'!$V$6:$V$2005,"&lt;="&amp;ABS($D171)*1.02)&gt;0,"🟡 Valor próximo de um lançamento","❌ Não localizado")))</f>
        <v/>
      </c>
    </row>
    <row r="172">
      <c r="A172" s="36" t="n"/>
      <c r="B172" s="29" t="n"/>
      <c r="C172" s="14" t="n"/>
      <c r="D172" s="35" t="n"/>
      <c r="E172" s="14" t="n"/>
      <c r="F172" s="29" t="n"/>
      <c r="G172" s="14" t="n"/>
      <c r="H172" s="29" t="n"/>
      <c r="I172" s="14" t="n"/>
      <c r="J172" s="29" t="n"/>
      <c r="K172" s="18">
        <f>IF($D172="","",IF($E172="Débito",-ABS($D172),ABS($D172)))</f>
        <v/>
      </c>
      <c r="L172" s="9">
        <f>IF($A172="","",IF(COUNTIFS('LANÇAMENTOS'!$D$6:$D$2005,$A172,'LANÇAMENTOS'!$V$6:$V$2005,ABS($D172),'LANÇAMENTOS'!$L$6:$L$2005,$F172)&gt;0,"✔ Encontrado na planilha",IF(COUNTIFS('LANÇAMENTOS'!$D$6:$D$2005,$A172,'LANÇAMENTOS'!$V$6:$V$2005,"&gt;="&amp;ABS($D172)*0.98,'LANÇAMENTOS'!$V$6:$V$2005,"&lt;="&amp;ABS($D172)*1.02)&gt;0,"🟡 Valor próximo de um lançamento","❌ Não localizado")))</f>
        <v/>
      </c>
    </row>
    <row r="173">
      <c r="A173" s="36" t="n"/>
      <c r="B173" s="29" t="n"/>
      <c r="C173" s="14" t="n"/>
      <c r="D173" s="35" t="n"/>
      <c r="E173" s="14" t="n"/>
      <c r="F173" s="29" t="n"/>
      <c r="G173" s="14" t="n"/>
      <c r="H173" s="29" t="n"/>
      <c r="I173" s="14" t="n"/>
      <c r="J173" s="29" t="n"/>
      <c r="K173" s="18">
        <f>IF($D173="","",IF($E173="Débito",-ABS($D173),ABS($D173)))</f>
        <v/>
      </c>
      <c r="L173" s="9">
        <f>IF($A173="","",IF(COUNTIFS('LANÇAMENTOS'!$D$6:$D$2005,$A173,'LANÇAMENTOS'!$V$6:$V$2005,ABS($D173),'LANÇAMENTOS'!$L$6:$L$2005,$F173)&gt;0,"✔ Encontrado na planilha",IF(COUNTIFS('LANÇAMENTOS'!$D$6:$D$2005,$A173,'LANÇAMENTOS'!$V$6:$V$2005,"&gt;="&amp;ABS($D173)*0.98,'LANÇAMENTOS'!$V$6:$V$2005,"&lt;="&amp;ABS($D173)*1.02)&gt;0,"🟡 Valor próximo de um lançamento","❌ Não localizado")))</f>
        <v/>
      </c>
    </row>
    <row r="174">
      <c r="A174" s="36" t="n"/>
      <c r="B174" s="29" t="n"/>
      <c r="C174" s="14" t="n"/>
      <c r="D174" s="35" t="n"/>
      <c r="E174" s="14" t="n"/>
      <c r="F174" s="29" t="n"/>
      <c r="G174" s="14" t="n"/>
      <c r="H174" s="29" t="n"/>
      <c r="I174" s="14" t="n"/>
      <c r="J174" s="29" t="n"/>
      <c r="K174" s="18">
        <f>IF($D174="","",IF($E174="Débito",-ABS($D174),ABS($D174)))</f>
        <v/>
      </c>
      <c r="L174" s="9">
        <f>IF($A174="","",IF(COUNTIFS('LANÇAMENTOS'!$D$6:$D$2005,$A174,'LANÇAMENTOS'!$V$6:$V$2005,ABS($D174),'LANÇAMENTOS'!$L$6:$L$2005,$F174)&gt;0,"✔ Encontrado na planilha",IF(COUNTIFS('LANÇAMENTOS'!$D$6:$D$2005,$A174,'LANÇAMENTOS'!$V$6:$V$2005,"&gt;="&amp;ABS($D174)*0.98,'LANÇAMENTOS'!$V$6:$V$2005,"&lt;="&amp;ABS($D174)*1.02)&gt;0,"🟡 Valor próximo de um lançamento","❌ Não localizado")))</f>
        <v/>
      </c>
    </row>
    <row r="175">
      <c r="A175" s="36" t="n"/>
      <c r="B175" s="29" t="n"/>
      <c r="C175" s="14" t="n"/>
      <c r="D175" s="35" t="n"/>
      <c r="E175" s="14" t="n"/>
      <c r="F175" s="29" t="n"/>
      <c r="G175" s="14" t="n"/>
      <c r="H175" s="29" t="n"/>
      <c r="I175" s="14" t="n"/>
      <c r="J175" s="29" t="n"/>
      <c r="K175" s="18">
        <f>IF($D175="","",IF($E175="Débito",-ABS($D175),ABS($D175)))</f>
        <v/>
      </c>
      <c r="L175" s="9">
        <f>IF($A175="","",IF(COUNTIFS('LANÇAMENTOS'!$D$6:$D$2005,$A175,'LANÇAMENTOS'!$V$6:$V$2005,ABS($D175),'LANÇAMENTOS'!$L$6:$L$2005,$F175)&gt;0,"✔ Encontrado na planilha",IF(COUNTIFS('LANÇAMENTOS'!$D$6:$D$2005,$A175,'LANÇAMENTOS'!$V$6:$V$2005,"&gt;="&amp;ABS($D175)*0.98,'LANÇAMENTOS'!$V$6:$V$2005,"&lt;="&amp;ABS($D175)*1.02)&gt;0,"🟡 Valor próximo de um lançamento","❌ Não localizado")))</f>
        <v/>
      </c>
    </row>
    <row r="176">
      <c r="A176" s="36" t="n"/>
      <c r="B176" s="29" t="n"/>
      <c r="C176" s="14" t="n"/>
      <c r="D176" s="35" t="n"/>
      <c r="E176" s="14" t="n"/>
      <c r="F176" s="29" t="n"/>
      <c r="G176" s="14" t="n"/>
      <c r="H176" s="29" t="n"/>
      <c r="I176" s="14" t="n"/>
      <c r="J176" s="29" t="n"/>
      <c r="K176" s="18">
        <f>IF($D176="","",IF($E176="Débito",-ABS($D176),ABS($D176)))</f>
        <v/>
      </c>
      <c r="L176" s="9">
        <f>IF($A176="","",IF(COUNTIFS('LANÇAMENTOS'!$D$6:$D$2005,$A176,'LANÇAMENTOS'!$V$6:$V$2005,ABS($D176),'LANÇAMENTOS'!$L$6:$L$2005,$F176)&gt;0,"✔ Encontrado na planilha",IF(COUNTIFS('LANÇAMENTOS'!$D$6:$D$2005,$A176,'LANÇAMENTOS'!$V$6:$V$2005,"&gt;="&amp;ABS($D176)*0.98,'LANÇAMENTOS'!$V$6:$V$2005,"&lt;="&amp;ABS($D176)*1.02)&gt;0,"🟡 Valor próximo de um lançamento","❌ Não localizado")))</f>
        <v/>
      </c>
    </row>
    <row r="177">
      <c r="A177" s="36" t="n"/>
      <c r="B177" s="29" t="n"/>
      <c r="C177" s="14" t="n"/>
      <c r="D177" s="35" t="n"/>
      <c r="E177" s="14" t="n"/>
      <c r="F177" s="29" t="n"/>
      <c r="G177" s="14" t="n"/>
      <c r="H177" s="29" t="n"/>
      <c r="I177" s="14" t="n"/>
      <c r="J177" s="29" t="n"/>
      <c r="K177" s="18">
        <f>IF($D177="","",IF($E177="Débito",-ABS($D177),ABS($D177)))</f>
        <v/>
      </c>
      <c r="L177" s="9">
        <f>IF($A177="","",IF(COUNTIFS('LANÇAMENTOS'!$D$6:$D$2005,$A177,'LANÇAMENTOS'!$V$6:$V$2005,ABS($D177),'LANÇAMENTOS'!$L$6:$L$2005,$F177)&gt;0,"✔ Encontrado na planilha",IF(COUNTIFS('LANÇAMENTOS'!$D$6:$D$2005,$A177,'LANÇAMENTOS'!$V$6:$V$2005,"&gt;="&amp;ABS($D177)*0.98,'LANÇAMENTOS'!$V$6:$V$2005,"&lt;="&amp;ABS($D177)*1.02)&gt;0,"🟡 Valor próximo de um lançamento","❌ Não localizado")))</f>
        <v/>
      </c>
    </row>
    <row r="178">
      <c r="A178" s="36" t="n"/>
      <c r="B178" s="29" t="n"/>
      <c r="C178" s="14" t="n"/>
      <c r="D178" s="35" t="n"/>
      <c r="E178" s="14" t="n"/>
      <c r="F178" s="29" t="n"/>
      <c r="G178" s="14" t="n"/>
      <c r="H178" s="29" t="n"/>
      <c r="I178" s="14" t="n"/>
      <c r="J178" s="29" t="n"/>
      <c r="K178" s="18">
        <f>IF($D178="","",IF($E178="Débito",-ABS($D178),ABS($D178)))</f>
        <v/>
      </c>
      <c r="L178" s="9">
        <f>IF($A178="","",IF(COUNTIFS('LANÇAMENTOS'!$D$6:$D$2005,$A178,'LANÇAMENTOS'!$V$6:$V$2005,ABS($D178),'LANÇAMENTOS'!$L$6:$L$2005,$F178)&gt;0,"✔ Encontrado na planilha",IF(COUNTIFS('LANÇAMENTOS'!$D$6:$D$2005,$A178,'LANÇAMENTOS'!$V$6:$V$2005,"&gt;="&amp;ABS($D178)*0.98,'LANÇAMENTOS'!$V$6:$V$2005,"&lt;="&amp;ABS($D178)*1.02)&gt;0,"🟡 Valor próximo de um lançamento","❌ Não localizado")))</f>
        <v/>
      </c>
    </row>
    <row r="179">
      <c r="A179" s="36" t="n"/>
      <c r="B179" s="29" t="n"/>
      <c r="C179" s="14" t="n"/>
      <c r="D179" s="35" t="n"/>
      <c r="E179" s="14" t="n"/>
      <c r="F179" s="29" t="n"/>
      <c r="G179" s="14" t="n"/>
      <c r="H179" s="29" t="n"/>
      <c r="I179" s="14" t="n"/>
      <c r="J179" s="29" t="n"/>
      <c r="K179" s="18">
        <f>IF($D179="","",IF($E179="Débito",-ABS($D179),ABS($D179)))</f>
        <v/>
      </c>
      <c r="L179" s="9">
        <f>IF($A179="","",IF(COUNTIFS('LANÇAMENTOS'!$D$6:$D$2005,$A179,'LANÇAMENTOS'!$V$6:$V$2005,ABS($D179),'LANÇAMENTOS'!$L$6:$L$2005,$F179)&gt;0,"✔ Encontrado na planilha",IF(COUNTIFS('LANÇAMENTOS'!$D$6:$D$2005,$A179,'LANÇAMENTOS'!$V$6:$V$2005,"&gt;="&amp;ABS($D179)*0.98,'LANÇAMENTOS'!$V$6:$V$2005,"&lt;="&amp;ABS($D179)*1.02)&gt;0,"🟡 Valor próximo de um lançamento","❌ Não localizado")))</f>
        <v/>
      </c>
    </row>
    <row r="180">
      <c r="A180" s="36" t="n"/>
      <c r="B180" s="29" t="n"/>
      <c r="C180" s="14" t="n"/>
      <c r="D180" s="35" t="n"/>
      <c r="E180" s="14" t="n"/>
      <c r="F180" s="29" t="n"/>
      <c r="G180" s="14" t="n"/>
      <c r="H180" s="29" t="n"/>
      <c r="I180" s="14" t="n"/>
      <c r="J180" s="29" t="n"/>
      <c r="K180" s="18">
        <f>IF($D180="","",IF($E180="Débito",-ABS($D180),ABS($D180)))</f>
        <v/>
      </c>
      <c r="L180" s="9">
        <f>IF($A180="","",IF(COUNTIFS('LANÇAMENTOS'!$D$6:$D$2005,$A180,'LANÇAMENTOS'!$V$6:$V$2005,ABS($D180),'LANÇAMENTOS'!$L$6:$L$2005,$F180)&gt;0,"✔ Encontrado na planilha",IF(COUNTIFS('LANÇAMENTOS'!$D$6:$D$2005,$A180,'LANÇAMENTOS'!$V$6:$V$2005,"&gt;="&amp;ABS($D180)*0.98,'LANÇAMENTOS'!$V$6:$V$2005,"&lt;="&amp;ABS($D180)*1.02)&gt;0,"🟡 Valor próximo de um lançamento","❌ Não localizado")))</f>
        <v/>
      </c>
    </row>
    <row r="181">
      <c r="A181" s="36" t="n"/>
      <c r="B181" s="29" t="n"/>
      <c r="C181" s="14" t="n"/>
      <c r="D181" s="35" t="n"/>
      <c r="E181" s="14" t="n"/>
      <c r="F181" s="29" t="n"/>
      <c r="G181" s="14" t="n"/>
      <c r="H181" s="29" t="n"/>
      <c r="I181" s="14" t="n"/>
      <c r="J181" s="29" t="n"/>
      <c r="K181" s="18">
        <f>IF($D181="","",IF($E181="Débito",-ABS($D181),ABS($D181)))</f>
        <v/>
      </c>
      <c r="L181" s="9">
        <f>IF($A181="","",IF(COUNTIFS('LANÇAMENTOS'!$D$6:$D$2005,$A181,'LANÇAMENTOS'!$V$6:$V$2005,ABS($D181),'LANÇAMENTOS'!$L$6:$L$2005,$F181)&gt;0,"✔ Encontrado na planilha",IF(COUNTIFS('LANÇAMENTOS'!$D$6:$D$2005,$A181,'LANÇAMENTOS'!$V$6:$V$2005,"&gt;="&amp;ABS($D181)*0.98,'LANÇAMENTOS'!$V$6:$V$2005,"&lt;="&amp;ABS($D181)*1.02)&gt;0,"🟡 Valor próximo de um lançamento","❌ Não localizado")))</f>
        <v/>
      </c>
    </row>
    <row r="182">
      <c r="A182" s="36" t="n"/>
      <c r="B182" s="29" t="n"/>
      <c r="C182" s="14" t="n"/>
      <c r="D182" s="35" t="n"/>
      <c r="E182" s="14" t="n"/>
      <c r="F182" s="29" t="n"/>
      <c r="G182" s="14" t="n"/>
      <c r="H182" s="29" t="n"/>
      <c r="I182" s="14" t="n"/>
      <c r="J182" s="29" t="n"/>
      <c r="K182" s="18">
        <f>IF($D182="","",IF($E182="Débito",-ABS($D182),ABS($D182)))</f>
        <v/>
      </c>
      <c r="L182" s="9">
        <f>IF($A182="","",IF(COUNTIFS('LANÇAMENTOS'!$D$6:$D$2005,$A182,'LANÇAMENTOS'!$V$6:$V$2005,ABS($D182),'LANÇAMENTOS'!$L$6:$L$2005,$F182)&gt;0,"✔ Encontrado na planilha",IF(COUNTIFS('LANÇAMENTOS'!$D$6:$D$2005,$A182,'LANÇAMENTOS'!$V$6:$V$2005,"&gt;="&amp;ABS($D182)*0.98,'LANÇAMENTOS'!$V$6:$V$2005,"&lt;="&amp;ABS($D182)*1.02)&gt;0,"🟡 Valor próximo de um lançamento","❌ Não localizado")))</f>
        <v/>
      </c>
    </row>
    <row r="183">
      <c r="A183" s="36" t="n"/>
      <c r="B183" s="29" t="n"/>
      <c r="C183" s="14" t="n"/>
      <c r="D183" s="35" t="n"/>
      <c r="E183" s="14" t="n"/>
      <c r="F183" s="29" t="n"/>
      <c r="G183" s="14" t="n"/>
      <c r="H183" s="29" t="n"/>
      <c r="I183" s="14" t="n"/>
      <c r="J183" s="29" t="n"/>
      <c r="K183" s="18">
        <f>IF($D183="","",IF($E183="Débito",-ABS($D183),ABS($D183)))</f>
        <v/>
      </c>
      <c r="L183" s="9">
        <f>IF($A183="","",IF(COUNTIFS('LANÇAMENTOS'!$D$6:$D$2005,$A183,'LANÇAMENTOS'!$V$6:$V$2005,ABS($D183),'LANÇAMENTOS'!$L$6:$L$2005,$F183)&gt;0,"✔ Encontrado na planilha",IF(COUNTIFS('LANÇAMENTOS'!$D$6:$D$2005,$A183,'LANÇAMENTOS'!$V$6:$V$2005,"&gt;="&amp;ABS($D183)*0.98,'LANÇAMENTOS'!$V$6:$V$2005,"&lt;="&amp;ABS($D183)*1.02)&gt;0,"🟡 Valor próximo de um lançamento","❌ Não localizado")))</f>
        <v/>
      </c>
    </row>
    <row r="184">
      <c r="A184" s="36" t="n"/>
      <c r="B184" s="29" t="n"/>
      <c r="C184" s="14" t="n"/>
      <c r="D184" s="35" t="n"/>
      <c r="E184" s="14" t="n"/>
      <c r="F184" s="29" t="n"/>
      <c r="G184" s="14" t="n"/>
      <c r="H184" s="29" t="n"/>
      <c r="I184" s="14" t="n"/>
      <c r="J184" s="29" t="n"/>
      <c r="K184" s="18">
        <f>IF($D184="","",IF($E184="Débito",-ABS($D184),ABS($D184)))</f>
        <v/>
      </c>
      <c r="L184" s="9">
        <f>IF($A184="","",IF(COUNTIFS('LANÇAMENTOS'!$D$6:$D$2005,$A184,'LANÇAMENTOS'!$V$6:$V$2005,ABS($D184),'LANÇAMENTOS'!$L$6:$L$2005,$F184)&gt;0,"✔ Encontrado na planilha",IF(COUNTIFS('LANÇAMENTOS'!$D$6:$D$2005,$A184,'LANÇAMENTOS'!$V$6:$V$2005,"&gt;="&amp;ABS($D184)*0.98,'LANÇAMENTOS'!$V$6:$V$2005,"&lt;="&amp;ABS($D184)*1.02)&gt;0,"🟡 Valor próximo de um lançamento","❌ Não localizado")))</f>
        <v/>
      </c>
    </row>
    <row r="185">
      <c r="A185" s="36" t="n"/>
      <c r="B185" s="29" t="n"/>
      <c r="C185" s="14" t="n"/>
      <c r="D185" s="35" t="n"/>
      <c r="E185" s="14" t="n"/>
      <c r="F185" s="29" t="n"/>
      <c r="G185" s="14" t="n"/>
      <c r="H185" s="29" t="n"/>
      <c r="I185" s="14" t="n"/>
      <c r="J185" s="29" t="n"/>
      <c r="K185" s="18">
        <f>IF($D185="","",IF($E185="Débito",-ABS($D185),ABS($D185)))</f>
        <v/>
      </c>
      <c r="L185" s="9">
        <f>IF($A185="","",IF(COUNTIFS('LANÇAMENTOS'!$D$6:$D$2005,$A185,'LANÇAMENTOS'!$V$6:$V$2005,ABS($D185),'LANÇAMENTOS'!$L$6:$L$2005,$F185)&gt;0,"✔ Encontrado na planilha",IF(COUNTIFS('LANÇAMENTOS'!$D$6:$D$2005,$A185,'LANÇAMENTOS'!$V$6:$V$2005,"&gt;="&amp;ABS($D185)*0.98,'LANÇAMENTOS'!$V$6:$V$2005,"&lt;="&amp;ABS($D185)*1.02)&gt;0,"🟡 Valor próximo de um lançamento","❌ Não localizado")))</f>
        <v/>
      </c>
    </row>
    <row r="186">
      <c r="A186" s="36" t="n"/>
      <c r="B186" s="29" t="n"/>
      <c r="C186" s="14" t="n"/>
      <c r="D186" s="35" t="n"/>
      <c r="E186" s="14" t="n"/>
      <c r="F186" s="29" t="n"/>
      <c r="G186" s="14" t="n"/>
      <c r="H186" s="29" t="n"/>
      <c r="I186" s="14" t="n"/>
      <c r="J186" s="29" t="n"/>
      <c r="K186" s="18">
        <f>IF($D186="","",IF($E186="Débito",-ABS($D186),ABS($D186)))</f>
        <v/>
      </c>
      <c r="L186" s="9">
        <f>IF($A186="","",IF(COUNTIFS('LANÇAMENTOS'!$D$6:$D$2005,$A186,'LANÇAMENTOS'!$V$6:$V$2005,ABS($D186),'LANÇAMENTOS'!$L$6:$L$2005,$F186)&gt;0,"✔ Encontrado na planilha",IF(COUNTIFS('LANÇAMENTOS'!$D$6:$D$2005,$A186,'LANÇAMENTOS'!$V$6:$V$2005,"&gt;="&amp;ABS($D186)*0.98,'LANÇAMENTOS'!$V$6:$V$2005,"&lt;="&amp;ABS($D186)*1.02)&gt;0,"🟡 Valor próximo de um lançamento","❌ Não localizado")))</f>
        <v/>
      </c>
    </row>
    <row r="187">
      <c r="A187" s="36" t="n"/>
      <c r="B187" s="29" t="n"/>
      <c r="C187" s="14" t="n"/>
      <c r="D187" s="35" t="n"/>
      <c r="E187" s="14" t="n"/>
      <c r="F187" s="29" t="n"/>
      <c r="G187" s="14" t="n"/>
      <c r="H187" s="29" t="n"/>
      <c r="I187" s="14" t="n"/>
      <c r="J187" s="29" t="n"/>
      <c r="K187" s="18">
        <f>IF($D187="","",IF($E187="Débito",-ABS($D187),ABS($D187)))</f>
        <v/>
      </c>
      <c r="L187" s="9">
        <f>IF($A187="","",IF(COUNTIFS('LANÇAMENTOS'!$D$6:$D$2005,$A187,'LANÇAMENTOS'!$V$6:$V$2005,ABS($D187),'LANÇAMENTOS'!$L$6:$L$2005,$F187)&gt;0,"✔ Encontrado na planilha",IF(COUNTIFS('LANÇAMENTOS'!$D$6:$D$2005,$A187,'LANÇAMENTOS'!$V$6:$V$2005,"&gt;="&amp;ABS($D187)*0.98,'LANÇAMENTOS'!$V$6:$V$2005,"&lt;="&amp;ABS($D187)*1.02)&gt;0,"🟡 Valor próximo de um lançamento","❌ Não localizado")))</f>
        <v/>
      </c>
    </row>
    <row r="188">
      <c r="A188" s="36" t="n"/>
      <c r="B188" s="29" t="n"/>
      <c r="C188" s="14" t="n"/>
      <c r="D188" s="35" t="n"/>
      <c r="E188" s="14" t="n"/>
      <c r="F188" s="29" t="n"/>
      <c r="G188" s="14" t="n"/>
      <c r="H188" s="29" t="n"/>
      <c r="I188" s="14" t="n"/>
      <c r="J188" s="29" t="n"/>
      <c r="K188" s="18">
        <f>IF($D188="","",IF($E188="Débito",-ABS($D188),ABS($D188)))</f>
        <v/>
      </c>
      <c r="L188" s="9">
        <f>IF($A188="","",IF(COUNTIFS('LANÇAMENTOS'!$D$6:$D$2005,$A188,'LANÇAMENTOS'!$V$6:$V$2005,ABS($D188),'LANÇAMENTOS'!$L$6:$L$2005,$F188)&gt;0,"✔ Encontrado na planilha",IF(COUNTIFS('LANÇAMENTOS'!$D$6:$D$2005,$A188,'LANÇAMENTOS'!$V$6:$V$2005,"&gt;="&amp;ABS($D188)*0.98,'LANÇAMENTOS'!$V$6:$V$2005,"&lt;="&amp;ABS($D188)*1.02)&gt;0,"🟡 Valor próximo de um lançamento","❌ Não localizado")))</f>
        <v/>
      </c>
    </row>
    <row r="189">
      <c r="A189" s="36" t="n"/>
      <c r="B189" s="29" t="n"/>
      <c r="C189" s="14" t="n"/>
      <c r="D189" s="35" t="n"/>
      <c r="E189" s="14" t="n"/>
      <c r="F189" s="29" t="n"/>
      <c r="G189" s="14" t="n"/>
      <c r="H189" s="29" t="n"/>
      <c r="I189" s="14" t="n"/>
      <c r="J189" s="29" t="n"/>
      <c r="K189" s="18">
        <f>IF($D189="","",IF($E189="Débito",-ABS($D189),ABS($D189)))</f>
        <v/>
      </c>
      <c r="L189" s="9">
        <f>IF($A189="","",IF(COUNTIFS('LANÇAMENTOS'!$D$6:$D$2005,$A189,'LANÇAMENTOS'!$V$6:$V$2005,ABS($D189),'LANÇAMENTOS'!$L$6:$L$2005,$F189)&gt;0,"✔ Encontrado na planilha",IF(COUNTIFS('LANÇAMENTOS'!$D$6:$D$2005,$A189,'LANÇAMENTOS'!$V$6:$V$2005,"&gt;="&amp;ABS($D189)*0.98,'LANÇAMENTOS'!$V$6:$V$2005,"&lt;="&amp;ABS($D189)*1.02)&gt;0,"🟡 Valor próximo de um lançamento","❌ Não localizado")))</f>
        <v/>
      </c>
    </row>
    <row r="190">
      <c r="A190" s="36" t="n"/>
      <c r="B190" s="29" t="n"/>
      <c r="C190" s="14" t="n"/>
      <c r="D190" s="35" t="n"/>
      <c r="E190" s="14" t="n"/>
      <c r="F190" s="29" t="n"/>
      <c r="G190" s="14" t="n"/>
      <c r="H190" s="29" t="n"/>
      <c r="I190" s="14" t="n"/>
      <c r="J190" s="29" t="n"/>
      <c r="K190" s="18">
        <f>IF($D190="","",IF($E190="Débito",-ABS($D190),ABS($D190)))</f>
        <v/>
      </c>
      <c r="L190" s="9">
        <f>IF($A190="","",IF(COUNTIFS('LANÇAMENTOS'!$D$6:$D$2005,$A190,'LANÇAMENTOS'!$V$6:$V$2005,ABS($D190),'LANÇAMENTOS'!$L$6:$L$2005,$F190)&gt;0,"✔ Encontrado na planilha",IF(COUNTIFS('LANÇAMENTOS'!$D$6:$D$2005,$A190,'LANÇAMENTOS'!$V$6:$V$2005,"&gt;="&amp;ABS($D190)*0.98,'LANÇAMENTOS'!$V$6:$V$2005,"&lt;="&amp;ABS($D190)*1.02)&gt;0,"🟡 Valor próximo de um lançamento","❌ Não localizado")))</f>
        <v/>
      </c>
    </row>
    <row r="191">
      <c r="A191" s="36" t="n"/>
      <c r="B191" s="29" t="n"/>
      <c r="C191" s="14" t="n"/>
      <c r="D191" s="35" t="n"/>
      <c r="E191" s="14" t="n"/>
      <c r="F191" s="29" t="n"/>
      <c r="G191" s="14" t="n"/>
      <c r="H191" s="29" t="n"/>
      <c r="I191" s="14" t="n"/>
      <c r="J191" s="29" t="n"/>
      <c r="K191" s="18">
        <f>IF($D191="","",IF($E191="Débito",-ABS($D191),ABS($D191)))</f>
        <v/>
      </c>
      <c r="L191" s="9">
        <f>IF($A191="","",IF(COUNTIFS('LANÇAMENTOS'!$D$6:$D$2005,$A191,'LANÇAMENTOS'!$V$6:$V$2005,ABS($D191),'LANÇAMENTOS'!$L$6:$L$2005,$F191)&gt;0,"✔ Encontrado na planilha",IF(COUNTIFS('LANÇAMENTOS'!$D$6:$D$2005,$A191,'LANÇAMENTOS'!$V$6:$V$2005,"&gt;="&amp;ABS($D191)*0.98,'LANÇAMENTOS'!$V$6:$V$2005,"&lt;="&amp;ABS($D191)*1.02)&gt;0,"🟡 Valor próximo de um lançamento","❌ Não localizado")))</f>
        <v/>
      </c>
    </row>
    <row r="192">
      <c r="A192" s="36" t="n"/>
      <c r="B192" s="29" t="n"/>
      <c r="C192" s="14" t="n"/>
      <c r="D192" s="35" t="n"/>
      <c r="E192" s="14" t="n"/>
      <c r="F192" s="29" t="n"/>
      <c r="G192" s="14" t="n"/>
      <c r="H192" s="29" t="n"/>
      <c r="I192" s="14" t="n"/>
      <c r="J192" s="29" t="n"/>
      <c r="K192" s="18">
        <f>IF($D192="","",IF($E192="Débito",-ABS($D192),ABS($D192)))</f>
        <v/>
      </c>
      <c r="L192" s="9">
        <f>IF($A192="","",IF(COUNTIFS('LANÇAMENTOS'!$D$6:$D$2005,$A192,'LANÇAMENTOS'!$V$6:$V$2005,ABS($D192),'LANÇAMENTOS'!$L$6:$L$2005,$F192)&gt;0,"✔ Encontrado na planilha",IF(COUNTIFS('LANÇAMENTOS'!$D$6:$D$2005,$A192,'LANÇAMENTOS'!$V$6:$V$2005,"&gt;="&amp;ABS($D192)*0.98,'LANÇAMENTOS'!$V$6:$V$2005,"&lt;="&amp;ABS($D192)*1.02)&gt;0,"🟡 Valor próximo de um lançamento","❌ Não localizado")))</f>
        <v/>
      </c>
    </row>
    <row r="193">
      <c r="A193" s="36" t="n"/>
      <c r="B193" s="29" t="n"/>
      <c r="C193" s="14" t="n"/>
      <c r="D193" s="35" t="n"/>
      <c r="E193" s="14" t="n"/>
      <c r="F193" s="29" t="n"/>
      <c r="G193" s="14" t="n"/>
      <c r="H193" s="29" t="n"/>
      <c r="I193" s="14" t="n"/>
      <c r="J193" s="29" t="n"/>
      <c r="K193" s="18">
        <f>IF($D193="","",IF($E193="Débito",-ABS($D193),ABS($D193)))</f>
        <v/>
      </c>
      <c r="L193" s="9">
        <f>IF($A193="","",IF(COUNTIFS('LANÇAMENTOS'!$D$6:$D$2005,$A193,'LANÇAMENTOS'!$V$6:$V$2005,ABS($D193),'LANÇAMENTOS'!$L$6:$L$2005,$F193)&gt;0,"✔ Encontrado na planilha",IF(COUNTIFS('LANÇAMENTOS'!$D$6:$D$2005,$A193,'LANÇAMENTOS'!$V$6:$V$2005,"&gt;="&amp;ABS($D193)*0.98,'LANÇAMENTOS'!$V$6:$V$2005,"&lt;="&amp;ABS($D193)*1.02)&gt;0,"🟡 Valor próximo de um lançamento","❌ Não localizado")))</f>
        <v/>
      </c>
    </row>
    <row r="194">
      <c r="A194" s="36" t="n"/>
      <c r="B194" s="29" t="n"/>
      <c r="C194" s="14" t="n"/>
      <c r="D194" s="35" t="n"/>
      <c r="E194" s="14" t="n"/>
      <c r="F194" s="29" t="n"/>
      <c r="G194" s="14" t="n"/>
      <c r="H194" s="29" t="n"/>
      <c r="I194" s="14" t="n"/>
      <c r="J194" s="29" t="n"/>
      <c r="K194" s="18">
        <f>IF($D194="","",IF($E194="Débito",-ABS($D194),ABS($D194)))</f>
        <v/>
      </c>
      <c r="L194" s="9">
        <f>IF($A194="","",IF(COUNTIFS('LANÇAMENTOS'!$D$6:$D$2005,$A194,'LANÇAMENTOS'!$V$6:$V$2005,ABS($D194),'LANÇAMENTOS'!$L$6:$L$2005,$F194)&gt;0,"✔ Encontrado na planilha",IF(COUNTIFS('LANÇAMENTOS'!$D$6:$D$2005,$A194,'LANÇAMENTOS'!$V$6:$V$2005,"&gt;="&amp;ABS($D194)*0.98,'LANÇAMENTOS'!$V$6:$V$2005,"&lt;="&amp;ABS($D194)*1.02)&gt;0,"🟡 Valor próximo de um lançamento","❌ Não localizado")))</f>
        <v/>
      </c>
    </row>
    <row r="195">
      <c r="A195" s="36" t="n"/>
      <c r="B195" s="29" t="n"/>
      <c r="C195" s="14" t="n"/>
      <c r="D195" s="35" t="n"/>
      <c r="E195" s="14" t="n"/>
      <c r="F195" s="29" t="n"/>
      <c r="G195" s="14" t="n"/>
      <c r="H195" s="29" t="n"/>
      <c r="I195" s="14" t="n"/>
      <c r="J195" s="29" t="n"/>
      <c r="K195" s="18">
        <f>IF($D195="","",IF($E195="Débito",-ABS($D195),ABS($D195)))</f>
        <v/>
      </c>
      <c r="L195" s="9">
        <f>IF($A195="","",IF(COUNTIFS('LANÇAMENTOS'!$D$6:$D$2005,$A195,'LANÇAMENTOS'!$V$6:$V$2005,ABS($D195),'LANÇAMENTOS'!$L$6:$L$2005,$F195)&gt;0,"✔ Encontrado na planilha",IF(COUNTIFS('LANÇAMENTOS'!$D$6:$D$2005,$A195,'LANÇAMENTOS'!$V$6:$V$2005,"&gt;="&amp;ABS($D195)*0.98,'LANÇAMENTOS'!$V$6:$V$2005,"&lt;="&amp;ABS($D195)*1.02)&gt;0,"🟡 Valor próximo de um lançamento","❌ Não localizado")))</f>
        <v/>
      </c>
    </row>
    <row r="196">
      <c r="A196" s="36" t="n"/>
      <c r="B196" s="29" t="n"/>
      <c r="C196" s="14" t="n"/>
      <c r="D196" s="35" t="n"/>
      <c r="E196" s="14" t="n"/>
      <c r="F196" s="29" t="n"/>
      <c r="G196" s="14" t="n"/>
      <c r="H196" s="29" t="n"/>
      <c r="I196" s="14" t="n"/>
      <c r="J196" s="29" t="n"/>
      <c r="K196" s="18">
        <f>IF($D196="","",IF($E196="Débito",-ABS($D196),ABS($D196)))</f>
        <v/>
      </c>
      <c r="L196" s="9">
        <f>IF($A196="","",IF(COUNTIFS('LANÇAMENTOS'!$D$6:$D$2005,$A196,'LANÇAMENTOS'!$V$6:$V$2005,ABS($D196),'LANÇAMENTOS'!$L$6:$L$2005,$F196)&gt;0,"✔ Encontrado na planilha",IF(COUNTIFS('LANÇAMENTOS'!$D$6:$D$2005,$A196,'LANÇAMENTOS'!$V$6:$V$2005,"&gt;="&amp;ABS($D196)*0.98,'LANÇAMENTOS'!$V$6:$V$2005,"&lt;="&amp;ABS($D196)*1.02)&gt;0,"🟡 Valor próximo de um lançamento","❌ Não localizado")))</f>
        <v/>
      </c>
    </row>
    <row r="197">
      <c r="A197" s="36" t="n"/>
      <c r="B197" s="29" t="n"/>
      <c r="C197" s="14" t="n"/>
      <c r="D197" s="35" t="n"/>
      <c r="E197" s="14" t="n"/>
      <c r="F197" s="29" t="n"/>
      <c r="G197" s="14" t="n"/>
      <c r="H197" s="29" t="n"/>
      <c r="I197" s="14" t="n"/>
      <c r="J197" s="29" t="n"/>
      <c r="K197" s="18">
        <f>IF($D197="","",IF($E197="Débito",-ABS($D197),ABS($D197)))</f>
        <v/>
      </c>
      <c r="L197" s="9">
        <f>IF($A197="","",IF(COUNTIFS('LANÇAMENTOS'!$D$6:$D$2005,$A197,'LANÇAMENTOS'!$V$6:$V$2005,ABS($D197),'LANÇAMENTOS'!$L$6:$L$2005,$F197)&gt;0,"✔ Encontrado na planilha",IF(COUNTIFS('LANÇAMENTOS'!$D$6:$D$2005,$A197,'LANÇAMENTOS'!$V$6:$V$2005,"&gt;="&amp;ABS($D197)*0.98,'LANÇAMENTOS'!$V$6:$V$2005,"&lt;="&amp;ABS($D197)*1.02)&gt;0,"🟡 Valor próximo de um lançamento","❌ Não localizado")))</f>
        <v/>
      </c>
    </row>
    <row r="198">
      <c r="A198" s="36" t="n"/>
      <c r="B198" s="29" t="n"/>
      <c r="C198" s="14" t="n"/>
      <c r="D198" s="35" t="n"/>
      <c r="E198" s="14" t="n"/>
      <c r="F198" s="29" t="n"/>
      <c r="G198" s="14" t="n"/>
      <c r="H198" s="29" t="n"/>
      <c r="I198" s="14" t="n"/>
      <c r="J198" s="29" t="n"/>
      <c r="K198" s="18">
        <f>IF($D198="","",IF($E198="Débito",-ABS($D198),ABS($D198)))</f>
        <v/>
      </c>
      <c r="L198" s="9">
        <f>IF($A198="","",IF(COUNTIFS('LANÇAMENTOS'!$D$6:$D$2005,$A198,'LANÇAMENTOS'!$V$6:$V$2005,ABS($D198),'LANÇAMENTOS'!$L$6:$L$2005,$F198)&gt;0,"✔ Encontrado na planilha",IF(COUNTIFS('LANÇAMENTOS'!$D$6:$D$2005,$A198,'LANÇAMENTOS'!$V$6:$V$2005,"&gt;="&amp;ABS($D198)*0.98,'LANÇAMENTOS'!$V$6:$V$2005,"&lt;="&amp;ABS($D198)*1.02)&gt;0,"🟡 Valor próximo de um lançamento","❌ Não localizado")))</f>
        <v/>
      </c>
    </row>
    <row r="199">
      <c r="A199" s="36" t="n"/>
      <c r="B199" s="29" t="n"/>
      <c r="C199" s="14" t="n"/>
      <c r="D199" s="35" t="n"/>
      <c r="E199" s="14" t="n"/>
      <c r="F199" s="29" t="n"/>
      <c r="G199" s="14" t="n"/>
      <c r="H199" s="29" t="n"/>
      <c r="I199" s="14" t="n"/>
      <c r="J199" s="29" t="n"/>
      <c r="K199" s="18">
        <f>IF($D199="","",IF($E199="Débito",-ABS($D199),ABS($D199)))</f>
        <v/>
      </c>
      <c r="L199" s="9">
        <f>IF($A199="","",IF(COUNTIFS('LANÇAMENTOS'!$D$6:$D$2005,$A199,'LANÇAMENTOS'!$V$6:$V$2005,ABS($D199),'LANÇAMENTOS'!$L$6:$L$2005,$F199)&gt;0,"✔ Encontrado na planilha",IF(COUNTIFS('LANÇAMENTOS'!$D$6:$D$2005,$A199,'LANÇAMENTOS'!$V$6:$V$2005,"&gt;="&amp;ABS($D199)*0.98,'LANÇAMENTOS'!$V$6:$V$2005,"&lt;="&amp;ABS($D199)*1.02)&gt;0,"🟡 Valor próximo de um lançamento","❌ Não localizado")))</f>
        <v/>
      </c>
    </row>
    <row r="200">
      <c r="A200" s="36" t="n"/>
      <c r="B200" s="29" t="n"/>
      <c r="C200" s="14" t="n"/>
      <c r="D200" s="35" t="n"/>
      <c r="E200" s="14" t="n"/>
      <c r="F200" s="29" t="n"/>
      <c r="G200" s="14" t="n"/>
      <c r="H200" s="29" t="n"/>
      <c r="I200" s="14" t="n"/>
      <c r="J200" s="29" t="n"/>
      <c r="K200" s="18">
        <f>IF($D200="","",IF($E200="Débito",-ABS($D200),ABS($D200)))</f>
        <v/>
      </c>
      <c r="L200" s="9">
        <f>IF($A200="","",IF(COUNTIFS('LANÇAMENTOS'!$D$6:$D$2005,$A200,'LANÇAMENTOS'!$V$6:$V$2005,ABS($D200),'LANÇAMENTOS'!$L$6:$L$2005,$F200)&gt;0,"✔ Encontrado na planilha",IF(COUNTIFS('LANÇAMENTOS'!$D$6:$D$2005,$A200,'LANÇAMENTOS'!$V$6:$V$2005,"&gt;="&amp;ABS($D200)*0.98,'LANÇAMENTOS'!$V$6:$V$2005,"&lt;="&amp;ABS($D200)*1.02)&gt;0,"🟡 Valor próximo de um lançamento","❌ Não localizado")))</f>
        <v/>
      </c>
    </row>
    <row r="201">
      <c r="A201" s="36" t="n"/>
      <c r="B201" s="29" t="n"/>
      <c r="C201" s="14" t="n"/>
      <c r="D201" s="35" t="n"/>
      <c r="E201" s="14" t="n"/>
      <c r="F201" s="29" t="n"/>
      <c r="G201" s="14" t="n"/>
      <c r="H201" s="29" t="n"/>
      <c r="I201" s="14" t="n"/>
      <c r="J201" s="29" t="n"/>
      <c r="K201" s="18">
        <f>IF($D201="","",IF($E201="Débito",-ABS($D201),ABS($D201)))</f>
        <v/>
      </c>
      <c r="L201" s="9">
        <f>IF($A201="","",IF(COUNTIFS('LANÇAMENTOS'!$D$6:$D$2005,$A201,'LANÇAMENTOS'!$V$6:$V$2005,ABS($D201),'LANÇAMENTOS'!$L$6:$L$2005,$F201)&gt;0,"✔ Encontrado na planilha",IF(COUNTIFS('LANÇAMENTOS'!$D$6:$D$2005,$A201,'LANÇAMENTOS'!$V$6:$V$2005,"&gt;="&amp;ABS($D201)*0.98,'LANÇAMENTOS'!$V$6:$V$2005,"&lt;="&amp;ABS($D201)*1.02)&gt;0,"🟡 Valor próximo de um lançamento","❌ Não localizado")))</f>
        <v/>
      </c>
    </row>
    <row r="202">
      <c r="A202" s="36" t="n"/>
      <c r="B202" s="29" t="n"/>
      <c r="C202" s="14" t="n"/>
      <c r="D202" s="35" t="n"/>
      <c r="E202" s="14" t="n"/>
      <c r="F202" s="29" t="n"/>
      <c r="G202" s="14" t="n"/>
      <c r="H202" s="29" t="n"/>
      <c r="I202" s="14" t="n"/>
      <c r="J202" s="29" t="n"/>
      <c r="K202" s="18">
        <f>IF($D202="","",IF($E202="Débito",-ABS($D202),ABS($D202)))</f>
        <v/>
      </c>
      <c r="L202" s="9">
        <f>IF($A202="","",IF(COUNTIFS('LANÇAMENTOS'!$D$6:$D$2005,$A202,'LANÇAMENTOS'!$V$6:$V$2005,ABS($D202),'LANÇAMENTOS'!$L$6:$L$2005,$F202)&gt;0,"✔ Encontrado na planilha",IF(COUNTIFS('LANÇAMENTOS'!$D$6:$D$2005,$A202,'LANÇAMENTOS'!$V$6:$V$2005,"&gt;="&amp;ABS($D202)*0.98,'LANÇAMENTOS'!$V$6:$V$2005,"&lt;="&amp;ABS($D202)*1.02)&gt;0,"🟡 Valor próximo de um lançamento","❌ Não localizado")))</f>
        <v/>
      </c>
    </row>
    <row r="203">
      <c r="A203" s="36" t="n"/>
      <c r="B203" s="29" t="n"/>
      <c r="C203" s="14" t="n"/>
      <c r="D203" s="35" t="n"/>
      <c r="E203" s="14" t="n"/>
      <c r="F203" s="29" t="n"/>
      <c r="G203" s="14" t="n"/>
      <c r="H203" s="29" t="n"/>
      <c r="I203" s="14" t="n"/>
      <c r="J203" s="29" t="n"/>
      <c r="K203" s="18">
        <f>IF($D203="","",IF($E203="Débito",-ABS($D203),ABS($D203)))</f>
        <v/>
      </c>
      <c r="L203" s="9">
        <f>IF($A203="","",IF(COUNTIFS('LANÇAMENTOS'!$D$6:$D$2005,$A203,'LANÇAMENTOS'!$V$6:$V$2005,ABS($D203),'LANÇAMENTOS'!$L$6:$L$2005,$F203)&gt;0,"✔ Encontrado na planilha",IF(COUNTIFS('LANÇAMENTOS'!$D$6:$D$2005,$A203,'LANÇAMENTOS'!$V$6:$V$2005,"&gt;="&amp;ABS($D203)*0.98,'LANÇAMENTOS'!$V$6:$V$2005,"&lt;="&amp;ABS($D203)*1.02)&gt;0,"🟡 Valor próximo de um lançamento","❌ Não localizado")))</f>
        <v/>
      </c>
    </row>
    <row r="204">
      <c r="A204" s="36" t="n"/>
      <c r="B204" s="29" t="n"/>
      <c r="C204" s="14" t="n"/>
      <c r="D204" s="35" t="n"/>
      <c r="E204" s="14" t="n"/>
      <c r="F204" s="29" t="n"/>
      <c r="G204" s="14" t="n"/>
      <c r="H204" s="29" t="n"/>
      <c r="I204" s="14" t="n"/>
      <c r="J204" s="29" t="n"/>
      <c r="K204" s="18">
        <f>IF($D204="","",IF($E204="Débito",-ABS($D204),ABS($D204)))</f>
        <v/>
      </c>
      <c r="L204" s="9">
        <f>IF($A204="","",IF(COUNTIFS('LANÇAMENTOS'!$D$6:$D$2005,$A204,'LANÇAMENTOS'!$V$6:$V$2005,ABS($D204),'LANÇAMENTOS'!$L$6:$L$2005,$F204)&gt;0,"✔ Encontrado na planilha",IF(COUNTIFS('LANÇAMENTOS'!$D$6:$D$2005,$A204,'LANÇAMENTOS'!$V$6:$V$2005,"&gt;="&amp;ABS($D204)*0.98,'LANÇAMENTOS'!$V$6:$V$2005,"&lt;="&amp;ABS($D204)*1.02)&gt;0,"🟡 Valor próximo de um lançamento","❌ Não localizado")))</f>
        <v/>
      </c>
    </row>
    <row r="205">
      <c r="A205" s="36" t="n"/>
      <c r="B205" s="29" t="n"/>
      <c r="C205" s="14" t="n"/>
      <c r="D205" s="35" t="n"/>
      <c r="E205" s="14" t="n"/>
      <c r="F205" s="29" t="n"/>
      <c r="G205" s="14" t="n"/>
      <c r="H205" s="29" t="n"/>
      <c r="I205" s="14" t="n"/>
      <c r="J205" s="29" t="n"/>
      <c r="K205" s="18">
        <f>IF($D205="","",IF($E205="Débito",-ABS($D205),ABS($D205)))</f>
        <v/>
      </c>
      <c r="L205" s="9">
        <f>IF($A205="","",IF(COUNTIFS('LANÇAMENTOS'!$D$6:$D$2005,$A205,'LANÇAMENTOS'!$V$6:$V$2005,ABS($D205),'LANÇAMENTOS'!$L$6:$L$2005,$F205)&gt;0,"✔ Encontrado na planilha",IF(COUNTIFS('LANÇAMENTOS'!$D$6:$D$2005,$A205,'LANÇAMENTOS'!$V$6:$V$2005,"&gt;="&amp;ABS($D205)*0.98,'LANÇAMENTOS'!$V$6:$V$2005,"&lt;="&amp;ABS($D205)*1.02)&gt;0,"🟡 Valor próximo de um lançamento","❌ Não localizado")))</f>
        <v/>
      </c>
    </row>
    <row r="206">
      <c r="A206" s="36" t="n"/>
      <c r="B206" s="29" t="n"/>
      <c r="C206" s="14" t="n"/>
      <c r="D206" s="35" t="n"/>
      <c r="E206" s="14" t="n"/>
      <c r="F206" s="29" t="n"/>
      <c r="G206" s="14" t="n"/>
      <c r="H206" s="29" t="n"/>
      <c r="I206" s="14" t="n"/>
      <c r="J206" s="29" t="n"/>
      <c r="K206" s="18">
        <f>IF($D206="","",IF($E206="Débito",-ABS($D206),ABS($D206)))</f>
        <v/>
      </c>
      <c r="L206" s="9">
        <f>IF($A206="","",IF(COUNTIFS('LANÇAMENTOS'!$D$6:$D$2005,$A206,'LANÇAMENTOS'!$V$6:$V$2005,ABS($D206),'LANÇAMENTOS'!$L$6:$L$2005,$F206)&gt;0,"✔ Encontrado na planilha",IF(COUNTIFS('LANÇAMENTOS'!$D$6:$D$2005,$A206,'LANÇAMENTOS'!$V$6:$V$2005,"&gt;="&amp;ABS($D206)*0.98,'LANÇAMENTOS'!$V$6:$V$2005,"&lt;="&amp;ABS($D206)*1.02)&gt;0,"🟡 Valor próximo de um lançamento","❌ Não localizado")))</f>
        <v/>
      </c>
    </row>
    <row r="207">
      <c r="A207" s="36" t="n"/>
      <c r="B207" s="29" t="n"/>
      <c r="C207" s="14" t="n"/>
      <c r="D207" s="35" t="n"/>
      <c r="E207" s="14" t="n"/>
      <c r="F207" s="29" t="n"/>
      <c r="G207" s="14" t="n"/>
      <c r="H207" s="29" t="n"/>
      <c r="I207" s="14" t="n"/>
      <c r="J207" s="29" t="n"/>
      <c r="K207" s="18">
        <f>IF($D207="","",IF($E207="Débito",-ABS($D207),ABS($D207)))</f>
        <v/>
      </c>
      <c r="L207" s="9">
        <f>IF($A207="","",IF(COUNTIFS('LANÇAMENTOS'!$D$6:$D$2005,$A207,'LANÇAMENTOS'!$V$6:$V$2005,ABS($D207),'LANÇAMENTOS'!$L$6:$L$2005,$F207)&gt;0,"✔ Encontrado na planilha",IF(COUNTIFS('LANÇAMENTOS'!$D$6:$D$2005,$A207,'LANÇAMENTOS'!$V$6:$V$2005,"&gt;="&amp;ABS($D207)*0.98,'LANÇAMENTOS'!$V$6:$V$2005,"&lt;="&amp;ABS($D207)*1.02)&gt;0,"🟡 Valor próximo de um lançamento","❌ Não localizado")))</f>
        <v/>
      </c>
    </row>
    <row r="208">
      <c r="A208" s="36" t="n"/>
      <c r="B208" s="29" t="n"/>
      <c r="C208" s="14" t="n"/>
      <c r="D208" s="35" t="n"/>
      <c r="E208" s="14" t="n"/>
      <c r="F208" s="29" t="n"/>
      <c r="G208" s="14" t="n"/>
      <c r="H208" s="29" t="n"/>
      <c r="I208" s="14" t="n"/>
      <c r="J208" s="29" t="n"/>
      <c r="K208" s="18">
        <f>IF($D208="","",IF($E208="Débito",-ABS($D208),ABS($D208)))</f>
        <v/>
      </c>
      <c r="L208" s="9">
        <f>IF($A208="","",IF(COUNTIFS('LANÇAMENTOS'!$D$6:$D$2005,$A208,'LANÇAMENTOS'!$V$6:$V$2005,ABS($D208),'LANÇAMENTOS'!$L$6:$L$2005,$F208)&gt;0,"✔ Encontrado na planilha",IF(COUNTIFS('LANÇAMENTOS'!$D$6:$D$2005,$A208,'LANÇAMENTOS'!$V$6:$V$2005,"&gt;="&amp;ABS($D208)*0.98,'LANÇAMENTOS'!$V$6:$V$2005,"&lt;="&amp;ABS($D208)*1.02)&gt;0,"🟡 Valor próximo de um lançamento","❌ Não localizado")))</f>
        <v/>
      </c>
    </row>
    <row r="209">
      <c r="A209" s="36" t="n"/>
      <c r="B209" s="29" t="n"/>
      <c r="C209" s="14" t="n"/>
      <c r="D209" s="35" t="n"/>
      <c r="E209" s="14" t="n"/>
      <c r="F209" s="29" t="n"/>
      <c r="G209" s="14" t="n"/>
      <c r="H209" s="29" t="n"/>
      <c r="I209" s="14" t="n"/>
      <c r="J209" s="29" t="n"/>
      <c r="K209" s="18">
        <f>IF($D209="","",IF($E209="Débito",-ABS($D209),ABS($D209)))</f>
        <v/>
      </c>
      <c r="L209" s="9">
        <f>IF($A209="","",IF(COUNTIFS('LANÇAMENTOS'!$D$6:$D$2005,$A209,'LANÇAMENTOS'!$V$6:$V$2005,ABS($D209),'LANÇAMENTOS'!$L$6:$L$2005,$F209)&gt;0,"✔ Encontrado na planilha",IF(COUNTIFS('LANÇAMENTOS'!$D$6:$D$2005,$A209,'LANÇAMENTOS'!$V$6:$V$2005,"&gt;="&amp;ABS($D209)*0.98,'LANÇAMENTOS'!$V$6:$V$2005,"&lt;="&amp;ABS($D209)*1.02)&gt;0,"🟡 Valor próximo de um lançamento","❌ Não localizado")))</f>
        <v/>
      </c>
    </row>
    <row r="210">
      <c r="A210" s="36" t="n"/>
      <c r="B210" s="29" t="n"/>
      <c r="C210" s="14" t="n"/>
      <c r="D210" s="35" t="n"/>
      <c r="E210" s="14" t="n"/>
      <c r="F210" s="29" t="n"/>
      <c r="G210" s="14" t="n"/>
      <c r="H210" s="29" t="n"/>
      <c r="I210" s="14" t="n"/>
      <c r="J210" s="29" t="n"/>
      <c r="K210" s="18">
        <f>IF($D210="","",IF($E210="Débito",-ABS($D210),ABS($D210)))</f>
        <v/>
      </c>
      <c r="L210" s="9">
        <f>IF($A210="","",IF(COUNTIFS('LANÇAMENTOS'!$D$6:$D$2005,$A210,'LANÇAMENTOS'!$V$6:$V$2005,ABS($D210),'LANÇAMENTOS'!$L$6:$L$2005,$F210)&gt;0,"✔ Encontrado na planilha",IF(COUNTIFS('LANÇAMENTOS'!$D$6:$D$2005,$A210,'LANÇAMENTOS'!$V$6:$V$2005,"&gt;="&amp;ABS($D210)*0.98,'LANÇAMENTOS'!$V$6:$V$2005,"&lt;="&amp;ABS($D210)*1.02)&gt;0,"🟡 Valor próximo de um lançamento","❌ Não localizado")))</f>
        <v/>
      </c>
    </row>
    <row r="211">
      <c r="A211" s="36" t="n"/>
      <c r="B211" s="29" t="n"/>
      <c r="C211" s="14" t="n"/>
      <c r="D211" s="35" t="n"/>
      <c r="E211" s="14" t="n"/>
      <c r="F211" s="29" t="n"/>
      <c r="G211" s="14" t="n"/>
      <c r="H211" s="29" t="n"/>
      <c r="I211" s="14" t="n"/>
      <c r="J211" s="29" t="n"/>
      <c r="K211" s="18">
        <f>IF($D211="","",IF($E211="Débito",-ABS($D211),ABS($D211)))</f>
        <v/>
      </c>
      <c r="L211" s="9">
        <f>IF($A211="","",IF(COUNTIFS('LANÇAMENTOS'!$D$6:$D$2005,$A211,'LANÇAMENTOS'!$V$6:$V$2005,ABS($D211),'LANÇAMENTOS'!$L$6:$L$2005,$F211)&gt;0,"✔ Encontrado na planilha",IF(COUNTIFS('LANÇAMENTOS'!$D$6:$D$2005,$A211,'LANÇAMENTOS'!$V$6:$V$2005,"&gt;="&amp;ABS($D211)*0.98,'LANÇAMENTOS'!$V$6:$V$2005,"&lt;="&amp;ABS($D211)*1.02)&gt;0,"🟡 Valor próximo de um lançamento","❌ Não localizado")))</f>
        <v/>
      </c>
    </row>
    <row r="212">
      <c r="A212" s="36" t="n"/>
      <c r="B212" s="29" t="n"/>
      <c r="C212" s="14" t="n"/>
      <c r="D212" s="35" t="n"/>
      <c r="E212" s="14" t="n"/>
      <c r="F212" s="29" t="n"/>
      <c r="G212" s="14" t="n"/>
      <c r="H212" s="29" t="n"/>
      <c r="I212" s="14" t="n"/>
      <c r="J212" s="29" t="n"/>
      <c r="K212" s="18">
        <f>IF($D212="","",IF($E212="Débito",-ABS($D212),ABS($D212)))</f>
        <v/>
      </c>
      <c r="L212" s="9">
        <f>IF($A212="","",IF(COUNTIFS('LANÇAMENTOS'!$D$6:$D$2005,$A212,'LANÇAMENTOS'!$V$6:$V$2005,ABS($D212),'LANÇAMENTOS'!$L$6:$L$2005,$F212)&gt;0,"✔ Encontrado na planilha",IF(COUNTIFS('LANÇAMENTOS'!$D$6:$D$2005,$A212,'LANÇAMENTOS'!$V$6:$V$2005,"&gt;="&amp;ABS($D212)*0.98,'LANÇAMENTOS'!$V$6:$V$2005,"&lt;="&amp;ABS($D212)*1.02)&gt;0,"🟡 Valor próximo de um lançamento","❌ Não localizado")))</f>
        <v/>
      </c>
    </row>
    <row r="213">
      <c r="A213" s="36" t="n"/>
      <c r="B213" s="29" t="n"/>
      <c r="C213" s="14" t="n"/>
      <c r="D213" s="35" t="n"/>
      <c r="E213" s="14" t="n"/>
      <c r="F213" s="29" t="n"/>
      <c r="G213" s="14" t="n"/>
      <c r="H213" s="29" t="n"/>
      <c r="I213" s="14" t="n"/>
      <c r="J213" s="29" t="n"/>
      <c r="K213" s="18">
        <f>IF($D213="","",IF($E213="Débito",-ABS($D213),ABS($D213)))</f>
        <v/>
      </c>
      <c r="L213" s="9">
        <f>IF($A213="","",IF(COUNTIFS('LANÇAMENTOS'!$D$6:$D$2005,$A213,'LANÇAMENTOS'!$V$6:$V$2005,ABS($D213),'LANÇAMENTOS'!$L$6:$L$2005,$F213)&gt;0,"✔ Encontrado na planilha",IF(COUNTIFS('LANÇAMENTOS'!$D$6:$D$2005,$A213,'LANÇAMENTOS'!$V$6:$V$2005,"&gt;="&amp;ABS($D213)*0.98,'LANÇAMENTOS'!$V$6:$V$2005,"&lt;="&amp;ABS($D213)*1.02)&gt;0,"🟡 Valor próximo de um lançamento","❌ Não localizado")))</f>
        <v/>
      </c>
    </row>
    <row r="214">
      <c r="A214" s="36" t="n"/>
      <c r="B214" s="29" t="n"/>
      <c r="C214" s="14" t="n"/>
      <c r="D214" s="35" t="n"/>
      <c r="E214" s="14" t="n"/>
      <c r="F214" s="29" t="n"/>
      <c r="G214" s="14" t="n"/>
      <c r="H214" s="29" t="n"/>
      <c r="I214" s="14" t="n"/>
      <c r="J214" s="29" t="n"/>
      <c r="K214" s="18">
        <f>IF($D214="","",IF($E214="Débito",-ABS($D214),ABS($D214)))</f>
        <v/>
      </c>
      <c r="L214" s="9">
        <f>IF($A214="","",IF(COUNTIFS('LANÇAMENTOS'!$D$6:$D$2005,$A214,'LANÇAMENTOS'!$V$6:$V$2005,ABS($D214),'LANÇAMENTOS'!$L$6:$L$2005,$F214)&gt;0,"✔ Encontrado na planilha",IF(COUNTIFS('LANÇAMENTOS'!$D$6:$D$2005,$A214,'LANÇAMENTOS'!$V$6:$V$2005,"&gt;="&amp;ABS($D214)*0.98,'LANÇAMENTOS'!$V$6:$V$2005,"&lt;="&amp;ABS($D214)*1.02)&gt;0,"🟡 Valor próximo de um lançamento","❌ Não localizado")))</f>
        <v/>
      </c>
    </row>
    <row r="215">
      <c r="A215" s="36" t="n"/>
      <c r="B215" s="29" t="n"/>
      <c r="C215" s="14" t="n"/>
      <c r="D215" s="35" t="n"/>
      <c r="E215" s="14" t="n"/>
      <c r="F215" s="29" t="n"/>
      <c r="G215" s="14" t="n"/>
      <c r="H215" s="29" t="n"/>
      <c r="I215" s="14" t="n"/>
      <c r="J215" s="29" t="n"/>
      <c r="K215" s="18">
        <f>IF($D215="","",IF($E215="Débito",-ABS($D215),ABS($D215)))</f>
        <v/>
      </c>
      <c r="L215" s="9">
        <f>IF($A215="","",IF(COUNTIFS('LANÇAMENTOS'!$D$6:$D$2005,$A215,'LANÇAMENTOS'!$V$6:$V$2005,ABS($D215),'LANÇAMENTOS'!$L$6:$L$2005,$F215)&gt;0,"✔ Encontrado na planilha",IF(COUNTIFS('LANÇAMENTOS'!$D$6:$D$2005,$A215,'LANÇAMENTOS'!$V$6:$V$2005,"&gt;="&amp;ABS($D215)*0.98,'LANÇAMENTOS'!$V$6:$V$2005,"&lt;="&amp;ABS($D215)*1.02)&gt;0,"🟡 Valor próximo de um lançamento","❌ Não localizado")))</f>
        <v/>
      </c>
    </row>
    <row r="216">
      <c r="A216" s="36" t="n"/>
      <c r="B216" s="29" t="n"/>
      <c r="C216" s="14" t="n"/>
      <c r="D216" s="35" t="n"/>
      <c r="E216" s="14" t="n"/>
      <c r="F216" s="29" t="n"/>
      <c r="G216" s="14" t="n"/>
      <c r="H216" s="29" t="n"/>
      <c r="I216" s="14" t="n"/>
      <c r="J216" s="29" t="n"/>
      <c r="K216" s="18">
        <f>IF($D216="","",IF($E216="Débito",-ABS($D216),ABS($D216)))</f>
        <v/>
      </c>
      <c r="L216" s="9">
        <f>IF($A216="","",IF(COUNTIFS('LANÇAMENTOS'!$D$6:$D$2005,$A216,'LANÇAMENTOS'!$V$6:$V$2005,ABS($D216),'LANÇAMENTOS'!$L$6:$L$2005,$F216)&gt;0,"✔ Encontrado na planilha",IF(COUNTIFS('LANÇAMENTOS'!$D$6:$D$2005,$A216,'LANÇAMENTOS'!$V$6:$V$2005,"&gt;="&amp;ABS($D216)*0.98,'LANÇAMENTOS'!$V$6:$V$2005,"&lt;="&amp;ABS($D216)*1.02)&gt;0,"🟡 Valor próximo de um lançamento","❌ Não localizado")))</f>
        <v/>
      </c>
    </row>
    <row r="217">
      <c r="A217" s="36" t="n"/>
      <c r="B217" s="29" t="n"/>
      <c r="C217" s="14" t="n"/>
      <c r="D217" s="35" t="n"/>
      <c r="E217" s="14" t="n"/>
      <c r="F217" s="29" t="n"/>
      <c r="G217" s="14" t="n"/>
      <c r="H217" s="29" t="n"/>
      <c r="I217" s="14" t="n"/>
      <c r="J217" s="29" t="n"/>
      <c r="K217" s="18">
        <f>IF($D217="","",IF($E217="Débito",-ABS($D217),ABS($D217)))</f>
        <v/>
      </c>
      <c r="L217" s="9">
        <f>IF($A217="","",IF(COUNTIFS('LANÇAMENTOS'!$D$6:$D$2005,$A217,'LANÇAMENTOS'!$V$6:$V$2005,ABS($D217),'LANÇAMENTOS'!$L$6:$L$2005,$F217)&gt;0,"✔ Encontrado na planilha",IF(COUNTIFS('LANÇAMENTOS'!$D$6:$D$2005,$A217,'LANÇAMENTOS'!$V$6:$V$2005,"&gt;="&amp;ABS($D217)*0.98,'LANÇAMENTOS'!$V$6:$V$2005,"&lt;="&amp;ABS($D217)*1.02)&gt;0,"🟡 Valor próximo de um lançamento","❌ Não localizado")))</f>
        <v/>
      </c>
    </row>
    <row r="218">
      <c r="A218" s="36" t="n"/>
      <c r="B218" s="29" t="n"/>
      <c r="C218" s="14" t="n"/>
      <c r="D218" s="35" t="n"/>
      <c r="E218" s="14" t="n"/>
      <c r="F218" s="29" t="n"/>
      <c r="G218" s="14" t="n"/>
      <c r="H218" s="29" t="n"/>
      <c r="I218" s="14" t="n"/>
      <c r="J218" s="29" t="n"/>
      <c r="K218" s="18">
        <f>IF($D218="","",IF($E218="Débito",-ABS($D218),ABS($D218)))</f>
        <v/>
      </c>
      <c r="L218" s="9">
        <f>IF($A218="","",IF(COUNTIFS('LANÇAMENTOS'!$D$6:$D$2005,$A218,'LANÇAMENTOS'!$V$6:$V$2005,ABS($D218),'LANÇAMENTOS'!$L$6:$L$2005,$F218)&gt;0,"✔ Encontrado na planilha",IF(COUNTIFS('LANÇAMENTOS'!$D$6:$D$2005,$A218,'LANÇAMENTOS'!$V$6:$V$2005,"&gt;="&amp;ABS($D218)*0.98,'LANÇAMENTOS'!$V$6:$V$2005,"&lt;="&amp;ABS($D218)*1.02)&gt;0,"🟡 Valor próximo de um lançamento","❌ Não localizado")))</f>
        <v/>
      </c>
    </row>
    <row r="219">
      <c r="A219" s="36" t="n"/>
      <c r="B219" s="29" t="n"/>
      <c r="C219" s="14" t="n"/>
      <c r="D219" s="35" t="n"/>
      <c r="E219" s="14" t="n"/>
      <c r="F219" s="29" t="n"/>
      <c r="G219" s="14" t="n"/>
      <c r="H219" s="29" t="n"/>
      <c r="I219" s="14" t="n"/>
      <c r="J219" s="29" t="n"/>
      <c r="K219" s="18">
        <f>IF($D219="","",IF($E219="Débito",-ABS($D219),ABS($D219)))</f>
        <v/>
      </c>
      <c r="L219" s="9">
        <f>IF($A219="","",IF(COUNTIFS('LANÇAMENTOS'!$D$6:$D$2005,$A219,'LANÇAMENTOS'!$V$6:$V$2005,ABS($D219),'LANÇAMENTOS'!$L$6:$L$2005,$F219)&gt;0,"✔ Encontrado na planilha",IF(COUNTIFS('LANÇAMENTOS'!$D$6:$D$2005,$A219,'LANÇAMENTOS'!$V$6:$V$2005,"&gt;="&amp;ABS($D219)*0.98,'LANÇAMENTOS'!$V$6:$V$2005,"&lt;="&amp;ABS($D219)*1.02)&gt;0,"🟡 Valor próximo de um lançamento","❌ Não localizado")))</f>
        <v/>
      </c>
    </row>
    <row r="220">
      <c r="A220" s="36" t="n"/>
      <c r="B220" s="29" t="n"/>
      <c r="C220" s="14" t="n"/>
      <c r="D220" s="35" t="n"/>
      <c r="E220" s="14" t="n"/>
      <c r="F220" s="29" t="n"/>
      <c r="G220" s="14" t="n"/>
      <c r="H220" s="29" t="n"/>
      <c r="I220" s="14" t="n"/>
      <c r="J220" s="29" t="n"/>
      <c r="K220" s="18">
        <f>IF($D220="","",IF($E220="Débito",-ABS($D220),ABS($D220)))</f>
        <v/>
      </c>
      <c r="L220" s="9">
        <f>IF($A220="","",IF(COUNTIFS('LANÇAMENTOS'!$D$6:$D$2005,$A220,'LANÇAMENTOS'!$V$6:$V$2005,ABS($D220),'LANÇAMENTOS'!$L$6:$L$2005,$F220)&gt;0,"✔ Encontrado na planilha",IF(COUNTIFS('LANÇAMENTOS'!$D$6:$D$2005,$A220,'LANÇAMENTOS'!$V$6:$V$2005,"&gt;="&amp;ABS($D220)*0.98,'LANÇAMENTOS'!$V$6:$V$2005,"&lt;="&amp;ABS($D220)*1.02)&gt;0,"🟡 Valor próximo de um lançamento","❌ Não localizado")))</f>
        <v/>
      </c>
    </row>
    <row r="221">
      <c r="A221" s="36" t="n"/>
      <c r="B221" s="29" t="n"/>
      <c r="C221" s="14" t="n"/>
      <c r="D221" s="35" t="n"/>
      <c r="E221" s="14" t="n"/>
      <c r="F221" s="29" t="n"/>
      <c r="G221" s="14" t="n"/>
      <c r="H221" s="29" t="n"/>
      <c r="I221" s="14" t="n"/>
      <c r="J221" s="29" t="n"/>
      <c r="K221" s="18">
        <f>IF($D221="","",IF($E221="Débito",-ABS($D221),ABS($D221)))</f>
        <v/>
      </c>
      <c r="L221" s="9">
        <f>IF($A221="","",IF(COUNTIFS('LANÇAMENTOS'!$D$6:$D$2005,$A221,'LANÇAMENTOS'!$V$6:$V$2005,ABS($D221),'LANÇAMENTOS'!$L$6:$L$2005,$F221)&gt;0,"✔ Encontrado na planilha",IF(COUNTIFS('LANÇAMENTOS'!$D$6:$D$2005,$A221,'LANÇAMENTOS'!$V$6:$V$2005,"&gt;="&amp;ABS($D221)*0.98,'LANÇAMENTOS'!$V$6:$V$2005,"&lt;="&amp;ABS($D221)*1.02)&gt;0,"🟡 Valor próximo de um lançamento","❌ Não localizado")))</f>
        <v/>
      </c>
    </row>
    <row r="222">
      <c r="A222" s="36" t="n"/>
      <c r="B222" s="29" t="n"/>
      <c r="C222" s="14" t="n"/>
      <c r="D222" s="35" t="n"/>
      <c r="E222" s="14" t="n"/>
      <c r="F222" s="29" t="n"/>
      <c r="G222" s="14" t="n"/>
      <c r="H222" s="29" t="n"/>
      <c r="I222" s="14" t="n"/>
      <c r="J222" s="29" t="n"/>
      <c r="K222" s="18">
        <f>IF($D222="","",IF($E222="Débito",-ABS($D222),ABS($D222)))</f>
        <v/>
      </c>
      <c r="L222" s="9">
        <f>IF($A222="","",IF(COUNTIFS('LANÇAMENTOS'!$D$6:$D$2005,$A222,'LANÇAMENTOS'!$V$6:$V$2005,ABS($D222),'LANÇAMENTOS'!$L$6:$L$2005,$F222)&gt;0,"✔ Encontrado na planilha",IF(COUNTIFS('LANÇAMENTOS'!$D$6:$D$2005,$A222,'LANÇAMENTOS'!$V$6:$V$2005,"&gt;="&amp;ABS($D222)*0.98,'LANÇAMENTOS'!$V$6:$V$2005,"&lt;="&amp;ABS($D222)*1.02)&gt;0,"🟡 Valor próximo de um lançamento","❌ Não localizado")))</f>
        <v/>
      </c>
    </row>
    <row r="223">
      <c r="A223" s="36" t="n"/>
      <c r="B223" s="29" t="n"/>
      <c r="C223" s="14" t="n"/>
      <c r="D223" s="35" t="n"/>
      <c r="E223" s="14" t="n"/>
      <c r="F223" s="29" t="n"/>
      <c r="G223" s="14" t="n"/>
      <c r="H223" s="29" t="n"/>
      <c r="I223" s="14" t="n"/>
      <c r="J223" s="29" t="n"/>
      <c r="K223" s="18">
        <f>IF($D223="","",IF($E223="Débito",-ABS($D223),ABS($D223)))</f>
        <v/>
      </c>
      <c r="L223" s="9">
        <f>IF($A223="","",IF(COUNTIFS('LANÇAMENTOS'!$D$6:$D$2005,$A223,'LANÇAMENTOS'!$V$6:$V$2005,ABS($D223),'LANÇAMENTOS'!$L$6:$L$2005,$F223)&gt;0,"✔ Encontrado na planilha",IF(COUNTIFS('LANÇAMENTOS'!$D$6:$D$2005,$A223,'LANÇAMENTOS'!$V$6:$V$2005,"&gt;="&amp;ABS($D223)*0.98,'LANÇAMENTOS'!$V$6:$V$2005,"&lt;="&amp;ABS($D223)*1.02)&gt;0,"🟡 Valor próximo de um lançamento","❌ Não localizado")))</f>
        <v/>
      </c>
    </row>
    <row r="224">
      <c r="A224" s="36" t="n"/>
      <c r="B224" s="29" t="n"/>
      <c r="C224" s="14" t="n"/>
      <c r="D224" s="35" t="n"/>
      <c r="E224" s="14" t="n"/>
      <c r="F224" s="29" t="n"/>
      <c r="G224" s="14" t="n"/>
      <c r="H224" s="29" t="n"/>
      <c r="I224" s="14" t="n"/>
      <c r="J224" s="29" t="n"/>
      <c r="K224" s="18">
        <f>IF($D224="","",IF($E224="Débito",-ABS($D224),ABS($D224)))</f>
        <v/>
      </c>
      <c r="L224" s="9">
        <f>IF($A224="","",IF(COUNTIFS('LANÇAMENTOS'!$D$6:$D$2005,$A224,'LANÇAMENTOS'!$V$6:$V$2005,ABS($D224),'LANÇAMENTOS'!$L$6:$L$2005,$F224)&gt;0,"✔ Encontrado na planilha",IF(COUNTIFS('LANÇAMENTOS'!$D$6:$D$2005,$A224,'LANÇAMENTOS'!$V$6:$V$2005,"&gt;="&amp;ABS($D224)*0.98,'LANÇAMENTOS'!$V$6:$V$2005,"&lt;="&amp;ABS($D224)*1.02)&gt;0,"🟡 Valor próximo de um lançamento","❌ Não localizado")))</f>
        <v/>
      </c>
    </row>
    <row r="225">
      <c r="A225" s="36" t="n"/>
      <c r="B225" s="29" t="n"/>
      <c r="C225" s="14" t="n"/>
      <c r="D225" s="35" t="n"/>
      <c r="E225" s="14" t="n"/>
      <c r="F225" s="29" t="n"/>
      <c r="G225" s="14" t="n"/>
      <c r="H225" s="29" t="n"/>
      <c r="I225" s="14" t="n"/>
      <c r="J225" s="29" t="n"/>
      <c r="K225" s="18">
        <f>IF($D225="","",IF($E225="Débito",-ABS($D225),ABS($D225)))</f>
        <v/>
      </c>
      <c r="L225" s="9">
        <f>IF($A225="","",IF(COUNTIFS('LANÇAMENTOS'!$D$6:$D$2005,$A225,'LANÇAMENTOS'!$V$6:$V$2005,ABS($D225),'LANÇAMENTOS'!$L$6:$L$2005,$F225)&gt;0,"✔ Encontrado na planilha",IF(COUNTIFS('LANÇAMENTOS'!$D$6:$D$2005,$A225,'LANÇAMENTOS'!$V$6:$V$2005,"&gt;="&amp;ABS($D225)*0.98,'LANÇAMENTOS'!$V$6:$V$2005,"&lt;="&amp;ABS($D225)*1.02)&gt;0,"🟡 Valor próximo de um lançamento","❌ Não localizado")))</f>
        <v/>
      </c>
    </row>
    <row r="226">
      <c r="A226" s="36" t="n"/>
      <c r="B226" s="29" t="n"/>
      <c r="C226" s="14" t="n"/>
      <c r="D226" s="35" t="n"/>
      <c r="E226" s="14" t="n"/>
      <c r="F226" s="29" t="n"/>
      <c r="G226" s="14" t="n"/>
      <c r="H226" s="29" t="n"/>
      <c r="I226" s="14" t="n"/>
      <c r="J226" s="29" t="n"/>
      <c r="K226" s="18">
        <f>IF($D226="","",IF($E226="Débito",-ABS($D226),ABS($D226)))</f>
        <v/>
      </c>
      <c r="L226" s="9">
        <f>IF($A226="","",IF(COUNTIFS('LANÇAMENTOS'!$D$6:$D$2005,$A226,'LANÇAMENTOS'!$V$6:$V$2005,ABS($D226),'LANÇAMENTOS'!$L$6:$L$2005,$F226)&gt;0,"✔ Encontrado na planilha",IF(COUNTIFS('LANÇAMENTOS'!$D$6:$D$2005,$A226,'LANÇAMENTOS'!$V$6:$V$2005,"&gt;="&amp;ABS($D226)*0.98,'LANÇAMENTOS'!$V$6:$V$2005,"&lt;="&amp;ABS($D226)*1.02)&gt;0,"🟡 Valor próximo de um lançamento","❌ Não localizado")))</f>
        <v/>
      </c>
    </row>
    <row r="227">
      <c r="A227" s="36" t="n"/>
      <c r="B227" s="29" t="n"/>
      <c r="C227" s="14" t="n"/>
      <c r="D227" s="35" t="n"/>
      <c r="E227" s="14" t="n"/>
      <c r="F227" s="29" t="n"/>
      <c r="G227" s="14" t="n"/>
      <c r="H227" s="29" t="n"/>
      <c r="I227" s="14" t="n"/>
      <c r="J227" s="29" t="n"/>
      <c r="K227" s="18">
        <f>IF($D227="","",IF($E227="Débito",-ABS($D227),ABS($D227)))</f>
        <v/>
      </c>
      <c r="L227" s="9">
        <f>IF($A227="","",IF(COUNTIFS('LANÇAMENTOS'!$D$6:$D$2005,$A227,'LANÇAMENTOS'!$V$6:$V$2005,ABS($D227),'LANÇAMENTOS'!$L$6:$L$2005,$F227)&gt;0,"✔ Encontrado na planilha",IF(COUNTIFS('LANÇAMENTOS'!$D$6:$D$2005,$A227,'LANÇAMENTOS'!$V$6:$V$2005,"&gt;="&amp;ABS($D227)*0.98,'LANÇAMENTOS'!$V$6:$V$2005,"&lt;="&amp;ABS($D227)*1.02)&gt;0,"🟡 Valor próximo de um lançamento","❌ Não localizado")))</f>
        <v/>
      </c>
    </row>
    <row r="228">
      <c r="A228" s="36" t="n"/>
      <c r="B228" s="29" t="n"/>
      <c r="C228" s="14" t="n"/>
      <c r="D228" s="35" t="n"/>
      <c r="E228" s="14" t="n"/>
      <c r="F228" s="29" t="n"/>
      <c r="G228" s="14" t="n"/>
      <c r="H228" s="29" t="n"/>
      <c r="I228" s="14" t="n"/>
      <c r="J228" s="29" t="n"/>
      <c r="K228" s="18">
        <f>IF($D228="","",IF($E228="Débito",-ABS($D228),ABS($D228)))</f>
        <v/>
      </c>
      <c r="L228" s="9">
        <f>IF($A228="","",IF(COUNTIFS('LANÇAMENTOS'!$D$6:$D$2005,$A228,'LANÇAMENTOS'!$V$6:$V$2005,ABS($D228),'LANÇAMENTOS'!$L$6:$L$2005,$F228)&gt;0,"✔ Encontrado na planilha",IF(COUNTIFS('LANÇAMENTOS'!$D$6:$D$2005,$A228,'LANÇAMENTOS'!$V$6:$V$2005,"&gt;="&amp;ABS($D228)*0.98,'LANÇAMENTOS'!$V$6:$V$2005,"&lt;="&amp;ABS($D228)*1.02)&gt;0,"🟡 Valor próximo de um lançamento","❌ Não localizado")))</f>
        <v/>
      </c>
    </row>
    <row r="229">
      <c r="A229" s="36" t="n"/>
      <c r="B229" s="29" t="n"/>
      <c r="C229" s="14" t="n"/>
      <c r="D229" s="35" t="n"/>
      <c r="E229" s="14" t="n"/>
      <c r="F229" s="29" t="n"/>
      <c r="G229" s="14" t="n"/>
      <c r="H229" s="29" t="n"/>
      <c r="I229" s="14" t="n"/>
      <c r="J229" s="29" t="n"/>
      <c r="K229" s="18">
        <f>IF($D229="","",IF($E229="Débito",-ABS($D229),ABS($D229)))</f>
        <v/>
      </c>
      <c r="L229" s="9">
        <f>IF($A229="","",IF(COUNTIFS('LANÇAMENTOS'!$D$6:$D$2005,$A229,'LANÇAMENTOS'!$V$6:$V$2005,ABS($D229),'LANÇAMENTOS'!$L$6:$L$2005,$F229)&gt;0,"✔ Encontrado na planilha",IF(COUNTIFS('LANÇAMENTOS'!$D$6:$D$2005,$A229,'LANÇAMENTOS'!$V$6:$V$2005,"&gt;="&amp;ABS($D229)*0.98,'LANÇAMENTOS'!$V$6:$V$2005,"&lt;="&amp;ABS($D229)*1.02)&gt;0,"🟡 Valor próximo de um lançamento","❌ Não localizado")))</f>
        <v/>
      </c>
    </row>
    <row r="230">
      <c r="A230" s="36" t="n"/>
      <c r="B230" s="29" t="n"/>
      <c r="C230" s="14" t="n"/>
      <c r="D230" s="35" t="n"/>
      <c r="E230" s="14" t="n"/>
      <c r="F230" s="29" t="n"/>
      <c r="G230" s="14" t="n"/>
      <c r="H230" s="29" t="n"/>
      <c r="I230" s="14" t="n"/>
      <c r="J230" s="29" t="n"/>
      <c r="K230" s="18">
        <f>IF($D230="","",IF($E230="Débito",-ABS($D230),ABS($D230)))</f>
        <v/>
      </c>
      <c r="L230" s="9">
        <f>IF($A230="","",IF(COUNTIFS('LANÇAMENTOS'!$D$6:$D$2005,$A230,'LANÇAMENTOS'!$V$6:$V$2005,ABS($D230),'LANÇAMENTOS'!$L$6:$L$2005,$F230)&gt;0,"✔ Encontrado na planilha",IF(COUNTIFS('LANÇAMENTOS'!$D$6:$D$2005,$A230,'LANÇAMENTOS'!$V$6:$V$2005,"&gt;="&amp;ABS($D230)*0.98,'LANÇAMENTOS'!$V$6:$V$2005,"&lt;="&amp;ABS($D230)*1.02)&gt;0,"🟡 Valor próximo de um lançamento","❌ Não localizado")))</f>
        <v/>
      </c>
    </row>
    <row r="231">
      <c r="A231" s="36" t="n"/>
      <c r="B231" s="29" t="n"/>
      <c r="C231" s="14" t="n"/>
      <c r="D231" s="35" t="n"/>
      <c r="E231" s="14" t="n"/>
      <c r="F231" s="29" t="n"/>
      <c r="G231" s="14" t="n"/>
      <c r="H231" s="29" t="n"/>
      <c r="I231" s="14" t="n"/>
      <c r="J231" s="29" t="n"/>
      <c r="K231" s="18">
        <f>IF($D231="","",IF($E231="Débito",-ABS($D231),ABS($D231)))</f>
        <v/>
      </c>
      <c r="L231" s="9">
        <f>IF($A231="","",IF(COUNTIFS('LANÇAMENTOS'!$D$6:$D$2005,$A231,'LANÇAMENTOS'!$V$6:$V$2005,ABS($D231),'LANÇAMENTOS'!$L$6:$L$2005,$F231)&gt;0,"✔ Encontrado na planilha",IF(COUNTIFS('LANÇAMENTOS'!$D$6:$D$2005,$A231,'LANÇAMENTOS'!$V$6:$V$2005,"&gt;="&amp;ABS($D231)*0.98,'LANÇAMENTOS'!$V$6:$V$2005,"&lt;="&amp;ABS($D231)*1.02)&gt;0,"🟡 Valor próximo de um lançamento","❌ Não localizado")))</f>
        <v/>
      </c>
    </row>
    <row r="232">
      <c r="A232" s="36" t="n"/>
      <c r="B232" s="29" t="n"/>
      <c r="C232" s="14" t="n"/>
      <c r="D232" s="35" t="n"/>
      <c r="E232" s="14" t="n"/>
      <c r="F232" s="29" t="n"/>
      <c r="G232" s="14" t="n"/>
      <c r="H232" s="29" t="n"/>
      <c r="I232" s="14" t="n"/>
      <c r="J232" s="29" t="n"/>
      <c r="K232" s="18">
        <f>IF($D232="","",IF($E232="Débito",-ABS($D232),ABS($D232)))</f>
        <v/>
      </c>
      <c r="L232" s="9">
        <f>IF($A232="","",IF(COUNTIFS('LANÇAMENTOS'!$D$6:$D$2005,$A232,'LANÇAMENTOS'!$V$6:$V$2005,ABS($D232),'LANÇAMENTOS'!$L$6:$L$2005,$F232)&gt;0,"✔ Encontrado na planilha",IF(COUNTIFS('LANÇAMENTOS'!$D$6:$D$2005,$A232,'LANÇAMENTOS'!$V$6:$V$2005,"&gt;="&amp;ABS($D232)*0.98,'LANÇAMENTOS'!$V$6:$V$2005,"&lt;="&amp;ABS($D232)*1.02)&gt;0,"🟡 Valor próximo de um lançamento","❌ Não localizado")))</f>
        <v/>
      </c>
    </row>
    <row r="233">
      <c r="A233" s="36" t="n"/>
      <c r="B233" s="29" t="n"/>
      <c r="C233" s="14" t="n"/>
      <c r="D233" s="35" t="n"/>
      <c r="E233" s="14" t="n"/>
      <c r="F233" s="29" t="n"/>
      <c r="G233" s="14" t="n"/>
      <c r="H233" s="29" t="n"/>
      <c r="I233" s="14" t="n"/>
      <c r="J233" s="29" t="n"/>
      <c r="K233" s="18">
        <f>IF($D233="","",IF($E233="Débito",-ABS($D233),ABS($D233)))</f>
        <v/>
      </c>
      <c r="L233" s="9">
        <f>IF($A233="","",IF(COUNTIFS('LANÇAMENTOS'!$D$6:$D$2005,$A233,'LANÇAMENTOS'!$V$6:$V$2005,ABS($D233),'LANÇAMENTOS'!$L$6:$L$2005,$F233)&gt;0,"✔ Encontrado na planilha",IF(COUNTIFS('LANÇAMENTOS'!$D$6:$D$2005,$A233,'LANÇAMENTOS'!$V$6:$V$2005,"&gt;="&amp;ABS($D233)*0.98,'LANÇAMENTOS'!$V$6:$V$2005,"&lt;="&amp;ABS($D233)*1.02)&gt;0,"🟡 Valor próximo de um lançamento","❌ Não localizado")))</f>
        <v/>
      </c>
    </row>
    <row r="234">
      <c r="A234" s="36" t="n"/>
      <c r="B234" s="29" t="n"/>
      <c r="C234" s="14" t="n"/>
      <c r="D234" s="35" t="n"/>
      <c r="E234" s="14" t="n"/>
      <c r="F234" s="29" t="n"/>
      <c r="G234" s="14" t="n"/>
      <c r="H234" s="29" t="n"/>
      <c r="I234" s="14" t="n"/>
      <c r="J234" s="29" t="n"/>
      <c r="K234" s="18">
        <f>IF($D234="","",IF($E234="Débito",-ABS($D234),ABS($D234)))</f>
        <v/>
      </c>
      <c r="L234" s="9">
        <f>IF($A234="","",IF(COUNTIFS('LANÇAMENTOS'!$D$6:$D$2005,$A234,'LANÇAMENTOS'!$V$6:$V$2005,ABS($D234),'LANÇAMENTOS'!$L$6:$L$2005,$F234)&gt;0,"✔ Encontrado na planilha",IF(COUNTIFS('LANÇAMENTOS'!$D$6:$D$2005,$A234,'LANÇAMENTOS'!$V$6:$V$2005,"&gt;="&amp;ABS($D234)*0.98,'LANÇAMENTOS'!$V$6:$V$2005,"&lt;="&amp;ABS($D234)*1.02)&gt;0,"🟡 Valor próximo de um lançamento","❌ Não localizado")))</f>
        <v/>
      </c>
    </row>
    <row r="235">
      <c r="A235" s="36" t="n"/>
      <c r="B235" s="29" t="n"/>
      <c r="C235" s="14" t="n"/>
      <c r="D235" s="35" t="n"/>
      <c r="E235" s="14" t="n"/>
      <c r="F235" s="29" t="n"/>
      <c r="G235" s="14" t="n"/>
      <c r="H235" s="29" t="n"/>
      <c r="I235" s="14" t="n"/>
      <c r="J235" s="29" t="n"/>
      <c r="K235" s="18">
        <f>IF($D235="","",IF($E235="Débito",-ABS($D235),ABS($D235)))</f>
        <v/>
      </c>
      <c r="L235" s="9">
        <f>IF($A235="","",IF(COUNTIFS('LANÇAMENTOS'!$D$6:$D$2005,$A235,'LANÇAMENTOS'!$V$6:$V$2005,ABS($D235),'LANÇAMENTOS'!$L$6:$L$2005,$F235)&gt;0,"✔ Encontrado na planilha",IF(COUNTIFS('LANÇAMENTOS'!$D$6:$D$2005,$A235,'LANÇAMENTOS'!$V$6:$V$2005,"&gt;="&amp;ABS($D235)*0.98,'LANÇAMENTOS'!$V$6:$V$2005,"&lt;="&amp;ABS($D235)*1.02)&gt;0,"🟡 Valor próximo de um lançamento","❌ Não localizado")))</f>
        <v/>
      </c>
    </row>
    <row r="236">
      <c r="A236" s="36" t="n"/>
      <c r="B236" s="29" t="n"/>
      <c r="C236" s="14" t="n"/>
      <c r="D236" s="35" t="n"/>
      <c r="E236" s="14" t="n"/>
      <c r="F236" s="29" t="n"/>
      <c r="G236" s="14" t="n"/>
      <c r="H236" s="29" t="n"/>
      <c r="I236" s="14" t="n"/>
      <c r="J236" s="29" t="n"/>
      <c r="K236" s="18">
        <f>IF($D236="","",IF($E236="Débito",-ABS($D236),ABS($D236)))</f>
        <v/>
      </c>
      <c r="L236" s="9">
        <f>IF($A236="","",IF(COUNTIFS('LANÇAMENTOS'!$D$6:$D$2005,$A236,'LANÇAMENTOS'!$V$6:$V$2005,ABS($D236),'LANÇAMENTOS'!$L$6:$L$2005,$F236)&gt;0,"✔ Encontrado na planilha",IF(COUNTIFS('LANÇAMENTOS'!$D$6:$D$2005,$A236,'LANÇAMENTOS'!$V$6:$V$2005,"&gt;="&amp;ABS($D236)*0.98,'LANÇAMENTOS'!$V$6:$V$2005,"&lt;="&amp;ABS($D236)*1.02)&gt;0,"🟡 Valor próximo de um lançamento","❌ Não localizado")))</f>
        <v/>
      </c>
    </row>
    <row r="237">
      <c r="A237" s="36" t="n"/>
      <c r="B237" s="29" t="n"/>
      <c r="C237" s="14" t="n"/>
      <c r="D237" s="35" t="n"/>
      <c r="E237" s="14" t="n"/>
      <c r="F237" s="29" t="n"/>
      <c r="G237" s="14" t="n"/>
      <c r="H237" s="29" t="n"/>
      <c r="I237" s="14" t="n"/>
      <c r="J237" s="29" t="n"/>
      <c r="K237" s="18">
        <f>IF($D237="","",IF($E237="Débito",-ABS($D237),ABS($D237)))</f>
        <v/>
      </c>
      <c r="L237" s="9">
        <f>IF($A237="","",IF(COUNTIFS('LANÇAMENTOS'!$D$6:$D$2005,$A237,'LANÇAMENTOS'!$V$6:$V$2005,ABS($D237),'LANÇAMENTOS'!$L$6:$L$2005,$F237)&gt;0,"✔ Encontrado na planilha",IF(COUNTIFS('LANÇAMENTOS'!$D$6:$D$2005,$A237,'LANÇAMENTOS'!$V$6:$V$2005,"&gt;="&amp;ABS($D237)*0.98,'LANÇAMENTOS'!$V$6:$V$2005,"&lt;="&amp;ABS($D237)*1.02)&gt;0,"🟡 Valor próximo de um lançamento","❌ Não localizado")))</f>
        <v/>
      </c>
    </row>
    <row r="238">
      <c r="A238" s="36" t="n"/>
      <c r="B238" s="29" t="n"/>
      <c r="C238" s="14" t="n"/>
      <c r="D238" s="35" t="n"/>
      <c r="E238" s="14" t="n"/>
      <c r="F238" s="29" t="n"/>
      <c r="G238" s="14" t="n"/>
      <c r="H238" s="29" t="n"/>
      <c r="I238" s="14" t="n"/>
      <c r="J238" s="29" t="n"/>
      <c r="K238" s="18">
        <f>IF($D238="","",IF($E238="Débito",-ABS($D238),ABS($D238)))</f>
        <v/>
      </c>
      <c r="L238" s="9">
        <f>IF($A238="","",IF(COUNTIFS('LANÇAMENTOS'!$D$6:$D$2005,$A238,'LANÇAMENTOS'!$V$6:$V$2005,ABS($D238),'LANÇAMENTOS'!$L$6:$L$2005,$F238)&gt;0,"✔ Encontrado na planilha",IF(COUNTIFS('LANÇAMENTOS'!$D$6:$D$2005,$A238,'LANÇAMENTOS'!$V$6:$V$2005,"&gt;="&amp;ABS($D238)*0.98,'LANÇAMENTOS'!$V$6:$V$2005,"&lt;="&amp;ABS($D238)*1.02)&gt;0,"🟡 Valor próximo de um lançamento","❌ Não localizado")))</f>
        <v/>
      </c>
    </row>
    <row r="239">
      <c r="A239" s="36" t="n"/>
      <c r="B239" s="29" t="n"/>
      <c r="C239" s="14" t="n"/>
      <c r="D239" s="35" t="n"/>
      <c r="E239" s="14" t="n"/>
      <c r="F239" s="29" t="n"/>
      <c r="G239" s="14" t="n"/>
      <c r="H239" s="29" t="n"/>
      <c r="I239" s="14" t="n"/>
      <c r="J239" s="29" t="n"/>
      <c r="K239" s="18">
        <f>IF($D239="","",IF($E239="Débito",-ABS($D239),ABS($D239)))</f>
        <v/>
      </c>
      <c r="L239" s="9">
        <f>IF($A239="","",IF(COUNTIFS('LANÇAMENTOS'!$D$6:$D$2005,$A239,'LANÇAMENTOS'!$V$6:$V$2005,ABS($D239),'LANÇAMENTOS'!$L$6:$L$2005,$F239)&gt;0,"✔ Encontrado na planilha",IF(COUNTIFS('LANÇAMENTOS'!$D$6:$D$2005,$A239,'LANÇAMENTOS'!$V$6:$V$2005,"&gt;="&amp;ABS($D239)*0.98,'LANÇAMENTOS'!$V$6:$V$2005,"&lt;="&amp;ABS($D239)*1.02)&gt;0,"🟡 Valor próximo de um lançamento","❌ Não localizado")))</f>
        <v/>
      </c>
    </row>
    <row r="240">
      <c r="A240" s="36" t="n"/>
      <c r="B240" s="29" t="n"/>
      <c r="C240" s="14" t="n"/>
      <c r="D240" s="35" t="n"/>
      <c r="E240" s="14" t="n"/>
      <c r="F240" s="29" t="n"/>
      <c r="G240" s="14" t="n"/>
      <c r="H240" s="29" t="n"/>
      <c r="I240" s="14" t="n"/>
      <c r="J240" s="29" t="n"/>
      <c r="K240" s="18">
        <f>IF($D240="","",IF($E240="Débito",-ABS($D240),ABS($D240)))</f>
        <v/>
      </c>
      <c r="L240" s="9">
        <f>IF($A240="","",IF(COUNTIFS('LANÇAMENTOS'!$D$6:$D$2005,$A240,'LANÇAMENTOS'!$V$6:$V$2005,ABS($D240),'LANÇAMENTOS'!$L$6:$L$2005,$F240)&gt;0,"✔ Encontrado na planilha",IF(COUNTIFS('LANÇAMENTOS'!$D$6:$D$2005,$A240,'LANÇAMENTOS'!$V$6:$V$2005,"&gt;="&amp;ABS($D240)*0.98,'LANÇAMENTOS'!$V$6:$V$2005,"&lt;="&amp;ABS($D240)*1.02)&gt;0,"🟡 Valor próximo de um lançamento","❌ Não localizado")))</f>
        <v/>
      </c>
    </row>
    <row r="241">
      <c r="A241" s="36" t="n"/>
      <c r="B241" s="29" t="n"/>
      <c r="C241" s="14" t="n"/>
      <c r="D241" s="35" t="n"/>
      <c r="E241" s="14" t="n"/>
      <c r="F241" s="29" t="n"/>
      <c r="G241" s="14" t="n"/>
      <c r="H241" s="29" t="n"/>
      <c r="I241" s="14" t="n"/>
      <c r="J241" s="29" t="n"/>
      <c r="K241" s="18">
        <f>IF($D241="","",IF($E241="Débito",-ABS($D241),ABS($D241)))</f>
        <v/>
      </c>
      <c r="L241" s="9">
        <f>IF($A241="","",IF(COUNTIFS('LANÇAMENTOS'!$D$6:$D$2005,$A241,'LANÇAMENTOS'!$V$6:$V$2005,ABS($D241),'LANÇAMENTOS'!$L$6:$L$2005,$F241)&gt;0,"✔ Encontrado na planilha",IF(COUNTIFS('LANÇAMENTOS'!$D$6:$D$2005,$A241,'LANÇAMENTOS'!$V$6:$V$2005,"&gt;="&amp;ABS($D241)*0.98,'LANÇAMENTOS'!$V$6:$V$2005,"&lt;="&amp;ABS($D241)*1.02)&gt;0,"🟡 Valor próximo de um lançamento","❌ Não localizado")))</f>
        <v/>
      </c>
    </row>
    <row r="242">
      <c r="A242" s="36" t="n"/>
      <c r="B242" s="29" t="n"/>
      <c r="C242" s="14" t="n"/>
      <c r="D242" s="35" t="n"/>
      <c r="E242" s="14" t="n"/>
      <c r="F242" s="29" t="n"/>
      <c r="G242" s="14" t="n"/>
      <c r="H242" s="29" t="n"/>
      <c r="I242" s="14" t="n"/>
      <c r="J242" s="29" t="n"/>
      <c r="K242" s="18">
        <f>IF($D242="","",IF($E242="Débito",-ABS($D242),ABS($D242)))</f>
        <v/>
      </c>
      <c r="L242" s="9">
        <f>IF($A242="","",IF(COUNTIFS('LANÇAMENTOS'!$D$6:$D$2005,$A242,'LANÇAMENTOS'!$V$6:$V$2005,ABS($D242),'LANÇAMENTOS'!$L$6:$L$2005,$F242)&gt;0,"✔ Encontrado na planilha",IF(COUNTIFS('LANÇAMENTOS'!$D$6:$D$2005,$A242,'LANÇAMENTOS'!$V$6:$V$2005,"&gt;="&amp;ABS($D242)*0.98,'LANÇAMENTOS'!$V$6:$V$2005,"&lt;="&amp;ABS($D242)*1.02)&gt;0,"🟡 Valor próximo de um lançamento","❌ Não localizado")))</f>
        <v/>
      </c>
    </row>
    <row r="243">
      <c r="A243" s="36" t="n"/>
      <c r="B243" s="29" t="n"/>
      <c r="C243" s="14" t="n"/>
      <c r="D243" s="35" t="n"/>
      <c r="E243" s="14" t="n"/>
      <c r="F243" s="29" t="n"/>
      <c r="G243" s="14" t="n"/>
      <c r="H243" s="29" t="n"/>
      <c r="I243" s="14" t="n"/>
      <c r="J243" s="29" t="n"/>
      <c r="K243" s="18">
        <f>IF($D243="","",IF($E243="Débito",-ABS($D243),ABS($D243)))</f>
        <v/>
      </c>
      <c r="L243" s="9">
        <f>IF($A243="","",IF(COUNTIFS('LANÇAMENTOS'!$D$6:$D$2005,$A243,'LANÇAMENTOS'!$V$6:$V$2005,ABS($D243),'LANÇAMENTOS'!$L$6:$L$2005,$F243)&gt;0,"✔ Encontrado na planilha",IF(COUNTIFS('LANÇAMENTOS'!$D$6:$D$2005,$A243,'LANÇAMENTOS'!$V$6:$V$2005,"&gt;="&amp;ABS($D243)*0.98,'LANÇAMENTOS'!$V$6:$V$2005,"&lt;="&amp;ABS($D243)*1.02)&gt;0,"🟡 Valor próximo de um lançamento","❌ Não localizado")))</f>
        <v/>
      </c>
    </row>
    <row r="244">
      <c r="A244" s="36" t="n"/>
      <c r="B244" s="29" t="n"/>
      <c r="C244" s="14" t="n"/>
      <c r="D244" s="35" t="n"/>
      <c r="E244" s="14" t="n"/>
      <c r="F244" s="29" t="n"/>
      <c r="G244" s="14" t="n"/>
      <c r="H244" s="29" t="n"/>
      <c r="I244" s="14" t="n"/>
      <c r="J244" s="29" t="n"/>
      <c r="K244" s="18">
        <f>IF($D244="","",IF($E244="Débito",-ABS($D244),ABS($D244)))</f>
        <v/>
      </c>
      <c r="L244" s="9">
        <f>IF($A244="","",IF(COUNTIFS('LANÇAMENTOS'!$D$6:$D$2005,$A244,'LANÇAMENTOS'!$V$6:$V$2005,ABS($D244),'LANÇAMENTOS'!$L$6:$L$2005,$F244)&gt;0,"✔ Encontrado na planilha",IF(COUNTIFS('LANÇAMENTOS'!$D$6:$D$2005,$A244,'LANÇAMENTOS'!$V$6:$V$2005,"&gt;="&amp;ABS($D244)*0.98,'LANÇAMENTOS'!$V$6:$V$2005,"&lt;="&amp;ABS($D244)*1.02)&gt;0,"🟡 Valor próximo de um lançamento","❌ Não localizado")))</f>
        <v/>
      </c>
    </row>
    <row r="245">
      <c r="A245" s="36" t="n"/>
      <c r="B245" s="29" t="n"/>
      <c r="C245" s="14" t="n"/>
      <c r="D245" s="35" t="n"/>
      <c r="E245" s="14" t="n"/>
      <c r="F245" s="29" t="n"/>
      <c r="G245" s="14" t="n"/>
      <c r="H245" s="29" t="n"/>
      <c r="I245" s="14" t="n"/>
      <c r="J245" s="29" t="n"/>
      <c r="K245" s="18">
        <f>IF($D245="","",IF($E245="Débito",-ABS($D245),ABS($D245)))</f>
        <v/>
      </c>
      <c r="L245" s="9">
        <f>IF($A245="","",IF(COUNTIFS('LANÇAMENTOS'!$D$6:$D$2005,$A245,'LANÇAMENTOS'!$V$6:$V$2005,ABS($D245),'LANÇAMENTOS'!$L$6:$L$2005,$F245)&gt;0,"✔ Encontrado na planilha",IF(COUNTIFS('LANÇAMENTOS'!$D$6:$D$2005,$A245,'LANÇAMENTOS'!$V$6:$V$2005,"&gt;="&amp;ABS($D245)*0.98,'LANÇAMENTOS'!$V$6:$V$2005,"&lt;="&amp;ABS($D245)*1.02)&gt;0,"🟡 Valor próximo de um lançamento","❌ Não localizado")))</f>
        <v/>
      </c>
    </row>
    <row r="246">
      <c r="A246" s="36" t="n"/>
      <c r="B246" s="29" t="n"/>
      <c r="C246" s="14" t="n"/>
      <c r="D246" s="35" t="n"/>
      <c r="E246" s="14" t="n"/>
      <c r="F246" s="29" t="n"/>
      <c r="G246" s="14" t="n"/>
      <c r="H246" s="29" t="n"/>
      <c r="I246" s="14" t="n"/>
      <c r="J246" s="29" t="n"/>
      <c r="K246" s="18">
        <f>IF($D246="","",IF($E246="Débito",-ABS($D246),ABS($D246)))</f>
        <v/>
      </c>
      <c r="L246" s="9">
        <f>IF($A246="","",IF(COUNTIFS('LANÇAMENTOS'!$D$6:$D$2005,$A246,'LANÇAMENTOS'!$V$6:$V$2005,ABS($D246),'LANÇAMENTOS'!$L$6:$L$2005,$F246)&gt;0,"✔ Encontrado na planilha",IF(COUNTIFS('LANÇAMENTOS'!$D$6:$D$2005,$A246,'LANÇAMENTOS'!$V$6:$V$2005,"&gt;="&amp;ABS($D246)*0.98,'LANÇAMENTOS'!$V$6:$V$2005,"&lt;="&amp;ABS($D246)*1.02)&gt;0,"🟡 Valor próximo de um lançamento","❌ Não localizado")))</f>
        <v/>
      </c>
    </row>
    <row r="247">
      <c r="A247" s="36" t="n"/>
      <c r="B247" s="29" t="n"/>
      <c r="C247" s="14" t="n"/>
      <c r="D247" s="35" t="n"/>
      <c r="E247" s="14" t="n"/>
      <c r="F247" s="29" t="n"/>
      <c r="G247" s="14" t="n"/>
      <c r="H247" s="29" t="n"/>
      <c r="I247" s="14" t="n"/>
      <c r="J247" s="29" t="n"/>
      <c r="K247" s="18">
        <f>IF($D247="","",IF($E247="Débito",-ABS($D247),ABS($D247)))</f>
        <v/>
      </c>
      <c r="L247" s="9">
        <f>IF($A247="","",IF(COUNTIFS('LANÇAMENTOS'!$D$6:$D$2005,$A247,'LANÇAMENTOS'!$V$6:$V$2005,ABS($D247),'LANÇAMENTOS'!$L$6:$L$2005,$F247)&gt;0,"✔ Encontrado na planilha",IF(COUNTIFS('LANÇAMENTOS'!$D$6:$D$2005,$A247,'LANÇAMENTOS'!$V$6:$V$2005,"&gt;="&amp;ABS($D247)*0.98,'LANÇAMENTOS'!$V$6:$V$2005,"&lt;="&amp;ABS($D247)*1.02)&gt;0,"🟡 Valor próximo de um lançamento","❌ Não localizado")))</f>
        <v/>
      </c>
    </row>
    <row r="248">
      <c r="A248" s="36" t="n"/>
      <c r="B248" s="29" t="n"/>
      <c r="C248" s="14" t="n"/>
      <c r="D248" s="35" t="n"/>
      <c r="E248" s="14" t="n"/>
      <c r="F248" s="29" t="n"/>
      <c r="G248" s="14" t="n"/>
      <c r="H248" s="29" t="n"/>
      <c r="I248" s="14" t="n"/>
      <c r="J248" s="29" t="n"/>
      <c r="K248" s="18">
        <f>IF($D248="","",IF($E248="Débito",-ABS($D248),ABS($D248)))</f>
        <v/>
      </c>
      <c r="L248" s="9">
        <f>IF($A248="","",IF(COUNTIFS('LANÇAMENTOS'!$D$6:$D$2005,$A248,'LANÇAMENTOS'!$V$6:$V$2005,ABS($D248),'LANÇAMENTOS'!$L$6:$L$2005,$F248)&gt;0,"✔ Encontrado na planilha",IF(COUNTIFS('LANÇAMENTOS'!$D$6:$D$2005,$A248,'LANÇAMENTOS'!$V$6:$V$2005,"&gt;="&amp;ABS($D248)*0.98,'LANÇAMENTOS'!$V$6:$V$2005,"&lt;="&amp;ABS($D248)*1.02)&gt;0,"🟡 Valor próximo de um lançamento","❌ Não localizado")))</f>
        <v/>
      </c>
    </row>
    <row r="249">
      <c r="A249" s="36" t="n"/>
      <c r="B249" s="29" t="n"/>
      <c r="C249" s="14" t="n"/>
      <c r="D249" s="35" t="n"/>
      <c r="E249" s="14" t="n"/>
      <c r="F249" s="29" t="n"/>
      <c r="G249" s="14" t="n"/>
      <c r="H249" s="29" t="n"/>
      <c r="I249" s="14" t="n"/>
      <c r="J249" s="29" t="n"/>
      <c r="K249" s="18">
        <f>IF($D249="","",IF($E249="Débito",-ABS($D249),ABS($D249)))</f>
        <v/>
      </c>
      <c r="L249" s="9">
        <f>IF($A249="","",IF(COUNTIFS('LANÇAMENTOS'!$D$6:$D$2005,$A249,'LANÇAMENTOS'!$V$6:$V$2005,ABS($D249),'LANÇAMENTOS'!$L$6:$L$2005,$F249)&gt;0,"✔ Encontrado na planilha",IF(COUNTIFS('LANÇAMENTOS'!$D$6:$D$2005,$A249,'LANÇAMENTOS'!$V$6:$V$2005,"&gt;="&amp;ABS($D249)*0.98,'LANÇAMENTOS'!$V$6:$V$2005,"&lt;="&amp;ABS($D249)*1.02)&gt;0,"🟡 Valor próximo de um lançamento","❌ Não localizado")))</f>
        <v/>
      </c>
    </row>
    <row r="250">
      <c r="A250" s="36" t="n"/>
      <c r="B250" s="29" t="n"/>
      <c r="C250" s="14" t="n"/>
      <c r="D250" s="35" t="n"/>
      <c r="E250" s="14" t="n"/>
      <c r="F250" s="29" t="n"/>
      <c r="G250" s="14" t="n"/>
      <c r="H250" s="29" t="n"/>
      <c r="I250" s="14" t="n"/>
      <c r="J250" s="29" t="n"/>
      <c r="K250" s="18">
        <f>IF($D250="","",IF($E250="Débito",-ABS($D250),ABS($D250)))</f>
        <v/>
      </c>
      <c r="L250" s="9">
        <f>IF($A250="","",IF(COUNTIFS('LANÇAMENTOS'!$D$6:$D$2005,$A250,'LANÇAMENTOS'!$V$6:$V$2005,ABS($D250),'LANÇAMENTOS'!$L$6:$L$2005,$F250)&gt;0,"✔ Encontrado na planilha",IF(COUNTIFS('LANÇAMENTOS'!$D$6:$D$2005,$A250,'LANÇAMENTOS'!$V$6:$V$2005,"&gt;="&amp;ABS($D250)*0.98,'LANÇAMENTOS'!$V$6:$V$2005,"&lt;="&amp;ABS($D250)*1.02)&gt;0,"🟡 Valor próximo de um lançamento","❌ Não localizado")))</f>
        <v/>
      </c>
    </row>
    <row r="251">
      <c r="A251" s="36" t="n"/>
      <c r="B251" s="29" t="n"/>
      <c r="C251" s="14" t="n"/>
      <c r="D251" s="35" t="n"/>
      <c r="E251" s="14" t="n"/>
      <c r="F251" s="29" t="n"/>
      <c r="G251" s="14" t="n"/>
      <c r="H251" s="29" t="n"/>
      <c r="I251" s="14" t="n"/>
      <c r="J251" s="29" t="n"/>
      <c r="K251" s="18">
        <f>IF($D251="","",IF($E251="Débito",-ABS($D251),ABS($D251)))</f>
        <v/>
      </c>
      <c r="L251" s="9">
        <f>IF($A251="","",IF(COUNTIFS('LANÇAMENTOS'!$D$6:$D$2005,$A251,'LANÇAMENTOS'!$V$6:$V$2005,ABS($D251),'LANÇAMENTOS'!$L$6:$L$2005,$F251)&gt;0,"✔ Encontrado na planilha",IF(COUNTIFS('LANÇAMENTOS'!$D$6:$D$2005,$A251,'LANÇAMENTOS'!$V$6:$V$2005,"&gt;="&amp;ABS($D251)*0.98,'LANÇAMENTOS'!$V$6:$V$2005,"&lt;="&amp;ABS($D251)*1.02)&gt;0,"🟡 Valor próximo de um lançamento","❌ Não localizado")))</f>
        <v/>
      </c>
    </row>
    <row r="252">
      <c r="A252" s="36" t="n"/>
      <c r="B252" s="29" t="n"/>
      <c r="C252" s="14" t="n"/>
      <c r="D252" s="35" t="n"/>
      <c r="E252" s="14" t="n"/>
      <c r="F252" s="29" t="n"/>
      <c r="G252" s="14" t="n"/>
      <c r="H252" s="29" t="n"/>
      <c r="I252" s="14" t="n"/>
      <c r="J252" s="29" t="n"/>
      <c r="K252" s="18">
        <f>IF($D252="","",IF($E252="Débito",-ABS($D252),ABS($D252)))</f>
        <v/>
      </c>
      <c r="L252" s="9">
        <f>IF($A252="","",IF(COUNTIFS('LANÇAMENTOS'!$D$6:$D$2005,$A252,'LANÇAMENTOS'!$V$6:$V$2005,ABS($D252),'LANÇAMENTOS'!$L$6:$L$2005,$F252)&gt;0,"✔ Encontrado na planilha",IF(COUNTIFS('LANÇAMENTOS'!$D$6:$D$2005,$A252,'LANÇAMENTOS'!$V$6:$V$2005,"&gt;="&amp;ABS($D252)*0.98,'LANÇAMENTOS'!$V$6:$V$2005,"&lt;="&amp;ABS($D252)*1.02)&gt;0,"🟡 Valor próximo de um lançamento","❌ Não localizado")))</f>
        <v/>
      </c>
    </row>
    <row r="253">
      <c r="A253" s="36" t="n"/>
      <c r="B253" s="29" t="n"/>
      <c r="C253" s="14" t="n"/>
      <c r="D253" s="35" t="n"/>
      <c r="E253" s="14" t="n"/>
      <c r="F253" s="29" t="n"/>
      <c r="G253" s="14" t="n"/>
      <c r="H253" s="29" t="n"/>
      <c r="I253" s="14" t="n"/>
      <c r="J253" s="29" t="n"/>
      <c r="K253" s="18">
        <f>IF($D253="","",IF($E253="Débito",-ABS($D253),ABS($D253)))</f>
        <v/>
      </c>
      <c r="L253" s="9">
        <f>IF($A253="","",IF(COUNTIFS('LANÇAMENTOS'!$D$6:$D$2005,$A253,'LANÇAMENTOS'!$V$6:$V$2005,ABS($D253),'LANÇAMENTOS'!$L$6:$L$2005,$F253)&gt;0,"✔ Encontrado na planilha",IF(COUNTIFS('LANÇAMENTOS'!$D$6:$D$2005,$A253,'LANÇAMENTOS'!$V$6:$V$2005,"&gt;="&amp;ABS($D253)*0.98,'LANÇAMENTOS'!$V$6:$V$2005,"&lt;="&amp;ABS($D253)*1.02)&gt;0,"🟡 Valor próximo de um lançamento","❌ Não localizado")))</f>
        <v/>
      </c>
    </row>
    <row r="254">
      <c r="A254" s="36" t="n"/>
      <c r="B254" s="29" t="n"/>
      <c r="C254" s="14" t="n"/>
      <c r="D254" s="35" t="n"/>
      <c r="E254" s="14" t="n"/>
      <c r="F254" s="29" t="n"/>
      <c r="G254" s="14" t="n"/>
      <c r="H254" s="29" t="n"/>
      <c r="I254" s="14" t="n"/>
      <c r="J254" s="29" t="n"/>
      <c r="K254" s="18">
        <f>IF($D254="","",IF($E254="Débito",-ABS($D254),ABS($D254)))</f>
        <v/>
      </c>
      <c r="L254" s="9">
        <f>IF($A254="","",IF(COUNTIFS('LANÇAMENTOS'!$D$6:$D$2005,$A254,'LANÇAMENTOS'!$V$6:$V$2005,ABS($D254),'LANÇAMENTOS'!$L$6:$L$2005,$F254)&gt;0,"✔ Encontrado na planilha",IF(COUNTIFS('LANÇAMENTOS'!$D$6:$D$2005,$A254,'LANÇAMENTOS'!$V$6:$V$2005,"&gt;="&amp;ABS($D254)*0.98,'LANÇAMENTOS'!$V$6:$V$2005,"&lt;="&amp;ABS($D254)*1.02)&gt;0,"🟡 Valor próximo de um lançamento","❌ Não localizado")))</f>
        <v/>
      </c>
    </row>
    <row r="255">
      <c r="A255" s="36" t="n"/>
      <c r="B255" s="29" t="n"/>
      <c r="C255" s="14" t="n"/>
      <c r="D255" s="35" t="n"/>
      <c r="E255" s="14" t="n"/>
      <c r="F255" s="29" t="n"/>
      <c r="G255" s="14" t="n"/>
      <c r="H255" s="29" t="n"/>
      <c r="I255" s="14" t="n"/>
      <c r="J255" s="29" t="n"/>
      <c r="K255" s="18">
        <f>IF($D255="","",IF($E255="Débito",-ABS($D255),ABS($D255)))</f>
        <v/>
      </c>
      <c r="L255" s="9">
        <f>IF($A255="","",IF(COUNTIFS('LANÇAMENTOS'!$D$6:$D$2005,$A255,'LANÇAMENTOS'!$V$6:$V$2005,ABS($D255),'LANÇAMENTOS'!$L$6:$L$2005,$F255)&gt;0,"✔ Encontrado na planilha",IF(COUNTIFS('LANÇAMENTOS'!$D$6:$D$2005,$A255,'LANÇAMENTOS'!$V$6:$V$2005,"&gt;="&amp;ABS($D255)*0.98,'LANÇAMENTOS'!$V$6:$V$2005,"&lt;="&amp;ABS($D255)*1.02)&gt;0,"🟡 Valor próximo de um lançamento","❌ Não localizado")))</f>
        <v/>
      </c>
    </row>
    <row r="256">
      <c r="A256" s="36" t="n"/>
      <c r="B256" s="29" t="n"/>
      <c r="C256" s="14" t="n"/>
      <c r="D256" s="35" t="n"/>
      <c r="E256" s="14" t="n"/>
      <c r="F256" s="29" t="n"/>
      <c r="G256" s="14" t="n"/>
      <c r="H256" s="29" t="n"/>
      <c r="I256" s="14" t="n"/>
      <c r="J256" s="29" t="n"/>
      <c r="K256" s="18">
        <f>IF($D256="","",IF($E256="Débito",-ABS($D256),ABS($D256)))</f>
        <v/>
      </c>
      <c r="L256" s="9">
        <f>IF($A256="","",IF(COUNTIFS('LANÇAMENTOS'!$D$6:$D$2005,$A256,'LANÇAMENTOS'!$V$6:$V$2005,ABS($D256),'LANÇAMENTOS'!$L$6:$L$2005,$F256)&gt;0,"✔ Encontrado na planilha",IF(COUNTIFS('LANÇAMENTOS'!$D$6:$D$2005,$A256,'LANÇAMENTOS'!$V$6:$V$2005,"&gt;="&amp;ABS($D256)*0.98,'LANÇAMENTOS'!$V$6:$V$2005,"&lt;="&amp;ABS($D256)*1.02)&gt;0,"🟡 Valor próximo de um lançamento","❌ Não localizado")))</f>
        <v/>
      </c>
    </row>
    <row r="257">
      <c r="A257" s="36" t="n"/>
      <c r="B257" s="29" t="n"/>
      <c r="C257" s="14" t="n"/>
      <c r="D257" s="35" t="n"/>
      <c r="E257" s="14" t="n"/>
      <c r="F257" s="29" t="n"/>
      <c r="G257" s="14" t="n"/>
      <c r="H257" s="29" t="n"/>
      <c r="I257" s="14" t="n"/>
      <c r="J257" s="29" t="n"/>
      <c r="K257" s="18">
        <f>IF($D257="","",IF($E257="Débito",-ABS($D257),ABS($D257)))</f>
        <v/>
      </c>
      <c r="L257" s="9">
        <f>IF($A257="","",IF(COUNTIFS('LANÇAMENTOS'!$D$6:$D$2005,$A257,'LANÇAMENTOS'!$V$6:$V$2005,ABS($D257),'LANÇAMENTOS'!$L$6:$L$2005,$F257)&gt;0,"✔ Encontrado na planilha",IF(COUNTIFS('LANÇAMENTOS'!$D$6:$D$2005,$A257,'LANÇAMENTOS'!$V$6:$V$2005,"&gt;="&amp;ABS($D257)*0.98,'LANÇAMENTOS'!$V$6:$V$2005,"&lt;="&amp;ABS($D257)*1.02)&gt;0,"🟡 Valor próximo de um lançamento","❌ Não localizado")))</f>
        <v/>
      </c>
    </row>
    <row r="258">
      <c r="A258" s="36" t="n"/>
      <c r="B258" s="29" t="n"/>
      <c r="C258" s="14" t="n"/>
      <c r="D258" s="35" t="n"/>
      <c r="E258" s="14" t="n"/>
      <c r="F258" s="29" t="n"/>
      <c r="G258" s="14" t="n"/>
      <c r="H258" s="29" t="n"/>
      <c r="I258" s="14" t="n"/>
      <c r="J258" s="29" t="n"/>
      <c r="K258" s="18">
        <f>IF($D258="","",IF($E258="Débito",-ABS($D258),ABS($D258)))</f>
        <v/>
      </c>
      <c r="L258" s="9">
        <f>IF($A258="","",IF(COUNTIFS('LANÇAMENTOS'!$D$6:$D$2005,$A258,'LANÇAMENTOS'!$V$6:$V$2005,ABS($D258),'LANÇAMENTOS'!$L$6:$L$2005,$F258)&gt;0,"✔ Encontrado na planilha",IF(COUNTIFS('LANÇAMENTOS'!$D$6:$D$2005,$A258,'LANÇAMENTOS'!$V$6:$V$2005,"&gt;="&amp;ABS($D258)*0.98,'LANÇAMENTOS'!$V$6:$V$2005,"&lt;="&amp;ABS($D258)*1.02)&gt;0,"🟡 Valor próximo de um lançamento","❌ Não localizado")))</f>
        <v/>
      </c>
    </row>
    <row r="259">
      <c r="A259" s="36" t="n"/>
      <c r="B259" s="29" t="n"/>
      <c r="C259" s="14" t="n"/>
      <c r="D259" s="35" t="n"/>
      <c r="E259" s="14" t="n"/>
      <c r="F259" s="29" t="n"/>
      <c r="G259" s="14" t="n"/>
      <c r="H259" s="29" t="n"/>
      <c r="I259" s="14" t="n"/>
      <c r="J259" s="29" t="n"/>
      <c r="K259" s="18">
        <f>IF($D259="","",IF($E259="Débito",-ABS($D259),ABS($D259)))</f>
        <v/>
      </c>
      <c r="L259" s="9">
        <f>IF($A259="","",IF(COUNTIFS('LANÇAMENTOS'!$D$6:$D$2005,$A259,'LANÇAMENTOS'!$V$6:$V$2005,ABS($D259),'LANÇAMENTOS'!$L$6:$L$2005,$F259)&gt;0,"✔ Encontrado na planilha",IF(COUNTIFS('LANÇAMENTOS'!$D$6:$D$2005,$A259,'LANÇAMENTOS'!$V$6:$V$2005,"&gt;="&amp;ABS($D259)*0.98,'LANÇAMENTOS'!$V$6:$V$2005,"&lt;="&amp;ABS($D259)*1.02)&gt;0,"🟡 Valor próximo de um lançamento","❌ Não localizado")))</f>
        <v/>
      </c>
    </row>
    <row r="260">
      <c r="A260" s="36" t="n"/>
      <c r="B260" s="29" t="n"/>
      <c r="C260" s="14" t="n"/>
      <c r="D260" s="35" t="n"/>
      <c r="E260" s="14" t="n"/>
      <c r="F260" s="29" t="n"/>
      <c r="G260" s="14" t="n"/>
      <c r="H260" s="29" t="n"/>
      <c r="I260" s="14" t="n"/>
      <c r="J260" s="29" t="n"/>
      <c r="K260" s="18">
        <f>IF($D260="","",IF($E260="Débito",-ABS($D260),ABS($D260)))</f>
        <v/>
      </c>
      <c r="L260" s="9">
        <f>IF($A260="","",IF(COUNTIFS('LANÇAMENTOS'!$D$6:$D$2005,$A260,'LANÇAMENTOS'!$V$6:$V$2005,ABS($D260),'LANÇAMENTOS'!$L$6:$L$2005,$F260)&gt;0,"✔ Encontrado na planilha",IF(COUNTIFS('LANÇAMENTOS'!$D$6:$D$2005,$A260,'LANÇAMENTOS'!$V$6:$V$2005,"&gt;="&amp;ABS($D260)*0.98,'LANÇAMENTOS'!$V$6:$V$2005,"&lt;="&amp;ABS($D260)*1.02)&gt;0,"🟡 Valor próximo de um lançamento","❌ Não localizado")))</f>
        <v/>
      </c>
    </row>
    <row r="261">
      <c r="A261" s="36" t="n"/>
      <c r="B261" s="29" t="n"/>
      <c r="C261" s="14" t="n"/>
      <c r="D261" s="35" t="n"/>
      <c r="E261" s="14" t="n"/>
      <c r="F261" s="29" t="n"/>
      <c r="G261" s="14" t="n"/>
      <c r="H261" s="29" t="n"/>
      <c r="I261" s="14" t="n"/>
      <c r="J261" s="29" t="n"/>
      <c r="K261" s="18">
        <f>IF($D261="","",IF($E261="Débito",-ABS($D261),ABS($D261)))</f>
        <v/>
      </c>
      <c r="L261" s="9">
        <f>IF($A261="","",IF(COUNTIFS('LANÇAMENTOS'!$D$6:$D$2005,$A261,'LANÇAMENTOS'!$V$6:$V$2005,ABS($D261),'LANÇAMENTOS'!$L$6:$L$2005,$F261)&gt;0,"✔ Encontrado na planilha",IF(COUNTIFS('LANÇAMENTOS'!$D$6:$D$2005,$A261,'LANÇAMENTOS'!$V$6:$V$2005,"&gt;="&amp;ABS($D261)*0.98,'LANÇAMENTOS'!$V$6:$V$2005,"&lt;="&amp;ABS($D261)*1.02)&gt;0,"🟡 Valor próximo de um lançamento","❌ Não localizado")))</f>
        <v/>
      </c>
    </row>
    <row r="262">
      <c r="A262" s="36" t="n"/>
      <c r="B262" s="29" t="n"/>
      <c r="C262" s="14" t="n"/>
      <c r="D262" s="35" t="n"/>
      <c r="E262" s="14" t="n"/>
      <c r="F262" s="29" t="n"/>
      <c r="G262" s="14" t="n"/>
      <c r="H262" s="29" t="n"/>
      <c r="I262" s="14" t="n"/>
      <c r="J262" s="29" t="n"/>
      <c r="K262" s="18">
        <f>IF($D262="","",IF($E262="Débito",-ABS($D262),ABS($D262)))</f>
        <v/>
      </c>
      <c r="L262" s="9">
        <f>IF($A262="","",IF(COUNTIFS('LANÇAMENTOS'!$D$6:$D$2005,$A262,'LANÇAMENTOS'!$V$6:$V$2005,ABS($D262),'LANÇAMENTOS'!$L$6:$L$2005,$F262)&gt;0,"✔ Encontrado na planilha",IF(COUNTIFS('LANÇAMENTOS'!$D$6:$D$2005,$A262,'LANÇAMENTOS'!$V$6:$V$2005,"&gt;="&amp;ABS($D262)*0.98,'LANÇAMENTOS'!$V$6:$V$2005,"&lt;="&amp;ABS($D262)*1.02)&gt;0,"🟡 Valor próximo de um lançamento","❌ Não localizado")))</f>
        <v/>
      </c>
    </row>
    <row r="263">
      <c r="A263" s="36" t="n"/>
      <c r="B263" s="29" t="n"/>
      <c r="C263" s="14" t="n"/>
      <c r="D263" s="35" t="n"/>
      <c r="E263" s="14" t="n"/>
      <c r="F263" s="29" t="n"/>
      <c r="G263" s="14" t="n"/>
      <c r="H263" s="29" t="n"/>
      <c r="I263" s="14" t="n"/>
      <c r="J263" s="29" t="n"/>
      <c r="K263" s="18">
        <f>IF($D263="","",IF($E263="Débito",-ABS($D263),ABS($D263)))</f>
        <v/>
      </c>
      <c r="L263" s="9">
        <f>IF($A263="","",IF(COUNTIFS('LANÇAMENTOS'!$D$6:$D$2005,$A263,'LANÇAMENTOS'!$V$6:$V$2005,ABS($D263),'LANÇAMENTOS'!$L$6:$L$2005,$F263)&gt;0,"✔ Encontrado na planilha",IF(COUNTIFS('LANÇAMENTOS'!$D$6:$D$2005,$A263,'LANÇAMENTOS'!$V$6:$V$2005,"&gt;="&amp;ABS($D263)*0.98,'LANÇAMENTOS'!$V$6:$V$2005,"&lt;="&amp;ABS($D263)*1.02)&gt;0,"🟡 Valor próximo de um lançamento","❌ Não localizado")))</f>
        <v/>
      </c>
    </row>
    <row r="264">
      <c r="A264" s="36" t="n"/>
      <c r="B264" s="29" t="n"/>
      <c r="C264" s="14" t="n"/>
      <c r="D264" s="35" t="n"/>
      <c r="E264" s="14" t="n"/>
      <c r="F264" s="29" t="n"/>
      <c r="G264" s="14" t="n"/>
      <c r="H264" s="29" t="n"/>
      <c r="I264" s="14" t="n"/>
      <c r="J264" s="29" t="n"/>
      <c r="K264" s="18">
        <f>IF($D264="","",IF($E264="Débito",-ABS($D264),ABS($D264)))</f>
        <v/>
      </c>
      <c r="L264" s="9">
        <f>IF($A264="","",IF(COUNTIFS('LANÇAMENTOS'!$D$6:$D$2005,$A264,'LANÇAMENTOS'!$V$6:$V$2005,ABS($D264),'LANÇAMENTOS'!$L$6:$L$2005,$F264)&gt;0,"✔ Encontrado na planilha",IF(COUNTIFS('LANÇAMENTOS'!$D$6:$D$2005,$A264,'LANÇAMENTOS'!$V$6:$V$2005,"&gt;="&amp;ABS($D264)*0.98,'LANÇAMENTOS'!$V$6:$V$2005,"&lt;="&amp;ABS($D264)*1.02)&gt;0,"🟡 Valor próximo de um lançamento","❌ Não localizado")))</f>
        <v/>
      </c>
    </row>
    <row r="265">
      <c r="A265" s="36" t="n"/>
      <c r="B265" s="29" t="n"/>
      <c r="C265" s="14" t="n"/>
      <c r="D265" s="35" t="n"/>
      <c r="E265" s="14" t="n"/>
      <c r="F265" s="29" t="n"/>
      <c r="G265" s="14" t="n"/>
      <c r="H265" s="29" t="n"/>
      <c r="I265" s="14" t="n"/>
      <c r="J265" s="29" t="n"/>
      <c r="K265" s="18">
        <f>IF($D265="","",IF($E265="Débito",-ABS($D265),ABS($D265)))</f>
        <v/>
      </c>
      <c r="L265" s="9">
        <f>IF($A265="","",IF(COUNTIFS('LANÇAMENTOS'!$D$6:$D$2005,$A265,'LANÇAMENTOS'!$V$6:$V$2005,ABS($D265),'LANÇAMENTOS'!$L$6:$L$2005,$F265)&gt;0,"✔ Encontrado na planilha",IF(COUNTIFS('LANÇAMENTOS'!$D$6:$D$2005,$A265,'LANÇAMENTOS'!$V$6:$V$2005,"&gt;="&amp;ABS($D265)*0.98,'LANÇAMENTOS'!$V$6:$V$2005,"&lt;="&amp;ABS($D265)*1.02)&gt;0,"🟡 Valor próximo de um lançamento","❌ Não localizado")))</f>
        <v/>
      </c>
    </row>
    <row r="266">
      <c r="A266" s="36" t="n"/>
      <c r="B266" s="29" t="n"/>
      <c r="C266" s="14" t="n"/>
      <c r="D266" s="35" t="n"/>
      <c r="E266" s="14" t="n"/>
      <c r="F266" s="29" t="n"/>
      <c r="G266" s="14" t="n"/>
      <c r="H266" s="29" t="n"/>
      <c r="I266" s="14" t="n"/>
      <c r="J266" s="29" t="n"/>
      <c r="K266" s="18">
        <f>IF($D266="","",IF($E266="Débito",-ABS($D266),ABS($D266)))</f>
        <v/>
      </c>
      <c r="L266" s="9">
        <f>IF($A266="","",IF(COUNTIFS('LANÇAMENTOS'!$D$6:$D$2005,$A266,'LANÇAMENTOS'!$V$6:$V$2005,ABS($D266),'LANÇAMENTOS'!$L$6:$L$2005,$F266)&gt;0,"✔ Encontrado na planilha",IF(COUNTIFS('LANÇAMENTOS'!$D$6:$D$2005,$A266,'LANÇAMENTOS'!$V$6:$V$2005,"&gt;="&amp;ABS($D266)*0.98,'LANÇAMENTOS'!$V$6:$V$2005,"&lt;="&amp;ABS($D266)*1.02)&gt;0,"🟡 Valor próximo de um lançamento","❌ Não localizado")))</f>
        <v/>
      </c>
    </row>
    <row r="267">
      <c r="A267" s="36" t="n"/>
      <c r="B267" s="29" t="n"/>
      <c r="C267" s="14" t="n"/>
      <c r="D267" s="35" t="n"/>
      <c r="E267" s="14" t="n"/>
      <c r="F267" s="29" t="n"/>
      <c r="G267" s="14" t="n"/>
      <c r="H267" s="29" t="n"/>
      <c r="I267" s="14" t="n"/>
      <c r="J267" s="29" t="n"/>
      <c r="K267" s="18">
        <f>IF($D267="","",IF($E267="Débito",-ABS($D267),ABS($D267)))</f>
        <v/>
      </c>
      <c r="L267" s="9">
        <f>IF($A267="","",IF(COUNTIFS('LANÇAMENTOS'!$D$6:$D$2005,$A267,'LANÇAMENTOS'!$V$6:$V$2005,ABS($D267),'LANÇAMENTOS'!$L$6:$L$2005,$F267)&gt;0,"✔ Encontrado na planilha",IF(COUNTIFS('LANÇAMENTOS'!$D$6:$D$2005,$A267,'LANÇAMENTOS'!$V$6:$V$2005,"&gt;="&amp;ABS($D267)*0.98,'LANÇAMENTOS'!$V$6:$V$2005,"&lt;="&amp;ABS($D267)*1.02)&gt;0,"🟡 Valor próximo de um lançamento","❌ Não localizado")))</f>
        <v/>
      </c>
    </row>
    <row r="268">
      <c r="A268" s="36" t="n"/>
      <c r="B268" s="29" t="n"/>
      <c r="C268" s="14" t="n"/>
      <c r="D268" s="35" t="n"/>
      <c r="E268" s="14" t="n"/>
      <c r="F268" s="29" t="n"/>
      <c r="G268" s="14" t="n"/>
      <c r="H268" s="29" t="n"/>
      <c r="I268" s="14" t="n"/>
      <c r="J268" s="29" t="n"/>
      <c r="K268" s="18">
        <f>IF($D268="","",IF($E268="Débito",-ABS($D268),ABS($D268)))</f>
        <v/>
      </c>
      <c r="L268" s="9">
        <f>IF($A268="","",IF(COUNTIFS('LANÇAMENTOS'!$D$6:$D$2005,$A268,'LANÇAMENTOS'!$V$6:$V$2005,ABS($D268),'LANÇAMENTOS'!$L$6:$L$2005,$F268)&gt;0,"✔ Encontrado na planilha",IF(COUNTIFS('LANÇAMENTOS'!$D$6:$D$2005,$A268,'LANÇAMENTOS'!$V$6:$V$2005,"&gt;="&amp;ABS($D268)*0.98,'LANÇAMENTOS'!$V$6:$V$2005,"&lt;="&amp;ABS($D268)*1.02)&gt;0,"🟡 Valor próximo de um lançamento","❌ Não localizado")))</f>
        <v/>
      </c>
    </row>
    <row r="269">
      <c r="A269" s="36" t="n"/>
      <c r="B269" s="29" t="n"/>
      <c r="C269" s="14" t="n"/>
      <c r="D269" s="35" t="n"/>
      <c r="E269" s="14" t="n"/>
      <c r="F269" s="29" t="n"/>
      <c r="G269" s="14" t="n"/>
      <c r="H269" s="29" t="n"/>
      <c r="I269" s="14" t="n"/>
      <c r="J269" s="29" t="n"/>
      <c r="K269" s="18">
        <f>IF($D269="","",IF($E269="Débito",-ABS($D269),ABS($D269)))</f>
        <v/>
      </c>
      <c r="L269" s="9">
        <f>IF($A269="","",IF(COUNTIFS('LANÇAMENTOS'!$D$6:$D$2005,$A269,'LANÇAMENTOS'!$V$6:$V$2005,ABS($D269),'LANÇAMENTOS'!$L$6:$L$2005,$F269)&gt;0,"✔ Encontrado na planilha",IF(COUNTIFS('LANÇAMENTOS'!$D$6:$D$2005,$A269,'LANÇAMENTOS'!$V$6:$V$2005,"&gt;="&amp;ABS($D269)*0.98,'LANÇAMENTOS'!$V$6:$V$2005,"&lt;="&amp;ABS($D269)*1.02)&gt;0,"🟡 Valor próximo de um lançamento","❌ Não localizado")))</f>
        <v/>
      </c>
    </row>
    <row r="270">
      <c r="A270" s="36" t="n"/>
      <c r="B270" s="29" t="n"/>
      <c r="C270" s="14" t="n"/>
      <c r="D270" s="35" t="n"/>
      <c r="E270" s="14" t="n"/>
      <c r="F270" s="29" t="n"/>
      <c r="G270" s="14" t="n"/>
      <c r="H270" s="29" t="n"/>
      <c r="I270" s="14" t="n"/>
      <c r="J270" s="29" t="n"/>
      <c r="K270" s="18">
        <f>IF($D270="","",IF($E270="Débito",-ABS($D270),ABS($D270)))</f>
        <v/>
      </c>
      <c r="L270" s="9">
        <f>IF($A270="","",IF(COUNTIFS('LANÇAMENTOS'!$D$6:$D$2005,$A270,'LANÇAMENTOS'!$V$6:$V$2005,ABS($D270),'LANÇAMENTOS'!$L$6:$L$2005,$F270)&gt;0,"✔ Encontrado na planilha",IF(COUNTIFS('LANÇAMENTOS'!$D$6:$D$2005,$A270,'LANÇAMENTOS'!$V$6:$V$2005,"&gt;="&amp;ABS($D270)*0.98,'LANÇAMENTOS'!$V$6:$V$2005,"&lt;="&amp;ABS($D270)*1.02)&gt;0,"🟡 Valor próximo de um lançamento","❌ Não localizado")))</f>
        <v/>
      </c>
    </row>
    <row r="271">
      <c r="A271" s="36" t="n"/>
      <c r="B271" s="29" t="n"/>
      <c r="C271" s="14" t="n"/>
      <c r="D271" s="35" t="n"/>
      <c r="E271" s="14" t="n"/>
      <c r="F271" s="29" t="n"/>
      <c r="G271" s="14" t="n"/>
      <c r="H271" s="29" t="n"/>
      <c r="I271" s="14" t="n"/>
      <c r="J271" s="29" t="n"/>
      <c r="K271" s="18">
        <f>IF($D271="","",IF($E271="Débito",-ABS($D271),ABS($D271)))</f>
        <v/>
      </c>
      <c r="L271" s="9">
        <f>IF($A271="","",IF(COUNTIFS('LANÇAMENTOS'!$D$6:$D$2005,$A271,'LANÇAMENTOS'!$V$6:$V$2005,ABS($D271),'LANÇAMENTOS'!$L$6:$L$2005,$F271)&gt;0,"✔ Encontrado na planilha",IF(COUNTIFS('LANÇAMENTOS'!$D$6:$D$2005,$A271,'LANÇAMENTOS'!$V$6:$V$2005,"&gt;="&amp;ABS($D271)*0.98,'LANÇAMENTOS'!$V$6:$V$2005,"&lt;="&amp;ABS($D271)*1.02)&gt;0,"🟡 Valor próximo de um lançamento","❌ Não localizado")))</f>
        <v/>
      </c>
    </row>
    <row r="272">
      <c r="A272" s="36" t="n"/>
      <c r="B272" s="29" t="n"/>
      <c r="C272" s="14" t="n"/>
      <c r="D272" s="35" t="n"/>
      <c r="E272" s="14" t="n"/>
      <c r="F272" s="29" t="n"/>
      <c r="G272" s="14" t="n"/>
      <c r="H272" s="29" t="n"/>
      <c r="I272" s="14" t="n"/>
      <c r="J272" s="29" t="n"/>
      <c r="K272" s="18">
        <f>IF($D272="","",IF($E272="Débito",-ABS($D272),ABS($D272)))</f>
        <v/>
      </c>
      <c r="L272" s="9">
        <f>IF($A272="","",IF(COUNTIFS('LANÇAMENTOS'!$D$6:$D$2005,$A272,'LANÇAMENTOS'!$V$6:$V$2005,ABS($D272),'LANÇAMENTOS'!$L$6:$L$2005,$F272)&gt;0,"✔ Encontrado na planilha",IF(COUNTIFS('LANÇAMENTOS'!$D$6:$D$2005,$A272,'LANÇAMENTOS'!$V$6:$V$2005,"&gt;="&amp;ABS($D272)*0.98,'LANÇAMENTOS'!$V$6:$V$2005,"&lt;="&amp;ABS($D272)*1.02)&gt;0,"🟡 Valor próximo de um lançamento","❌ Não localizado")))</f>
        <v/>
      </c>
    </row>
    <row r="273">
      <c r="A273" s="36" t="n"/>
      <c r="B273" s="29" t="n"/>
      <c r="C273" s="14" t="n"/>
      <c r="D273" s="35" t="n"/>
      <c r="E273" s="14" t="n"/>
      <c r="F273" s="29" t="n"/>
      <c r="G273" s="14" t="n"/>
      <c r="H273" s="29" t="n"/>
      <c r="I273" s="14" t="n"/>
      <c r="J273" s="29" t="n"/>
      <c r="K273" s="18">
        <f>IF($D273="","",IF($E273="Débito",-ABS($D273),ABS($D273)))</f>
        <v/>
      </c>
      <c r="L273" s="9">
        <f>IF($A273="","",IF(COUNTIFS('LANÇAMENTOS'!$D$6:$D$2005,$A273,'LANÇAMENTOS'!$V$6:$V$2005,ABS($D273),'LANÇAMENTOS'!$L$6:$L$2005,$F273)&gt;0,"✔ Encontrado na planilha",IF(COUNTIFS('LANÇAMENTOS'!$D$6:$D$2005,$A273,'LANÇAMENTOS'!$V$6:$V$2005,"&gt;="&amp;ABS($D273)*0.98,'LANÇAMENTOS'!$V$6:$V$2005,"&lt;="&amp;ABS($D273)*1.02)&gt;0,"🟡 Valor próximo de um lançamento","❌ Não localizado")))</f>
        <v/>
      </c>
    </row>
    <row r="274">
      <c r="A274" s="36" t="n"/>
      <c r="B274" s="29" t="n"/>
      <c r="C274" s="14" t="n"/>
      <c r="D274" s="35" t="n"/>
      <c r="E274" s="14" t="n"/>
      <c r="F274" s="29" t="n"/>
      <c r="G274" s="14" t="n"/>
      <c r="H274" s="29" t="n"/>
      <c r="I274" s="14" t="n"/>
      <c r="J274" s="29" t="n"/>
      <c r="K274" s="18">
        <f>IF($D274="","",IF($E274="Débito",-ABS($D274),ABS($D274)))</f>
        <v/>
      </c>
      <c r="L274" s="9">
        <f>IF($A274="","",IF(COUNTIFS('LANÇAMENTOS'!$D$6:$D$2005,$A274,'LANÇAMENTOS'!$V$6:$V$2005,ABS($D274),'LANÇAMENTOS'!$L$6:$L$2005,$F274)&gt;0,"✔ Encontrado na planilha",IF(COUNTIFS('LANÇAMENTOS'!$D$6:$D$2005,$A274,'LANÇAMENTOS'!$V$6:$V$2005,"&gt;="&amp;ABS($D274)*0.98,'LANÇAMENTOS'!$V$6:$V$2005,"&lt;="&amp;ABS($D274)*1.02)&gt;0,"🟡 Valor próximo de um lançamento","❌ Não localizado")))</f>
        <v/>
      </c>
    </row>
    <row r="275">
      <c r="A275" s="36" t="n"/>
      <c r="B275" s="29" t="n"/>
      <c r="C275" s="14" t="n"/>
      <c r="D275" s="35" t="n"/>
      <c r="E275" s="14" t="n"/>
      <c r="F275" s="29" t="n"/>
      <c r="G275" s="14" t="n"/>
      <c r="H275" s="29" t="n"/>
      <c r="I275" s="14" t="n"/>
      <c r="J275" s="29" t="n"/>
      <c r="K275" s="18">
        <f>IF($D275="","",IF($E275="Débito",-ABS($D275),ABS($D275)))</f>
        <v/>
      </c>
      <c r="L275" s="9">
        <f>IF($A275="","",IF(COUNTIFS('LANÇAMENTOS'!$D$6:$D$2005,$A275,'LANÇAMENTOS'!$V$6:$V$2005,ABS($D275),'LANÇAMENTOS'!$L$6:$L$2005,$F275)&gt;0,"✔ Encontrado na planilha",IF(COUNTIFS('LANÇAMENTOS'!$D$6:$D$2005,$A275,'LANÇAMENTOS'!$V$6:$V$2005,"&gt;="&amp;ABS($D275)*0.98,'LANÇAMENTOS'!$V$6:$V$2005,"&lt;="&amp;ABS($D275)*1.02)&gt;0,"🟡 Valor próximo de um lançamento","❌ Não localizado")))</f>
        <v/>
      </c>
    </row>
    <row r="276">
      <c r="A276" s="36" t="n"/>
      <c r="B276" s="29" t="n"/>
      <c r="C276" s="14" t="n"/>
      <c r="D276" s="35" t="n"/>
      <c r="E276" s="14" t="n"/>
      <c r="F276" s="29" t="n"/>
      <c r="G276" s="14" t="n"/>
      <c r="H276" s="29" t="n"/>
      <c r="I276" s="14" t="n"/>
      <c r="J276" s="29" t="n"/>
      <c r="K276" s="18">
        <f>IF($D276="","",IF($E276="Débito",-ABS($D276),ABS($D276)))</f>
        <v/>
      </c>
      <c r="L276" s="9">
        <f>IF($A276="","",IF(COUNTIFS('LANÇAMENTOS'!$D$6:$D$2005,$A276,'LANÇAMENTOS'!$V$6:$V$2005,ABS($D276),'LANÇAMENTOS'!$L$6:$L$2005,$F276)&gt;0,"✔ Encontrado na planilha",IF(COUNTIFS('LANÇAMENTOS'!$D$6:$D$2005,$A276,'LANÇAMENTOS'!$V$6:$V$2005,"&gt;="&amp;ABS($D276)*0.98,'LANÇAMENTOS'!$V$6:$V$2005,"&lt;="&amp;ABS($D276)*1.02)&gt;0,"🟡 Valor próximo de um lançamento","❌ Não localizado")))</f>
        <v/>
      </c>
    </row>
    <row r="277">
      <c r="A277" s="36" t="n"/>
      <c r="B277" s="29" t="n"/>
      <c r="C277" s="14" t="n"/>
      <c r="D277" s="35" t="n"/>
      <c r="E277" s="14" t="n"/>
      <c r="F277" s="29" t="n"/>
      <c r="G277" s="14" t="n"/>
      <c r="H277" s="29" t="n"/>
      <c r="I277" s="14" t="n"/>
      <c r="J277" s="29" t="n"/>
      <c r="K277" s="18">
        <f>IF($D277="","",IF($E277="Débito",-ABS($D277),ABS($D277)))</f>
        <v/>
      </c>
      <c r="L277" s="9">
        <f>IF($A277="","",IF(COUNTIFS('LANÇAMENTOS'!$D$6:$D$2005,$A277,'LANÇAMENTOS'!$V$6:$V$2005,ABS($D277),'LANÇAMENTOS'!$L$6:$L$2005,$F277)&gt;0,"✔ Encontrado na planilha",IF(COUNTIFS('LANÇAMENTOS'!$D$6:$D$2005,$A277,'LANÇAMENTOS'!$V$6:$V$2005,"&gt;="&amp;ABS($D277)*0.98,'LANÇAMENTOS'!$V$6:$V$2005,"&lt;="&amp;ABS($D277)*1.02)&gt;0,"🟡 Valor próximo de um lançamento","❌ Não localizado")))</f>
        <v/>
      </c>
    </row>
    <row r="278">
      <c r="A278" s="36" t="n"/>
      <c r="B278" s="29" t="n"/>
      <c r="C278" s="14" t="n"/>
      <c r="D278" s="35" t="n"/>
      <c r="E278" s="14" t="n"/>
      <c r="F278" s="29" t="n"/>
      <c r="G278" s="14" t="n"/>
      <c r="H278" s="29" t="n"/>
      <c r="I278" s="14" t="n"/>
      <c r="J278" s="29" t="n"/>
      <c r="K278" s="18">
        <f>IF($D278="","",IF($E278="Débito",-ABS($D278),ABS($D278)))</f>
        <v/>
      </c>
      <c r="L278" s="9">
        <f>IF($A278="","",IF(COUNTIFS('LANÇAMENTOS'!$D$6:$D$2005,$A278,'LANÇAMENTOS'!$V$6:$V$2005,ABS($D278),'LANÇAMENTOS'!$L$6:$L$2005,$F278)&gt;0,"✔ Encontrado na planilha",IF(COUNTIFS('LANÇAMENTOS'!$D$6:$D$2005,$A278,'LANÇAMENTOS'!$V$6:$V$2005,"&gt;="&amp;ABS($D278)*0.98,'LANÇAMENTOS'!$V$6:$V$2005,"&lt;="&amp;ABS($D278)*1.02)&gt;0,"🟡 Valor próximo de um lançamento","❌ Não localizado")))</f>
        <v/>
      </c>
    </row>
    <row r="279">
      <c r="A279" s="36" t="n"/>
      <c r="B279" s="29" t="n"/>
      <c r="C279" s="14" t="n"/>
      <c r="D279" s="35" t="n"/>
      <c r="E279" s="14" t="n"/>
      <c r="F279" s="29" t="n"/>
      <c r="G279" s="14" t="n"/>
      <c r="H279" s="29" t="n"/>
      <c r="I279" s="14" t="n"/>
      <c r="J279" s="29" t="n"/>
      <c r="K279" s="18">
        <f>IF($D279="","",IF($E279="Débito",-ABS($D279),ABS($D279)))</f>
        <v/>
      </c>
      <c r="L279" s="9">
        <f>IF($A279="","",IF(COUNTIFS('LANÇAMENTOS'!$D$6:$D$2005,$A279,'LANÇAMENTOS'!$V$6:$V$2005,ABS($D279),'LANÇAMENTOS'!$L$6:$L$2005,$F279)&gt;0,"✔ Encontrado na planilha",IF(COUNTIFS('LANÇAMENTOS'!$D$6:$D$2005,$A279,'LANÇAMENTOS'!$V$6:$V$2005,"&gt;="&amp;ABS($D279)*0.98,'LANÇAMENTOS'!$V$6:$V$2005,"&lt;="&amp;ABS($D279)*1.02)&gt;0,"🟡 Valor próximo de um lançamento","❌ Não localizado")))</f>
        <v/>
      </c>
    </row>
    <row r="280">
      <c r="A280" s="36" t="n"/>
      <c r="B280" s="29" t="n"/>
      <c r="C280" s="14" t="n"/>
      <c r="D280" s="35" t="n"/>
      <c r="E280" s="14" t="n"/>
      <c r="F280" s="29" t="n"/>
      <c r="G280" s="14" t="n"/>
      <c r="H280" s="29" t="n"/>
      <c r="I280" s="14" t="n"/>
      <c r="J280" s="29" t="n"/>
      <c r="K280" s="18">
        <f>IF($D280="","",IF($E280="Débito",-ABS($D280),ABS($D280)))</f>
        <v/>
      </c>
      <c r="L280" s="9">
        <f>IF($A280="","",IF(COUNTIFS('LANÇAMENTOS'!$D$6:$D$2005,$A280,'LANÇAMENTOS'!$V$6:$V$2005,ABS($D280),'LANÇAMENTOS'!$L$6:$L$2005,$F280)&gt;0,"✔ Encontrado na planilha",IF(COUNTIFS('LANÇAMENTOS'!$D$6:$D$2005,$A280,'LANÇAMENTOS'!$V$6:$V$2005,"&gt;="&amp;ABS($D280)*0.98,'LANÇAMENTOS'!$V$6:$V$2005,"&lt;="&amp;ABS($D280)*1.02)&gt;0,"🟡 Valor próximo de um lançamento","❌ Não localizado")))</f>
        <v/>
      </c>
    </row>
    <row r="281">
      <c r="A281" s="36" t="n"/>
      <c r="B281" s="29" t="n"/>
      <c r="C281" s="14" t="n"/>
      <c r="D281" s="35" t="n"/>
      <c r="E281" s="14" t="n"/>
      <c r="F281" s="29" t="n"/>
      <c r="G281" s="14" t="n"/>
      <c r="H281" s="29" t="n"/>
      <c r="I281" s="14" t="n"/>
      <c r="J281" s="29" t="n"/>
      <c r="K281" s="18">
        <f>IF($D281="","",IF($E281="Débito",-ABS($D281),ABS($D281)))</f>
        <v/>
      </c>
      <c r="L281" s="9">
        <f>IF($A281="","",IF(COUNTIFS('LANÇAMENTOS'!$D$6:$D$2005,$A281,'LANÇAMENTOS'!$V$6:$V$2005,ABS($D281),'LANÇAMENTOS'!$L$6:$L$2005,$F281)&gt;0,"✔ Encontrado na planilha",IF(COUNTIFS('LANÇAMENTOS'!$D$6:$D$2005,$A281,'LANÇAMENTOS'!$V$6:$V$2005,"&gt;="&amp;ABS($D281)*0.98,'LANÇAMENTOS'!$V$6:$V$2005,"&lt;="&amp;ABS($D281)*1.02)&gt;0,"🟡 Valor próximo de um lançamento","❌ Não localizado")))</f>
        <v/>
      </c>
    </row>
    <row r="282">
      <c r="A282" s="36" t="n"/>
      <c r="B282" s="29" t="n"/>
      <c r="C282" s="14" t="n"/>
      <c r="D282" s="35" t="n"/>
      <c r="E282" s="14" t="n"/>
      <c r="F282" s="29" t="n"/>
      <c r="G282" s="14" t="n"/>
      <c r="H282" s="29" t="n"/>
      <c r="I282" s="14" t="n"/>
      <c r="J282" s="29" t="n"/>
      <c r="K282" s="18">
        <f>IF($D282="","",IF($E282="Débito",-ABS($D282),ABS($D282)))</f>
        <v/>
      </c>
      <c r="L282" s="9">
        <f>IF($A282="","",IF(COUNTIFS('LANÇAMENTOS'!$D$6:$D$2005,$A282,'LANÇAMENTOS'!$V$6:$V$2005,ABS($D282),'LANÇAMENTOS'!$L$6:$L$2005,$F282)&gt;0,"✔ Encontrado na planilha",IF(COUNTIFS('LANÇAMENTOS'!$D$6:$D$2005,$A282,'LANÇAMENTOS'!$V$6:$V$2005,"&gt;="&amp;ABS($D282)*0.98,'LANÇAMENTOS'!$V$6:$V$2005,"&lt;="&amp;ABS($D282)*1.02)&gt;0,"🟡 Valor próximo de um lançamento","❌ Não localizado")))</f>
        <v/>
      </c>
    </row>
    <row r="283">
      <c r="A283" s="36" t="n"/>
      <c r="B283" s="29" t="n"/>
      <c r="C283" s="14" t="n"/>
      <c r="D283" s="35" t="n"/>
      <c r="E283" s="14" t="n"/>
      <c r="F283" s="29" t="n"/>
      <c r="G283" s="14" t="n"/>
      <c r="H283" s="29" t="n"/>
      <c r="I283" s="14" t="n"/>
      <c r="J283" s="29" t="n"/>
      <c r="K283" s="18">
        <f>IF($D283="","",IF($E283="Débito",-ABS($D283),ABS($D283)))</f>
        <v/>
      </c>
      <c r="L283" s="9">
        <f>IF($A283="","",IF(COUNTIFS('LANÇAMENTOS'!$D$6:$D$2005,$A283,'LANÇAMENTOS'!$V$6:$V$2005,ABS($D283),'LANÇAMENTOS'!$L$6:$L$2005,$F283)&gt;0,"✔ Encontrado na planilha",IF(COUNTIFS('LANÇAMENTOS'!$D$6:$D$2005,$A283,'LANÇAMENTOS'!$V$6:$V$2005,"&gt;="&amp;ABS($D283)*0.98,'LANÇAMENTOS'!$V$6:$V$2005,"&lt;="&amp;ABS($D283)*1.02)&gt;0,"🟡 Valor próximo de um lançamento","❌ Não localizado")))</f>
        <v/>
      </c>
    </row>
    <row r="284">
      <c r="A284" s="36" t="n"/>
      <c r="B284" s="29" t="n"/>
      <c r="C284" s="14" t="n"/>
      <c r="D284" s="35" t="n"/>
      <c r="E284" s="14" t="n"/>
      <c r="F284" s="29" t="n"/>
      <c r="G284" s="14" t="n"/>
      <c r="H284" s="29" t="n"/>
      <c r="I284" s="14" t="n"/>
      <c r="J284" s="29" t="n"/>
      <c r="K284" s="18">
        <f>IF($D284="","",IF($E284="Débito",-ABS($D284),ABS($D284)))</f>
        <v/>
      </c>
      <c r="L284" s="9">
        <f>IF($A284="","",IF(COUNTIFS('LANÇAMENTOS'!$D$6:$D$2005,$A284,'LANÇAMENTOS'!$V$6:$V$2005,ABS($D284),'LANÇAMENTOS'!$L$6:$L$2005,$F284)&gt;0,"✔ Encontrado na planilha",IF(COUNTIFS('LANÇAMENTOS'!$D$6:$D$2005,$A284,'LANÇAMENTOS'!$V$6:$V$2005,"&gt;="&amp;ABS($D284)*0.98,'LANÇAMENTOS'!$V$6:$V$2005,"&lt;="&amp;ABS($D284)*1.02)&gt;0,"🟡 Valor próximo de um lançamento","❌ Não localizado")))</f>
        <v/>
      </c>
    </row>
    <row r="285">
      <c r="A285" s="36" t="n"/>
      <c r="B285" s="29" t="n"/>
      <c r="C285" s="14" t="n"/>
      <c r="D285" s="35" t="n"/>
      <c r="E285" s="14" t="n"/>
      <c r="F285" s="29" t="n"/>
      <c r="G285" s="14" t="n"/>
      <c r="H285" s="29" t="n"/>
      <c r="I285" s="14" t="n"/>
      <c r="J285" s="29" t="n"/>
      <c r="K285" s="18">
        <f>IF($D285="","",IF($E285="Débito",-ABS($D285),ABS($D285)))</f>
        <v/>
      </c>
      <c r="L285" s="9">
        <f>IF($A285="","",IF(COUNTIFS('LANÇAMENTOS'!$D$6:$D$2005,$A285,'LANÇAMENTOS'!$V$6:$V$2005,ABS($D285),'LANÇAMENTOS'!$L$6:$L$2005,$F285)&gt;0,"✔ Encontrado na planilha",IF(COUNTIFS('LANÇAMENTOS'!$D$6:$D$2005,$A285,'LANÇAMENTOS'!$V$6:$V$2005,"&gt;="&amp;ABS($D285)*0.98,'LANÇAMENTOS'!$V$6:$V$2005,"&lt;="&amp;ABS($D285)*1.02)&gt;0,"🟡 Valor próximo de um lançamento","❌ Não localizado")))</f>
        <v/>
      </c>
    </row>
    <row r="286">
      <c r="A286" s="36" t="n"/>
      <c r="B286" s="29" t="n"/>
      <c r="C286" s="14" t="n"/>
      <c r="D286" s="35" t="n"/>
      <c r="E286" s="14" t="n"/>
      <c r="F286" s="29" t="n"/>
      <c r="G286" s="14" t="n"/>
      <c r="H286" s="29" t="n"/>
      <c r="I286" s="14" t="n"/>
      <c r="J286" s="29" t="n"/>
      <c r="K286" s="18">
        <f>IF($D286="","",IF($E286="Débito",-ABS($D286),ABS($D286)))</f>
        <v/>
      </c>
      <c r="L286" s="9">
        <f>IF($A286="","",IF(COUNTIFS('LANÇAMENTOS'!$D$6:$D$2005,$A286,'LANÇAMENTOS'!$V$6:$V$2005,ABS($D286),'LANÇAMENTOS'!$L$6:$L$2005,$F286)&gt;0,"✔ Encontrado na planilha",IF(COUNTIFS('LANÇAMENTOS'!$D$6:$D$2005,$A286,'LANÇAMENTOS'!$V$6:$V$2005,"&gt;="&amp;ABS($D286)*0.98,'LANÇAMENTOS'!$V$6:$V$2005,"&lt;="&amp;ABS($D286)*1.02)&gt;0,"🟡 Valor próximo de um lançamento","❌ Não localizado")))</f>
        <v/>
      </c>
    </row>
    <row r="287">
      <c r="A287" s="36" t="n"/>
      <c r="B287" s="29" t="n"/>
      <c r="C287" s="14" t="n"/>
      <c r="D287" s="35" t="n"/>
      <c r="E287" s="14" t="n"/>
      <c r="F287" s="29" t="n"/>
      <c r="G287" s="14" t="n"/>
      <c r="H287" s="29" t="n"/>
      <c r="I287" s="14" t="n"/>
      <c r="J287" s="29" t="n"/>
      <c r="K287" s="18">
        <f>IF($D287="","",IF($E287="Débito",-ABS($D287),ABS($D287)))</f>
        <v/>
      </c>
      <c r="L287" s="9">
        <f>IF($A287="","",IF(COUNTIFS('LANÇAMENTOS'!$D$6:$D$2005,$A287,'LANÇAMENTOS'!$V$6:$V$2005,ABS($D287),'LANÇAMENTOS'!$L$6:$L$2005,$F287)&gt;0,"✔ Encontrado na planilha",IF(COUNTIFS('LANÇAMENTOS'!$D$6:$D$2005,$A287,'LANÇAMENTOS'!$V$6:$V$2005,"&gt;="&amp;ABS($D287)*0.98,'LANÇAMENTOS'!$V$6:$V$2005,"&lt;="&amp;ABS($D287)*1.02)&gt;0,"🟡 Valor próximo de um lançamento","❌ Não localizado")))</f>
        <v/>
      </c>
    </row>
    <row r="288">
      <c r="A288" s="36" t="n"/>
      <c r="B288" s="29" t="n"/>
      <c r="C288" s="14" t="n"/>
      <c r="D288" s="35" t="n"/>
      <c r="E288" s="14" t="n"/>
      <c r="F288" s="29" t="n"/>
      <c r="G288" s="14" t="n"/>
      <c r="H288" s="29" t="n"/>
      <c r="I288" s="14" t="n"/>
      <c r="J288" s="29" t="n"/>
      <c r="K288" s="18">
        <f>IF($D288="","",IF($E288="Débito",-ABS($D288),ABS($D288)))</f>
        <v/>
      </c>
      <c r="L288" s="9">
        <f>IF($A288="","",IF(COUNTIFS('LANÇAMENTOS'!$D$6:$D$2005,$A288,'LANÇAMENTOS'!$V$6:$V$2005,ABS($D288),'LANÇAMENTOS'!$L$6:$L$2005,$F288)&gt;0,"✔ Encontrado na planilha",IF(COUNTIFS('LANÇAMENTOS'!$D$6:$D$2005,$A288,'LANÇAMENTOS'!$V$6:$V$2005,"&gt;="&amp;ABS($D288)*0.98,'LANÇAMENTOS'!$V$6:$V$2005,"&lt;="&amp;ABS($D288)*1.02)&gt;0,"🟡 Valor próximo de um lançamento","❌ Não localizado")))</f>
        <v/>
      </c>
    </row>
    <row r="289">
      <c r="A289" s="36" t="n"/>
      <c r="B289" s="29" t="n"/>
      <c r="C289" s="14" t="n"/>
      <c r="D289" s="35" t="n"/>
      <c r="E289" s="14" t="n"/>
      <c r="F289" s="29" t="n"/>
      <c r="G289" s="14" t="n"/>
      <c r="H289" s="29" t="n"/>
      <c r="I289" s="14" t="n"/>
      <c r="J289" s="29" t="n"/>
      <c r="K289" s="18">
        <f>IF($D289="","",IF($E289="Débito",-ABS($D289),ABS($D289)))</f>
        <v/>
      </c>
      <c r="L289" s="9">
        <f>IF($A289="","",IF(COUNTIFS('LANÇAMENTOS'!$D$6:$D$2005,$A289,'LANÇAMENTOS'!$V$6:$V$2005,ABS($D289),'LANÇAMENTOS'!$L$6:$L$2005,$F289)&gt;0,"✔ Encontrado na planilha",IF(COUNTIFS('LANÇAMENTOS'!$D$6:$D$2005,$A289,'LANÇAMENTOS'!$V$6:$V$2005,"&gt;="&amp;ABS($D289)*0.98,'LANÇAMENTOS'!$V$6:$V$2005,"&lt;="&amp;ABS($D289)*1.02)&gt;0,"🟡 Valor próximo de um lançamento","❌ Não localizado")))</f>
        <v/>
      </c>
    </row>
    <row r="290">
      <c r="A290" s="36" t="n"/>
      <c r="B290" s="29" t="n"/>
      <c r="C290" s="14" t="n"/>
      <c r="D290" s="35" t="n"/>
      <c r="E290" s="14" t="n"/>
      <c r="F290" s="29" t="n"/>
      <c r="G290" s="14" t="n"/>
      <c r="H290" s="29" t="n"/>
      <c r="I290" s="14" t="n"/>
      <c r="J290" s="29" t="n"/>
      <c r="K290" s="18">
        <f>IF($D290="","",IF($E290="Débito",-ABS($D290),ABS($D290)))</f>
        <v/>
      </c>
      <c r="L290" s="9">
        <f>IF($A290="","",IF(COUNTIFS('LANÇAMENTOS'!$D$6:$D$2005,$A290,'LANÇAMENTOS'!$V$6:$V$2005,ABS($D290),'LANÇAMENTOS'!$L$6:$L$2005,$F290)&gt;0,"✔ Encontrado na planilha",IF(COUNTIFS('LANÇAMENTOS'!$D$6:$D$2005,$A290,'LANÇAMENTOS'!$V$6:$V$2005,"&gt;="&amp;ABS($D290)*0.98,'LANÇAMENTOS'!$V$6:$V$2005,"&lt;="&amp;ABS($D290)*1.02)&gt;0,"🟡 Valor próximo de um lançamento","❌ Não localizado")))</f>
        <v/>
      </c>
    </row>
    <row r="291">
      <c r="A291" s="36" t="n"/>
      <c r="B291" s="29" t="n"/>
      <c r="C291" s="14" t="n"/>
      <c r="D291" s="35" t="n"/>
      <c r="E291" s="14" t="n"/>
      <c r="F291" s="29" t="n"/>
      <c r="G291" s="14" t="n"/>
      <c r="H291" s="29" t="n"/>
      <c r="I291" s="14" t="n"/>
      <c r="J291" s="29" t="n"/>
      <c r="K291" s="18">
        <f>IF($D291="","",IF($E291="Débito",-ABS($D291),ABS($D291)))</f>
        <v/>
      </c>
      <c r="L291" s="9">
        <f>IF($A291="","",IF(COUNTIFS('LANÇAMENTOS'!$D$6:$D$2005,$A291,'LANÇAMENTOS'!$V$6:$V$2005,ABS($D291),'LANÇAMENTOS'!$L$6:$L$2005,$F291)&gt;0,"✔ Encontrado na planilha",IF(COUNTIFS('LANÇAMENTOS'!$D$6:$D$2005,$A291,'LANÇAMENTOS'!$V$6:$V$2005,"&gt;="&amp;ABS($D291)*0.98,'LANÇAMENTOS'!$V$6:$V$2005,"&lt;="&amp;ABS($D291)*1.02)&gt;0,"🟡 Valor próximo de um lançamento","❌ Não localizado")))</f>
        <v/>
      </c>
    </row>
    <row r="292">
      <c r="A292" s="36" t="n"/>
      <c r="B292" s="29" t="n"/>
      <c r="C292" s="14" t="n"/>
      <c r="D292" s="35" t="n"/>
      <c r="E292" s="14" t="n"/>
      <c r="F292" s="29" t="n"/>
      <c r="G292" s="14" t="n"/>
      <c r="H292" s="29" t="n"/>
      <c r="I292" s="14" t="n"/>
      <c r="J292" s="29" t="n"/>
      <c r="K292" s="18">
        <f>IF($D292="","",IF($E292="Débito",-ABS($D292),ABS($D292)))</f>
        <v/>
      </c>
      <c r="L292" s="9">
        <f>IF($A292="","",IF(COUNTIFS('LANÇAMENTOS'!$D$6:$D$2005,$A292,'LANÇAMENTOS'!$V$6:$V$2005,ABS($D292),'LANÇAMENTOS'!$L$6:$L$2005,$F292)&gt;0,"✔ Encontrado na planilha",IF(COUNTIFS('LANÇAMENTOS'!$D$6:$D$2005,$A292,'LANÇAMENTOS'!$V$6:$V$2005,"&gt;="&amp;ABS($D292)*0.98,'LANÇAMENTOS'!$V$6:$V$2005,"&lt;="&amp;ABS($D292)*1.02)&gt;0,"🟡 Valor próximo de um lançamento","❌ Não localizado")))</f>
        <v/>
      </c>
    </row>
    <row r="293">
      <c r="A293" s="36" t="n"/>
      <c r="B293" s="29" t="n"/>
      <c r="C293" s="14" t="n"/>
      <c r="D293" s="35" t="n"/>
      <c r="E293" s="14" t="n"/>
      <c r="F293" s="29" t="n"/>
      <c r="G293" s="14" t="n"/>
      <c r="H293" s="29" t="n"/>
      <c r="I293" s="14" t="n"/>
      <c r="J293" s="29" t="n"/>
      <c r="K293" s="18">
        <f>IF($D293="","",IF($E293="Débito",-ABS($D293),ABS($D293)))</f>
        <v/>
      </c>
      <c r="L293" s="9">
        <f>IF($A293="","",IF(COUNTIFS('LANÇAMENTOS'!$D$6:$D$2005,$A293,'LANÇAMENTOS'!$V$6:$V$2005,ABS($D293),'LANÇAMENTOS'!$L$6:$L$2005,$F293)&gt;0,"✔ Encontrado na planilha",IF(COUNTIFS('LANÇAMENTOS'!$D$6:$D$2005,$A293,'LANÇAMENTOS'!$V$6:$V$2005,"&gt;="&amp;ABS($D293)*0.98,'LANÇAMENTOS'!$V$6:$V$2005,"&lt;="&amp;ABS($D293)*1.02)&gt;0,"🟡 Valor próximo de um lançamento","❌ Não localizado")))</f>
        <v/>
      </c>
    </row>
    <row r="294">
      <c r="A294" s="36" t="n"/>
      <c r="B294" s="29" t="n"/>
      <c r="C294" s="14" t="n"/>
      <c r="D294" s="35" t="n"/>
      <c r="E294" s="14" t="n"/>
      <c r="F294" s="29" t="n"/>
      <c r="G294" s="14" t="n"/>
      <c r="H294" s="29" t="n"/>
      <c r="I294" s="14" t="n"/>
      <c r="J294" s="29" t="n"/>
      <c r="K294" s="18">
        <f>IF($D294="","",IF($E294="Débito",-ABS($D294),ABS($D294)))</f>
        <v/>
      </c>
      <c r="L294" s="9">
        <f>IF($A294="","",IF(COUNTIFS('LANÇAMENTOS'!$D$6:$D$2005,$A294,'LANÇAMENTOS'!$V$6:$V$2005,ABS($D294),'LANÇAMENTOS'!$L$6:$L$2005,$F294)&gt;0,"✔ Encontrado na planilha",IF(COUNTIFS('LANÇAMENTOS'!$D$6:$D$2005,$A294,'LANÇAMENTOS'!$V$6:$V$2005,"&gt;="&amp;ABS($D294)*0.98,'LANÇAMENTOS'!$V$6:$V$2005,"&lt;="&amp;ABS($D294)*1.02)&gt;0,"🟡 Valor próximo de um lançamento","❌ Não localizado")))</f>
        <v/>
      </c>
    </row>
    <row r="295">
      <c r="A295" s="36" t="n"/>
      <c r="B295" s="29" t="n"/>
      <c r="C295" s="14" t="n"/>
      <c r="D295" s="35" t="n"/>
      <c r="E295" s="14" t="n"/>
      <c r="F295" s="29" t="n"/>
      <c r="G295" s="14" t="n"/>
      <c r="H295" s="29" t="n"/>
      <c r="I295" s="14" t="n"/>
      <c r="J295" s="29" t="n"/>
      <c r="K295" s="18">
        <f>IF($D295="","",IF($E295="Débito",-ABS($D295),ABS($D295)))</f>
        <v/>
      </c>
      <c r="L295" s="9">
        <f>IF($A295="","",IF(COUNTIFS('LANÇAMENTOS'!$D$6:$D$2005,$A295,'LANÇAMENTOS'!$V$6:$V$2005,ABS($D295),'LANÇAMENTOS'!$L$6:$L$2005,$F295)&gt;0,"✔ Encontrado na planilha",IF(COUNTIFS('LANÇAMENTOS'!$D$6:$D$2005,$A295,'LANÇAMENTOS'!$V$6:$V$2005,"&gt;="&amp;ABS($D295)*0.98,'LANÇAMENTOS'!$V$6:$V$2005,"&lt;="&amp;ABS($D295)*1.02)&gt;0,"🟡 Valor próximo de um lançamento","❌ Não localizado")))</f>
        <v/>
      </c>
    </row>
    <row r="296">
      <c r="A296" s="36" t="n"/>
      <c r="B296" s="29" t="n"/>
      <c r="C296" s="14" t="n"/>
      <c r="D296" s="35" t="n"/>
      <c r="E296" s="14" t="n"/>
      <c r="F296" s="29" t="n"/>
      <c r="G296" s="14" t="n"/>
      <c r="H296" s="29" t="n"/>
      <c r="I296" s="14" t="n"/>
      <c r="J296" s="29" t="n"/>
      <c r="K296" s="18">
        <f>IF($D296="","",IF($E296="Débito",-ABS($D296),ABS($D296)))</f>
        <v/>
      </c>
      <c r="L296" s="9">
        <f>IF($A296="","",IF(COUNTIFS('LANÇAMENTOS'!$D$6:$D$2005,$A296,'LANÇAMENTOS'!$V$6:$V$2005,ABS($D296),'LANÇAMENTOS'!$L$6:$L$2005,$F296)&gt;0,"✔ Encontrado na planilha",IF(COUNTIFS('LANÇAMENTOS'!$D$6:$D$2005,$A296,'LANÇAMENTOS'!$V$6:$V$2005,"&gt;="&amp;ABS($D296)*0.98,'LANÇAMENTOS'!$V$6:$V$2005,"&lt;="&amp;ABS($D296)*1.02)&gt;0,"🟡 Valor próximo de um lançamento","❌ Não localizado")))</f>
        <v/>
      </c>
    </row>
    <row r="297">
      <c r="A297" s="36" t="n"/>
      <c r="B297" s="29" t="n"/>
      <c r="C297" s="14" t="n"/>
      <c r="D297" s="35" t="n"/>
      <c r="E297" s="14" t="n"/>
      <c r="F297" s="29" t="n"/>
      <c r="G297" s="14" t="n"/>
      <c r="H297" s="29" t="n"/>
      <c r="I297" s="14" t="n"/>
      <c r="J297" s="29" t="n"/>
      <c r="K297" s="18">
        <f>IF($D297="","",IF($E297="Débito",-ABS($D297),ABS($D297)))</f>
        <v/>
      </c>
      <c r="L297" s="9">
        <f>IF($A297="","",IF(COUNTIFS('LANÇAMENTOS'!$D$6:$D$2005,$A297,'LANÇAMENTOS'!$V$6:$V$2005,ABS($D297),'LANÇAMENTOS'!$L$6:$L$2005,$F297)&gt;0,"✔ Encontrado na planilha",IF(COUNTIFS('LANÇAMENTOS'!$D$6:$D$2005,$A297,'LANÇAMENTOS'!$V$6:$V$2005,"&gt;="&amp;ABS($D297)*0.98,'LANÇAMENTOS'!$V$6:$V$2005,"&lt;="&amp;ABS($D297)*1.02)&gt;0,"🟡 Valor próximo de um lançamento","❌ Não localizado")))</f>
        <v/>
      </c>
    </row>
    <row r="298">
      <c r="A298" s="36" t="n"/>
      <c r="B298" s="29" t="n"/>
      <c r="C298" s="14" t="n"/>
      <c r="D298" s="35" t="n"/>
      <c r="E298" s="14" t="n"/>
      <c r="F298" s="29" t="n"/>
      <c r="G298" s="14" t="n"/>
      <c r="H298" s="29" t="n"/>
      <c r="I298" s="14" t="n"/>
      <c r="J298" s="29" t="n"/>
      <c r="K298" s="18">
        <f>IF($D298="","",IF($E298="Débito",-ABS($D298),ABS($D298)))</f>
        <v/>
      </c>
      <c r="L298" s="9">
        <f>IF($A298="","",IF(COUNTIFS('LANÇAMENTOS'!$D$6:$D$2005,$A298,'LANÇAMENTOS'!$V$6:$V$2005,ABS($D298),'LANÇAMENTOS'!$L$6:$L$2005,$F298)&gt;0,"✔ Encontrado na planilha",IF(COUNTIFS('LANÇAMENTOS'!$D$6:$D$2005,$A298,'LANÇAMENTOS'!$V$6:$V$2005,"&gt;="&amp;ABS($D298)*0.98,'LANÇAMENTOS'!$V$6:$V$2005,"&lt;="&amp;ABS($D298)*1.02)&gt;0,"🟡 Valor próximo de um lançamento","❌ Não localizado")))</f>
        <v/>
      </c>
    </row>
    <row r="299">
      <c r="A299" s="36" t="n"/>
      <c r="B299" s="29" t="n"/>
      <c r="C299" s="14" t="n"/>
      <c r="D299" s="35" t="n"/>
      <c r="E299" s="14" t="n"/>
      <c r="F299" s="29" t="n"/>
      <c r="G299" s="14" t="n"/>
      <c r="H299" s="29" t="n"/>
      <c r="I299" s="14" t="n"/>
      <c r="J299" s="29" t="n"/>
      <c r="K299" s="18">
        <f>IF($D299="","",IF($E299="Débito",-ABS($D299),ABS($D299)))</f>
        <v/>
      </c>
      <c r="L299" s="9">
        <f>IF($A299="","",IF(COUNTIFS('LANÇAMENTOS'!$D$6:$D$2005,$A299,'LANÇAMENTOS'!$V$6:$V$2005,ABS($D299),'LANÇAMENTOS'!$L$6:$L$2005,$F299)&gt;0,"✔ Encontrado na planilha",IF(COUNTIFS('LANÇAMENTOS'!$D$6:$D$2005,$A299,'LANÇAMENTOS'!$V$6:$V$2005,"&gt;="&amp;ABS($D299)*0.98,'LANÇAMENTOS'!$V$6:$V$2005,"&lt;="&amp;ABS($D299)*1.02)&gt;0,"🟡 Valor próximo de um lançamento","❌ Não localizado")))</f>
        <v/>
      </c>
    </row>
    <row r="300">
      <c r="A300" s="36" t="n"/>
      <c r="B300" s="29" t="n"/>
      <c r="C300" s="14" t="n"/>
      <c r="D300" s="35" t="n"/>
      <c r="E300" s="14" t="n"/>
      <c r="F300" s="29" t="n"/>
      <c r="G300" s="14" t="n"/>
      <c r="H300" s="29" t="n"/>
      <c r="I300" s="14" t="n"/>
      <c r="J300" s="29" t="n"/>
      <c r="K300" s="18">
        <f>IF($D300="","",IF($E300="Débito",-ABS($D300),ABS($D300)))</f>
        <v/>
      </c>
      <c r="L300" s="9">
        <f>IF($A300="","",IF(COUNTIFS('LANÇAMENTOS'!$D$6:$D$2005,$A300,'LANÇAMENTOS'!$V$6:$V$2005,ABS($D300),'LANÇAMENTOS'!$L$6:$L$2005,$F300)&gt;0,"✔ Encontrado na planilha",IF(COUNTIFS('LANÇAMENTOS'!$D$6:$D$2005,$A300,'LANÇAMENTOS'!$V$6:$V$2005,"&gt;="&amp;ABS($D300)*0.98,'LANÇAMENTOS'!$V$6:$V$2005,"&lt;="&amp;ABS($D300)*1.02)&gt;0,"🟡 Valor próximo de um lançamento","❌ Não localizado")))</f>
        <v/>
      </c>
    </row>
    <row r="301">
      <c r="A301" s="36" t="n"/>
      <c r="B301" s="29" t="n"/>
      <c r="C301" s="14" t="n"/>
      <c r="D301" s="35" t="n"/>
      <c r="E301" s="14" t="n"/>
      <c r="F301" s="29" t="n"/>
      <c r="G301" s="14" t="n"/>
      <c r="H301" s="29" t="n"/>
      <c r="I301" s="14" t="n"/>
      <c r="J301" s="29" t="n"/>
      <c r="K301" s="18">
        <f>IF($D301="","",IF($E301="Débito",-ABS($D301),ABS($D301)))</f>
        <v/>
      </c>
      <c r="L301" s="9">
        <f>IF($A301="","",IF(COUNTIFS('LANÇAMENTOS'!$D$6:$D$2005,$A301,'LANÇAMENTOS'!$V$6:$V$2005,ABS($D301),'LANÇAMENTOS'!$L$6:$L$2005,$F301)&gt;0,"✔ Encontrado na planilha",IF(COUNTIFS('LANÇAMENTOS'!$D$6:$D$2005,$A301,'LANÇAMENTOS'!$V$6:$V$2005,"&gt;="&amp;ABS($D301)*0.98,'LANÇAMENTOS'!$V$6:$V$2005,"&lt;="&amp;ABS($D301)*1.02)&gt;0,"🟡 Valor próximo de um lançamento","❌ Não localizado")))</f>
        <v/>
      </c>
    </row>
    <row r="302">
      <c r="A302" s="36" t="n"/>
      <c r="B302" s="29" t="n"/>
      <c r="C302" s="14" t="n"/>
      <c r="D302" s="35" t="n"/>
      <c r="E302" s="14" t="n"/>
      <c r="F302" s="29" t="n"/>
      <c r="G302" s="14" t="n"/>
      <c r="H302" s="29" t="n"/>
      <c r="I302" s="14" t="n"/>
      <c r="J302" s="29" t="n"/>
      <c r="K302" s="18">
        <f>IF($D302="","",IF($E302="Débito",-ABS($D302),ABS($D302)))</f>
        <v/>
      </c>
      <c r="L302" s="9">
        <f>IF($A302="","",IF(COUNTIFS('LANÇAMENTOS'!$D$6:$D$2005,$A302,'LANÇAMENTOS'!$V$6:$V$2005,ABS($D302),'LANÇAMENTOS'!$L$6:$L$2005,$F302)&gt;0,"✔ Encontrado na planilha",IF(COUNTIFS('LANÇAMENTOS'!$D$6:$D$2005,$A302,'LANÇAMENTOS'!$V$6:$V$2005,"&gt;="&amp;ABS($D302)*0.98,'LANÇAMENTOS'!$V$6:$V$2005,"&lt;="&amp;ABS($D302)*1.02)&gt;0,"🟡 Valor próximo de um lançamento","❌ Não localizado")))</f>
        <v/>
      </c>
    </row>
    <row r="303">
      <c r="A303" s="36" t="n"/>
      <c r="B303" s="29" t="n"/>
      <c r="C303" s="14" t="n"/>
      <c r="D303" s="35" t="n"/>
      <c r="E303" s="14" t="n"/>
      <c r="F303" s="29" t="n"/>
      <c r="G303" s="14" t="n"/>
      <c r="H303" s="29" t="n"/>
      <c r="I303" s="14" t="n"/>
      <c r="J303" s="29" t="n"/>
      <c r="K303" s="18">
        <f>IF($D303="","",IF($E303="Débito",-ABS($D303),ABS($D303)))</f>
        <v/>
      </c>
      <c r="L303" s="9">
        <f>IF($A303="","",IF(COUNTIFS('LANÇAMENTOS'!$D$6:$D$2005,$A303,'LANÇAMENTOS'!$V$6:$V$2005,ABS($D303),'LANÇAMENTOS'!$L$6:$L$2005,$F303)&gt;0,"✔ Encontrado na planilha",IF(COUNTIFS('LANÇAMENTOS'!$D$6:$D$2005,$A303,'LANÇAMENTOS'!$V$6:$V$2005,"&gt;="&amp;ABS($D303)*0.98,'LANÇAMENTOS'!$V$6:$V$2005,"&lt;="&amp;ABS($D303)*1.02)&gt;0,"🟡 Valor próximo de um lançamento","❌ Não localizado")))</f>
        <v/>
      </c>
    </row>
    <row r="304">
      <c r="A304" s="36" t="n"/>
      <c r="B304" s="29" t="n"/>
      <c r="C304" s="14" t="n"/>
      <c r="D304" s="35" t="n"/>
      <c r="E304" s="14" t="n"/>
      <c r="F304" s="29" t="n"/>
      <c r="G304" s="14" t="n"/>
      <c r="H304" s="29" t="n"/>
      <c r="I304" s="14" t="n"/>
      <c r="J304" s="29" t="n"/>
      <c r="K304" s="18">
        <f>IF($D304="","",IF($E304="Débito",-ABS($D304),ABS($D304)))</f>
        <v/>
      </c>
      <c r="L304" s="9">
        <f>IF($A304="","",IF(COUNTIFS('LANÇAMENTOS'!$D$6:$D$2005,$A304,'LANÇAMENTOS'!$V$6:$V$2005,ABS($D304),'LANÇAMENTOS'!$L$6:$L$2005,$F304)&gt;0,"✔ Encontrado na planilha",IF(COUNTIFS('LANÇAMENTOS'!$D$6:$D$2005,$A304,'LANÇAMENTOS'!$V$6:$V$2005,"&gt;="&amp;ABS($D304)*0.98,'LANÇAMENTOS'!$V$6:$V$2005,"&lt;="&amp;ABS($D304)*1.02)&gt;0,"🟡 Valor próximo de um lançamento","❌ Não localizado")))</f>
        <v/>
      </c>
    </row>
    <row r="305">
      <c r="A305" s="36" t="n"/>
      <c r="B305" s="29" t="n"/>
      <c r="C305" s="14" t="n"/>
      <c r="D305" s="35" t="n"/>
      <c r="E305" s="14" t="n"/>
      <c r="F305" s="29" t="n"/>
      <c r="G305" s="14" t="n"/>
      <c r="H305" s="29" t="n"/>
      <c r="I305" s="14" t="n"/>
      <c r="J305" s="29" t="n"/>
      <c r="K305" s="18">
        <f>IF($D305="","",IF($E305="Débito",-ABS($D305),ABS($D305)))</f>
        <v/>
      </c>
      <c r="L305" s="9">
        <f>IF($A305="","",IF(COUNTIFS('LANÇAMENTOS'!$D$6:$D$2005,$A305,'LANÇAMENTOS'!$V$6:$V$2005,ABS($D305),'LANÇAMENTOS'!$L$6:$L$2005,$F305)&gt;0,"✔ Encontrado na planilha",IF(COUNTIFS('LANÇAMENTOS'!$D$6:$D$2005,$A305,'LANÇAMENTOS'!$V$6:$V$2005,"&gt;="&amp;ABS($D305)*0.98,'LANÇAMENTOS'!$V$6:$V$2005,"&lt;="&amp;ABS($D305)*1.02)&gt;0,"🟡 Valor próximo de um lançamento","❌ Não localizado")))</f>
        <v/>
      </c>
    </row>
    <row r="306">
      <c r="A306" s="36" t="n"/>
      <c r="B306" s="29" t="n"/>
      <c r="C306" s="14" t="n"/>
      <c r="D306" s="35" t="n"/>
      <c r="E306" s="14" t="n"/>
      <c r="F306" s="29" t="n"/>
      <c r="G306" s="14" t="n"/>
      <c r="H306" s="29" t="n"/>
      <c r="I306" s="14" t="n"/>
      <c r="J306" s="29" t="n"/>
      <c r="K306" s="18">
        <f>IF($D306="","",IF($E306="Débito",-ABS($D306),ABS($D306)))</f>
        <v/>
      </c>
      <c r="L306" s="9">
        <f>IF($A306="","",IF(COUNTIFS('LANÇAMENTOS'!$D$6:$D$2005,$A306,'LANÇAMENTOS'!$V$6:$V$2005,ABS($D306),'LANÇAMENTOS'!$L$6:$L$2005,$F306)&gt;0,"✔ Encontrado na planilha",IF(COUNTIFS('LANÇAMENTOS'!$D$6:$D$2005,$A306,'LANÇAMENTOS'!$V$6:$V$2005,"&gt;="&amp;ABS($D306)*0.98,'LANÇAMENTOS'!$V$6:$V$2005,"&lt;="&amp;ABS($D306)*1.02)&gt;0,"🟡 Valor próximo de um lançamento","❌ Não localizado")))</f>
        <v/>
      </c>
    </row>
    <row r="307">
      <c r="A307" s="36" t="n"/>
      <c r="B307" s="29" t="n"/>
      <c r="C307" s="14" t="n"/>
      <c r="D307" s="35" t="n"/>
      <c r="E307" s="14" t="n"/>
      <c r="F307" s="29" t="n"/>
      <c r="G307" s="14" t="n"/>
      <c r="H307" s="29" t="n"/>
      <c r="I307" s="14" t="n"/>
      <c r="J307" s="29" t="n"/>
      <c r="K307" s="18">
        <f>IF($D307="","",IF($E307="Débito",-ABS($D307),ABS($D307)))</f>
        <v/>
      </c>
      <c r="L307" s="9">
        <f>IF($A307="","",IF(COUNTIFS('LANÇAMENTOS'!$D$6:$D$2005,$A307,'LANÇAMENTOS'!$V$6:$V$2005,ABS($D307),'LANÇAMENTOS'!$L$6:$L$2005,$F307)&gt;0,"✔ Encontrado na planilha",IF(COUNTIFS('LANÇAMENTOS'!$D$6:$D$2005,$A307,'LANÇAMENTOS'!$V$6:$V$2005,"&gt;="&amp;ABS($D307)*0.98,'LANÇAMENTOS'!$V$6:$V$2005,"&lt;="&amp;ABS($D307)*1.02)&gt;0,"🟡 Valor próximo de um lançamento","❌ Não localizado")))</f>
        <v/>
      </c>
    </row>
    <row r="308">
      <c r="A308" s="36" t="n"/>
      <c r="B308" s="29" t="n"/>
      <c r="C308" s="14" t="n"/>
      <c r="D308" s="35" t="n"/>
      <c r="E308" s="14" t="n"/>
      <c r="F308" s="29" t="n"/>
      <c r="G308" s="14" t="n"/>
      <c r="H308" s="29" t="n"/>
      <c r="I308" s="14" t="n"/>
      <c r="J308" s="29" t="n"/>
      <c r="K308" s="18">
        <f>IF($D308="","",IF($E308="Débito",-ABS($D308),ABS($D308)))</f>
        <v/>
      </c>
      <c r="L308" s="9">
        <f>IF($A308="","",IF(COUNTIFS('LANÇAMENTOS'!$D$6:$D$2005,$A308,'LANÇAMENTOS'!$V$6:$V$2005,ABS($D308),'LANÇAMENTOS'!$L$6:$L$2005,$F308)&gt;0,"✔ Encontrado na planilha",IF(COUNTIFS('LANÇAMENTOS'!$D$6:$D$2005,$A308,'LANÇAMENTOS'!$V$6:$V$2005,"&gt;="&amp;ABS($D308)*0.98,'LANÇAMENTOS'!$V$6:$V$2005,"&lt;="&amp;ABS($D308)*1.02)&gt;0,"🟡 Valor próximo de um lançamento","❌ Não localizado")))</f>
        <v/>
      </c>
    </row>
    <row r="309">
      <c r="A309" s="36" t="n"/>
      <c r="B309" s="29" t="n"/>
      <c r="C309" s="14" t="n"/>
      <c r="D309" s="35" t="n"/>
      <c r="E309" s="14" t="n"/>
      <c r="F309" s="29" t="n"/>
      <c r="G309" s="14" t="n"/>
      <c r="H309" s="29" t="n"/>
      <c r="I309" s="14" t="n"/>
      <c r="J309" s="29" t="n"/>
      <c r="K309" s="18">
        <f>IF($D309="","",IF($E309="Débito",-ABS($D309),ABS($D309)))</f>
        <v/>
      </c>
      <c r="L309" s="9">
        <f>IF($A309="","",IF(COUNTIFS('LANÇAMENTOS'!$D$6:$D$2005,$A309,'LANÇAMENTOS'!$V$6:$V$2005,ABS($D309),'LANÇAMENTOS'!$L$6:$L$2005,$F309)&gt;0,"✔ Encontrado na planilha",IF(COUNTIFS('LANÇAMENTOS'!$D$6:$D$2005,$A309,'LANÇAMENTOS'!$V$6:$V$2005,"&gt;="&amp;ABS($D309)*0.98,'LANÇAMENTOS'!$V$6:$V$2005,"&lt;="&amp;ABS($D309)*1.02)&gt;0,"🟡 Valor próximo de um lançamento","❌ Não localizado")))</f>
        <v/>
      </c>
    </row>
    <row r="310">
      <c r="A310" s="36" t="n"/>
      <c r="B310" s="29" t="n"/>
      <c r="C310" s="14" t="n"/>
      <c r="D310" s="35" t="n"/>
      <c r="E310" s="14" t="n"/>
      <c r="F310" s="29" t="n"/>
      <c r="G310" s="14" t="n"/>
      <c r="H310" s="29" t="n"/>
      <c r="I310" s="14" t="n"/>
      <c r="J310" s="29" t="n"/>
      <c r="K310" s="18">
        <f>IF($D310="","",IF($E310="Débito",-ABS($D310),ABS($D310)))</f>
        <v/>
      </c>
      <c r="L310" s="9">
        <f>IF($A310="","",IF(COUNTIFS('LANÇAMENTOS'!$D$6:$D$2005,$A310,'LANÇAMENTOS'!$V$6:$V$2005,ABS($D310),'LANÇAMENTOS'!$L$6:$L$2005,$F310)&gt;0,"✔ Encontrado na planilha",IF(COUNTIFS('LANÇAMENTOS'!$D$6:$D$2005,$A310,'LANÇAMENTOS'!$V$6:$V$2005,"&gt;="&amp;ABS($D310)*0.98,'LANÇAMENTOS'!$V$6:$V$2005,"&lt;="&amp;ABS($D310)*1.02)&gt;0,"🟡 Valor próximo de um lançamento","❌ Não localizado")))</f>
        <v/>
      </c>
    </row>
    <row r="311">
      <c r="A311" s="36" t="n"/>
      <c r="B311" s="29" t="n"/>
      <c r="C311" s="14" t="n"/>
      <c r="D311" s="35" t="n"/>
      <c r="E311" s="14" t="n"/>
      <c r="F311" s="29" t="n"/>
      <c r="G311" s="14" t="n"/>
      <c r="H311" s="29" t="n"/>
      <c r="I311" s="14" t="n"/>
      <c r="J311" s="29" t="n"/>
      <c r="K311" s="18">
        <f>IF($D311="","",IF($E311="Débito",-ABS($D311),ABS($D311)))</f>
        <v/>
      </c>
      <c r="L311" s="9">
        <f>IF($A311="","",IF(COUNTIFS('LANÇAMENTOS'!$D$6:$D$2005,$A311,'LANÇAMENTOS'!$V$6:$V$2005,ABS($D311),'LANÇAMENTOS'!$L$6:$L$2005,$F311)&gt;0,"✔ Encontrado na planilha",IF(COUNTIFS('LANÇAMENTOS'!$D$6:$D$2005,$A311,'LANÇAMENTOS'!$V$6:$V$2005,"&gt;="&amp;ABS($D311)*0.98,'LANÇAMENTOS'!$V$6:$V$2005,"&lt;="&amp;ABS($D311)*1.02)&gt;0,"🟡 Valor próximo de um lançamento","❌ Não localizado")))</f>
        <v/>
      </c>
    </row>
    <row r="312">
      <c r="A312" s="36" t="n"/>
      <c r="B312" s="29" t="n"/>
      <c r="C312" s="14" t="n"/>
      <c r="D312" s="35" t="n"/>
      <c r="E312" s="14" t="n"/>
      <c r="F312" s="29" t="n"/>
      <c r="G312" s="14" t="n"/>
      <c r="H312" s="29" t="n"/>
      <c r="I312" s="14" t="n"/>
      <c r="J312" s="29" t="n"/>
      <c r="K312" s="18">
        <f>IF($D312="","",IF($E312="Débito",-ABS($D312),ABS($D312)))</f>
        <v/>
      </c>
      <c r="L312" s="9">
        <f>IF($A312="","",IF(COUNTIFS('LANÇAMENTOS'!$D$6:$D$2005,$A312,'LANÇAMENTOS'!$V$6:$V$2005,ABS($D312),'LANÇAMENTOS'!$L$6:$L$2005,$F312)&gt;0,"✔ Encontrado na planilha",IF(COUNTIFS('LANÇAMENTOS'!$D$6:$D$2005,$A312,'LANÇAMENTOS'!$V$6:$V$2005,"&gt;="&amp;ABS($D312)*0.98,'LANÇAMENTOS'!$V$6:$V$2005,"&lt;="&amp;ABS($D312)*1.02)&gt;0,"🟡 Valor próximo de um lançamento","❌ Não localizado")))</f>
        <v/>
      </c>
    </row>
    <row r="313">
      <c r="A313" s="36" t="n"/>
      <c r="B313" s="29" t="n"/>
      <c r="C313" s="14" t="n"/>
      <c r="D313" s="35" t="n"/>
      <c r="E313" s="14" t="n"/>
      <c r="F313" s="29" t="n"/>
      <c r="G313" s="14" t="n"/>
      <c r="H313" s="29" t="n"/>
      <c r="I313" s="14" t="n"/>
      <c r="J313" s="29" t="n"/>
      <c r="K313" s="18">
        <f>IF($D313="","",IF($E313="Débito",-ABS($D313),ABS($D313)))</f>
        <v/>
      </c>
      <c r="L313" s="9">
        <f>IF($A313="","",IF(COUNTIFS('LANÇAMENTOS'!$D$6:$D$2005,$A313,'LANÇAMENTOS'!$V$6:$V$2005,ABS($D313),'LANÇAMENTOS'!$L$6:$L$2005,$F313)&gt;0,"✔ Encontrado na planilha",IF(COUNTIFS('LANÇAMENTOS'!$D$6:$D$2005,$A313,'LANÇAMENTOS'!$V$6:$V$2005,"&gt;="&amp;ABS($D313)*0.98,'LANÇAMENTOS'!$V$6:$V$2005,"&lt;="&amp;ABS($D313)*1.02)&gt;0,"🟡 Valor próximo de um lançamento","❌ Não localizado")))</f>
        <v/>
      </c>
    </row>
    <row r="314">
      <c r="A314" s="36" t="n"/>
      <c r="B314" s="29" t="n"/>
      <c r="C314" s="14" t="n"/>
      <c r="D314" s="35" t="n"/>
      <c r="E314" s="14" t="n"/>
      <c r="F314" s="29" t="n"/>
      <c r="G314" s="14" t="n"/>
      <c r="H314" s="29" t="n"/>
      <c r="I314" s="14" t="n"/>
      <c r="J314" s="29" t="n"/>
      <c r="K314" s="18">
        <f>IF($D314="","",IF($E314="Débito",-ABS($D314),ABS($D314)))</f>
        <v/>
      </c>
      <c r="L314" s="9">
        <f>IF($A314="","",IF(COUNTIFS('LANÇAMENTOS'!$D$6:$D$2005,$A314,'LANÇAMENTOS'!$V$6:$V$2005,ABS($D314),'LANÇAMENTOS'!$L$6:$L$2005,$F314)&gt;0,"✔ Encontrado na planilha",IF(COUNTIFS('LANÇAMENTOS'!$D$6:$D$2005,$A314,'LANÇAMENTOS'!$V$6:$V$2005,"&gt;="&amp;ABS($D314)*0.98,'LANÇAMENTOS'!$V$6:$V$2005,"&lt;="&amp;ABS($D314)*1.02)&gt;0,"🟡 Valor próximo de um lançamento","❌ Não localizado")))</f>
        <v/>
      </c>
    </row>
    <row r="315">
      <c r="A315" s="36" t="n"/>
      <c r="B315" s="29" t="n"/>
      <c r="C315" s="14" t="n"/>
      <c r="D315" s="35" t="n"/>
      <c r="E315" s="14" t="n"/>
      <c r="F315" s="29" t="n"/>
      <c r="G315" s="14" t="n"/>
      <c r="H315" s="29" t="n"/>
      <c r="I315" s="14" t="n"/>
      <c r="J315" s="29" t="n"/>
      <c r="K315" s="18">
        <f>IF($D315="","",IF($E315="Débito",-ABS($D315),ABS($D315)))</f>
        <v/>
      </c>
      <c r="L315" s="9">
        <f>IF($A315="","",IF(COUNTIFS('LANÇAMENTOS'!$D$6:$D$2005,$A315,'LANÇAMENTOS'!$V$6:$V$2005,ABS($D315),'LANÇAMENTOS'!$L$6:$L$2005,$F315)&gt;0,"✔ Encontrado na planilha",IF(COUNTIFS('LANÇAMENTOS'!$D$6:$D$2005,$A315,'LANÇAMENTOS'!$V$6:$V$2005,"&gt;="&amp;ABS($D315)*0.98,'LANÇAMENTOS'!$V$6:$V$2005,"&lt;="&amp;ABS($D315)*1.02)&gt;0,"🟡 Valor próximo de um lançamento","❌ Não localizado")))</f>
        <v/>
      </c>
    </row>
    <row r="316">
      <c r="A316" s="36" t="n"/>
      <c r="B316" s="29" t="n"/>
      <c r="C316" s="14" t="n"/>
      <c r="D316" s="35" t="n"/>
      <c r="E316" s="14" t="n"/>
      <c r="F316" s="29" t="n"/>
      <c r="G316" s="14" t="n"/>
      <c r="H316" s="29" t="n"/>
      <c r="I316" s="14" t="n"/>
      <c r="J316" s="29" t="n"/>
      <c r="K316" s="18">
        <f>IF($D316="","",IF($E316="Débito",-ABS($D316),ABS($D316)))</f>
        <v/>
      </c>
      <c r="L316" s="9">
        <f>IF($A316="","",IF(COUNTIFS('LANÇAMENTOS'!$D$6:$D$2005,$A316,'LANÇAMENTOS'!$V$6:$V$2005,ABS($D316),'LANÇAMENTOS'!$L$6:$L$2005,$F316)&gt;0,"✔ Encontrado na planilha",IF(COUNTIFS('LANÇAMENTOS'!$D$6:$D$2005,$A316,'LANÇAMENTOS'!$V$6:$V$2005,"&gt;="&amp;ABS($D316)*0.98,'LANÇAMENTOS'!$V$6:$V$2005,"&lt;="&amp;ABS($D316)*1.02)&gt;0,"🟡 Valor próximo de um lançamento","❌ Não localizado")))</f>
        <v/>
      </c>
    </row>
    <row r="317">
      <c r="A317" s="36" t="n"/>
      <c r="B317" s="29" t="n"/>
      <c r="C317" s="14" t="n"/>
      <c r="D317" s="35" t="n"/>
      <c r="E317" s="14" t="n"/>
      <c r="F317" s="29" t="n"/>
      <c r="G317" s="14" t="n"/>
      <c r="H317" s="29" t="n"/>
      <c r="I317" s="14" t="n"/>
      <c r="J317" s="29" t="n"/>
      <c r="K317" s="18">
        <f>IF($D317="","",IF($E317="Débito",-ABS($D317),ABS($D317)))</f>
        <v/>
      </c>
      <c r="L317" s="9">
        <f>IF($A317="","",IF(COUNTIFS('LANÇAMENTOS'!$D$6:$D$2005,$A317,'LANÇAMENTOS'!$V$6:$V$2005,ABS($D317),'LANÇAMENTOS'!$L$6:$L$2005,$F317)&gt;0,"✔ Encontrado na planilha",IF(COUNTIFS('LANÇAMENTOS'!$D$6:$D$2005,$A317,'LANÇAMENTOS'!$V$6:$V$2005,"&gt;="&amp;ABS($D317)*0.98,'LANÇAMENTOS'!$V$6:$V$2005,"&lt;="&amp;ABS($D317)*1.02)&gt;0,"🟡 Valor próximo de um lançamento","❌ Não localizado")))</f>
        <v/>
      </c>
    </row>
    <row r="318">
      <c r="A318" s="36" t="n"/>
      <c r="B318" s="29" t="n"/>
      <c r="C318" s="14" t="n"/>
      <c r="D318" s="35" t="n"/>
      <c r="E318" s="14" t="n"/>
      <c r="F318" s="29" t="n"/>
      <c r="G318" s="14" t="n"/>
      <c r="H318" s="29" t="n"/>
      <c r="I318" s="14" t="n"/>
      <c r="J318" s="29" t="n"/>
      <c r="K318" s="18">
        <f>IF($D318="","",IF($E318="Débito",-ABS($D318),ABS($D318)))</f>
        <v/>
      </c>
      <c r="L318" s="9">
        <f>IF($A318="","",IF(COUNTIFS('LANÇAMENTOS'!$D$6:$D$2005,$A318,'LANÇAMENTOS'!$V$6:$V$2005,ABS($D318),'LANÇAMENTOS'!$L$6:$L$2005,$F318)&gt;0,"✔ Encontrado na planilha",IF(COUNTIFS('LANÇAMENTOS'!$D$6:$D$2005,$A318,'LANÇAMENTOS'!$V$6:$V$2005,"&gt;="&amp;ABS($D318)*0.98,'LANÇAMENTOS'!$V$6:$V$2005,"&lt;="&amp;ABS($D318)*1.02)&gt;0,"🟡 Valor próximo de um lançamento","❌ Não localizado")))</f>
        <v/>
      </c>
    </row>
    <row r="319">
      <c r="A319" s="36" t="n"/>
      <c r="B319" s="29" t="n"/>
      <c r="C319" s="14" t="n"/>
      <c r="D319" s="35" t="n"/>
      <c r="E319" s="14" t="n"/>
      <c r="F319" s="29" t="n"/>
      <c r="G319" s="14" t="n"/>
      <c r="H319" s="29" t="n"/>
      <c r="I319" s="14" t="n"/>
      <c r="J319" s="29" t="n"/>
      <c r="K319" s="18">
        <f>IF($D319="","",IF($E319="Débito",-ABS($D319),ABS($D319)))</f>
        <v/>
      </c>
      <c r="L319" s="9">
        <f>IF($A319="","",IF(COUNTIFS('LANÇAMENTOS'!$D$6:$D$2005,$A319,'LANÇAMENTOS'!$V$6:$V$2005,ABS($D319),'LANÇAMENTOS'!$L$6:$L$2005,$F319)&gt;0,"✔ Encontrado na planilha",IF(COUNTIFS('LANÇAMENTOS'!$D$6:$D$2005,$A319,'LANÇAMENTOS'!$V$6:$V$2005,"&gt;="&amp;ABS($D319)*0.98,'LANÇAMENTOS'!$V$6:$V$2005,"&lt;="&amp;ABS($D319)*1.02)&gt;0,"🟡 Valor próximo de um lançamento","❌ Não localizado")))</f>
        <v/>
      </c>
    </row>
    <row r="320">
      <c r="A320" s="36" t="n"/>
      <c r="B320" s="29" t="n"/>
      <c r="C320" s="14" t="n"/>
      <c r="D320" s="35" t="n"/>
      <c r="E320" s="14" t="n"/>
      <c r="F320" s="29" t="n"/>
      <c r="G320" s="14" t="n"/>
      <c r="H320" s="29" t="n"/>
      <c r="I320" s="14" t="n"/>
      <c r="J320" s="29" t="n"/>
      <c r="K320" s="18">
        <f>IF($D320="","",IF($E320="Débito",-ABS($D320),ABS($D320)))</f>
        <v/>
      </c>
      <c r="L320" s="9">
        <f>IF($A320="","",IF(COUNTIFS('LANÇAMENTOS'!$D$6:$D$2005,$A320,'LANÇAMENTOS'!$V$6:$V$2005,ABS($D320),'LANÇAMENTOS'!$L$6:$L$2005,$F320)&gt;0,"✔ Encontrado na planilha",IF(COUNTIFS('LANÇAMENTOS'!$D$6:$D$2005,$A320,'LANÇAMENTOS'!$V$6:$V$2005,"&gt;="&amp;ABS($D320)*0.98,'LANÇAMENTOS'!$V$6:$V$2005,"&lt;="&amp;ABS($D320)*1.02)&gt;0,"🟡 Valor próximo de um lançamento","❌ Não localizado")))</f>
        <v/>
      </c>
    </row>
    <row r="321">
      <c r="A321" s="36" t="n"/>
      <c r="B321" s="29" t="n"/>
      <c r="C321" s="14" t="n"/>
      <c r="D321" s="35" t="n"/>
      <c r="E321" s="14" t="n"/>
      <c r="F321" s="29" t="n"/>
      <c r="G321" s="14" t="n"/>
      <c r="H321" s="29" t="n"/>
      <c r="I321" s="14" t="n"/>
      <c r="J321" s="29" t="n"/>
      <c r="K321" s="18">
        <f>IF($D321="","",IF($E321="Débito",-ABS($D321),ABS($D321)))</f>
        <v/>
      </c>
      <c r="L321" s="9">
        <f>IF($A321="","",IF(COUNTIFS('LANÇAMENTOS'!$D$6:$D$2005,$A321,'LANÇAMENTOS'!$V$6:$V$2005,ABS($D321),'LANÇAMENTOS'!$L$6:$L$2005,$F321)&gt;0,"✔ Encontrado na planilha",IF(COUNTIFS('LANÇAMENTOS'!$D$6:$D$2005,$A321,'LANÇAMENTOS'!$V$6:$V$2005,"&gt;="&amp;ABS($D321)*0.98,'LANÇAMENTOS'!$V$6:$V$2005,"&lt;="&amp;ABS($D321)*1.02)&gt;0,"🟡 Valor próximo de um lançamento","❌ Não localizado")))</f>
        <v/>
      </c>
    </row>
    <row r="322">
      <c r="A322" s="36" t="n"/>
      <c r="B322" s="29" t="n"/>
      <c r="C322" s="14" t="n"/>
      <c r="D322" s="35" t="n"/>
      <c r="E322" s="14" t="n"/>
      <c r="F322" s="29" t="n"/>
      <c r="G322" s="14" t="n"/>
      <c r="H322" s="29" t="n"/>
      <c r="I322" s="14" t="n"/>
      <c r="J322" s="29" t="n"/>
      <c r="K322" s="18">
        <f>IF($D322="","",IF($E322="Débito",-ABS($D322),ABS($D322)))</f>
        <v/>
      </c>
      <c r="L322" s="9">
        <f>IF($A322="","",IF(COUNTIFS('LANÇAMENTOS'!$D$6:$D$2005,$A322,'LANÇAMENTOS'!$V$6:$V$2005,ABS($D322),'LANÇAMENTOS'!$L$6:$L$2005,$F322)&gt;0,"✔ Encontrado na planilha",IF(COUNTIFS('LANÇAMENTOS'!$D$6:$D$2005,$A322,'LANÇAMENTOS'!$V$6:$V$2005,"&gt;="&amp;ABS($D322)*0.98,'LANÇAMENTOS'!$V$6:$V$2005,"&lt;="&amp;ABS($D322)*1.02)&gt;0,"🟡 Valor próximo de um lançamento","❌ Não localizado")))</f>
        <v/>
      </c>
    </row>
    <row r="323">
      <c r="A323" s="36" t="n"/>
      <c r="B323" s="29" t="n"/>
      <c r="C323" s="14" t="n"/>
      <c r="D323" s="35" t="n"/>
      <c r="E323" s="14" t="n"/>
      <c r="F323" s="29" t="n"/>
      <c r="G323" s="14" t="n"/>
      <c r="H323" s="29" t="n"/>
      <c r="I323" s="14" t="n"/>
      <c r="J323" s="29" t="n"/>
      <c r="K323" s="18">
        <f>IF($D323="","",IF($E323="Débito",-ABS($D323),ABS($D323)))</f>
        <v/>
      </c>
      <c r="L323" s="9">
        <f>IF($A323="","",IF(COUNTIFS('LANÇAMENTOS'!$D$6:$D$2005,$A323,'LANÇAMENTOS'!$V$6:$V$2005,ABS($D323),'LANÇAMENTOS'!$L$6:$L$2005,$F323)&gt;0,"✔ Encontrado na planilha",IF(COUNTIFS('LANÇAMENTOS'!$D$6:$D$2005,$A323,'LANÇAMENTOS'!$V$6:$V$2005,"&gt;="&amp;ABS($D323)*0.98,'LANÇAMENTOS'!$V$6:$V$2005,"&lt;="&amp;ABS($D323)*1.02)&gt;0,"🟡 Valor próximo de um lançamento","❌ Não localizado")))</f>
        <v/>
      </c>
    </row>
    <row r="324">
      <c r="A324" s="36" t="n"/>
      <c r="B324" s="29" t="n"/>
      <c r="C324" s="14" t="n"/>
      <c r="D324" s="35" t="n"/>
      <c r="E324" s="14" t="n"/>
      <c r="F324" s="29" t="n"/>
      <c r="G324" s="14" t="n"/>
      <c r="H324" s="29" t="n"/>
      <c r="I324" s="14" t="n"/>
      <c r="J324" s="29" t="n"/>
      <c r="K324" s="18">
        <f>IF($D324="","",IF($E324="Débito",-ABS($D324),ABS($D324)))</f>
        <v/>
      </c>
      <c r="L324" s="9">
        <f>IF($A324="","",IF(COUNTIFS('LANÇAMENTOS'!$D$6:$D$2005,$A324,'LANÇAMENTOS'!$V$6:$V$2005,ABS($D324),'LANÇAMENTOS'!$L$6:$L$2005,$F324)&gt;0,"✔ Encontrado na planilha",IF(COUNTIFS('LANÇAMENTOS'!$D$6:$D$2005,$A324,'LANÇAMENTOS'!$V$6:$V$2005,"&gt;="&amp;ABS($D324)*0.98,'LANÇAMENTOS'!$V$6:$V$2005,"&lt;="&amp;ABS($D324)*1.02)&gt;0,"🟡 Valor próximo de um lançamento","❌ Não localizado")))</f>
        <v/>
      </c>
    </row>
    <row r="325">
      <c r="A325" s="36" t="n"/>
      <c r="B325" s="29" t="n"/>
      <c r="C325" s="14" t="n"/>
      <c r="D325" s="35" t="n"/>
      <c r="E325" s="14" t="n"/>
      <c r="F325" s="29" t="n"/>
      <c r="G325" s="14" t="n"/>
      <c r="H325" s="29" t="n"/>
      <c r="I325" s="14" t="n"/>
      <c r="J325" s="29" t="n"/>
      <c r="K325" s="18">
        <f>IF($D325="","",IF($E325="Débito",-ABS($D325),ABS($D325)))</f>
        <v/>
      </c>
      <c r="L325" s="9">
        <f>IF($A325="","",IF(COUNTIFS('LANÇAMENTOS'!$D$6:$D$2005,$A325,'LANÇAMENTOS'!$V$6:$V$2005,ABS($D325),'LANÇAMENTOS'!$L$6:$L$2005,$F325)&gt;0,"✔ Encontrado na planilha",IF(COUNTIFS('LANÇAMENTOS'!$D$6:$D$2005,$A325,'LANÇAMENTOS'!$V$6:$V$2005,"&gt;="&amp;ABS($D325)*0.98,'LANÇAMENTOS'!$V$6:$V$2005,"&lt;="&amp;ABS($D325)*1.02)&gt;0,"🟡 Valor próximo de um lançamento","❌ Não localizado")))</f>
        <v/>
      </c>
    </row>
    <row r="326">
      <c r="A326" s="36" t="n"/>
      <c r="B326" s="29" t="n"/>
      <c r="C326" s="14" t="n"/>
      <c r="D326" s="35" t="n"/>
      <c r="E326" s="14" t="n"/>
      <c r="F326" s="29" t="n"/>
      <c r="G326" s="14" t="n"/>
      <c r="H326" s="29" t="n"/>
      <c r="I326" s="14" t="n"/>
      <c r="J326" s="29" t="n"/>
      <c r="K326" s="18">
        <f>IF($D326="","",IF($E326="Débito",-ABS($D326),ABS($D326)))</f>
        <v/>
      </c>
      <c r="L326" s="9">
        <f>IF($A326="","",IF(COUNTIFS('LANÇAMENTOS'!$D$6:$D$2005,$A326,'LANÇAMENTOS'!$V$6:$V$2005,ABS($D326),'LANÇAMENTOS'!$L$6:$L$2005,$F326)&gt;0,"✔ Encontrado na planilha",IF(COUNTIFS('LANÇAMENTOS'!$D$6:$D$2005,$A326,'LANÇAMENTOS'!$V$6:$V$2005,"&gt;="&amp;ABS($D326)*0.98,'LANÇAMENTOS'!$V$6:$V$2005,"&lt;="&amp;ABS($D326)*1.02)&gt;0,"🟡 Valor próximo de um lançamento","❌ Não localizado")))</f>
        <v/>
      </c>
    </row>
    <row r="327">
      <c r="A327" s="36" t="n"/>
      <c r="B327" s="29" t="n"/>
      <c r="C327" s="14" t="n"/>
      <c r="D327" s="35" t="n"/>
      <c r="E327" s="14" t="n"/>
      <c r="F327" s="29" t="n"/>
      <c r="G327" s="14" t="n"/>
      <c r="H327" s="29" t="n"/>
      <c r="I327" s="14" t="n"/>
      <c r="J327" s="29" t="n"/>
      <c r="K327" s="18">
        <f>IF($D327="","",IF($E327="Débito",-ABS($D327),ABS($D327)))</f>
        <v/>
      </c>
      <c r="L327" s="9">
        <f>IF($A327="","",IF(COUNTIFS('LANÇAMENTOS'!$D$6:$D$2005,$A327,'LANÇAMENTOS'!$V$6:$V$2005,ABS($D327),'LANÇAMENTOS'!$L$6:$L$2005,$F327)&gt;0,"✔ Encontrado na planilha",IF(COUNTIFS('LANÇAMENTOS'!$D$6:$D$2005,$A327,'LANÇAMENTOS'!$V$6:$V$2005,"&gt;="&amp;ABS($D327)*0.98,'LANÇAMENTOS'!$V$6:$V$2005,"&lt;="&amp;ABS($D327)*1.02)&gt;0,"🟡 Valor próximo de um lançamento","❌ Não localizado")))</f>
        <v/>
      </c>
    </row>
    <row r="328">
      <c r="A328" s="36" t="n"/>
      <c r="B328" s="29" t="n"/>
      <c r="C328" s="14" t="n"/>
      <c r="D328" s="35" t="n"/>
      <c r="E328" s="14" t="n"/>
      <c r="F328" s="29" t="n"/>
      <c r="G328" s="14" t="n"/>
      <c r="H328" s="29" t="n"/>
      <c r="I328" s="14" t="n"/>
      <c r="J328" s="29" t="n"/>
      <c r="K328" s="18">
        <f>IF($D328="","",IF($E328="Débito",-ABS($D328),ABS($D328)))</f>
        <v/>
      </c>
      <c r="L328" s="9">
        <f>IF($A328="","",IF(COUNTIFS('LANÇAMENTOS'!$D$6:$D$2005,$A328,'LANÇAMENTOS'!$V$6:$V$2005,ABS($D328),'LANÇAMENTOS'!$L$6:$L$2005,$F328)&gt;0,"✔ Encontrado na planilha",IF(COUNTIFS('LANÇAMENTOS'!$D$6:$D$2005,$A328,'LANÇAMENTOS'!$V$6:$V$2005,"&gt;="&amp;ABS($D328)*0.98,'LANÇAMENTOS'!$V$6:$V$2005,"&lt;="&amp;ABS($D328)*1.02)&gt;0,"🟡 Valor próximo de um lançamento","❌ Não localizado")))</f>
        <v/>
      </c>
    </row>
    <row r="329">
      <c r="A329" s="36" t="n"/>
      <c r="B329" s="29" t="n"/>
      <c r="C329" s="14" t="n"/>
      <c r="D329" s="35" t="n"/>
      <c r="E329" s="14" t="n"/>
      <c r="F329" s="29" t="n"/>
      <c r="G329" s="14" t="n"/>
      <c r="H329" s="29" t="n"/>
      <c r="I329" s="14" t="n"/>
      <c r="J329" s="29" t="n"/>
      <c r="K329" s="18">
        <f>IF($D329="","",IF($E329="Débito",-ABS($D329),ABS($D329)))</f>
        <v/>
      </c>
      <c r="L329" s="9">
        <f>IF($A329="","",IF(COUNTIFS('LANÇAMENTOS'!$D$6:$D$2005,$A329,'LANÇAMENTOS'!$V$6:$V$2005,ABS($D329),'LANÇAMENTOS'!$L$6:$L$2005,$F329)&gt;0,"✔ Encontrado na planilha",IF(COUNTIFS('LANÇAMENTOS'!$D$6:$D$2005,$A329,'LANÇAMENTOS'!$V$6:$V$2005,"&gt;="&amp;ABS($D329)*0.98,'LANÇAMENTOS'!$V$6:$V$2005,"&lt;="&amp;ABS($D329)*1.02)&gt;0,"🟡 Valor próximo de um lançamento","❌ Não localizado")))</f>
        <v/>
      </c>
    </row>
    <row r="330">
      <c r="A330" s="36" t="n"/>
      <c r="B330" s="29" t="n"/>
      <c r="C330" s="14" t="n"/>
      <c r="D330" s="35" t="n"/>
      <c r="E330" s="14" t="n"/>
      <c r="F330" s="29" t="n"/>
      <c r="G330" s="14" t="n"/>
      <c r="H330" s="29" t="n"/>
      <c r="I330" s="14" t="n"/>
      <c r="J330" s="29" t="n"/>
      <c r="K330" s="18">
        <f>IF($D330="","",IF($E330="Débito",-ABS($D330),ABS($D330)))</f>
        <v/>
      </c>
      <c r="L330" s="9">
        <f>IF($A330="","",IF(COUNTIFS('LANÇAMENTOS'!$D$6:$D$2005,$A330,'LANÇAMENTOS'!$V$6:$V$2005,ABS($D330),'LANÇAMENTOS'!$L$6:$L$2005,$F330)&gt;0,"✔ Encontrado na planilha",IF(COUNTIFS('LANÇAMENTOS'!$D$6:$D$2005,$A330,'LANÇAMENTOS'!$V$6:$V$2005,"&gt;="&amp;ABS($D330)*0.98,'LANÇAMENTOS'!$V$6:$V$2005,"&lt;="&amp;ABS($D330)*1.02)&gt;0,"🟡 Valor próximo de um lançamento","❌ Não localizado")))</f>
        <v/>
      </c>
    </row>
    <row r="331">
      <c r="A331" s="36" t="n"/>
      <c r="B331" s="29" t="n"/>
      <c r="C331" s="14" t="n"/>
      <c r="D331" s="35" t="n"/>
      <c r="E331" s="14" t="n"/>
      <c r="F331" s="29" t="n"/>
      <c r="G331" s="14" t="n"/>
      <c r="H331" s="29" t="n"/>
      <c r="I331" s="14" t="n"/>
      <c r="J331" s="29" t="n"/>
      <c r="K331" s="18">
        <f>IF($D331="","",IF($E331="Débito",-ABS($D331),ABS($D331)))</f>
        <v/>
      </c>
      <c r="L331" s="9">
        <f>IF($A331="","",IF(COUNTIFS('LANÇAMENTOS'!$D$6:$D$2005,$A331,'LANÇAMENTOS'!$V$6:$V$2005,ABS($D331),'LANÇAMENTOS'!$L$6:$L$2005,$F331)&gt;0,"✔ Encontrado na planilha",IF(COUNTIFS('LANÇAMENTOS'!$D$6:$D$2005,$A331,'LANÇAMENTOS'!$V$6:$V$2005,"&gt;="&amp;ABS($D331)*0.98,'LANÇAMENTOS'!$V$6:$V$2005,"&lt;="&amp;ABS($D331)*1.02)&gt;0,"🟡 Valor próximo de um lançamento","❌ Não localizado")))</f>
        <v/>
      </c>
    </row>
    <row r="332">
      <c r="A332" s="36" t="n"/>
      <c r="B332" s="29" t="n"/>
      <c r="C332" s="14" t="n"/>
      <c r="D332" s="35" t="n"/>
      <c r="E332" s="14" t="n"/>
      <c r="F332" s="29" t="n"/>
      <c r="G332" s="14" t="n"/>
      <c r="H332" s="29" t="n"/>
      <c r="I332" s="14" t="n"/>
      <c r="J332" s="29" t="n"/>
      <c r="K332" s="18">
        <f>IF($D332="","",IF($E332="Débito",-ABS($D332),ABS($D332)))</f>
        <v/>
      </c>
      <c r="L332" s="9">
        <f>IF($A332="","",IF(COUNTIFS('LANÇAMENTOS'!$D$6:$D$2005,$A332,'LANÇAMENTOS'!$V$6:$V$2005,ABS($D332),'LANÇAMENTOS'!$L$6:$L$2005,$F332)&gt;0,"✔ Encontrado na planilha",IF(COUNTIFS('LANÇAMENTOS'!$D$6:$D$2005,$A332,'LANÇAMENTOS'!$V$6:$V$2005,"&gt;="&amp;ABS($D332)*0.98,'LANÇAMENTOS'!$V$6:$V$2005,"&lt;="&amp;ABS($D332)*1.02)&gt;0,"🟡 Valor próximo de um lançamento","❌ Não localizado")))</f>
        <v/>
      </c>
    </row>
    <row r="333">
      <c r="A333" s="36" t="n"/>
      <c r="B333" s="29" t="n"/>
      <c r="C333" s="14" t="n"/>
      <c r="D333" s="35" t="n"/>
      <c r="E333" s="14" t="n"/>
      <c r="F333" s="29" t="n"/>
      <c r="G333" s="14" t="n"/>
      <c r="H333" s="29" t="n"/>
      <c r="I333" s="14" t="n"/>
      <c r="J333" s="29" t="n"/>
      <c r="K333" s="18">
        <f>IF($D333="","",IF($E333="Débito",-ABS($D333),ABS($D333)))</f>
        <v/>
      </c>
      <c r="L333" s="9">
        <f>IF($A333="","",IF(COUNTIFS('LANÇAMENTOS'!$D$6:$D$2005,$A333,'LANÇAMENTOS'!$V$6:$V$2005,ABS($D333),'LANÇAMENTOS'!$L$6:$L$2005,$F333)&gt;0,"✔ Encontrado na planilha",IF(COUNTIFS('LANÇAMENTOS'!$D$6:$D$2005,$A333,'LANÇAMENTOS'!$V$6:$V$2005,"&gt;="&amp;ABS($D333)*0.98,'LANÇAMENTOS'!$V$6:$V$2005,"&lt;="&amp;ABS($D333)*1.02)&gt;0,"🟡 Valor próximo de um lançamento","❌ Não localizado")))</f>
        <v/>
      </c>
    </row>
    <row r="334">
      <c r="A334" s="36" t="n"/>
      <c r="B334" s="29" t="n"/>
      <c r="C334" s="14" t="n"/>
      <c r="D334" s="35" t="n"/>
      <c r="E334" s="14" t="n"/>
      <c r="F334" s="29" t="n"/>
      <c r="G334" s="14" t="n"/>
      <c r="H334" s="29" t="n"/>
      <c r="I334" s="14" t="n"/>
      <c r="J334" s="29" t="n"/>
      <c r="K334" s="18">
        <f>IF($D334="","",IF($E334="Débito",-ABS($D334),ABS($D334)))</f>
        <v/>
      </c>
      <c r="L334" s="9">
        <f>IF($A334="","",IF(COUNTIFS('LANÇAMENTOS'!$D$6:$D$2005,$A334,'LANÇAMENTOS'!$V$6:$V$2005,ABS($D334),'LANÇAMENTOS'!$L$6:$L$2005,$F334)&gt;0,"✔ Encontrado na planilha",IF(COUNTIFS('LANÇAMENTOS'!$D$6:$D$2005,$A334,'LANÇAMENTOS'!$V$6:$V$2005,"&gt;="&amp;ABS($D334)*0.98,'LANÇAMENTOS'!$V$6:$V$2005,"&lt;="&amp;ABS($D334)*1.02)&gt;0,"🟡 Valor próximo de um lançamento","❌ Não localizado")))</f>
        <v/>
      </c>
    </row>
    <row r="335">
      <c r="A335" s="36" t="n"/>
      <c r="B335" s="29" t="n"/>
      <c r="C335" s="14" t="n"/>
      <c r="D335" s="35" t="n"/>
      <c r="E335" s="14" t="n"/>
      <c r="F335" s="29" t="n"/>
      <c r="G335" s="14" t="n"/>
      <c r="H335" s="29" t="n"/>
      <c r="I335" s="14" t="n"/>
      <c r="J335" s="29" t="n"/>
      <c r="K335" s="18">
        <f>IF($D335="","",IF($E335="Débito",-ABS($D335),ABS($D335)))</f>
        <v/>
      </c>
      <c r="L335" s="9">
        <f>IF($A335="","",IF(COUNTIFS('LANÇAMENTOS'!$D$6:$D$2005,$A335,'LANÇAMENTOS'!$V$6:$V$2005,ABS($D335),'LANÇAMENTOS'!$L$6:$L$2005,$F335)&gt;0,"✔ Encontrado na planilha",IF(COUNTIFS('LANÇAMENTOS'!$D$6:$D$2005,$A335,'LANÇAMENTOS'!$V$6:$V$2005,"&gt;="&amp;ABS($D335)*0.98,'LANÇAMENTOS'!$V$6:$V$2005,"&lt;="&amp;ABS($D335)*1.02)&gt;0,"🟡 Valor próximo de um lançamento","❌ Não localizado")))</f>
        <v/>
      </c>
    </row>
    <row r="336">
      <c r="A336" s="36" t="n"/>
      <c r="B336" s="29" t="n"/>
      <c r="C336" s="14" t="n"/>
      <c r="D336" s="35" t="n"/>
      <c r="E336" s="14" t="n"/>
      <c r="F336" s="29" t="n"/>
      <c r="G336" s="14" t="n"/>
      <c r="H336" s="29" t="n"/>
      <c r="I336" s="14" t="n"/>
      <c r="J336" s="29" t="n"/>
      <c r="K336" s="18">
        <f>IF($D336="","",IF($E336="Débito",-ABS($D336),ABS($D336)))</f>
        <v/>
      </c>
      <c r="L336" s="9">
        <f>IF($A336="","",IF(COUNTIFS('LANÇAMENTOS'!$D$6:$D$2005,$A336,'LANÇAMENTOS'!$V$6:$V$2005,ABS($D336),'LANÇAMENTOS'!$L$6:$L$2005,$F336)&gt;0,"✔ Encontrado na planilha",IF(COUNTIFS('LANÇAMENTOS'!$D$6:$D$2005,$A336,'LANÇAMENTOS'!$V$6:$V$2005,"&gt;="&amp;ABS($D336)*0.98,'LANÇAMENTOS'!$V$6:$V$2005,"&lt;="&amp;ABS($D336)*1.02)&gt;0,"🟡 Valor próximo de um lançamento","❌ Não localizado")))</f>
        <v/>
      </c>
    </row>
    <row r="337">
      <c r="A337" s="36" t="n"/>
      <c r="B337" s="29" t="n"/>
      <c r="C337" s="14" t="n"/>
      <c r="D337" s="35" t="n"/>
      <c r="E337" s="14" t="n"/>
      <c r="F337" s="29" t="n"/>
      <c r="G337" s="14" t="n"/>
      <c r="H337" s="29" t="n"/>
      <c r="I337" s="14" t="n"/>
      <c r="J337" s="29" t="n"/>
      <c r="K337" s="18">
        <f>IF($D337="","",IF($E337="Débito",-ABS($D337),ABS($D337)))</f>
        <v/>
      </c>
      <c r="L337" s="9">
        <f>IF($A337="","",IF(COUNTIFS('LANÇAMENTOS'!$D$6:$D$2005,$A337,'LANÇAMENTOS'!$V$6:$V$2005,ABS($D337),'LANÇAMENTOS'!$L$6:$L$2005,$F337)&gt;0,"✔ Encontrado na planilha",IF(COUNTIFS('LANÇAMENTOS'!$D$6:$D$2005,$A337,'LANÇAMENTOS'!$V$6:$V$2005,"&gt;="&amp;ABS($D337)*0.98,'LANÇAMENTOS'!$V$6:$V$2005,"&lt;="&amp;ABS($D337)*1.02)&gt;0,"🟡 Valor próximo de um lançamento","❌ Não localizado")))</f>
        <v/>
      </c>
    </row>
    <row r="338">
      <c r="A338" s="36" t="n"/>
      <c r="B338" s="29" t="n"/>
      <c r="C338" s="14" t="n"/>
      <c r="D338" s="35" t="n"/>
      <c r="E338" s="14" t="n"/>
      <c r="F338" s="29" t="n"/>
      <c r="G338" s="14" t="n"/>
      <c r="H338" s="29" t="n"/>
      <c r="I338" s="14" t="n"/>
      <c r="J338" s="29" t="n"/>
      <c r="K338" s="18">
        <f>IF($D338="","",IF($E338="Débito",-ABS($D338),ABS($D338)))</f>
        <v/>
      </c>
      <c r="L338" s="9">
        <f>IF($A338="","",IF(COUNTIFS('LANÇAMENTOS'!$D$6:$D$2005,$A338,'LANÇAMENTOS'!$V$6:$V$2005,ABS($D338),'LANÇAMENTOS'!$L$6:$L$2005,$F338)&gt;0,"✔ Encontrado na planilha",IF(COUNTIFS('LANÇAMENTOS'!$D$6:$D$2005,$A338,'LANÇAMENTOS'!$V$6:$V$2005,"&gt;="&amp;ABS($D338)*0.98,'LANÇAMENTOS'!$V$6:$V$2005,"&lt;="&amp;ABS($D338)*1.02)&gt;0,"🟡 Valor próximo de um lançamento","❌ Não localizado")))</f>
        <v/>
      </c>
    </row>
    <row r="339">
      <c r="A339" s="36" t="n"/>
      <c r="B339" s="29" t="n"/>
      <c r="C339" s="14" t="n"/>
      <c r="D339" s="35" t="n"/>
      <c r="E339" s="14" t="n"/>
      <c r="F339" s="29" t="n"/>
      <c r="G339" s="14" t="n"/>
      <c r="H339" s="29" t="n"/>
      <c r="I339" s="14" t="n"/>
      <c r="J339" s="29" t="n"/>
      <c r="K339" s="18">
        <f>IF($D339="","",IF($E339="Débito",-ABS($D339),ABS($D339)))</f>
        <v/>
      </c>
      <c r="L339" s="9">
        <f>IF($A339="","",IF(COUNTIFS('LANÇAMENTOS'!$D$6:$D$2005,$A339,'LANÇAMENTOS'!$V$6:$V$2005,ABS($D339),'LANÇAMENTOS'!$L$6:$L$2005,$F339)&gt;0,"✔ Encontrado na planilha",IF(COUNTIFS('LANÇAMENTOS'!$D$6:$D$2005,$A339,'LANÇAMENTOS'!$V$6:$V$2005,"&gt;="&amp;ABS($D339)*0.98,'LANÇAMENTOS'!$V$6:$V$2005,"&lt;="&amp;ABS($D339)*1.02)&gt;0,"🟡 Valor próximo de um lançamento","❌ Não localizado")))</f>
        <v/>
      </c>
    </row>
    <row r="340">
      <c r="A340" s="36" t="n"/>
      <c r="B340" s="29" t="n"/>
      <c r="C340" s="14" t="n"/>
      <c r="D340" s="35" t="n"/>
      <c r="E340" s="14" t="n"/>
      <c r="F340" s="29" t="n"/>
      <c r="G340" s="14" t="n"/>
      <c r="H340" s="29" t="n"/>
      <c r="I340" s="14" t="n"/>
      <c r="J340" s="29" t="n"/>
      <c r="K340" s="18">
        <f>IF($D340="","",IF($E340="Débito",-ABS($D340),ABS($D340)))</f>
        <v/>
      </c>
      <c r="L340" s="9">
        <f>IF($A340="","",IF(COUNTIFS('LANÇAMENTOS'!$D$6:$D$2005,$A340,'LANÇAMENTOS'!$V$6:$V$2005,ABS($D340),'LANÇAMENTOS'!$L$6:$L$2005,$F340)&gt;0,"✔ Encontrado na planilha",IF(COUNTIFS('LANÇAMENTOS'!$D$6:$D$2005,$A340,'LANÇAMENTOS'!$V$6:$V$2005,"&gt;="&amp;ABS($D340)*0.98,'LANÇAMENTOS'!$V$6:$V$2005,"&lt;="&amp;ABS($D340)*1.02)&gt;0,"🟡 Valor próximo de um lançamento","❌ Não localizado")))</f>
        <v/>
      </c>
    </row>
    <row r="341">
      <c r="A341" s="36" t="n"/>
      <c r="B341" s="29" t="n"/>
      <c r="C341" s="14" t="n"/>
      <c r="D341" s="35" t="n"/>
      <c r="E341" s="14" t="n"/>
      <c r="F341" s="29" t="n"/>
      <c r="G341" s="14" t="n"/>
      <c r="H341" s="29" t="n"/>
      <c r="I341" s="14" t="n"/>
      <c r="J341" s="29" t="n"/>
      <c r="K341" s="18">
        <f>IF($D341="","",IF($E341="Débito",-ABS($D341),ABS($D341)))</f>
        <v/>
      </c>
      <c r="L341" s="9">
        <f>IF($A341="","",IF(COUNTIFS('LANÇAMENTOS'!$D$6:$D$2005,$A341,'LANÇAMENTOS'!$V$6:$V$2005,ABS($D341),'LANÇAMENTOS'!$L$6:$L$2005,$F341)&gt;0,"✔ Encontrado na planilha",IF(COUNTIFS('LANÇAMENTOS'!$D$6:$D$2005,$A341,'LANÇAMENTOS'!$V$6:$V$2005,"&gt;="&amp;ABS($D341)*0.98,'LANÇAMENTOS'!$V$6:$V$2005,"&lt;="&amp;ABS($D341)*1.02)&gt;0,"🟡 Valor próximo de um lançamento","❌ Não localizado")))</f>
        <v/>
      </c>
    </row>
    <row r="342">
      <c r="A342" s="36" t="n"/>
      <c r="B342" s="29" t="n"/>
      <c r="C342" s="14" t="n"/>
      <c r="D342" s="35" t="n"/>
      <c r="E342" s="14" t="n"/>
      <c r="F342" s="29" t="n"/>
      <c r="G342" s="14" t="n"/>
      <c r="H342" s="29" t="n"/>
      <c r="I342" s="14" t="n"/>
      <c r="J342" s="29" t="n"/>
      <c r="K342" s="18">
        <f>IF($D342="","",IF($E342="Débito",-ABS($D342),ABS($D342)))</f>
        <v/>
      </c>
      <c r="L342" s="9">
        <f>IF($A342="","",IF(COUNTIFS('LANÇAMENTOS'!$D$6:$D$2005,$A342,'LANÇAMENTOS'!$V$6:$V$2005,ABS($D342),'LANÇAMENTOS'!$L$6:$L$2005,$F342)&gt;0,"✔ Encontrado na planilha",IF(COUNTIFS('LANÇAMENTOS'!$D$6:$D$2005,$A342,'LANÇAMENTOS'!$V$6:$V$2005,"&gt;="&amp;ABS($D342)*0.98,'LANÇAMENTOS'!$V$6:$V$2005,"&lt;="&amp;ABS($D342)*1.02)&gt;0,"🟡 Valor próximo de um lançamento","❌ Não localizado")))</f>
        <v/>
      </c>
    </row>
    <row r="343">
      <c r="A343" s="36" t="n"/>
      <c r="B343" s="29" t="n"/>
      <c r="C343" s="14" t="n"/>
      <c r="D343" s="35" t="n"/>
      <c r="E343" s="14" t="n"/>
      <c r="F343" s="29" t="n"/>
      <c r="G343" s="14" t="n"/>
      <c r="H343" s="29" t="n"/>
      <c r="I343" s="14" t="n"/>
      <c r="J343" s="29" t="n"/>
      <c r="K343" s="18">
        <f>IF($D343="","",IF($E343="Débito",-ABS($D343),ABS($D343)))</f>
        <v/>
      </c>
      <c r="L343" s="9">
        <f>IF($A343="","",IF(COUNTIFS('LANÇAMENTOS'!$D$6:$D$2005,$A343,'LANÇAMENTOS'!$V$6:$V$2005,ABS($D343),'LANÇAMENTOS'!$L$6:$L$2005,$F343)&gt;0,"✔ Encontrado na planilha",IF(COUNTIFS('LANÇAMENTOS'!$D$6:$D$2005,$A343,'LANÇAMENTOS'!$V$6:$V$2005,"&gt;="&amp;ABS($D343)*0.98,'LANÇAMENTOS'!$V$6:$V$2005,"&lt;="&amp;ABS($D343)*1.02)&gt;0,"🟡 Valor próximo de um lançamento","❌ Não localizado")))</f>
        <v/>
      </c>
    </row>
    <row r="344">
      <c r="A344" s="36" t="n"/>
      <c r="B344" s="29" t="n"/>
      <c r="C344" s="14" t="n"/>
      <c r="D344" s="35" t="n"/>
      <c r="E344" s="14" t="n"/>
      <c r="F344" s="29" t="n"/>
      <c r="G344" s="14" t="n"/>
      <c r="H344" s="29" t="n"/>
      <c r="I344" s="14" t="n"/>
      <c r="J344" s="29" t="n"/>
      <c r="K344" s="18">
        <f>IF($D344="","",IF($E344="Débito",-ABS($D344),ABS($D344)))</f>
        <v/>
      </c>
      <c r="L344" s="9">
        <f>IF($A344="","",IF(COUNTIFS('LANÇAMENTOS'!$D$6:$D$2005,$A344,'LANÇAMENTOS'!$V$6:$V$2005,ABS($D344),'LANÇAMENTOS'!$L$6:$L$2005,$F344)&gt;0,"✔ Encontrado na planilha",IF(COUNTIFS('LANÇAMENTOS'!$D$6:$D$2005,$A344,'LANÇAMENTOS'!$V$6:$V$2005,"&gt;="&amp;ABS($D344)*0.98,'LANÇAMENTOS'!$V$6:$V$2005,"&lt;="&amp;ABS($D344)*1.02)&gt;0,"🟡 Valor próximo de um lançamento","❌ Não localizado")))</f>
        <v/>
      </c>
    </row>
    <row r="345">
      <c r="A345" s="36" t="n"/>
      <c r="B345" s="29" t="n"/>
      <c r="C345" s="14" t="n"/>
      <c r="D345" s="35" t="n"/>
      <c r="E345" s="14" t="n"/>
      <c r="F345" s="29" t="n"/>
      <c r="G345" s="14" t="n"/>
      <c r="H345" s="29" t="n"/>
      <c r="I345" s="14" t="n"/>
      <c r="J345" s="29" t="n"/>
      <c r="K345" s="18">
        <f>IF($D345="","",IF($E345="Débito",-ABS($D345),ABS($D345)))</f>
        <v/>
      </c>
      <c r="L345" s="9">
        <f>IF($A345="","",IF(COUNTIFS('LANÇAMENTOS'!$D$6:$D$2005,$A345,'LANÇAMENTOS'!$V$6:$V$2005,ABS($D345),'LANÇAMENTOS'!$L$6:$L$2005,$F345)&gt;0,"✔ Encontrado na planilha",IF(COUNTIFS('LANÇAMENTOS'!$D$6:$D$2005,$A345,'LANÇAMENTOS'!$V$6:$V$2005,"&gt;="&amp;ABS($D345)*0.98,'LANÇAMENTOS'!$V$6:$V$2005,"&lt;="&amp;ABS($D345)*1.02)&gt;0,"🟡 Valor próximo de um lançamento","❌ Não localizado")))</f>
        <v/>
      </c>
    </row>
    <row r="346">
      <c r="A346" s="36" t="n"/>
      <c r="B346" s="29" t="n"/>
      <c r="C346" s="14" t="n"/>
      <c r="D346" s="35" t="n"/>
      <c r="E346" s="14" t="n"/>
      <c r="F346" s="29" t="n"/>
      <c r="G346" s="14" t="n"/>
      <c r="H346" s="29" t="n"/>
      <c r="I346" s="14" t="n"/>
      <c r="J346" s="29" t="n"/>
      <c r="K346" s="18">
        <f>IF($D346="","",IF($E346="Débito",-ABS($D346),ABS($D346)))</f>
        <v/>
      </c>
      <c r="L346" s="9">
        <f>IF($A346="","",IF(COUNTIFS('LANÇAMENTOS'!$D$6:$D$2005,$A346,'LANÇAMENTOS'!$V$6:$V$2005,ABS($D346),'LANÇAMENTOS'!$L$6:$L$2005,$F346)&gt;0,"✔ Encontrado na planilha",IF(COUNTIFS('LANÇAMENTOS'!$D$6:$D$2005,$A346,'LANÇAMENTOS'!$V$6:$V$2005,"&gt;="&amp;ABS($D346)*0.98,'LANÇAMENTOS'!$V$6:$V$2005,"&lt;="&amp;ABS($D346)*1.02)&gt;0,"🟡 Valor próximo de um lançamento","❌ Não localizado")))</f>
        <v/>
      </c>
    </row>
    <row r="347">
      <c r="A347" s="36" t="n"/>
      <c r="B347" s="29" t="n"/>
      <c r="C347" s="14" t="n"/>
      <c r="D347" s="35" t="n"/>
      <c r="E347" s="14" t="n"/>
      <c r="F347" s="29" t="n"/>
      <c r="G347" s="14" t="n"/>
      <c r="H347" s="29" t="n"/>
      <c r="I347" s="14" t="n"/>
      <c r="J347" s="29" t="n"/>
      <c r="K347" s="18">
        <f>IF($D347="","",IF($E347="Débito",-ABS($D347),ABS($D347)))</f>
        <v/>
      </c>
      <c r="L347" s="9">
        <f>IF($A347="","",IF(COUNTIFS('LANÇAMENTOS'!$D$6:$D$2005,$A347,'LANÇAMENTOS'!$V$6:$V$2005,ABS($D347),'LANÇAMENTOS'!$L$6:$L$2005,$F347)&gt;0,"✔ Encontrado na planilha",IF(COUNTIFS('LANÇAMENTOS'!$D$6:$D$2005,$A347,'LANÇAMENTOS'!$V$6:$V$2005,"&gt;="&amp;ABS($D347)*0.98,'LANÇAMENTOS'!$V$6:$V$2005,"&lt;="&amp;ABS($D347)*1.02)&gt;0,"🟡 Valor próximo de um lançamento","❌ Não localizado")))</f>
        <v/>
      </c>
    </row>
    <row r="348">
      <c r="A348" s="36" t="n"/>
      <c r="B348" s="29" t="n"/>
      <c r="C348" s="14" t="n"/>
      <c r="D348" s="35" t="n"/>
      <c r="E348" s="14" t="n"/>
      <c r="F348" s="29" t="n"/>
      <c r="G348" s="14" t="n"/>
      <c r="H348" s="29" t="n"/>
      <c r="I348" s="14" t="n"/>
      <c r="J348" s="29" t="n"/>
      <c r="K348" s="18">
        <f>IF($D348="","",IF($E348="Débito",-ABS($D348),ABS($D348)))</f>
        <v/>
      </c>
      <c r="L348" s="9">
        <f>IF($A348="","",IF(COUNTIFS('LANÇAMENTOS'!$D$6:$D$2005,$A348,'LANÇAMENTOS'!$V$6:$V$2005,ABS($D348),'LANÇAMENTOS'!$L$6:$L$2005,$F348)&gt;0,"✔ Encontrado na planilha",IF(COUNTIFS('LANÇAMENTOS'!$D$6:$D$2005,$A348,'LANÇAMENTOS'!$V$6:$V$2005,"&gt;="&amp;ABS($D348)*0.98,'LANÇAMENTOS'!$V$6:$V$2005,"&lt;="&amp;ABS($D348)*1.02)&gt;0,"🟡 Valor próximo de um lançamento","❌ Não localizado")))</f>
        <v/>
      </c>
    </row>
    <row r="349">
      <c r="A349" s="36" t="n"/>
      <c r="B349" s="29" t="n"/>
      <c r="C349" s="14" t="n"/>
      <c r="D349" s="35" t="n"/>
      <c r="E349" s="14" t="n"/>
      <c r="F349" s="29" t="n"/>
      <c r="G349" s="14" t="n"/>
      <c r="H349" s="29" t="n"/>
      <c r="I349" s="14" t="n"/>
      <c r="J349" s="29" t="n"/>
      <c r="K349" s="18">
        <f>IF($D349="","",IF($E349="Débito",-ABS($D349),ABS($D349)))</f>
        <v/>
      </c>
      <c r="L349" s="9">
        <f>IF($A349="","",IF(COUNTIFS('LANÇAMENTOS'!$D$6:$D$2005,$A349,'LANÇAMENTOS'!$V$6:$V$2005,ABS($D349),'LANÇAMENTOS'!$L$6:$L$2005,$F349)&gt;0,"✔ Encontrado na planilha",IF(COUNTIFS('LANÇAMENTOS'!$D$6:$D$2005,$A349,'LANÇAMENTOS'!$V$6:$V$2005,"&gt;="&amp;ABS($D349)*0.98,'LANÇAMENTOS'!$V$6:$V$2005,"&lt;="&amp;ABS($D349)*1.02)&gt;0,"🟡 Valor próximo de um lançamento","❌ Não localizado")))</f>
        <v/>
      </c>
    </row>
    <row r="350">
      <c r="A350" s="36" t="n"/>
      <c r="B350" s="29" t="n"/>
      <c r="C350" s="14" t="n"/>
      <c r="D350" s="35" t="n"/>
      <c r="E350" s="14" t="n"/>
      <c r="F350" s="29" t="n"/>
      <c r="G350" s="14" t="n"/>
      <c r="H350" s="29" t="n"/>
      <c r="I350" s="14" t="n"/>
      <c r="J350" s="29" t="n"/>
      <c r="K350" s="18">
        <f>IF($D350="","",IF($E350="Débito",-ABS($D350),ABS($D350)))</f>
        <v/>
      </c>
      <c r="L350" s="9">
        <f>IF($A350="","",IF(COUNTIFS('LANÇAMENTOS'!$D$6:$D$2005,$A350,'LANÇAMENTOS'!$V$6:$V$2005,ABS($D350),'LANÇAMENTOS'!$L$6:$L$2005,$F350)&gt;0,"✔ Encontrado na planilha",IF(COUNTIFS('LANÇAMENTOS'!$D$6:$D$2005,$A350,'LANÇAMENTOS'!$V$6:$V$2005,"&gt;="&amp;ABS($D350)*0.98,'LANÇAMENTOS'!$V$6:$V$2005,"&lt;="&amp;ABS($D350)*1.02)&gt;0,"🟡 Valor próximo de um lançamento","❌ Não localizado")))</f>
        <v/>
      </c>
    </row>
    <row r="351">
      <c r="A351" s="36" t="n"/>
      <c r="B351" s="29" t="n"/>
      <c r="C351" s="14" t="n"/>
      <c r="D351" s="35" t="n"/>
      <c r="E351" s="14" t="n"/>
      <c r="F351" s="29" t="n"/>
      <c r="G351" s="14" t="n"/>
      <c r="H351" s="29" t="n"/>
      <c r="I351" s="14" t="n"/>
      <c r="J351" s="29" t="n"/>
      <c r="K351" s="18">
        <f>IF($D351="","",IF($E351="Débito",-ABS($D351),ABS($D351)))</f>
        <v/>
      </c>
      <c r="L351" s="9">
        <f>IF($A351="","",IF(COUNTIFS('LANÇAMENTOS'!$D$6:$D$2005,$A351,'LANÇAMENTOS'!$V$6:$V$2005,ABS($D351),'LANÇAMENTOS'!$L$6:$L$2005,$F351)&gt;0,"✔ Encontrado na planilha",IF(COUNTIFS('LANÇAMENTOS'!$D$6:$D$2005,$A351,'LANÇAMENTOS'!$V$6:$V$2005,"&gt;="&amp;ABS($D351)*0.98,'LANÇAMENTOS'!$V$6:$V$2005,"&lt;="&amp;ABS($D351)*1.02)&gt;0,"🟡 Valor próximo de um lançamento","❌ Não localizado")))</f>
        <v/>
      </c>
    </row>
    <row r="352">
      <c r="A352" s="36" t="n"/>
      <c r="B352" s="29" t="n"/>
      <c r="C352" s="14" t="n"/>
      <c r="D352" s="35" t="n"/>
      <c r="E352" s="14" t="n"/>
      <c r="F352" s="29" t="n"/>
      <c r="G352" s="14" t="n"/>
      <c r="H352" s="29" t="n"/>
      <c r="I352" s="14" t="n"/>
      <c r="J352" s="29" t="n"/>
      <c r="K352" s="18">
        <f>IF($D352="","",IF($E352="Débito",-ABS($D352),ABS($D352)))</f>
        <v/>
      </c>
      <c r="L352" s="9">
        <f>IF($A352="","",IF(COUNTIFS('LANÇAMENTOS'!$D$6:$D$2005,$A352,'LANÇAMENTOS'!$V$6:$V$2005,ABS($D352),'LANÇAMENTOS'!$L$6:$L$2005,$F352)&gt;0,"✔ Encontrado na planilha",IF(COUNTIFS('LANÇAMENTOS'!$D$6:$D$2005,$A352,'LANÇAMENTOS'!$V$6:$V$2005,"&gt;="&amp;ABS($D352)*0.98,'LANÇAMENTOS'!$V$6:$V$2005,"&lt;="&amp;ABS($D352)*1.02)&gt;0,"🟡 Valor próximo de um lançamento","❌ Não localizado")))</f>
        <v/>
      </c>
    </row>
    <row r="353">
      <c r="A353" s="36" t="n"/>
      <c r="B353" s="29" t="n"/>
      <c r="C353" s="14" t="n"/>
      <c r="D353" s="35" t="n"/>
      <c r="E353" s="14" t="n"/>
      <c r="F353" s="29" t="n"/>
      <c r="G353" s="14" t="n"/>
      <c r="H353" s="29" t="n"/>
      <c r="I353" s="14" t="n"/>
      <c r="J353" s="29" t="n"/>
      <c r="K353" s="18">
        <f>IF($D353="","",IF($E353="Débito",-ABS($D353),ABS($D353)))</f>
        <v/>
      </c>
      <c r="L353" s="9">
        <f>IF($A353="","",IF(COUNTIFS('LANÇAMENTOS'!$D$6:$D$2005,$A353,'LANÇAMENTOS'!$V$6:$V$2005,ABS($D353),'LANÇAMENTOS'!$L$6:$L$2005,$F353)&gt;0,"✔ Encontrado na planilha",IF(COUNTIFS('LANÇAMENTOS'!$D$6:$D$2005,$A353,'LANÇAMENTOS'!$V$6:$V$2005,"&gt;="&amp;ABS($D353)*0.98,'LANÇAMENTOS'!$V$6:$V$2005,"&lt;="&amp;ABS($D353)*1.02)&gt;0,"🟡 Valor próximo de um lançamento","❌ Não localizado")))</f>
        <v/>
      </c>
    </row>
    <row r="354">
      <c r="A354" s="36" t="n"/>
      <c r="B354" s="29" t="n"/>
      <c r="C354" s="14" t="n"/>
      <c r="D354" s="35" t="n"/>
      <c r="E354" s="14" t="n"/>
      <c r="F354" s="29" t="n"/>
      <c r="G354" s="14" t="n"/>
      <c r="H354" s="29" t="n"/>
      <c r="I354" s="14" t="n"/>
      <c r="J354" s="29" t="n"/>
      <c r="K354" s="18">
        <f>IF($D354="","",IF($E354="Débito",-ABS($D354),ABS($D354)))</f>
        <v/>
      </c>
      <c r="L354" s="9">
        <f>IF($A354="","",IF(COUNTIFS('LANÇAMENTOS'!$D$6:$D$2005,$A354,'LANÇAMENTOS'!$V$6:$V$2005,ABS($D354),'LANÇAMENTOS'!$L$6:$L$2005,$F354)&gt;0,"✔ Encontrado na planilha",IF(COUNTIFS('LANÇAMENTOS'!$D$6:$D$2005,$A354,'LANÇAMENTOS'!$V$6:$V$2005,"&gt;="&amp;ABS($D354)*0.98,'LANÇAMENTOS'!$V$6:$V$2005,"&lt;="&amp;ABS($D354)*1.02)&gt;0,"🟡 Valor próximo de um lançamento","❌ Não localizado")))</f>
        <v/>
      </c>
    </row>
    <row r="355">
      <c r="A355" s="36" t="n"/>
      <c r="B355" s="29" t="n"/>
      <c r="C355" s="14" t="n"/>
      <c r="D355" s="35" t="n"/>
      <c r="E355" s="14" t="n"/>
      <c r="F355" s="29" t="n"/>
      <c r="G355" s="14" t="n"/>
      <c r="H355" s="29" t="n"/>
      <c r="I355" s="14" t="n"/>
      <c r="J355" s="29" t="n"/>
      <c r="K355" s="18">
        <f>IF($D355="","",IF($E355="Débito",-ABS($D355),ABS($D355)))</f>
        <v/>
      </c>
      <c r="L355" s="9">
        <f>IF($A355="","",IF(COUNTIFS('LANÇAMENTOS'!$D$6:$D$2005,$A355,'LANÇAMENTOS'!$V$6:$V$2005,ABS($D355),'LANÇAMENTOS'!$L$6:$L$2005,$F355)&gt;0,"✔ Encontrado na planilha",IF(COUNTIFS('LANÇAMENTOS'!$D$6:$D$2005,$A355,'LANÇAMENTOS'!$V$6:$V$2005,"&gt;="&amp;ABS($D355)*0.98,'LANÇAMENTOS'!$V$6:$V$2005,"&lt;="&amp;ABS($D355)*1.02)&gt;0,"🟡 Valor próximo de um lançamento","❌ Não localizado")))</f>
        <v/>
      </c>
    </row>
    <row r="356">
      <c r="A356" s="36" t="n"/>
      <c r="B356" s="29" t="n"/>
      <c r="C356" s="14" t="n"/>
      <c r="D356" s="35" t="n"/>
      <c r="E356" s="14" t="n"/>
      <c r="F356" s="29" t="n"/>
      <c r="G356" s="14" t="n"/>
      <c r="H356" s="29" t="n"/>
      <c r="I356" s="14" t="n"/>
      <c r="J356" s="29" t="n"/>
      <c r="K356" s="18">
        <f>IF($D356="","",IF($E356="Débito",-ABS($D356),ABS($D356)))</f>
        <v/>
      </c>
      <c r="L356" s="9">
        <f>IF($A356="","",IF(COUNTIFS('LANÇAMENTOS'!$D$6:$D$2005,$A356,'LANÇAMENTOS'!$V$6:$V$2005,ABS($D356),'LANÇAMENTOS'!$L$6:$L$2005,$F356)&gt;0,"✔ Encontrado na planilha",IF(COUNTIFS('LANÇAMENTOS'!$D$6:$D$2005,$A356,'LANÇAMENTOS'!$V$6:$V$2005,"&gt;="&amp;ABS($D356)*0.98,'LANÇAMENTOS'!$V$6:$V$2005,"&lt;="&amp;ABS($D356)*1.02)&gt;0,"🟡 Valor próximo de um lançamento","❌ Não localizado")))</f>
        <v/>
      </c>
    </row>
    <row r="357">
      <c r="A357" s="36" t="n"/>
      <c r="B357" s="29" t="n"/>
      <c r="C357" s="14" t="n"/>
      <c r="D357" s="35" t="n"/>
      <c r="E357" s="14" t="n"/>
      <c r="F357" s="29" t="n"/>
      <c r="G357" s="14" t="n"/>
      <c r="H357" s="29" t="n"/>
      <c r="I357" s="14" t="n"/>
      <c r="J357" s="29" t="n"/>
      <c r="K357" s="18">
        <f>IF($D357="","",IF($E357="Débito",-ABS($D357),ABS($D357)))</f>
        <v/>
      </c>
      <c r="L357" s="9">
        <f>IF($A357="","",IF(COUNTIFS('LANÇAMENTOS'!$D$6:$D$2005,$A357,'LANÇAMENTOS'!$V$6:$V$2005,ABS($D357),'LANÇAMENTOS'!$L$6:$L$2005,$F357)&gt;0,"✔ Encontrado na planilha",IF(COUNTIFS('LANÇAMENTOS'!$D$6:$D$2005,$A357,'LANÇAMENTOS'!$V$6:$V$2005,"&gt;="&amp;ABS($D357)*0.98,'LANÇAMENTOS'!$V$6:$V$2005,"&lt;="&amp;ABS($D357)*1.02)&gt;0,"🟡 Valor próximo de um lançamento","❌ Não localizado")))</f>
        <v/>
      </c>
    </row>
    <row r="358">
      <c r="A358" s="36" t="n"/>
      <c r="B358" s="29" t="n"/>
      <c r="C358" s="14" t="n"/>
      <c r="D358" s="35" t="n"/>
      <c r="E358" s="14" t="n"/>
      <c r="F358" s="29" t="n"/>
      <c r="G358" s="14" t="n"/>
      <c r="H358" s="29" t="n"/>
      <c r="I358" s="14" t="n"/>
      <c r="J358" s="29" t="n"/>
      <c r="K358" s="18">
        <f>IF($D358="","",IF($E358="Débito",-ABS($D358),ABS($D358)))</f>
        <v/>
      </c>
      <c r="L358" s="9">
        <f>IF($A358="","",IF(COUNTIFS('LANÇAMENTOS'!$D$6:$D$2005,$A358,'LANÇAMENTOS'!$V$6:$V$2005,ABS($D358),'LANÇAMENTOS'!$L$6:$L$2005,$F358)&gt;0,"✔ Encontrado na planilha",IF(COUNTIFS('LANÇAMENTOS'!$D$6:$D$2005,$A358,'LANÇAMENTOS'!$V$6:$V$2005,"&gt;="&amp;ABS($D358)*0.98,'LANÇAMENTOS'!$V$6:$V$2005,"&lt;="&amp;ABS($D358)*1.02)&gt;0,"🟡 Valor próximo de um lançamento","❌ Não localizado")))</f>
        <v/>
      </c>
    </row>
    <row r="359">
      <c r="A359" s="36" t="n"/>
      <c r="B359" s="29" t="n"/>
      <c r="C359" s="14" t="n"/>
      <c r="D359" s="35" t="n"/>
      <c r="E359" s="14" t="n"/>
      <c r="F359" s="29" t="n"/>
      <c r="G359" s="14" t="n"/>
      <c r="H359" s="29" t="n"/>
      <c r="I359" s="14" t="n"/>
      <c r="J359" s="29" t="n"/>
      <c r="K359" s="18">
        <f>IF($D359="","",IF($E359="Débito",-ABS($D359),ABS($D359)))</f>
        <v/>
      </c>
      <c r="L359" s="9">
        <f>IF($A359="","",IF(COUNTIFS('LANÇAMENTOS'!$D$6:$D$2005,$A359,'LANÇAMENTOS'!$V$6:$V$2005,ABS($D359),'LANÇAMENTOS'!$L$6:$L$2005,$F359)&gt;0,"✔ Encontrado na planilha",IF(COUNTIFS('LANÇAMENTOS'!$D$6:$D$2005,$A359,'LANÇAMENTOS'!$V$6:$V$2005,"&gt;="&amp;ABS($D359)*0.98,'LANÇAMENTOS'!$V$6:$V$2005,"&lt;="&amp;ABS($D359)*1.02)&gt;0,"🟡 Valor próximo de um lançamento","❌ Não localizado")))</f>
        <v/>
      </c>
    </row>
    <row r="360">
      <c r="A360" s="36" t="n"/>
      <c r="B360" s="29" t="n"/>
      <c r="C360" s="14" t="n"/>
      <c r="D360" s="35" t="n"/>
      <c r="E360" s="14" t="n"/>
      <c r="F360" s="29" t="n"/>
      <c r="G360" s="14" t="n"/>
      <c r="H360" s="29" t="n"/>
      <c r="I360" s="14" t="n"/>
      <c r="J360" s="29" t="n"/>
      <c r="K360" s="18">
        <f>IF($D360="","",IF($E360="Débito",-ABS($D360),ABS($D360)))</f>
        <v/>
      </c>
      <c r="L360" s="9">
        <f>IF($A360="","",IF(COUNTIFS('LANÇAMENTOS'!$D$6:$D$2005,$A360,'LANÇAMENTOS'!$V$6:$V$2005,ABS($D360),'LANÇAMENTOS'!$L$6:$L$2005,$F360)&gt;0,"✔ Encontrado na planilha",IF(COUNTIFS('LANÇAMENTOS'!$D$6:$D$2005,$A360,'LANÇAMENTOS'!$V$6:$V$2005,"&gt;="&amp;ABS($D360)*0.98,'LANÇAMENTOS'!$V$6:$V$2005,"&lt;="&amp;ABS($D360)*1.02)&gt;0,"🟡 Valor próximo de um lançamento","❌ Não localizado")))</f>
        <v/>
      </c>
    </row>
    <row r="361">
      <c r="A361" s="36" t="n"/>
      <c r="B361" s="29" t="n"/>
      <c r="C361" s="14" t="n"/>
      <c r="D361" s="35" t="n"/>
      <c r="E361" s="14" t="n"/>
      <c r="F361" s="29" t="n"/>
      <c r="G361" s="14" t="n"/>
      <c r="H361" s="29" t="n"/>
      <c r="I361" s="14" t="n"/>
      <c r="J361" s="29" t="n"/>
      <c r="K361" s="18">
        <f>IF($D361="","",IF($E361="Débito",-ABS($D361),ABS($D361)))</f>
        <v/>
      </c>
      <c r="L361" s="9">
        <f>IF($A361="","",IF(COUNTIFS('LANÇAMENTOS'!$D$6:$D$2005,$A361,'LANÇAMENTOS'!$V$6:$V$2005,ABS($D361),'LANÇAMENTOS'!$L$6:$L$2005,$F361)&gt;0,"✔ Encontrado na planilha",IF(COUNTIFS('LANÇAMENTOS'!$D$6:$D$2005,$A361,'LANÇAMENTOS'!$V$6:$V$2005,"&gt;="&amp;ABS($D361)*0.98,'LANÇAMENTOS'!$V$6:$V$2005,"&lt;="&amp;ABS($D361)*1.02)&gt;0,"🟡 Valor próximo de um lançamento","❌ Não localizado")))</f>
        <v/>
      </c>
    </row>
    <row r="362">
      <c r="A362" s="36" t="n"/>
      <c r="B362" s="29" t="n"/>
      <c r="C362" s="14" t="n"/>
      <c r="D362" s="35" t="n"/>
      <c r="E362" s="14" t="n"/>
      <c r="F362" s="29" t="n"/>
      <c r="G362" s="14" t="n"/>
      <c r="H362" s="29" t="n"/>
      <c r="I362" s="14" t="n"/>
      <c r="J362" s="29" t="n"/>
      <c r="K362" s="18">
        <f>IF($D362="","",IF($E362="Débito",-ABS($D362),ABS($D362)))</f>
        <v/>
      </c>
      <c r="L362" s="9">
        <f>IF($A362="","",IF(COUNTIFS('LANÇAMENTOS'!$D$6:$D$2005,$A362,'LANÇAMENTOS'!$V$6:$V$2005,ABS($D362),'LANÇAMENTOS'!$L$6:$L$2005,$F362)&gt;0,"✔ Encontrado na planilha",IF(COUNTIFS('LANÇAMENTOS'!$D$6:$D$2005,$A362,'LANÇAMENTOS'!$V$6:$V$2005,"&gt;="&amp;ABS($D362)*0.98,'LANÇAMENTOS'!$V$6:$V$2005,"&lt;="&amp;ABS($D362)*1.02)&gt;0,"🟡 Valor próximo de um lançamento","❌ Não localizado")))</f>
        <v/>
      </c>
    </row>
    <row r="363">
      <c r="A363" s="36" t="n"/>
      <c r="B363" s="29" t="n"/>
      <c r="C363" s="14" t="n"/>
      <c r="D363" s="35" t="n"/>
      <c r="E363" s="14" t="n"/>
      <c r="F363" s="29" t="n"/>
      <c r="G363" s="14" t="n"/>
      <c r="H363" s="29" t="n"/>
      <c r="I363" s="14" t="n"/>
      <c r="J363" s="29" t="n"/>
      <c r="K363" s="18">
        <f>IF($D363="","",IF($E363="Débito",-ABS($D363),ABS($D363)))</f>
        <v/>
      </c>
      <c r="L363" s="9">
        <f>IF($A363="","",IF(COUNTIFS('LANÇAMENTOS'!$D$6:$D$2005,$A363,'LANÇAMENTOS'!$V$6:$V$2005,ABS($D363),'LANÇAMENTOS'!$L$6:$L$2005,$F363)&gt;0,"✔ Encontrado na planilha",IF(COUNTIFS('LANÇAMENTOS'!$D$6:$D$2005,$A363,'LANÇAMENTOS'!$V$6:$V$2005,"&gt;="&amp;ABS($D363)*0.98,'LANÇAMENTOS'!$V$6:$V$2005,"&lt;="&amp;ABS($D363)*1.02)&gt;0,"🟡 Valor próximo de um lançamento","❌ Não localizado")))</f>
        <v/>
      </c>
    </row>
    <row r="364">
      <c r="A364" s="36" t="n"/>
      <c r="B364" s="29" t="n"/>
      <c r="C364" s="14" t="n"/>
      <c r="D364" s="35" t="n"/>
      <c r="E364" s="14" t="n"/>
      <c r="F364" s="29" t="n"/>
      <c r="G364" s="14" t="n"/>
      <c r="H364" s="29" t="n"/>
      <c r="I364" s="14" t="n"/>
      <c r="J364" s="29" t="n"/>
      <c r="K364" s="18">
        <f>IF($D364="","",IF($E364="Débito",-ABS($D364),ABS($D364)))</f>
        <v/>
      </c>
      <c r="L364" s="9">
        <f>IF($A364="","",IF(COUNTIFS('LANÇAMENTOS'!$D$6:$D$2005,$A364,'LANÇAMENTOS'!$V$6:$V$2005,ABS($D364),'LANÇAMENTOS'!$L$6:$L$2005,$F364)&gt;0,"✔ Encontrado na planilha",IF(COUNTIFS('LANÇAMENTOS'!$D$6:$D$2005,$A364,'LANÇAMENTOS'!$V$6:$V$2005,"&gt;="&amp;ABS($D364)*0.98,'LANÇAMENTOS'!$V$6:$V$2005,"&lt;="&amp;ABS($D364)*1.02)&gt;0,"🟡 Valor próximo de um lançamento","❌ Não localizado")))</f>
        <v/>
      </c>
    </row>
    <row r="365">
      <c r="A365" s="36" t="n"/>
      <c r="B365" s="29" t="n"/>
      <c r="C365" s="14" t="n"/>
      <c r="D365" s="35" t="n"/>
      <c r="E365" s="14" t="n"/>
      <c r="F365" s="29" t="n"/>
      <c r="G365" s="14" t="n"/>
      <c r="H365" s="29" t="n"/>
      <c r="I365" s="14" t="n"/>
      <c r="J365" s="29" t="n"/>
      <c r="K365" s="18">
        <f>IF($D365="","",IF($E365="Débito",-ABS($D365),ABS($D365)))</f>
        <v/>
      </c>
      <c r="L365" s="9">
        <f>IF($A365="","",IF(COUNTIFS('LANÇAMENTOS'!$D$6:$D$2005,$A365,'LANÇAMENTOS'!$V$6:$V$2005,ABS($D365),'LANÇAMENTOS'!$L$6:$L$2005,$F365)&gt;0,"✔ Encontrado na planilha",IF(COUNTIFS('LANÇAMENTOS'!$D$6:$D$2005,$A365,'LANÇAMENTOS'!$V$6:$V$2005,"&gt;="&amp;ABS($D365)*0.98,'LANÇAMENTOS'!$V$6:$V$2005,"&lt;="&amp;ABS($D365)*1.02)&gt;0,"🟡 Valor próximo de um lançamento","❌ Não localizado")))</f>
        <v/>
      </c>
    </row>
    <row r="366">
      <c r="A366" s="36" t="n"/>
      <c r="B366" s="29" t="n"/>
      <c r="C366" s="14" t="n"/>
      <c r="D366" s="35" t="n"/>
      <c r="E366" s="14" t="n"/>
      <c r="F366" s="29" t="n"/>
      <c r="G366" s="14" t="n"/>
      <c r="H366" s="29" t="n"/>
      <c r="I366" s="14" t="n"/>
      <c r="J366" s="29" t="n"/>
      <c r="K366" s="18">
        <f>IF($D366="","",IF($E366="Débito",-ABS($D366),ABS($D366)))</f>
        <v/>
      </c>
      <c r="L366" s="9">
        <f>IF($A366="","",IF(COUNTIFS('LANÇAMENTOS'!$D$6:$D$2005,$A366,'LANÇAMENTOS'!$V$6:$V$2005,ABS($D366),'LANÇAMENTOS'!$L$6:$L$2005,$F366)&gt;0,"✔ Encontrado na planilha",IF(COUNTIFS('LANÇAMENTOS'!$D$6:$D$2005,$A366,'LANÇAMENTOS'!$V$6:$V$2005,"&gt;="&amp;ABS($D366)*0.98,'LANÇAMENTOS'!$V$6:$V$2005,"&lt;="&amp;ABS($D366)*1.02)&gt;0,"🟡 Valor próximo de um lançamento","❌ Não localizado")))</f>
        <v/>
      </c>
    </row>
    <row r="367">
      <c r="A367" s="36" t="n"/>
      <c r="B367" s="29" t="n"/>
      <c r="C367" s="14" t="n"/>
      <c r="D367" s="35" t="n"/>
      <c r="E367" s="14" t="n"/>
      <c r="F367" s="29" t="n"/>
      <c r="G367" s="14" t="n"/>
      <c r="H367" s="29" t="n"/>
      <c r="I367" s="14" t="n"/>
      <c r="J367" s="29" t="n"/>
      <c r="K367" s="18">
        <f>IF($D367="","",IF($E367="Débito",-ABS($D367),ABS($D367)))</f>
        <v/>
      </c>
      <c r="L367" s="9">
        <f>IF($A367="","",IF(COUNTIFS('LANÇAMENTOS'!$D$6:$D$2005,$A367,'LANÇAMENTOS'!$V$6:$V$2005,ABS($D367),'LANÇAMENTOS'!$L$6:$L$2005,$F367)&gt;0,"✔ Encontrado na planilha",IF(COUNTIFS('LANÇAMENTOS'!$D$6:$D$2005,$A367,'LANÇAMENTOS'!$V$6:$V$2005,"&gt;="&amp;ABS($D367)*0.98,'LANÇAMENTOS'!$V$6:$V$2005,"&lt;="&amp;ABS($D367)*1.02)&gt;0,"🟡 Valor próximo de um lançamento","❌ Não localizado")))</f>
        <v/>
      </c>
    </row>
    <row r="368">
      <c r="A368" s="36" t="n"/>
      <c r="B368" s="29" t="n"/>
      <c r="C368" s="14" t="n"/>
      <c r="D368" s="35" t="n"/>
      <c r="E368" s="14" t="n"/>
      <c r="F368" s="29" t="n"/>
      <c r="G368" s="14" t="n"/>
      <c r="H368" s="29" t="n"/>
      <c r="I368" s="14" t="n"/>
      <c r="J368" s="29" t="n"/>
      <c r="K368" s="18">
        <f>IF($D368="","",IF($E368="Débito",-ABS($D368),ABS($D368)))</f>
        <v/>
      </c>
      <c r="L368" s="9">
        <f>IF($A368="","",IF(COUNTIFS('LANÇAMENTOS'!$D$6:$D$2005,$A368,'LANÇAMENTOS'!$V$6:$V$2005,ABS($D368),'LANÇAMENTOS'!$L$6:$L$2005,$F368)&gt;0,"✔ Encontrado na planilha",IF(COUNTIFS('LANÇAMENTOS'!$D$6:$D$2005,$A368,'LANÇAMENTOS'!$V$6:$V$2005,"&gt;="&amp;ABS($D368)*0.98,'LANÇAMENTOS'!$V$6:$V$2005,"&lt;="&amp;ABS($D368)*1.02)&gt;0,"🟡 Valor próximo de um lançamento","❌ Não localizado")))</f>
        <v/>
      </c>
    </row>
    <row r="369">
      <c r="A369" s="36" t="n"/>
      <c r="B369" s="29" t="n"/>
      <c r="C369" s="14" t="n"/>
      <c r="D369" s="35" t="n"/>
      <c r="E369" s="14" t="n"/>
      <c r="F369" s="29" t="n"/>
      <c r="G369" s="14" t="n"/>
      <c r="H369" s="29" t="n"/>
      <c r="I369" s="14" t="n"/>
      <c r="J369" s="29" t="n"/>
      <c r="K369" s="18">
        <f>IF($D369="","",IF($E369="Débito",-ABS($D369),ABS($D369)))</f>
        <v/>
      </c>
      <c r="L369" s="9">
        <f>IF($A369="","",IF(COUNTIFS('LANÇAMENTOS'!$D$6:$D$2005,$A369,'LANÇAMENTOS'!$V$6:$V$2005,ABS($D369),'LANÇAMENTOS'!$L$6:$L$2005,$F369)&gt;0,"✔ Encontrado na planilha",IF(COUNTIFS('LANÇAMENTOS'!$D$6:$D$2005,$A369,'LANÇAMENTOS'!$V$6:$V$2005,"&gt;="&amp;ABS($D369)*0.98,'LANÇAMENTOS'!$V$6:$V$2005,"&lt;="&amp;ABS($D369)*1.02)&gt;0,"🟡 Valor próximo de um lançamento","❌ Não localizado")))</f>
        <v/>
      </c>
    </row>
    <row r="370">
      <c r="A370" s="36" t="n"/>
      <c r="B370" s="29" t="n"/>
      <c r="C370" s="14" t="n"/>
      <c r="D370" s="35" t="n"/>
      <c r="E370" s="14" t="n"/>
      <c r="F370" s="29" t="n"/>
      <c r="G370" s="14" t="n"/>
      <c r="H370" s="29" t="n"/>
      <c r="I370" s="14" t="n"/>
      <c r="J370" s="29" t="n"/>
      <c r="K370" s="18">
        <f>IF($D370="","",IF($E370="Débito",-ABS($D370),ABS($D370)))</f>
        <v/>
      </c>
      <c r="L370" s="9">
        <f>IF($A370="","",IF(COUNTIFS('LANÇAMENTOS'!$D$6:$D$2005,$A370,'LANÇAMENTOS'!$V$6:$V$2005,ABS($D370),'LANÇAMENTOS'!$L$6:$L$2005,$F370)&gt;0,"✔ Encontrado na planilha",IF(COUNTIFS('LANÇAMENTOS'!$D$6:$D$2005,$A370,'LANÇAMENTOS'!$V$6:$V$2005,"&gt;="&amp;ABS($D370)*0.98,'LANÇAMENTOS'!$V$6:$V$2005,"&lt;="&amp;ABS($D370)*1.02)&gt;0,"🟡 Valor próximo de um lançamento","❌ Não localizado")))</f>
        <v/>
      </c>
    </row>
    <row r="371">
      <c r="A371" s="36" t="n"/>
      <c r="B371" s="29" t="n"/>
      <c r="C371" s="14" t="n"/>
      <c r="D371" s="35" t="n"/>
      <c r="E371" s="14" t="n"/>
      <c r="F371" s="29" t="n"/>
      <c r="G371" s="14" t="n"/>
      <c r="H371" s="29" t="n"/>
      <c r="I371" s="14" t="n"/>
      <c r="J371" s="29" t="n"/>
      <c r="K371" s="18">
        <f>IF($D371="","",IF($E371="Débito",-ABS($D371),ABS($D371)))</f>
        <v/>
      </c>
      <c r="L371" s="9">
        <f>IF($A371="","",IF(COUNTIFS('LANÇAMENTOS'!$D$6:$D$2005,$A371,'LANÇAMENTOS'!$V$6:$V$2005,ABS($D371),'LANÇAMENTOS'!$L$6:$L$2005,$F371)&gt;0,"✔ Encontrado na planilha",IF(COUNTIFS('LANÇAMENTOS'!$D$6:$D$2005,$A371,'LANÇAMENTOS'!$V$6:$V$2005,"&gt;="&amp;ABS($D371)*0.98,'LANÇAMENTOS'!$V$6:$V$2005,"&lt;="&amp;ABS($D371)*1.02)&gt;0,"🟡 Valor próximo de um lançamento","❌ Não localizado")))</f>
        <v/>
      </c>
    </row>
    <row r="372">
      <c r="A372" s="36" t="n"/>
      <c r="B372" s="29" t="n"/>
      <c r="C372" s="14" t="n"/>
      <c r="D372" s="35" t="n"/>
      <c r="E372" s="14" t="n"/>
      <c r="F372" s="29" t="n"/>
      <c r="G372" s="14" t="n"/>
      <c r="H372" s="29" t="n"/>
      <c r="I372" s="14" t="n"/>
      <c r="J372" s="29" t="n"/>
      <c r="K372" s="18">
        <f>IF($D372="","",IF($E372="Débito",-ABS($D372),ABS($D372)))</f>
        <v/>
      </c>
      <c r="L372" s="9">
        <f>IF($A372="","",IF(COUNTIFS('LANÇAMENTOS'!$D$6:$D$2005,$A372,'LANÇAMENTOS'!$V$6:$V$2005,ABS($D372),'LANÇAMENTOS'!$L$6:$L$2005,$F372)&gt;0,"✔ Encontrado na planilha",IF(COUNTIFS('LANÇAMENTOS'!$D$6:$D$2005,$A372,'LANÇAMENTOS'!$V$6:$V$2005,"&gt;="&amp;ABS($D372)*0.98,'LANÇAMENTOS'!$V$6:$V$2005,"&lt;="&amp;ABS($D372)*1.02)&gt;0,"🟡 Valor próximo de um lançamento","❌ Não localizado")))</f>
        <v/>
      </c>
    </row>
    <row r="373">
      <c r="A373" s="36" t="n"/>
      <c r="B373" s="29" t="n"/>
      <c r="C373" s="14" t="n"/>
      <c r="D373" s="35" t="n"/>
      <c r="E373" s="14" t="n"/>
      <c r="F373" s="29" t="n"/>
      <c r="G373" s="14" t="n"/>
      <c r="H373" s="29" t="n"/>
      <c r="I373" s="14" t="n"/>
      <c r="J373" s="29" t="n"/>
      <c r="K373" s="18">
        <f>IF($D373="","",IF($E373="Débito",-ABS($D373),ABS($D373)))</f>
        <v/>
      </c>
      <c r="L373" s="9">
        <f>IF($A373="","",IF(COUNTIFS('LANÇAMENTOS'!$D$6:$D$2005,$A373,'LANÇAMENTOS'!$V$6:$V$2005,ABS($D373),'LANÇAMENTOS'!$L$6:$L$2005,$F373)&gt;0,"✔ Encontrado na planilha",IF(COUNTIFS('LANÇAMENTOS'!$D$6:$D$2005,$A373,'LANÇAMENTOS'!$V$6:$V$2005,"&gt;="&amp;ABS($D373)*0.98,'LANÇAMENTOS'!$V$6:$V$2005,"&lt;="&amp;ABS($D373)*1.02)&gt;0,"🟡 Valor próximo de um lançamento","❌ Não localizado")))</f>
        <v/>
      </c>
    </row>
    <row r="374">
      <c r="A374" s="36" t="n"/>
      <c r="B374" s="29" t="n"/>
      <c r="C374" s="14" t="n"/>
      <c r="D374" s="35" t="n"/>
      <c r="E374" s="14" t="n"/>
      <c r="F374" s="29" t="n"/>
      <c r="G374" s="14" t="n"/>
      <c r="H374" s="29" t="n"/>
      <c r="I374" s="14" t="n"/>
      <c r="J374" s="29" t="n"/>
      <c r="K374" s="18">
        <f>IF($D374="","",IF($E374="Débito",-ABS($D374),ABS($D374)))</f>
        <v/>
      </c>
      <c r="L374" s="9">
        <f>IF($A374="","",IF(COUNTIFS('LANÇAMENTOS'!$D$6:$D$2005,$A374,'LANÇAMENTOS'!$V$6:$V$2005,ABS($D374),'LANÇAMENTOS'!$L$6:$L$2005,$F374)&gt;0,"✔ Encontrado na planilha",IF(COUNTIFS('LANÇAMENTOS'!$D$6:$D$2005,$A374,'LANÇAMENTOS'!$V$6:$V$2005,"&gt;="&amp;ABS($D374)*0.98,'LANÇAMENTOS'!$V$6:$V$2005,"&lt;="&amp;ABS($D374)*1.02)&gt;0,"🟡 Valor próximo de um lançamento","❌ Não localizado")))</f>
        <v/>
      </c>
    </row>
    <row r="375">
      <c r="A375" s="36" t="n"/>
      <c r="B375" s="29" t="n"/>
      <c r="C375" s="14" t="n"/>
      <c r="D375" s="35" t="n"/>
      <c r="E375" s="14" t="n"/>
      <c r="F375" s="29" t="n"/>
      <c r="G375" s="14" t="n"/>
      <c r="H375" s="29" t="n"/>
      <c r="I375" s="14" t="n"/>
      <c r="J375" s="29" t="n"/>
      <c r="K375" s="18">
        <f>IF($D375="","",IF($E375="Débito",-ABS($D375),ABS($D375)))</f>
        <v/>
      </c>
      <c r="L375" s="9">
        <f>IF($A375="","",IF(COUNTIFS('LANÇAMENTOS'!$D$6:$D$2005,$A375,'LANÇAMENTOS'!$V$6:$V$2005,ABS($D375),'LANÇAMENTOS'!$L$6:$L$2005,$F375)&gt;0,"✔ Encontrado na planilha",IF(COUNTIFS('LANÇAMENTOS'!$D$6:$D$2005,$A375,'LANÇAMENTOS'!$V$6:$V$2005,"&gt;="&amp;ABS($D375)*0.98,'LANÇAMENTOS'!$V$6:$V$2005,"&lt;="&amp;ABS($D375)*1.02)&gt;0,"🟡 Valor próximo de um lançamento","❌ Não localizado")))</f>
        <v/>
      </c>
    </row>
    <row r="376">
      <c r="A376" s="36" t="n"/>
      <c r="B376" s="29" t="n"/>
      <c r="C376" s="14" t="n"/>
      <c r="D376" s="35" t="n"/>
      <c r="E376" s="14" t="n"/>
      <c r="F376" s="29" t="n"/>
      <c r="G376" s="14" t="n"/>
      <c r="H376" s="29" t="n"/>
      <c r="I376" s="14" t="n"/>
      <c r="J376" s="29" t="n"/>
      <c r="K376" s="18">
        <f>IF($D376="","",IF($E376="Débito",-ABS($D376),ABS($D376)))</f>
        <v/>
      </c>
      <c r="L376" s="9">
        <f>IF($A376="","",IF(COUNTIFS('LANÇAMENTOS'!$D$6:$D$2005,$A376,'LANÇAMENTOS'!$V$6:$V$2005,ABS($D376),'LANÇAMENTOS'!$L$6:$L$2005,$F376)&gt;0,"✔ Encontrado na planilha",IF(COUNTIFS('LANÇAMENTOS'!$D$6:$D$2005,$A376,'LANÇAMENTOS'!$V$6:$V$2005,"&gt;="&amp;ABS($D376)*0.98,'LANÇAMENTOS'!$V$6:$V$2005,"&lt;="&amp;ABS($D376)*1.02)&gt;0,"🟡 Valor próximo de um lançamento","❌ Não localizado")))</f>
        <v/>
      </c>
    </row>
    <row r="377">
      <c r="A377" s="36" t="n"/>
      <c r="B377" s="29" t="n"/>
      <c r="C377" s="14" t="n"/>
      <c r="D377" s="35" t="n"/>
      <c r="E377" s="14" t="n"/>
      <c r="F377" s="29" t="n"/>
      <c r="G377" s="14" t="n"/>
      <c r="H377" s="29" t="n"/>
      <c r="I377" s="14" t="n"/>
      <c r="J377" s="29" t="n"/>
      <c r="K377" s="18">
        <f>IF($D377="","",IF($E377="Débito",-ABS($D377),ABS($D377)))</f>
        <v/>
      </c>
      <c r="L377" s="9">
        <f>IF($A377="","",IF(COUNTIFS('LANÇAMENTOS'!$D$6:$D$2005,$A377,'LANÇAMENTOS'!$V$6:$V$2005,ABS($D377),'LANÇAMENTOS'!$L$6:$L$2005,$F377)&gt;0,"✔ Encontrado na planilha",IF(COUNTIFS('LANÇAMENTOS'!$D$6:$D$2005,$A377,'LANÇAMENTOS'!$V$6:$V$2005,"&gt;="&amp;ABS($D377)*0.98,'LANÇAMENTOS'!$V$6:$V$2005,"&lt;="&amp;ABS($D377)*1.02)&gt;0,"🟡 Valor próximo de um lançamento","❌ Não localizado")))</f>
        <v/>
      </c>
    </row>
    <row r="378">
      <c r="A378" s="36" t="n"/>
      <c r="B378" s="29" t="n"/>
      <c r="C378" s="14" t="n"/>
      <c r="D378" s="35" t="n"/>
      <c r="E378" s="14" t="n"/>
      <c r="F378" s="29" t="n"/>
      <c r="G378" s="14" t="n"/>
      <c r="H378" s="29" t="n"/>
      <c r="I378" s="14" t="n"/>
      <c r="J378" s="29" t="n"/>
      <c r="K378" s="18">
        <f>IF($D378="","",IF($E378="Débito",-ABS($D378),ABS($D378)))</f>
        <v/>
      </c>
      <c r="L378" s="9">
        <f>IF($A378="","",IF(COUNTIFS('LANÇAMENTOS'!$D$6:$D$2005,$A378,'LANÇAMENTOS'!$V$6:$V$2005,ABS($D378),'LANÇAMENTOS'!$L$6:$L$2005,$F378)&gt;0,"✔ Encontrado na planilha",IF(COUNTIFS('LANÇAMENTOS'!$D$6:$D$2005,$A378,'LANÇAMENTOS'!$V$6:$V$2005,"&gt;="&amp;ABS($D378)*0.98,'LANÇAMENTOS'!$V$6:$V$2005,"&lt;="&amp;ABS($D378)*1.02)&gt;0,"🟡 Valor próximo de um lançamento","❌ Não localizado")))</f>
        <v/>
      </c>
    </row>
    <row r="379">
      <c r="A379" s="36" t="n"/>
      <c r="B379" s="29" t="n"/>
      <c r="C379" s="14" t="n"/>
      <c r="D379" s="35" t="n"/>
      <c r="E379" s="14" t="n"/>
      <c r="F379" s="29" t="n"/>
      <c r="G379" s="14" t="n"/>
      <c r="H379" s="29" t="n"/>
      <c r="I379" s="14" t="n"/>
      <c r="J379" s="29" t="n"/>
      <c r="K379" s="18">
        <f>IF($D379="","",IF($E379="Débito",-ABS($D379),ABS($D379)))</f>
        <v/>
      </c>
      <c r="L379" s="9">
        <f>IF($A379="","",IF(COUNTIFS('LANÇAMENTOS'!$D$6:$D$2005,$A379,'LANÇAMENTOS'!$V$6:$V$2005,ABS($D379),'LANÇAMENTOS'!$L$6:$L$2005,$F379)&gt;0,"✔ Encontrado na planilha",IF(COUNTIFS('LANÇAMENTOS'!$D$6:$D$2005,$A379,'LANÇAMENTOS'!$V$6:$V$2005,"&gt;="&amp;ABS($D379)*0.98,'LANÇAMENTOS'!$V$6:$V$2005,"&lt;="&amp;ABS($D379)*1.02)&gt;0,"🟡 Valor próximo de um lançamento","❌ Não localizado")))</f>
        <v/>
      </c>
    </row>
    <row r="380">
      <c r="A380" s="36" t="n"/>
      <c r="B380" s="29" t="n"/>
      <c r="C380" s="14" t="n"/>
      <c r="D380" s="35" t="n"/>
      <c r="E380" s="14" t="n"/>
      <c r="F380" s="29" t="n"/>
      <c r="G380" s="14" t="n"/>
      <c r="H380" s="29" t="n"/>
      <c r="I380" s="14" t="n"/>
      <c r="J380" s="29" t="n"/>
      <c r="K380" s="18">
        <f>IF($D380="","",IF($E380="Débito",-ABS($D380),ABS($D380)))</f>
        <v/>
      </c>
      <c r="L380" s="9">
        <f>IF($A380="","",IF(COUNTIFS('LANÇAMENTOS'!$D$6:$D$2005,$A380,'LANÇAMENTOS'!$V$6:$V$2005,ABS($D380),'LANÇAMENTOS'!$L$6:$L$2005,$F380)&gt;0,"✔ Encontrado na planilha",IF(COUNTIFS('LANÇAMENTOS'!$D$6:$D$2005,$A380,'LANÇAMENTOS'!$V$6:$V$2005,"&gt;="&amp;ABS($D380)*0.98,'LANÇAMENTOS'!$V$6:$V$2005,"&lt;="&amp;ABS($D380)*1.02)&gt;0,"🟡 Valor próximo de um lançamento","❌ Não localizado")))</f>
        <v/>
      </c>
    </row>
    <row r="381">
      <c r="A381" s="36" t="n"/>
      <c r="B381" s="29" t="n"/>
      <c r="C381" s="14" t="n"/>
      <c r="D381" s="35" t="n"/>
      <c r="E381" s="14" t="n"/>
      <c r="F381" s="29" t="n"/>
      <c r="G381" s="14" t="n"/>
      <c r="H381" s="29" t="n"/>
      <c r="I381" s="14" t="n"/>
      <c r="J381" s="29" t="n"/>
      <c r="K381" s="18">
        <f>IF($D381="","",IF($E381="Débito",-ABS($D381),ABS($D381)))</f>
        <v/>
      </c>
      <c r="L381" s="9">
        <f>IF($A381="","",IF(COUNTIFS('LANÇAMENTOS'!$D$6:$D$2005,$A381,'LANÇAMENTOS'!$V$6:$V$2005,ABS($D381),'LANÇAMENTOS'!$L$6:$L$2005,$F381)&gt;0,"✔ Encontrado na planilha",IF(COUNTIFS('LANÇAMENTOS'!$D$6:$D$2005,$A381,'LANÇAMENTOS'!$V$6:$V$2005,"&gt;="&amp;ABS($D381)*0.98,'LANÇAMENTOS'!$V$6:$V$2005,"&lt;="&amp;ABS($D381)*1.02)&gt;0,"🟡 Valor próximo de um lançamento","❌ Não localizado")))</f>
        <v/>
      </c>
    </row>
    <row r="382">
      <c r="A382" s="36" t="n"/>
      <c r="B382" s="29" t="n"/>
      <c r="C382" s="14" t="n"/>
      <c r="D382" s="35" t="n"/>
      <c r="E382" s="14" t="n"/>
      <c r="F382" s="29" t="n"/>
      <c r="G382" s="14" t="n"/>
      <c r="H382" s="29" t="n"/>
      <c r="I382" s="14" t="n"/>
      <c r="J382" s="29" t="n"/>
      <c r="K382" s="18">
        <f>IF($D382="","",IF($E382="Débito",-ABS($D382),ABS($D382)))</f>
        <v/>
      </c>
      <c r="L382" s="9">
        <f>IF($A382="","",IF(COUNTIFS('LANÇAMENTOS'!$D$6:$D$2005,$A382,'LANÇAMENTOS'!$V$6:$V$2005,ABS($D382),'LANÇAMENTOS'!$L$6:$L$2005,$F382)&gt;0,"✔ Encontrado na planilha",IF(COUNTIFS('LANÇAMENTOS'!$D$6:$D$2005,$A382,'LANÇAMENTOS'!$V$6:$V$2005,"&gt;="&amp;ABS($D382)*0.98,'LANÇAMENTOS'!$V$6:$V$2005,"&lt;="&amp;ABS($D382)*1.02)&gt;0,"🟡 Valor próximo de um lançamento","❌ Não localizado")))</f>
        <v/>
      </c>
    </row>
    <row r="383">
      <c r="A383" s="36" t="n"/>
      <c r="B383" s="29" t="n"/>
      <c r="C383" s="14" t="n"/>
      <c r="D383" s="35" t="n"/>
      <c r="E383" s="14" t="n"/>
      <c r="F383" s="29" t="n"/>
      <c r="G383" s="14" t="n"/>
      <c r="H383" s="29" t="n"/>
      <c r="I383" s="14" t="n"/>
      <c r="J383" s="29" t="n"/>
      <c r="K383" s="18">
        <f>IF($D383="","",IF($E383="Débito",-ABS($D383),ABS($D383)))</f>
        <v/>
      </c>
      <c r="L383" s="9">
        <f>IF($A383="","",IF(COUNTIFS('LANÇAMENTOS'!$D$6:$D$2005,$A383,'LANÇAMENTOS'!$V$6:$V$2005,ABS($D383),'LANÇAMENTOS'!$L$6:$L$2005,$F383)&gt;0,"✔ Encontrado na planilha",IF(COUNTIFS('LANÇAMENTOS'!$D$6:$D$2005,$A383,'LANÇAMENTOS'!$V$6:$V$2005,"&gt;="&amp;ABS($D383)*0.98,'LANÇAMENTOS'!$V$6:$V$2005,"&lt;="&amp;ABS($D383)*1.02)&gt;0,"🟡 Valor próximo de um lançamento","❌ Não localizado")))</f>
        <v/>
      </c>
    </row>
    <row r="384">
      <c r="A384" s="36" t="n"/>
      <c r="B384" s="29" t="n"/>
      <c r="C384" s="14" t="n"/>
      <c r="D384" s="35" t="n"/>
      <c r="E384" s="14" t="n"/>
      <c r="F384" s="29" t="n"/>
      <c r="G384" s="14" t="n"/>
      <c r="H384" s="29" t="n"/>
      <c r="I384" s="14" t="n"/>
      <c r="J384" s="29" t="n"/>
      <c r="K384" s="18">
        <f>IF($D384="","",IF($E384="Débito",-ABS($D384),ABS($D384)))</f>
        <v/>
      </c>
      <c r="L384" s="9">
        <f>IF($A384="","",IF(COUNTIFS('LANÇAMENTOS'!$D$6:$D$2005,$A384,'LANÇAMENTOS'!$V$6:$V$2005,ABS($D384),'LANÇAMENTOS'!$L$6:$L$2005,$F384)&gt;0,"✔ Encontrado na planilha",IF(COUNTIFS('LANÇAMENTOS'!$D$6:$D$2005,$A384,'LANÇAMENTOS'!$V$6:$V$2005,"&gt;="&amp;ABS($D384)*0.98,'LANÇAMENTOS'!$V$6:$V$2005,"&lt;="&amp;ABS($D384)*1.02)&gt;0,"🟡 Valor próximo de um lançamento","❌ Não localizado")))</f>
        <v/>
      </c>
    </row>
    <row r="385">
      <c r="A385" s="36" t="n"/>
      <c r="B385" s="29" t="n"/>
      <c r="C385" s="14" t="n"/>
      <c r="D385" s="35" t="n"/>
      <c r="E385" s="14" t="n"/>
      <c r="F385" s="29" t="n"/>
      <c r="G385" s="14" t="n"/>
      <c r="H385" s="29" t="n"/>
      <c r="I385" s="14" t="n"/>
      <c r="J385" s="29" t="n"/>
      <c r="K385" s="18">
        <f>IF($D385="","",IF($E385="Débito",-ABS($D385),ABS($D385)))</f>
        <v/>
      </c>
      <c r="L385" s="9">
        <f>IF($A385="","",IF(COUNTIFS('LANÇAMENTOS'!$D$6:$D$2005,$A385,'LANÇAMENTOS'!$V$6:$V$2005,ABS($D385),'LANÇAMENTOS'!$L$6:$L$2005,$F385)&gt;0,"✔ Encontrado na planilha",IF(COUNTIFS('LANÇAMENTOS'!$D$6:$D$2005,$A385,'LANÇAMENTOS'!$V$6:$V$2005,"&gt;="&amp;ABS($D385)*0.98,'LANÇAMENTOS'!$V$6:$V$2005,"&lt;="&amp;ABS($D385)*1.02)&gt;0,"🟡 Valor próximo de um lançamento","❌ Não localizado")))</f>
        <v/>
      </c>
    </row>
    <row r="386">
      <c r="A386" s="36" t="n"/>
      <c r="B386" s="29" t="n"/>
      <c r="C386" s="14" t="n"/>
      <c r="D386" s="35" t="n"/>
      <c r="E386" s="14" t="n"/>
      <c r="F386" s="29" t="n"/>
      <c r="G386" s="14" t="n"/>
      <c r="H386" s="29" t="n"/>
      <c r="I386" s="14" t="n"/>
      <c r="J386" s="29" t="n"/>
      <c r="K386" s="18">
        <f>IF($D386="","",IF($E386="Débito",-ABS($D386),ABS($D386)))</f>
        <v/>
      </c>
      <c r="L386" s="9">
        <f>IF($A386="","",IF(COUNTIFS('LANÇAMENTOS'!$D$6:$D$2005,$A386,'LANÇAMENTOS'!$V$6:$V$2005,ABS($D386),'LANÇAMENTOS'!$L$6:$L$2005,$F386)&gt;0,"✔ Encontrado na planilha",IF(COUNTIFS('LANÇAMENTOS'!$D$6:$D$2005,$A386,'LANÇAMENTOS'!$V$6:$V$2005,"&gt;="&amp;ABS($D386)*0.98,'LANÇAMENTOS'!$V$6:$V$2005,"&lt;="&amp;ABS($D386)*1.02)&gt;0,"🟡 Valor próximo de um lançamento","❌ Não localizado")))</f>
        <v/>
      </c>
    </row>
    <row r="387">
      <c r="A387" s="36" t="n"/>
      <c r="B387" s="29" t="n"/>
      <c r="C387" s="14" t="n"/>
      <c r="D387" s="35" t="n"/>
      <c r="E387" s="14" t="n"/>
      <c r="F387" s="29" t="n"/>
      <c r="G387" s="14" t="n"/>
      <c r="H387" s="29" t="n"/>
      <c r="I387" s="14" t="n"/>
      <c r="J387" s="29" t="n"/>
      <c r="K387" s="18">
        <f>IF($D387="","",IF($E387="Débito",-ABS($D387),ABS($D387)))</f>
        <v/>
      </c>
      <c r="L387" s="9">
        <f>IF($A387="","",IF(COUNTIFS('LANÇAMENTOS'!$D$6:$D$2005,$A387,'LANÇAMENTOS'!$V$6:$V$2005,ABS($D387),'LANÇAMENTOS'!$L$6:$L$2005,$F387)&gt;0,"✔ Encontrado na planilha",IF(COUNTIFS('LANÇAMENTOS'!$D$6:$D$2005,$A387,'LANÇAMENTOS'!$V$6:$V$2005,"&gt;="&amp;ABS($D387)*0.98,'LANÇAMENTOS'!$V$6:$V$2005,"&lt;="&amp;ABS($D387)*1.02)&gt;0,"🟡 Valor próximo de um lançamento","❌ Não localizado")))</f>
        <v/>
      </c>
    </row>
    <row r="388">
      <c r="A388" s="36" t="n"/>
      <c r="B388" s="29" t="n"/>
      <c r="C388" s="14" t="n"/>
      <c r="D388" s="35" t="n"/>
      <c r="E388" s="14" t="n"/>
      <c r="F388" s="29" t="n"/>
      <c r="G388" s="14" t="n"/>
      <c r="H388" s="29" t="n"/>
      <c r="I388" s="14" t="n"/>
      <c r="J388" s="29" t="n"/>
      <c r="K388" s="18">
        <f>IF($D388="","",IF($E388="Débito",-ABS($D388),ABS($D388)))</f>
        <v/>
      </c>
      <c r="L388" s="9">
        <f>IF($A388="","",IF(COUNTIFS('LANÇAMENTOS'!$D$6:$D$2005,$A388,'LANÇAMENTOS'!$V$6:$V$2005,ABS($D388),'LANÇAMENTOS'!$L$6:$L$2005,$F388)&gt;0,"✔ Encontrado na planilha",IF(COUNTIFS('LANÇAMENTOS'!$D$6:$D$2005,$A388,'LANÇAMENTOS'!$V$6:$V$2005,"&gt;="&amp;ABS($D388)*0.98,'LANÇAMENTOS'!$V$6:$V$2005,"&lt;="&amp;ABS($D388)*1.02)&gt;0,"🟡 Valor próximo de um lançamento","❌ Não localizado")))</f>
        <v/>
      </c>
    </row>
    <row r="389">
      <c r="A389" s="36" t="n"/>
      <c r="B389" s="29" t="n"/>
      <c r="C389" s="14" t="n"/>
      <c r="D389" s="35" t="n"/>
      <c r="E389" s="14" t="n"/>
      <c r="F389" s="29" t="n"/>
      <c r="G389" s="14" t="n"/>
      <c r="H389" s="29" t="n"/>
      <c r="I389" s="14" t="n"/>
      <c r="J389" s="29" t="n"/>
      <c r="K389" s="18">
        <f>IF($D389="","",IF($E389="Débito",-ABS($D389),ABS($D389)))</f>
        <v/>
      </c>
      <c r="L389" s="9">
        <f>IF($A389="","",IF(COUNTIFS('LANÇAMENTOS'!$D$6:$D$2005,$A389,'LANÇAMENTOS'!$V$6:$V$2005,ABS($D389),'LANÇAMENTOS'!$L$6:$L$2005,$F389)&gt;0,"✔ Encontrado na planilha",IF(COUNTIFS('LANÇAMENTOS'!$D$6:$D$2005,$A389,'LANÇAMENTOS'!$V$6:$V$2005,"&gt;="&amp;ABS($D389)*0.98,'LANÇAMENTOS'!$V$6:$V$2005,"&lt;="&amp;ABS($D389)*1.02)&gt;0,"🟡 Valor próximo de um lançamento","❌ Não localizado")))</f>
        <v/>
      </c>
    </row>
    <row r="390">
      <c r="A390" s="36" t="n"/>
      <c r="B390" s="29" t="n"/>
      <c r="C390" s="14" t="n"/>
      <c r="D390" s="35" t="n"/>
      <c r="E390" s="14" t="n"/>
      <c r="F390" s="29" t="n"/>
      <c r="G390" s="14" t="n"/>
      <c r="H390" s="29" t="n"/>
      <c r="I390" s="14" t="n"/>
      <c r="J390" s="29" t="n"/>
      <c r="K390" s="18">
        <f>IF($D390="","",IF($E390="Débito",-ABS($D390),ABS($D390)))</f>
        <v/>
      </c>
      <c r="L390" s="9">
        <f>IF($A390="","",IF(COUNTIFS('LANÇAMENTOS'!$D$6:$D$2005,$A390,'LANÇAMENTOS'!$V$6:$V$2005,ABS($D390),'LANÇAMENTOS'!$L$6:$L$2005,$F390)&gt;0,"✔ Encontrado na planilha",IF(COUNTIFS('LANÇAMENTOS'!$D$6:$D$2005,$A390,'LANÇAMENTOS'!$V$6:$V$2005,"&gt;="&amp;ABS($D390)*0.98,'LANÇAMENTOS'!$V$6:$V$2005,"&lt;="&amp;ABS($D390)*1.02)&gt;0,"🟡 Valor próximo de um lançamento","❌ Não localizado")))</f>
        <v/>
      </c>
    </row>
    <row r="391">
      <c r="A391" s="36" t="n"/>
      <c r="B391" s="29" t="n"/>
      <c r="C391" s="14" t="n"/>
      <c r="D391" s="35" t="n"/>
      <c r="E391" s="14" t="n"/>
      <c r="F391" s="29" t="n"/>
      <c r="G391" s="14" t="n"/>
      <c r="H391" s="29" t="n"/>
      <c r="I391" s="14" t="n"/>
      <c r="J391" s="29" t="n"/>
      <c r="K391" s="18">
        <f>IF($D391="","",IF($E391="Débito",-ABS($D391),ABS($D391)))</f>
        <v/>
      </c>
      <c r="L391" s="9">
        <f>IF($A391="","",IF(COUNTIFS('LANÇAMENTOS'!$D$6:$D$2005,$A391,'LANÇAMENTOS'!$V$6:$V$2005,ABS($D391),'LANÇAMENTOS'!$L$6:$L$2005,$F391)&gt;0,"✔ Encontrado na planilha",IF(COUNTIFS('LANÇAMENTOS'!$D$6:$D$2005,$A391,'LANÇAMENTOS'!$V$6:$V$2005,"&gt;="&amp;ABS($D391)*0.98,'LANÇAMENTOS'!$V$6:$V$2005,"&lt;="&amp;ABS($D391)*1.02)&gt;0,"🟡 Valor próximo de um lançamento","❌ Não localizado")))</f>
        <v/>
      </c>
    </row>
    <row r="392">
      <c r="A392" s="36" t="n"/>
      <c r="B392" s="29" t="n"/>
      <c r="C392" s="14" t="n"/>
      <c r="D392" s="35" t="n"/>
      <c r="E392" s="14" t="n"/>
      <c r="F392" s="29" t="n"/>
      <c r="G392" s="14" t="n"/>
      <c r="H392" s="29" t="n"/>
      <c r="I392" s="14" t="n"/>
      <c r="J392" s="29" t="n"/>
      <c r="K392" s="18">
        <f>IF($D392="","",IF($E392="Débito",-ABS($D392),ABS($D392)))</f>
        <v/>
      </c>
      <c r="L392" s="9">
        <f>IF($A392="","",IF(COUNTIFS('LANÇAMENTOS'!$D$6:$D$2005,$A392,'LANÇAMENTOS'!$V$6:$V$2005,ABS($D392),'LANÇAMENTOS'!$L$6:$L$2005,$F392)&gt;0,"✔ Encontrado na planilha",IF(COUNTIFS('LANÇAMENTOS'!$D$6:$D$2005,$A392,'LANÇAMENTOS'!$V$6:$V$2005,"&gt;="&amp;ABS($D392)*0.98,'LANÇAMENTOS'!$V$6:$V$2005,"&lt;="&amp;ABS($D392)*1.02)&gt;0,"🟡 Valor próximo de um lançamento","❌ Não localizado")))</f>
        <v/>
      </c>
    </row>
    <row r="393">
      <c r="A393" s="36" t="n"/>
      <c r="B393" s="29" t="n"/>
      <c r="C393" s="14" t="n"/>
      <c r="D393" s="35" t="n"/>
      <c r="E393" s="14" t="n"/>
      <c r="F393" s="29" t="n"/>
      <c r="G393" s="14" t="n"/>
      <c r="H393" s="29" t="n"/>
      <c r="I393" s="14" t="n"/>
      <c r="J393" s="29" t="n"/>
      <c r="K393" s="18">
        <f>IF($D393="","",IF($E393="Débito",-ABS($D393),ABS($D393)))</f>
        <v/>
      </c>
      <c r="L393" s="9">
        <f>IF($A393="","",IF(COUNTIFS('LANÇAMENTOS'!$D$6:$D$2005,$A393,'LANÇAMENTOS'!$V$6:$V$2005,ABS($D393),'LANÇAMENTOS'!$L$6:$L$2005,$F393)&gt;0,"✔ Encontrado na planilha",IF(COUNTIFS('LANÇAMENTOS'!$D$6:$D$2005,$A393,'LANÇAMENTOS'!$V$6:$V$2005,"&gt;="&amp;ABS($D393)*0.98,'LANÇAMENTOS'!$V$6:$V$2005,"&lt;="&amp;ABS($D393)*1.02)&gt;0,"🟡 Valor próximo de um lançamento","❌ Não localizado")))</f>
        <v/>
      </c>
    </row>
    <row r="394">
      <c r="A394" s="36" t="n"/>
      <c r="B394" s="29" t="n"/>
      <c r="C394" s="14" t="n"/>
      <c r="D394" s="35" t="n"/>
      <c r="E394" s="14" t="n"/>
      <c r="F394" s="29" t="n"/>
      <c r="G394" s="14" t="n"/>
      <c r="H394" s="29" t="n"/>
      <c r="I394" s="14" t="n"/>
      <c r="J394" s="29" t="n"/>
      <c r="K394" s="18">
        <f>IF($D394="","",IF($E394="Débito",-ABS($D394),ABS($D394)))</f>
        <v/>
      </c>
      <c r="L394" s="9">
        <f>IF($A394="","",IF(COUNTIFS('LANÇAMENTOS'!$D$6:$D$2005,$A394,'LANÇAMENTOS'!$V$6:$V$2005,ABS($D394),'LANÇAMENTOS'!$L$6:$L$2005,$F394)&gt;0,"✔ Encontrado na planilha",IF(COUNTIFS('LANÇAMENTOS'!$D$6:$D$2005,$A394,'LANÇAMENTOS'!$V$6:$V$2005,"&gt;="&amp;ABS($D394)*0.98,'LANÇAMENTOS'!$V$6:$V$2005,"&lt;="&amp;ABS($D394)*1.02)&gt;0,"🟡 Valor próximo de um lançamento","❌ Não localizado")))</f>
        <v/>
      </c>
    </row>
    <row r="395">
      <c r="A395" s="36" t="n"/>
      <c r="B395" s="29" t="n"/>
      <c r="C395" s="14" t="n"/>
      <c r="D395" s="35" t="n"/>
      <c r="E395" s="14" t="n"/>
      <c r="F395" s="29" t="n"/>
      <c r="G395" s="14" t="n"/>
      <c r="H395" s="29" t="n"/>
      <c r="I395" s="14" t="n"/>
      <c r="J395" s="29" t="n"/>
      <c r="K395" s="18">
        <f>IF($D395="","",IF($E395="Débito",-ABS($D395),ABS($D395)))</f>
        <v/>
      </c>
      <c r="L395" s="9">
        <f>IF($A395="","",IF(COUNTIFS('LANÇAMENTOS'!$D$6:$D$2005,$A395,'LANÇAMENTOS'!$V$6:$V$2005,ABS($D395),'LANÇAMENTOS'!$L$6:$L$2005,$F395)&gt;0,"✔ Encontrado na planilha",IF(COUNTIFS('LANÇAMENTOS'!$D$6:$D$2005,$A395,'LANÇAMENTOS'!$V$6:$V$2005,"&gt;="&amp;ABS($D395)*0.98,'LANÇAMENTOS'!$V$6:$V$2005,"&lt;="&amp;ABS($D395)*1.02)&gt;0,"🟡 Valor próximo de um lançamento","❌ Não localizado")))</f>
        <v/>
      </c>
    </row>
    <row r="396">
      <c r="A396" s="36" t="n"/>
      <c r="B396" s="29" t="n"/>
      <c r="C396" s="14" t="n"/>
      <c r="D396" s="35" t="n"/>
      <c r="E396" s="14" t="n"/>
      <c r="F396" s="29" t="n"/>
      <c r="G396" s="14" t="n"/>
      <c r="H396" s="29" t="n"/>
      <c r="I396" s="14" t="n"/>
      <c r="J396" s="29" t="n"/>
      <c r="K396" s="18">
        <f>IF($D396="","",IF($E396="Débito",-ABS($D396),ABS($D396)))</f>
        <v/>
      </c>
      <c r="L396" s="9">
        <f>IF($A396="","",IF(COUNTIFS('LANÇAMENTOS'!$D$6:$D$2005,$A396,'LANÇAMENTOS'!$V$6:$V$2005,ABS($D396),'LANÇAMENTOS'!$L$6:$L$2005,$F396)&gt;0,"✔ Encontrado na planilha",IF(COUNTIFS('LANÇAMENTOS'!$D$6:$D$2005,$A396,'LANÇAMENTOS'!$V$6:$V$2005,"&gt;="&amp;ABS($D396)*0.98,'LANÇAMENTOS'!$V$6:$V$2005,"&lt;="&amp;ABS($D396)*1.02)&gt;0,"🟡 Valor próximo de um lançamento","❌ Não localizado")))</f>
        <v/>
      </c>
    </row>
    <row r="397">
      <c r="A397" s="36" t="n"/>
      <c r="B397" s="29" t="n"/>
      <c r="C397" s="14" t="n"/>
      <c r="D397" s="35" t="n"/>
      <c r="E397" s="14" t="n"/>
      <c r="F397" s="29" t="n"/>
      <c r="G397" s="14" t="n"/>
      <c r="H397" s="29" t="n"/>
      <c r="I397" s="14" t="n"/>
      <c r="J397" s="29" t="n"/>
      <c r="K397" s="18">
        <f>IF($D397="","",IF($E397="Débito",-ABS($D397),ABS($D397)))</f>
        <v/>
      </c>
      <c r="L397" s="9">
        <f>IF($A397="","",IF(COUNTIFS('LANÇAMENTOS'!$D$6:$D$2005,$A397,'LANÇAMENTOS'!$V$6:$V$2005,ABS($D397),'LANÇAMENTOS'!$L$6:$L$2005,$F397)&gt;0,"✔ Encontrado na planilha",IF(COUNTIFS('LANÇAMENTOS'!$D$6:$D$2005,$A397,'LANÇAMENTOS'!$V$6:$V$2005,"&gt;="&amp;ABS($D397)*0.98,'LANÇAMENTOS'!$V$6:$V$2005,"&lt;="&amp;ABS($D397)*1.02)&gt;0,"🟡 Valor próximo de um lançamento","❌ Não localizado")))</f>
        <v/>
      </c>
    </row>
    <row r="398">
      <c r="A398" s="36" t="n"/>
      <c r="B398" s="29" t="n"/>
      <c r="C398" s="14" t="n"/>
      <c r="D398" s="35" t="n"/>
      <c r="E398" s="14" t="n"/>
      <c r="F398" s="29" t="n"/>
      <c r="G398" s="14" t="n"/>
      <c r="H398" s="29" t="n"/>
      <c r="I398" s="14" t="n"/>
      <c r="J398" s="29" t="n"/>
      <c r="K398" s="18">
        <f>IF($D398="","",IF($E398="Débito",-ABS($D398),ABS($D398)))</f>
        <v/>
      </c>
      <c r="L398" s="9">
        <f>IF($A398="","",IF(COUNTIFS('LANÇAMENTOS'!$D$6:$D$2005,$A398,'LANÇAMENTOS'!$V$6:$V$2005,ABS($D398),'LANÇAMENTOS'!$L$6:$L$2005,$F398)&gt;0,"✔ Encontrado na planilha",IF(COUNTIFS('LANÇAMENTOS'!$D$6:$D$2005,$A398,'LANÇAMENTOS'!$V$6:$V$2005,"&gt;="&amp;ABS($D398)*0.98,'LANÇAMENTOS'!$V$6:$V$2005,"&lt;="&amp;ABS($D398)*1.02)&gt;0,"🟡 Valor próximo de um lançamento","❌ Não localizado")))</f>
        <v/>
      </c>
    </row>
    <row r="399">
      <c r="A399" s="36" t="n"/>
      <c r="B399" s="29" t="n"/>
      <c r="C399" s="14" t="n"/>
      <c r="D399" s="35" t="n"/>
      <c r="E399" s="14" t="n"/>
      <c r="F399" s="29" t="n"/>
      <c r="G399" s="14" t="n"/>
      <c r="H399" s="29" t="n"/>
      <c r="I399" s="14" t="n"/>
      <c r="J399" s="29" t="n"/>
      <c r="K399" s="18">
        <f>IF($D399="","",IF($E399="Débito",-ABS($D399),ABS($D399)))</f>
        <v/>
      </c>
      <c r="L399" s="9">
        <f>IF($A399="","",IF(COUNTIFS('LANÇAMENTOS'!$D$6:$D$2005,$A399,'LANÇAMENTOS'!$V$6:$V$2005,ABS($D399),'LANÇAMENTOS'!$L$6:$L$2005,$F399)&gt;0,"✔ Encontrado na planilha",IF(COUNTIFS('LANÇAMENTOS'!$D$6:$D$2005,$A399,'LANÇAMENTOS'!$V$6:$V$2005,"&gt;="&amp;ABS($D399)*0.98,'LANÇAMENTOS'!$V$6:$V$2005,"&lt;="&amp;ABS($D399)*1.02)&gt;0,"🟡 Valor próximo de um lançamento","❌ Não localizado")))</f>
        <v/>
      </c>
    </row>
    <row r="400">
      <c r="A400" s="36" t="n"/>
      <c r="B400" s="29" t="n"/>
      <c r="C400" s="14" t="n"/>
      <c r="D400" s="35" t="n"/>
      <c r="E400" s="14" t="n"/>
      <c r="F400" s="29" t="n"/>
      <c r="G400" s="14" t="n"/>
      <c r="H400" s="29" t="n"/>
      <c r="I400" s="14" t="n"/>
      <c r="J400" s="29" t="n"/>
      <c r="K400" s="18">
        <f>IF($D400="","",IF($E400="Débito",-ABS($D400),ABS($D400)))</f>
        <v/>
      </c>
      <c r="L400" s="9">
        <f>IF($A400="","",IF(COUNTIFS('LANÇAMENTOS'!$D$6:$D$2005,$A400,'LANÇAMENTOS'!$V$6:$V$2005,ABS($D400),'LANÇAMENTOS'!$L$6:$L$2005,$F400)&gt;0,"✔ Encontrado na planilha",IF(COUNTIFS('LANÇAMENTOS'!$D$6:$D$2005,$A400,'LANÇAMENTOS'!$V$6:$V$2005,"&gt;="&amp;ABS($D400)*0.98,'LANÇAMENTOS'!$V$6:$V$2005,"&lt;="&amp;ABS($D400)*1.02)&gt;0,"🟡 Valor próximo de um lançamento","❌ Não localizado")))</f>
        <v/>
      </c>
    </row>
    <row r="401">
      <c r="A401" s="36" t="n"/>
      <c r="B401" s="29" t="n"/>
      <c r="C401" s="14" t="n"/>
      <c r="D401" s="35" t="n"/>
      <c r="E401" s="14" t="n"/>
      <c r="F401" s="29" t="n"/>
      <c r="G401" s="14" t="n"/>
      <c r="H401" s="29" t="n"/>
      <c r="I401" s="14" t="n"/>
      <c r="J401" s="29" t="n"/>
      <c r="K401" s="18">
        <f>IF($D401="","",IF($E401="Débito",-ABS($D401),ABS($D401)))</f>
        <v/>
      </c>
      <c r="L401" s="9">
        <f>IF($A401="","",IF(COUNTIFS('LANÇAMENTOS'!$D$6:$D$2005,$A401,'LANÇAMENTOS'!$V$6:$V$2005,ABS($D401),'LANÇAMENTOS'!$L$6:$L$2005,$F401)&gt;0,"✔ Encontrado na planilha",IF(COUNTIFS('LANÇAMENTOS'!$D$6:$D$2005,$A401,'LANÇAMENTOS'!$V$6:$V$2005,"&gt;="&amp;ABS($D401)*0.98,'LANÇAMENTOS'!$V$6:$V$2005,"&lt;="&amp;ABS($D401)*1.02)&gt;0,"🟡 Valor próximo de um lançamento","❌ Não localizado")))</f>
        <v/>
      </c>
    </row>
    <row r="402">
      <c r="A402" s="36" t="n"/>
      <c r="B402" s="29" t="n"/>
      <c r="C402" s="14" t="n"/>
      <c r="D402" s="35" t="n"/>
      <c r="E402" s="14" t="n"/>
      <c r="F402" s="29" t="n"/>
      <c r="G402" s="14" t="n"/>
      <c r="H402" s="29" t="n"/>
      <c r="I402" s="14" t="n"/>
      <c r="J402" s="29" t="n"/>
      <c r="K402" s="18">
        <f>IF($D402="","",IF($E402="Débito",-ABS($D402),ABS($D402)))</f>
        <v/>
      </c>
      <c r="L402" s="9">
        <f>IF($A402="","",IF(COUNTIFS('LANÇAMENTOS'!$D$6:$D$2005,$A402,'LANÇAMENTOS'!$V$6:$V$2005,ABS($D402),'LANÇAMENTOS'!$L$6:$L$2005,$F402)&gt;0,"✔ Encontrado na planilha",IF(COUNTIFS('LANÇAMENTOS'!$D$6:$D$2005,$A402,'LANÇAMENTOS'!$V$6:$V$2005,"&gt;="&amp;ABS($D402)*0.98,'LANÇAMENTOS'!$V$6:$V$2005,"&lt;="&amp;ABS($D402)*1.02)&gt;0,"🟡 Valor próximo de um lançamento","❌ Não localizado")))</f>
        <v/>
      </c>
    </row>
    <row r="403">
      <c r="A403" s="36" t="n"/>
      <c r="B403" s="29" t="n"/>
      <c r="C403" s="14" t="n"/>
      <c r="D403" s="35" t="n"/>
      <c r="E403" s="14" t="n"/>
      <c r="F403" s="29" t="n"/>
      <c r="G403" s="14" t="n"/>
      <c r="H403" s="29" t="n"/>
      <c r="I403" s="14" t="n"/>
      <c r="J403" s="29" t="n"/>
      <c r="K403" s="18">
        <f>IF($D403="","",IF($E403="Débito",-ABS($D403),ABS($D403)))</f>
        <v/>
      </c>
      <c r="L403" s="9">
        <f>IF($A403="","",IF(COUNTIFS('LANÇAMENTOS'!$D$6:$D$2005,$A403,'LANÇAMENTOS'!$V$6:$V$2005,ABS($D403),'LANÇAMENTOS'!$L$6:$L$2005,$F403)&gt;0,"✔ Encontrado na planilha",IF(COUNTIFS('LANÇAMENTOS'!$D$6:$D$2005,$A403,'LANÇAMENTOS'!$V$6:$V$2005,"&gt;="&amp;ABS($D403)*0.98,'LANÇAMENTOS'!$V$6:$V$2005,"&lt;="&amp;ABS($D403)*1.02)&gt;0,"🟡 Valor próximo de um lançamento","❌ Não localizado")))</f>
        <v/>
      </c>
    </row>
    <row r="404">
      <c r="A404" s="36" t="n"/>
      <c r="B404" s="29" t="n"/>
      <c r="C404" s="14" t="n"/>
      <c r="D404" s="35" t="n"/>
      <c r="E404" s="14" t="n"/>
      <c r="F404" s="29" t="n"/>
      <c r="G404" s="14" t="n"/>
      <c r="H404" s="29" t="n"/>
      <c r="I404" s="14" t="n"/>
      <c r="J404" s="29" t="n"/>
      <c r="K404" s="18">
        <f>IF($D404="","",IF($E404="Débito",-ABS($D404),ABS($D404)))</f>
        <v/>
      </c>
      <c r="L404" s="9">
        <f>IF($A404="","",IF(COUNTIFS('LANÇAMENTOS'!$D$6:$D$2005,$A404,'LANÇAMENTOS'!$V$6:$V$2005,ABS($D404),'LANÇAMENTOS'!$L$6:$L$2005,$F404)&gt;0,"✔ Encontrado na planilha",IF(COUNTIFS('LANÇAMENTOS'!$D$6:$D$2005,$A404,'LANÇAMENTOS'!$V$6:$V$2005,"&gt;="&amp;ABS($D404)*0.98,'LANÇAMENTOS'!$V$6:$V$2005,"&lt;="&amp;ABS($D404)*1.02)&gt;0,"🟡 Valor próximo de um lançamento","❌ Não localizado")))</f>
        <v/>
      </c>
    </row>
    <row r="405">
      <c r="A405" s="36" t="n"/>
      <c r="B405" s="29" t="n"/>
      <c r="C405" s="14" t="n"/>
      <c r="D405" s="35" t="n"/>
      <c r="E405" s="14" t="n"/>
      <c r="F405" s="29" t="n"/>
      <c r="G405" s="14" t="n"/>
      <c r="H405" s="29" t="n"/>
      <c r="I405" s="14" t="n"/>
      <c r="J405" s="29" t="n"/>
      <c r="K405" s="18">
        <f>IF($D405="","",IF($E405="Débito",-ABS($D405),ABS($D405)))</f>
        <v/>
      </c>
      <c r="L405" s="9">
        <f>IF($A405="","",IF(COUNTIFS('LANÇAMENTOS'!$D$6:$D$2005,$A405,'LANÇAMENTOS'!$V$6:$V$2005,ABS($D405),'LANÇAMENTOS'!$L$6:$L$2005,$F405)&gt;0,"✔ Encontrado na planilha",IF(COUNTIFS('LANÇAMENTOS'!$D$6:$D$2005,$A405,'LANÇAMENTOS'!$V$6:$V$2005,"&gt;="&amp;ABS($D405)*0.98,'LANÇAMENTOS'!$V$6:$V$2005,"&lt;="&amp;ABS($D405)*1.02)&gt;0,"🟡 Valor próximo de um lançamento","❌ Não localizado")))</f>
        <v/>
      </c>
    </row>
    <row r="406">
      <c r="A406" s="36" t="n"/>
      <c r="B406" s="29" t="n"/>
      <c r="C406" s="14" t="n"/>
      <c r="D406" s="35" t="n"/>
      <c r="E406" s="14" t="n"/>
      <c r="F406" s="29" t="n"/>
      <c r="G406" s="14" t="n"/>
      <c r="H406" s="29" t="n"/>
      <c r="I406" s="14" t="n"/>
      <c r="J406" s="29" t="n"/>
      <c r="K406" s="18">
        <f>IF($D406="","",IF($E406="Débito",-ABS($D406),ABS($D406)))</f>
        <v/>
      </c>
      <c r="L406" s="9">
        <f>IF($A406="","",IF(COUNTIFS('LANÇAMENTOS'!$D$6:$D$2005,$A406,'LANÇAMENTOS'!$V$6:$V$2005,ABS($D406),'LANÇAMENTOS'!$L$6:$L$2005,$F406)&gt;0,"✔ Encontrado na planilha",IF(COUNTIFS('LANÇAMENTOS'!$D$6:$D$2005,$A406,'LANÇAMENTOS'!$V$6:$V$2005,"&gt;="&amp;ABS($D406)*0.98,'LANÇAMENTOS'!$V$6:$V$2005,"&lt;="&amp;ABS($D406)*1.02)&gt;0,"🟡 Valor próximo de um lançamento","❌ Não localizado")))</f>
        <v/>
      </c>
    </row>
    <row r="407">
      <c r="A407" s="36" t="n"/>
      <c r="B407" s="29" t="n"/>
      <c r="C407" s="14" t="n"/>
      <c r="D407" s="35" t="n"/>
      <c r="E407" s="14" t="n"/>
      <c r="F407" s="29" t="n"/>
      <c r="G407" s="14" t="n"/>
      <c r="H407" s="29" t="n"/>
      <c r="I407" s="14" t="n"/>
      <c r="J407" s="29" t="n"/>
      <c r="K407" s="18">
        <f>IF($D407="","",IF($E407="Débito",-ABS($D407),ABS($D407)))</f>
        <v/>
      </c>
      <c r="L407" s="9">
        <f>IF($A407="","",IF(COUNTIFS('LANÇAMENTOS'!$D$6:$D$2005,$A407,'LANÇAMENTOS'!$V$6:$V$2005,ABS($D407),'LANÇAMENTOS'!$L$6:$L$2005,$F407)&gt;0,"✔ Encontrado na planilha",IF(COUNTIFS('LANÇAMENTOS'!$D$6:$D$2005,$A407,'LANÇAMENTOS'!$V$6:$V$2005,"&gt;="&amp;ABS($D407)*0.98,'LANÇAMENTOS'!$V$6:$V$2005,"&lt;="&amp;ABS($D407)*1.02)&gt;0,"🟡 Valor próximo de um lançamento","❌ Não localizado")))</f>
        <v/>
      </c>
    </row>
    <row r="408">
      <c r="A408" s="36" t="n"/>
      <c r="B408" s="29" t="n"/>
      <c r="C408" s="14" t="n"/>
      <c r="D408" s="35" t="n"/>
      <c r="E408" s="14" t="n"/>
      <c r="F408" s="29" t="n"/>
      <c r="G408" s="14" t="n"/>
      <c r="H408" s="29" t="n"/>
      <c r="I408" s="14" t="n"/>
      <c r="J408" s="29" t="n"/>
      <c r="K408" s="18">
        <f>IF($D408="","",IF($E408="Débito",-ABS($D408),ABS($D408)))</f>
        <v/>
      </c>
      <c r="L408" s="9">
        <f>IF($A408="","",IF(COUNTIFS('LANÇAMENTOS'!$D$6:$D$2005,$A408,'LANÇAMENTOS'!$V$6:$V$2005,ABS($D408),'LANÇAMENTOS'!$L$6:$L$2005,$F408)&gt;0,"✔ Encontrado na planilha",IF(COUNTIFS('LANÇAMENTOS'!$D$6:$D$2005,$A408,'LANÇAMENTOS'!$V$6:$V$2005,"&gt;="&amp;ABS($D408)*0.98,'LANÇAMENTOS'!$V$6:$V$2005,"&lt;="&amp;ABS($D408)*1.02)&gt;0,"🟡 Valor próximo de um lançamento","❌ Não localizado")))</f>
        <v/>
      </c>
    </row>
    <row r="409">
      <c r="A409" s="36" t="n"/>
      <c r="B409" s="29" t="n"/>
      <c r="C409" s="14" t="n"/>
      <c r="D409" s="35" t="n"/>
      <c r="E409" s="14" t="n"/>
      <c r="F409" s="29" t="n"/>
      <c r="G409" s="14" t="n"/>
      <c r="H409" s="29" t="n"/>
      <c r="I409" s="14" t="n"/>
      <c r="J409" s="29" t="n"/>
      <c r="K409" s="18">
        <f>IF($D409="","",IF($E409="Débito",-ABS($D409),ABS($D409)))</f>
        <v/>
      </c>
      <c r="L409" s="9">
        <f>IF($A409="","",IF(COUNTIFS('LANÇAMENTOS'!$D$6:$D$2005,$A409,'LANÇAMENTOS'!$V$6:$V$2005,ABS($D409),'LANÇAMENTOS'!$L$6:$L$2005,$F409)&gt;0,"✔ Encontrado na planilha",IF(COUNTIFS('LANÇAMENTOS'!$D$6:$D$2005,$A409,'LANÇAMENTOS'!$V$6:$V$2005,"&gt;="&amp;ABS($D409)*0.98,'LANÇAMENTOS'!$V$6:$V$2005,"&lt;="&amp;ABS($D409)*1.02)&gt;0,"🟡 Valor próximo de um lançamento","❌ Não localizado")))</f>
        <v/>
      </c>
    </row>
    <row r="410">
      <c r="A410" s="36" t="n"/>
      <c r="B410" s="29" t="n"/>
      <c r="C410" s="14" t="n"/>
      <c r="D410" s="35" t="n"/>
      <c r="E410" s="14" t="n"/>
      <c r="F410" s="29" t="n"/>
      <c r="G410" s="14" t="n"/>
      <c r="H410" s="29" t="n"/>
      <c r="I410" s="14" t="n"/>
      <c r="J410" s="29" t="n"/>
      <c r="K410" s="18">
        <f>IF($D410="","",IF($E410="Débito",-ABS($D410),ABS($D410)))</f>
        <v/>
      </c>
      <c r="L410" s="9">
        <f>IF($A410="","",IF(COUNTIFS('LANÇAMENTOS'!$D$6:$D$2005,$A410,'LANÇAMENTOS'!$V$6:$V$2005,ABS($D410),'LANÇAMENTOS'!$L$6:$L$2005,$F410)&gt;0,"✔ Encontrado na planilha",IF(COUNTIFS('LANÇAMENTOS'!$D$6:$D$2005,$A410,'LANÇAMENTOS'!$V$6:$V$2005,"&gt;="&amp;ABS($D410)*0.98,'LANÇAMENTOS'!$V$6:$V$2005,"&lt;="&amp;ABS($D410)*1.02)&gt;0,"🟡 Valor próximo de um lançamento","❌ Não localizado")))</f>
        <v/>
      </c>
    </row>
    <row r="411">
      <c r="A411" s="36" t="n"/>
      <c r="B411" s="29" t="n"/>
      <c r="C411" s="14" t="n"/>
      <c r="D411" s="35" t="n"/>
      <c r="E411" s="14" t="n"/>
      <c r="F411" s="29" t="n"/>
      <c r="G411" s="14" t="n"/>
      <c r="H411" s="29" t="n"/>
      <c r="I411" s="14" t="n"/>
      <c r="J411" s="29" t="n"/>
      <c r="K411" s="18">
        <f>IF($D411="","",IF($E411="Débito",-ABS($D411),ABS($D411)))</f>
        <v/>
      </c>
      <c r="L411" s="9">
        <f>IF($A411="","",IF(COUNTIFS('LANÇAMENTOS'!$D$6:$D$2005,$A411,'LANÇAMENTOS'!$V$6:$V$2005,ABS($D411),'LANÇAMENTOS'!$L$6:$L$2005,$F411)&gt;0,"✔ Encontrado na planilha",IF(COUNTIFS('LANÇAMENTOS'!$D$6:$D$2005,$A411,'LANÇAMENTOS'!$V$6:$V$2005,"&gt;="&amp;ABS($D411)*0.98,'LANÇAMENTOS'!$V$6:$V$2005,"&lt;="&amp;ABS($D411)*1.02)&gt;0,"🟡 Valor próximo de um lançamento","❌ Não localizado")))</f>
        <v/>
      </c>
    </row>
    <row r="412">
      <c r="A412" s="36" t="n"/>
      <c r="B412" s="29" t="n"/>
      <c r="C412" s="14" t="n"/>
      <c r="D412" s="35" t="n"/>
      <c r="E412" s="14" t="n"/>
      <c r="F412" s="29" t="n"/>
      <c r="G412" s="14" t="n"/>
      <c r="H412" s="29" t="n"/>
      <c r="I412" s="14" t="n"/>
      <c r="J412" s="29" t="n"/>
      <c r="K412" s="18">
        <f>IF($D412="","",IF($E412="Débito",-ABS($D412),ABS($D412)))</f>
        <v/>
      </c>
      <c r="L412" s="9">
        <f>IF($A412="","",IF(COUNTIFS('LANÇAMENTOS'!$D$6:$D$2005,$A412,'LANÇAMENTOS'!$V$6:$V$2005,ABS($D412),'LANÇAMENTOS'!$L$6:$L$2005,$F412)&gt;0,"✔ Encontrado na planilha",IF(COUNTIFS('LANÇAMENTOS'!$D$6:$D$2005,$A412,'LANÇAMENTOS'!$V$6:$V$2005,"&gt;="&amp;ABS($D412)*0.98,'LANÇAMENTOS'!$V$6:$V$2005,"&lt;="&amp;ABS($D412)*1.02)&gt;0,"🟡 Valor próximo de um lançamento","❌ Não localizado")))</f>
        <v/>
      </c>
    </row>
    <row r="413">
      <c r="A413" s="36" t="n"/>
      <c r="B413" s="29" t="n"/>
      <c r="C413" s="14" t="n"/>
      <c r="D413" s="35" t="n"/>
      <c r="E413" s="14" t="n"/>
      <c r="F413" s="29" t="n"/>
      <c r="G413" s="14" t="n"/>
      <c r="H413" s="29" t="n"/>
      <c r="I413" s="14" t="n"/>
      <c r="J413" s="29" t="n"/>
      <c r="K413" s="18">
        <f>IF($D413="","",IF($E413="Débito",-ABS($D413),ABS($D413)))</f>
        <v/>
      </c>
      <c r="L413" s="9">
        <f>IF($A413="","",IF(COUNTIFS('LANÇAMENTOS'!$D$6:$D$2005,$A413,'LANÇAMENTOS'!$V$6:$V$2005,ABS($D413),'LANÇAMENTOS'!$L$6:$L$2005,$F413)&gt;0,"✔ Encontrado na planilha",IF(COUNTIFS('LANÇAMENTOS'!$D$6:$D$2005,$A413,'LANÇAMENTOS'!$V$6:$V$2005,"&gt;="&amp;ABS($D413)*0.98,'LANÇAMENTOS'!$V$6:$V$2005,"&lt;="&amp;ABS($D413)*1.02)&gt;0,"🟡 Valor próximo de um lançamento","❌ Não localizado")))</f>
        <v/>
      </c>
    </row>
    <row r="414">
      <c r="A414" s="36" t="n"/>
      <c r="B414" s="29" t="n"/>
      <c r="C414" s="14" t="n"/>
      <c r="D414" s="35" t="n"/>
      <c r="E414" s="14" t="n"/>
      <c r="F414" s="29" t="n"/>
      <c r="G414" s="14" t="n"/>
      <c r="H414" s="29" t="n"/>
      <c r="I414" s="14" t="n"/>
      <c r="J414" s="29" t="n"/>
      <c r="K414" s="18">
        <f>IF($D414="","",IF($E414="Débito",-ABS($D414),ABS($D414)))</f>
        <v/>
      </c>
      <c r="L414" s="9">
        <f>IF($A414="","",IF(COUNTIFS('LANÇAMENTOS'!$D$6:$D$2005,$A414,'LANÇAMENTOS'!$V$6:$V$2005,ABS($D414),'LANÇAMENTOS'!$L$6:$L$2005,$F414)&gt;0,"✔ Encontrado na planilha",IF(COUNTIFS('LANÇAMENTOS'!$D$6:$D$2005,$A414,'LANÇAMENTOS'!$V$6:$V$2005,"&gt;="&amp;ABS($D414)*0.98,'LANÇAMENTOS'!$V$6:$V$2005,"&lt;="&amp;ABS($D414)*1.02)&gt;0,"🟡 Valor próximo de um lançamento","❌ Não localizado")))</f>
        <v/>
      </c>
    </row>
    <row r="415">
      <c r="A415" s="36" t="n"/>
      <c r="B415" s="29" t="n"/>
      <c r="C415" s="14" t="n"/>
      <c r="D415" s="35" t="n"/>
      <c r="E415" s="14" t="n"/>
      <c r="F415" s="29" t="n"/>
      <c r="G415" s="14" t="n"/>
      <c r="H415" s="29" t="n"/>
      <c r="I415" s="14" t="n"/>
      <c r="J415" s="29" t="n"/>
      <c r="K415" s="18">
        <f>IF($D415="","",IF($E415="Débito",-ABS($D415),ABS($D415)))</f>
        <v/>
      </c>
      <c r="L415" s="9">
        <f>IF($A415="","",IF(COUNTIFS('LANÇAMENTOS'!$D$6:$D$2005,$A415,'LANÇAMENTOS'!$V$6:$V$2005,ABS($D415),'LANÇAMENTOS'!$L$6:$L$2005,$F415)&gt;0,"✔ Encontrado na planilha",IF(COUNTIFS('LANÇAMENTOS'!$D$6:$D$2005,$A415,'LANÇAMENTOS'!$V$6:$V$2005,"&gt;="&amp;ABS($D415)*0.98,'LANÇAMENTOS'!$V$6:$V$2005,"&lt;="&amp;ABS($D415)*1.02)&gt;0,"🟡 Valor próximo de um lançamento","❌ Não localizado")))</f>
        <v/>
      </c>
    </row>
    <row r="416">
      <c r="A416" s="36" t="n"/>
      <c r="B416" s="29" t="n"/>
      <c r="C416" s="14" t="n"/>
      <c r="D416" s="35" t="n"/>
      <c r="E416" s="14" t="n"/>
      <c r="F416" s="29" t="n"/>
      <c r="G416" s="14" t="n"/>
      <c r="H416" s="29" t="n"/>
      <c r="I416" s="14" t="n"/>
      <c r="J416" s="29" t="n"/>
      <c r="K416" s="18">
        <f>IF($D416="","",IF($E416="Débito",-ABS($D416),ABS($D416)))</f>
        <v/>
      </c>
      <c r="L416" s="9">
        <f>IF($A416="","",IF(COUNTIFS('LANÇAMENTOS'!$D$6:$D$2005,$A416,'LANÇAMENTOS'!$V$6:$V$2005,ABS($D416),'LANÇAMENTOS'!$L$6:$L$2005,$F416)&gt;0,"✔ Encontrado na planilha",IF(COUNTIFS('LANÇAMENTOS'!$D$6:$D$2005,$A416,'LANÇAMENTOS'!$V$6:$V$2005,"&gt;="&amp;ABS($D416)*0.98,'LANÇAMENTOS'!$V$6:$V$2005,"&lt;="&amp;ABS($D416)*1.02)&gt;0,"🟡 Valor próximo de um lançamento","❌ Não localizado")))</f>
        <v/>
      </c>
    </row>
    <row r="417">
      <c r="A417" s="36" t="n"/>
      <c r="B417" s="29" t="n"/>
      <c r="C417" s="14" t="n"/>
      <c r="D417" s="35" t="n"/>
      <c r="E417" s="14" t="n"/>
      <c r="F417" s="29" t="n"/>
      <c r="G417" s="14" t="n"/>
      <c r="H417" s="29" t="n"/>
      <c r="I417" s="14" t="n"/>
      <c r="J417" s="29" t="n"/>
      <c r="K417" s="18">
        <f>IF($D417="","",IF($E417="Débito",-ABS($D417),ABS($D417)))</f>
        <v/>
      </c>
      <c r="L417" s="9">
        <f>IF($A417="","",IF(COUNTIFS('LANÇAMENTOS'!$D$6:$D$2005,$A417,'LANÇAMENTOS'!$V$6:$V$2005,ABS($D417),'LANÇAMENTOS'!$L$6:$L$2005,$F417)&gt;0,"✔ Encontrado na planilha",IF(COUNTIFS('LANÇAMENTOS'!$D$6:$D$2005,$A417,'LANÇAMENTOS'!$V$6:$V$2005,"&gt;="&amp;ABS($D417)*0.98,'LANÇAMENTOS'!$V$6:$V$2005,"&lt;="&amp;ABS($D417)*1.02)&gt;0,"🟡 Valor próximo de um lançamento","❌ Não localizado")))</f>
        <v/>
      </c>
    </row>
    <row r="418">
      <c r="A418" s="36" t="n"/>
      <c r="B418" s="29" t="n"/>
      <c r="C418" s="14" t="n"/>
      <c r="D418" s="35" t="n"/>
      <c r="E418" s="14" t="n"/>
      <c r="F418" s="29" t="n"/>
      <c r="G418" s="14" t="n"/>
      <c r="H418" s="29" t="n"/>
      <c r="I418" s="14" t="n"/>
      <c r="J418" s="29" t="n"/>
      <c r="K418" s="18">
        <f>IF($D418="","",IF($E418="Débito",-ABS($D418),ABS($D418)))</f>
        <v/>
      </c>
      <c r="L418" s="9">
        <f>IF($A418="","",IF(COUNTIFS('LANÇAMENTOS'!$D$6:$D$2005,$A418,'LANÇAMENTOS'!$V$6:$V$2005,ABS($D418),'LANÇAMENTOS'!$L$6:$L$2005,$F418)&gt;0,"✔ Encontrado na planilha",IF(COUNTIFS('LANÇAMENTOS'!$D$6:$D$2005,$A418,'LANÇAMENTOS'!$V$6:$V$2005,"&gt;="&amp;ABS($D418)*0.98,'LANÇAMENTOS'!$V$6:$V$2005,"&lt;="&amp;ABS($D418)*1.02)&gt;0,"🟡 Valor próximo de um lançamento","❌ Não localizado")))</f>
        <v/>
      </c>
    </row>
    <row r="419">
      <c r="A419" s="36" t="n"/>
      <c r="B419" s="29" t="n"/>
      <c r="C419" s="14" t="n"/>
      <c r="D419" s="35" t="n"/>
      <c r="E419" s="14" t="n"/>
      <c r="F419" s="29" t="n"/>
      <c r="G419" s="14" t="n"/>
      <c r="H419" s="29" t="n"/>
      <c r="I419" s="14" t="n"/>
      <c r="J419" s="29" t="n"/>
      <c r="K419" s="18">
        <f>IF($D419="","",IF($E419="Débito",-ABS($D419),ABS($D419)))</f>
        <v/>
      </c>
      <c r="L419" s="9">
        <f>IF($A419="","",IF(COUNTIFS('LANÇAMENTOS'!$D$6:$D$2005,$A419,'LANÇAMENTOS'!$V$6:$V$2005,ABS($D419),'LANÇAMENTOS'!$L$6:$L$2005,$F419)&gt;0,"✔ Encontrado na planilha",IF(COUNTIFS('LANÇAMENTOS'!$D$6:$D$2005,$A419,'LANÇAMENTOS'!$V$6:$V$2005,"&gt;="&amp;ABS($D419)*0.98,'LANÇAMENTOS'!$V$6:$V$2005,"&lt;="&amp;ABS($D419)*1.02)&gt;0,"🟡 Valor próximo de um lançamento","❌ Não localizado")))</f>
        <v/>
      </c>
    </row>
    <row r="420">
      <c r="A420" s="36" t="n"/>
      <c r="B420" s="29" t="n"/>
      <c r="C420" s="14" t="n"/>
      <c r="D420" s="35" t="n"/>
      <c r="E420" s="14" t="n"/>
      <c r="F420" s="29" t="n"/>
      <c r="G420" s="14" t="n"/>
      <c r="H420" s="29" t="n"/>
      <c r="I420" s="14" t="n"/>
      <c r="J420" s="29" t="n"/>
      <c r="K420" s="18">
        <f>IF($D420="","",IF($E420="Débito",-ABS($D420),ABS($D420)))</f>
        <v/>
      </c>
      <c r="L420" s="9">
        <f>IF($A420="","",IF(COUNTIFS('LANÇAMENTOS'!$D$6:$D$2005,$A420,'LANÇAMENTOS'!$V$6:$V$2005,ABS($D420),'LANÇAMENTOS'!$L$6:$L$2005,$F420)&gt;0,"✔ Encontrado na planilha",IF(COUNTIFS('LANÇAMENTOS'!$D$6:$D$2005,$A420,'LANÇAMENTOS'!$V$6:$V$2005,"&gt;="&amp;ABS($D420)*0.98,'LANÇAMENTOS'!$V$6:$V$2005,"&lt;="&amp;ABS($D420)*1.02)&gt;0,"🟡 Valor próximo de um lançamento","❌ Não localizado")))</f>
        <v/>
      </c>
    </row>
    <row r="421">
      <c r="A421" s="36" t="n"/>
      <c r="B421" s="29" t="n"/>
      <c r="C421" s="14" t="n"/>
      <c r="D421" s="35" t="n"/>
      <c r="E421" s="14" t="n"/>
      <c r="F421" s="29" t="n"/>
      <c r="G421" s="14" t="n"/>
      <c r="H421" s="29" t="n"/>
      <c r="I421" s="14" t="n"/>
      <c r="J421" s="29" t="n"/>
      <c r="K421" s="18">
        <f>IF($D421="","",IF($E421="Débito",-ABS($D421),ABS($D421)))</f>
        <v/>
      </c>
      <c r="L421" s="9">
        <f>IF($A421="","",IF(COUNTIFS('LANÇAMENTOS'!$D$6:$D$2005,$A421,'LANÇAMENTOS'!$V$6:$V$2005,ABS($D421),'LANÇAMENTOS'!$L$6:$L$2005,$F421)&gt;0,"✔ Encontrado na planilha",IF(COUNTIFS('LANÇAMENTOS'!$D$6:$D$2005,$A421,'LANÇAMENTOS'!$V$6:$V$2005,"&gt;="&amp;ABS($D421)*0.98,'LANÇAMENTOS'!$V$6:$V$2005,"&lt;="&amp;ABS($D421)*1.02)&gt;0,"🟡 Valor próximo de um lançamento","❌ Não localizado")))</f>
        <v/>
      </c>
    </row>
    <row r="422">
      <c r="A422" s="36" t="n"/>
      <c r="B422" s="29" t="n"/>
      <c r="C422" s="14" t="n"/>
      <c r="D422" s="35" t="n"/>
      <c r="E422" s="14" t="n"/>
      <c r="F422" s="29" t="n"/>
      <c r="G422" s="14" t="n"/>
      <c r="H422" s="29" t="n"/>
      <c r="I422" s="14" t="n"/>
      <c r="J422" s="29" t="n"/>
      <c r="K422" s="18">
        <f>IF($D422="","",IF($E422="Débito",-ABS($D422),ABS($D422)))</f>
        <v/>
      </c>
      <c r="L422" s="9">
        <f>IF($A422="","",IF(COUNTIFS('LANÇAMENTOS'!$D$6:$D$2005,$A422,'LANÇAMENTOS'!$V$6:$V$2005,ABS($D422),'LANÇAMENTOS'!$L$6:$L$2005,$F422)&gt;0,"✔ Encontrado na planilha",IF(COUNTIFS('LANÇAMENTOS'!$D$6:$D$2005,$A422,'LANÇAMENTOS'!$V$6:$V$2005,"&gt;="&amp;ABS($D422)*0.98,'LANÇAMENTOS'!$V$6:$V$2005,"&lt;="&amp;ABS($D422)*1.02)&gt;0,"🟡 Valor próximo de um lançamento","❌ Não localizado")))</f>
        <v/>
      </c>
    </row>
    <row r="423">
      <c r="A423" s="36" t="n"/>
      <c r="B423" s="29" t="n"/>
      <c r="C423" s="14" t="n"/>
      <c r="D423" s="35" t="n"/>
      <c r="E423" s="14" t="n"/>
      <c r="F423" s="29" t="n"/>
      <c r="G423" s="14" t="n"/>
      <c r="H423" s="29" t="n"/>
      <c r="I423" s="14" t="n"/>
      <c r="J423" s="29" t="n"/>
      <c r="K423" s="18">
        <f>IF($D423="","",IF($E423="Débito",-ABS($D423),ABS($D423)))</f>
        <v/>
      </c>
      <c r="L423" s="9">
        <f>IF($A423="","",IF(COUNTIFS('LANÇAMENTOS'!$D$6:$D$2005,$A423,'LANÇAMENTOS'!$V$6:$V$2005,ABS($D423),'LANÇAMENTOS'!$L$6:$L$2005,$F423)&gt;0,"✔ Encontrado na planilha",IF(COUNTIFS('LANÇAMENTOS'!$D$6:$D$2005,$A423,'LANÇAMENTOS'!$V$6:$V$2005,"&gt;="&amp;ABS($D423)*0.98,'LANÇAMENTOS'!$V$6:$V$2005,"&lt;="&amp;ABS($D423)*1.02)&gt;0,"🟡 Valor próximo de um lançamento","❌ Não localizado")))</f>
        <v/>
      </c>
    </row>
    <row r="424">
      <c r="A424" s="36" t="n"/>
      <c r="B424" s="29" t="n"/>
      <c r="C424" s="14" t="n"/>
      <c r="D424" s="35" t="n"/>
      <c r="E424" s="14" t="n"/>
      <c r="F424" s="29" t="n"/>
      <c r="G424" s="14" t="n"/>
      <c r="H424" s="29" t="n"/>
      <c r="I424" s="14" t="n"/>
      <c r="J424" s="29" t="n"/>
      <c r="K424" s="18">
        <f>IF($D424="","",IF($E424="Débito",-ABS($D424),ABS($D424)))</f>
        <v/>
      </c>
      <c r="L424" s="9">
        <f>IF($A424="","",IF(COUNTIFS('LANÇAMENTOS'!$D$6:$D$2005,$A424,'LANÇAMENTOS'!$V$6:$V$2005,ABS($D424),'LANÇAMENTOS'!$L$6:$L$2005,$F424)&gt;0,"✔ Encontrado na planilha",IF(COUNTIFS('LANÇAMENTOS'!$D$6:$D$2005,$A424,'LANÇAMENTOS'!$V$6:$V$2005,"&gt;="&amp;ABS($D424)*0.98,'LANÇAMENTOS'!$V$6:$V$2005,"&lt;="&amp;ABS($D424)*1.02)&gt;0,"🟡 Valor próximo de um lançamento","❌ Não localizado")))</f>
        <v/>
      </c>
    </row>
    <row r="425">
      <c r="A425" s="36" t="n"/>
      <c r="B425" s="29" t="n"/>
      <c r="C425" s="14" t="n"/>
      <c r="D425" s="35" t="n"/>
      <c r="E425" s="14" t="n"/>
      <c r="F425" s="29" t="n"/>
      <c r="G425" s="14" t="n"/>
      <c r="H425" s="29" t="n"/>
      <c r="I425" s="14" t="n"/>
      <c r="J425" s="29" t="n"/>
      <c r="K425" s="18">
        <f>IF($D425="","",IF($E425="Débito",-ABS($D425),ABS($D425)))</f>
        <v/>
      </c>
      <c r="L425" s="9">
        <f>IF($A425="","",IF(COUNTIFS('LANÇAMENTOS'!$D$6:$D$2005,$A425,'LANÇAMENTOS'!$V$6:$V$2005,ABS($D425),'LANÇAMENTOS'!$L$6:$L$2005,$F425)&gt;0,"✔ Encontrado na planilha",IF(COUNTIFS('LANÇAMENTOS'!$D$6:$D$2005,$A425,'LANÇAMENTOS'!$V$6:$V$2005,"&gt;="&amp;ABS($D425)*0.98,'LANÇAMENTOS'!$V$6:$V$2005,"&lt;="&amp;ABS($D425)*1.02)&gt;0,"🟡 Valor próximo de um lançamento","❌ Não localizado")))</f>
        <v/>
      </c>
    </row>
    <row r="426">
      <c r="A426" s="36" t="n"/>
      <c r="B426" s="29" t="n"/>
      <c r="C426" s="14" t="n"/>
      <c r="D426" s="35" t="n"/>
      <c r="E426" s="14" t="n"/>
      <c r="F426" s="29" t="n"/>
      <c r="G426" s="14" t="n"/>
      <c r="H426" s="29" t="n"/>
      <c r="I426" s="14" t="n"/>
      <c r="J426" s="29" t="n"/>
      <c r="K426" s="18">
        <f>IF($D426="","",IF($E426="Débito",-ABS($D426),ABS($D426)))</f>
        <v/>
      </c>
      <c r="L426" s="9">
        <f>IF($A426="","",IF(COUNTIFS('LANÇAMENTOS'!$D$6:$D$2005,$A426,'LANÇAMENTOS'!$V$6:$V$2005,ABS($D426),'LANÇAMENTOS'!$L$6:$L$2005,$F426)&gt;0,"✔ Encontrado na planilha",IF(COUNTIFS('LANÇAMENTOS'!$D$6:$D$2005,$A426,'LANÇAMENTOS'!$V$6:$V$2005,"&gt;="&amp;ABS($D426)*0.98,'LANÇAMENTOS'!$V$6:$V$2005,"&lt;="&amp;ABS($D426)*1.02)&gt;0,"🟡 Valor próximo de um lançamento","❌ Não localizado")))</f>
        <v/>
      </c>
    </row>
    <row r="427">
      <c r="A427" s="36" t="n"/>
      <c r="B427" s="29" t="n"/>
      <c r="C427" s="14" t="n"/>
      <c r="D427" s="35" t="n"/>
      <c r="E427" s="14" t="n"/>
      <c r="F427" s="29" t="n"/>
      <c r="G427" s="14" t="n"/>
      <c r="H427" s="29" t="n"/>
      <c r="I427" s="14" t="n"/>
      <c r="J427" s="29" t="n"/>
      <c r="K427" s="18">
        <f>IF($D427="","",IF($E427="Débito",-ABS($D427),ABS($D427)))</f>
        <v/>
      </c>
      <c r="L427" s="9">
        <f>IF($A427="","",IF(COUNTIFS('LANÇAMENTOS'!$D$6:$D$2005,$A427,'LANÇAMENTOS'!$V$6:$V$2005,ABS($D427),'LANÇAMENTOS'!$L$6:$L$2005,$F427)&gt;0,"✔ Encontrado na planilha",IF(COUNTIFS('LANÇAMENTOS'!$D$6:$D$2005,$A427,'LANÇAMENTOS'!$V$6:$V$2005,"&gt;="&amp;ABS($D427)*0.98,'LANÇAMENTOS'!$V$6:$V$2005,"&lt;="&amp;ABS($D427)*1.02)&gt;0,"🟡 Valor próximo de um lançamento","❌ Não localizado")))</f>
        <v/>
      </c>
    </row>
    <row r="428">
      <c r="A428" s="36" t="n"/>
      <c r="B428" s="29" t="n"/>
      <c r="C428" s="14" t="n"/>
      <c r="D428" s="35" t="n"/>
      <c r="E428" s="14" t="n"/>
      <c r="F428" s="29" t="n"/>
      <c r="G428" s="14" t="n"/>
      <c r="H428" s="29" t="n"/>
      <c r="I428" s="14" t="n"/>
      <c r="J428" s="29" t="n"/>
      <c r="K428" s="18">
        <f>IF($D428="","",IF($E428="Débito",-ABS($D428),ABS($D428)))</f>
        <v/>
      </c>
      <c r="L428" s="9">
        <f>IF($A428="","",IF(COUNTIFS('LANÇAMENTOS'!$D$6:$D$2005,$A428,'LANÇAMENTOS'!$V$6:$V$2005,ABS($D428),'LANÇAMENTOS'!$L$6:$L$2005,$F428)&gt;0,"✔ Encontrado na planilha",IF(COUNTIFS('LANÇAMENTOS'!$D$6:$D$2005,$A428,'LANÇAMENTOS'!$V$6:$V$2005,"&gt;="&amp;ABS($D428)*0.98,'LANÇAMENTOS'!$V$6:$V$2005,"&lt;="&amp;ABS($D428)*1.02)&gt;0,"🟡 Valor próximo de um lançamento","❌ Não localizado")))</f>
        <v/>
      </c>
    </row>
    <row r="429">
      <c r="A429" s="36" t="n"/>
      <c r="B429" s="29" t="n"/>
      <c r="C429" s="14" t="n"/>
      <c r="D429" s="35" t="n"/>
      <c r="E429" s="14" t="n"/>
      <c r="F429" s="29" t="n"/>
      <c r="G429" s="14" t="n"/>
      <c r="H429" s="29" t="n"/>
      <c r="I429" s="14" t="n"/>
      <c r="J429" s="29" t="n"/>
      <c r="K429" s="18">
        <f>IF($D429="","",IF($E429="Débito",-ABS($D429),ABS($D429)))</f>
        <v/>
      </c>
      <c r="L429" s="9">
        <f>IF($A429="","",IF(COUNTIFS('LANÇAMENTOS'!$D$6:$D$2005,$A429,'LANÇAMENTOS'!$V$6:$V$2005,ABS($D429),'LANÇAMENTOS'!$L$6:$L$2005,$F429)&gt;0,"✔ Encontrado na planilha",IF(COUNTIFS('LANÇAMENTOS'!$D$6:$D$2005,$A429,'LANÇAMENTOS'!$V$6:$V$2005,"&gt;="&amp;ABS($D429)*0.98,'LANÇAMENTOS'!$V$6:$V$2005,"&lt;="&amp;ABS($D429)*1.02)&gt;0,"🟡 Valor próximo de um lançamento","❌ Não localizado")))</f>
        <v/>
      </c>
    </row>
    <row r="430">
      <c r="A430" s="36" t="n"/>
      <c r="B430" s="29" t="n"/>
      <c r="C430" s="14" t="n"/>
      <c r="D430" s="35" t="n"/>
      <c r="E430" s="14" t="n"/>
      <c r="F430" s="29" t="n"/>
      <c r="G430" s="14" t="n"/>
      <c r="H430" s="29" t="n"/>
      <c r="I430" s="14" t="n"/>
      <c r="J430" s="29" t="n"/>
      <c r="K430" s="18">
        <f>IF($D430="","",IF($E430="Débito",-ABS($D430),ABS($D430)))</f>
        <v/>
      </c>
      <c r="L430" s="9">
        <f>IF($A430="","",IF(COUNTIFS('LANÇAMENTOS'!$D$6:$D$2005,$A430,'LANÇAMENTOS'!$V$6:$V$2005,ABS($D430),'LANÇAMENTOS'!$L$6:$L$2005,$F430)&gt;0,"✔ Encontrado na planilha",IF(COUNTIFS('LANÇAMENTOS'!$D$6:$D$2005,$A430,'LANÇAMENTOS'!$V$6:$V$2005,"&gt;="&amp;ABS($D430)*0.98,'LANÇAMENTOS'!$V$6:$V$2005,"&lt;="&amp;ABS($D430)*1.02)&gt;0,"🟡 Valor próximo de um lançamento","❌ Não localizado")))</f>
        <v/>
      </c>
    </row>
    <row r="431">
      <c r="A431" s="36" t="n"/>
      <c r="B431" s="29" t="n"/>
      <c r="C431" s="14" t="n"/>
      <c r="D431" s="35" t="n"/>
      <c r="E431" s="14" t="n"/>
      <c r="F431" s="29" t="n"/>
      <c r="G431" s="14" t="n"/>
      <c r="H431" s="29" t="n"/>
      <c r="I431" s="14" t="n"/>
      <c r="J431" s="29" t="n"/>
      <c r="K431" s="18">
        <f>IF($D431="","",IF($E431="Débito",-ABS($D431),ABS($D431)))</f>
        <v/>
      </c>
      <c r="L431" s="9">
        <f>IF($A431="","",IF(COUNTIFS('LANÇAMENTOS'!$D$6:$D$2005,$A431,'LANÇAMENTOS'!$V$6:$V$2005,ABS($D431),'LANÇAMENTOS'!$L$6:$L$2005,$F431)&gt;0,"✔ Encontrado na planilha",IF(COUNTIFS('LANÇAMENTOS'!$D$6:$D$2005,$A431,'LANÇAMENTOS'!$V$6:$V$2005,"&gt;="&amp;ABS($D431)*0.98,'LANÇAMENTOS'!$V$6:$V$2005,"&lt;="&amp;ABS($D431)*1.02)&gt;0,"🟡 Valor próximo de um lançamento","❌ Não localizado")))</f>
        <v/>
      </c>
    </row>
    <row r="432">
      <c r="A432" s="36" t="n"/>
      <c r="B432" s="29" t="n"/>
      <c r="C432" s="14" t="n"/>
      <c r="D432" s="35" t="n"/>
      <c r="E432" s="14" t="n"/>
      <c r="F432" s="29" t="n"/>
      <c r="G432" s="14" t="n"/>
      <c r="H432" s="29" t="n"/>
      <c r="I432" s="14" t="n"/>
      <c r="J432" s="29" t="n"/>
      <c r="K432" s="18">
        <f>IF($D432="","",IF($E432="Débito",-ABS($D432),ABS($D432)))</f>
        <v/>
      </c>
      <c r="L432" s="9">
        <f>IF($A432="","",IF(COUNTIFS('LANÇAMENTOS'!$D$6:$D$2005,$A432,'LANÇAMENTOS'!$V$6:$V$2005,ABS($D432),'LANÇAMENTOS'!$L$6:$L$2005,$F432)&gt;0,"✔ Encontrado na planilha",IF(COUNTIFS('LANÇAMENTOS'!$D$6:$D$2005,$A432,'LANÇAMENTOS'!$V$6:$V$2005,"&gt;="&amp;ABS($D432)*0.98,'LANÇAMENTOS'!$V$6:$V$2005,"&lt;="&amp;ABS($D432)*1.02)&gt;0,"🟡 Valor próximo de um lançamento","❌ Não localizado")))</f>
        <v/>
      </c>
    </row>
    <row r="433">
      <c r="A433" s="36" t="n"/>
      <c r="B433" s="29" t="n"/>
      <c r="C433" s="14" t="n"/>
      <c r="D433" s="35" t="n"/>
      <c r="E433" s="14" t="n"/>
      <c r="F433" s="29" t="n"/>
      <c r="G433" s="14" t="n"/>
      <c r="H433" s="29" t="n"/>
      <c r="I433" s="14" t="n"/>
      <c r="J433" s="29" t="n"/>
      <c r="K433" s="18">
        <f>IF($D433="","",IF($E433="Débito",-ABS($D433),ABS($D433)))</f>
        <v/>
      </c>
      <c r="L433" s="9">
        <f>IF($A433="","",IF(COUNTIFS('LANÇAMENTOS'!$D$6:$D$2005,$A433,'LANÇAMENTOS'!$V$6:$V$2005,ABS($D433),'LANÇAMENTOS'!$L$6:$L$2005,$F433)&gt;0,"✔ Encontrado na planilha",IF(COUNTIFS('LANÇAMENTOS'!$D$6:$D$2005,$A433,'LANÇAMENTOS'!$V$6:$V$2005,"&gt;="&amp;ABS($D433)*0.98,'LANÇAMENTOS'!$V$6:$V$2005,"&lt;="&amp;ABS($D433)*1.02)&gt;0,"🟡 Valor próximo de um lançamento","❌ Não localizado")))</f>
        <v/>
      </c>
    </row>
    <row r="434">
      <c r="A434" s="36" t="n"/>
      <c r="B434" s="29" t="n"/>
      <c r="C434" s="14" t="n"/>
      <c r="D434" s="35" t="n"/>
      <c r="E434" s="14" t="n"/>
      <c r="F434" s="29" t="n"/>
      <c r="G434" s="14" t="n"/>
      <c r="H434" s="29" t="n"/>
      <c r="I434" s="14" t="n"/>
      <c r="J434" s="29" t="n"/>
      <c r="K434" s="18">
        <f>IF($D434="","",IF($E434="Débito",-ABS($D434),ABS($D434)))</f>
        <v/>
      </c>
      <c r="L434" s="9">
        <f>IF($A434="","",IF(COUNTIFS('LANÇAMENTOS'!$D$6:$D$2005,$A434,'LANÇAMENTOS'!$V$6:$V$2005,ABS($D434),'LANÇAMENTOS'!$L$6:$L$2005,$F434)&gt;0,"✔ Encontrado na planilha",IF(COUNTIFS('LANÇAMENTOS'!$D$6:$D$2005,$A434,'LANÇAMENTOS'!$V$6:$V$2005,"&gt;="&amp;ABS($D434)*0.98,'LANÇAMENTOS'!$V$6:$V$2005,"&lt;="&amp;ABS($D434)*1.02)&gt;0,"🟡 Valor próximo de um lançamento","❌ Não localizado")))</f>
        <v/>
      </c>
    </row>
    <row r="435">
      <c r="A435" s="36" t="n"/>
      <c r="B435" s="29" t="n"/>
      <c r="C435" s="14" t="n"/>
      <c r="D435" s="35" t="n"/>
      <c r="E435" s="14" t="n"/>
      <c r="F435" s="29" t="n"/>
      <c r="G435" s="14" t="n"/>
      <c r="H435" s="29" t="n"/>
      <c r="I435" s="14" t="n"/>
      <c r="J435" s="29" t="n"/>
      <c r="K435" s="18">
        <f>IF($D435="","",IF($E435="Débito",-ABS($D435),ABS($D435)))</f>
        <v/>
      </c>
      <c r="L435" s="9">
        <f>IF($A435="","",IF(COUNTIFS('LANÇAMENTOS'!$D$6:$D$2005,$A435,'LANÇAMENTOS'!$V$6:$V$2005,ABS($D435),'LANÇAMENTOS'!$L$6:$L$2005,$F435)&gt;0,"✔ Encontrado na planilha",IF(COUNTIFS('LANÇAMENTOS'!$D$6:$D$2005,$A435,'LANÇAMENTOS'!$V$6:$V$2005,"&gt;="&amp;ABS($D435)*0.98,'LANÇAMENTOS'!$V$6:$V$2005,"&lt;="&amp;ABS($D435)*1.02)&gt;0,"🟡 Valor próximo de um lançamento","❌ Não localizado")))</f>
        <v/>
      </c>
    </row>
    <row r="436">
      <c r="A436" s="36" t="n"/>
      <c r="B436" s="29" t="n"/>
      <c r="C436" s="14" t="n"/>
      <c r="D436" s="35" t="n"/>
      <c r="E436" s="14" t="n"/>
      <c r="F436" s="29" t="n"/>
      <c r="G436" s="14" t="n"/>
      <c r="H436" s="29" t="n"/>
      <c r="I436" s="14" t="n"/>
      <c r="J436" s="29" t="n"/>
      <c r="K436" s="18">
        <f>IF($D436="","",IF($E436="Débito",-ABS($D436),ABS($D436)))</f>
        <v/>
      </c>
      <c r="L436" s="9">
        <f>IF($A436="","",IF(COUNTIFS('LANÇAMENTOS'!$D$6:$D$2005,$A436,'LANÇAMENTOS'!$V$6:$V$2005,ABS($D436),'LANÇAMENTOS'!$L$6:$L$2005,$F436)&gt;0,"✔ Encontrado na planilha",IF(COUNTIFS('LANÇAMENTOS'!$D$6:$D$2005,$A436,'LANÇAMENTOS'!$V$6:$V$2005,"&gt;="&amp;ABS($D436)*0.98,'LANÇAMENTOS'!$V$6:$V$2005,"&lt;="&amp;ABS($D436)*1.02)&gt;0,"🟡 Valor próximo de um lançamento","❌ Não localizado")))</f>
        <v/>
      </c>
    </row>
    <row r="437">
      <c r="A437" s="36" t="n"/>
      <c r="B437" s="29" t="n"/>
      <c r="C437" s="14" t="n"/>
      <c r="D437" s="35" t="n"/>
      <c r="E437" s="14" t="n"/>
      <c r="F437" s="29" t="n"/>
      <c r="G437" s="14" t="n"/>
      <c r="H437" s="29" t="n"/>
      <c r="I437" s="14" t="n"/>
      <c r="J437" s="29" t="n"/>
      <c r="K437" s="18">
        <f>IF($D437="","",IF($E437="Débito",-ABS($D437),ABS($D437)))</f>
        <v/>
      </c>
      <c r="L437" s="9">
        <f>IF($A437="","",IF(COUNTIFS('LANÇAMENTOS'!$D$6:$D$2005,$A437,'LANÇAMENTOS'!$V$6:$V$2005,ABS($D437),'LANÇAMENTOS'!$L$6:$L$2005,$F437)&gt;0,"✔ Encontrado na planilha",IF(COUNTIFS('LANÇAMENTOS'!$D$6:$D$2005,$A437,'LANÇAMENTOS'!$V$6:$V$2005,"&gt;="&amp;ABS($D437)*0.98,'LANÇAMENTOS'!$V$6:$V$2005,"&lt;="&amp;ABS($D437)*1.02)&gt;0,"🟡 Valor próximo de um lançamento","❌ Não localizado")))</f>
        <v/>
      </c>
    </row>
    <row r="438">
      <c r="A438" s="36" t="n"/>
      <c r="B438" s="29" t="n"/>
      <c r="C438" s="14" t="n"/>
      <c r="D438" s="35" t="n"/>
      <c r="E438" s="14" t="n"/>
      <c r="F438" s="29" t="n"/>
      <c r="G438" s="14" t="n"/>
      <c r="H438" s="29" t="n"/>
      <c r="I438" s="14" t="n"/>
      <c r="J438" s="29" t="n"/>
      <c r="K438" s="18">
        <f>IF($D438="","",IF($E438="Débito",-ABS($D438),ABS($D438)))</f>
        <v/>
      </c>
      <c r="L438" s="9">
        <f>IF($A438="","",IF(COUNTIFS('LANÇAMENTOS'!$D$6:$D$2005,$A438,'LANÇAMENTOS'!$V$6:$V$2005,ABS($D438),'LANÇAMENTOS'!$L$6:$L$2005,$F438)&gt;0,"✔ Encontrado na planilha",IF(COUNTIFS('LANÇAMENTOS'!$D$6:$D$2005,$A438,'LANÇAMENTOS'!$V$6:$V$2005,"&gt;="&amp;ABS($D438)*0.98,'LANÇAMENTOS'!$V$6:$V$2005,"&lt;="&amp;ABS($D438)*1.02)&gt;0,"🟡 Valor próximo de um lançamento","❌ Não localizado")))</f>
        <v/>
      </c>
    </row>
    <row r="439">
      <c r="A439" s="36" t="n"/>
      <c r="B439" s="29" t="n"/>
      <c r="C439" s="14" t="n"/>
      <c r="D439" s="35" t="n"/>
      <c r="E439" s="14" t="n"/>
      <c r="F439" s="29" t="n"/>
      <c r="G439" s="14" t="n"/>
      <c r="H439" s="29" t="n"/>
      <c r="I439" s="14" t="n"/>
      <c r="J439" s="29" t="n"/>
      <c r="K439" s="18">
        <f>IF($D439="","",IF($E439="Débito",-ABS($D439),ABS($D439)))</f>
        <v/>
      </c>
      <c r="L439" s="9">
        <f>IF($A439="","",IF(COUNTIFS('LANÇAMENTOS'!$D$6:$D$2005,$A439,'LANÇAMENTOS'!$V$6:$V$2005,ABS($D439),'LANÇAMENTOS'!$L$6:$L$2005,$F439)&gt;0,"✔ Encontrado na planilha",IF(COUNTIFS('LANÇAMENTOS'!$D$6:$D$2005,$A439,'LANÇAMENTOS'!$V$6:$V$2005,"&gt;="&amp;ABS($D439)*0.98,'LANÇAMENTOS'!$V$6:$V$2005,"&lt;="&amp;ABS($D439)*1.02)&gt;0,"🟡 Valor próximo de um lançamento","❌ Não localizado")))</f>
        <v/>
      </c>
    </row>
    <row r="440">
      <c r="A440" s="36" t="n"/>
      <c r="B440" s="29" t="n"/>
      <c r="C440" s="14" t="n"/>
      <c r="D440" s="35" t="n"/>
      <c r="E440" s="14" t="n"/>
      <c r="F440" s="29" t="n"/>
      <c r="G440" s="14" t="n"/>
      <c r="H440" s="29" t="n"/>
      <c r="I440" s="14" t="n"/>
      <c r="J440" s="29" t="n"/>
      <c r="K440" s="18">
        <f>IF($D440="","",IF($E440="Débito",-ABS($D440),ABS($D440)))</f>
        <v/>
      </c>
      <c r="L440" s="9">
        <f>IF($A440="","",IF(COUNTIFS('LANÇAMENTOS'!$D$6:$D$2005,$A440,'LANÇAMENTOS'!$V$6:$V$2005,ABS($D440),'LANÇAMENTOS'!$L$6:$L$2005,$F440)&gt;0,"✔ Encontrado na planilha",IF(COUNTIFS('LANÇAMENTOS'!$D$6:$D$2005,$A440,'LANÇAMENTOS'!$V$6:$V$2005,"&gt;="&amp;ABS($D440)*0.98,'LANÇAMENTOS'!$V$6:$V$2005,"&lt;="&amp;ABS($D440)*1.02)&gt;0,"🟡 Valor próximo de um lançamento","❌ Não localizado")))</f>
        <v/>
      </c>
    </row>
    <row r="441">
      <c r="A441" s="36" t="n"/>
      <c r="B441" s="29" t="n"/>
      <c r="C441" s="14" t="n"/>
      <c r="D441" s="35" t="n"/>
      <c r="E441" s="14" t="n"/>
      <c r="F441" s="29" t="n"/>
      <c r="G441" s="14" t="n"/>
      <c r="H441" s="29" t="n"/>
      <c r="I441" s="14" t="n"/>
      <c r="J441" s="29" t="n"/>
      <c r="K441" s="18">
        <f>IF($D441="","",IF($E441="Débito",-ABS($D441),ABS($D441)))</f>
        <v/>
      </c>
      <c r="L441" s="9">
        <f>IF($A441="","",IF(COUNTIFS('LANÇAMENTOS'!$D$6:$D$2005,$A441,'LANÇAMENTOS'!$V$6:$V$2005,ABS($D441),'LANÇAMENTOS'!$L$6:$L$2005,$F441)&gt;0,"✔ Encontrado na planilha",IF(COUNTIFS('LANÇAMENTOS'!$D$6:$D$2005,$A441,'LANÇAMENTOS'!$V$6:$V$2005,"&gt;="&amp;ABS($D441)*0.98,'LANÇAMENTOS'!$V$6:$V$2005,"&lt;="&amp;ABS($D441)*1.02)&gt;0,"🟡 Valor próximo de um lançamento","❌ Não localizado")))</f>
        <v/>
      </c>
    </row>
    <row r="442">
      <c r="A442" s="36" t="n"/>
      <c r="B442" s="29" t="n"/>
      <c r="C442" s="14" t="n"/>
      <c r="D442" s="35" t="n"/>
      <c r="E442" s="14" t="n"/>
      <c r="F442" s="29" t="n"/>
      <c r="G442" s="14" t="n"/>
      <c r="H442" s="29" t="n"/>
      <c r="I442" s="14" t="n"/>
      <c r="J442" s="29" t="n"/>
      <c r="K442" s="18">
        <f>IF($D442="","",IF($E442="Débito",-ABS($D442),ABS($D442)))</f>
        <v/>
      </c>
      <c r="L442" s="9">
        <f>IF($A442="","",IF(COUNTIFS('LANÇAMENTOS'!$D$6:$D$2005,$A442,'LANÇAMENTOS'!$V$6:$V$2005,ABS($D442),'LANÇAMENTOS'!$L$6:$L$2005,$F442)&gt;0,"✔ Encontrado na planilha",IF(COUNTIFS('LANÇAMENTOS'!$D$6:$D$2005,$A442,'LANÇAMENTOS'!$V$6:$V$2005,"&gt;="&amp;ABS($D442)*0.98,'LANÇAMENTOS'!$V$6:$V$2005,"&lt;="&amp;ABS($D442)*1.02)&gt;0,"🟡 Valor próximo de um lançamento","❌ Não localizado")))</f>
        <v/>
      </c>
    </row>
    <row r="443">
      <c r="A443" s="36" t="n"/>
      <c r="B443" s="29" t="n"/>
      <c r="C443" s="14" t="n"/>
      <c r="D443" s="35" t="n"/>
      <c r="E443" s="14" t="n"/>
      <c r="F443" s="29" t="n"/>
      <c r="G443" s="14" t="n"/>
      <c r="H443" s="29" t="n"/>
      <c r="I443" s="14" t="n"/>
      <c r="J443" s="29" t="n"/>
      <c r="K443" s="18">
        <f>IF($D443="","",IF($E443="Débito",-ABS($D443),ABS($D443)))</f>
        <v/>
      </c>
      <c r="L443" s="9">
        <f>IF($A443="","",IF(COUNTIFS('LANÇAMENTOS'!$D$6:$D$2005,$A443,'LANÇAMENTOS'!$V$6:$V$2005,ABS($D443),'LANÇAMENTOS'!$L$6:$L$2005,$F443)&gt;0,"✔ Encontrado na planilha",IF(COUNTIFS('LANÇAMENTOS'!$D$6:$D$2005,$A443,'LANÇAMENTOS'!$V$6:$V$2005,"&gt;="&amp;ABS($D443)*0.98,'LANÇAMENTOS'!$V$6:$V$2005,"&lt;="&amp;ABS($D443)*1.02)&gt;0,"🟡 Valor próximo de um lançamento","❌ Não localizado")))</f>
        <v/>
      </c>
    </row>
    <row r="444">
      <c r="A444" s="36" t="n"/>
      <c r="B444" s="29" t="n"/>
      <c r="C444" s="14" t="n"/>
      <c r="D444" s="35" t="n"/>
      <c r="E444" s="14" t="n"/>
      <c r="F444" s="29" t="n"/>
      <c r="G444" s="14" t="n"/>
      <c r="H444" s="29" t="n"/>
      <c r="I444" s="14" t="n"/>
      <c r="J444" s="29" t="n"/>
      <c r="K444" s="18">
        <f>IF($D444="","",IF($E444="Débito",-ABS($D444),ABS($D444)))</f>
        <v/>
      </c>
      <c r="L444" s="9">
        <f>IF($A444="","",IF(COUNTIFS('LANÇAMENTOS'!$D$6:$D$2005,$A444,'LANÇAMENTOS'!$V$6:$V$2005,ABS($D444),'LANÇAMENTOS'!$L$6:$L$2005,$F444)&gt;0,"✔ Encontrado na planilha",IF(COUNTIFS('LANÇAMENTOS'!$D$6:$D$2005,$A444,'LANÇAMENTOS'!$V$6:$V$2005,"&gt;="&amp;ABS($D444)*0.98,'LANÇAMENTOS'!$V$6:$V$2005,"&lt;="&amp;ABS($D444)*1.02)&gt;0,"🟡 Valor próximo de um lançamento","❌ Não localizado")))</f>
        <v/>
      </c>
    </row>
    <row r="445">
      <c r="A445" s="36" t="n"/>
      <c r="B445" s="29" t="n"/>
      <c r="C445" s="14" t="n"/>
      <c r="D445" s="35" t="n"/>
      <c r="E445" s="14" t="n"/>
      <c r="F445" s="29" t="n"/>
      <c r="G445" s="14" t="n"/>
      <c r="H445" s="29" t="n"/>
      <c r="I445" s="14" t="n"/>
      <c r="J445" s="29" t="n"/>
      <c r="K445" s="18">
        <f>IF($D445="","",IF($E445="Débito",-ABS($D445),ABS($D445)))</f>
        <v/>
      </c>
      <c r="L445" s="9">
        <f>IF($A445="","",IF(COUNTIFS('LANÇAMENTOS'!$D$6:$D$2005,$A445,'LANÇAMENTOS'!$V$6:$V$2005,ABS($D445),'LANÇAMENTOS'!$L$6:$L$2005,$F445)&gt;0,"✔ Encontrado na planilha",IF(COUNTIFS('LANÇAMENTOS'!$D$6:$D$2005,$A445,'LANÇAMENTOS'!$V$6:$V$2005,"&gt;="&amp;ABS($D445)*0.98,'LANÇAMENTOS'!$V$6:$V$2005,"&lt;="&amp;ABS($D445)*1.02)&gt;0,"🟡 Valor próximo de um lançamento","❌ Não localizado")))</f>
        <v/>
      </c>
    </row>
    <row r="446">
      <c r="A446" s="36" t="n"/>
      <c r="B446" s="29" t="n"/>
      <c r="C446" s="14" t="n"/>
      <c r="D446" s="35" t="n"/>
      <c r="E446" s="14" t="n"/>
      <c r="F446" s="29" t="n"/>
      <c r="G446" s="14" t="n"/>
      <c r="H446" s="29" t="n"/>
      <c r="I446" s="14" t="n"/>
      <c r="J446" s="29" t="n"/>
      <c r="K446" s="18">
        <f>IF($D446="","",IF($E446="Débito",-ABS($D446),ABS($D446)))</f>
        <v/>
      </c>
      <c r="L446" s="9">
        <f>IF($A446="","",IF(COUNTIFS('LANÇAMENTOS'!$D$6:$D$2005,$A446,'LANÇAMENTOS'!$V$6:$V$2005,ABS($D446),'LANÇAMENTOS'!$L$6:$L$2005,$F446)&gt;0,"✔ Encontrado na planilha",IF(COUNTIFS('LANÇAMENTOS'!$D$6:$D$2005,$A446,'LANÇAMENTOS'!$V$6:$V$2005,"&gt;="&amp;ABS($D446)*0.98,'LANÇAMENTOS'!$V$6:$V$2005,"&lt;="&amp;ABS($D446)*1.02)&gt;0,"🟡 Valor próximo de um lançamento","❌ Não localizado")))</f>
        <v/>
      </c>
    </row>
    <row r="447">
      <c r="A447" s="36" t="n"/>
      <c r="B447" s="29" t="n"/>
      <c r="C447" s="14" t="n"/>
      <c r="D447" s="35" t="n"/>
      <c r="E447" s="14" t="n"/>
      <c r="F447" s="29" t="n"/>
      <c r="G447" s="14" t="n"/>
      <c r="H447" s="29" t="n"/>
      <c r="I447" s="14" t="n"/>
      <c r="J447" s="29" t="n"/>
      <c r="K447" s="18">
        <f>IF($D447="","",IF($E447="Débito",-ABS($D447),ABS($D447)))</f>
        <v/>
      </c>
      <c r="L447" s="9">
        <f>IF($A447="","",IF(COUNTIFS('LANÇAMENTOS'!$D$6:$D$2005,$A447,'LANÇAMENTOS'!$V$6:$V$2005,ABS($D447),'LANÇAMENTOS'!$L$6:$L$2005,$F447)&gt;0,"✔ Encontrado na planilha",IF(COUNTIFS('LANÇAMENTOS'!$D$6:$D$2005,$A447,'LANÇAMENTOS'!$V$6:$V$2005,"&gt;="&amp;ABS($D447)*0.98,'LANÇAMENTOS'!$V$6:$V$2005,"&lt;="&amp;ABS($D447)*1.02)&gt;0,"🟡 Valor próximo de um lançamento","❌ Não localizado")))</f>
        <v/>
      </c>
    </row>
    <row r="448">
      <c r="A448" s="36" t="n"/>
      <c r="B448" s="29" t="n"/>
      <c r="C448" s="14" t="n"/>
      <c r="D448" s="35" t="n"/>
      <c r="E448" s="14" t="n"/>
      <c r="F448" s="29" t="n"/>
      <c r="G448" s="14" t="n"/>
      <c r="H448" s="29" t="n"/>
      <c r="I448" s="14" t="n"/>
      <c r="J448" s="29" t="n"/>
      <c r="K448" s="18">
        <f>IF($D448="","",IF($E448="Débito",-ABS($D448),ABS($D448)))</f>
        <v/>
      </c>
      <c r="L448" s="9">
        <f>IF($A448="","",IF(COUNTIFS('LANÇAMENTOS'!$D$6:$D$2005,$A448,'LANÇAMENTOS'!$V$6:$V$2005,ABS($D448),'LANÇAMENTOS'!$L$6:$L$2005,$F448)&gt;0,"✔ Encontrado na planilha",IF(COUNTIFS('LANÇAMENTOS'!$D$6:$D$2005,$A448,'LANÇAMENTOS'!$V$6:$V$2005,"&gt;="&amp;ABS($D448)*0.98,'LANÇAMENTOS'!$V$6:$V$2005,"&lt;="&amp;ABS($D448)*1.02)&gt;0,"🟡 Valor próximo de um lançamento","❌ Não localizado")))</f>
        <v/>
      </c>
    </row>
    <row r="449">
      <c r="A449" s="36" t="n"/>
      <c r="B449" s="29" t="n"/>
      <c r="C449" s="14" t="n"/>
      <c r="D449" s="35" t="n"/>
      <c r="E449" s="14" t="n"/>
      <c r="F449" s="29" t="n"/>
      <c r="G449" s="14" t="n"/>
      <c r="H449" s="29" t="n"/>
      <c r="I449" s="14" t="n"/>
      <c r="J449" s="29" t="n"/>
      <c r="K449" s="18">
        <f>IF($D449="","",IF($E449="Débito",-ABS($D449),ABS($D449)))</f>
        <v/>
      </c>
      <c r="L449" s="9">
        <f>IF($A449="","",IF(COUNTIFS('LANÇAMENTOS'!$D$6:$D$2005,$A449,'LANÇAMENTOS'!$V$6:$V$2005,ABS($D449),'LANÇAMENTOS'!$L$6:$L$2005,$F449)&gt;0,"✔ Encontrado na planilha",IF(COUNTIFS('LANÇAMENTOS'!$D$6:$D$2005,$A449,'LANÇAMENTOS'!$V$6:$V$2005,"&gt;="&amp;ABS($D449)*0.98,'LANÇAMENTOS'!$V$6:$V$2005,"&lt;="&amp;ABS($D449)*1.02)&gt;0,"🟡 Valor próximo de um lançamento","❌ Não localizado")))</f>
        <v/>
      </c>
    </row>
    <row r="450">
      <c r="A450" s="36" t="n"/>
      <c r="B450" s="29" t="n"/>
      <c r="C450" s="14" t="n"/>
      <c r="D450" s="35" t="n"/>
      <c r="E450" s="14" t="n"/>
      <c r="F450" s="29" t="n"/>
      <c r="G450" s="14" t="n"/>
      <c r="H450" s="29" t="n"/>
      <c r="I450" s="14" t="n"/>
      <c r="J450" s="29" t="n"/>
      <c r="K450" s="18">
        <f>IF($D450="","",IF($E450="Débito",-ABS($D450),ABS($D450)))</f>
        <v/>
      </c>
      <c r="L450" s="9">
        <f>IF($A450="","",IF(COUNTIFS('LANÇAMENTOS'!$D$6:$D$2005,$A450,'LANÇAMENTOS'!$V$6:$V$2005,ABS($D450),'LANÇAMENTOS'!$L$6:$L$2005,$F450)&gt;0,"✔ Encontrado na planilha",IF(COUNTIFS('LANÇAMENTOS'!$D$6:$D$2005,$A450,'LANÇAMENTOS'!$V$6:$V$2005,"&gt;="&amp;ABS($D450)*0.98,'LANÇAMENTOS'!$V$6:$V$2005,"&lt;="&amp;ABS($D450)*1.02)&gt;0,"🟡 Valor próximo de um lançamento","❌ Não localizado")))</f>
        <v/>
      </c>
    </row>
    <row r="451">
      <c r="A451" s="36" t="n"/>
      <c r="B451" s="29" t="n"/>
      <c r="C451" s="14" t="n"/>
      <c r="D451" s="35" t="n"/>
      <c r="E451" s="14" t="n"/>
      <c r="F451" s="29" t="n"/>
      <c r="G451" s="14" t="n"/>
      <c r="H451" s="29" t="n"/>
      <c r="I451" s="14" t="n"/>
      <c r="J451" s="29" t="n"/>
      <c r="K451" s="18">
        <f>IF($D451="","",IF($E451="Débito",-ABS($D451),ABS($D451)))</f>
        <v/>
      </c>
      <c r="L451" s="9">
        <f>IF($A451="","",IF(COUNTIFS('LANÇAMENTOS'!$D$6:$D$2005,$A451,'LANÇAMENTOS'!$V$6:$V$2005,ABS($D451),'LANÇAMENTOS'!$L$6:$L$2005,$F451)&gt;0,"✔ Encontrado na planilha",IF(COUNTIFS('LANÇAMENTOS'!$D$6:$D$2005,$A451,'LANÇAMENTOS'!$V$6:$V$2005,"&gt;="&amp;ABS($D451)*0.98,'LANÇAMENTOS'!$V$6:$V$2005,"&lt;="&amp;ABS($D451)*1.02)&gt;0,"🟡 Valor próximo de um lançamento","❌ Não localizado")))</f>
        <v/>
      </c>
    </row>
    <row r="452">
      <c r="A452" s="36" t="n"/>
      <c r="B452" s="29" t="n"/>
      <c r="C452" s="14" t="n"/>
      <c r="D452" s="35" t="n"/>
      <c r="E452" s="14" t="n"/>
      <c r="F452" s="29" t="n"/>
      <c r="G452" s="14" t="n"/>
      <c r="H452" s="29" t="n"/>
      <c r="I452" s="14" t="n"/>
      <c r="J452" s="29" t="n"/>
      <c r="K452" s="18">
        <f>IF($D452="","",IF($E452="Débito",-ABS($D452),ABS($D452)))</f>
        <v/>
      </c>
      <c r="L452" s="9">
        <f>IF($A452="","",IF(COUNTIFS('LANÇAMENTOS'!$D$6:$D$2005,$A452,'LANÇAMENTOS'!$V$6:$V$2005,ABS($D452),'LANÇAMENTOS'!$L$6:$L$2005,$F452)&gt;0,"✔ Encontrado na planilha",IF(COUNTIFS('LANÇAMENTOS'!$D$6:$D$2005,$A452,'LANÇAMENTOS'!$V$6:$V$2005,"&gt;="&amp;ABS($D452)*0.98,'LANÇAMENTOS'!$V$6:$V$2005,"&lt;="&amp;ABS($D452)*1.02)&gt;0,"🟡 Valor próximo de um lançamento","❌ Não localizado")))</f>
        <v/>
      </c>
    </row>
    <row r="453">
      <c r="A453" s="36" t="n"/>
      <c r="B453" s="29" t="n"/>
      <c r="C453" s="14" t="n"/>
      <c r="D453" s="35" t="n"/>
      <c r="E453" s="14" t="n"/>
      <c r="F453" s="29" t="n"/>
      <c r="G453" s="14" t="n"/>
      <c r="H453" s="29" t="n"/>
      <c r="I453" s="14" t="n"/>
      <c r="J453" s="29" t="n"/>
      <c r="K453" s="18">
        <f>IF($D453="","",IF($E453="Débito",-ABS($D453),ABS($D453)))</f>
        <v/>
      </c>
      <c r="L453" s="9">
        <f>IF($A453="","",IF(COUNTIFS('LANÇAMENTOS'!$D$6:$D$2005,$A453,'LANÇAMENTOS'!$V$6:$V$2005,ABS($D453),'LANÇAMENTOS'!$L$6:$L$2005,$F453)&gt;0,"✔ Encontrado na planilha",IF(COUNTIFS('LANÇAMENTOS'!$D$6:$D$2005,$A453,'LANÇAMENTOS'!$V$6:$V$2005,"&gt;="&amp;ABS($D453)*0.98,'LANÇAMENTOS'!$V$6:$V$2005,"&lt;="&amp;ABS($D453)*1.02)&gt;0,"🟡 Valor próximo de um lançamento","❌ Não localizado")))</f>
        <v/>
      </c>
    </row>
    <row r="454">
      <c r="A454" s="36" t="n"/>
      <c r="B454" s="29" t="n"/>
      <c r="C454" s="14" t="n"/>
      <c r="D454" s="35" t="n"/>
      <c r="E454" s="14" t="n"/>
      <c r="F454" s="29" t="n"/>
      <c r="G454" s="14" t="n"/>
      <c r="H454" s="29" t="n"/>
      <c r="I454" s="14" t="n"/>
      <c r="J454" s="29" t="n"/>
      <c r="K454" s="18">
        <f>IF($D454="","",IF($E454="Débito",-ABS($D454),ABS($D454)))</f>
        <v/>
      </c>
      <c r="L454" s="9">
        <f>IF($A454="","",IF(COUNTIFS('LANÇAMENTOS'!$D$6:$D$2005,$A454,'LANÇAMENTOS'!$V$6:$V$2005,ABS($D454),'LANÇAMENTOS'!$L$6:$L$2005,$F454)&gt;0,"✔ Encontrado na planilha",IF(COUNTIFS('LANÇAMENTOS'!$D$6:$D$2005,$A454,'LANÇAMENTOS'!$V$6:$V$2005,"&gt;="&amp;ABS($D454)*0.98,'LANÇAMENTOS'!$V$6:$V$2005,"&lt;="&amp;ABS($D454)*1.02)&gt;0,"🟡 Valor próximo de um lançamento","❌ Não localizado")))</f>
        <v/>
      </c>
    </row>
    <row r="455">
      <c r="A455" s="36" t="n"/>
      <c r="B455" s="29" t="n"/>
      <c r="C455" s="14" t="n"/>
      <c r="D455" s="35" t="n"/>
      <c r="E455" s="14" t="n"/>
      <c r="F455" s="29" t="n"/>
      <c r="G455" s="14" t="n"/>
      <c r="H455" s="29" t="n"/>
      <c r="I455" s="14" t="n"/>
      <c r="J455" s="29" t="n"/>
      <c r="K455" s="18">
        <f>IF($D455="","",IF($E455="Débito",-ABS($D455),ABS($D455)))</f>
        <v/>
      </c>
      <c r="L455" s="9">
        <f>IF($A455="","",IF(COUNTIFS('LANÇAMENTOS'!$D$6:$D$2005,$A455,'LANÇAMENTOS'!$V$6:$V$2005,ABS($D455),'LANÇAMENTOS'!$L$6:$L$2005,$F455)&gt;0,"✔ Encontrado na planilha",IF(COUNTIFS('LANÇAMENTOS'!$D$6:$D$2005,$A455,'LANÇAMENTOS'!$V$6:$V$2005,"&gt;="&amp;ABS($D455)*0.98,'LANÇAMENTOS'!$V$6:$V$2005,"&lt;="&amp;ABS($D455)*1.02)&gt;0,"🟡 Valor próximo de um lançamento","❌ Não localizado")))</f>
        <v/>
      </c>
    </row>
    <row r="456">
      <c r="A456" s="36" t="n"/>
      <c r="B456" s="29" t="n"/>
      <c r="C456" s="14" t="n"/>
      <c r="D456" s="35" t="n"/>
      <c r="E456" s="14" t="n"/>
      <c r="F456" s="29" t="n"/>
      <c r="G456" s="14" t="n"/>
      <c r="H456" s="29" t="n"/>
      <c r="I456" s="14" t="n"/>
      <c r="J456" s="29" t="n"/>
      <c r="K456" s="18">
        <f>IF($D456="","",IF($E456="Débito",-ABS($D456),ABS($D456)))</f>
        <v/>
      </c>
      <c r="L456" s="9">
        <f>IF($A456="","",IF(COUNTIFS('LANÇAMENTOS'!$D$6:$D$2005,$A456,'LANÇAMENTOS'!$V$6:$V$2005,ABS($D456),'LANÇAMENTOS'!$L$6:$L$2005,$F456)&gt;0,"✔ Encontrado na planilha",IF(COUNTIFS('LANÇAMENTOS'!$D$6:$D$2005,$A456,'LANÇAMENTOS'!$V$6:$V$2005,"&gt;="&amp;ABS($D456)*0.98,'LANÇAMENTOS'!$V$6:$V$2005,"&lt;="&amp;ABS($D456)*1.02)&gt;0,"🟡 Valor próximo de um lançamento","❌ Não localizado")))</f>
        <v/>
      </c>
    </row>
    <row r="457">
      <c r="A457" s="36" t="n"/>
      <c r="B457" s="29" t="n"/>
      <c r="C457" s="14" t="n"/>
      <c r="D457" s="35" t="n"/>
      <c r="E457" s="14" t="n"/>
      <c r="F457" s="29" t="n"/>
      <c r="G457" s="14" t="n"/>
      <c r="H457" s="29" t="n"/>
      <c r="I457" s="14" t="n"/>
      <c r="J457" s="29" t="n"/>
      <c r="K457" s="18">
        <f>IF($D457="","",IF($E457="Débito",-ABS($D457),ABS($D457)))</f>
        <v/>
      </c>
      <c r="L457" s="9">
        <f>IF($A457="","",IF(COUNTIFS('LANÇAMENTOS'!$D$6:$D$2005,$A457,'LANÇAMENTOS'!$V$6:$V$2005,ABS($D457),'LANÇAMENTOS'!$L$6:$L$2005,$F457)&gt;0,"✔ Encontrado na planilha",IF(COUNTIFS('LANÇAMENTOS'!$D$6:$D$2005,$A457,'LANÇAMENTOS'!$V$6:$V$2005,"&gt;="&amp;ABS($D457)*0.98,'LANÇAMENTOS'!$V$6:$V$2005,"&lt;="&amp;ABS($D457)*1.02)&gt;0,"🟡 Valor próximo de um lançamento","❌ Não localizado")))</f>
        <v/>
      </c>
    </row>
    <row r="458">
      <c r="A458" s="36" t="n"/>
      <c r="B458" s="29" t="n"/>
      <c r="C458" s="14" t="n"/>
      <c r="D458" s="35" t="n"/>
      <c r="E458" s="14" t="n"/>
      <c r="F458" s="29" t="n"/>
      <c r="G458" s="14" t="n"/>
      <c r="H458" s="29" t="n"/>
      <c r="I458" s="14" t="n"/>
      <c r="J458" s="29" t="n"/>
      <c r="K458" s="18">
        <f>IF($D458="","",IF($E458="Débito",-ABS($D458),ABS($D458)))</f>
        <v/>
      </c>
      <c r="L458" s="9">
        <f>IF($A458="","",IF(COUNTIFS('LANÇAMENTOS'!$D$6:$D$2005,$A458,'LANÇAMENTOS'!$V$6:$V$2005,ABS($D458),'LANÇAMENTOS'!$L$6:$L$2005,$F458)&gt;0,"✔ Encontrado na planilha",IF(COUNTIFS('LANÇAMENTOS'!$D$6:$D$2005,$A458,'LANÇAMENTOS'!$V$6:$V$2005,"&gt;="&amp;ABS($D458)*0.98,'LANÇAMENTOS'!$V$6:$V$2005,"&lt;="&amp;ABS($D458)*1.02)&gt;0,"🟡 Valor próximo de um lançamento","❌ Não localizado")))</f>
        <v/>
      </c>
    </row>
    <row r="459">
      <c r="A459" s="36" t="n"/>
      <c r="B459" s="29" t="n"/>
      <c r="C459" s="14" t="n"/>
      <c r="D459" s="35" t="n"/>
      <c r="E459" s="14" t="n"/>
      <c r="F459" s="29" t="n"/>
      <c r="G459" s="14" t="n"/>
      <c r="H459" s="29" t="n"/>
      <c r="I459" s="14" t="n"/>
      <c r="J459" s="29" t="n"/>
      <c r="K459" s="18">
        <f>IF($D459="","",IF($E459="Débito",-ABS($D459),ABS($D459)))</f>
        <v/>
      </c>
      <c r="L459" s="9">
        <f>IF($A459="","",IF(COUNTIFS('LANÇAMENTOS'!$D$6:$D$2005,$A459,'LANÇAMENTOS'!$V$6:$V$2005,ABS($D459),'LANÇAMENTOS'!$L$6:$L$2005,$F459)&gt;0,"✔ Encontrado na planilha",IF(COUNTIFS('LANÇAMENTOS'!$D$6:$D$2005,$A459,'LANÇAMENTOS'!$V$6:$V$2005,"&gt;="&amp;ABS($D459)*0.98,'LANÇAMENTOS'!$V$6:$V$2005,"&lt;="&amp;ABS($D459)*1.02)&gt;0,"🟡 Valor próximo de um lançamento","❌ Não localizado")))</f>
        <v/>
      </c>
    </row>
    <row r="460">
      <c r="A460" s="36" t="n"/>
      <c r="B460" s="29" t="n"/>
      <c r="C460" s="14" t="n"/>
      <c r="D460" s="35" t="n"/>
      <c r="E460" s="14" t="n"/>
      <c r="F460" s="29" t="n"/>
      <c r="G460" s="14" t="n"/>
      <c r="H460" s="29" t="n"/>
      <c r="I460" s="14" t="n"/>
      <c r="J460" s="29" t="n"/>
      <c r="K460" s="18">
        <f>IF($D460="","",IF($E460="Débito",-ABS($D460),ABS($D460)))</f>
        <v/>
      </c>
      <c r="L460" s="9">
        <f>IF($A460="","",IF(COUNTIFS('LANÇAMENTOS'!$D$6:$D$2005,$A460,'LANÇAMENTOS'!$V$6:$V$2005,ABS($D460),'LANÇAMENTOS'!$L$6:$L$2005,$F460)&gt;0,"✔ Encontrado na planilha",IF(COUNTIFS('LANÇAMENTOS'!$D$6:$D$2005,$A460,'LANÇAMENTOS'!$V$6:$V$2005,"&gt;="&amp;ABS($D460)*0.98,'LANÇAMENTOS'!$V$6:$V$2005,"&lt;="&amp;ABS($D460)*1.02)&gt;0,"🟡 Valor próximo de um lançamento","❌ Não localizado")))</f>
        <v/>
      </c>
    </row>
    <row r="461">
      <c r="A461" s="36" t="n"/>
      <c r="B461" s="29" t="n"/>
      <c r="C461" s="14" t="n"/>
      <c r="D461" s="35" t="n"/>
      <c r="E461" s="14" t="n"/>
      <c r="F461" s="29" t="n"/>
      <c r="G461" s="14" t="n"/>
      <c r="H461" s="29" t="n"/>
      <c r="I461" s="14" t="n"/>
      <c r="J461" s="29" t="n"/>
      <c r="K461" s="18">
        <f>IF($D461="","",IF($E461="Débito",-ABS($D461),ABS($D461)))</f>
        <v/>
      </c>
      <c r="L461" s="9">
        <f>IF($A461="","",IF(COUNTIFS('LANÇAMENTOS'!$D$6:$D$2005,$A461,'LANÇAMENTOS'!$V$6:$V$2005,ABS($D461),'LANÇAMENTOS'!$L$6:$L$2005,$F461)&gt;0,"✔ Encontrado na planilha",IF(COUNTIFS('LANÇAMENTOS'!$D$6:$D$2005,$A461,'LANÇAMENTOS'!$V$6:$V$2005,"&gt;="&amp;ABS($D461)*0.98,'LANÇAMENTOS'!$V$6:$V$2005,"&lt;="&amp;ABS($D461)*1.02)&gt;0,"🟡 Valor próximo de um lançamento","❌ Não localizado")))</f>
        <v/>
      </c>
    </row>
    <row r="462">
      <c r="A462" s="36" t="n"/>
      <c r="B462" s="29" t="n"/>
      <c r="C462" s="14" t="n"/>
      <c r="D462" s="35" t="n"/>
      <c r="E462" s="14" t="n"/>
      <c r="F462" s="29" t="n"/>
      <c r="G462" s="14" t="n"/>
      <c r="H462" s="29" t="n"/>
      <c r="I462" s="14" t="n"/>
      <c r="J462" s="29" t="n"/>
      <c r="K462" s="18">
        <f>IF($D462="","",IF($E462="Débito",-ABS($D462),ABS($D462)))</f>
        <v/>
      </c>
      <c r="L462" s="9">
        <f>IF($A462="","",IF(COUNTIFS('LANÇAMENTOS'!$D$6:$D$2005,$A462,'LANÇAMENTOS'!$V$6:$V$2005,ABS($D462),'LANÇAMENTOS'!$L$6:$L$2005,$F462)&gt;0,"✔ Encontrado na planilha",IF(COUNTIFS('LANÇAMENTOS'!$D$6:$D$2005,$A462,'LANÇAMENTOS'!$V$6:$V$2005,"&gt;="&amp;ABS($D462)*0.98,'LANÇAMENTOS'!$V$6:$V$2005,"&lt;="&amp;ABS($D462)*1.02)&gt;0,"🟡 Valor próximo de um lançamento","❌ Não localizado")))</f>
        <v/>
      </c>
    </row>
    <row r="463">
      <c r="A463" s="36" t="n"/>
      <c r="B463" s="29" t="n"/>
      <c r="C463" s="14" t="n"/>
      <c r="D463" s="35" t="n"/>
      <c r="E463" s="14" t="n"/>
      <c r="F463" s="29" t="n"/>
      <c r="G463" s="14" t="n"/>
      <c r="H463" s="29" t="n"/>
      <c r="I463" s="14" t="n"/>
      <c r="J463" s="29" t="n"/>
      <c r="K463" s="18">
        <f>IF($D463="","",IF($E463="Débito",-ABS($D463),ABS($D463)))</f>
        <v/>
      </c>
      <c r="L463" s="9">
        <f>IF($A463="","",IF(COUNTIFS('LANÇAMENTOS'!$D$6:$D$2005,$A463,'LANÇAMENTOS'!$V$6:$V$2005,ABS($D463),'LANÇAMENTOS'!$L$6:$L$2005,$F463)&gt;0,"✔ Encontrado na planilha",IF(COUNTIFS('LANÇAMENTOS'!$D$6:$D$2005,$A463,'LANÇAMENTOS'!$V$6:$V$2005,"&gt;="&amp;ABS($D463)*0.98,'LANÇAMENTOS'!$V$6:$V$2005,"&lt;="&amp;ABS($D463)*1.02)&gt;0,"🟡 Valor próximo de um lançamento","❌ Não localizado")))</f>
        <v/>
      </c>
    </row>
    <row r="464">
      <c r="A464" s="36" t="n"/>
      <c r="B464" s="29" t="n"/>
      <c r="C464" s="14" t="n"/>
      <c r="D464" s="35" t="n"/>
      <c r="E464" s="14" t="n"/>
      <c r="F464" s="29" t="n"/>
      <c r="G464" s="14" t="n"/>
      <c r="H464" s="29" t="n"/>
      <c r="I464" s="14" t="n"/>
      <c r="J464" s="29" t="n"/>
      <c r="K464" s="18">
        <f>IF($D464="","",IF($E464="Débito",-ABS($D464),ABS($D464)))</f>
        <v/>
      </c>
      <c r="L464" s="9">
        <f>IF($A464="","",IF(COUNTIFS('LANÇAMENTOS'!$D$6:$D$2005,$A464,'LANÇAMENTOS'!$V$6:$V$2005,ABS($D464),'LANÇAMENTOS'!$L$6:$L$2005,$F464)&gt;0,"✔ Encontrado na planilha",IF(COUNTIFS('LANÇAMENTOS'!$D$6:$D$2005,$A464,'LANÇAMENTOS'!$V$6:$V$2005,"&gt;="&amp;ABS($D464)*0.98,'LANÇAMENTOS'!$V$6:$V$2005,"&lt;="&amp;ABS($D464)*1.02)&gt;0,"🟡 Valor próximo de um lançamento","❌ Não localizado")))</f>
        <v/>
      </c>
    </row>
    <row r="465">
      <c r="A465" s="36" t="n"/>
      <c r="B465" s="29" t="n"/>
      <c r="C465" s="14" t="n"/>
      <c r="D465" s="35" t="n"/>
      <c r="E465" s="14" t="n"/>
      <c r="F465" s="29" t="n"/>
      <c r="G465" s="14" t="n"/>
      <c r="H465" s="29" t="n"/>
      <c r="I465" s="14" t="n"/>
      <c r="J465" s="29" t="n"/>
      <c r="K465" s="18">
        <f>IF($D465="","",IF($E465="Débito",-ABS($D465),ABS($D465)))</f>
        <v/>
      </c>
      <c r="L465" s="9">
        <f>IF($A465="","",IF(COUNTIFS('LANÇAMENTOS'!$D$6:$D$2005,$A465,'LANÇAMENTOS'!$V$6:$V$2005,ABS($D465),'LANÇAMENTOS'!$L$6:$L$2005,$F465)&gt;0,"✔ Encontrado na planilha",IF(COUNTIFS('LANÇAMENTOS'!$D$6:$D$2005,$A465,'LANÇAMENTOS'!$V$6:$V$2005,"&gt;="&amp;ABS($D465)*0.98,'LANÇAMENTOS'!$V$6:$V$2005,"&lt;="&amp;ABS($D465)*1.02)&gt;0,"🟡 Valor próximo de um lançamento","❌ Não localizado")))</f>
        <v/>
      </c>
    </row>
    <row r="466">
      <c r="A466" s="36" t="n"/>
      <c r="B466" s="29" t="n"/>
      <c r="C466" s="14" t="n"/>
      <c r="D466" s="35" t="n"/>
      <c r="E466" s="14" t="n"/>
      <c r="F466" s="29" t="n"/>
      <c r="G466" s="14" t="n"/>
      <c r="H466" s="29" t="n"/>
      <c r="I466" s="14" t="n"/>
      <c r="J466" s="29" t="n"/>
      <c r="K466" s="18">
        <f>IF($D466="","",IF($E466="Débito",-ABS($D466),ABS($D466)))</f>
        <v/>
      </c>
      <c r="L466" s="9">
        <f>IF($A466="","",IF(COUNTIFS('LANÇAMENTOS'!$D$6:$D$2005,$A466,'LANÇAMENTOS'!$V$6:$V$2005,ABS($D466),'LANÇAMENTOS'!$L$6:$L$2005,$F466)&gt;0,"✔ Encontrado na planilha",IF(COUNTIFS('LANÇAMENTOS'!$D$6:$D$2005,$A466,'LANÇAMENTOS'!$V$6:$V$2005,"&gt;="&amp;ABS($D466)*0.98,'LANÇAMENTOS'!$V$6:$V$2005,"&lt;="&amp;ABS($D466)*1.02)&gt;0,"🟡 Valor próximo de um lançamento","❌ Não localizado")))</f>
        <v/>
      </c>
    </row>
    <row r="467">
      <c r="A467" s="36" t="n"/>
      <c r="B467" s="29" t="n"/>
      <c r="C467" s="14" t="n"/>
      <c r="D467" s="35" t="n"/>
      <c r="E467" s="14" t="n"/>
      <c r="F467" s="29" t="n"/>
      <c r="G467" s="14" t="n"/>
      <c r="H467" s="29" t="n"/>
      <c r="I467" s="14" t="n"/>
      <c r="J467" s="29" t="n"/>
      <c r="K467" s="18">
        <f>IF($D467="","",IF($E467="Débito",-ABS($D467),ABS($D467)))</f>
        <v/>
      </c>
      <c r="L467" s="9">
        <f>IF($A467="","",IF(COUNTIFS('LANÇAMENTOS'!$D$6:$D$2005,$A467,'LANÇAMENTOS'!$V$6:$V$2005,ABS($D467),'LANÇAMENTOS'!$L$6:$L$2005,$F467)&gt;0,"✔ Encontrado na planilha",IF(COUNTIFS('LANÇAMENTOS'!$D$6:$D$2005,$A467,'LANÇAMENTOS'!$V$6:$V$2005,"&gt;="&amp;ABS($D467)*0.98,'LANÇAMENTOS'!$V$6:$V$2005,"&lt;="&amp;ABS($D467)*1.02)&gt;0,"🟡 Valor próximo de um lançamento","❌ Não localizado")))</f>
        <v/>
      </c>
    </row>
    <row r="468">
      <c r="A468" s="36" t="n"/>
      <c r="B468" s="29" t="n"/>
      <c r="C468" s="14" t="n"/>
      <c r="D468" s="35" t="n"/>
      <c r="E468" s="14" t="n"/>
      <c r="F468" s="29" t="n"/>
      <c r="G468" s="14" t="n"/>
      <c r="H468" s="29" t="n"/>
      <c r="I468" s="14" t="n"/>
      <c r="J468" s="29" t="n"/>
      <c r="K468" s="18">
        <f>IF($D468="","",IF($E468="Débito",-ABS($D468),ABS($D468)))</f>
        <v/>
      </c>
      <c r="L468" s="9">
        <f>IF($A468="","",IF(COUNTIFS('LANÇAMENTOS'!$D$6:$D$2005,$A468,'LANÇAMENTOS'!$V$6:$V$2005,ABS($D468),'LANÇAMENTOS'!$L$6:$L$2005,$F468)&gt;0,"✔ Encontrado na planilha",IF(COUNTIFS('LANÇAMENTOS'!$D$6:$D$2005,$A468,'LANÇAMENTOS'!$V$6:$V$2005,"&gt;="&amp;ABS($D468)*0.98,'LANÇAMENTOS'!$V$6:$V$2005,"&lt;="&amp;ABS($D468)*1.02)&gt;0,"🟡 Valor próximo de um lançamento","❌ Não localizado")))</f>
        <v/>
      </c>
    </row>
    <row r="469">
      <c r="A469" s="36" t="n"/>
      <c r="B469" s="29" t="n"/>
      <c r="C469" s="14" t="n"/>
      <c r="D469" s="35" t="n"/>
      <c r="E469" s="14" t="n"/>
      <c r="F469" s="29" t="n"/>
      <c r="G469" s="14" t="n"/>
      <c r="H469" s="29" t="n"/>
      <c r="I469" s="14" t="n"/>
      <c r="J469" s="29" t="n"/>
      <c r="K469" s="18">
        <f>IF($D469="","",IF($E469="Débito",-ABS($D469),ABS($D469)))</f>
        <v/>
      </c>
      <c r="L469" s="9">
        <f>IF($A469="","",IF(COUNTIFS('LANÇAMENTOS'!$D$6:$D$2005,$A469,'LANÇAMENTOS'!$V$6:$V$2005,ABS($D469),'LANÇAMENTOS'!$L$6:$L$2005,$F469)&gt;0,"✔ Encontrado na planilha",IF(COUNTIFS('LANÇAMENTOS'!$D$6:$D$2005,$A469,'LANÇAMENTOS'!$V$6:$V$2005,"&gt;="&amp;ABS($D469)*0.98,'LANÇAMENTOS'!$V$6:$V$2005,"&lt;="&amp;ABS($D469)*1.02)&gt;0,"🟡 Valor próximo de um lançamento","❌ Não localizado")))</f>
        <v/>
      </c>
    </row>
    <row r="470">
      <c r="A470" s="36" t="n"/>
      <c r="B470" s="29" t="n"/>
      <c r="C470" s="14" t="n"/>
      <c r="D470" s="35" t="n"/>
      <c r="E470" s="14" t="n"/>
      <c r="F470" s="29" t="n"/>
      <c r="G470" s="14" t="n"/>
      <c r="H470" s="29" t="n"/>
      <c r="I470" s="14" t="n"/>
      <c r="J470" s="29" t="n"/>
      <c r="K470" s="18">
        <f>IF($D470="","",IF($E470="Débito",-ABS($D470),ABS($D470)))</f>
        <v/>
      </c>
      <c r="L470" s="9">
        <f>IF($A470="","",IF(COUNTIFS('LANÇAMENTOS'!$D$6:$D$2005,$A470,'LANÇAMENTOS'!$V$6:$V$2005,ABS($D470),'LANÇAMENTOS'!$L$6:$L$2005,$F470)&gt;0,"✔ Encontrado na planilha",IF(COUNTIFS('LANÇAMENTOS'!$D$6:$D$2005,$A470,'LANÇAMENTOS'!$V$6:$V$2005,"&gt;="&amp;ABS($D470)*0.98,'LANÇAMENTOS'!$V$6:$V$2005,"&lt;="&amp;ABS($D470)*1.02)&gt;0,"🟡 Valor próximo de um lançamento","❌ Não localizado")))</f>
        <v/>
      </c>
    </row>
    <row r="471">
      <c r="A471" s="36" t="n"/>
      <c r="B471" s="29" t="n"/>
      <c r="C471" s="14" t="n"/>
      <c r="D471" s="35" t="n"/>
      <c r="E471" s="14" t="n"/>
      <c r="F471" s="29" t="n"/>
      <c r="G471" s="14" t="n"/>
      <c r="H471" s="29" t="n"/>
      <c r="I471" s="14" t="n"/>
      <c r="J471" s="29" t="n"/>
      <c r="K471" s="18">
        <f>IF($D471="","",IF($E471="Débito",-ABS($D471),ABS($D471)))</f>
        <v/>
      </c>
      <c r="L471" s="9">
        <f>IF($A471="","",IF(COUNTIFS('LANÇAMENTOS'!$D$6:$D$2005,$A471,'LANÇAMENTOS'!$V$6:$V$2005,ABS($D471),'LANÇAMENTOS'!$L$6:$L$2005,$F471)&gt;0,"✔ Encontrado na planilha",IF(COUNTIFS('LANÇAMENTOS'!$D$6:$D$2005,$A471,'LANÇAMENTOS'!$V$6:$V$2005,"&gt;="&amp;ABS($D471)*0.98,'LANÇAMENTOS'!$V$6:$V$2005,"&lt;="&amp;ABS($D471)*1.02)&gt;0,"🟡 Valor próximo de um lançamento","❌ Não localizado")))</f>
        <v/>
      </c>
    </row>
    <row r="472">
      <c r="A472" s="36" t="n"/>
      <c r="B472" s="29" t="n"/>
      <c r="C472" s="14" t="n"/>
      <c r="D472" s="35" t="n"/>
      <c r="E472" s="14" t="n"/>
      <c r="F472" s="29" t="n"/>
      <c r="G472" s="14" t="n"/>
      <c r="H472" s="29" t="n"/>
      <c r="I472" s="14" t="n"/>
      <c r="J472" s="29" t="n"/>
      <c r="K472" s="18">
        <f>IF($D472="","",IF($E472="Débito",-ABS($D472),ABS($D472)))</f>
        <v/>
      </c>
      <c r="L472" s="9">
        <f>IF($A472="","",IF(COUNTIFS('LANÇAMENTOS'!$D$6:$D$2005,$A472,'LANÇAMENTOS'!$V$6:$V$2005,ABS($D472),'LANÇAMENTOS'!$L$6:$L$2005,$F472)&gt;0,"✔ Encontrado na planilha",IF(COUNTIFS('LANÇAMENTOS'!$D$6:$D$2005,$A472,'LANÇAMENTOS'!$V$6:$V$2005,"&gt;="&amp;ABS($D472)*0.98,'LANÇAMENTOS'!$V$6:$V$2005,"&lt;="&amp;ABS($D472)*1.02)&gt;0,"🟡 Valor próximo de um lançamento","❌ Não localizado")))</f>
        <v/>
      </c>
    </row>
    <row r="473">
      <c r="A473" s="36" t="n"/>
      <c r="B473" s="29" t="n"/>
      <c r="C473" s="14" t="n"/>
      <c r="D473" s="35" t="n"/>
      <c r="E473" s="14" t="n"/>
      <c r="F473" s="29" t="n"/>
      <c r="G473" s="14" t="n"/>
      <c r="H473" s="29" t="n"/>
      <c r="I473" s="14" t="n"/>
      <c r="J473" s="29" t="n"/>
      <c r="K473" s="18">
        <f>IF($D473="","",IF($E473="Débito",-ABS($D473),ABS($D473)))</f>
        <v/>
      </c>
      <c r="L473" s="9">
        <f>IF($A473="","",IF(COUNTIFS('LANÇAMENTOS'!$D$6:$D$2005,$A473,'LANÇAMENTOS'!$V$6:$V$2005,ABS($D473),'LANÇAMENTOS'!$L$6:$L$2005,$F473)&gt;0,"✔ Encontrado na planilha",IF(COUNTIFS('LANÇAMENTOS'!$D$6:$D$2005,$A473,'LANÇAMENTOS'!$V$6:$V$2005,"&gt;="&amp;ABS($D473)*0.98,'LANÇAMENTOS'!$V$6:$V$2005,"&lt;="&amp;ABS($D473)*1.02)&gt;0,"🟡 Valor próximo de um lançamento","❌ Não localizado")))</f>
        <v/>
      </c>
    </row>
    <row r="474">
      <c r="A474" s="36" t="n"/>
      <c r="B474" s="29" t="n"/>
      <c r="C474" s="14" t="n"/>
      <c r="D474" s="35" t="n"/>
      <c r="E474" s="14" t="n"/>
      <c r="F474" s="29" t="n"/>
      <c r="G474" s="14" t="n"/>
      <c r="H474" s="29" t="n"/>
      <c r="I474" s="14" t="n"/>
      <c r="J474" s="29" t="n"/>
      <c r="K474" s="18">
        <f>IF($D474="","",IF($E474="Débito",-ABS($D474),ABS($D474)))</f>
        <v/>
      </c>
      <c r="L474" s="9">
        <f>IF($A474="","",IF(COUNTIFS('LANÇAMENTOS'!$D$6:$D$2005,$A474,'LANÇAMENTOS'!$V$6:$V$2005,ABS($D474),'LANÇAMENTOS'!$L$6:$L$2005,$F474)&gt;0,"✔ Encontrado na planilha",IF(COUNTIFS('LANÇAMENTOS'!$D$6:$D$2005,$A474,'LANÇAMENTOS'!$V$6:$V$2005,"&gt;="&amp;ABS($D474)*0.98,'LANÇAMENTOS'!$V$6:$V$2005,"&lt;="&amp;ABS($D474)*1.02)&gt;0,"🟡 Valor próximo de um lançamento","❌ Não localizado")))</f>
        <v/>
      </c>
    </row>
    <row r="475">
      <c r="A475" s="36" t="n"/>
      <c r="B475" s="29" t="n"/>
      <c r="C475" s="14" t="n"/>
      <c r="D475" s="35" t="n"/>
      <c r="E475" s="14" t="n"/>
      <c r="F475" s="29" t="n"/>
      <c r="G475" s="14" t="n"/>
      <c r="H475" s="29" t="n"/>
      <c r="I475" s="14" t="n"/>
      <c r="J475" s="29" t="n"/>
      <c r="K475" s="18">
        <f>IF($D475="","",IF($E475="Débito",-ABS($D475),ABS($D475)))</f>
        <v/>
      </c>
      <c r="L475" s="9">
        <f>IF($A475="","",IF(COUNTIFS('LANÇAMENTOS'!$D$6:$D$2005,$A475,'LANÇAMENTOS'!$V$6:$V$2005,ABS($D475),'LANÇAMENTOS'!$L$6:$L$2005,$F475)&gt;0,"✔ Encontrado na planilha",IF(COUNTIFS('LANÇAMENTOS'!$D$6:$D$2005,$A475,'LANÇAMENTOS'!$V$6:$V$2005,"&gt;="&amp;ABS($D475)*0.98,'LANÇAMENTOS'!$V$6:$V$2005,"&lt;="&amp;ABS($D475)*1.02)&gt;0,"🟡 Valor próximo de um lançamento","❌ Não localizado")))</f>
        <v/>
      </c>
    </row>
    <row r="476">
      <c r="A476" s="36" t="n"/>
      <c r="B476" s="29" t="n"/>
      <c r="C476" s="14" t="n"/>
      <c r="D476" s="35" t="n"/>
      <c r="E476" s="14" t="n"/>
      <c r="F476" s="29" t="n"/>
      <c r="G476" s="14" t="n"/>
      <c r="H476" s="29" t="n"/>
      <c r="I476" s="14" t="n"/>
      <c r="J476" s="29" t="n"/>
      <c r="K476" s="18">
        <f>IF($D476="","",IF($E476="Débito",-ABS($D476),ABS($D476)))</f>
        <v/>
      </c>
      <c r="L476" s="9">
        <f>IF($A476="","",IF(COUNTIFS('LANÇAMENTOS'!$D$6:$D$2005,$A476,'LANÇAMENTOS'!$V$6:$V$2005,ABS($D476),'LANÇAMENTOS'!$L$6:$L$2005,$F476)&gt;0,"✔ Encontrado na planilha",IF(COUNTIFS('LANÇAMENTOS'!$D$6:$D$2005,$A476,'LANÇAMENTOS'!$V$6:$V$2005,"&gt;="&amp;ABS($D476)*0.98,'LANÇAMENTOS'!$V$6:$V$2005,"&lt;="&amp;ABS($D476)*1.02)&gt;0,"🟡 Valor próximo de um lançamento","❌ Não localizado")))</f>
        <v/>
      </c>
    </row>
    <row r="477">
      <c r="A477" s="36" t="n"/>
      <c r="B477" s="29" t="n"/>
      <c r="C477" s="14" t="n"/>
      <c r="D477" s="35" t="n"/>
      <c r="E477" s="14" t="n"/>
      <c r="F477" s="29" t="n"/>
      <c r="G477" s="14" t="n"/>
      <c r="H477" s="29" t="n"/>
      <c r="I477" s="14" t="n"/>
      <c r="J477" s="29" t="n"/>
      <c r="K477" s="18">
        <f>IF($D477="","",IF($E477="Débito",-ABS($D477),ABS($D477)))</f>
        <v/>
      </c>
      <c r="L477" s="9">
        <f>IF($A477="","",IF(COUNTIFS('LANÇAMENTOS'!$D$6:$D$2005,$A477,'LANÇAMENTOS'!$V$6:$V$2005,ABS($D477),'LANÇAMENTOS'!$L$6:$L$2005,$F477)&gt;0,"✔ Encontrado na planilha",IF(COUNTIFS('LANÇAMENTOS'!$D$6:$D$2005,$A477,'LANÇAMENTOS'!$V$6:$V$2005,"&gt;="&amp;ABS($D477)*0.98,'LANÇAMENTOS'!$V$6:$V$2005,"&lt;="&amp;ABS($D477)*1.02)&gt;0,"🟡 Valor próximo de um lançamento","❌ Não localizado")))</f>
        <v/>
      </c>
    </row>
    <row r="478">
      <c r="A478" s="36" t="n"/>
      <c r="B478" s="29" t="n"/>
      <c r="C478" s="14" t="n"/>
      <c r="D478" s="35" t="n"/>
      <c r="E478" s="14" t="n"/>
      <c r="F478" s="29" t="n"/>
      <c r="G478" s="14" t="n"/>
      <c r="H478" s="29" t="n"/>
      <c r="I478" s="14" t="n"/>
      <c r="J478" s="29" t="n"/>
      <c r="K478" s="18">
        <f>IF($D478="","",IF($E478="Débito",-ABS($D478),ABS($D478)))</f>
        <v/>
      </c>
      <c r="L478" s="9">
        <f>IF($A478="","",IF(COUNTIFS('LANÇAMENTOS'!$D$6:$D$2005,$A478,'LANÇAMENTOS'!$V$6:$V$2005,ABS($D478),'LANÇAMENTOS'!$L$6:$L$2005,$F478)&gt;0,"✔ Encontrado na planilha",IF(COUNTIFS('LANÇAMENTOS'!$D$6:$D$2005,$A478,'LANÇAMENTOS'!$V$6:$V$2005,"&gt;="&amp;ABS($D478)*0.98,'LANÇAMENTOS'!$V$6:$V$2005,"&lt;="&amp;ABS($D478)*1.02)&gt;0,"🟡 Valor próximo de um lançamento","❌ Não localizado")))</f>
        <v/>
      </c>
    </row>
    <row r="479">
      <c r="A479" s="36" t="n"/>
      <c r="B479" s="29" t="n"/>
      <c r="C479" s="14" t="n"/>
      <c r="D479" s="35" t="n"/>
      <c r="E479" s="14" t="n"/>
      <c r="F479" s="29" t="n"/>
      <c r="G479" s="14" t="n"/>
      <c r="H479" s="29" t="n"/>
      <c r="I479" s="14" t="n"/>
      <c r="J479" s="29" t="n"/>
      <c r="K479" s="18">
        <f>IF($D479="","",IF($E479="Débito",-ABS($D479),ABS($D479)))</f>
        <v/>
      </c>
      <c r="L479" s="9">
        <f>IF($A479="","",IF(COUNTIFS('LANÇAMENTOS'!$D$6:$D$2005,$A479,'LANÇAMENTOS'!$V$6:$V$2005,ABS($D479),'LANÇAMENTOS'!$L$6:$L$2005,$F479)&gt;0,"✔ Encontrado na planilha",IF(COUNTIFS('LANÇAMENTOS'!$D$6:$D$2005,$A479,'LANÇAMENTOS'!$V$6:$V$2005,"&gt;="&amp;ABS($D479)*0.98,'LANÇAMENTOS'!$V$6:$V$2005,"&lt;="&amp;ABS($D479)*1.02)&gt;0,"🟡 Valor próximo de um lançamento","❌ Não localizado")))</f>
        <v/>
      </c>
    </row>
    <row r="480">
      <c r="A480" s="36" t="n"/>
      <c r="B480" s="29" t="n"/>
      <c r="C480" s="14" t="n"/>
      <c r="D480" s="35" t="n"/>
      <c r="E480" s="14" t="n"/>
      <c r="F480" s="29" t="n"/>
      <c r="G480" s="14" t="n"/>
      <c r="H480" s="29" t="n"/>
      <c r="I480" s="14" t="n"/>
      <c r="J480" s="29" t="n"/>
      <c r="K480" s="18">
        <f>IF($D480="","",IF($E480="Débito",-ABS($D480),ABS($D480)))</f>
        <v/>
      </c>
      <c r="L480" s="9">
        <f>IF($A480="","",IF(COUNTIFS('LANÇAMENTOS'!$D$6:$D$2005,$A480,'LANÇAMENTOS'!$V$6:$V$2005,ABS($D480),'LANÇAMENTOS'!$L$6:$L$2005,$F480)&gt;0,"✔ Encontrado na planilha",IF(COUNTIFS('LANÇAMENTOS'!$D$6:$D$2005,$A480,'LANÇAMENTOS'!$V$6:$V$2005,"&gt;="&amp;ABS($D480)*0.98,'LANÇAMENTOS'!$V$6:$V$2005,"&lt;="&amp;ABS($D480)*1.02)&gt;0,"🟡 Valor próximo de um lançamento","❌ Não localizado")))</f>
        <v/>
      </c>
    </row>
    <row r="481">
      <c r="A481" s="36" t="n"/>
      <c r="B481" s="29" t="n"/>
      <c r="C481" s="14" t="n"/>
      <c r="D481" s="35" t="n"/>
      <c r="E481" s="14" t="n"/>
      <c r="F481" s="29" t="n"/>
      <c r="G481" s="14" t="n"/>
      <c r="H481" s="29" t="n"/>
      <c r="I481" s="14" t="n"/>
      <c r="J481" s="29" t="n"/>
      <c r="K481" s="18">
        <f>IF($D481="","",IF($E481="Débito",-ABS($D481),ABS($D481)))</f>
        <v/>
      </c>
      <c r="L481" s="9">
        <f>IF($A481="","",IF(COUNTIFS('LANÇAMENTOS'!$D$6:$D$2005,$A481,'LANÇAMENTOS'!$V$6:$V$2005,ABS($D481),'LANÇAMENTOS'!$L$6:$L$2005,$F481)&gt;0,"✔ Encontrado na planilha",IF(COUNTIFS('LANÇAMENTOS'!$D$6:$D$2005,$A481,'LANÇAMENTOS'!$V$6:$V$2005,"&gt;="&amp;ABS($D481)*0.98,'LANÇAMENTOS'!$V$6:$V$2005,"&lt;="&amp;ABS($D481)*1.02)&gt;0,"🟡 Valor próximo de um lançamento","❌ Não localizado")))</f>
        <v/>
      </c>
    </row>
    <row r="482">
      <c r="A482" s="36" t="n"/>
      <c r="B482" s="29" t="n"/>
      <c r="C482" s="14" t="n"/>
      <c r="D482" s="35" t="n"/>
      <c r="E482" s="14" t="n"/>
      <c r="F482" s="29" t="n"/>
      <c r="G482" s="14" t="n"/>
      <c r="H482" s="29" t="n"/>
      <c r="I482" s="14" t="n"/>
      <c r="J482" s="29" t="n"/>
      <c r="K482" s="18">
        <f>IF($D482="","",IF($E482="Débito",-ABS($D482),ABS($D482)))</f>
        <v/>
      </c>
      <c r="L482" s="9">
        <f>IF($A482="","",IF(COUNTIFS('LANÇAMENTOS'!$D$6:$D$2005,$A482,'LANÇAMENTOS'!$V$6:$V$2005,ABS($D482),'LANÇAMENTOS'!$L$6:$L$2005,$F482)&gt;0,"✔ Encontrado na planilha",IF(COUNTIFS('LANÇAMENTOS'!$D$6:$D$2005,$A482,'LANÇAMENTOS'!$V$6:$V$2005,"&gt;="&amp;ABS($D482)*0.98,'LANÇAMENTOS'!$V$6:$V$2005,"&lt;="&amp;ABS($D482)*1.02)&gt;0,"🟡 Valor próximo de um lançamento","❌ Não localizado")))</f>
        <v/>
      </c>
    </row>
    <row r="483">
      <c r="A483" s="36" t="n"/>
      <c r="B483" s="29" t="n"/>
      <c r="C483" s="14" t="n"/>
      <c r="D483" s="35" t="n"/>
      <c r="E483" s="14" t="n"/>
      <c r="F483" s="29" t="n"/>
      <c r="G483" s="14" t="n"/>
      <c r="H483" s="29" t="n"/>
      <c r="I483" s="14" t="n"/>
      <c r="J483" s="29" t="n"/>
      <c r="K483" s="18">
        <f>IF($D483="","",IF($E483="Débito",-ABS($D483),ABS($D483)))</f>
        <v/>
      </c>
      <c r="L483" s="9">
        <f>IF($A483="","",IF(COUNTIFS('LANÇAMENTOS'!$D$6:$D$2005,$A483,'LANÇAMENTOS'!$V$6:$V$2005,ABS($D483),'LANÇAMENTOS'!$L$6:$L$2005,$F483)&gt;0,"✔ Encontrado na planilha",IF(COUNTIFS('LANÇAMENTOS'!$D$6:$D$2005,$A483,'LANÇAMENTOS'!$V$6:$V$2005,"&gt;="&amp;ABS($D483)*0.98,'LANÇAMENTOS'!$V$6:$V$2005,"&lt;="&amp;ABS($D483)*1.02)&gt;0,"🟡 Valor próximo de um lançamento","❌ Não localizado")))</f>
        <v/>
      </c>
    </row>
    <row r="484">
      <c r="A484" s="36" t="n"/>
      <c r="B484" s="29" t="n"/>
      <c r="C484" s="14" t="n"/>
      <c r="D484" s="35" t="n"/>
      <c r="E484" s="14" t="n"/>
      <c r="F484" s="29" t="n"/>
      <c r="G484" s="14" t="n"/>
      <c r="H484" s="29" t="n"/>
      <c r="I484" s="14" t="n"/>
      <c r="J484" s="29" t="n"/>
      <c r="K484" s="18">
        <f>IF($D484="","",IF($E484="Débito",-ABS($D484),ABS($D484)))</f>
        <v/>
      </c>
      <c r="L484" s="9">
        <f>IF($A484="","",IF(COUNTIFS('LANÇAMENTOS'!$D$6:$D$2005,$A484,'LANÇAMENTOS'!$V$6:$V$2005,ABS($D484),'LANÇAMENTOS'!$L$6:$L$2005,$F484)&gt;0,"✔ Encontrado na planilha",IF(COUNTIFS('LANÇAMENTOS'!$D$6:$D$2005,$A484,'LANÇAMENTOS'!$V$6:$V$2005,"&gt;="&amp;ABS($D484)*0.98,'LANÇAMENTOS'!$V$6:$V$2005,"&lt;="&amp;ABS($D484)*1.02)&gt;0,"🟡 Valor próximo de um lançamento","❌ Não localizado")))</f>
        <v/>
      </c>
    </row>
    <row r="485">
      <c r="A485" s="36" t="n"/>
      <c r="B485" s="29" t="n"/>
      <c r="C485" s="14" t="n"/>
      <c r="D485" s="35" t="n"/>
      <c r="E485" s="14" t="n"/>
      <c r="F485" s="29" t="n"/>
      <c r="G485" s="14" t="n"/>
      <c r="H485" s="29" t="n"/>
      <c r="I485" s="14" t="n"/>
      <c r="J485" s="29" t="n"/>
      <c r="K485" s="18">
        <f>IF($D485="","",IF($E485="Débito",-ABS($D485),ABS($D485)))</f>
        <v/>
      </c>
      <c r="L485" s="9">
        <f>IF($A485="","",IF(COUNTIFS('LANÇAMENTOS'!$D$6:$D$2005,$A485,'LANÇAMENTOS'!$V$6:$V$2005,ABS($D485),'LANÇAMENTOS'!$L$6:$L$2005,$F485)&gt;0,"✔ Encontrado na planilha",IF(COUNTIFS('LANÇAMENTOS'!$D$6:$D$2005,$A485,'LANÇAMENTOS'!$V$6:$V$2005,"&gt;="&amp;ABS($D485)*0.98,'LANÇAMENTOS'!$V$6:$V$2005,"&lt;="&amp;ABS($D485)*1.02)&gt;0,"🟡 Valor próximo de um lançamento","❌ Não localizado")))</f>
        <v/>
      </c>
    </row>
    <row r="486">
      <c r="A486" s="36" t="n"/>
      <c r="B486" s="29" t="n"/>
      <c r="C486" s="14" t="n"/>
      <c r="D486" s="35" t="n"/>
      <c r="E486" s="14" t="n"/>
      <c r="F486" s="29" t="n"/>
      <c r="G486" s="14" t="n"/>
      <c r="H486" s="29" t="n"/>
      <c r="I486" s="14" t="n"/>
      <c r="J486" s="29" t="n"/>
      <c r="K486" s="18">
        <f>IF($D486="","",IF($E486="Débito",-ABS($D486),ABS($D486)))</f>
        <v/>
      </c>
      <c r="L486" s="9">
        <f>IF($A486="","",IF(COUNTIFS('LANÇAMENTOS'!$D$6:$D$2005,$A486,'LANÇAMENTOS'!$V$6:$V$2005,ABS($D486),'LANÇAMENTOS'!$L$6:$L$2005,$F486)&gt;0,"✔ Encontrado na planilha",IF(COUNTIFS('LANÇAMENTOS'!$D$6:$D$2005,$A486,'LANÇAMENTOS'!$V$6:$V$2005,"&gt;="&amp;ABS($D486)*0.98,'LANÇAMENTOS'!$V$6:$V$2005,"&lt;="&amp;ABS($D486)*1.02)&gt;0,"🟡 Valor próximo de um lançamento","❌ Não localizado")))</f>
        <v/>
      </c>
    </row>
    <row r="487">
      <c r="A487" s="36" t="n"/>
      <c r="B487" s="29" t="n"/>
      <c r="C487" s="14" t="n"/>
      <c r="D487" s="35" t="n"/>
      <c r="E487" s="14" t="n"/>
      <c r="F487" s="29" t="n"/>
      <c r="G487" s="14" t="n"/>
      <c r="H487" s="29" t="n"/>
      <c r="I487" s="14" t="n"/>
      <c r="J487" s="29" t="n"/>
      <c r="K487" s="18">
        <f>IF($D487="","",IF($E487="Débito",-ABS($D487),ABS($D487)))</f>
        <v/>
      </c>
      <c r="L487" s="9">
        <f>IF($A487="","",IF(COUNTIFS('LANÇAMENTOS'!$D$6:$D$2005,$A487,'LANÇAMENTOS'!$V$6:$V$2005,ABS($D487),'LANÇAMENTOS'!$L$6:$L$2005,$F487)&gt;0,"✔ Encontrado na planilha",IF(COUNTIFS('LANÇAMENTOS'!$D$6:$D$2005,$A487,'LANÇAMENTOS'!$V$6:$V$2005,"&gt;="&amp;ABS($D487)*0.98,'LANÇAMENTOS'!$V$6:$V$2005,"&lt;="&amp;ABS($D487)*1.02)&gt;0,"🟡 Valor próximo de um lançamento","❌ Não localizado")))</f>
        <v/>
      </c>
    </row>
    <row r="488">
      <c r="A488" s="36" t="n"/>
      <c r="B488" s="29" t="n"/>
      <c r="C488" s="14" t="n"/>
      <c r="D488" s="35" t="n"/>
      <c r="E488" s="14" t="n"/>
      <c r="F488" s="29" t="n"/>
      <c r="G488" s="14" t="n"/>
      <c r="H488" s="29" t="n"/>
      <c r="I488" s="14" t="n"/>
      <c r="J488" s="29" t="n"/>
      <c r="K488" s="18">
        <f>IF($D488="","",IF($E488="Débito",-ABS($D488),ABS($D488)))</f>
        <v/>
      </c>
      <c r="L488" s="9">
        <f>IF($A488="","",IF(COUNTIFS('LANÇAMENTOS'!$D$6:$D$2005,$A488,'LANÇAMENTOS'!$V$6:$V$2005,ABS($D488),'LANÇAMENTOS'!$L$6:$L$2005,$F488)&gt;0,"✔ Encontrado na planilha",IF(COUNTIFS('LANÇAMENTOS'!$D$6:$D$2005,$A488,'LANÇAMENTOS'!$V$6:$V$2005,"&gt;="&amp;ABS($D488)*0.98,'LANÇAMENTOS'!$V$6:$V$2005,"&lt;="&amp;ABS($D488)*1.02)&gt;0,"🟡 Valor próximo de um lançamento","❌ Não localizado")))</f>
        <v/>
      </c>
    </row>
    <row r="489">
      <c r="A489" s="36" t="n"/>
      <c r="B489" s="29" t="n"/>
      <c r="C489" s="14" t="n"/>
      <c r="D489" s="35" t="n"/>
      <c r="E489" s="14" t="n"/>
      <c r="F489" s="29" t="n"/>
      <c r="G489" s="14" t="n"/>
      <c r="H489" s="29" t="n"/>
      <c r="I489" s="14" t="n"/>
      <c r="J489" s="29" t="n"/>
      <c r="K489" s="18">
        <f>IF($D489="","",IF($E489="Débito",-ABS($D489),ABS($D489)))</f>
        <v/>
      </c>
      <c r="L489" s="9">
        <f>IF($A489="","",IF(COUNTIFS('LANÇAMENTOS'!$D$6:$D$2005,$A489,'LANÇAMENTOS'!$V$6:$V$2005,ABS($D489),'LANÇAMENTOS'!$L$6:$L$2005,$F489)&gt;0,"✔ Encontrado na planilha",IF(COUNTIFS('LANÇAMENTOS'!$D$6:$D$2005,$A489,'LANÇAMENTOS'!$V$6:$V$2005,"&gt;="&amp;ABS($D489)*0.98,'LANÇAMENTOS'!$V$6:$V$2005,"&lt;="&amp;ABS($D489)*1.02)&gt;0,"🟡 Valor próximo de um lançamento","❌ Não localizado")))</f>
        <v/>
      </c>
    </row>
    <row r="490">
      <c r="A490" s="36" t="n"/>
      <c r="B490" s="29" t="n"/>
      <c r="C490" s="14" t="n"/>
      <c r="D490" s="35" t="n"/>
      <c r="E490" s="14" t="n"/>
      <c r="F490" s="29" t="n"/>
      <c r="G490" s="14" t="n"/>
      <c r="H490" s="29" t="n"/>
      <c r="I490" s="14" t="n"/>
      <c r="J490" s="29" t="n"/>
      <c r="K490" s="18">
        <f>IF($D490="","",IF($E490="Débito",-ABS($D490),ABS($D490)))</f>
        <v/>
      </c>
      <c r="L490" s="9">
        <f>IF($A490="","",IF(COUNTIFS('LANÇAMENTOS'!$D$6:$D$2005,$A490,'LANÇAMENTOS'!$V$6:$V$2005,ABS($D490),'LANÇAMENTOS'!$L$6:$L$2005,$F490)&gt;0,"✔ Encontrado na planilha",IF(COUNTIFS('LANÇAMENTOS'!$D$6:$D$2005,$A490,'LANÇAMENTOS'!$V$6:$V$2005,"&gt;="&amp;ABS($D490)*0.98,'LANÇAMENTOS'!$V$6:$V$2005,"&lt;="&amp;ABS($D490)*1.02)&gt;0,"🟡 Valor próximo de um lançamento","❌ Não localizado")))</f>
        <v/>
      </c>
    </row>
    <row r="491">
      <c r="A491" s="36" t="n"/>
      <c r="B491" s="29" t="n"/>
      <c r="C491" s="14" t="n"/>
      <c r="D491" s="35" t="n"/>
      <c r="E491" s="14" t="n"/>
      <c r="F491" s="29" t="n"/>
      <c r="G491" s="14" t="n"/>
      <c r="H491" s="29" t="n"/>
      <c r="I491" s="14" t="n"/>
      <c r="J491" s="29" t="n"/>
      <c r="K491" s="18">
        <f>IF($D491="","",IF($E491="Débito",-ABS($D491),ABS($D491)))</f>
        <v/>
      </c>
      <c r="L491" s="9">
        <f>IF($A491="","",IF(COUNTIFS('LANÇAMENTOS'!$D$6:$D$2005,$A491,'LANÇAMENTOS'!$V$6:$V$2005,ABS($D491),'LANÇAMENTOS'!$L$6:$L$2005,$F491)&gt;0,"✔ Encontrado na planilha",IF(COUNTIFS('LANÇAMENTOS'!$D$6:$D$2005,$A491,'LANÇAMENTOS'!$V$6:$V$2005,"&gt;="&amp;ABS($D491)*0.98,'LANÇAMENTOS'!$V$6:$V$2005,"&lt;="&amp;ABS($D491)*1.02)&gt;0,"🟡 Valor próximo de um lançamento","❌ Não localizado")))</f>
        <v/>
      </c>
    </row>
    <row r="492">
      <c r="A492" s="36" t="n"/>
      <c r="B492" s="29" t="n"/>
      <c r="C492" s="14" t="n"/>
      <c r="D492" s="35" t="n"/>
      <c r="E492" s="14" t="n"/>
      <c r="F492" s="29" t="n"/>
      <c r="G492" s="14" t="n"/>
      <c r="H492" s="29" t="n"/>
      <c r="I492" s="14" t="n"/>
      <c r="J492" s="29" t="n"/>
      <c r="K492" s="18">
        <f>IF($D492="","",IF($E492="Débito",-ABS($D492),ABS($D492)))</f>
        <v/>
      </c>
      <c r="L492" s="9">
        <f>IF($A492="","",IF(COUNTIFS('LANÇAMENTOS'!$D$6:$D$2005,$A492,'LANÇAMENTOS'!$V$6:$V$2005,ABS($D492),'LANÇAMENTOS'!$L$6:$L$2005,$F492)&gt;0,"✔ Encontrado na planilha",IF(COUNTIFS('LANÇAMENTOS'!$D$6:$D$2005,$A492,'LANÇAMENTOS'!$V$6:$V$2005,"&gt;="&amp;ABS($D492)*0.98,'LANÇAMENTOS'!$V$6:$V$2005,"&lt;="&amp;ABS($D492)*1.02)&gt;0,"🟡 Valor próximo de um lançamento","❌ Não localizado")))</f>
        <v/>
      </c>
    </row>
    <row r="493">
      <c r="A493" s="36" t="n"/>
      <c r="B493" s="29" t="n"/>
      <c r="C493" s="14" t="n"/>
      <c r="D493" s="35" t="n"/>
      <c r="E493" s="14" t="n"/>
      <c r="F493" s="29" t="n"/>
      <c r="G493" s="14" t="n"/>
      <c r="H493" s="29" t="n"/>
      <c r="I493" s="14" t="n"/>
      <c r="J493" s="29" t="n"/>
      <c r="K493" s="18">
        <f>IF($D493="","",IF($E493="Débito",-ABS($D493),ABS($D493)))</f>
        <v/>
      </c>
      <c r="L493" s="9">
        <f>IF($A493="","",IF(COUNTIFS('LANÇAMENTOS'!$D$6:$D$2005,$A493,'LANÇAMENTOS'!$V$6:$V$2005,ABS($D493),'LANÇAMENTOS'!$L$6:$L$2005,$F493)&gt;0,"✔ Encontrado na planilha",IF(COUNTIFS('LANÇAMENTOS'!$D$6:$D$2005,$A493,'LANÇAMENTOS'!$V$6:$V$2005,"&gt;="&amp;ABS($D493)*0.98,'LANÇAMENTOS'!$V$6:$V$2005,"&lt;="&amp;ABS($D493)*1.02)&gt;0,"🟡 Valor próximo de um lançamento","❌ Não localizado")))</f>
        <v/>
      </c>
    </row>
    <row r="494">
      <c r="A494" s="36" t="n"/>
      <c r="B494" s="29" t="n"/>
      <c r="C494" s="14" t="n"/>
      <c r="D494" s="35" t="n"/>
      <c r="E494" s="14" t="n"/>
      <c r="F494" s="29" t="n"/>
      <c r="G494" s="14" t="n"/>
      <c r="H494" s="29" t="n"/>
      <c r="I494" s="14" t="n"/>
      <c r="J494" s="29" t="n"/>
      <c r="K494" s="18">
        <f>IF($D494="","",IF($E494="Débito",-ABS($D494),ABS($D494)))</f>
        <v/>
      </c>
      <c r="L494" s="9">
        <f>IF($A494="","",IF(COUNTIFS('LANÇAMENTOS'!$D$6:$D$2005,$A494,'LANÇAMENTOS'!$V$6:$V$2005,ABS($D494),'LANÇAMENTOS'!$L$6:$L$2005,$F494)&gt;0,"✔ Encontrado na planilha",IF(COUNTIFS('LANÇAMENTOS'!$D$6:$D$2005,$A494,'LANÇAMENTOS'!$V$6:$V$2005,"&gt;="&amp;ABS($D494)*0.98,'LANÇAMENTOS'!$V$6:$V$2005,"&lt;="&amp;ABS($D494)*1.02)&gt;0,"🟡 Valor próximo de um lançamento","❌ Não localizado")))</f>
        <v/>
      </c>
    </row>
    <row r="495">
      <c r="A495" s="36" t="n"/>
      <c r="B495" s="29" t="n"/>
      <c r="C495" s="14" t="n"/>
      <c r="D495" s="35" t="n"/>
      <c r="E495" s="14" t="n"/>
      <c r="F495" s="29" t="n"/>
      <c r="G495" s="14" t="n"/>
      <c r="H495" s="29" t="n"/>
      <c r="I495" s="14" t="n"/>
      <c r="J495" s="29" t="n"/>
      <c r="K495" s="18">
        <f>IF($D495="","",IF($E495="Débito",-ABS($D495),ABS($D495)))</f>
        <v/>
      </c>
      <c r="L495" s="9">
        <f>IF($A495="","",IF(COUNTIFS('LANÇAMENTOS'!$D$6:$D$2005,$A495,'LANÇAMENTOS'!$V$6:$V$2005,ABS($D495),'LANÇAMENTOS'!$L$6:$L$2005,$F495)&gt;0,"✔ Encontrado na planilha",IF(COUNTIFS('LANÇAMENTOS'!$D$6:$D$2005,$A495,'LANÇAMENTOS'!$V$6:$V$2005,"&gt;="&amp;ABS($D495)*0.98,'LANÇAMENTOS'!$V$6:$V$2005,"&lt;="&amp;ABS($D495)*1.02)&gt;0,"🟡 Valor próximo de um lançamento","❌ Não localizado")))</f>
        <v/>
      </c>
    </row>
    <row r="496">
      <c r="A496" s="36" t="n"/>
      <c r="B496" s="29" t="n"/>
      <c r="C496" s="14" t="n"/>
      <c r="D496" s="35" t="n"/>
      <c r="E496" s="14" t="n"/>
      <c r="F496" s="29" t="n"/>
      <c r="G496" s="14" t="n"/>
      <c r="H496" s="29" t="n"/>
      <c r="I496" s="14" t="n"/>
      <c r="J496" s="29" t="n"/>
      <c r="K496" s="18">
        <f>IF($D496="","",IF($E496="Débito",-ABS($D496),ABS($D496)))</f>
        <v/>
      </c>
      <c r="L496" s="9">
        <f>IF($A496="","",IF(COUNTIFS('LANÇAMENTOS'!$D$6:$D$2005,$A496,'LANÇAMENTOS'!$V$6:$V$2005,ABS($D496),'LANÇAMENTOS'!$L$6:$L$2005,$F496)&gt;0,"✔ Encontrado na planilha",IF(COUNTIFS('LANÇAMENTOS'!$D$6:$D$2005,$A496,'LANÇAMENTOS'!$V$6:$V$2005,"&gt;="&amp;ABS($D496)*0.98,'LANÇAMENTOS'!$V$6:$V$2005,"&lt;="&amp;ABS($D496)*1.02)&gt;0,"🟡 Valor próximo de um lançamento","❌ Não localizado")))</f>
        <v/>
      </c>
    </row>
    <row r="497">
      <c r="A497" s="36" t="n"/>
      <c r="B497" s="29" t="n"/>
      <c r="C497" s="14" t="n"/>
      <c r="D497" s="35" t="n"/>
      <c r="E497" s="14" t="n"/>
      <c r="F497" s="29" t="n"/>
      <c r="G497" s="14" t="n"/>
      <c r="H497" s="29" t="n"/>
      <c r="I497" s="14" t="n"/>
      <c r="J497" s="29" t="n"/>
      <c r="K497" s="18">
        <f>IF($D497="","",IF($E497="Débito",-ABS($D497),ABS($D497)))</f>
        <v/>
      </c>
      <c r="L497" s="9">
        <f>IF($A497="","",IF(COUNTIFS('LANÇAMENTOS'!$D$6:$D$2005,$A497,'LANÇAMENTOS'!$V$6:$V$2005,ABS($D497),'LANÇAMENTOS'!$L$6:$L$2005,$F497)&gt;0,"✔ Encontrado na planilha",IF(COUNTIFS('LANÇAMENTOS'!$D$6:$D$2005,$A497,'LANÇAMENTOS'!$V$6:$V$2005,"&gt;="&amp;ABS($D497)*0.98,'LANÇAMENTOS'!$V$6:$V$2005,"&lt;="&amp;ABS($D497)*1.02)&gt;0,"🟡 Valor próximo de um lançamento","❌ Não localizado")))</f>
        <v/>
      </c>
    </row>
    <row r="498">
      <c r="A498" s="36" t="n"/>
      <c r="B498" s="29" t="n"/>
      <c r="C498" s="14" t="n"/>
      <c r="D498" s="35" t="n"/>
      <c r="E498" s="14" t="n"/>
      <c r="F498" s="29" t="n"/>
      <c r="G498" s="14" t="n"/>
      <c r="H498" s="29" t="n"/>
      <c r="I498" s="14" t="n"/>
      <c r="J498" s="29" t="n"/>
      <c r="K498" s="18">
        <f>IF($D498="","",IF($E498="Débito",-ABS($D498),ABS($D498)))</f>
        <v/>
      </c>
      <c r="L498" s="9">
        <f>IF($A498="","",IF(COUNTIFS('LANÇAMENTOS'!$D$6:$D$2005,$A498,'LANÇAMENTOS'!$V$6:$V$2005,ABS($D498),'LANÇAMENTOS'!$L$6:$L$2005,$F498)&gt;0,"✔ Encontrado na planilha",IF(COUNTIFS('LANÇAMENTOS'!$D$6:$D$2005,$A498,'LANÇAMENTOS'!$V$6:$V$2005,"&gt;="&amp;ABS($D498)*0.98,'LANÇAMENTOS'!$V$6:$V$2005,"&lt;="&amp;ABS($D498)*1.02)&gt;0,"🟡 Valor próximo de um lançamento","❌ Não localizado")))</f>
        <v/>
      </c>
    </row>
    <row r="499">
      <c r="A499" s="36" t="n"/>
      <c r="B499" s="29" t="n"/>
      <c r="C499" s="14" t="n"/>
      <c r="D499" s="35" t="n"/>
      <c r="E499" s="14" t="n"/>
      <c r="F499" s="29" t="n"/>
      <c r="G499" s="14" t="n"/>
      <c r="H499" s="29" t="n"/>
      <c r="I499" s="14" t="n"/>
      <c r="J499" s="29" t="n"/>
      <c r="K499" s="18">
        <f>IF($D499="","",IF($E499="Débito",-ABS($D499),ABS($D499)))</f>
        <v/>
      </c>
      <c r="L499" s="9">
        <f>IF($A499="","",IF(COUNTIFS('LANÇAMENTOS'!$D$6:$D$2005,$A499,'LANÇAMENTOS'!$V$6:$V$2005,ABS($D499),'LANÇAMENTOS'!$L$6:$L$2005,$F499)&gt;0,"✔ Encontrado na planilha",IF(COUNTIFS('LANÇAMENTOS'!$D$6:$D$2005,$A499,'LANÇAMENTOS'!$V$6:$V$2005,"&gt;="&amp;ABS($D499)*0.98,'LANÇAMENTOS'!$V$6:$V$2005,"&lt;="&amp;ABS($D499)*1.02)&gt;0,"🟡 Valor próximo de um lançamento","❌ Não localizado")))</f>
        <v/>
      </c>
    </row>
    <row r="500">
      <c r="A500" s="36" t="n"/>
      <c r="B500" s="29" t="n"/>
      <c r="C500" s="14" t="n"/>
      <c r="D500" s="35" t="n"/>
      <c r="E500" s="14" t="n"/>
      <c r="F500" s="29" t="n"/>
      <c r="G500" s="14" t="n"/>
      <c r="H500" s="29" t="n"/>
      <c r="I500" s="14" t="n"/>
      <c r="J500" s="29" t="n"/>
      <c r="K500" s="18">
        <f>IF($D500="","",IF($E500="Débito",-ABS($D500),ABS($D500)))</f>
        <v/>
      </c>
      <c r="L500" s="9">
        <f>IF($A500="","",IF(COUNTIFS('LANÇAMENTOS'!$D$6:$D$2005,$A500,'LANÇAMENTOS'!$V$6:$V$2005,ABS($D500),'LANÇAMENTOS'!$L$6:$L$2005,$F500)&gt;0,"✔ Encontrado na planilha",IF(COUNTIFS('LANÇAMENTOS'!$D$6:$D$2005,$A500,'LANÇAMENTOS'!$V$6:$V$2005,"&gt;="&amp;ABS($D500)*0.98,'LANÇAMENTOS'!$V$6:$V$2005,"&lt;="&amp;ABS($D500)*1.02)&gt;0,"🟡 Valor próximo de um lançamento","❌ Não localizado")))</f>
        <v/>
      </c>
    </row>
    <row r="501">
      <c r="A501" s="36" t="n"/>
      <c r="B501" s="29" t="n"/>
      <c r="C501" s="14" t="n"/>
      <c r="D501" s="35" t="n"/>
      <c r="E501" s="14" t="n"/>
      <c r="F501" s="29" t="n"/>
      <c r="G501" s="14" t="n"/>
      <c r="H501" s="29" t="n"/>
      <c r="I501" s="14" t="n"/>
      <c r="J501" s="29" t="n"/>
      <c r="K501" s="18">
        <f>IF($D501="","",IF($E501="Débito",-ABS($D501),ABS($D501)))</f>
        <v/>
      </c>
      <c r="L501" s="9">
        <f>IF($A501="","",IF(COUNTIFS('LANÇAMENTOS'!$D$6:$D$2005,$A501,'LANÇAMENTOS'!$V$6:$V$2005,ABS($D501),'LANÇAMENTOS'!$L$6:$L$2005,$F501)&gt;0,"✔ Encontrado na planilha",IF(COUNTIFS('LANÇAMENTOS'!$D$6:$D$2005,$A501,'LANÇAMENTOS'!$V$6:$V$2005,"&gt;="&amp;ABS($D501)*0.98,'LANÇAMENTOS'!$V$6:$V$2005,"&lt;="&amp;ABS($D501)*1.02)&gt;0,"🟡 Valor próximo de um lançamento","❌ Não localizado")))</f>
        <v/>
      </c>
    </row>
    <row r="502">
      <c r="A502" s="36" t="n"/>
      <c r="B502" s="29" t="n"/>
      <c r="C502" s="14" t="n"/>
      <c r="D502" s="35" t="n"/>
      <c r="E502" s="14" t="n"/>
      <c r="F502" s="29" t="n"/>
      <c r="G502" s="14" t="n"/>
      <c r="H502" s="29" t="n"/>
      <c r="I502" s="14" t="n"/>
      <c r="J502" s="29" t="n"/>
      <c r="K502" s="18">
        <f>IF($D502="","",IF($E502="Débito",-ABS($D502),ABS($D502)))</f>
        <v/>
      </c>
      <c r="L502" s="9">
        <f>IF($A502="","",IF(COUNTIFS('LANÇAMENTOS'!$D$6:$D$2005,$A502,'LANÇAMENTOS'!$V$6:$V$2005,ABS($D502),'LANÇAMENTOS'!$L$6:$L$2005,$F502)&gt;0,"✔ Encontrado na planilha",IF(COUNTIFS('LANÇAMENTOS'!$D$6:$D$2005,$A502,'LANÇAMENTOS'!$V$6:$V$2005,"&gt;="&amp;ABS($D502)*0.98,'LANÇAMENTOS'!$V$6:$V$2005,"&lt;="&amp;ABS($D502)*1.02)&gt;0,"🟡 Valor próximo de um lançamento","❌ Não localizado")))</f>
        <v/>
      </c>
    </row>
    <row r="503">
      <c r="A503" s="36" t="n"/>
      <c r="B503" s="29" t="n"/>
      <c r="C503" s="14" t="n"/>
      <c r="D503" s="35" t="n"/>
      <c r="E503" s="14" t="n"/>
      <c r="F503" s="29" t="n"/>
      <c r="G503" s="14" t="n"/>
      <c r="H503" s="29" t="n"/>
      <c r="I503" s="14" t="n"/>
      <c r="J503" s="29" t="n"/>
      <c r="K503" s="18">
        <f>IF($D503="","",IF($E503="Débito",-ABS($D503),ABS($D503)))</f>
        <v/>
      </c>
      <c r="L503" s="9">
        <f>IF($A503="","",IF(COUNTIFS('LANÇAMENTOS'!$D$6:$D$2005,$A503,'LANÇAMENTOS'!$V$6:$V$2005,ABS($D503),'LANÇAMENTOS'!$L$6:$L$2005,$F503)&gt;0,"✔ Encontrado na planilha",IF(COUNTIFS('LANÇAMENTOS'!$D$6:$D$2005,$A503,'LANÇAMENTOS'!$V$6:$V$2005,"&gt;="&amp;ABS($D503)*0.98,'LANÇAMENTOS'!$V$6:$V$2005,"&lt;="&amp;ABS($D503)*1.02)&gt;0,"🟡 Valor próximo de um lançamento","❌ Não localizado")))</f>
        <v/>
      </c>
    </row>
    <row r="504">
      <c r="A504" s="36" t="n"/>
      <c r="B504" s="29" t="n"/>
      <c r="C504" s="14" t="n"/>
      <c r="D504" s="35" t="n"/>
      <c r="E504" s="14" t="n"/>
      <c r="F504" s="29" t="n"/>
      <c r="G504" s="14" t="n"/>
      <c r="H504" s="29" t="n"/>
      <c r="I504" s="14" t="n"/>
      <c r="J504" s="29" t="n"/>
      <c r="K504" s="18">
        <f>IF($D504="","",IF($E504="Débito",-ABS($D504),ABS($D504)))</f>
        <v/>
      </c>
      <c r="L504" s="9">
        <f>IF($A504="","",IF(COUNTIFS('LANÇAMENTOS'!$D$6:$D$2005,$A504,'LANÇAMENTOS'!$V$6:$V$2005,ABS($D504),'LANÇAMENTOS'!$L$6:$L$2005,$F504)&gt;0,"✔ Encontrado na planilha",IF(COUNTIFS('LANÇAMENTOS'!$D$6:$D$2005,$A504,'LANÇAMENTOS'!$V$6:$V$2005,"&gt;="&amp;ABS($D504)*0.98,'LANÇAMENTOS'!$V$6:$V$2005,"&lt;="&amp;ABS($D504)*1.02)&gt;0,"🟡 Valor próximo de um lançamento","❌ Não localizado")))</f>
        <v/>
      </c>
    </row>
    <row r="505">
      <c r="A505" s="36" t="n"/>
      <c r="B505" s="29" t="n"/>
      <c r="C505" s="14" t="n"/>
      <c r="D505" s="35" t="n"/>
      <c r="E505" s="14" t="n"/>
      <c r="F505" s="29" t="n"/>
      <c r="G505" s="14" t="n"/>
      <c r="H505" s="29" t="n"/>
      <c r="I505" s="14" t="n"/>
      <c r="J505" s="29" t="n"/>
      <c r="K505" s="18">
        <f>IF($D505="","",IF($E505="Débito",-ABS($D505),ABS($D505)))</f>
        <v/>
      </c>
      <c r="L505" s="9">
        <f>IF($A505="","",IF(COUNTIFS('LANÇAMENTOS'!$D$6:$D$2005,$A505,'LANÇAMENTOS'!$V$6:$V$2005,ABS($D505),'LANÇAMENTOS'!$L$6:$L$2005,$F505)&gt;0,"✔ Encontrado na planilha",IF(COUNTIFS('LANÇAMENTOS'!$D$6:$D$2005,$A505,'LANÇAMENTOS'!$V$6:$V$2005,"&gt;="&amp;ABS($D505)*0.98,'LANÇAMENTOS'!$V$6:$V$2005,"&lt;="&amp;ABS($D505)*1.02)&gt;0,"🟡 Valor próximo de um lançamento","❌ Não localizado")))</f>
        <v/>
      </c>
    </row>
    <row r="506">
      <c r="A506" s="36" t="n"/>
      <c r="B506" s="29" t="n"/>
      <c r="C506" s="14" t="n"/>
      <c r="D506" s="35" t="n"/>
      <c r="E506" s="14" t="n"/>
      <c r="F506" s="29" t="n"/>
      <c r="G506" s="14" t="n"/>
      <c r="H506" s="29" t="n"/>
      <c r="I506" s="14" t="n"/>
      <c r="J506" s="29" t="n"/>
      <c r="K506" s="18">
        <f>IF($D506="","",IF($E506="Débito",-ABS($D506),ABS($D506)))</f>
        <v/>
      </c>
      <c r="L506" s="9">
        <f>IF($A506="","",IF(COUNTIFS('LANÇAMENTOS'!$D$6:$D$2005,$A506,'LANÇAMENTOS'!$V$6:$V$2005,ABS($D506),'LANÇAMENTOS'!$L$6:$L$2005,$F506)&gt;0,"✔ Encontrado na planilha",IF(COUNTIFS('LANÇAMENTOS'!$D$6:$D$2005,$A506,'LANÇAMENTOS'!$V$6:$V$2005,"&gt;="&amp;ABS($D506)*0.98,'LANÇAMENTOS'!$V$6:$V$2005,"&lt;="&amp;ABS($D506)*1.02)&gt;0,"🟡 Valor próximo de um lançamento","❌ Não localizado")))</f>
        <v/>
      </c>
    </row>
    <row r="507">
      <c r="A507" s="36" t="n"/>
      <c r="B507" s="29" t="n"/>
      <c r="C507" s="14" t="n"/>
      <c r="D507" s="35" t="n"/>
      <c r="E507" s="14" t="n"/>
      <c r="F507" s="29" t="n"/>
      <c r="G507" s="14" t="n"/>
      <c r="H507" s="29" t="n"/>
      <c r="I507" s="14" t="n"/>
      <c r="J507" s="29" t="n"/>
      <c r="K507" s="18">
        <f>IF($D507="","",IF($E507="Débito",-ABS($D507),ABS($D507)))</f>
        <v/>
      </c>
      <c r="L507" s="9">
        <f>IF($A507="","",IF(COUNTIFS('LANÇAMENTOS'!$D$6:$D$2005,$A507,'LANÇAMENTOS'!$V$6:$V$2005,ABS($D507),'LANÇAMENTOS'!$L$6:$L$2005,$F507)&gt;0,"✔ Encontrado na planilha",IF(COUNTIFS('LANÇAMENTOS'!$D$6:$D$2005,$A507,'LANÇAMENTOS'!$V$6:$V$2005,"&gt;="&amp;ABS($D507)*0.98,'LANÇAMENTOS'!$V$6:$V$2005,"&lt;="&amp;ABS($D507)*1.02)&gt;0,"🟡 Valor próximo de um lançamento","❌ Não localizado")))</f>
        <v/>
      </c>
    </row>
    <row r="508">
      <c r="A508" s="36" t="n"/>
      <c r="B508" s="29" t="n"/>
      <c r="C508" s="14" t="n"/>
      <c r="D508" s="35" t="n"/>
      <c r="E508" s="14" t="n"/>
      <c r="F508" s="29" t="n"/>
      <c r="G508" s="14" t="n"/>
      <c r="H508" s="29" t="n"/>
      <c r="I508" s="14" t="n"/>
      <c r="J508" s="29" t="n"/>
      <c r="K508" s="18">
        <f>IF($D508="","",IF($E508="Débito",-ABS($D508),ABS($D508)))</f>
        <v/>
      </c>
      <c r="L508" s="9">
        <f>IF($A508="","",IF(COUNTIFS('LANÇAMENTOS'!$D$6:$D$2005,$A508,'LANÇAMENTOS'!$V$6:$V$2005,ABS($D508),'LANÇAMENTOS'!$L$6:$L$2005,$F508)&gt;0,"✔ Encontrado na planilha",IF(COUNTIFS('LANÇAMENTOS'!$D$6:$D$2005,$A508,'LANÇAMENTOS'!$V$6:$V$2005,"&gt;="&amp;ABS($D508)*0.98,'LANÇAMENTOS'!$V$6:$V$2005,"&lt;="&amp;ABS($D508)*1.02)&gt;0,"🟡 Valor próximo de um lançamento","❌ Não localizado")))</f>
        <v/>
      </c>
    </row>
    <row r="509">
      <c r="A509" s="36" t="n"/>
      <c r="B509" s="29" t="n"/>
      <c r="C509" s="14" t="n"/>
      <c r="D509" s="35" t="n"/>
      <c r="E509" s="14" t="n"/>
      <c r="F509" s="29" t="n"/>
      <c r="G509" s="14" t="n"/>
      <c r="H509" s="29" t="n"/>
      <c r="I509" s="14" t="n"/>
      <c r="J509" s="29" t="n"/>
      <c r="K509" s="18">
        <f>IF($D509="","",IF($E509="Débito",-ABS($D509),ABS($D509)))</f>
        <v/>
      </c>
      <c r="L509" s="9">
        <f>IF($A509="","",IF(COUNTIFS('LANÇAMENTOS'!$D$6:$D$2005,$A509,'LANÇAMENTOS'!$V$6:$V$2005,ABS($D509),'LANÇAMENTOS'!$L$6:$L$2005,$F509)&gt;0,"✔ Encontrado na planilha",IF(COUNTIFS('LANÇAMENTOS'!$D$6:$D$2005,$A509,'LANÇAMENTOS'!$V$6:$V$2005,"&gt;="&amp;ABS($D509)*0.98,'LANÇAMENTOS'!$V$6:$V$2005,"&lt;="&amp;ABS($D509)*1.02)&gt;0,"🟡 Valor próximo de um lançamento","❌ Não localizado")))</f>
        <v/>
      </c>
    </row>
    <row r="510">
      <c r="A510" s="36" t="n"/>
      <c r="B510" s="29" t="n"/>
      <c r="C510" s="14" t="n"/>
      <c r="D510" s="35" t="n"/>
      <c r="E510" s="14" t="n"/>
      <c r="F510" s="29" t="n"/>
      <c r="G510" s="14" t="n"/>
      <c r="H510" s="29" t="n"/>
      <c r="I510" s="14" t="n"/>
      <c r="J510" s="29" t="n"/>
      <c r="K510" s="18">
        <f>IF($D510="","",IF($E510="Débito",-ABS($D510),ABS($D510)))</f>
        <v/>
      </c>
      <c r="L510" s="9">
        <f>IF($A510="","",IF(COUNTIFS('LANÇAMENTOS'!$D$6:$D$2005,$A510,'LANÇAMENTOS'!$V$6:$V$2005,ABS($D510),'LANÇAMENTOS'!$L$6:$L$2005,$F510)&gt;0,"✔ Encontrado na planilha",IF(COUNTIFS('LANÇAMENTOS'!$D$6:$D$2005,$A510,'LANÇAMENTOS'!$V$6:$V$2005,"&gt;="&amp;ABS($D510)*0.98,'LANÇAMENTOS'!$V$6:$V$2005,"&lt;="&amp;ABS($D510)*1.02)&gt;0,"🟡 Valor próximo de um lançamento","❌ Não localizado")))</f>
        <v/>
      </c>
    </row>
    <row r="511">
      <c r="A511" s="36" t="n"/>
      <c r="B511" s="29" t="n"/>
      <c r="C511" s="14" t="n"/>
      <c r="D511" s="35" t="n"/>
      <c r="E511" s="14" t="n"/>
      <c r="F511" s="29" t="n"/>
      <c r="G511" s="14" t="n"/>
      <c r="H511" s="29" t="n"/>
      <c r="I511" s="14" t="n"/>
      <c r="J511" s="29" t="n"/>
      <c r="K511" s="18">
        <f>IF($D511="","",IF($E511="Débito",-ABS($D511),ABS($D511)))</f>
        <v/>
      </c>
      <c r="L511" s="9">
        <f>IF($A511="","",IF(COUNTIFS('LANÇAMENTOS'!$D$6:$D$2005,$A511,'LANÇAMENTOS'!$V$6:$V$2005,ABS($D511),'LANÇAMENTOS'!$L$6:$L$2005,$F511)&gt;0,"✔ Encontrado na planilha",IF(COUNTIFS('LANÇAMENTOS'!$D$6:$D$2005,$A511,'LANÇAMENTOS'!$V$6:$V$2005,"&gt;="&amp;ABS($D511)*0.98,'LANÇAMENTOS'!$V$6:$V$2005,"&lt;="&amp;ABS($D511)*1.02)&gt;0,"🟡 Valor próximo de um lançamento","❌ Não localizado")))</f>
        <v/>
      </c>
    </row>
    <row r="512">
      <c r="A512" s="36" t="n"/>
      <c r="B512" s="29" t="n"/>
      <c r="C512" s="14" t="n"/>
      <c r="D512" s="35" t="n"/>
      <c r="E512" s="14" t="n"/>
      <c r="F512" s="29" t="n"/>
      <c r="G512" s="14" t="n"/>
      <c r="H512" s="29" t="n"/>
      <c r="I512" s="14" t="n"/>
      <c r="J512" s="29" t="n"/>
      <c r="K512" s="18">
        <f>IF($D512="","",IF($E512="Débito",-ABS($D512),ABS($D512)))</f>
        <v/>
      </c>
      <c r="L512" s="9">
        <f>IF($A512="","",IF(COUNTIFS('LANÇAMENTOS'!$D$6:$D$2005,$A512,'LANÇAMENTOS'!$V$6:$V$2005,ABS($D512),'LANÇAMENTOS'!$L$6:$L$2005,$F512)&gt;0,"✔ Encontrado na planilha",IF(COUNTIFS('LANÇAMENTOS'!$D$6:$D$2005,$A512,'LANÇAMENTOS'!$V$6:$V$2005,"&gt;="&amp;ABS($D512)*0.98,'LANÇAMENTOS'!$V$6:$V$2005,"&lt;="&amp;ABS($D512)*1.02)&gt;0,"🟡 Valor próximo de um lançamento","❌ Não localizado")))</f>
        <v/>
      </c>
    </row>
    <row r="513">
      <c r="A513" s="36" t="n"/>
      <c r="B513" s="29" t="n"/>
      <c r="C513" s="14" t="n"/>
      <c r="D513" s="35" t="n"/>
      <c r="E513" s="14" t="n"/>
      <c r="F513" s="29" t="n"/>
      <c r="G513" s="14" t="n"/>
      <c r="H513" s="29" t="n"/>
      <c r="I513" s="14" t="n"/>
      <c r="J513" s="29" t="n"/>
      <c r="K513" s="18">
        <f>IF($D513="","",IF($E513="Débito",-ABS($D513),ABS($D513)))</f>
        <v/>
      </c>
      <c r="L513" s="9">
        <f>IF($A513="","",IF(COUNTIFS('LANÇAMENTOS'!$D$6:$D$2005,$A513,'LANÇAMENTOS'!$V$6:$V$2005,ABS($D513),'LANÇAMENTOS'!$L$6:$L$2005,$F513)&gt;0,"✔ Encontrado na planilha",IF(COUNTIFS('LANÇAMENTOS'!$D$6:$D$2005,$A513,'LANÇAMENTOS'!$V$6:$V$2005,"&gt;="&amp;ABS($D513)*0.98,'LANÇAMENTOS'!$V$6:$V$2005,"&lt;="&amp;ABS($D513)*1.02)&gt;0,"🟡 Valor próximo de um lançamento","❌ Não localizado")))</f>
        <v/>
      </c>
    </row>
    <row r="514">
      <c r="A514" s="36" t="n"/>
      <c r="B514" s="29" t="n"/>
      <c r="C514" s="14" t="n"/>
      <c r="D514" s="35" t="n"/>
      <c r="E514" s="14" t="n"/>
      <c r="F514" s="29" t="n"/>
      <c r="G514" s="14" t="n"/>
      <c r="H514" s="29" t="n"/>
      <c r="I514" s="14" t="n"/>
      <c r="J514" s="29" t="n"/>
      <c r="K514" s="18">
        <f>IF($D514="","",IF($E514="Débito",-ABS($D514),ABS($D514)))</f>
        <v/>
      </c>
      <c r="L514" s="9">
        <f>IF($A514="","",IF(COUNTIFS('LANÇAMENTOS'!$D$6:$D$2005,$A514,'LANÇAMENTOS'!$V$6:$V$2005,ABS($D514),'LANÇAMENTOS'!$L$6:$L$2005,$F514)&gt;0,"✔ Encontrado na planilha",IF(COUNTIFS('LANÇAMENTOS'!$D$6:$D$2005,$A514,'LANÇAMENTOS'!$V$6:$V$2005,"&gt;="&amp;ABS($D514)*0.98,'LANÇAMENTOS'!$V$6:$V$2005,"&lt;="&amp;ABS($D514)*1.02)&gt;0,"🟡 Valor próximo de um lançamento","❌ Não localizado")))</f>
        <v/>
      </c>
    </row>
    <row r="515">
      <c r="A515" s="36" t="n"/>
      <c r="B515" s="29" t="n"/>
      <c r="C515" s="14" t="n"/>
      <c r="D515" s="35" t="n"/>
      <c r="E515" s="14" t="n"/>
      <c r="F515" s="29" t="n"/>
      <c r="G515" s="14" t="n"/>
      <c r="H515" s="29" t="n"/>
      <c r="I515" s="14" t="n"/>
      <c r="J515" s="29" t="n"/>
      <c r="K515" s="18">
        <f>IF($D515="","",IF($E515="Débito",-ABS($D515),ABS($D515)))</f>
        <v/>
      </c>
      <c r="L515" s="9">
        <f>IF($A515="","",IF(COUNTIFS('LANÇAMENTOS'!$D$6:$D$2005,$A515,'LANÇAMENTOS'!$V$6:$V$2005,ABS($D515),'LANÇAMENTOS'!$L$6:$L$2005,$F515)&gt;0,"✔ Encontrado na planilha",IF(COUNTIFS('LANÇAMENTOS'!$D$6:$D$2005,$A515,'LANÇAMENTOS'!$V$6:$V$2005,"&gt;="&amp;ABS($D515)*0.98,'LANÇAMENTOS'!$V$6:$V$2005,"&lt;="&amp;ABS($D515)*1.02)&gt;0,"🟡 Valor próximo de um lançamento","❌ Não localizado")))</f>
        <v/>
      </c>
    </row>
    <row r="516">
      <c r="A516" s="36" t="n"/>
      <c r="B516" s="29" t="n"/>
      <c r="C516" s="14" t="n"/>
      <c r="D516" s="35" t="n"/>
      <c r="E516" s="14" t="n"/>
      <c r="F516" s="29" t="n"/>
      <c r="G516" s="14" t="n"/>
      <c r="H516" s="29" t="n"/>
      <c r="I516" s="14" t="n"/>
      <c r="J516" s="29" t="n"/>
      <c r="K516" s="18">
        <f>IF($D516="","",IF($E516="Débito",-ABS($D516),ABS($D516)))</f>
        <v/>
      </c>
      <c r="L516" s="9">
        <f>IF($A516="","",IF(COUNTIFS('LANÇAMENTOS'!$D$6:$D$2005,$A516,'LANÇAMENTOS'!$V$6:$V$2005,ABS($D516),'LANÇAMENTOS'!$L$6:$L$2005,$F516)&gt;0,"✔ Encontrado na planilha",IF(COUNTIFS('LANÇAMENTOS'!$D$6:$D$2005,$A516,'LANÇAMENTOS'!$V$6:$V$2005,"&gt;="&amp;ABS($D516)*0.98,'LANÇAMENTOS'!$V$6:$V$2005,"&lt;="&amp;ABS($D516)*1.02)&gt;0,"🟡 Valor próximo de um lançamento","❌ Não localizado")))</f>
        <v/>
      </c>
    </row>
    <row r="518" ht="20" customHeight="1">
      <c r="A518" s="4" t="inlineStr">
        <is>
          <t>3. PENDÊNCIAS E DIVERGÊNCIAS — O QUE PRECISA DE AÇÃO</t>
        </is>
      </c>
      <c r="B518" s="4" t="n"/>
      <c r="C518" s="4" t="n"/>
      <c r="D518" s="4" t="n"/>
      <c r="E518" s="4" t="n"/>
      <c r="F518" s="4" t="n"/>
      <c r="G518" s="4" t="n"/>
      <c r="H518" s="4" t="n"/>
    </row>
    <row r="519" ht="22" customHeight="1">
      <c r="A519" s="21" t="inlineStr">
        <is>
          <t>Tipo de pendência</t>
        </is>
      </c>
      <c r="B519" s="21" t="inlineStr">
        <is>
          <t>Valor</t>
        </is>
      </c>
      <c r="C519" s="21" t="inlineStr">
        <is>
          <t>Quantidade</t>
        </is>
      </c>
      <c r="D519" s="21" t="inlineStr">
        <is>
          <t>Ação recomendada</t>
        </is>
      </c>
    </row>
    <row r="520">
      <c r="A520" s="9" t="inlineStr">
        <is>
          <t>Itens divergentes (valor diferente do sistema)</t>
        </is>
      </c>
      <c r="B520" s="18">
        <f>SUMIF($G$17:$G$516,"Divergente",$D$17:$D$516)</f>
        <v/>
      </c>
      <c r="C520" s="24">
        <f>COUNTIF($G$17:$G$516,"Divergente")</f>
        <v/>
      </c>
      <c r="D520" s="25" t="inlineStr">
        <is>
          <t>Conferir o comprovante e corrigir o valor na planilha ou no extrato.</t>
        </is>
      </c>
    </row>
    <row r="521">
      <c r="A521" s="9" t="inlineStr">
        <is>
          <t>Itens pendentes de classificação</t>
        </is>
      </c>
      <c r="B521" s="18">
        <f>SUMIF($G$17:$G$516,"Pendente",$D$17:$D$516)</f>
        <v/>
      </c>
      <c r="C521" s="24">
        <f>COUNTIF($G$17:$G$516,"Pendente")</f>
        <v/>
      </c>
      <c r="D521" s="25" t="inlineStr">
        <is>
          <t>Identificar a origem e classificar (categoria e centro de custo).</t>
        </is>
      </c>
    </row>
    <row r="522">
      <c r="A522" s="9" t="inlineStr">
        <is>
          <t>Itens do extrato sem lançamento na planilha</t>
        </is>
      </c>
      <c r="B522" s="18">
        <f>SUMIF($L$17:$L$516,"Não localizado",$D$17:$D$516)</f>
        <v/>
      </c>
      <c r="C522" s="24">
        <f>COUNTIF($L$17:$L$516,"Não localizado")</f>
        <v/>
      </c>
      <c r="D522" s="25" t="inlineStr">
        <is>
          <t>Registrar o lançamento na aba LANÇAMENTOS com a mesma data e valor.</t>
        </is>
      </c>
    </row>
    <row r="523">
      <c r="A523" s="9" t="inlineStr">
        <is>
          <t>Total de itens do extrato</t>
        </is>
      </c>
      <c r="B523" s="18">
        <f>SUM($D$17:$D$516)</f>
        <v/>
      </c>
      <c r="C523" s="24">
        <f>COUNTA($A$17:$A$516)</f>
        <v/>
      </c>
      <c r="D523" s="25" t="inlineStr">
        <is>
          <t>Meta: 100% dos itens conciliados.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16:L516"/>
  <mergeCells count="30">
    <mergeCell ref="C6:D6"/>
    <mergeCell ref="A11:B11"/>
    <mergeCell ref="G11:H11"/>
    <mergeCell ref="A15:N15"/>
    <mergeCell ref="G8:H8"/>
    <mergeCell ref="E8:F8"/>
    <mergeCell ref="A6:B6"/>
    <mergeCell ref="C10:D10"/>
    <mergeCell ref="A7:B7"/>
    <mergeCell ref="G7:H7"/>
    <mergeCell ref="E10:F10"/>
    <mergeCell ref="G10:H10"/>
    <mergeCell ref="G6:H6"/>
    <mergeCell ref="C9:D9"/>
    <mergeCell ref="E9:F9"/>
    <mergeCell ref="A1:J1"/>
    <mergeCell ref="A3:N3"/>
    <mergeCell ref="E6:F6"/>
    <mergeCell ref="C11:D11"/>
    <mergeCell ref="E11:F11"/>
    <mergeCell ref="A5:H5"/>
    <mergeCell ref="A8:B8"/>
    <mergeCell ref="C8:D8"/>
    <mergeCell ref="C7:D7"/>
    <mergeCell ref="E7:F7"/>
    <mergeCell ref="A10:B10"/>
    <mergeCell ref="A2:J2"/>
    <mergeCell ref="A9:B9"/>
    <mergeCell ref="G9:H9"/>
    <mergeCell ref="A518:H518"/>
  </mergeCells>
  <conditionalFormatting sqref="G17:G516">
    <cfRule type="expression" priority="1" dxfId="4" stopIfTrue="0">
      <formula>ISNUMBER(SEARCH("Conciliado",G17))</formula>
    </cfRule>
    <cfRule type="expression" priority="2" dxfId="3" stopIfTrue="0">
      <formula>ISNUMBER(SEARCH("Pendente",G17))</formula>
    </cfRule>
    <cfRule type="expression" priority="3" dxfId="2" stopIfTrue="0">
      <formula>ISNUMBER(SEARCH("Divergente",G17))</formula>
    </cfRule>
  </conditionalFormatting>
  <conditionalFormatting sqref="L17:L516">
    <cfRule type="expression" priority="4" dxfId="2" stopIfTrue="0">
      <formula>ISNUMBER(SEARCH("Não localizado",L17))</formula>
    </cfRule>
    <cfRule type="expression" priority="5" dxfId="4" stopIfTrue="0">
      <formula>ISNUMBER(SEARCH("Encontrado",L17))</formula>
    </cfRule>
    <cfRule type="expression" priority="6" dxfId="3" stopIfTrue="0">
      <formula>ISNUMBER(SEARCH("próximo",L17))</formula>
    </cfRule>
  </conditionalFormatting>
  <conditionalFormatting sqref="B520">
    <cfRule type="cellIs" priority="7" operator="greaterThan" dxfId="0">
      <formula>0</formula>
    </cfRule>
  </conditionalFormatting>
  <dataValidations count="5">
    <dataValidation sqref="E17:E516" showDropDown="0" showInputMessage="1" showErrorMessage="1" allowBlank="1" errorTitle="Tipo inválido" error="Escolha Crédito (entrada) ou Débito (saída)." promptTitle="Valores permitidos" prompt="Escolha Crédito (entrada) ou Débito (saída)." type="list" errorStyle="stop">
      <formula1>"Crédito,Débito"</formula1>
    </dataValidation>
    <dataValidation sqref="G17:G516" showDropDown="0" showInputMessage="1" showErrorMessage="1" allowBlank="1" errorTitle="Status inválido" error="Escolha Conciliado, Pendente ou Divergente." promptTitle="Valores permitidos" prompt="Escolha Conciliado, Pendente ou Divergente." type="list" errorStyle="stop">
      <formula1>STATUS_CONCILIACAO</formula1>
    </dataValidation>
    <dataValidation sqref="F17:F516" showDropDown="0" showInputMessage="1" showErrorMessage="1" allowBlank="1" errorTitle="Conta inválida" error="Escolha uma conta cadastrada na aba CONTAS BANCÁRIAS." promptTitle="Valores permitidos" prompt="Escolha uma conta cadastrada na aba CONTAS BANCÁRIAS." type="list" errorStyle="warning">
      <formula1>CONTAS_BANCARIAS</formula1>
    </dataValidation>
    <dataValidation sqref="A17:A516" showDropDown="0" showInputMessage="0" showErrorMessage="1" allowBlank="1" errorTitle="Data inválida" error="Informe uma data válida (entre 01/01/2000 e 31/12/2100)." type="date" errorStyle="warning" operator="between">
      <formula1>DATE(2000,1,1)</formula1>
      <formula2>DATE(2100,12,31)</formula2>
    </dataValidation>
    <dataValidation sqref="D17:D516" showDropDown="0" showInputMessage="0" showErrorMessage="1" allowBlank="1" errorTitle="Valor inválido" error="Informe o valor do extrato (sem sinal)." type="decimal" errorStyle="stop" operator="greaterThanOrEqual">
      <formula1>0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O98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26" t="inlineStr">
        <is>
          <t>INADIMPLÊNCIA — ANÁLISE DE ATRASOS E RANKING DE CLIENTES</t>
        </is>
      </c>
    </row>
    <row r="2">
      <c r="A2" s="27" t="inlineStr">
        <is>
          <t>Quanto está vencido, há quantos dias, de quais clientes e qual o impacto no caixa. Faixas de atraso (aging), ranking de clientes, evolução mensal e ações recomendadas.</t>
        </is>
      </c>
    </row>
    <row r="3" ht="24" customHeight="1">
      <c r="A3" s="3" t="inlineStr">
        <is>
          <t>⚠ DADOS DE EXEMPLO. Considera os títulos de entrada em aberto com vencimento anterior a HOJE. O percentual de inadimplência compara o valor vencido com o faturamento do ano.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5" ht="20" customHeight="1">
      <c r="A5" s="4" t="inlineStr">
        <is>
          <t>1. INDICADORES DE INADIMPLÊNCIA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6" customHeight="1">
      <c r="A6" s="5" t="inlineStr">
        <is>
          <t>Total vencido a receber</t>
        </is>
      </c>
      <c r="B6" s="5" t="n"/>
      <c r="C6" s="5" t="inlineStr">
        <is>
          <t>Índice de inadimplência</t>
        </is>
      </c>
      <c r="D6" s="5" t="n"/>
      <c r="E6" s="5" t="inlineStr">
        <is>
          <t>Clientes com atraso</t>
        </is>
      </c>
      <c r="F6" s="5" t="n"/>
      <c r="G6" s="5" t="inlineStr">
        <is>
          <t>Atraso médio dos títulos vencidos (dias)</t>
        </is>
      </c>
      <c r="H6" s="5" t="n"/>
    </row>
    <row r="7" ht="30" customHeight="1">
      <c r="A7" s="6">
        <f>SUMIFS('LANÇAMENTOS'!$W$6:$W$2005,'LANÇAMENTOS'!$E$6:$E$2005,"Entrada",'LANÇAMENTOS'!$W$6:$W$2005,"&gt;0",'LANÇAMENTOS'!$C$6:$C$2005,"&lt;"&amp;TODAY())</f>
        <v/>
      </c>
      <c r="B7" s="6" t="n"/>
      <c r="C7" s="15">
        <f>IFERROR(SUMIFS('LANÇAMENTOS'!$W$6:$W$2005,'LANÇAMENTOS'!$E$6:$E$2005,"Entrada",'LANÇAMENTOS'!$W$6:$W$2005,"&gt;0",'LANÇAMENTOS'!$C$6:$C$2005,"&lt;"&amp;TODAY())/SUMIFS('LANÇAMENTOS'!$AE$6:$AE$2005,'LANÇAMENTOS'!$AF$6:$AF$2005,"Faturamento Bruto",'LANÇAMENTOS'!$AA$6:$AA$2005,'CONFIGURAÇÕES'!$B$18),"")</f>
        <v/>
      </c>
      <c r="D7" s="15" t="n"/>
      <c r="E7" s="16">
        <f>SUMPRODUCT((COUNTIFS('LANÇAMENTOS'!$I$6:$I$2005,'CADASTRO DE CLIENTES'!$C$6:$C$65,'LANÇAMENTOS'!$E$6:$E$2005,"Entrada",'LANÇAMENTOS'!$W$6:$W$2005,"&gt;0",'LANÇAMENTOS'!$C$6:$C$2005,"&lt;"&amp;TODAY())&gt;0)*1)</f>
        <v/>
      </c>
      <c r="F7" s="16" t="n"/>
      <c r="G7" s="16">
        <f>IFERROR(SUMIFS('LANÇAMENTOS'!$AJ$6:$AJ$2005,'LANÇAMENTOS'!$E$6:$E$2005,"Entrada",'LANÇAMENTOS'!$W$6:$W$2005,"&gt;0",'LANÇAMENTOS'!$C$6:$C$2005,"&lt;"&amp;TODAY())/MAX(1,COUNTIFS('LANÇAMENTOS'!$E$6:$E$2005,"Entrada",'LANÇAMENTOS'!$W$6:$W$2005,"&gt;0",'LANÇAMENTOS'!$C$6:$C$2005,"&lt;"&amp;TODAY())),"")</f>
        <v/>
      </c>
      <c r="H7" s="16" t="n"/>
    </row>
    <row r="8" ht="16" customHeight="1">
      <c r="A8" s="40" t="inlineStr">
        <is>
          <t>Valores em atraso</t>
        </is>
      </c>
      <c r="B8" s="40" t="n"/>
      <c r="C8" s="40" t="inlineStr">
        <is>
          <t>Vencido ÷ faturamento</t>
        </is>
      </c>
      <c r="D8" s="40" t="n"/>
      <c r="E8" s="40" t="inlineStr">
        <is>
          <t>Quantos clientes</t>
        </is>
      </c>
      <c r="F8" s="40" t="n"/>
      <c r="G8" s="40" t="inlineStr">
        <is>
          <t>Média simples dos dias em atraso</t>
        </is>
      </c>
      <c r="H8" s="40" t="n"/>
    </row>
    <row r="10" ht="20" customHeight="1">
      <c r="A10" s="4" t="inlineStr">
        <is>
          <t>2. AGING — FAIXAS DE ATRASO (quanto está vencido em cada faixa)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30" customHeight="1">
      <c r="A11" s="34" t="inlineStr">
        <is>
          <t>Faixa de atraso</t>
        </is>
      </c>
      <c r="B11" s="34" t="inlineStr">
        <is>
          <t>Valor vencido</t>
        </is>
      </c>
      <c r="C11" s="34" t="inlineStr">
        <is>
          <t>Qtd. títulos</t>
        </is>
      </c>
      <c r="D11" s="34" t="inlineStr">
        <is>
          <t>% do vencido</t>
        </is>
      </c>
      <c r="E11" s="34" t="inlineStr">
        <is>
          <t>Menor atraso</t>
        </is>
      </c>
      <c r="F11" s="34" t="inlineStr">
        <is>
          <t>Maior atraso</t>
        </is>
      </c>
      <c r="G11" s="34" t="inlineStr">
        <is>
          <t>Ação recomendada</t>
        </is>
      </c>
    </row>
    <row r="12">
      <c r="A12" s="9" t="inlineStr">
        <is>
          <t>1 a 7 dias</t>
        </is>
      </c>
      <c r="B12" s="18">
        <f>SUMIFS('LANÇAMENTOS'!$W$6:$W$2005,'LANÇAMENTOS'!$E$6:$E$2005,"Entrada",'LANÇAMENTOS'!$W$6:$W$2005,"&gt;0",'LANÇAMENTOS'!$AJ$6:$AJ$2005,"&gt;="&amp;1,'LANÇAMENTOS'!$AJ$6:$AJ$2005,"&lt;="&amp;7)</f>
        <v/>
      </c>
      <c r="C12" s="24">
        <f>COUNTIFS('LANÇAMENTOS'!$E$6:$E$2005,"Entrada",'LANÇAMENTOS'!$W$6:$W$2005,"&gt;0",'LANÇAMENTOS'!$AJ$6:$AJ$2005,"&gt;="&amp;1,'LANÇAMENTOS'!$AJ$6:$AJ$2005,"&lt;="&amp;7)</f>
        <v/>
      </c>
      <c r="D12" s="23">
        <f>IF(SUM($B$12:$B$17)=0,"",$B12/SUM($B$12:$B$17))</f>
        <v/>
      </c>
      <c r="E12" s="24" t="n">
        <v>1</v>
      </c>
      <c r="F12" s="17" t="n">
        <v>7</v>
      </c>
      <c r="G12" s="25" t="inlineStr">
        <is>
          <t>Cobrança amigável (e-mail/telefone)</t>
        </is>
      </c>
    </row>
    <row r="13">
      <c r="A13" s="9" t="inlineStr">
        <is>
          <t>8 a 15 dias</t>
        </is>
      </c>
      <c r="B13" s="18">
        <f>SUMIFS('LANÇAMENTOS'!$W$6:$W$2005,'LANÇAMENTOS'!$E$6:$E$2005,"Entrada",'LANÇAMENTOS'!$W$6:$W$2005,"&gt;0",'LANÇAMENTOS'!$AJ$6:$AJ$2005,"&gt;="&amp;8,'LANÇAMENTOS'!$AJ$6:$AJ$2005,"&lt;="&amp;15)</f>
        <v/>
      </c>
      <c r="C13" s="24">
        <f>COUNTIFS('LANÇAMENTOS'!$E$6:$E$2005,"Entrada",'LANÇAMENTOS'!$W$6:$W$2005,"&gt;0",'LANÇAMENTOS'!$AJ$6:$AJ$2005,"&gt;="&amp;8,'LANÇAMENTOS'!$AJ$6:$AJ$2005,"&lt;="&amp;15)</f>
        <v/>
      </c>
      <c r="D13" s="23">
        <f>IF(SUM($B$12:$B$17)=0,"",$B13/SUM($B$12:$B$17))</f>
        <v/>
      </c>
      <c r="E13" s="24" t="n">
        <v>8</v>
      </c>
      <c r="F13" s="17" t="n">
        <v>15</v>
      </c>
      <c r="G13" s="25" t="inlineStr">
        <is>
          <t>Cobrança ativa + juros de mora</t>
        </is>
      </c>
    </row>
    <row r="14">
      <c r="A14" s="9" t="inlineStr">
        <is>
          <t>16 a 30 dias</t>
        </is>
      </c>
      <c r="B14" s="18">
        <f>SUMIFS('LANÇAMENTOS'!$W$6:$W$2005,'LANÇAMENTOS'!$E$6:$E$2005,"Entrada",'LANÇAMENTOS'!$W$6:$W$2005,"&gt;0",'LANÇAMENTOS'!$AJ$6:$AJ$2005,"&gt;="&amp;16,'LANÇAMENTOS'!$AJ$6:$AJ$2005,"&lt;="&amp;30)</f>
        <v/>
      </c>
      <c r="C14" s="24">
        <f>COUNTIFS('LANÇAMENTOS'!$E$6:$E$2005,"Entrada",'LANÇAMENTOS'!$W$6:$W$2005,"&gt;0",'LANÇAMENTOS'!$AJ$6:$AJ$2005,"&gt;="&amp;16,'LANÇAMENTOS'!$AJ$6:$AJ$2005,"&lt;="&amp;30)</f>
        <v/>
      </c>
      <c r="D14" s="23">
        <f>IF(SUM($B$12:$B$17)=0,"",$B14/SUM($B$12:$B$17))</f>
        <v/>
      </c>
      <c r="E14" s="24" t="n">
        <v>16</v>
      </c>
      <c r="F14" s="17" t="n">
        <v>30</v>
      </c>
      <c r="G14" s="25" t="inlineStr">
        <is>
          <t>Contato telefônico com o responsável</t>
        </is>
      </c>
    </row>
    <row r="15">
      <c r="A15" s="9" t="inlineStr">
        <is>
          <t>31 a 60 dias</t>
        </is>
      </c>
      <c r="B15" s="18">
        <f>SUMIFS('LANÇAMENTOS'!$W$6:$W$2005,'LANÇAMENTOS'!$E$6:$E$2005,"Entrada",'LANÇAMENTOS'!$W$6:$W$2005,"&gt;0",'LANÇAMENTOS'!$AJ$6:$AJ$2005,"&gt;="&amp;31,'LANÇAMENTOS'!$AJ$6:$AJ$2005,"&lt;="&amp;60)</f>
        <v/>
      </c>
      <c r="C15" s="24">
        <f>COUNTIFS('LANÇAMENTOS'!$E$6:$E$2005,"Entrada",'LANÇAMENTOS'!$W$6:$W$2005,"&gt;0",'LANÇAMENTOS'!$AJ$6:$AJ$2005,"&gt;="&amp;31,'LANÇAMENTOS'!$AJ$6:$AJ$2005,"&lt;="&amp;60)</f>
        <v/>
      </c>
      <c r="D15" s="23">
        <f>IF(SUM($B$12:$B$17)=0,"",$B15/SUM($B$12:$B$17))</f>
        <v/>
      </c>
      <c r="E15" s="24" t="n">
        <v>31</v>
      </c>
      <c r="F15" s="17" t="n">
        <v>60</v>
      </c>
      <c r="G15" s="25" t="inlineStr">
        <is>
          <t>Negociação formal / proposta de parcelamento</t>
        </is>
      </c>
    </row>
    <row r="16">
      <c r="A16" s="9" t="inlineStr">
        <is>
          <t>61 a 90 dias</t>
        </is>
      </c>
      <c r="B16" s="18">
        <f>SUMIFS('LANÇAMENTOS'!$W$6:$W$2005,'LANÇAMENTOS'!$E$6:$E$2005,"Entrada",'LANÇAMENTOS'!$W$6:$W$2005,"&gt;0",'LANÇAMENTOS'!$AJ$6:$AJ$2005,"&gt;="&amp;61,'LANÇAMENTOS'!$AJ$6:$AJ$2005,"&lt;="&amp;90)</f>
        <v/>
      </c>
      <c r="C16" s="24">
        <f>COUNTIFS('LANÇAMENTOS'!$E$6:$E$2005,"Entrada",'LANÇAMENTOS'!$W$6:$W$2005,"&gt;0",'LANÇAMENTOS'!$AJ$6:$AJ$2005,"&gt;="&amp;61,'LANÇAMENTOS'!$AJ$6:$AJ$2005,"&lt;="&amp;90)</f>
        <v/>
      </c>
      <c r="D16" s="23">
        <f>IF(SUM($B$12:$B$17)=0,"",$B16/SUM($B$12:$B$17))</f>
        <v/>
      </c>
      <c r="E16" s="24" t="n">
        <v>61</v>
      </c>
      <c r="F16" s="17" t="n">
        <v>90</v>
      </c>
      <c r="G16" s="25" t="inlineStr">
        <is>
          <t>Cobrança terceirizada ou protesto</t>
        </is>
      </c>
    </row>
    <row r="17">
      <c r="A17" s="9" t="inlineStr">
        <is>
          <t>Mais de 90 dias</t>
        </is>
      </c>
      <c r="B17" s="18">
        <f>SUMIFS('LANÇAMENTOS'!$W$6:$W$2005,'LANÇAMENTOS'!$E$6:$E$2005,"Entrada",'LANÇAMENTOS'!$W$6:$W$2005,"&gt;0",'LANÇAMENTOS'!$AJ$6:$AJ$2005,"&gt;="&amp;91,'LANÇAMENTOS'!$AJ$6:$AJ$2005,"&lt;="&amp;99999)</f>
        <v/>
      </c>
      <c r="C17" s="24">
        <f>COUNTIFS('LANÇAMENTOS'!$E$6:$E$2005,"Entrada",'LANÇAMENTOS'!$W$6:$W$2005,"&gt;0",'LANÇAMENTOS'!$AJ$6:$AJ$2005,"&gt;="&amp;91,'LANÇAMENTOS'!$AJ$6:$AJ$2005,"&lt;="&amp;99999)</f>
        <v/>
      </c>
      <c r="D17" s="23">
        <f>IF(SUM($B$12:$B$17)=0,"",$B17/SUM($B$12:$B$17))</f>
        <v/>
      </c>
      <c r="E17" s="24" t="n">
        <v>91</v>
      </c>
      <c r="F17" s="17" t="inlineStr">
        <is>
          <t>90+</t>
        </is>
      </c>
      <c r="G17" s="25" t="inlineStr">
        <is>
          <t>Protesto e avaliação jurídica — suspender crédito</t>
        </is>
      </c>
    </row>
    <row r="18">
      <c r="A18" s="37" t="inlineStr">
        <is>
          <t>TOTAL VENCIDO</t>
        </is>
      </c>
      <c r="B18" s="38">
        <f>SUM($B$12:$B$17)</f>
        <v/>
      </c>
      <c r="C18" s="41">
        <f>SUM($C$12:$C$17)</f>
        <v/>
      </c>
    </row>
    <row r="20" ht="20" customHeight="1">
      <c r="A20" s="4" t="inlineStr">
        <is>
          <t>3. RANKING DE CLIENTES COM VALORES EM ATRASO (maiores devedores)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30" customHeight="1">
      <c r="A21" s="34" t="inlineStr">
        <is>
          <t>Posição</t>
        </is>
      </c>
      <c r="B21" s="34" t="inlineStr">
        <is>
          <t>Cliente</t>
        </is>
      </c>
      <c r="C21" s="34" t="inlineStr">
        <is>
          <t>Valor vencido</t>
        </is>
      </c>
      <c r="D21" s="34" t="inlineStr">
        <is>
          <t>% do total vencido</t>
        </is>
      </c>
      <c r="E21" s="34" t="inlineStr">
        <is>
          <t>Carteira em aberto</t>
        </is>
      </c>
      <c r="F21" s="34" t="inlineStr">
        <is>
          <t>Maior atraso (dias)</t>
        </is>
      </c>
      <c r="G21" s="34" t="inlineStr">
        <is>
          <t>Títulos vencidos</t>
        </is>
      </c>
      <c r="H21" s="34" t="inlineStr">
        <is>
          <t>Status</t>
        </is>
      </c>
      <c r="I21" s="34" t="inlineStr">
        <is>
          <t>Telefone</t>
        </is>
      </c>
      <c r="J21" s="34" t="inlineStr">
        <is>
          <t>E-mail</t>
        </is>
      </c>
    </row>
    <row r="22">
      <c r="A22" s="24">
        <f>IFERROR(LARGE($B$39:$B$98,1),"")</f>
        <v/>
      </c>
      <c r="B22" s="9">
        <f>IF(OR($A22="",$A22&lt;=0),"",IFERROR(INDEX($A$39:$A$98,MATCH($A22,$B$39:$B$98,0)),""))</f>
        <v/>
      </c>
      <c r="C22" s="18">
        <f>IF($B22="","",SUMIFS('LANÇAMENTOS'!$W$6:$W$2005,'LANÇAMENTOS'!$I$6:$I$2005,$B22,'LANÇAMENTOS'!$E$6:$E$2005,"Entrada",'LANÇAMENTOS'!$W$6:$W$2005,"&gt;0",'LANÇAMENTOS'!$C$6:$C$2005,"&lt;"&amp;TODAY()))</f>
        <v/>
      </c>
      <c r="D22" s="23">
        <f>IF($C22="","",IFERROR($C22/SUMIFS('LANÇAMENTOS'!$W$6:$W$2005,'LANÇAMENTOS'!$E$6:$E$2005,"Entrada",'LANÇAMENTOS'!$W$6:$W$2005,"&gt;0",'LANÇAMENTOS'!$C$6:$C$2005,"&lt;"&amp;TODAY()),""))</f>
        <v/>
      </c>
      <c r="E22" s="18">
        <f>IF($B22="","",SUMIFS('LANÇAMENTOS'!$W$6:$W$2005,'LANÇAMENTOS'!$I$6:$I$2005,$B22,'LANÇAMENTOS'!$E$6:$E$2005,"Entrada",'LANÇAMENTOS'!$W$6:$W$2005,"&gt;0"))</f>
        <v/>
      </c>
      <c r="F22" s="24">
        <f>IF($B22="","",IFERROR(MAX(IF('LANÇAMENTOS'!$I$6:$I$2005=$B22,'LANÇAMENTOS'!$AJ$6:$AJ$2005)),""))</f>
        <v/>
      </c>
      <c r="G22" s="24">
        <f>IF($B22="","",COUNTIFS('LANÇAMENTOS'!$I$6:$I$2005,$B22,'LANÇAMENTOS'!$E$6:$E$2005,"Entrada",'LANÇAMENTOS'!$W$6:$W$2005,"&gt;0",'LANÇAMENTOS'!$C$6:$C$2005,"&lt;"&amp;TODAY()))</f>
        <v/>
      </c>
      <c r="H22" s="17">
        <f>IF($B22="","",IFERROR(INDEX('CADASTRO DE CLIENTES'!$M$6:$M$65,MATCH($B22,'CADASTRO DE CLIENTES'!$B$6:$B$65,0)),""))</f>
        <v/>
      </c>
      <c r="I22" s="9">
        <f>IF($B22="","",IFERROR(INDEX('CADASTRO DE CLIENTES'!$I$6:$I$65,MATCH($B22,'CADASTRO DE CLIENTES'!$B$6:$B$65,0)),""))</f>
        <v/>
      </c>
      <c r="J22" s="9">
        <f>IF($B22="","",IFERROR(INDEX('CADASTRO DE CLIENTES'!$H$6:$H$65,MATCH($B22,'CADASTRO DE CLIENTES'!$B$6:$B$65,0)),""))</f>
        <v/>
      </c>
    </row>
    <row r="23">
      <c r="A23" s="24">
        <f>IFERROR(LARGE($B$39:$B$98,2),"")</f>
        <v/>
      </c>
      <c r="B23" s="9">
        <f>IF(OR($A23="",$A23&lt;=0),"",IFERROR(INDEX($A$39:$A$98,MATCH($A23,$B$39:$B$98,0)),""))</f>
        <v/>
      </c>
      <c r="C23" s="18">
        <f>IF($B23="","",SUMIFS('LANÇAMENTOS'!$W$6:$W$2005,'LANÇAMENTOS'!$I$6:$I$2005,$B23,'LANÇAMENTOS'!$E$6:$E$2005,"Entrada",'LANÇAMENTOS'!$W$6:$W$2005,"&gt;0",'LANÇAMENTOS'!$C$6:$C$2005,"&lt;"&amp;TODAY()))</f>
        <v/>
      </c>
      <c r="D23" s="23">
        <f>IF($C23="","",IFERROR($C23/SUMIFS('LANÇAMENTOS'!$W$6:$W$2005,'LANÇAMENTOS'!$E$6:$E$2005,"Entrada",'LANÇAMENTOS'!$W$6:$W$2005,"&gt;0",'LANÇAMENTOS'!$C$6:$C$2005,"&lt;"&amp;TODAY()),""))</f>
        <v/>
      </c>
      <c r="E23" s="18">
        <f>IF($B23="","",SUMIFS('LANÇAMENTOS'!$W$6:$W$2005,'LANÇAMENTOS'!$I$6:$I$2005,$B23,'LANÇAMENTOS'!$E$6:$E$2005,"Entrada",'LANÇAMENTOS'!$W$6:$W$2005,"&gt;0"))</f>
        <v/>
      </c>
      <c r="F23" s="24">
        <f>IF($B23="","",IFERROR(MAX(IF('LANÇAMENTOS'!$I$6:$I$2005=$B23,'LANÇAMENTOS'!$AJ$6:$AJ$2005)),""))</f>
        <v/>
      </c>
      <c r="G23" s="24">
        <f>IF($B23="","",COUNTIFS('LANÇAMENTOS'!$I$6:$I$2005,$B23,'LANÇAMENTOS'!$E$6:$E$2005,"Entrada",'LANÇAMENTOS'!$W$6:$W$2005,"&gt;0",'LANÇAMENTOS'!$C$6:$C$2005,"&lt;"&amp;TODAY()))</f>
        <v/>
      </c>
      <c r="H23" s="17">
        <f>IF($B23="","",IFERROR(INDEX('CADASTRO DE CLIENTES'!$M$6:$M$65,MATCH($B23,'CADASTRO DE CLIENTES'!$B$6:$B$65,0)),""))</f>
        <v/>
      </c>
      <c r="I23" s="9">
        <f>IF($B23="","",IFERROR(INDEX('CADASTRO DE CLIENTES'!$I$6:$I$65,MATCH($B23,'CADASTRO DE CLIENTES'!$B$6:$B$65,0)),""))</f>
        <v/>
      </c>
      <c r="J23" s="9">
        <f>IF($B23="","",IFERROR(INDEX('CADASTRO DE CLIENTES'!$H$6:$H$65,MATCH($B23,'CADASTRO DE CLIENTES'!$B$6:$B$65,0)),""))</f>
        <v/>
      </c>
    </row>
    <row r="24">
      <c r="A24" s="24">
        <f>IFERROR(LARGE($B$39:$B$98,3),"")</f>
        <v/>
      </c>
      <c r="B24" s="9">
        <f>IF(OR($A24="",$A24&lt;=0),"",IFERROR(INDEX($A$39:$A$98,MATCH($A24,$B$39:$B$98,0)),""))</f>
        <v/>
      </c>
      <c r="C24" s="18">
        <f>IF($B24="","",SUMIFS('LANÇAMENTOS'!$W$6:$W$2005,'LANÇAMENTOS'!$I$6:$I$2005,$B24,'LANÇAMENTOS'!$E$6:$E$2005,"Entrada",'LANÇAMENTOS'!$W$6:$W$2005,"&gt;0",'LANÇAMENTOS'!$C$6:$C$2005,"&lt;"&amp;TODAY()))</f>
        <v/>
      </c>
      <c r="D24" s="23">
        <f>IF($C24="","",IFERROR($C24/SUMIFS('LANÇAMENTOS'!$W$6:$W$2005,'LANÇAMENTOS'!$E$6:$E$2005,"Entrada",'LANÇAMENTOS'!$W$6:$W$2005,"&gt;0",'LANÇAMENTOS'!$C$6:$C$2005,"&lt;"&amp;TODAY()),""))</f>
        <v/>
      </c>
      <c r="E24" s="18">
        <f>IF($B24="","",SUMIFS('LANÇAMENTOS'!$W$6:$W$2005,'LANÇAMENTOS'!$I$6:$I$2005,$B24,'LANÇAMENTOS'!$E$6:$E$2005,"Entrada",'LANÇAMENTOS'!$W$6:$W$2005,"&gt;0"))</f>
        <v/>
      </c>
      <c r="F24" s="24">
        <f>IF($B24="","",IFERROR(MAX(IF('LANÇAMENTOS'!$I$6:$I$2005=$B24,'LANÇAMENTOS'!$AJ$6:$AJ$2005)),""))</f>
        <v/>
      </c>
      <c r="G24" s="24">
        <f>IF($B24="","",COUNTIFS('LANÇAMENTOS'!$I$6:$I$2005,$B24,'LANÇAMENTOS'!$E$6:$E$2005,"Entrada",'LANÇAMENTOS'!$W$6:$W$2005,"&gt;0",'LANÇAMENTOS'!$C$6:$C$2005,"&lt;"&amp;TODAY()))</f>
        <v/>
      </c>
      <c r="H24" s="17">
        <f>IF($B24="","",IFERROR(INDEX('CADASTRO DE CLIENTES'!$M$6:$M$65,MATCH($B24,'CADASTRO DE CLIENTES'!$B$6:$B$65,0)),""))</f>
        <v/>
      </c>
      <c r="I24" s="9">
        <f>IF($B24="","",IFERROR(INDEX('CADASTRO DE CLIENTES'!$I$6:$I$65,MATCH($B24,'CADASTRO DE CLIENTES'!$B$6:$B$65,0)),""))</f>
        <v/>
      </c>
      <c r="J24" s="9">
        <f>IF($B24="","",IFERROR(INDEX('CADASTRO DE CLIENTES'!$H$6:$H$65,MATCH($B24,'CADASTRO DE CLIENTES'!$B$6:$B$65,0)),""))</f>
        <v/>
      </c>
    </row>
    <row r="25">
      <c r="A25" s="24">
        <f>IFERROR(LARGE($B$39:$B$98,4),"")</f>
        <v/>
      </c>
      <c r="B25" s="9">
        <f>IF(OR($A25="",$A25&lt;=0),"",IFERROR(INDEX($A$39:$A$98,MATCH($A25,$B$39:$B$98,0)),""))</f>
        <v/>
      </c>
      <c r="C25" s="18">
        <f>IF($B25="","",SUMIFS('LANÇAMENTOS'!$W$6:$W$2005,'LANÇAMENTOS'!$I$6:$I$2005,$B25,'LANÇAMENTOS'!$E$6:$E$2005,"Entrada",'LANÇAMENTOS'!$W$6:$W$2005,"&gt;0",'LANÇAMENTOS'!$C$6:$C$2005,"&lt;"&amp;TODAY()))</f>
        <v/>
      </c>
      <c r="D25" s="23">
        <f>IF($C25="","",IFERROR($C25/SUMIFS('LANÇAMENTOS'!$W$6:$W$2005,'LANÇAMENTOS'!$E$6:$E$2005,"Entrada",'LANÇAMENTOS'!$W$6:$W$2005,"&gt;0",'LANÇAMENTOS'!$C$6:$C$2005,"&lt;"&amp;TODAY()),""))</f>
        <v/>
      </c>
      <c r="E25" s="18">
        <f>IF($B25="","",SUMIFS('LANÇAMENTOS'!$W$6:$W$2005,'LANÇAMENTOS'!$I$6:$I$2005,$B25,'LANÇAMENTOS'!$E$6:$E$2005,"Entrada",'LANÇAMENTOS'!$W$6:$W$2005,"&gt;0"))</f>
        <v/>
      </c>
      <c r="F25" s="24">
        <f>IF($B25="","",IFERROR(MAX(IF('LANÇAMENTOS'!$I$6:$I$2005=$B25,'LANÇAMENTOS'!$AJ$6:$AJ$2005)),""))</f>
        <v/>
      </c>
      <c r="G25" s="24">
        <f>IF($B25="","",COUNTIFS('LANÇAMENTOS'!$I$6:$I$2005,$B25,'LANÇAMENTOS'!$E$6:$E$2005,"Entrada",'LANÇAMENTOS'!$W$6:$W$2005,"&gt;0",'LANÇAMENTOS'!$C$6:$C$2005,"&lt;"&amp;TODAY()))</f>
        <v/>
      </c>
      <c r="H25" s="17">
        <f>IF($B25="","",IFERROR(INDEX('CADASTRO DE CLIENTES'!$M$6:$M$65,MATCH($B25,'CADASTRO DE CLIENTES'!$B$6:$B$65,0)),""))</f>
        <v/>
      </c>
      <c r="I25" s="9">
        <f>IF($B25="","",IFERROR(INDEX('CADASTRO DE CLIENTES'!$I$6:$I$65,MATCH($B25,'CADASTRO DE CLIENTES'!$B$6:$B$65,0)),""))</f>
        <v/>
      </c>
      <c r="J25" s="9">
        <f>IF($B25="","",IFERROR(INDEX('CADASTRO DE CLIENTES'!$H$6:$H$65,MATCH($B25,'CADASTRO DE CLIENTES'!$B$6:$B$65,0)),""))</f>
        <v/>
      </c>
    </row>
    <row r="26">
      <c r="A26" s="24">
        <f>IFERROR(LARGE($B$39:$B$98,5),"")</f>
        <v/>
      </c>
      <c r="B26" s="9">
        <f>IF(OR($A26="",$A26&lt;=0),"",IFERROR(INDEX($A$39:$A$98,MATCH($A26,$B$39:$B$98,0)),""))</f>
        <v/>
      </c>
      <c r="C26" s="18">
        <f>IF($B26="","",SUMIFS('LANÇAMENTOS'!$W$6:$W$2005,'LANÇAMENTOS'!$I$6:$I$2005,$B26,'LANÇAMENTOS'!$E$6:$E$2005,"Entrada",'LANÇAMENTOS'!$W$6:$W$2005,"&gt;0",'LANÇAMENTOS'!$C$6:$C$2005,"&lt;"&amp;TODAY()))</f>
        <v/>
      </c>
      <c r="D26" s="23">
        <f>IF($C26="","",IFERROR($C26/SUMIFS('LANÇAMENTOS'!$W$6:$W$2005,'LANÇAMENTOS'!$E$6:$E$2005,"Entrada",'LANÇAMENTOS'!$W$6:$W$2005,"&gt;0",'LANÇAMENTOS'!$C$6:$C$2005,"&lt;"&amp;TODAY()),""))</f>
        <v/>
      </c>
      <c r="E26" s="18">
        <f>IF($B26="","",SUMIFS('LANÇAMENTOS'!$W$6:$W$2005,'LANÇAMENTOS'!$I$6:$I$2005,$B26,'LANÇAMENTOS'!$E$6:$E$2005,"Entrada",'LANÇAMENTOS'!$W$6:$W$2005,"&gt;0"))</f>
        <v/>
      </c>
      <c r="F26" s="24">
        <f>IF($B26="","",IFERROR(MAX(IF('LANÇAMENTOS'!$I$6:$I$2005=$B26,'LANÇAMENTOS'!$AJ$6:$AJ$2005)),""))</f>
        <v/>
      </c>
      <c r="G26" s="24">
        <f>IF($B26="","",COUNTIFS('LANÇAMENTOS'!$I$6:$I$2005,$B26,'LANÇAMENTOS'!$E$6:$E$2005,"Entrada",'LANÇAMENTOS'!$W$6:$W$2005,"&gt;0",'LANÇAMENTOS'!$C$6:$C$2005,"&lt;"&amp;TODAY()))</f>
        <v/>
      </c>
      <c r="H26" s="17">
        <f>IF($B26="","",IFERROR(INDEX('CADASTRO DE CLIENTES'!$M$6:$M$65,MATCH($B26,'CADASTRO DE CLIENTES'!$B$6:$B$65,0)),""))</f>
        <v/>
      </c>
      <c r="I26" s="9">
        <f>IF($B26="","",IFERROR(INDEX('CADASTRO DE CLIENTES'!$I$6:$I$65,MATCH($B26,'CADASTRO DE CLIENTES'!$B$6:$B$65,0)),""))</f>
        <v/>
      </c>
      <c r="J26" s="9">
        <f>IF($B26="","",IFERROR(INDEX('CADASTRO DE CLIENTES'!$H$6:$H$65,MATCH($B26,'CADASTRO DE CLIENTES'!$B$6:$B$65,0)),""))</f>
        <v/>
      </c>
    </row>
    <row r="27">
      <c r="A27" s="24">
        <f>IFERROR(LARGE($B$39:$B$98,6),"")</f>
        <v/>
      </c>
      <c r="B27" s="9">
        <f>IF(OR($A27="",$A27&lt;=0),"",IFERROR(INDEX($A$39:$A$98,MATCH($A27,$B$39:$B$98,0)),""))</f>
        <v/>
      </c>
      <c r="C27" s="18">
        <f>IF($B27="","",SUMIFS('LANÇAMENTOS'!$W$6:$W$2005,'LANÇAMENTOS'!$I$6:$I$2005,$B27,'LANÇAMENTOS'!$E$6:$E$2005,"Entrada",'LANÇAMENTOS'!$W$6:$W$2005,"&gt;0",'LANÇAMENTOS'!$C$6:$C$2005,"&lt;"&amp;TODAY()))</f>
        <v/>
      </c>
      <c r="D27" s="23">
        <f>IF($C27="","",IFERROR($C27/SUMIFS('LANÇAMENTOS'!$W$6:$W$2005,'LANÇAMENTOS'!$E$6:$E$2005,"Entrada",'LANÇAMENTOS'!$W$6:$W$2005,"&gt;0",'LANÇAMENTOS'!$C$6:$C$2005,"&lt;"&amp;TODAY()),""))</f>
        <v/>
      </c>
      <c r="E27" s="18">
        <f>IF($B27="","",SUMIFS('LANÇAMENTOS'!$W$6:$W$2005,'LANÇAMENTOS'!$I$6:$I$2005,$B27,'LANÇAMENTOS'!$E$6:$E$2005,"Entrada",'LANÇAMENTOS'!$W$6:$W$2005,"&gt;0"))</f>
        <v/>
      </c>
      <c r="F27" s="24">
        <f>IF($B27="","",IFERROR(MAX(IF('LANÇAMENTOS'!$I$6:$I$2005=$B27,'LANÇAMENTOS'!$AJ$6:$AJ$2005)),""))</f>
        <v/>
      </c>
      <c r="G27" s="24">
        <f>IF($B27="","",COUNTIFS('LANÇAMENTOS'!$I$6:$I$2005,$B27,'LANÇAMENTOS'!$E$6:$E$2005,"Entrada",'LANÇAMENTOS'!$W$6:$W$2005,"&gt;0",'LANÇAMENTOS'!$C$6:$C$2005,"&lt;"&amp;TODAY()))</f>
        <v/>
      </c>
      <c r="H27" s="17">
        <f>IF($B27="","",IFERROR(INDEX('CADASTRO DE CLIENTES'!$M$6:$M$65,MATCH($B27,'CADASTRO DE CLIENTES'!$B$6:$B$65,0)),""))</f>
        <v/>
      </c>
      <c r="I27" s="9">
        <f>IF($B27="","",IFERROR(INDEX('CADASTRO DE CLIENTES'!$I$6:$I$65,MATCH($B27,'CADASTRO DE CLIENTES'!$B$6:$B$65,0)),""))</f>
        <v/>
      </c>
      <c r="J27" s="9">
        <f>IF($B27="","",IFERROR(INDEX('CADASTRO DE CLIENTES'!$H$6:$H$65,MATCH($B27,'CADASTRO DE CLIENTES'!$B$6:$B$65,0)),""))</f>
        <v/>
      </c>
    </row>
    <row r="28">
      <c r="A28" s="24">
        <f>IFERROR(LARGE($B$39:$B$98,7),"")</f>
        <v/>
      </c>
      <c r="B28" s="9">
        <f>IF(OR($A28="",$A28&lt;=0),"",IFERROR(INDEX($A$39:$A$98,MATCH($A28,$B$39:$B$98,0)),""))</f>
        <v/>
      </c>
      <c r="C28" s="18">
        <f>IF($B28="","",SUMIFS('LANÇAMENTOS'!$W$6:$W$2005,'LANÇAMENTOS'!$I$6:$I$2005,$B28,'LANÇAMENTOS'!$E$6:$E$2005,"Entrada",'LANÇAMENTOS'!$W$6:$W$2005,"&gt;0",'LANÇAMENTOS'!$C$6:$C$2005,"&lt;"&amp;TODAY()))</f>
        <v/>
      </c>
      <c r="D28" s="23">
        <f>IF($C28="","",IFERROR($C28/SUMIFS('LANÇAMENTOS'!$W$6:$W$2005,'LANÇAMENTOS'!$E$6:$E$2005,"Entrada",'LANÇAMENTOS'!$W$6:$W$2005,"&gt;0",'LANÇAMENTOS'!$C$6:$C$2005,"&lt;"&amp;TODAY()),""))</f>
        <v/>
      </c>
      <c r="E28" s="18">
        <f>IF($B28="","",SUMIFS('LANÇAMENTOS'!$W$6:$W$2005,'LANÇAMENTOS'!$I$6:$I$2005,$B28,'LANÇAMENTOS'!$E$6:$E$2005,"Entrada",'LANÇAMENTOS'!$W$6:$W$2005,"&gt;0"))</f>
        <v/>
      </c>
      <c r="F28" s="24">
        <f>IF($B28="","",IFERROR(MAX(IF('LANÇAMENTOS'!$I$6:$I$2005=$B28,'LANÇAMENTOS'!$AJ$6:$AJ$2005)),""))</f>
        <v/>
      </c>
      <c r="G28" s="24">
        <f>IF($B28="","",COUNTIFS('LANÇAMENTOS'!$I$6:$I$2005,$B28,'LANÇAMENTOS'!$E$6:$E$2005,"Entrada",'LANÇAMENTOS'!$W$6:$W$2005,"&gt;0",'LANÇAMENTOS'!$C$6:$C$2005,"&lt;"&amp;TODAY()))</f>
        <v/>
      </c>
      <c r="H28" s="17">
        <f>IF($B28="","",IFERROR(INDEX('CADASTRO DE CLIENTES'!$M$6:$M$65,MATCH($B28,'CADASTRO DE CLIENTES'!$B$6:$B$65,0)),""))</f>
        <v/>
      </c>
      <c r="I28" s="9">
        <f>IF($B28="","",IFERROR(INDEX('CADASTRO DE CLIENTES'!$I$6:$I$65,MATCH($B28,'CADASTRO DE CLIENTES'!$B$6:$B$65,0)),""))</f>
        <v/>
      </c>
      <c r="J28" s="9">
        <f>IF($B28="","",IFERROR(INDEX('CADASTRO DE CLIENTES'!$H$6:$H$65,MATCH($B28,'CADASTRO DE CLIENTES'!$B$6:$B$65,0)),""))</f>
        <v/>
      </c>
    </row>
    <row r="29">
      <c r="A29" s="24">
        <f>IFERROR(LARGE($B$39:$B$98,8),"")</f>
        <v/>
      </c>
      <c r="B29" s="9">
        <f>IF(OR($A29="",$A29&lt;=0),"",IFERROR(INDEX($A$39:$A$98,MATCH($A29,$B$39:$B$98,0)),""))</f>
        <v/>
      </c>
      <c r="C29" s="18">
        <f>IF($B29="","",SUMIFS('LANÇAMENTOS'!$W$6:$W$2005,'LANÇAMENTOS'!$I$6:$I$2005,$B29,'LANÇAMENTOS'!$E$6:$E$2005,"Entrada",'LANÇAMENTOS'!$W$6:$W$2005,"&gt;0",'LANÇAMENTOS'!$C$6:$C$2005,"&lt;"&amp;TODAY()))</f>
        <v/>
      </c>
      <c r="D29" s="23">
        <f>IF($C29="","",IFERROR($C29/SUMIFS('LANÇAMENTOS'!$W$6:$W$2005,'LANÇAMENTOS'!$E$6:$E$2005,"Entrada",'LANÇAMENTOS'!$W$6:$W$2005,"&gt;0",'LANÇAMENTOS'!$C$6:$C$2005,"&lt;"&amp;TODAY()),""))</f>
        <v/>
      </c>
      <c r="E29" s="18">
        <f>IF($B29="","",SUMIFS('LANÇAMENTOS'!$W$6:$W$2005,'LANÇAMENTOS'!$I$6:$I$2005,$B29,'LANÇAMENTOS'!$E$6:$E$2005,"Entrada",'LANÇAMENTOS'!$W$6:$W$2005,"&gt;0"))</f>
        <v/>
      </c>
      <c r="F29" s="24">
        <f>IF($B29="","",IFERROR(MAX(IF('LANÇAMENTOS'!$I$6:$I$2005=$B29,'LANÇAMENTOS'!$AJ$6:$AJ$2005)),""))</f>
        <v/>
      </c>
      <c r="G29" s="24">
        <f>IF($B29="","",COUNTIFS('LANÇAMENTOS'!$I$6:$I$2005,$B29,'LANÇAMENTOS'!$E$6:$E$2005,"Entrada",'LANÇAMENTOS'!$W$6:$W$2005,"&gt;0",'LANÇAMENTOS'!$C$6:$C$2005,"&lt;"&amp;TODAY()))</f>
        <v/>
      </c>
      <c r="H29" s="17">
        <f>IF($B29="","",IFERROR(INDEX('CADASTRO DE CLIENTES'!$M$6:$M$65,MATCH($B29,'CADASTRO DE CLIENTES'!$B$6:$B$65,0)),""))</f>
        <v/>
      </c>
      <c r="I29" s="9">
        <f>IF($B29="","",IFERROR(INDEX('CADASTRO DE CLIENTES'!$I$6:$I$65,MATCH($B29,'CADASTRO DE CLIENTES'!$B$6:$B$65,0)),""))</f>
        <v/>
      </c>
      <c r="J29" s="9">
        <f>IF($B29="","",IFERROR(INDEX('CADASTRO DE CLIENTES'!$H$6:$H$65,MATCH($B29,'CADASTRO DE CLIENTES'!$B$6:$B$65,0)),""))</f>
        <v/>
      </c>
    </row>
    <row r="30">
      <c r="A30" s="24">
        <f>IFERROR(LARGE($B$39:$B$98,9),"")</f>
        <v/>
      </c>
      <c r="B30" s="9">
        <f>IF(OR($A30="",$A30&lt;=0),"",IFERROR(INDEX($A$39:$A$98,MATCH($A30,$B$39:$B$98,0)),""))</f>
        <v/>
      </c>
      <c r="C30" s="18">
        <f>IF($B30="","",SUMIFS('LANÇAMENTOS'!$W$6:$W$2005,'LANÇAMENTOS'!$I$6:$I$2005,$B30,'LANÇAMENTOS'!$E$6:$E$2005,"Entrada",'LANÇAMENTOS'!$W$6:$W$2005,"&gt;0",'LANÇAMENTOS'!$C$6:$C$2005,"&lt;"&amp;TODAY()))</f>
        <v/>
      </c>
      <c r="D30" s="23">
        <f>IF($C30="","",IFERROR($C30/SUMIFS('LANÇAMENTOS'!$W$6:$W$2005,'LANÇAMENTOS'!$E$6:$E$2005,"Entrada",'LANÇAMENTOS'!$W$6:$W$2005,"&gt;0",'LANÇAMENTOS'!$C$6:$C$2005,"&lt;"&amp;TODAY()),""))</f>
        <v/>
      </c>
      <c r="E30" s="18">
        <f>IF($B30="","",SUMIFS('LANÇAMENTOS'!$W$6:$W$2005,'LANÇAMENTOS'!$I$6:$I$2005,$B30,'LANÇAMENTOS'!$E$6:$E$2005,"Entrada",'LANÇAMENTOS'!$W$6:$W$2005,"&gt;0"))</f>
        <v/>
      </c>
      <c r="F30" s="24">
        <f>IF($B30="","",IFERROR(MAX(IF('LANÇAMENTOS'!$I$6:$I$2005=$B30,'LANÇAMENTOS'!$AJ$6:$AJ$2005)),""))</f>
        <v/>
      </c>
      <c r="G30" s="24">
        <f>IF($B30="","",COUNTIFS('LANÇAMENTOS'!$I$6:$I$2005,$B30,'LANÇAMENTOS'!$E$6:$E$2005,"Entrada",'LANÇAMENTOS'!$W$6:$W$2005,"&gt;0",'LANÇAMENTOS'!$C$6:$C$2005,"&lt;"&amp;TODAY()))</f>
        <v/>
      </c>
      <c r="H30" s="17">
        <f>IF($B30="","",IFERROR(INDEX('CADASTRO DE CLIENTES'!$M$6:$M$65,MATCH($B30,'CADASTRO DE CLIENTES'!$B$6:$B$65,0)),""))</f>
        <v/>
      </c>
      <c r="I30" s="9">
        <f>IF($B30="","",IFERROR(INDEX('CADASTRO DE CLIENTES'!$I$6:$I$65,MATCH($B30,'CADASTRO DE CLIENTES'!$B$6:$B$65,0)),""))</f>
        <v/>
      </c>
      <c r="J30" s="9">
        <f>IF($B30="","",IFERROR(INDEX('CADASTRO DE CLIENTES'!$H$6:$H$65,MATCH($B30,'CADASTRO DE CLIENTES'!$B$6:$B$65,0)),""))</f>
        <v/>
      </c>
    </row>
    <row r="31">
      <c r="A31" s="24">
        <f>IFERROR(LARGE($B$39:$B$98,10),"")</f>
        <v/>
      </c>
      <c r="B31" s="9">
        <f>IF(OR($A31="",$A31&lt;=0),"",IFERROR(INDEX($A$39:$A$98,MATCH($A31,$B$39:$B$98,0)),""))</f>
        <v/>
      </c>
      <c r="C31" s="18">
        <f>IF($B31="","",SUMIFS('LANÇAMENTOS'!$W$6:$W$2005,'LANÇAMENTOS'!$I$6:$I$2005,$B31,'LANÇAMENTOS'!$E$6:$E$2005,"Entrada",'LANÇAMENTOS'!$W$6:$W$2005,"&gt;0",'LANÇAMENTOS'!$C$6:$C$2005,"&lt;"&amp;TODAY()))</f>
        <v/>
      </c>
      <c r="D31" s="23">
        <f>IF($C31="","",IFERROR($C31/SUMIFS('LANÇAMENTOS'!$W$6:$W$2005,'LANÇAMENTOS'!$E$6:$E$2005,"Entrada",'LANÇAMENTOS'!$W$6:$W$2005,"&gt;0",'LANÇAMENTOS'!$C$6:$C$2005,"&lt;"&amp;TODAY()),""))</f>
        <v/>
      </c>
      <c r="E31" s="18">
        <f>IF($B31="","",SUMIFS('LANÇAMENTOS'!$W$6:$W$2005,'LANÇAMENTOS'!$I$6:$I$2005,$B31,'LANÇAMENTOS'!$E$6:$E$2005,"Entrada",'LANÇAMENTOS'!$W$6:$W$2005,"&gt;0"))</f>
        <v/>
      </c>
      <c r="F31" s="24">
        <f>IF($B31="","",IFERROR(MAX(IF('LANÇAMENTOS'!$I$6:$I$2005=$B31,'LANÇAMENTOS'!$AJ$6:$AJ$2005)),""))</f>
        <v/>
      </c>
      <c r="G31" s="24">
        <f>IF($B31="","",COUNTIFS('LANÇAMENTOS'!$I$6:$I$2005,$B31,'LANÇAMENTOS'!$E$6:$E$2005,"Entrada",'LANÇAMENTOS'!$W$6:$W$2005,"&gt;0",'LANÇAMENTOS'!$C$6:$C$2005,"&lt;"&amp;TODAY()))</f>
        <v/>
      </c>
      <c r="H31" s="17">
        <f>IF($B31="","",IFERROR(INDEX('CADASTRO DE CLIENTES'!$M$6:$M$65,MATCH($B31,'CADASTRO DE CLIENTES'!$B$6:$B$65,0)),""))</f>
        <v/>
      </c>
      <c r="I31" s="9">
        <f>IF($B31="","",IFERROR(INDEX('CADASTRO DE CLIENTES'!$I$6:$I$65,MATCH($B31,'CADASTRO DE CLIENTES'!$B$6:$B$65,0)),""))</f>
        <v/>
      </c>
      <c r="J31" s="9">
        <f>IF($B31="","",IFERROR(INDEX('CADASTRO DE CLIENTES'!$H$6:$H$65,MATCH($B31,'CADASTRO DE CLIENTES'!$B$6:$B$65,0)),""))</f>
        <v/>
      </c>
    </row>
    <row r="32">
      <c r="A32" s="24">
        <f>IFERROR(LARGE($B$39:$B$98,11),"")</f>
        <v/>
      </c>
      <c r="B32" s="9">
        <f>IF(OR($A32="",$A32&lt;=0),"",IFERROR(INDEX($A$39:$A$98,MATCH($A32,$B$39:$B$98,0)),""))</f>
        <v/>
      </c>
      <c r="C32" s="18">
        <f>IF($B32="","",SUMIFS('LANÇAMENTOS'!$W$6:$W$2005,'LANÇAMENTOS'!$I$6:$I$2005,$B32,'LANÇAMENTOS'!$E$6:$E$2005,"Entrada",'LANÇAMENTOS'!$W$6:$W$2005,"&gt;0",'LANÇAMENTOS'!$C$6:$C$2005,"&lt;"&amp;TODAY()))</f>
        <v/>
      </c>
      <c r="D32" s="23">
        <f>IF($C32="","",IFERROR($C32/SUMIFS('LANÇAMENTOS'!$W$6:$W$2005,'LANÇAMENTOS'!$E$6:$E$2005,"Entrada",'LANÇAMENTOS'!$W$6:$W$2005,"&gt;0",'LANÇAMENTOS'!$C$6:$C$2005,"&lt;"&amp;TODAY()),""))</f>
        <v/>
      </c>
      <c r="E32" s="18">
        <f>IF($B32="","",SUMIFS('LANÇAMENTOS'!$W$6:$W$2005,'LANÇAMENTOS'!$I$6:$I$2005,$B32,'LANÇAMENTOS'!$E$6:$E$2005,"Entrada",'LANÇAMENTOS'!$W$6:$W$2005,"&gt;0"))</f>
        <v/>
      </c>
      <c r="F32" s="24">
        <f>IF($B32="","",IFERROR(MAX(IF('LANÇAMENTOS'!$I$6:$I$2005=$B32,'LANÇAMENTOS'!$AJ$6:$AJ$2005)),""))</f>
        <v/>
      </c>
      <c r="G32" s="24">
        <f>IF($B32="","",COUNTIFS('LANÇAMENTOS'!$I$6:$I$2005,$B32,'LANÇAMENTOS'!$E$6:$E$2005,"Entrada",'LANÇAMENTOS'!$W$6:$W$2005,"&gt;0",'LANÇAMENTOS'!$C$6:$C$2005,"&lt;"&amp;TODAY()))</f>
        <v/>
      </c>
      <c r="H32" s="17">
        <f>IF($B32="","",IFERROR(INDEX('CADASTRO DE CLIENTES'!$M$6:$M$65,MATCH($B32,'CADASTRO DE CLIENTES'!$B$6:$B$65,0)),""))</f>
        <v/>
      </c>
      <c r="I32" s="9">
        <f>IF($B32="","",IFERROR(INDEX('CADASTRO DE CLIENTES'!$I$6:$I$65,MATCH($B32,'CADASTRO DE CLIENTES'!$B$6:$B$65,0)),""))</f>
        <v/>
      </c>
      <c r="J32" s="9">
        <f>IF($B32="","",IFERROR(INDEX('CADASTRO DE CLIENTES'!$H$6:$H$65,MATCH($B32,'CADASTRO DE CLIENTES'!$B$6:$B$65,0)),""))</f>
        <v/>
      </c>
    </row>
    <row r="33">
      <c r="A33" s="24">
        <f>IFERROR(LARGE($B$39:$B$98,12),"")</f>
        <v/>
      </c>
      <c r="B33" s="9">
        <f>IF(OR($A33="",$A33&lt;=0),"",IFERROR(INDEX($A$39:$A$98,MATCH($A33,$B$39:$B$98,0)),""))</f>
        <v/>
      </c>
      <c r="C33" s="18">
        <f>IF($B33="","",SUMIFS('LANÇAMENTOS'!$W$6:$W$2005,'LANÇAMENTOS'!$I$6:$I$2005,$B33,'LANÇAMENTOS'!$E$6:$E$2005,"Entrada",'LANÇAMENTOS'!$W$6:$W$2005,"&gt;0",'LANÇAMENTOS'!$C$6:$C$2005,"&lt;"&amp;TODAY()))</f>
        <v/>
      </c>
      <c r="D33" s="23">
        <f>IF($C33="","",IFERROR($C33/SUMIFS('LANÇAMENTOS'!$W$6:$W$2005,'LANÇAMENTOS'!$E$6:$E$2005,"Entrada",'LANÇAMENTOS'!$W$6:$W$2005,"&gt;0",'LANÇAMENTOS'!$C$6:$C$2005,"&lt;"&amp;TODAY()),""))</f>
        <v/>
      </c>
      <c r="E33" s="18">
        <f>IF($B33="","",SUMIFS('LANÇAMENTOS'!$W$6:$W$2005,'LANÇAMENTOS'!$I$6:$I$2005,$B33,'LANÇAMENTOS'!$E$6:$E$2005,"Entrada",'LANÇAMENTOS'!$W$6:$W$2005,"&gt;0"))</f>
        <v/>
      </c>
      <c r="F33" s="24">
        <f>IF($B33="","",IFERROR(MAX(IF('LANÇAMENTOS'!$I$6:$I$2005=$B33,'LANÇAMENTOS'!$AJ$6:$AJ$2005)),""))</f>
        <v/>
      </c>
      <c r="G33" s="24">
        <f>IF($B33="","",COUNTIFS('LANÇAMENTOS'!$I$6:$I$2005,$B33,'LANÇAMENTOS'!$E$6:$E$2005,"Entrada",'LANÇAMENTOS'!$W$6:$W$2005,"&gt;0",'LANÇAMENTOS'!$C$6:$C$2005,"&lt;"&amp;TODAY()))</f>
        <v/>
      </c>
      <c r="H33" s="17">
        <f>IF($B33="","",IFERROR(INDEX('CADASTRO DE CLIENTES'!$M$6:$M$65,MATCH($B33,'CADASTRO DE CLIENTES'!$B$6:$B$65,0)),""))</f>
        <v/>
      </c>
      <c r="I33" s="9">
        <f>IF($B33="","",IFERROR(INDEX('CADASTRO DE CLIENTES'!$I$6:$I$65,MATCH($B33,'CADASTRO DE CLIENTES'!$B$6:$B$65,0)),""))</f>
        <v/>
      </c>
      <c r="J33" s="9">
        <f>IF($B33="","",IFERROR(INDEX('CADASTRO DE CLIENTES'!$H$6:$H$65,MATCH($B33,'CADASTRO DE CLIENTES'!$B$6:$B$65,0)),""))</f>
        <v/>
      </c>
    </row>
    <row r="34">
      <c r="A34" s="24">
        <f>IFERROR(LARGE($B$39:$B$98,13),"")</f>
        <v/>
      </c>
      <c r="B34" s="9">
        <f>IF(OR($A34="",$A34&lt;=0),"",IFERROR(INDEX($A$39:$A$98,MATCH($A34,$B$39:$B$98,0)),""))</f>
        <v/>
      </c>
      <c r="C34" s="18">
        <f>IF($B34="","",SUMIFS('LANÇAMENTOS'!$W$6:$W$2005,'LANÇAMENTOS'!$I$6:$I$2005,$B34,'LANÇAMENTOS'!$E$6:$E$2005,"Entrada",'LANÇAMENTOS'!$W$6:$W$2005,"&gt;0",'LANÇAMENTOS'!$C$6:$C$2005,"&lt;"&amp;TODAY()))</f>
        <v/>
      </c>
      <c r="D34" s="23">
        <f>IF($C34="","",IFERROR($C34/SUMIFS('LANÇAMENTOS'!$W$6:$W$2005,'LANÇAMENTOS'!$E$6:$E$2005,"Entrada",'LANÇAMENTOS'!$W$6:$W$2005,"&gt;0",'LANÇAMENTOS'!$C$6:$C$2005,"&lt;"&amp;TODAY()),""))</f>
        <v/>
      </c>
      <c r="E34" s="18">
        <f>IF($B34="","",SUMIFS('LANÇAMENTOS'!$W$6:$W$2005,'LANÇAMENTOS'!$I$6:$I$2005,$B34,'LANÇAMENTOS'!$E$6:$E$2005,"Entrada",'LANÇAMENTOS'!$W$6:$W$2005,"&gt;0"))</f>
        <v/>
      </c>
      <c r="F34" s="24">
        <f>IF($B34="","",IFERROR(MAX(IF('LANÇAMENTOS'!$I$6:$I$2005=$B34,'LANÇAMENTOS'!$AJ$6:$AJ$2005)),""))</f>
        <v/>
      </c>
      <c r="G34" s="24">
        <f>IF($B34="","",COUNTIFS('LANÇAMENTOS'!$I$6:$I$2005,$B34,'LANÇAMENTOS'!$E$6:$E$2005,"Entrada",'LANÇAMENTOS'!$W$6:$W$2005,"&gt;0",'LANÇAMENTOS'!$C$6:$C$2005,"&lt;"&amp;TODAY()))</f>
        <v/>
      </c>
      <c r="H34" s="17">
        <f>IF($B34="","",IFERROR(INDEX('CADASTRO DE CLIENTES'!$M$6:$M$65,MATCH($B34,'CADASTRO DE CLIENTES'!$B$6:$B$65,0)),""))</f>
        <v/>
      </c>
      <c r="I34" s="9">
        <f>IF($B34="","",IFERROR(INDEX('CADASTRO DE CLIENTES'!$I$6:$I$65,MATCH($B34,'CADASTRO DE CLIENTES'!$B$6:$B$65,0)),""))</f>
        <v/>
      </c>
      <c r="J34" s="9">
        <f>IF($B34="","",IFERROR(INDEX('CADASTRO DE CLIENTES'!$H$6:$H$65,MATCH($B34,'CADASTRO DE CLIENTES'!$B$6:$B$65,0)),""))</f>
        <v/>
      </c>
    </row>
    <row r="35">
      <c r="A35" s="24">
        <f>IFERROR(LARGE($B$39:$B$98,14),"")</f>
        <v/>
      </c>
      <c r="B35" s="9">
        <f>IF(OR($A35="",$A35&lt;=0),"",IFERROR(INDEX($A$39:$A$98,MATCH($A35,$B$39:$B$98,0)),""))</f>
        <v/>
      </c>
      <c r="C35" s="18">
        <f>IF($B35="","",SUMIFS('LANÇAMENTOS'!$W$6:$W$2005,'LANÇAMENTOS'!$I$6:$I$2005,$B35,'LANÇAMENTOS'!$E$6:$E$2005,"Entrada",'LANÇAMENTOS'!$W$6:$W$2005,"&gt;0",'LANÇAMENTOS'!$C$6:$C$2005,"&lt;"&amp;TODAY()))</f>
        <v/>
      </c>
      <c r="D35" s="23">
        <f>IF($C35="","",IFERROR($C35/SUMIFS('LANÇAMENTOS'!$W$6:$W$2005,'LANÇAMENTOS'!$E$6:$E$2005,"Entrada",'LANÇAMENTOS'!$W$6:$W$2005,"&gt;0",'LANÇAMENTOS'!$C$6:$C$2005,"&lt;"&amp;TODAY()),""))</f>
        <v/>
      </c>
      <c r="E35" s="18">
        <f>IF($B35="","",SUMIFS('LANÇAMENTOS'!$W$6:$W$2005,'LANÇAMENTOS'!$I$6:$I$2005,$B35,'LANÇAMENTOS'!$E$6:$E$2005,"Entrada",'LANÇAMENTOS'!$W$6:$W$2005,"&gt;0"))</f>
        <v/>
      </c>
      <c r="F35" s="24">
        <f>IF($B35="","",IFERROR(MAX(IF('LANÇAMENTOS'!$I$6:$I$2005=$B35,'LANÇAMENTOS'!$AJ$6:$AJ$2005)),""))</f>
        <v/>
      </c>
      <c r="G35" s="24">
        <f>IF($B35="","",COUNTIFS('LANÇAMENTOS'!$I$6:$I$2005,$B35,'LANÇAMENTOS'!$E$6:$E$2005,"Entrada",'LANÇAMENTOS'!$W$6:$W$2005,"&gt;0",'LANÇAMENTOS'!$C$6:$C$2005,"&lt;"&amp;TODAY()))</f>
        <v/>
      </c>
      <c r="H35" s="17">
        <f>IF($B35="","",IFERROR(INDEX('CADASTRO DE CLIENTES'!$M$6:$M$65,MATCH($B35,'CADASTRO DE CLIENTES'!$B$6:$B$65,0)),""))</f>
        <v/>
      </c>
      <c r="I35" s="9">
        <f>IF($B35="","",IFERROR(INDEX('CADASTRO DE CLIENTES'!$I$6:$I$65,MATCH($B35,'CADASTRO DE CLIENTES'!$B$6:$B$65,0)),""))</f>
        <v/>
      </c>
      <c r="J35" s="9">
        <f>IF($B35="","",IFERROR(INDEX('CADASTRO DE CLIENTES'!$H$6:$H$65,MATCH($B35,'CADASTRO DE CLIENTES'!$B$6:$B$65,0)),""))</f>
        <v/>
      </c>
    </row>
    <row r="36">
      <c r="A36" s="24">
        <f>IFERROR(LARGE($B$39:$B$98,15),"")</f>
        <v/>
      </c>
      <c r="B36" s="9">
        <f>IF(OR($A36="",$A36&lt;=0),"",IFERROR(INDEX($A$39:$A$98,MATCH($A36,$B$39:$B$98,0)),""))</f>
        <v/>
      </c>
      <c r="C36" s="18">
        <f>IF($B36="","",SUMIFS('LANÇAMENTOS'!$W$6:$W$2005,'LANÇAMENTOS'!$I$6:$I$2005,$B36,'LANÇAMENTOS'!$E$6:$E$2005,"Entrada",'LANÇAMENTOS'!$W$6:$W$2005,"&gt;0",'LANÇAMENTOS'!$C$6:$C$2005,"&lt;"&amp;TODAY()))</f>
        <v/>
      </c>
      <c r="D36" s="23">
        <f>IF($C36="","",IFERROR($C36/SUMIFS('LANÇAMENTOS'!$W$6:$W$2005,'LANÇAMENTOS'!$E$6:$E$2005,"Entrada",'LANÇAMENTOS'!$W$6:$W$2005,"&gt;0",'LANÇAMENTOS'!$C$6:$C$2005,"&lt;"&amp;TODAY()),""))</f>
        <v/>
      </c>
      <c r="E36" s="18">
        <f>IF($B36="","",SUMIFS('LANÇAMENTOS'!$W$6:$W$2005,'LANÇAMENTOS'!$I$6:$I$2005,$B36,'LANÇAMENTOS'!$E$6:$E$2005,"Entrada",'LANÇAMENTOS'!$W$6:$W$2005,"&gt;0"))</f>
        <v/>
      </c>
      <c r="F36" s="24">
        <f>IF($B36="","",IFERROR(MAX(IF('LANÇAMENTOS'!$I$6:$I$2005=$B36,'LANÇAMENTOS'!$AJ$6:$AJ$2005)),""))</f>
        <v/>
      </c>
      <c r="G36" s="24">
        <f>IF($B36="","",COUNTIFS('LANÇAMENTOS'!$I$6:$I$2005,$B36,'LANÇAMENTOS'!$E$6:$E$2005,"Entrada",'LANÇAMENTOS'!$W$6:$W$2005,"&gt;0",'LANÇAMENTOS'!$C$6:$C$2005,"&lt;"&amp;TODAY()))</f>
        <v/>
      </c>
      <c r="H36" s="17">
        <f>IF($B36="","",IFERROR(INDEX('CADASTRO DE CLIENTES'!$M$6:$M$65,MATCH($B36,'CADASTRO DE CLIENTES'!$B$6:$B$65,0)),""))</f>
        <v/>
      </c>
      <c r="I36" s="9">
        <f>IF($B36="","",IFERROR(INDEX('CADASTRO DE CLIENTES'!$I$6:$I$65,MATCH($B36,'CADASTRO DE CLIENTES'!$B$6:$B$65,0)),""))</f>
        <v/>
      </c>
      <c r="J36" s="9">
        <f>IF($B36="","",IFERROR(INDEX('CADASTRO DE CLIENTES'!$H$6:$H$65,MATCH($B36,'CADASTRO DE CLIENTES'!$B$6:$B$65,0)),""))</f>
        <v/>
      </c>
    </row>
    <row r="37">
      <c r="A37" s="3" t="inlineStr">
        <is>
          <t>O ranking usa as colunas de apoio abaixo (valor vencido por cliente). Confira o cadastro: nomes iguais aos lançamentos garantem o match automático.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5" t="inlineStr">
        <is>
          <t>APOIO DO RANKING — valor vencido por cliente (não editar)</t>
        </is>
      </c>
      <c r="B38" s="45" t="n"/>
      <c r="C38" s="45" t="n"/>
      <c r="D38" s="45" t="n"/>
    </row>
    <row r="39" ht="20" customHeight="1">
      <c r="A39" s="4" t="inlineStr">
        <is>
          <t>4. EVOLUÇÃO MENSAL DA INADIMPLÊNCIA (ano de análise)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30" customHeight="1">
      <c r="A40" s="34" t="inlineStr">
        <is>
          <t>Mês</t>
        </is>
      </c>
      <c r="B40" s="34" t="inlineStr">
        <is>
          <t>Faturamento do mês</t>
        </is>
      </c>
      <c r="C40" s="34" t="inlineStr">
        <is>
          <t>Recebido no mês</t>
        </is>
      </c>
      <c r="D40" s="34" t="inlineStr">
        <is>
          <t>Vencido gerado no mês</t>
        </is>
      </c>
      <c r="E40" s="34" t="inlineStr">
        <is>
          <t>Vencido acumulado</t>
        </is>
      </c>
      <c r="F40" s="34" t="inlineStr">
        <is>
          <t>Índice de inadimplência</t>
        </is>
      </c>
      <c r="G40" s="34" t="inlineStr">
        <is>
          <t>Como ler</t>
        </is>
      </c>
    </row>
    <row r="41">
      <c r="A41" s="17">
        <f>TEXT(DATE('CONFIGURAÇÕES'!$B$18,1,1),"MM/AAAA")</f>
        <v/>
      </c>
      <c r="B41" s="18">
        <f>SUMIFS('LANÇAMENTOS'!$AE$6:$AE$2005,'LANÇAMENTOS'!$AF$6:$AF$2005,"Faturamento Bruto",'LANÇAMENTOS'!$AA$6:$AA$2005,'CONFIGURAÇÕES'!$B$18,'LANÇAMENTOS'!$Z$6:$Z$2005,1)</f>
        <v/>
      </c>
      <c r="C41" s="18">
        <f>SUMIFS('LANÇAMENTOS'!$V$6:$V$2005,'LANÇAMENTOS'!$E$6:$E$2005,"Entrada",'LANÇAMENTOS'!$D$6:$D$2005,"&gt;="&amp;DATE('CONFIGURAÇÕES'!$B$18,1,1),'LANÇAMENTOS'!$D$6:$D$2005,"&lt;="&amp;EOMONTH(DATE('CONFIGURAÇÕES'!$B$18,1,1),0))</f>
        <v/>
      </c>
      <c r="D41" s="18">
        <f>SUMIFS('LANÇAMENTOS'!$W$6:$W$2005,'LANÇAMENTOS'!$E$6:$E$2005,"Entrada",'LANÇAMENTOS'!$W$6:$W$2005,"&gt;0",'LANÇAMENTOS'!$AA$6:$AA$2005,'CONFIGURAÇÕES'!$B$18,'LANÇAMENTOS'!$Z$6:$Z$2005,1,'LANÇAMENTOS'!$C$6:$C$2005,"&lt;"&amp;TODAY())</f>
        <v/>
      </c>
      <c r="E41" s="18">
        <f>SUM($D$41:$D41)</f>
        <v/>
      </c>
      <c r="F41" s="23">
        <f>IF($B41=0,"",SUM($D$41:$D41)/SUM($B$41:$B41))</f>
        <v/>
      </c>
      <c r="G41" s="17">
        <f>IF($F41="","",IF($F41&lt;='CONFIGURAÇÕES'!$B$26,"🟢 Dentro do limite","🔴 Acima do limite"))</f>
        <v/>
      </c>
    </row>
    <row r="42">
      <c r="A42" s="17">
        <f>TEXT(DATE('CONFIGURAÇÕES'!$B$18,2,1),"MM/AAAA")</f>
        <v/>
      </c>
      <c r="B42" s="18">
        <f>SUMIFS('LANÇAMENTOS'!$AE$6:$AE$2005,'LANÇAMENTOS'!$AF$6:$AF$2005,"Faturamento Bruto",'LANÇAMENTOS'!$AA$6:$AA$2005,'CONFIGURAÇÕES'!$B$18,'LANÇAMENTOS'!$Z$6:$Z$2005,2)</f>
        <v/>
      </c>
      <c r="C42" s="18">
        <f>SUMIFS('LANÇAMENTOS'!$V$6:$V$2005,'LANÇAMENTOS'!$E$6:$E$2005,"Entrada",'LANÇAMENTOS'!$D$6:$D$2005,"&gt;="&amp;DATE('CONFIGURAÇÕES'!$B$18,2,1),'LANÇAMENTOS'!$D$6:$D$2005,"&lt;="&amp;EOMONTH(DATE('CONFIGURAÇÕES'!$B$18,2,1),0))</f>
        <v/>
      </c>
      <c r="D42" s="18">
        <f>SUMIFS('LANÇAMENTOS'!$W$6:$W$2005,'LANÇAMENTOS'!$E$6:$E$2005,"Entrada",'LANÇAMENTOS'!$W$6:$W$2005,"&gt;0",'LANÇAMENTOS'!$AA$6:$AA$2005,'CONFIGURAÇÕES'!$B$18,'LANÇAMENTOS'!$Z$6:$Z$2005,2,'LANÇAMENTOS'!$C$6:$C$2005,"&lt;"&amp;TODAY())</f>
        <v/>
      </c>
      <c r="E42" s="18">
        <f>SUM($D$41:$D42)</f>
        <v/>
      </c>
      <c r="F42" s="23">
        <f>IF($B42=0,"",SUM($D$41:$D42)/SUM($B$41:$B42))</f>
        <v/>
      </c>
      <c r="G42" s="17">
        <f>IF($F42="","",IF($F42&lt;='CONFIGURAÇÕES'!$B$26,"🟢 Dentro do limite","🔴 Acima do limite"))</f>
        <v/>
      </c>
    </row>
    <row r="43">
      <c r="A43" s="17">
        <f>TEXT(DATE('CONFIGURAÇÕES'!$B$18,3,1),"MM/AAAA")</f>
        <v/>
      </c>
      <c r="B43" s="18">
        <f>SUMIFS('LANÇAMENTOS'!$AE$6:$AE$2005,'LANÇAMENTOS'!$AF$6:$AF$2005,"Faturamento Bruto",'LANÇAMENTOS'!$AA$6:$AA$2005,'CONFIGURAÇÕES'!$B$18,'LANÇAMENTOS'!$Z$6:$Z$2005,3)</f>
        <v/>
      </c>
      <c r="C43" s="18">
        <f>SUMIFS('LANÇAMENTOS'!$V$6:$V$2005,'LANÇAMENTOS'!$E$6:$E$2005,"Entrada",'LANÇAMENTOS'!$D$6:$D$2005,"&gt;="&amp;DATE('CONFIGURAÇÕES'!$B$18,3,1),'LANÇAMENTOS'!$D$6:$D$2005,"&lt;="&amp;EOMONTH(DATE('CONFIGURAÇÕES'!$B$18,3,1),0))</f>
        <v/>
      </c>
      <c r="D43" s="18">
        <f>SUMIFS('LANÇAMENTOS'!$W$6:$W$2005,'LANÇAMENTOS'!$E$6:$E$2005,"Entrada",'LANÇAMENTOS'!$W$6:$W$2005,"&gt;0",'LANÇAMENTOS'!$AA$6:$AA$2005,'CONFIGURAÇÕES'!$B$18,'LANÇAMENTOS'!$Z$6:$Z$2005,3,'LANÇAMENTOS'!$C$6:$C$2005,"&lt;"&amp;TODAY())</f>
        <v/>
      </c>
      <c r="E43" s="18">
        <f>SUM($D$41:$D43)</f>
        <v/>
      </c>
      <c r="F43" s="23">
        <f>IF($B43=0,"",SUM($D$41:$D43)/SUM($B$41:$B43))</f>
        <v/>
      </c>
      <c r="G43" s="17">
        <f>IF($F43="","",IF($F43&lt;='CONFIGURAÇÕES'!$B$26,"🟢 Dentro do limite","🔴 Acima do limite"))</f>
        <v/>
      </c>
    </row>
    <row r="44">
      <c r="A44" s="17">
        <f>TEXT(DATE('CONFIGURAÇÕES'!$B$18,4,1),"MM/AAAA")</f>
        <v/>
      </c>
      <c r="B44" s="18">
        <f>SUMIFS('LANÇAMENTOS'!$AE$6:$AE$2005,'LANÇAMENTOS'!$AF$6:$AF$2005,"Faturamento Bruto",'LANÇAMENTOS'!$AA$6:$AA$2005,'CONFIGURAÇÕES'!$B$18,'LANÇAMENTOS'!$Z$6:$Z$2005,4)</f>
        <v/>
      </c>
      <c r="C44" s="18">
        <f>SUMIFS('LANÇAMENTOS'!$V$6:$V$2005,'LANÇAMENTOS'!$E$6:$E$2005,"Entrada",'LANÇAMENTOS'!$D$6:$D$2005,"&gt;="&amp;DATE('CONFIGURAÇÕES'!$B$18,4,1),'LANÇAMENTOS'!$D$6:$D$2005,"&lt;="&amp;EOMONTH(DATE('CONFIGURAÇÕES'!$B$18,4,1),0))</f>
        <v/>
      </c>
      <c r="D44" s="18">
        <f>SUMIFS('LANÇAMENTOS'!$W$6:$W$2005,'LANÇAMENTOS'!$E$6:$E$2005,"Entrada",'LANÇAMENTOS'!$W$6:$W$2005,"&gt;0",'LANÇAMENTOS'!$AA$6:$AA$2005,'CONFIGURAÇÕES'!$B$18,'LANÇAMENTOS'!$Z$6:$Z$2005,4,'LANÇAMENTOS'!$C$6:$C$2005,"&lt;"&amp;TODAY())</f>
        <v/>
      </c>
      <c r="E44" s="18">
        <f>SUM($D$41:$D44)</f>
        <v/>
      </c>
      <c r="F44" s="23">
        <f>IF($B44=0,"",SUM($D$41:$D44)/SUM($B$41:$B44))</f>
        <v/>
      </c>
      <c r="G44" s="17">
        <f>IF($F44="","",IF($F44&lt;='CONFIGURAÇÕES'!$B$26,"🟢 Dentro do limite","🔴 Acima do limite"))</f>
        <v/>
      </c>
    </row>
    <row r="45">
      <c r="A45" s="17">
        <f>TEXT(DATE('CONFIGURAÇÕES'!$B$18,5,1),"MM/AAAA")</f>
        <v/>
      </c>
      <c r="B45" s="18">
        <f>SUMIFS('LANÇAMENTOS'!$AE$6:$AE$2005,'LANÇAMENTOS'!$AF$6:$AF$2005,"Faturamento Bruto",'LANÇAMENTOS'!$AA$6:$AA$2005,'CONFIGURAÇÕES'!$B$18,'LANÇAMENTOS'!$Z$6:$Z$2005,5)</f>
        <v/>
      </c>
      <c r="C45" s="18">
        <f>SUMIFS('LANÇAMENTOS'!$V$6:$V$2005,'LANÇAMENTOS'!$E$6:$E$2005,"Entrada",'LANÇAMENTOS'!$D$6:$D$2005,"&gt;="&amp;DATE('CONFIGURAÇÕES'!$B$18,5,1),'LANÇAMENTOS'!$D$6:$D$2005,"&lt;="&amp;EOMONTH(DATE('CONFIGURAÇÕES'!$B$18,5,1),0))</f>
        <v/>
      </c>
      <c r="D45" s="18">
        <f>SUMIFS('LANÇAMENTOS'!$W$6:$W$2005,'LANÇAMENTOS'!$E$6:$E$2005,"Entrada",'LANÇAMENTOS'!$W$6:$W$2005,"&gt;0",'LANÇAMENTOS'!$AA$6:$AA$2005,'CONFIGURAÇÕES'!$B$18,'LANÇAMENTOS'!$Z$6:$Z$2005,5,'LANÇAMENTOS'!$C$6:$C$2005,"&lt;"&amp;TODAY())</f>
        <v/>
      </c>
      <c r="E45" s="18">
        <f>SUM($D$41:$D45)</f>
        <v/>
      </c>
      <c r="F45" s="23">
        <f>IF($B45=0,"",SUM($D$41:$D45)/SUM($B$41:$B45))</f>
        <v/>
      </c>
      <c r="G45" s="17">
        <f>IF($F45="","",IF($F45&lt;='CONFIGURAÇÕES'!$B$26,"🟢 Dentro do limite","🔴 Acima do limite"))</f>
        <v/>
      </c>
    </row>
    <row r="46">
      <c r="A46" s="17">
        <f>TEXT(DATE('CONFIGURAÇÕES'!$B$18,6,1),"MM/AAAA")</f>
        <v/>
      </c>
      <c r="B46" s="18">
        <f>SUMIFS('LANÇAMENTOS'!$AE$6:$AE$2005,'LANÇAMENTOS'!$AF$6:$AF$2005,"Faturamento Bruto",'LANÇAMENTOS'!$AA$6:$AA$2005,'CONFIGURAÇÕES'!$B$18,'LANÇAMENTOS'!$Z$6:$Z$2005,6)</f>
        <v/>
      </c>
      <c r="C46" s="18">
        <f>SUMIFS('LANÇAMENTOS'!$V$6:$V$2005,'LANÇAMENTOS'!$E$6:$E$2005,"Entrada",'LANÇAMENTOS'!$D$6:$D$2005,"&gt;="&amp;DATE('CONFIGURAÇÕES'!$B$18,6,1),'LANÇAMENTOS'!$D$6:$D$2005,"&lt;="&amp;EOMONTH(DATE('CONFIGURAÇÕES'!$B$18,6,1),0))</f>
        <v/>
      </c>
      <c r="D46" s="18">
        <f>SUMIFS('LANÇAMENTOS'!$W$6:$W$2005,'LANÇAMENTOS'!$E$6:$E$2005,"Entrada",'LANÇAMENTOS'!$W$6:$W$2005,"&gt;0",'LANÇAMENTOS'!$AA$6:$AA$2005,'CONFIGURAÇÕES'!$B$18,'LANÇAMENTOS'!$Z$6:$Z$2005,6,'LANÇAMENTOS'!$C$6:$C$2005,"&lt;"&amp;TODAY())</f>
        <v/>
      </c>
      <c r="E46" s="18">
        <f>SUM($D$41:$D46)</f>
        <v/>
      </c>
      <c r="F46" s="23">
        <f>IF($B46=0,"",SUM($D$41:$D46)/SUM($B$41:$B46))</f>
        <v/>
      </c>
      <c r="G46" s="17">
        <f>IF($F46="","",IF($F46&lt;='CONFIGURAÇÕES'!$B$26,"🟢 Dentro do limite","🔴 Acima do limite"))</f>
        <v/>
      </c>
    </row>
    <row r="47">
      <c r="A47" s="17">
        <f>TEXT(DATE('CONFIGURAÇÕES'!$B$18,7,1),"MM/AAAA")</f>
        <v/>
      </c>
      <c r="B47" s="18">
        <f>SUMIFS('LANÇAMENTOS'!$AE$6:$AE$2005,'LANÇAMENTOS'!$AF$6:$AF$2005,"Faturamento Bruto",'LANÇAMENTOS'!$AA$6:$AA$2005,'CONFIGURAÇÕES'!$B$18,'LANÇAMENTOS'!$Z$6:$Z$2005,7)</f>
        <v/>
      </c>
      <c r="C47" s="18">
        <f>SUMIFS('LANÇAMENTOS'!$V$6:$V$2005,'LANÇAMENTOS'!$E$6:$E$2005,"Entrada",'LANÇAMENTOS'!$D$6:$D$2005,"&gt;="&amp;DATE('CONFIGURAÇÕES'!$B$18,7,1),'LANÇAMENTOS'!$D$6:$D$2005,"&lt;="&amp;EOMONTH(DATE('CONFIGURAÇÕES'!$B$18,7,1),0))</f>
        <v/>
      </c>
      <c r="D47" s="18">
        <f>SUMIFS('LANÇAMENTOS'!$W$6:$W$2005,'LANÇAMENTOS'!$E$6:$E$2005,"Entrada",'LANÇAMENTOS'!$W$6:$W$2005,"&gt;0",'LANÇAMENTOS'!$AA$6:$AA$2005,'CONFIGURAÇÕES'!$B$18,'LANÇAMENTOS'!$Z$6:$Z$2005,7,'LANÇAMENTOS'!$C$6:$C$2005,"&lt;"&amp;TODAY())</f>
        <v/>
      </c>
      <c r="E47" s="18">
        <f>SUM($D$41:$D47)</f>
        <v/>
      </c>
      <c r="F47" s="23">
        <f>IF($B47=0,"",SUM($D$41:$D47)/SUM($B$41:$B47))</f>
        <v/>
      </c>
      <c r="G47" s="17">
        <f>IF($F47="","",IF($F47&lt;='CONFIGURAÇÕES'!$B$26,"🟢 Dentro do limite","🔴 Acima do limite"))</f>
        <v/>
      </c>
    </row>
    <row r="48">
      <c r="A48" s="17">
        <f>TEXT(DATE('CONFIGURAÇÕES'!$B$18,8,1),"MM/AAAA")</f>
        <v/>
      </c>
      <c r="B48" s="18">
        <f>SUMIFS('LANÇAMENTOS'!$AE$6:$AE$2005,'LANÇAMENTOS'!$AF$6:$AF$2005,"Faturamento Bruto",'LANÇAMENTOS'!$AA$6:$AA$2005,'CONFIGURAÇÕES'!$B$18,'LANÇAMENTOS'!$Z$6:$Z$2005,8)</f>
        <v/>
      </c>
      <c r="C48" s="18">
        <f>SUMIFS('LANÇAMENTOS'!$V$6:$V$2005,'LANÇAMENTOS'!$E$6:$E$2005,"Entrada",'LANÇAMENTOS'!$D$6:$D$2005,"&gt;="&amp;DATE('CONFIGURAÇÕES'!$B$18,8,1),'LANÇAMENTOS'!$D$6:$D$2005,"&lt;="&amp;EOMONTH(DATE('CONFIGURAÇÕES'!$B$18,8,1),0))</f>
        <v/>
      </c>
      <c r="D48" s="18">
        <f>SUMIFS('LANÇAMENTOS'!$W$6:$W$2005,'LANÇAMENTOS'!$E$6:$E$2005,"Entrada",'LANÇAMENTOS'!$W$6:$W$2005,"&gt;0",'LANÇAMENTOS'!$AA$6:$AA$2005,'CONFIGURAÇÕES'!$B$18,'LANÇAMENTOS'!$Z$6:$Z$2005,8,'LANÇAMENTOS'!$C$6:$C$2005,"&lt;"&amp;TODAY())</f>
        <v/>
      </c>
      <c r="E48" s="18">
        <f>SUM($D$41:$D48)</f>
        <v/>
      </c>
      <c r="F48" s="23">
        <f>IF($B48=0,"",SUM($D$41:$D48)/SUM($B$41:$B48))</f>
        <v/>
      </c>
      <c r="G48" s="17">
        <f>IF($F48="","",IF($F48&lt;='CONFIGURAÇÕES'!$B$26,"🟢 Dentro do limite","🔴 Acima do limite"))</f>
        <v/>
      </c>
    </row>
    <row r="49">
      <c r="A49" s="17">
        <f>TEXT(DATE('CONFIGURAÇÕES'!$B$18,9,1),"MM/AAAA")</f>
        <v/>
      </c>
      <c r="B49" s="18">
        <f>SUMIFS('LANÇAMENTOS'!$AE$6:$AE$2005,'LANÇAMENTOS'!$AF$6:$AF$2005,"Faturamento Bruto",'LANÇAMENTOS'!$AA$6:$AA$2005,'CONFIGURAÇÕES'!$B$18,'LANÇAMENTOS'!$Z$6:$Z$2005,9)</f>
        <v/>
      </c>
      <c r="C49" s="18">
        <f>SUMIFS('LANÇAMENTOS'!$V$6:$V$2005,'LANÇAMENTOS'!$E$6:$E$2005,"Entrada",'LANÇAMENTOS'!$D$6:$D$2005,"&gt;="&amp;DATE('CONFIGURAÇÕES'!$B$18,9,1),'LANÇAMENTOS'!$D$6:$D$2005,"&lt;="&amp;EOMONTH(DATE('CONFIGURAÇÕES'!$B$18,9,1),0))</f>
        <v/>
      </c>
      <c r="D49" s="18">
        <f>SUMIFS('LANÇAMENTOS'!$W$6:$W$2005,'LANÇAMENTOS'!$E$6:$E$2005,"Entrada",'LANÇAMENTOS'!$W$6:$W$2005,"&gt;0",'LANÇAMENTOS'!$AA$6:$AA$2005,'CONFIGURAÇÕES'!$B$18,'LANÇAMENTOS'!$Z$6:$Z$2005,9,'LANÇAMENTOS'!$C$6:$C$2005,"&lt;"&amp;TODAY())</f>
        <v/>
      </c>
      <c r="E49" s="18">
        <f>SUM($D$41:$D49)</f>
        <v/>
      </c>
      <c r="F49" s="23">
        <f>IF($B49=0,"",SUM($D$41:$D49)/SUM($B$41:$B49))</f>
        <v/>
      </c>
      <c r="G49" s="17">
        <f>IF($F49="","",IF($F49&lt;='CONFIGURAÇÕES'!$B$26,"🟢 Dentro do limite","🔴 Acima do limite"))</f>
        <v/>
      </c>
    </row>
    <row r="50">
      <c r="A50" s="17">
        <f>TEXT(DATE('CONFIGURAÇÕES'!$B$18,10,1),"MM/AAAA")</f>
        <v/>
      </c>
      <c r="B50" s="18">
        <f>SUMIFS('LANÇAMENTOS'!$AE$6:$AE$2005,'LANÇAMENTOS'!$AF$6:$AF$2005,"Faturamento Bruto",'LANÇAMENTOS'!$AA$6:$AA$2005,'CONFIGURAÇÕES'!$B$18,'LANÇAMENTOS'!$Z$6:$Z$2005,10)</f>
        <v/>
      </c>
      <c r="C50" s="18">
        <f>SUMIFS('LANÇAMENTOS'!$V$6:$V$2005,'LANÇAMENTOS'!$E$6:$E$2005,"Entrada",'LANÇAMENTOS'!$D$6:$D$2005,"&gt;="&amp;DATE('CONFIGURAÇÕES'!$B$18,10,1),'LANÇAMENTOS'!$D$6:$D$2005,"&lt;="&amp;EOMONTH(DATE('CONFIGURAÇÕES'!$B$18,10,1),0))</f>
        <v/>
      </c>
      <c r="D50" s="18">
        <f>SUMIFS('LANÇAMENTOS'!$W$6:$W$2005,'LANÇAMENTOS'!$E$6:$E$2005,"Entrada",'LANÇAMENTOS'!$W$6:$W$2005,"&gt;0",'LANÇAMENTOS'!$AA$6:$AA$2005,'CONFIGURAÇÕES'!$B$18,'LANÇAMENTOS'!$Z$6:$Z$2005,10,'LANÇAMENTOS'!$C$6:$C$2005,"&lt;"&amp;TODAY())</f>
        <v/>
      </c>
      <c r="E50" s="18">
        <f>SUM($D$41:$D50)</f>
        <v/>
      </c>
      <c r="F50" s="23">
        <f>IF($B50=0,"",SUM($D$41:$D50)/SUM($B$41:$B50))</f>
        <v/>
      </c>
      <c r="G50" s="17">
        <f>IF($F50="","",IF($F50&lt;='CONFIGURAÇÕES'!$B$26,"🟢 Dentro do limite","🔴 Acima do limite"))</f>
        <v/>
      </c>
    </row>
    <row r="51">
      <c r="A51" s="17">
        <f>TEXT(DATE('CONFIGURAÇÕES'!$B$18,11,1),"MM/AAAA")</f>
        <v/>
      </c>
      <c r="B51" s="18">
        <f>SUMIFS('LANÇAMENTOS'!$AE$6:$AE$2005,'LANÇAMENTOS'!$AF$6:$AF$2005,"Faturamento Bruto",'LANÇAMENTOS'!$AA$6:$AA$2005,'CONFIGURAÇÕES'!$B$18,'LANÇAMENTOS'!$Z$6:$Z$2005,11)</f>
        <v/>
      </c>
      <c r="C51" s="18">
        <f>SUMIFS('LANÇAMENTOS'!$V$6:$V$2005,'LANÇAMENTOS'!$E$6:$E$2005,"Entrada",'LANÇAMENTOS'!$D$6:$D$2005,"&gt;="&amp;DATE('CONFIGURAÇÕES'!$B$18,11,1),'LANÇAMENTOS'!$D$6:$D$2005,"&lt;="&amp;EOMONTH(DATE('CONFIGURAÇÕES'!$B$18,11,1),0))</f>
        <v/>
      </c>
      <c r="D51" s="18">
        <f>SUMIFS('LANÇAMENTOS'!$W$6:$W$2005,'LANÇAMENTOS'!$E$6:$E$2005,"Entrada",'LANÇAMENTOS'!$W$6:$W$2005,"&gt;0",'LANÇAMENTOS'!$AA$6:$AA$2005,'CONFIGURAÇÕES'!$B$18,'LANÇAMENTOS'!$Z$6:$Z$2005,11,'LANÇAMENTOS'!$C$6:$C$2005,"&lt;"&amp;TODAY())</f>
        <v/>
      </c>
      <c r="E51" s="18">
        <f>SUM($D$41:$D51)</f>
        <v/>
      </c>
      <c r="F51" s="23">
        <f>IF($B51=0,"",SUM($D$41:$D51)/SUM($B$41:$B51))</f>
        <v/>
      </c>
      <c r="G51" s="17">
        <f>IF($F51="","",IF($F51&lt;='CONFIGURAÇÕES'!$B$26,"🟢 Dentro do limite","🔴 Acima do limite"))</f>
        <v/>
      </c>
    </row>
    <row r="52">
      <c r="A52" s="17">
        <f>TEXT(DATE('CONFIGURAÇÕES'!$B$18,12,1),"MM/AAAA")</f>
        <v/>
      </c>
      <c r="B52" s="18">
        <f>SUMIFS('LANÇAMENTOS'!$AE$6:$AE$2005,'LANÇAMENTOS'!$AF$6:$AF$2005,"Faturamento Bruto",'LANÇAMENTOS'!$AA$6:$AA$2005,'CONFIGURAÇÕES'!$B$18,'LANÇAMENTOS'!$Z$6:$Z$2005,12)</f>
        <v/>
      </c>
      <c r="C52" s="18">
        <f>SUMIFS('LANÇAMENTOS'!$V$6:$V$2005,'LANÇAMENTOS'!$E$6:$E$2005,"Entrada",'LANÇAMENTOS'!$D$6:$D$2005,"&gt;="&amp;DATE('CONFIGURAÇÕES'!$B$18,12,1),'LANÇAMENTOS'!$D$6:$D$2005,"&lt;="&amp;EOMONTH(DATE('CONFIGURAÇÕES'!$B$18,12,1),0))</f>
        <v/>
      </c>
      <c r="D52" s="18">
        <f>SUMIFS('LANÇAMENTOS'!$W$6:$W$2005,'LANÇAMENTOS'!$E$6:$E$2005,"Entrada",'LANÇAMENTOS'!$W$6:$W$2005,"&gt;0",'LANÇAMENTOS'!$AA$6:$AA$2005,'CONFIGURAÇÕES'!$B$18,'LANÇAMENTOS'!$Z$6:$Z$2005,12,'LANÇAMENTOS'!$C$6:$C$2005,"&lt;"&amp;TODAY())</f>
        <v/>
      </c>
      <c r="E52" s="18">
        <f>SUM($D$41:$D52)</f>
        <v/>
      </c>
      <c r="F52" s="23">
        <f>IF($B52=0,"",SUM($D$41:$D52)/SUM($B$41:$B52))</f>
        <v/>
      </c>
      <c r="G52" s="17">
        <f>IF($F52="","",IF($F52&lt;='CONFIGURAÇÕES'!$B$26,"🟢 Dentro do limite","🔴 Acima do limite"))</f>
        <v/>
      </c>
    </row>
    <row r="53">
      <c r="A53" s="3" t="inlineStr">
        <is>
          <t>O índice de inadimplência acumulado compara o vencido gerado no ano com o faturamento acumulado — use-o para acompanhar a tendência mês a mês.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9">
        <f>'CADASTRO DE CLIENTES'!$B$21</f>
        <v/>
      </c>
      <c r="B54" s="18">
        <f>IF('CADASTRO DE CLIENTES'!$B$21="",0,SUMIFS('LANÇAMENTOS'!$W$6:$W$2005,'LANÇAMENTOS'!$I$6:$I$2005,'CADASTRO DE CLIENTES'!$B$21,'LANÇAMENTOS'!$E$6:$E$2005,"Entrada",'LANÇAMENTOS'!$W$6:$W$2005,"&gt;0",'LANÇAMENTOS'!$C$6:$C$2005,"&lt;"&amp;TODAY()))</f>
        <v/>
      </c>
    </row>
    <row r="55">
      <c r="A55" s="9">
        <f>'CADASTRO DE CLIENTES'!$B$22</f>
        <v/>
      </c>
      <c r="B55" s="18">
        <f>IF('CADASTRO DE CLIENTES'!$B$22="",0,SUMIFS('LANÇAMENTOS'!$W$6:$W$2005,'LANÇAMENTOS'!$I$6:$I$2005,'CADASTRO DE CLIENTES'!$B$22,'LANÇAMENTOS'!$E$6:$E$2005,"Entrada",'LANÇAMENTOS'!$W$6:$W$2005,"&gt;0",'LANÇAMENTOS'!$C$6:$C$2005,"&lt;"&amp;TODAY()))</f>
        <v/>
      </c>
    </row>
    <row r="56">
      <c r="A56" s="9">
        <f>'CADASTRO DE CLIENTES'!$B$23</f>
        <v/>
      </c>
      <c r="B56" s="18">
        <f>IF('CADASTRO DE CLIENTES'!$B$23="",0,SUMIFS('LANÇAMENTOS'!$W$6:$W$2005,'LANÇAMENTOS'!$I$6:$I$2005,'CADASTRO DE CLIENTES'!$B$23,'LANÇAMENTOS'!$E$6:$E$2005,"Entrada",'LANÇAMENTOS'!$W$6:$W$2005,"&gt;0",'LANÇAMENTOS'!$C$6:$C$2005,"&lt;"&amp;TODAY()))</f>
        <v/>
      </c>
    </row>
    <row r="57">
      <c r="A57" s="9">
        <f>'CADASTRO DE CLIENTES'!$B$24</f>
        <v/>
      </c>
      <c r="B57" s="18">
        <f>IF('CADASTRO DE CLIENTES'!$B$24="",0,SUMIFS('LANÇAMENTOS'!$W$6:$W$2005,'LANÇAMENTOS'!$I$6:$I$2005,'CADASTRO DE CLIENTES'!$B$24,'LANÇAMENTOS'!$E$6:$E$2005,"Entrada",'LANÇAMENTOS'!$W$6:$W$2005,"&gt;0",'LANÇAMENTOS'!$C$6:$C$2005,"&lt;"&amp;TODAY()))</f>
        <v/>
      </c>
    </row>
    <row r="58">
      <c r="A58" s="9">
        <f>'CADASTRO DE CLIENTES'!$B$25</f>
        <v/>
      </c>
      <c r="B58" s="18">
        <f>IF('CADASTRO DE CLIENTES'!$B$25="",0,SUMIFS('LANÇAMENTOS'!$W$6:$W$2005,'LANÇAMENTOS'!$I$6:$I$2005,'CADASTRO DE CLIENTES'!$B$25,'LANÇAMENTOS'!$E$6:$E$2005,"Entrada",'LANÇAMENTOS'!$W$6:$W$2005,"&gt;0",'LANÇAMENTOS'!$C$6:$C$2005,"&lt;"&amp;TODAY()))</f>
        <v/>
      </c>
    </row>
    <row r="59">
      <c r="A59" s="9">
        <f>'CADASTRO DE CLIENTES'!$B$26</f>
        <v/>
      </c>
      <c r="B59" s="18">
        <f>IF('CADASTRO DE CLIENTES'!$B$26="",0,SUMIFS('LANÇAMENTOS'!$W$6:$W$2005,'LANÇAMENTOS'!$I$6:$I$2005,'CADASTRO DE CLIENTES'!$B$26,'LANÇAMENTOS'!$E$6:$E$2005,"Entrada",'LANÇAMENTOS'!$W$6:$W$2005,"&gt;0",'LANÇAMENTOS'!$C$6:$C$2005,"&lt;"&amp;TODAY()))</f>
        <v/>
      </c>
    </row>
    <row r="60">
      <c r="A60" s="9">
        <f>'CADASTRO DE CLIENTES'!$B$27</f>
        <v/>
      </c>
      <c r="B60" s="18">
        <f>IF('CADASTRO DE CLIENTES'!$B$27="",0,SUMIFS('LANÇAMENTOS'!$W$6:$W$2005,'LANÇAMENTOS'!$I$6:$I$2005,'CADASTRO DE CLIENTES'!$B$27,'LANÇAMENTOS'!$E$6:$E$2005,"Entrada",'LANÇAMENTOS'!$W$6:$W$2005,"&gt;0",'LANÇAMENTOS'!$C$6:$C$2005,"&lt;"&amp;TODAY()))</f>
        <v/>
      </c>
    </row>
    <row r="61">
      <c r="A61" s="9">
        <f>'CADASTRO DE CLIENTES'!$B$28</f>
        <v/>
      </c>
      <c r="B61" s="18">
        <f>IF('CADASTRO DE CLIENTES'!$B$28="",0,SUMIFS('LANÇAMENTOS'!$W$6:$W$2005,'LANÇAMENTOS'!$I$6:$I$2005,'CADASTRO DE CLIENTES'!$B$28,'LANÇAMENTOS'!$E$6:$E$2005,"Entrada",'LANÇAMENTOS'!$W$6:$W$2005,"&gt;0",'LANÇAMENTOS'!$C$6:$C$2005,"&lt;"&amp;TODAY()))</f>
        <v/>
      </c>
    </row>
    <row r="62">
      <c r="A62" s="9">
        <f>'CADASTRO DE CLIENTES'!$B$29</f>
        <v/>
      </c>
      <c r="B62" s="18">
        <f>IF('CADASTRO DE CLIENTES'!$B$29="",0,SUMIFS('LANÇAMENTOS'!$W$6:$W$2005,'LANÇAMENTOS'!$I$6:$I$2005,'CADASTRO DE CLIENTES'!$B$29,'LANÇAMENTOS'!$E$6:$E$2005,"Entrada",'LANÇAMENTOS'!$W$6:$W$2005,"&gt;0",'LANÇAMENTOS'!$C$6:$C$2005,"&lt;"&amp;TODAY()))</f>
        <v/>
      </c>
    </row>
    <row r="63">
      <c r="A63" s="9">
        <f>'CADASTRO DE CLIENTES'!$B$30</f>
        <v/>
      </c>
      <c r="B63" s="18">
        <f>IF('CADASTRO DE CLIENTES'!$B$30="",0,SUMIFS('LANÇAMENTOS'!$W$6:$W$2005,'LANÇAMENTOS'!$I$6:$I$2005,'CADASTRO DE CLIENTES'!$B$30,'LANÇAMENTOS'!$E$6:$E$2005,"Entrada",'LANÇAMENTOS'!$W$6:$W$2005,"&gt;0",'LANÇAMENTOS'!$C$6:$C$2005,"&lt;"&amp;TODAY()))</f>
        <v/>
      </c>
    </row>
    <row r="64">
      <c r="A64" s="9">
        <f>'CADASTRO DE CLIENTES'!$B$31</f>
        <v/>
      </c>
      <c r="B64" s="18">
        <f>IF('CADASTRO DE CLIENTES'!$B$31="",0,SUMIFS('LANÇAMENTOS'!$W$6:$W$2005,'LANÇAMENTOS'!$I$6:$I$2005,'CADASTRO DE CLIENTES'!$B$31,'LANÇAMENTOS'!$E$6:$E$2005,"Entrada",'LANÇAMENTOS'!$W$6:$W$2005,"&gt;0",'LANÇAMENTOS'!$C$6:$C$2005,"&lt;"&amp;TODAY()))</f>
        <v/>
      </c>
    </row>
    <row r="65">
      <c r="A65" s="9">
        <f>'CADASTRO DE CLIENTES'!$B$32</f>
        <v/>
      </c>
      <c r="B65" s="18">
        <f>IF('CADASTRO DE CLIENTES'!$B$32="",0,SUMIFS('LANÇAMENTOS'!$W$6:$W$2005,'LANÇAMENTOS'!$I$6:$I$2005,'CADASTRO DE CLIENTES'!$B$32,'LANÇAMENTOS'!$E$6:$E$2005,"Entrada",'LANÇAMENTOS'!$W$6:$W$2005,"&gt;0",'LANÇAMENTOS'!$C$6:$C$2005,"&lt;"&amp;TODAY()))</f>
        <v/>
      </c>
    </row>
    <row r="66">
      <c r="A66" s="9">
        <f>'CADASTRO DE CLIENTES'!$B$33</f>
        <v/>
      </c>
      <c r="B66" s="18">
        <f>IF('CADASTRO DE CLIENTES'!$B$33="",0,SUMIFS('LANÇAMENTOS'!$W$6:$W$2005,'LANÇAMENTOS'!$I$6:$I$2005,'CADASTRO DE CLIENTES'!$B$33,'LANÇAMENTOS'!$E$6:$E$2005,"Entrada",'LANÇAMENTOS'!$W$6:$W$2005,"&gt;0",'LANÇAMENTOS'!$C$6:$C$2005,"&lt;"&amp;TODAY()))</f>
        <v/>
      </c>
    </row>
    <row r="67">
      <c r="A67" s="9">
        <f>'CADASTRO DE CLIENTES'!$B$34</f>
        <v/>
      </c>
      <c r="B67" s="18">
        <f>IF('CADASTRO DE CLIENTES'!$B$34="",0,SUMIFS('LANÇAMENTOS'!$W$6:$W$2005,'LANÇAMENTOS'!$I$6:$I$2005,'CADASTRO DE CLIENTES'!$B$34,'LANÇAMENTOS'!$E$6:$E$2005,"Entrada",'LANÇAMENTOS'!$W$6:$W$2005,"&gt;0",'LANÇAMENTOS'!$C$6:$C$2005,"&lt;"&amp;TODAY()))</f>
        <v/>
      </c>
    </row>
    <row r="68">
      <c r="A68" s="9">
        <f>'CADASTRO DE CLIENTES'!$B$35</f>
        <v/>
      </c>
      <c r="B68" s="18">
        <f>IF('CADASTRO DE CLIENTES'!$B$35="",0,SUMIFS('LANÇAMENTOS'!$W$6:$W$2005,'LANÇAMENTOS'!$I$6:$I$2005,'CADASTRO DE CLIENTES'!$B$35,'LANÇAMENTOS'!$E$6:$E$2005,"Entrada",'LANÇAMENTOS'!$W$6:$W$2005,"&gt;0",'LANÇAMENTOS'!$C$6:$C$2005,"&lt;"&amp;TODAY()))</f>
        <v/>
      </c>
    </row>
    <row r="69">
      <c r="A69" s="9">
        <f>'CADASTRO DE CLIENTES'!$B$36</f>
        <v/>
      </c>
      <c r="B69" s="18">
        <f>IF('CADASTRO DE CLIENTES'!$B$36="",0,SUMIFS('LANÇAMENTOS'!$W$6:$W$2005,'LANÇAMENTOS'!$I$6:$I$2005,'CADASTRO DE CLIENTES'!$B$36,'LANÇAMENTOS'!$E$6:$E$2005,"Entrada",'LANÇAMENTOS'!$W$6:$W$2005,"&gt;0",'LANÇAMENTOS'!$C$6:$C$2005,"&lt;"&amp;TODAY()))</f>
        <v/>
      </c>
    </row>
    <row r="70">
      <c r="A70" s="9">
        <f>'CADASTRO DE CLIENTES'!$B$37</f>
        <v/>
      </c>
      <c r="B70" s="18">
        <f>IF('CADASTRO DE CLIENTES'!$B$37="",0,SUMIFS('LANÇAMENTOS'!$W$6:$W$2005,'LANÇAMENTOS'!$I$6:$I$2005,'CADASTRO DE CLIENTES'!$B$37,'LANÇAMENTOS'!$E$6:$E$2005,"Entrada",'LANÇAMENTOS'!$W$6:$W$2005,"&gt;0",'LANÇAMENTOS'!$C$6:$C$2005,"&lt;"&amp;TODAY()))</f>
        <v/>
      </c>
    </row>
    <row r="71">
      <c r="A71" s="9">
        <f>'CADASTRO DE CLIENTES'!$B$38</f>
        <v/>
      </c>
      <c r="B71" s="18">
        <f>IF('CADASTRO DE CLIENTES'!$B$38="",0,SUMIFS('LANÇAMENTOS'!$W$6:$W$2005,'LANÇAMENTOS'!$I$6:$I$2005,'CADASTRO DE CLIENTES'!$B$38,'LANÇAMENTOS'!$E$6:$E$2005,"Entrada",'LANÇAMENTOS'!$W$6:$W$2005,"&gt;0",'LANÇAMENTOS'!$C$6:$C$2005,"&lt;"&amp;TODAY()))</f>
        <v/>
      </c>
    </row>
    <row r="72">
      <c r="A72" s="9">
        <f>'CADASTRO DE CLIENTES'!$B$39</f>
        <v/>
      </c>
      <c r="B72" s="18">
        <f>IF('CADASTRO DE CLIENTES'!$B$39="",0,SUMIFS('LANÇAMENTOS'!$W$6:$W$2005,'LANÇAMENTOS'!$I$6:$I$2005,'CADASTRO DE CLIENTES'!$B$39,'LANÇAMENTOS'!$E$6:$E$2005,"Entrada",'LANÇAMENTOS'!$W$6:$W$2005,"&gt;0",'LANÇAMENTOS'!$C$6:$C$2005,"&lt;"&amp;TODAY()))</f>
        <v/>
      </c>
    </row>
    <row r="73">
      <c r="A73" s="9">
        <f>'CADASTRO DE CLIENTES'!$B$40</f>
        <v/>
      </c>
      <c r="B73" s="18">
        <f>IF('CADASTRO DE CLIENTES'!$B$40="",0,SUMIFS('LANÇAMENTOS'!$W$6:$W$2005,'LANÇAMENTOS'!$I$6:$I$2005,'CADASTRO DE CLIENTES'!$B$40,'LANÇAMENTOS'!$E$6:$E$2005,"Entrada",'LANÇAMENTOS'!$W$6:$W$2005,"&gt;0",'LANÇAMENTOS'!$C$6:$C$2005,"&lt;"&amp;TODAY()))</f>
        <v/>
      </c>
    </row>
    <row r="74">
      <c r="A74" s="9">
        <f>'CADASTRO DE CLIENTES'!$B$41</f>
        <v/>
      </c>
      <c r="B74" s="18">
        <f>IF('CADASTRO DE CLIENTES'!$B$41="",0,SUMIFS('LANÇAMENTOS'!$W$6:$W$2005,'LANÇAMENTOS'!$I$6:$I$2005,'CADASTRO DE CLIENTES'!$B$41,'LANÇAMENTOS'!$E$6:$E$2005,"Entrada",'LANÇAMENTOS'!$W$6:$W$2005,"&gt;0",'LANÇAMENTOS'!$C$6:$C$2005,"&lt;"&amp;TODAY()))</f>
        <v/>
      </c>
    </row>
    <row r="75">
      <c r="A75" s="9">
        <f>'CADASTRO DE CLIENTES'!$B$42</f>
        <v/>
      </c>
      <c r="B75" s="18">
        <f>IF('CADASTRO DE CLIENTES'!$B$42="",0,SUMIFS('LANÇAMENTOS'!$W$6:$W$2005,'LANÇAMENTOS'!$I$6:$I$2005,'CADASTRO DE CLIENTES'!$B$42,'LANÇAMENTOS'!$E$6:$E$2005,"Entrada",'LANÇAMENTOS'!$W$6:$W$2005,"&gt;0",'LANÇAMENTOS'!$C$6:$C$2005,"&lt;"&amp;TODAY()))</f>
        <v/>
      </c>
    </row>
    <row r="76">
      <c r="A76" s="9">
        <f>'CADASTRO DE CLIENTES'!$B$43</f>
        <v/>
      </c>
      <c r="B76" s="18">
        <f>IF('CADASTRO DE CLIENTES'!$B$43="",0,SUMIFS('LANÇAMENTOS'!$W$6:$W$2005,'LANÇAMENTOS'!$I$6:$I$2005,'CADASTRO DE CLIENTES'!$B$43,'LANÇAMENTOS'!$E$6:$E$2005,"Entrada",'LANÇAMENTOS'!$W$6:$W$2005,"&gt;0",'LANÇAMENTOS'!$C$6:$C$2005,"&lt;"&amp;TODAY()))</f>
        <v/>
      </c>
    </row>
    <row r="77">
      <c r="A77" s="9">
        <f>'CADASTRO DE CLIENTES'!$B$44</f>
        <v/>
      </c>
      <c r="B77" s="18">
        <f>IF('CADASTRO DE CLIENTES'!$B$44="",0,SUMIFS('LANÇAMENTOS'!$W$6:$W$2005,'LANÇAMENTOS'!$I$6:$I$2005,'CADASTRO DE CLIENTES'!$B$44,'LANÇAMENTOS'!$E$6:$E$2005,"Entrada",'LANÇAMENTOS'!$W$6:$W$2005,"&gt;0",'LANÇAMENTOS'!$C$6:$C$2005,"&lt;"&amp;TODAY()))</f>
        <v/>
      </c>
    </row>
    <row r="78">
      <c r="A78" s="9">
        <f>'CADASTRO DE CLIENTES'!$B$45</f>
        <v/>
      </c>
      <c r="B78" s="18">
        <f>IF('CADASTRO DE CLIENTES'!$B$45="",0,SUMIFS('LANÇAMENTOS'!$W$6:$W$2005,'LANÇAMENTOS'!$I$6:$I$2005,'CADASTRO DE CLIENTES'!$B$45,'LANÇAMENTOS'!$E$6:$E$2005,"Entrada",'LANÇAMENTOS'!$W$6:$W$2005,"&gt;0",'LANÇAMENTOS'!$C$6:$C$2005,"&lt;"&amp;TODAY()))</f>
        <v/>
      </c>
    </row>
    <row r="79">
      <c r="A79" s="9">
        <f>'CADASTRO DE CLIENTES'!$B$46</f>
        <v/>
      </c>
      <c r="B79" s="18">
        <f>IF('CADASTRO DE CLIENTES'!$B$46="",0,SUMIFS('LANÇAMENTOS'!$W$6:$W$2005,'LANÇAMENTOS'!$I$6:$I$2005,'CADASTRO DE CLIENTES'!$B$46,'LANÇAMENTOS'!$E$6:$E$2005,"Entrada",'LANÇAMENTOS'!$W$6:$W$2005,"&gt;0",'LANÇAMENTOS'!$C$6:$C$2005,"&lt;"&amp;TODAY()))</f>
        <v/>
      </c>
    </row>
    <row r="80">
      <c r="A80" s="9">
        <f>'CADASTRO DE CLIENTES'!$B$47</f>
        <v/>
      </c>
      <c r="B80" s="18">
        <f>IF('CADASTRO DE CLIENTES'!$B$47="",0,SUMIFS('LANÇAMENTOS'!$W$6:$W$2005,'LANÇAMENTOS'!$I$6:$I$2005,'CADASTRO DE CLIENTES'!$B$47,'LANÇAMENTOS'!$E$6:$E$2005,"Entrada",'LANÇAMENTOS'!$W$6:$W$2005,"&gt;0",'LANÇAMENTOS'!$C$6:$C$2005,"&lt;"&amp;TODAY()))</f>
        <v/>
      </c>
    </row>
    <row r="81">
      <c r="A81" s="9">
        <f>'CADASTRO DE CLIENTES'!$B$48</f>
        <v/>
      </c>
      <c r="B81" s="18">
        <f>IF('CADASTRO DE CLIENTES'!$B$48="",0,SUMIFS('LANÇAMENTOS'!$W$6:$W$2005,'LANÇAMENTOS'!$I$6:$I$2005,'CADASTRO DE CLIENTES'!$B$48,'LANÇAMENTOS'!$E$6:$E$2005,"Entrada",'LANÇAMENTOS'!$W$6:$W$2005,"&gt;0",'LANÇAMENTOS'!$C$6:$C$2005,"&lt;"&amp;TODAY()))</f>
        <v/>
      </c>
    </row>
    <row r="82">
      <c r="A82" s="9">
        <f>'CADASTRO DE CLIENTES'!$B$49</f>
        <v/>
      </c>
      <c r="B82" s="18">
        <f>IF('CADASTRO DE CLIENTES'!$B$49="",0,SUMIFS('LANÇAMENTOS'!$W$6:$W$2005,'LANÇAMENTOS'!$I$6:$I$2005,'CADASTRO DE CLIENTES'!$B$49,'LANÇAMENTOS'!$E$6:$E$2005,"Entrada",'LANÇAMENTOS'!$W$6:$W$2005,"&gt;0",'LANÇAMENTOS'!$C$6:$C$2005,"&lt;"&amp;TODAY()))</f>
        <v/>
      </c>
    </row>
    <row r="83">
      <c r="A83" s="9">
        <f>'CADASTRO DE CLIENTES'!$B$50</f>
        <v/>
      </c>
      <c r="B83" s="18">
        <f>IF('CADASTRO DE CLIENTES'!$B$50="",0,SUMIFS('LANÇAMENTOS'!$W$6:$W$2005,'LANÇAMENTOS'!$I$6:$I$2005,'CADASTRO DE CLIENTES'!$B$50,'LANÇAMENTOS'!$E$6:$E$2005,"Entrada",'LANÇAMENTOS'!$W$6:$W$2005,"&gt;0",'LANÇAMENTOS'!$C$6:$C$2005,"&lt;"&amp;TODAY()))</f>
        <v/>
      </c>
    </row>
    <row r="84">
      <c r="A84" s="9">
        <f>'CADASTRO DE CLIENTES'!$B$51</f>
        <v/>
      </c>
      <c r="B84" s="18">
        <f>IF('CADASTRO DE CLIENTES'!$B$51="",0,SUMIFS('LANÇAMENTOS'!$W$6:$W$2005,'LANÇAMENTOS'!$I$6:$I$2005,'CADASTRO DE CLIENTES'!$B$51,'LANÇAMENTOS'!$E$6:$E$2005,"Entrada",'LANÇAMENTOS'!$W$6:$W$2005,"&gt;0",'LANÇAMENTOS'!$C$6:$C$2005,"&lt;"&amp;TODAY()))</f>
        <v/>
      </c>
    </row>
    <row r="85">
      <c r="A85" s="9">
        <f>'CADASTRO DE CLIENTES'!$B$52</f>
        <v/>
      </c>
      <c r="B85" s="18">
        <f>IF('CADASTRO DE CLIENTES'!$B$52="",0,SUMIFS('LANÇAMENTOS'!$W$6:$W$2005,'LANÇAMENTOS'!$I$6:$I$2005,'CADASTRO DE CLIENTES'!$B$52,'LANÇAMENTOS'!$E$6:$E$2005,"Entrada",'LANÇAMENTOS'!$W$6:$W$2005,"&gt;0",'LANÇAMENTOS'!$C$6:$C$2005,"&lt;"&amp;TODAY()))</f>
        <v/>
      </c>
    </row>
    <row r="86">
      <c r="A86" s="9">
        <f>'CADASTRO DE CLIENTES'!$B$53</f>
        <v/>
      </c>
      <c r="B86" s="18">
        <f>IF('CADASTRO DE CLIENTES'!$B$53="",0,SUMIFS('LANÇAMENTOS'!$W$6:$W$2005,'LANÇAMENTOS'!$I$6:$I$2005,'CADASTRO DE CLIENTES'!$B$53,'LANÇAMENTOS'!$E$6:$E$2005,"Entrada",'LANÇAMENTOS'!$W$6:$W$2005,"&gt;0",'LANÇAMENTOS'!$C$6:$C$2005,"&lt;"&amp;TODAY()))</f>
        <v/>
      </c>
    </row>
    <row r="87">
      <c r="A87" s="9">
        <f>'CADASTRO DE CLIENTES'!$B$54</f>
        <v/>
      </c>
      <c r="B87" s="18">
        <f>IF('CADASTRO DE CLIENTES'!$B$54="",0,SUMIFS('LANÇAMENTOS'!$W$6:$W$2005,'LANÇAMENTOS'!$I$6:$I$2005,'CADASTRO DE CLIENTES'!$B$54,'LANÇAMENTOS'!$E$6:$E$2005,"Entrada",'LANÇAMENTOS'!$W$6:$W$2005,"&gt;0",'LANÇAMENTOS'!$C$6:$C$2005,"&lt;"&amp;TODAY()))</f>
        <v/>
      </c>
    </row>
    <row r="88">
      <c r="A88" s="9">
        <f>'CADASTRO DE CLIENTES'!$B$55</f>
        <v/>
      </c>
      <c r="B88" s="18">
        <f>IF('CADASTRO DE CLIENTES'!$B$55="",0,SUMIFS('LANÇAMENTOS'!$W$6:$W$2005,'LANÇAMENTOS'!$I$6:$I$2005,'CADASTRO DE CLIENTES'!$B$55,'LANÇAMENTOS'!$E$6:$E$2005,"Entrada",'LANÇAMENTOS'!$W$6:$W$2005,"&gt;0",'LANÇAMENTOS'!$C$6:$C$2005,"&lt;"&amp;TODAY()))</f>
        <v/>
      </c>
    </row>
    <row r="89">
      <c r="A89" s="9">
        <f>'CADASTRO DE CLIENTES'!$B$56</f>
        <v/>
      </c>
      <c r="B89" s="18">
        <f>IF('CADASTRO DE CLIENTES'!$B$56="",0,SUMIFS('LANÇAMENTOS'!$W$6:$W$2005,'LANÇAMENTOS'!$I$6:$I$2005,'CADASTRO DE CLIENTES'!$B$56,'LANÇAMENTOS'!$E$6:$E$2005,"Entrada",'LANÇAMENTOS'!$W$6:$W$2005,"&gt;0",'LANÇAMENTOS'!$C$6:$C$2005,"&lt;"&amp;TODAY()))</f>
        <v/>
      </c>
    </row>
    <row r="90">
      <c r="A90" s="9">
        <f>'CADASTRO DE CLIENTES'!$B$57</f>
        <v/>
      </c>
      <c r="B90" s="18">
        <f>IF('CADASTRO DE CLIENTES'!$B$57="",0,SUMIFS('LANÇAMENTOS'!$W$6:$W$2005,'LANÇAMENTOS'!$I$6:$I$2005,'CADASTRO DE CLIENTES'!$B$57,'LANÇAMENTOS'!$E$6:$E$2005,"Entrada",'LANÇAMENTOS'!$W$6:$W$2005,"&gt;0",'LANÇAMENTOS'!$C$6:$C$2005,"&lt;"&amp;TODAY()))</f>
        <v/>
      </c>
    </row>
    <row r="91">
      <c r="A91" s="9">
        <f>'CADASTRO DE CLIENTES'!$B$58</f>
        <v/>
      </c>
      <c r="B91" s="18">
        <f>IF('CADASTRO DE CLIENTES'!$B$58="",0,SUMIFS('LANÇAMENTOS'!$W$6:$W$2005,'LANÇAMENTOS'!$I$6:$I$2005,'CADASTRO DE CLIENTES'!$B$58,'LANÇAMENTOS'!$E$6:$E$2005,"Entrada",'LANÇAMENTOS'!$W$6:$W$2005,"&gt;0",'LANÇAMENTOS'!$C$6:$C$2005,"&lt;"&amp;TODAY()))</f>
        <v/>
      </c>
    </row>
    <row r="92">
      <c r="A92" s="9">
        <f>'CADASTRO DE CLIENTES'!$B$59</f>
        <v/>
      </c>
      <c r="B92" s="18">
        <f>IF('CADASTRO DE CLIENTES'!$B$59="",0,SUMIFS('LANÇAMENTOS'!$W$6:$W$2005,'LANÇAMENTOS'!$I$6:$I$2005,'CADASTRO DE CLIENTES'!$B$59,'LANÇAMENTOS'!$E$6:$E$2005,"Entrada",'LANÇAMENTOS'!$W$6:$W$2005,"&gt;0",'LANÇAMENTOS'!$C$6:$C$2005,"&lt;"&amp;TODAY()))</f>
        <v/>
      </c>
    </row>
    <row r="93">
      <c r="A93" s="9">
        <f>'CADASTRO DE CLIENTES'!$B$60</f>
        <v/>
      </c>
      <c r="B93" s="18">
        <f>IF('CADASTRO DE CLIENTES'!$B$60="",0,SUMIFS('LANÇAMENTOS'!$W$6:$W$2005,'LANÇAMENTOS'!$I$6:$I$2005,'CADASTRO DE CLIENTES'!$B$60,'LANÇAMENTOS'!$E$6:$E$2005,"Entrada",'LANÇAMENTOS'!$W$6:$W$2005,"&gt;0",'LANÇAMENTOS'!$C$6:$C$2005,"&lt;"&amp;TODAY()))</f>
        <v/>
      </c>
    </row>
    <row r="94">
      <c r="A94" s="9">
        <f>'CADASTRO DE CLIENTES'!$B$61</f>
        <v/>
      </c>
      <c r="B94" s="18">
        <f>IF('CADASTRO DE CLIENTES'!$B$61="",0,SUMIFS('LANÇAMENTOS'!$W$6:$W$2005,'LANÇAMENTOS'!$I$6:$I$2005,'CADASTRO DE CLIENTES'!$B$61,'LANÇAMENTOS'!$E$6:$E$2005,"Entrada",'LANÇAMENTOS'!$W$6:$W$2005,"&gt;0",'LANÇAMENTOS'!$C$6:$C$2005,"&lt;"&amp;TODAY()))</f>
        <v/>
      </c>
    </row>
    <row r="95">
      <c r="A95" s="9">
        <f>'CADASTRO DE CLIENTES'!$B$62</f>
        <v/>
      </c>
      <c r="B95" s="18">
        <f>IF('CADASTRO DE CLIENTES'!$B$62="",0,SUMIFS('LANÇAMENTOS'!$W$6:$W$2005,'LANÇAMENTOS'!$I$6:$I$2005,'CADASTRO DE CLIENTES'!$B$62,'LANÇAMENTOS'!$E$6:$E$2005,"Entrada",'LANÇAMENTOS'!$W$6:$W$2005,"&gt;0",'LANÇAMENTOS'!$C$6:$C$2005,"&lt;"&amp;TODAY()))</f>
        <v/>
      </c>
    </row>
    <row r="96">
      <c r="A96" s="9">
        <f>'CADASTRO DE CLIENTES'!$B$63</f>
        <v/>
      </c>
      <c r="B96" s="18">
        <f>IF('CADASTRO DE CLIENTES'!$B$63="",0,SUMIFS('LANÇAMENTOS'!$W$6:$W$2005,'LANÇAMENTOS'!$I$6:$I$2005,'CADASTRO DE CLIENTES'!$B$63,'LANÇAMENTOS'!$E$6:$E$2005,"Entrada",'LANÇAMENTOS'!$W$6:$W$2005,"&gt;0",'LANÇAMENTOS'!$C$6:$C$2005,"&lt;"&amp;TODAY()))</f>
        <v/>
      </c>
    </row>
    <row r="97">
      <c r="A97" s="9">
        <f>'CADASTRO DE CLIENTES'!$B$64</f>
        <v/>
      </c>
      <c r="B97" s="18">
        <f>IF('CADASTRO DE CLIENTES'!$B$64="",0,SUMIFS('LANÇAMENTOS'!$W$6:$W$2005,'LANÇAMENTOS'!$I$6:$I$2005,'CADASTRO DE CLIENTES'!$B$64,'LANÇAMENTOS'!$E$6:$E$2005,"Entrada",'LANÇAMENTOS'!$W$6:$W$2005,"&gt;0",'LANÇAMENTOS'!$C$6:$C$2005,"&lt;"&amp;TODAY()))</f>
        <v/>
      </c>
    </row>
    <row r="98">
      <c r="A98" s="9">
        <f>'CADASTRO DE CLIENTES'!$B$65</f>
        <v/>
      </c>
      <c r="B98" s="18">
        <f>IF('CADASTRO DE CLIENTES'!$B$65="",0,SUMIFS('LANÇAMENTOS'!$W$6:$W$2005,'LANÇAMENTOS'!$I$6:$I$2005,'CADASTRO DE CLIENTES'!$B$65,'LANÇAMENTOS'!$E$6:$E$2005,"Entrada",'LANÇAMENTOS'!$W$6:$W$2005,"&gt;0",'LANÇAMENTOS'!$C$6:$C$2005,"&lt;"&amp;TODAY()))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2">
    <mergeCell ref="A5:J5"/>
    <mergeCell ref="C6:D6"/>
    <mergeCell ref="A38:D38"/>
    <mergeCell ref="A53:J53"/>
    <mergeCell ref="A20:J20"/>
    <mergeCell ref="G8:H8"/>
    <mergeCell ref="A10:J10"/>
    <mergeCell ref="E8:F8"/>
    <mergeCell ref="A6:B6"/>
    <mergeCell ref="A3:O3"/>
    <mergeCell ref="A7:B7"/>
    <mergeCell ref="G7:H7"/>
    <mergeCell ref="A39:J39"/>
    <mergeCell ref="G6:H6"/>
    <mergeCell ref="A1:J1"/>
    <mergeCell ref="E6:F6"/>
    <mergeCell ref="A8:B8"/>
    <mergeCell ref="C8:D8"/>
    <mergeCell ref="A37:J37"/>
    <mergeCell ref="C7:D7"/>
    <mergeCell ref="E7:F7"/>
    <mergeCell ref="A2:J2"/>
  </mergeCells>
  <conditionalFormatting sqref="B12:B17">
    <cfRule type="dataBar" priority="1">
      <dataBar showValue="1">
        <cfvo type="num" val="0"/>
        <cfvo type="max"/>
        <color rgb="002E75B6"/>
      </dataBar>
    </cfRule>
  </conditionalFormatting>
  <conditionalFormatting sqref="E12:F17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C22:C36">
    <cfRule type="dataBar" priority="3">
      <dataBar showValue="1">
        <cfvo type="num" val="0"/>
        <cfvo type="max"/>
        <color rgb="002E75B6"/>
      </dataBar>
    </cfRule>
  </conditionalFormatting>
  <conditionalFormatting sqref="A22:J36">
    <cfRule type="expression" priority="4" dxfId="0">
      <formula>=$A22=1</formula>
    </cfRule>
  </conditionalFormatting>
  <conditionalFormatting sqref="G41:G52">
    <cfRule type="expression" priority="5" dxfId="2" stopIfTrue="0">
      <formula>ISNUMBER(SEARCH("🔴",G41))</formula>
    </cfRule>
    <cfRule type="expression" priority="6" dxfId="4" stopIfTrue="0">
      <formula>ISNUMBER(SEARCH("🟢",G41))</formula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P102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8" customWidth="1" min="3" max="3"/>
    <col width="21" customWidth="1" min="4" max="4"/>
    <col width="60" customWidth="1" min="5" max="5"/>
  </cols>
  <sheetData>
    <row r="1" ht="24" customHeight="1">
      <c r="A1" s="26" t="inlineStr">
        <is>
          <t>INDICADORES DE DESEMPENHO E PAINEL DE ALERTAS</t>
        </is>
      </c>
    </row>
    <row r="2">
      <c r="A2" s="27" t="inlineStr">
        <is>
          <t>KPIs de vendas, rentabilidade, caixa, recebimentos, pagamentos, endividamento e capital de giro — todos calculados a partir da aba LANÇAMENTOS. O bloco ATENÇÃO DO GESTOR verifica automaticamente as situações que exigem decisão.</t>
        </is>
      </c>
    </row>
    <row r="3" ht="22" customHeight="1">
      <c r="A3" s="3" t="inlineStr">
        <is>
          <t>Como ler: as colunas B (valor) e D (status) são calculadas. As metas vêm da aba CONFIGURAÇÕES. 🔴 Crítico = aja agora | 🟡 Atenção = acompanhe | 🟢 OK = dentro do esperado.</t>
        </is>
      </c>
      <c r="B3" s="3" t="n"/>
      <c r="C3" s="3" t="n"/>
      <c r="D3" s="3" t="n"/>
      <c r="E3" s="3" t="n"/>
    </row>
    <row r="5" ht="22" customHeight="1">
      <c r="A5" s="4" t="inlineStr">
        <is>
          <t>1. ATENÇÃO DO GESTOR — 18 VERIFICAÇÕES AUTOMÁTICAS</t>
        </is>
      </c>
      <c r="B5" s="4" t="n"/>
      <c r="C5" s="4" t="n"/>
      <c r="D5" s="4" t="n"/>
      <c r="E5" s="4" t="n"/>
    </row>
    <row r="6" ht="32" customHeight="1">
      <c r="A6" s="34" t="inlineStr">
        <is>
          <t>Verificação automática</t>
        </is>
      </c>
      <c r="B6" s="34" t="inlineStr">
        <is>
          <t>Situação</t>
        </is>
      </c>
      <c r="C6" s="34" t="inlineStr">
        <is>
          <t>Valor atual</t>
        </is>
      </c>
      <c r="D6" s="34" t="inlineStr">
        <is>
          <t>Meta / referência</t>
        </is>
      </c>
      <c r="E6" s="34" t="inlineStr">
        <is>
          <t>Ação recomendada</t>
        </is>
      </c>
    </row>
    <row r="7" ht="15" customHeight="1">
      <c r="A7" s="9">
        <f>IF($C7&lt;'CONFIGURAÇÕES'!$B$25,"Saldo de caixa abaixo do mínimo exigido",IF($C7&lt;'CONFIGURAÇÕES'!$B$25*1.5,"Saldo de caixa próximo do mínimo","Saldo de caixa acima do mínimo exigido"))</f>
        <v/>
      </c>
      <c r="B7" s="17">
        <f>IF($C7&lt;'CONFIGURAÇÕES'!$B$25,"🔴 Crítico",IF($C7&lt;'CONFIGURAÇÕES'!$B$25*1.5,"🟡 Atenção","🟢 OK"))</f>
        <v/>
      </c>
      <c r="C7" s="18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D7" s="18">
        <f>'CONFIGURAÇÕES'!$B$25</f>
        <v/>
      </c>
      <c r="E7" s="25" t="inlineStr">
        <is>
          <t>Reforce o recebimento de títulos em aberto ou renegocie prazos de fornecedores.</t>
        </is>
      </c>
    </row>
    <row r="8" ht="15" customHeight="1">
      <c r="A8" s="9">
        <f>IF($C8&lt;0,"Geração de caixa negativa no período de análise",IF($C8&lt;'CONFIGURAÇÕES'!$B$23*0.5,"Geração de caixa fraca no período","Geração de caixa positiva no período"))</f>
        <v/>
      </c>
      <c r="B8" s="17">
        <f>IF($C8&lt;0,"🔴 Crítico",IF($C8&lt;'CONFIGURAÇÕES'!$B$23*0.5,"🟡 Atenção","🟢 OK"))</f>
        <v/>
      </c>
      <c r="C8" s="18">
        <f>SUMIFS('LANÇAMENTOS'!$V$6:$V$2005,'LANÇAMENTOS'!$E$6:$E$2005,"Entrada",'LANÇAMENTOS'!$D$6:$D$2005,"&gt;="&amp;DATE('CONFIGURAÇÕES'!$B$18,IF('CONFIGURAÇÕES'!$B$19=0,"&gt;0",'CONFIGURAÇÕES'!$B$19),1),'LANÇAMENTOS'!$D$6:$D$2005,"&lt;="&amp;EOMONTH(DATE('CONFIGURAÇÕES'!$B$18,IF('CONFIGURAÇÕES'!$B$19=0,"&gt;0",'CONFIGURAÇÕES'!$B$19),1),0))-(SUMIFS('LANÇAMENTOS'!$V$6:$V$2005,'LANÇAMENTOS'!$E$6:$E$2005,"Saída",'LANÇAMENTOS'!$D$6:$D$2005,"&gt;="&amp;DATE('CONFIGURAÇÕES'!$B$18,IF('CONFIGURAÇÕES'!$B$19=0,"&gt;0",'CONFIGURAÇÕES'!$B$19),1),'LANÇAMENTOS'!$D$6:$D$2005,"&lt;="&amp;EOMONTH(DATE('CONFIGURAÇÕES'!$B$18,IF('CONFIGURAÇÕES'!$B$19=0,"&gt;0",'CONFIGURAÇÕES'!$B$19),1),0)))</f>
        <v/>
      </c>
      <c r="D8" s="18">
        <f>0</f>
        <v/>
      </c>
      <c r="E8" s="25" t="inlineStr">
        <is>
          <t>Revise despesas e antecipe recebíveis para recompor o caixa.</t>
        </is>
      </c>
    </row>
    <row r="9" ht="15" customHeight="1">
      <c r="A9" s="9">
        <f>IF($C9&lt;'CONFIGURAÇÕES'!$B$24*0.5,"Margem líquida muito abaixo do mínimo desejado",IF($C9&lt;'CONFIGURAÇÕES'!$B$24,"Margem líquida abaixo do mínimo desejado","Margem líquida dentro do mínimo desejado"))</f>
        <v/>
      </c>
      <c r="B9" s="17">
        <f>IF($C9&lt;'CONFIGURAÇÕES'!$B$24*0.5,"🔴 Crítico",IF($C9&lt;'CONFIGURAÇÕES'!$B$24,"🟡 Atenção","🟢 OK"))</f>
        <v/>
      </c>
      <c r="C9" s="23">
        <f>IFERROR(((SUMIFS('LANÇAMENTOS'!$AE$6:$AE$2005,'LANÇAMENTOS'!$AF$6:$AF$2005,"Faturamento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Vendas",'LANÇAMENTOS'!$AA$6:$AA$2005,'CONFIGURAÇÕES'!$B$18)-SUMIFS('LANÇAMENTOS'!$AE$6:$AE$2005,'LANÇAMENTOS'!$AF$6:$AF$2005,"Devoluções",'LANÇAMENTOS'!$AA$6:$AA$2005,'CONFIGURAÇÕES'!$B$18))-SUMIFS('LANÇAMENTOS'!$AE$6:$AE$2005,'LANÇAMENTOS'!$AF$6:$AF$2005,"Custos Variáveis",'LANÇAMENTOS'!$AA$6:$AA$2005,'CONFIGURAÇÕES'!$B$18)-SUMIFS('LANÇAMENTOS'!$AE$6:$AE$2005,'LANÇAMENTOS'!$AF$6:$AF$2005,"Despesas Fixas",'LANÇAMENTOS'!$AA$6:$AA$2005,'CONFIGURAÇÕES'!$B$18)-SUMIFS('LANÇAMENTOS'!$AE$6:$AE$2005,'LANÇAMENTOS'!$AF$6:$AF$2005,"Despesas Financeiras",'LANÇAMENTOS'!$AA$6:$AA$2005,'CONFIGURAÇÕES'!$B$18)+SUMIFS('LANÇAMENTOS'!$AE$6:$AE$2005,'LANÇAMENTOS'!$AF$6:$AF$2005,"Receitas Financeiras",'LANÇAMENTOS'!$AA$6:$AA$2005,'CONFIGURAÇÕES'!$B$18)+SUMIFS('LANÇAMENTOS'!$AE$6:$AE$2005,'LANÇAMENTOS'!$AF$6:$AF$2005,"Outras Receitas Operacionais",'LANÇAMENTOS'!$AA$6:$AA$2005,'CONFIGURAÇÕES'!$B$18)-SUMIFS('LANÇAMENTOS'!$AE$6:$AE$2005,'LANÇAMENTOS'!$AF$6:$AF$2005,"Impostos sobre o Resultado",'LANÇAMENTOS'!$AA$6:$AA$2005,'CONFIGURAÇÕES'!$B$18))/(SUMIFS('LANÇAMENTOS'!$AE$6:$AE$2005,'LANÇAMENTOS'!$AF$6:$AF$2005,"Faturamento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Vendas",'LANÇAMENTOS'!$AA$6:$AA$2005,'CONFIGURAÇÕES'!$B$18)-SUMIFS('LANÇAMENTOS'!$AE$6:$AE$2005,'LANÇAMENTOS'!$AF$6:$AF$2005,"Devoluções",'LANÇAMENTOS'!$AA$6:$AA$2005,'CONFIGURAÇÕES'!$B$18)),"")</f>
        <v/>
      </c>
      <c r="D9" s="23">
        <f>'CONFIGURAÇÕES'!$B$24</f>
        <v/>
      </c>
      <c r="E9" s="25" t="inlineStr">
        <is>
          <t>Revise preços, corte despesas fixas e renegocie custos variáveis.</t>
        </is>
      </c>
    </row>
    <row r="10" ht="15" customHeight="1">
      <c r="A10" s="9">
        <f>IF($C10&lt;'CONFIGURAÇÕES'!$B$22*0.8,"Faturamento do mês muito abaixo da meta",IF($C10&lt;'CONFIGURAÇÕES'!$B$22,"Faturamento do mês abaixo da meta","Faturamento do mês atingiu a meta"))</f>
        <v/>
      </c>
      <c r="B10" s="17">
        <f>IF($C10&lt;'CONFIGURAÇÕES'!$B$22*0.8,"🔴 Crítico",IF($C10&lt;'CONFIGURAÇÕES'!$B$22,"🟡 Atenção","🟢 OK"))</f>
        <v/>
      </c>
      <c r="C10" s="18">
        <f>SUMIFS('LANÇAMENTOS'!$AE$6:$AE$2005,'LANÇAMENTOS'!$AF$6:$AF$2005,"Faturamento Bruto",'LANÇAMENTOS'!$AA$6:$AA$2005,'CONFIGURAÇÕES'!$B$18,'LANÇAMENTOS'!$Z$6:$Z$2005,IF('CONFIGURAÇÕES'!$B$19=0,"&gt;0",'CONFIGURAÇÕES'!$B$19))</f>
        <v/>
      </c>
      <c r="D10" s="18">
        <f>'CONFIGURAÇÕES'!$B$22</f>
        <v/>
      </c>
      <c r="E10" s="25" t="inlineStr">
        <is>
          <t>Ative a carteira de clientes inativos e o time comercial.</t>
        </is>
      </c>
    </row>
    <row r="11" ht="15" customHeight="1">
      <c r="A11" s="9">
        <f>IF($C11&lt;'CONFIGURAÇÕES'!$B$23*0.5,"Lucro do mês muito abaixo da meta",IF($C11&lt;'CONFIGURAÇÕES'!$B$23,"Lucro do mês abaixo da meta","Lucro do mês atingiu a meta"))</f>
        <v/>
      </c>
      <c r="B11" s="17">
        <f>IF($C11&lt;'CONFIGURAÇÕES'!$B$23*0.5,"🔴 Crítico",IF($C11&lt;'CONFIGURAÇÕES'!$B$23,"🟡 Atenção","🟢 OK"))</f>
        <v/>
      </c>
      <c r="C11" s="18">
        <f>IFERROR((SUMIFS('LANÇAMENTOS'!$AE$6:$AE$2005,'LANÇAMENTOS'!$AF$6:$AF$2005,"Faturamento Bruto",'LANÇAMENTOS'!$AA$6:$AA$2005,'CONFIGURAÇÕES'!$B$18,'LANÇAMENTOS'!$Z$6:$Z$2005,IF('CONFIGURAÇÕES'!$B$19=0,"&gt;0",'CONFIGURAÇÕES'!$B$19))-SUMIFS('LANÇAMENTOS'!$AE$6:$AE$2005,'LANÇAMENTOS'!$AF$6:$AF$2005,"Impostos sobre Vendas",'LANÇAMENTOS'!$AA$6:$AA$2005,'CONFIGURAÇÕES'!$B$18,'LANÇAMENTOS'!$Z$6:$Z$2005,IF('CONFIGURAÇÕES'!$B$19=0,"&gt;0",'CONFIGURAÇÕES'!$B$19))-SUMIFS('LANÇAMENTOS'!$AE$6:$AE$2005,'LANÇAMENTOS'!$AF$6:$AF$2005,"Devoluções",'LANÇAMENTOS'!$AA$6:$AA$2005,'CONFIGURAÇÕES'!$B$18,'LANÇAMENTOS'!$Z$6:$Z$2005,IF('CONFIGURAÇÕES'!$B$19=0,"&gt;0",'CONFIGURAÇÕES'!$B$19))-SUMIFS('LANÇAMENTOS'!$AE$6:$AE$2005,'LANÇAMENTOS'!$AF$6:$AF$2005,"Custos Variáveis",'LANÇAMENTOS'!$AA$6:$AA$2005,'CONFIGURAÇÕES'!$B$18,'LANÇAMENTOS'!$Z$6:$Z$2005,IF('CONFIGURAÇÕES'!$B$19=0,"&gt;0",'CONFIGURAÇÕES'!$B$19))-SUMIFS('LANÇAMENTOS'!$AE$6:$AE$2005,'LANÇAMENTOS'!$AF$6:$AF$2005,"Despesas Fixas",'LANÇAMENTOS'!$AA$6:$AA$2005,'CONFIGURAÇÕES'!$B$18,'LANÇAMENTOS'!$Z$6:$Z$2005,IF('CONFIGURAÇÕES'!$B$19=0,"&gt;0",'CONFIGURAÇÕES'!$B$19))-SUMIFS('LANÇAMENTOS'!$AE$6:$AE$2005,'LANÇAMENTOS'!$AF$6:$AF$2005,"Despesas Financeiras",'LANÇAMENTOS'!$AA$6:$AA$2005,'CONFIGURAÇÕES'!$B$18,'LANÇAMENTOS'!$Z$6:$Z$2005,IF('CONFIGURAÇÕES'!$B$19=0,"&gt;0",'CONFIGURAÇÕES'!$B$19))+SUMIFS('LANÇAMENTOS'!$AE$6:$AE$2005,'LANÇAMENTOS'!$AF$6:$AF$2005,"Receitas Financeiras",'LANÇAMENTOS'!$AA$6:$AA$2005,'CONFIGURAÇÕES'!$B$18,'LANÇAMENTOS'!$Z$6:$Z$2005,IF('CONFIGURAÇÕES'!$B$19=0,"&gt;0",'CONFIGURAÇÕES'!$B$19))+SUMIFS('LANÇAMENTOS'!$AE$6:$AE$2005,'LANÇAMENTOS'!$AF$6:$AF$2005,"Outras Receitas Operacionais",'LANÇAMENTOS'!$AA$6:$AA$2005,'CONFIGURAÇÕES'!$B$18,'LANÇAMENTOS'!$Z$6:$Z$2005,IF('CONFIGURAÇÕES'!$B$19=0,"&gt;0",'CONFIGURAÇÕES'!$B$19))-SUMIFS('LANÇAMENTOS'!$AE$6:$AE$2005,'LANÇAMENTOS'!$AF$6:$AF$2005,"Impostos sobre o Resultado",'LANÇAMENTOS'!$AA$6:$AA$2005,'CONFIGURAÇÕES'!$B$18,'LANÇAMENTOS'!$Z$6:$Z$2005,IF('CONFIGURAÇÕES'!$B$19=0,"&gt;0",'CONFIGURAÇÕES'!$B$19))),"")</f>
        <v/>
      </c>
      <c r="D11" s="18">
        <f>'CONFIGURAÇÕES'!$B$23</f>
        <v/>
      </c>
      <c r="E11" s="25" t="inlineStr">
        <is>
          <t>Reveja a estrutura de custos e priorize produtos com melhor margem.</t>
        </is>
      </c>
    </row>
    <row r="12" ht="15" customHeight="1">
      <c r="A12" s="9">
        <f>IF($C12&gt;'CONFIGURAÇÕES'!$B$26*2,"Inadimplência muito acima do limite aceitável",IF($C12&gt;'CONFIGURAÇÕES'!$B$26,"Inadimplência acima do limite aceitável","Inadimplência sob controle"))</f>
        <v/>
      </c>
      <c r="B12" s="17">
        <f>IF($C12&gt;'CONFIGURAÇÕES'!$B$26*2,"🔴 Crítico",IF($C12&gt;'CONFIGURAÇÕES'!$B$26,"🟡 Atenção","🟢 OK"))</f>
        <v/>
      </c>
      <c r="C12" s="23">
        <f>IFERROR(SUMIFS('LANÇAMENTOS'!$W$6:$W$2005,'LANÇAMENTOS'!$E$6:$E$2005,"Entrada",'LANÇAMENTOS'!$W$6:$W$2005,"&gt;0",'LANÇAMENTOS'!$C$6:$C$2005,"&lt;"&amp;TODAY())/SUMIFS('LANÇAMENTOS'!$AE$6:$AE$2005,'LANÇAMENTOS'!$AF$6:$AF$2005,"Faturamento Bruto",'LANÇAMENTOS'!$AA$6:$AA$2005,'CONFIGURAÇÕES'!$B$18),"")</f>
        <v/>
      </c>
      <c r="D12" s="23">
        <f>'CONFIGURAÇÕES'!$B$26</f>
        <v/>
      </c>
      <c r="E12" s="25" t="inlineStr">
        <is>
          <t>Suspenda novos prazos para clientes em atraso e acione a cobrança.</t>
        </is>
      </c>
    </row>
    <row r="13" ht="15" customHeight="1">
      <c r="A13" s="9">
        <f>IF($C13&gt;'CONFIGURAÇÕES'!$B$22*0.1,"Títulos a receber vencidos de valor relevante",IF($C13&gt;0,"Títulos a receber vencidos de baixo valor","Nenhum título a receber vencido"))</f>
        <v/>
      </c>
      <c r="B13" s="17">
        <f>IF($C13&gt;'CONFIGURAÇÕES'!$B$22*0.1,"🔴 Crítico",IF($C13&gt;0,"🟡 Atenção","🟢 OK"))</f>
        <v/>
      </c>
      <c r="C13" s="18">
        <f>SUMIFS('LANÇAMENTOS'!$W$6:$W$2005,'LANÇAMENTOS'!$E$6:$E$2005,"Entrada",'LANÇAMENTOS'!$W$6:$W$2005,"&gt;0",'LANÇAMENTOS'!$C$6:$C$2005,"&lt;"&amp;TODAY())</f>
        <v/>
      </c>
      <c r="D13" s="18">
        <f>0</f>
        <v/>
      </c>
      <c r="E13" s="25" t="inlineStr">
        <is>
          <t>Envie a régua de cobrança e avalie protesto ou negociação.</t>
        </is>
      </c>
    </row>
    <row r="14" ht="15" customHeight="1">
      <c r="A14" s="9">
        <f>IF($C14&gt;'CONFIGURAÇÕES'!$B$25*0.3,"Títulos a pagar vencidos de valor relevante",IF($C14&gt;0,"Títulos a pagar vencidos de baixo valor","Nenhum título a pagar vencido"))</f>
        <v/>
      </c>
      <c r="B14" s="17">
        <f>IF($C14&gt;'CONFIGURAÇÕES'!$B$25*0.3,"🔴 Crítico",IF($C14&gt;0,"🟡 Atenção","🟢 OK"))</f>
        <v/>
      </c>
      <c r="C14" s="18">
        <f>SUMIFS('LANÇAMENTOS'!$W$6:$W$2005,'LANÇAMENTOS'!$E$6:$E$2005,"Saída",'LANÇAMENTOS'!$W$6:$W$2005,"&gt;0",'LANÇAMENTOS'!$C$6:$C$2005,"&lt;"&amp;TODAY())</f>
        <v/>
      </c>
      <c r="D14" s="18">
        <f>0</f>
        <v/>
      </c>
      <c r="E14" s="25" t="inlineStr">
        <is>
          <t>Liquide os vencidos para evitar juros e negativação.</t>
        </is>
      </c>
    </row>
    <row r="15" ht="15" customHeight="1">
      <c r="A15" s="9">
        <f>IF($C15&gt;0.3,"Comprometimento da receita com dívidas acima de 30%",IF($C15&gt;0.2,"Comprometimento da receita com dívidas acima de 20%","Comprometimento da receita com dívidas sob controle"))</f>
        <v/>
      </c>
      <c r="B15" s="17">
        <f>IF($C15&gt;0.3,"🔴 Crítico",IF($C15&gt;0.2,"🟡 Atenção","🟢 OK"))</f>
        <v/>
      </c>
      <c r="C15" s="23">
        <f>IFERROR(SUMIFS('EMPRÉSTIMOS E FINANCIAMENTOS'!$E$46:$E$405,'EMPRÉSTIMOS E FINANCIAMENTOS'!$D$46:$D$405,"&gt;="&amp;TODAY(),'EMPRÉSTIMOS E FINANCIAMENTOS'!$D$46:$D$405,"&lt;="&amp;EDATE(TODAY(),12))/SUMIFS('LANÇAMENTOS'!$AE$6:$AE$2005,'LANÇAMENTOS'!$AF$6:$AF$2005,"Faturamento Bruto",'LANÇAMENTOS'!$AA$6:$AA$2005,'CONFIGURAÇÕES'!$B$18),"")</f>
        <v/>
      </c>
      <c r="D15" s="23">
        <f>0.2</f>
        <v/>
      </c>
      <c r="E15" s="25" t="inlineStr">
        <is>
          <t>Evite novos financiamentos e priorize a dívida mais cara.</t>
        </is>
      </c>
    </row>
    <row r="16" ht="15" customHeight="1">
      <c r="A16" s="9">
        <f>IF($C16&lt;$D16,"Recebimentos dos próximos 7 dias insuficientes para os pagamentos",IF($C16&lt;$D16*1.2,"Recebimentos dos próximos 7 dias no limite","Recebimentos dos próximos 7 dias cobrem os pagamentos"))</f>
        <v/>
      </c>
      <c r="B16" s="17">
        <f>IF($C16&lt;$D16,"🔴 Crítico",IF($C16&lt;$D16*1.2,"🟡 Atenção","🟢 OK"))</f>
        <v/>
      </c>
      <c r="C16" s="18">
        <f>SUMIFS('LANÇAMENTOS'!$W$6:$W$2005,'LANÇAMENTOS'!$E$6:$E$2005,"Entrada",'LANÇAMENTOS'!$W$6:$W$2005,"&gt;0",'LANÇAMENTOS'!$C$6:$C$2005,"&gt;="&amp;TODAY(),'LANÇAMENTOS'!$C$6:$C$2005,"&lt;="&amp;TODAY()+7)</f>
        <v/>
      </c>
      <c r="D16" s="18">
        <f>SUMIFS('LANÇAMENTOS'!$W$6:$W$2005,'LANÇAMENTOS'!$E$6:$E$2005,"Saída",'LANÇAMENTOS'!$W$6:$W$2005,"&gt;0",'LANÇAMENTOS'!$C$6:$C$2005,"&gt;="&amp;TODAY(),'LANÇAMENTOS'!$C$6:$C$2005,"&lt;="&amp;TODAY()+7)</f>
        <v/>
      </c>
      <c r="E16" s="25" t="inlineStr">
        <is>
          <t>Antecipe recebíveis ou reprograme os pagamentos da semana.</t>
        </is>
      </c>
    </row>
    <row r="17" ht="15" customHeight="1">
      <c r="A17" s="9">
        <f>IF($C17&gt;5,"Lançamentos com erro de preenchimento",IF($C17&gt;0,"Poucos lançamentos com aviso de preenchimento","Nenhum lançamento com erro de preenchimento"))</f>
        <v/>
      </c>
      <c r="B17" s="17">
        <f>IF($C17&gt;5,"🔴 Crítico",IF($C17&gt;0,"🟡 Atenção","🟢 OK"))</f>
        <v/>
      </c>
      <c r="C17" s="24">
        <f>COUNTIF('LANÇAMENTOS'!$AO$6:$AO$2005,"*⚠*")</f>
        <v/>
      </c>
      <c r="D17" s="24">
        <f>0</f>
        <v/>
      </c>
      <c r="E17" s="25" t="inlineStr">
        <is>
          <t>Corrija as linhas sinalizadas na coluna VALIDAÇÃO da aba LANÇAMENTOS.</t>
        </is>
      </c>
    </row>
    <row r="18" ht="15" customHeight="1">
      <c r="A18" s="9">
        <f>IF($C18&gt;2,"Categorias de despesa acima do orçamento",IF($C18&gt;0,"Poucas categorias acima do orçamento","Nenhuma categoria acima do orçamento"))</f>
        <v/>
      </c>
      <c r="B18" s="17">
        <f>IF($C18&gt;2,"🔴 Crítico",IF($C18&gt;0,"🟡 Atenção","🟢 OK"))</f>
        <v/>
      </c>
      <c r="C18" s="24">
        <f>COUNTIF('ORÇAMENTO X REALIZADO'!$AE$7:$AE$44,"🔴*")</f>
        <v/>
      </c>
      <c r="D18" s="24">
        <f>0</f>
        <v/>
      </c>
      <c r="E18" s="25" t="inlineStr">
        <is>
          <t>Veja o bloco de alertas da aba ORÇAMENTO X REALIZADO e bloqueie gastos excedentes.</t>
        </is>
      </c>
    </row>
    <row r="19" ht="15" customHeight="1">
      <c r="A19" s="9">
        <f>IF($C19&gt;3,"Muitas categorias com mais de 90% do orçamento consumido",IF($C19&gt;0,"Categorias com consumo entre 90% e 100% do orçamento","Nenhuma categoria acima de 90% do orçamento"))</f>
        <v/>
      </c>
      <c r="B19" s="17">
        <f>IF($C19&gt;3,"🔴 Crítico",IF($C19&gt;0,"🟡 Atenção","🟢 OK"))</f>
        <v/>
      </c>
      <c r="C19" s="24">
        <f>COUNTIF('ORÇAMENTO X REALIZADO'!$AE$7:$AE$44,"🟡*")</f>
        <v/>
      </c>
      <c r="D19" s="24">
        <f>0</f>
        <v/>
      </c>
      <c r="E19" s="25" t="inlineStr">
        <is>
          <t>Antecipe o estouro: renegocie contratos ou remaneje verbas.</t>
        </is>
      </c>
    </row>
    <row r="20" ht="15" customHeight="1">
      <c r="A20" s="9">
        <f>IF($C20&gt;'CONFIGURAÇÕES'!$B$27*1.5,"Prazo médio de recebimento muito acima do alvo",IF($C20&gt;'CONFIGURAÇÕES'!$B$27,"Prazo médio de recebimento acima do alvo","Prazo médio de recebimento dentro do alvo"))</f>
        <v/>
      </c>
      <c r="B20" s="17">
        <f>IF($C20&gt;'CONFIGURAÇÕES'!$B$27*1.5,"🔴 Crítico",IF($C20&gt;'CONFIGURAÇÕES'!$B$27,"🟡 Atenção","🟢 OK"))</f>
        <v/>
      </c>
      <c r="C20" s="24">
        <f>IFERROR(SUMIFS('LANÇAMENTOS'!$AL$6:$AL$2005,'LANÇAMENTOS'!$E$6:$E$2005,"Entrada")/SUMIFS('LANÇAMENTOS'!$V$6:$V$2005,'LANÇAMENTOS'!$E$6:$E$2005,"Entrada"),"")</f>
        <v/>
      </c>
      <c r="D20" s="24">
        <f>'CONFIGURAÇÕES'!$B$27</f>
        <v/>
      </c>
      <c r="E20" s="25" t="inlineStr">
        <is>
          <t>Renegocie prazos, ofereça desconto para pagamento à vista ou antecipe recebíveis.</t>
        </is>
      </c>
    </row>
    <row r="21" ht="15" customHeight="1">
      <c r="A21" s="9">
        <f>IF($C21&gt;'CONFIGURAÇÕES'!$B$28*1.5,"Prazo médio de pagamento muito acima do alvo",IF($C21&gt;'CONFIGURAÇÕES'!$B$28,"Prazo médio de pagamento acima do alvo","Prazo médio de pagamento dentro do alvo"))</f>
        <v/>
      </c>
      <c r="B21" s="17">
        <f>IF($C21&gt;'CONFIGURAÇÕES'!$B$28*1.5,"🔴 Crítico",IF($C21&gt;'CONFIGURAÇÕES'!$B$28,"🟡 Atenção","🟢 OK"))</f>
        <v/>
      </c>
      <c r="C21" s="24">
        <f>IFERROR(SUMIFS('LANÇAMENTOS'!$AL$6:$AL$2005,'LANÇAMENTOS'!$E$6:$E$2005,"Saída")/SUMIFS('LANÇAMENTOS'!$V$6:$V$2005,'LANÇAMENTOS'!$E$6:$E$2005,"Saída"),"")</f>
        <v/>
      </c>
      <c r="D21" s="24">
        <f>'CONFIGURAÇÕES'!$B$28</f>
        <v/>
      </c>
      <c r="E21" s="25" t="inlineStr">
        <is>
          <t>Negocie prazos maiores com fornecedores e evite pagamentos antecipados.</t>
        </is>
      </c>
    </row>
    <row r="22" ht="15" customHeight="1">
      <c r="A22" s="9">
        <f>IF($C22&gt;0.4,"Faturamento concentrado em poucos clientes",IF($C22&gt;0.3,"Concentração de faturamento em atenção","Faturamento distribuído entre os clientes"))</f>
        <v/>
      </c>
      <c r="B22" s="17">
        <f>IF($C22&gt;0.4,"🔴 Crítico",IF($C22&gt;0.3,"🟡 Atenção","🟢 OK"))</f>
        <v/>
      </c>
      <c r="C22" s="23">
        <f>IFERROR(SUMPRODUCT(MAX(SUMIFS('LANÇAMENTOS'!$AE$6:$AE$2005,'LANÇAMENTOS'!$I$6:$I$2005,'CADASTRO DE CLIENTES'!$C$6:$C$65,'LANÇAMENTOS'!$AA$6:$AA$2005,'CONFIGURAÇÕES'!$B$18)))/SUMIFS('LANÇAMENTOS'!$AE$6:$AE$2005,'LANÇAMENTOS'!$E$6:$E$2005,"Entrada",'LANÇAMENTOS'!$AF$6:$AF$2005,"Faturamento Bruto",'LANÇAMENTOS'!$AA$6:$AA$2005,'CONFIGURAÇÕES'!$B$18),"")</f>
        <v/>
      </c>
      <c r="D22" s="23">
        <f>0.3</f>
        <v/>
      </c>
      <c r="E22" s="25" t="inlineStr">
        <is>
          <t>Nenhum cliente deve passar de 30% do faturamento: diversifique a carteira.</t>
        </is>
      </c>
    </row>
    <row r="23" ht="15" customHeight="1">
      <c r="A23" s="9">
        <f>IF($C23&lt;0,"Projeção de caixa em 30 dias com risco de déficit",IF($C23&lt;'CONFIGURAÇÕES'!$B$25,"Projeção de caixa em 30 dias abaixo do mínimo","Projeção de caixa em 30 dias acima do mínimo"))</f>
        <v/>
      </c>
      <c r="B23" s="17">
        <f>IF($C23&lt;0,"🔴 Crítico",IF($C23&lt;'CONFIGURAÇÕES'!$B$25,"🟡 Atenção","🟢 OK"))</f>
        <v/>
      </c>
      <c r="C23" s="18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+SUMIFS('LANÇAMENTOS'!$W$6:$W$2005,'LANÇAMENTOS'!$E$6:$E$2005,"Entrada",'LANÇAMENTOS'!$W$6:$W$2005,"&gt;0",'LANÇAMENTOS'!$C$6:$C$2005,"&gt;="&amp;TODAY(),'LANÇAMENTOS'!$C$6:$C$2005,"&lt;="&amp;TODAY()+30)-SUMIFS('LANÇAMENTOS'!$W$6:$W$2005,'LANÇAMENTOS'!$E$6:$E$2005,"Saída",'LANÇAMENTOS'!$W$6:$W$2005,"&gt;0",'LANÇAMENTOS'!$C$6:$C$2005,"&gt;="&amp;TODAY(),'LANÇAMENTOS'!$C$6:$C$2005,"&lt;="&amp;TODAY()+30)</f>
        <v/>
      </c>
      <c r="D23" s="18">
        <f>'CONFIGURAÇÕES'!$B$25</f>
        <v/>
      </c>
      <c r="E23" s="25" t="inlineStr">
        <is>
          <t>Programe aporte, antecipação de recebíveis ou corte de despesas.</t>
        </is>
      </c>
    </row>
    <row r="24" ht="15" customHeight="1">
      <c r="A24" s="9">
        <f>IF($C24&gt;0.6,"Despesas fixas acima de 60% da receita",IF($C24&gt;0.5,"Despesas fixas acima de 50% da receita","Despesas fixas em nível saudável"))</f>
        <v/>
      </c>
      <c r="B24" s="17">
        <f>IF($C24&gt;0.6,"🔴 Crítico",IF($C24&gt;0.5,"🟡 Atenção","🟢 OK"))</f>
        <v/>
      </c>
      <c r="C24" s="23">
        <f>IFERROR(SUMIFS('LANÇAMENTOS'!$AE$6:$AE$2005,'LANÇAMENTOS'!$AF$6:$AF$2005,"Despesas Fixas",'LANÇAMENTOS'!$AA$6:$AA$2005,'CONFIGURAÇÕES'!$B$18,'LANÇAMENTOS'!$Z$6:$Z$2005,IF('CONFIGURAÇÕES'!$B$19=0,"&gt;0",'CONFIGURAÇÕES'!$B$19))/SUMIFS('LANÇAMENTOS'!$AE$6:$AE$2005,'LANÇAMENTOS'!$AF$6:$AF$2005,"Faturamento Bruto",'LANÇAMENTOS'!$AA$6:$AA$2005,'CONFIGURAÇÕES'!$B$18,'LANÇAMENTOS'!$Z$6:$Z$2005,IF('CONFIGURAÇÕES'!$B$19=0,"&gt;0",'CONFIGURAÇÕES'!$B$19)),"")</f>
        <v/>
      </c>
      <c r="D24" s="23">
        <f>0.6</f>
        <v/>
      </c>
      <c r="E24" s="25" t="inlineStr">
        <is>
          <t>Estrutura fixa alta exige receita previsível: revise contratos e equipe.</t>
        </is>
      </c>
    </row>
    <row r="25" ht="20" customHeight="1">
      <c r="A25" s="3" t="inlineStr">
        <is>
          <t>Estas 18 verificações aparecem resumidas no topo do DASHBOARD. Os valores usam a data de referência (HOJE) e o ano/mês de análise definidos na aba CONFIGURAÇÕES.</t>
        </is>
      </c>
      <c r="B25" s="3" t="n"/>
      <c r="C25" s="3" t="n"/>
      <c r="D25" s="3" t="n"/>
      <c r="E25" s="3" t="n"/>
    </row>
    <row r="27" ht="20" customHeight="1">
      <c r="A27" s="4" t="inlineStr">
        <is>
          <t>2. INDICADORES DE VENDAS</t>
        </is>
      </c>
      <c r="B27" s="4" t="n"/>
      <c r="C27" s="4" t="n"/>
      <c r="D27" s="4" t="n"/>
      <c r="E27" s="4" t="n"/>
    </row>
    <row r="28" ht="22" customHeight="1">
      <c r="A28" s="21" t="inlineStr">
        <is>
          <t>Indicador</t>
        </is>
      </c>
      <c r="B28" s="21" t="inlineStr">
        <is>
          <t>Valor</t>
        </is>
      </c>
      <c r="C28" s="21" t="inlineStr">
        <is>
          <t>Meta / referência</t>
        </is>
      </c>
      <c r="D28" s="21" t="inlineStr">
        <is>
          <t>Status</t>
        </is>
      </c>
      <c r="E28" s="21" t="inlineStr">
        <is>
          <t>Como é calculado</t>
        </is>
      </c>
    </row>
    <row r="29">
      <c r="A29" s="9" t="inlineStr">
        <is>
          <t>Faturamento bruto do mês de análise</t>
        </is>
      </c>
      <c r="B29" s="18">
        <f>SUMIFS('LANÇAMENTOS'!$AE$6:$AE$2005,'LANÇAMENTOS'!$AF$6:$AF$2005,"Faturamento Bruto",'LANÇAMENTOS'!$AA$6:$AA$2005,'CONFIGURAÇÕES'!$B$18,'LANÇAMENTOS'!$Z$6:$Z$2005,IF('CONFIGURAÇÕES'!$B$19=0,"&gt;0",'CONFIGURAÇÕES'!$B$19))</f>
        <v/>
      </c>
      <c r="C29" s="18">
        <f>'CONFIGURAÇÕES'!$B$22</f>
        <v/>
      </c>
      <c r="D29" s="17">
        <f>IF($B29&gt;='CONFIGURAÇÕES'!$B$22,"🟢 Meta atingida",IF($B29&gt;='CONFIGURAÇÕES'!$B$22*0.9,"🟡 Próximo da meta","🔴 Abaixo da meta"))</f>
        <v/>
      </c>
      <c r="E29" s="25" t="inlineStr">
        <is>
          <t>Soma dos lançamentos de Faturamento Bruto na competência do mês.</t>
        </is>
      </c>
    </row>
    <row r="30">
      <c r="A30" s="9" t="inlineStr">
        <is>
          <t>Faturamento bruto acumulado no ano</t>
        </is>
      </c>
      <c r="B30" s="18">
        <f>SUMIFS('LANÇAMENTOS'!$AE$6:$AE$2005,'LANÇAMENTOS'!$AF$6:$AF$2005,"Faturamento Bruto",'LANÇAMENTOS'!$AA$6:$AA$2005,'CONFIGURAÇÕES'!$B$18)</f>
        <v/>
      </c>
      <c r="C30" s="18">
        <f>'CONFIGURAÇÕES'!$B$22*12</f>
        <v/>
      </c>
      <c r="D30" s="17">
        <f>IF($B30&gt;='CONFIGURAÇÕES'!$B$22*12,"🟢 Meta atingida",IF($B30&gt;='CONFIGURAÇÕES'!$B$22*12*0.9,"🟡 Próximo da meta","🔴 Abaixo da meta"))</f>
        <v/>
      </c>
      <c r="E30" s="25" t="inlineStr">
        <is>
          <t>Soma do Faturamento Bruto no ano de análise.</t>
        </is>
      </c>
    </row>
    <row r="31">
      <c r="A31" s="9" t="inlineStr">
        <is>
          <t>Faturamento do mês anterior</t>
        </is>
      </c>
      <c r="B31" s="18">
        <f>IF('CONFIGURAÇÕES'!$B$19=0,SUMIFS('LANÇAMENTOS'!$AE$6:$AE$2005,'LANÇAMENTOS'!$AF$6:$AF$2005,"Faturamento Bruto",'LANÇAMENTOS'!$AA$6:$AA$2005,'CONFIGURAÇÕES'!$B$18-1),IF('CONFIGURAÇÕES'!$B$19=1,SUMIFS('LANÇAMENTOS'!$AE$6:$AE$2005,'LANÇAMENTOS'!$AF$6:$AF$2005,"Faturamento Bruto",'LANÇAMENTOS'!$AA$6:$AA$2005,'CONFIGURAÇÕES'!$B$18-1,'LANÇAMENTOS'!$Z$6:$Z$2005,12),SUMIFS('LANÇAMENTOS'!$AE$6:$AE$2005,'LANÇAMENTOS'!$AF$6:$AF$2005,"Faturamento Bruto",'LANÇAMENTOS'!$AA$6:$AA$2005,'CONFIGURAÇÕES'!$B$18,'LANÇAMENTOS'!$Z$6:$Z$2005,'CONFIGURAÇÕES'!$B$19-1)))</f>
        <v/>
      </c>
      <c r="C31" s="18" t="inlineStr">
        <is>
          <t>—</t>
        </is>
      </c>
      <c r="D31" s="17" t="inlineStr">
        <is>
          <t>—</t>
        </is>
      </c>
      <c r="E31" s="25" t="inlineStr">
        <is>
          <t>Faturamento do mês imediatamente anterior (ou do ano anterior, se o mês = 0).</t>
        </is>
      </c>
    </row>
    <row r="32">
      <c r="A32" s="9" t="inlineStr">
        <is>
          <t>Crescimento vs mês anterior</t>
        </is>
      </c>
      <c r="B32" s="23">
        <f>IFERROR(IF($B$31=0,"",$B29/$B$31-1),"")</f>
        <v/>
      </c>
      <c r="C32" s="23">
        <f>0</f>
        <v/>
      </c>
      <c r="D32" s="17">
        <f>IF(OR($B32="",$B32=0),"🟢 Sem base anterior",IF($B32&gt;0,"🟢 Crescendo","🔴 Em queda"))</f>
        <v/>
      </c>
      <c r="E32" s="25" t="inlineStr">
        <is>
          <t>Variação percentual do mês de análise sobre o mês anterior.</t>
        </is>
      </c>
    </row>
    <row r="33">
      <c r="A33" s="9" t="inlineStr">
        <is>
          <t>Crescimento vs mesmo mês do ano anterior</t>
        </is>
      </c>
      <c r="B33" s="23">
        <f>IFERROR(IF(SUMIFS('LANÇAMENTOS'!$AE$6:$AE$2005,'LANÇAMENTOS'!$AF$6:$AF$2005,"Faturamento Bruto",'LANÇAMENTOS'!$AA$6:$AA$2005,'CONFIGURAÇÕES'!$B$18-1,'LANÇAMENTOS'!$Z$6:$Z$2005,IF('CONFIGURAÇÕES'!$B$19=0,"&gt;0",'CONFIGURAÇÕES'!$B$19))=0,"",$B29/SUMIFS('LANÇAMENTOS'!$AE$6:$AE$2005,'LANÇAMENTOS'!$AF$6:$AF$2005,"Faturamento Bruto",'LANÇAMENTOS'!$AA$6:$AA$2005,'CONFIGURAÇÕES'!$B$18-1,'LANÇAMENTOS'!$Z$6:$Z$2005,IF('CONFIGURAÇÕES'!$B$19=0,"&gt;0",'CONFIGURAÇÕES'!$B$19))-1),"")</f>
        <v/>
      </c>
      <c r="C33" s="23">
        <f>'CONFIGURAÇÕES'!$B$31</f>
        <v/>
      </c>
      <c r="D33" s="17">
        <f>IF(OR($B33="",$B33=0),"🟡 Sem base de comparação",IF($B33&gt;0,"🟢 Crescendo","🔴 Em queda"))</f>
        <v/>
      </c>
      <c r="E33" s="25" t="inlineStr">
        <is>
          <t>Compara o mês de análise com o mesmo mês do ano anterior.</t>
        </is>
      </c>
    </row>
    <row r="34">
      <c r="A34" s="9" t="inlineStr">
        <is>
          <t>Ticket médio por venda</t>
        </is>
      </c>
      <c r="B34" s="18">
        <f>IFERROR($B$30/COUNTIFS('LANÇAMENTOS'!$AF$6:$AF$2005,"Faturamento Bruto",'LANÇAMENTOS'!$AA$6:$AA$2005,'CONFIGURAÇÕES'!$B$18,'LANÇAMENTOS'!$O$6:$O$2005,1),"")</f>
        <v/>
      </c>
      <c r="C34" s="18" t="inlineStr">
        <is>
          <t>—</t>
        </is>
      </c>
      <c r="D34" s="17" t="inlineStr">
        <is>
          <t>—</t>
        </is>
      </c>
      <c r="E34" s="25" t="inlineStr">
        <is>
          <t>Faturamento bruto do ano dividido pelo número de vendas (lançamentos com nº parcela = 1).</t>
        </is>
      </c>
    </row>
    <row r="35">
      <c r="A35" s="9" t="inlineStr">
        <is>
          <t>Quantidade de vendas no ano</t>
        </is>
      </c>
      <c r="B35" s="24">
        <f>COUNTIFS('LANÇAMENTOS'!$AF$6:$AF$2005,"Faturamento Bruto",'LANÇAMENTOS'!$AA$6:$AA$2005,'CONFIGURAÇÕES'!$B$18,'LANÇAMENTOS'!$O$6:$O$2005,1)</f>
        <v/>
      </c>
      <c r="C35" s="24" t="inlineStr">
        <is>
          <t>—</t>
        </is>
      </c>
      <c r="D35" s="17" t="inlineStr">
        <is>
          <t>—</t>
        </is>
      </c>
      <c r="E35" s="25" t="inlineStr">
        <is>
          <t>Conta as vendas iniciadas no ano (lançamentos com nº parcela = 1).</t>
        </is>
      </c>
    </row>
    <row r="36">
      <c r="A36" s="9" t="inlineStr">
        <is>
          <t>Clientes que compraram no ano</t>
        </is>
      </c>
      <c r="B36" s="24">
        <f>SUMPRODUCT((COUNTIFS('LANÇAMENTOS'!$I$6:$I$2005,'CADASTRO DE CLIENTES'!$C$6:$C$65,'LANÇAMENTOS'!$AA$6:$AA$2005,'CONFIGURAÇÕES'!$B$18)&gt;0)*1)</f>
        <v/>
      </c>
      <c r="C36" s="24" t="inlineStr">
        <is>
          <t>—</t>
        </is>
      </c>
      <c r="D36" s="17" t="inlineStr">
        <is>
          <t>—</t>
        </is>
      </c>
      <c r="E36" s="25" t="inlineStr">
        <is>
          <t>Conta quantos clientes do cadastro têm faturamento no ano de análise.</t>
        </is>
      </c>
    </row>
    <row r="37" ht="8" customHeight="1"/>
    <row r="39" ht="20" customHeight="1">
      <c r="A39" s="4" t="inlineStr">
        <is>
          <t>3. INDICADORES DE RENTABILIDADE</t>
        </is>
      </c>
      <c r="B39" s="4" t="n"/>
      <c r="C39" s="4" t="n"/>
      <c r="D39" s="4" t="n"/>
      <c r="E39" s="4" t="n"/>
    </row>
    <row r="40" ht="22" customHeight="1">
      <c r="A40" s="21" t="inlineStr">
        <is>
          <t>Indicador</t>
        </is>
      </c>
      <c r="B40" s="21" t="inlineStr">
        <is>
          <t>Valor</t>
        </is>
      </c>
      <c r="C40" s="21" t="inlineStr">
        <is>
          <t>Meta / referência</t>
        </is>
      </c>
      <c r="D40" s="21" t="inlineStr">
        <is>
          <t>Status</t>
        </is>
      </c>
      <c r="E40" s="21" t="inlineStr">
        <is>
          <t>Como é calculado</t>
        </is>
      </c>
    </row>
    <row r="41">
      <c r="A41" s="9" t="inlineStr">
        <is>
          <t>Receita líquida do ano</t>
        </is>
      </c>
      <c r="B41" s="18">
        <f>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</f>
        <v/>
      </c>
      <c r="C41" s="18" t="inlineStr">
        <is>
          <t>—</t>
        </is>
      </c>
      <c r="D41" s="17" t="inlineStr">
        <is>
          <t>—</t>
        </is>
      </c>
      <c r="E41" s="25" t="inlineStr">
        <is>
          <t>Faturamento bruto menos impostos sobre vendas e devoluções.</t>
        </is>
      </c>
    </row>
    <row r="42">
      <c r="A42" s="9" t="inlineStr">
        <is>
          <t>Lucro líquido do ano</t>
        </is>
      </c>
      <c r="B42" s="18">
        <f>(SUMIFS('LANÇAMENTOS'!$AE$6:$AE$2005,'LANÇAMENTOS'!$AF$6:$AF$2005,"Faturamento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Vendas",'LANÇAMENTOS'!$AA$6:$AA$2005,'CONFIGURAÇÕES'!$B$18)-SUMIFS('LANÇAMENTOS'!$AE$6:$AE$2005,'LANÇAMENTOS'!$AF$6:$AF$2005,"Devoluções",'LANÇAMENTOS'!$AA$6:$AA$2005,'CONFIGURAÇÕES'!$B$18))-SUMIFS('LANÇAMENTOS'!$AE$6:$AE$2005,'LANÇAMENTOS'!$AF$6:$AF$2005,"Custos Variáveis",'LANÇAMENTOS'!$AA$6:$AA$2005,'CONFIGURAÇÕES'!$B$18)-SUMIFS('LANÇAMENTOS'!$AE$6:$AE$2005,'LANÇAMENTOS'!$AF$6:$AF$2005,"Despesas Fixas",'LANÇAMENTOS'!$AA$6:$AA$2005,'CONFIGURAÇÕES'!$B$18)-SUMIFS('LANÇAMENTOS'!$AE$6:$AE$2005,'LANÇAMENTOS'!$AF$6:$AF$2005,"Despesas Financeiras",'LANÇAMENTOS'!$AA$6:$AA$2005,'CONFIGURAÇÕES'!$B$18)+SUMIFS('LANÇAMENTOS'!$AE$6:$AE$2005,'LANÇAMENTOS'!$AF$6:$AF$2005,"Receitas Financeiras",'LANÇAMENTOS'!$AA$6:$AA$2005,'CONFIGURAÇÕES'!$B$18)+SUMIFS('LANÇAMENTOS'!$AE$6:$AE$2005,'LANÇAMENTOS'!$AF$6:$AF$2005,"Outras Receitas Operacionais",'LANÇAMENTOS'!$AA$6:$AA$2005,'CONFIGURAÇÕES'!$B$18)-SUMIFS('LANÇAMENTOS'!$AE$6:$AE$2005,'LANÇAMENTOS'!$AF$6:$AF$2005,"Impostos sobre o Resultado",'LANÇAMENTOS'!$AA$6:$AA$2005,'CONFIGURAÇÕES'!$B$18)</f>
        <v/>
      </c>
      <c r="C42" s="18">
        <f>'CONFIGURAÇÕES'!$B$23*12</f>
        <v/>
      </c>
      <c r="D42" s="17">
        <f>IF($B42&gt;='CONFIGURAÇÕES'!$B$23*12,"🟢 Meta atingida",IF($B42&gt;='CONFIGURAÇÕES'!$B$23*12*0.9,"🟡 Próximo da meta","🔴 Abaixo da meta"))</f>
        <v/>
      </c>
      <c r="E42" s="25" t="inlineStr">
        <is>
          <t>Resultado após custos, despesas, receitas financeiras e impostos.</t>
        </is>
      </c>
    </row>
    <row r="43">
      <c r="A43" s="9" t="inlineStr">
        <is>
          <t>Lucro líquido do mês de análise</t>
        </is>
      </c>
      <c r="B43" s="18">
        <f>IFERROR((SUMIFS('LANÇAMENTOS'!$AE$6:$AE$2005,'LANÇAMENTOS'!$AF$6:$AF$2005,"Faturamento Bruto",'LANÇAMENTOS'!$AA$6:$AA$2005,'CONFIGURAÇÕES'!$B$18,'LANÇAMENTOS'!$Z$6:$Z$2005,IF('CONFIGURAÇÕES'!$B$19=0,"&gt;0",'CONFIGURAÇÕES'!$B$19))-SUMIFS('LANÇAMENTOS'!$AE$6:$AE$2005,'LANÇAMENTOS'!$AF$6:$AF$2005,"Impostos sobre Vendas",'LANÇAMENTOS'!$AA$6:$AA$2005,'CONFIGURAÇÕES'!$B$18,'LANÇAMENTOS'!$Z$6:$Z$2005,IF('CONFIGURAÇÕES'!$B$19=0,"&gt;0",'CONFIGURAÇÕES'!$B$19))-SUMIFS('LANÇAMENTOS'!$AE$6:$AE$2005,'LANÇAMENTOS'!$AF$6:$AF$2005,"Devoluções",'LANÇAMENTOS'!$AA$6:$AA$2005,'CONFIGURAÇÕES'!$B$18,'LANÇAMENTOS'!$Z$6:$Z$2005,IF('CONFIGURAÇÕES'!$B$19=0,"&gt;0",'CONFIGURAÇÕES'!$B$19))-SUMIFS('LANÇAMENTOS'!$AE$6:$AE$2005,'LANÇAMENTOS'!$AF$6:$AF$2005,"Custos Variáveis",'LANÇAMENTOS'!$AA$6:$AA$2005,'CONFIGURAÇÕES'!$B$18,'LANÇAMENTOS'!$Z$6:$Z$2005,IF('CONFIGURAÇÕES'!$B$19=0,"&gt;0",'CONFIGURAÇÕES'!$B$19))-SUMIFS('LANÇAMENTOS'!$AE$6:$AE$2005,'LANÇAMENTOS'!$AF$6:$AF$2005,"Despesas Fixas",'LANÇAMENTOS'!$AA$6:$AA$2005,'CONFIGURAÇÕES'!$B$18,'LANÇAMENTOS'!$Z$6:$Z$2005,IF('CONFIGURAÇÕES'!$B$19=0,"&gt;0",'CONFIGURAÇÕES'!$B$19))-SUMIFS('LANÇAMENTOS'!$AE$6:$AE$2005,'LANÇAMENTOS'!$AF$6:$AF$2005,"Despesas Financeiras",'LANÇAMENTOS'!$AA$6:$AA$2005,'CONFIGURAÇÕES'!$B$18,'LANÇAMENTOS'!$Z$6:$Z$2005,IF('CONFIGURAÇÕES'!$B$19=0,"&gt;0",'CONFIGURAÇÕES'!$B$19))+SUMIFS('LANÇAMENTOS'!$AE$6:$AE$2005,'LANÇAMENTOS'!$AF$6:$AF$2005,"Receitas Financeiras",'LANÇAMENTOS'!$AA$6:$AA$2005,'CONFIGURAÇÕES'!$B$18,'LANÇAMENTOS'!$Z$6:$Z$2005,IF('CONFIGURAÇÕES'!$B$19=0,"&gt;0",'CONFIGURAÇÕES'!$B$19))+SUMIFS('LANÇAMENTOS'!$AE$6:$AE$2005,'LANÇAMENTOS'!$AF$6:$AF$2005,"Outras Receitas Operacionais",'LANÇAMENTOS'!$AA$6:$AA$2005,'CONFIGURAÇÕES'!$B$18,'LANÇAMENTOS'!$Z$6:$Z$2005,IF('CONFIGURAÇÕES'!$B$19=0,"&gt;0",'CONFIGURAÇÕES'!$B$19))-SUMIFS('LANÇAMENTOS'!$AE$6:$AE$2005,'LANÇAMENTOS'!$AF$6:$AF$2005,"Impostos sobre o Resultado",'LANÇAMENTOS'!$AA$6:$AA$2005,'CONFIGURAÇÕES'!$B$18,'LANÇAMENTOS'!$Z$6:$Z$2005,IF('CONFIGURAÇÕES'!$B$19=0,"&gt;0",'CONFIGURAÇÕES'!$B$19))),"")</f>
        <v/>
      </c>
      <c r="C43" s="18">
        <f>'CONFIGURAÇÕES'!$B$23</f>
        <v/>
      </c>
      <c r="D43" s="17">
        <f>IF($B43&gt;='CONFIGURAÇÕES'!$B$23,"🟢 Meta atingida",IF($B43&gt;='CONFIGURAÇÕES'!$B$23*0.9,"🟡 Próximo da meta","🔴 Abaixo da meta"))</f>
        <v/>
      </c>
      <c r="E43" s="25" t="inlineStr">
        <is>
          <t>Mesmo cálculo do lucro, restrito ao mês de análise.</t>
        </is>
      </c>
    </row>
    <row r="44">
      <c r="A44" s="9" t="inlineStr">
        <is>
          <t>EBITDA / resultado operacional do ano</t>
        </is>
      </c>
      <c r="B44" s="18">
        <f>(SUMIFS('LANÇAMENTOS'!$AE$6:$AE$2005,'LANÇAMENTOS'!$AF$6:$AF$2005,"Faturamento Bruto",'LANÇAMENTOS'!$AA$6:$AA$2005,'CONFIGURAÇÕES'!$B$18)-SUMIFS('LANÇAMENTOS'!$AE$6:$AE$2005,'LANÇAMENTOS'!$AF$6:$AF$2005,"Impostos sobre Vendas",'LANÇAMENTOS'!$AA$6:$AA$2005,'CONFIGURAÇÕES'!$B$18)-SUMIFS('LANÇAMENTOS'!$AE$6:$AE$2005,'LANÇAMENTOS'!$AF$6:$AF$2005,"Devoluções",'LANÇAMENTOS'!$AA$6:$AA$2005,'CONFIGURAÇÕES'!$B$18))-SUMIFS('LANÇAMENTOS'!$AE$6:$AE$2005,'LANÇAMENTOS'!$AF$6:$AF$2005,"Custos Variáveis",'LANÇAMENTOS'!$AA$6:$AA$2005,'CONFIGURAÇÕES'!$B$18)-SUMIFS('LANÇAMENTOS'!$AE$6:$AE$2005,'LANÇAMENTOS'!$AF$6:$AF$2005,"Despesas Fixas",'LANÇAMENTOS'!$AA$6:$AA$2005,'CONFIGURAÇÕES'!$B$18)</f>
        <v/>
      </c>
      <c r="C44" s="18" t="inlineStr">
        <is>
          <t>—</t>
        </is>
      </c>
      <c r="D44" s="17" t="inlineStr">
        <is>
          <t>—</t>
        </is>
      </c>
      <c r="E44" s="25" t="inlineStr">
        <is>
          <t>Receita líquida menos custos variáveis e despesas fixas (antes de juros e impostos).</t>
        </is>
      </c>
    </row>
    <row r="45">
      <c r="A45" s="9" t="inlineStr">
        <is>
          <t>Margem bruta %</t>
        </is>
      </c>
      <c r="B45" s="23">
        <f>IFERROR(($B$41-SUMIFS('LANÇAMENTOS'!$AE$6:$AE$2005,'LANÇAMENTOS'!$AF$6:$AF$2005,"Impostos sobre Vendas",'LANÇAMENTOS'!$AA$6:$AA$2005,'CONFIGURAÇÕES'!$B$18)-SUMIFS('LANÇAMENTOS'!$AE$6:$AE$2005,'LANÇAMENTOS'!$AF$6:$AF$2005,"Custos Variáveis",'LANÇAMENTOS'!$AA$6:$AA$2005,'CONFIGURAÇÕES'!$B$18))/$B$30,"")</f>
        <v/>
      </c>
      <c r="C45" s="23" t="inlineStr">
        <is>
          <t>—</t>
        </is>
      </c>
      <c r="D45" s="17" t="inlineStr">
        <is>
          <t>—</t>
        </is>
      </c>
      <c r="E45" s="25" t="inlineStr">
        <is>
          <t>(Faturamento − impostos − devoluções − custos variáveis) ÷ faturamento bruto.</t>
        </is>
      </c>
    </row>
    <row r="46">
      <c r="A46" s="9" t="inlineStr">
        <is>
          <t>Margem de contribuição %</t>
        </is>
      </c>
      <c r="B46" s="23">
        <f>IFERROR(($B$41-SUMIFS('LANÇAMENTOS'!$AE$6:$AE$2005,'LANÇAMENTOS'!$AF$6:$AF$2005,"Custos Variáveis",'LANÇAMENTOS'!$AA$6:$AA$2005,'CONFIGURAÇÕES'!$B$18))/$B$41,"")</f>
        <v/>
      </c>
      <c r="C46" s="23" t="inlineStr">
        <is>
          <t>—</t>
        </is>
      </c>
      <c r="D46" s="17" t="inlineStr">
        <is>
          <t>—</t>
        </is>
      </c>
      <c r="E46" s="25" t="inlineStr">
        <is>
          <t>(Receita líquida − custos variáveis) ÷ receita líquida.</t>
        </is>
      </c>
    </row>
    <row r="47">
      <c r="A47" s="9" t="inlineStr">
        <is>
          <t>Margem operacional (EBITDA) %</t>
        </is>
      </c>
      <c r="B47" s="23">
        <f>IFERROR($B$44/$B$41,"")</f>
        <v/>
      </c>
      <c r="C47" s="23" t="inlineStr">
        <is>
          <t>—</t>
        </is>
      </c>
      <c r="D47" s="17" t="inlineStr">
        <is>
          <t>—</t>
        </is>
      </c>
      <c r="E47" s="25" t="inlineStr">
        <is>
          <t>EBITDA ÷ receita líquida.</t>
        </is>
      </c>
    </row>
    <row r="48">
      <c r="A48" s="9" t="inlineStr">
        <is>
          <t>Margem líquida %</t>
        </is>
      </c>
      <c r="B48" s="23">
        <f>IFERROR($B$42/$B$41,"")</f>
        <v/>
      </c>
      <c r="C48" s="23">
        <f>'CONFIGURAÇÕES'!$B$24</f>
        <v/>
      </c>
      <c r="D48" s="17">
        <f>IF($B48&gt;='CONFIGURAÇÕES'!$B$24,"🟢 Acima do mínimo",IF($B48&gt;='CONFIGURAÇÕES'!$B$24*1,"🟡 Próxima do mínimo","🔴 Abaixo do mínimo"))</f>
        <v/>
      </c>
      <c r="E48" s="25" t="inlineStr">
        <is>
          <t>Lucro líquido ÷ receita líquida. Meta definida na aba CONFIGURAÇÕES.</t>
        </is>
      </c>
    </row>
    <row r="49" ht="8" customHeight="1"/>
    <row r="51" ht="20" customHeight="1">
      <c r="A51" s="4" t="inlineStr">
        <is>
          <t>4. INDICADORES DE CAIXA</t>
        </is>
      </c>
      <c r="B51" s="4" t="n"/>
      <c r="C51" s="4" t="n"/>
      <c r="D51" s="4" t="n"/>
      <c r="E51" s="4" t="n"/>
    </row>
    <row r="52" ht="22" customHeight="1">
      <c r="A52" s="21" t="inlineStr">
        <is>
          <t>Indicador</t>
        </is>
      </c>
      <c r="B52" s="21" t="inlineStr">
        <is>
          <t>Valor</t>
        </is>
      </c>
      <c r="C52" s="21" t="inlineStr">
        <is>
          <t>Meta / referência</t>
        </is>
      </c>
      <c r="D52" s="21" t="inlineStr">
        <is>
          <t>Status</t>
        </is>
      </c>
      <c r="E52" s="21" t="inlineStr">
        <is>
          <t>Como é calculado</t>
        </is>
      </c>
    </row>
    <row r="53">
      <c r="A53" s="9" t="inlineStr">
        <is>
          <t>Saldo de caixa disponível</t>
        </is>
      </c>
      <c r="B53" s="18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C53" s="18">
        <f>'CONFIGURAÇÕES'!$B$25</f>
        <v/>
      </c>
      <c r="D53" s="17">
        <f>IF($B53&lt;'CONFIGURAÇÕES'!$B$25,"🔴 Abaixo do mínimo","🟢 Acima do mínimo")</f>
        <v/>
      </c>
      <c r="E53" s="25" t="inlineStr">
        <is>
          <t>Saldo inicial das contas + entradas − saídas já liquidadas até hoje.</t>
        </is>
      </c>
    </row>
    <row r="54">
      <c r="A54" s="9" t="inlineStr">
        <is>
          <t>Entradas de caixa no mês</t>
        </is>
      </c>
      <c r="B54" s="18">
        <f>SUMIFS('LANÇAMENTOS'!$V$6:$V$2005,'LANÇAMENTOS'!$E$6:$E$2005,"Entrada",'LANÇAMENTOS'!$D$6:$D$2005,"&gt;="&amp;DATE('CONFIGURAÇÕES'!$B$18,IF('CONFIGURAÇÕES'!$B$19=0,"&gt;0",'CONFIGURAÇÕES'!$B$19),1),'LANÇAMENTOS'!$D$6:$D$2005,"&lt;="&amp;EOMONTH(DATE('CONFIGURAÇÕES'!$B$18,IF('CONFIGURAÇÕES'!$B$19=0,"&gt;0",'CONFIGURAÇÕES'!$B$19),1),0))</f>
        <v/>
      </c>
      <c r="C54" s="18" t="inlineStr">
        <is>
          <t>—</t>
        </is>
      </c>
      <c r="D54" s="17" t="inlineStr">
        <is>
          <t>—</t>
        </is>
      </c>
      <c r="E54" s="25" t="inlineStr">
        <is>
          <t>Lançamentos de entrada com data de pagamento/recebimento no mês de análise.</t>
        </is>
      </c>
    </row>
    <row r="55">
      <c r="A55" s="9" t="inlineStr">
        <is>
          <t>Saídas de caixa no mês</t>
        </is>
      </c>
      <c r="B55" s="18">
        <f>SUMIFS('LANÇAMENTOS'!$V$6:$V$2005,'LANÇAMENTOS'!$E$6:$E$2005,"Saída",'LANÇAMENTOS'!$D$6:$D$2005,"&gt;="&amp;DATE('CONFIGURAÇÕES'!$B$18,IF('CONFIGURAÇÕES'!$B$19=0,"&gt;0",'CONFIGURAÇÕES'!$B$19),1),'LANÇAMENTOS'!$D$6:$D$2005,"&lt;="&amp;EOMONTH(DATE('CONFIGURAÇÕES'!$B$18,IF('CONFIGURAÇÕES'!$B$19=0,"&gt;0",'CONFIGURAÇÕES'!$B$19),1),0))</f>
        <v/>
      </c>
      <c r="C55" s="18" t="inlineStr">
        <is>
          <t>—</t>
        </is>
      </c>
      <c r="D55" s="17" t="inlineStr">
        <is>
          <t>—</t>
        </is>
      </c>
      <c r="E55" s="25" t="inlineStr">
        <is>
          <t>Lançamentos de saída com data de pagamento no mês de análise.</t>
        </is>
      </c>
    </row>
    <row r="56">
      <c r="A56" s="9" t="inlineStr">
        <is>
          <t>Geração de caixa no mês</t>
        </is>
      </c>
      <c r="B56" s="18">
        <f>$B$54-$B$55</f>
        <v/>
      </c>
      <c r="C56" s="18">
        <f>0</f>
        <v/>
      </c>
      <c r="D56" s="17">
        <f>IF($B56=0,"🟡 Sem geração de caixa",IF($B56&gt;0,"🟢 Geração positiva","🔴 Geração negativa"))</f>
        <v/>
      </c>
      <c r="E56" s="25" t="inlineStr">
        <is>
          <t>Entradas menos saídas realizadas no mês de análise.</t>
        </is>
      </c>
    </row>
    <row r="57">
      <c r="A57" s="9" t="inlineStr">
        <is>
          <t>Geração de caixa acumulada no ano</t>
        </is>
      </c>
      <c r="B57" s="18">
        <f>SUMIFS('LANÇAMENTOS'!$V$6:$V$2005,'LANÇAMENTOS'!$E$6:$E$2005,"Entrada",'LANÇAMENTOS'!$AA$6:$AA$2005,'CONFIGURAÇÕES'!$B$18)-SUMIFS('LANÇAMENTOS'!$V$6:$V$2005,'LANÇAMENTOS'!$E$6:$E$2005,"Saída",'LANÇAMENTOS'!$AA$6:$AA$2005,'CONFIGURAÇÕES'!$B$18)</f>
        <v/>
      </c>
      <c r="C57" s="18">
        <f>0</f>
        <v/>
      </c>
      <c r="D57" s="17">
        <f>IF($B57&gt;0,"🟢 Geração positiva no ano","🔴 Geração negativa no ano")</f>
        <v/>
      </c>
      <c r="E57" s="25" t="inlineStr">
        <is>
          <t>Entradas menos saídas realizadas no ano de análise.</t>
        </is>
      </c>
    </row>
    <row r="58">
      <c r="A58" s="9" t="inlineStr">
        <is>
          <t>Saldo projetado em 30 dias</t>
        </is>
      </c>
      <c r="B58" s="18">
        <f>IFERROR(SUM('CONTAS BANCÁRIAS'!$G$6:$G$13)+SUMIFS('LANÇAMENTOS'!$V$6:$V$2005,'LANÇAMENTOS'!$E$6:$E$2005,"Entrada",'LANÇAMENTOS'!$D$6:$D$2005,"&lt;="&amp;TODAY())-SUMIFS('LANÇAMENTOS'!$V$6:$V$2005,'LANÇAMENTOS'!$E$6:$E$2005,"Saída",'LANÇAMENTOS'!$D$6:$D$2005,"&lt;="&amp;TODAY())+SUMIFS('LANÇAMENTOS'!$W$6:$W$2005,'LANÇAMENTOS'!$E$6:$E$2005,"Entrada",'LANÇAMENTOS'!$W$6:$W$2005,"&gt;0",'LANÇAMENTOS'!$C$6:$C$2005,"&gt;="&amp;TODAY(),'LANÇAMENTOS'!$C$6:$C$2005,"&lt;="&amp;TODAY()+30)-SUMIFS('LANÇAMENTOS'!$W$6:$W$2005,'LANÇAMENTOS'!$E$6:$E$2005,"Saída",'LANÇAMENTOS'!$W$6:$W$2005,"&gt;0",'LANÇAMENTOS'!$C$6:$C$2005,"&gt;="&amp;TODAY(),'LANÇAMENTOS'!$C$6:$C$2005,"&lt;="&amp;TODAY()+30),"")</f>
        <v/>
      </c>
      <c r="C58" s="18">
        <f>'CONFIGURAÇÕES'!$B$25</f>
        <v/>
      </c>
      <c r="D58" s="17">
        <f>IF($B58&lt;0,"🔴 Risco de déficit","🟢 Sem risco de déficit")</f>
        <v/>
      </c>
      <c r="E58" s="25" t="inlineStr">
        <is>
          <t>Saldo atual + títulos a receber − títulos a pagar com vencimento em até 30 dias.</t>
        </is>
      </c>
    </row>
    <row r="59">
      <c r="A59" s="9" t="inlineStr">
        <is>
          <t>Meses de caixa (cobertura das saídas)</t>
        </is>
      </c>
      <c r="B59" s="24">
        <f>IFERROR($B$53/(SUMIFS('LANÇAMENTOS'!$V$6:$V$2005,'LANÇAMENTOS'!$E$6:$E$2005,"Saída",'LANÇAMENTOS'!$AA$6:$AA$2005,'CONFIGURAÇÕES'!$B$18)/12),"")</f>
        <v/>
      </c>
      <c r="C59" s="24">
        <f>3</f>
        <v/>
      </c>
      <c r="D59" s="17">
        <f>IF($B59&gt;=3,"🟢 Reserva adequada",IF($B59&gt;=1,"🟡 Reserva curta","🔴 Reserva crítica"))</f>
        <v/>
      </c>
      <c r="E59" s="25" t="inlineStr">
        <is>
          <t>Saldo disponível dividido pela média mensal de saídas realizadas no ano.</t>
        </is>
      </c>
    </row>
    <row r="60" ht="8" customHeight="1"/>
    <row r="62" ht="20" customHeight="1">
      <c r="A62" s="4" t="inlineStr">
        <is>
          <t>5. RECEBIMENTOS E PAGAMENTOS</t>
        </is>
      </c>
      <c r="B62" s="4" t="n"/>
      <c r="C62" s="4" t="n"/>
      <c r="D62" s="4" t="n"/>
      <c r="E62" s="4" t="n"/>
    </row>
    <row r="63" ht="22" customHeight="1">
      <c r="A63" s="21" t="inlineStr">
        <is>
          <t>Indicador</t>
        </is>
      </c>
      <c r="B63" s="21" t="inlineStr">
        <is>
          <t>Valor</t>
        </is>
      </c>
      <c r="C63" s="21" t="inlineStr">
        <is>
          <t>Meta / referência</t>
        </is>
      </c>
      <c r="D63" s="21" t="inlineStr">
        <is>
          <t>Status</t>
        </is>
      </c>
      <c r="E63" s="21" t="inlineStr">
        <is>
          <t>Como é calculado</t>
        </is>
      </c>
    </row>
    <row r="64">
      <c r="A64" s="9" t="inlineStr">
        <is>
          <t>Total a receber em aberto</t>
        </is>
      </c>
      <c r="B64" s="18">
        <f>SUMIFS('LANÇAMENTOS'!$W$6:$W$2005,'LANÇAMENTOS'!$E$6:$E$2005,"Entrada",'LANÇAMENTOS'!$W$6:$W$2005,"&gt;0")</f>
        <v/>
      </c>
      <c r="C64" s="18" t="inlineStr">
        <is>
          <t>—</t>
        </is>
      </c>
      <c r="D64" s="17" t="inlineStr">
        <is>
          <t>—</t>
        </is>
      </c>
      <c r="E64" s="25" t="inlineStr">
        <is>
          <t>Soma do saldo em aberto dos lançamentos de entrada ainda não recebidos.</t>
        </is>
      </c>
    </row>
    <row r="65">
      <c r="A65" s="9" t="inlineStr">
        <is>
          <t>Recebido no ano</t>
        </is>
      </c>
      <c r="B65" s="18">
        <f>SUMIFS('LANÇAMENTOS'!$V$6:$V$2005,'LANÇAMENTOS'!$E$6:$E$2005,"Entrada",'LANÇAMENTOS'!$D$6:$D$2005,"&gt;="&amp;DATE('CONFIGURAÇÕES'!$B$18,1,1),'LANÇAMENTOS'!$D$6:$D$2005,"&lt;="&amp;DATE('CONFIGURAÇÕES'!$B$18,12,31))</f>
        <v/>
      </c>
      <c r="C65" s="18" t="inlineStr">
        <is>
          <t>—</t>
        </is>
      </c>
      <c r="D65" s="17" t="inlineStr">
        <is>
          <t>—</t>
        </is>
      </c>
      <c r="E65" s="25" t="inlineStr">
        <is>
          <t>Entradas de caixa com data de recebimento no ano de análise.</t>
        </is>
      </c>
    </row>
    <row r="66">
      <c r="A66" s="9" t="inlineStr">
        <is>
          <t>Vencido a receber</t>
        </is>
      </c>
      <c r="B66" s="18">
        <f>SUMIFS('LANÇAMENTOS'!$W$6:$W$2005,'LANÇAMENTOS'!$E$6:$E$2005,"Entrada",'LANÇAMENTOS'!$W$6:$W$2005,"&gt;0",'LANÇAMENTOS'!$C$6:$C$2005,"&lt;"&amp;TODAY())</f>
        <v/>
      </c>
      <c r="C66" s="18">
        <f>0</f>
        <v/>
      </c>
      <c r="D66" s="17">
        <f>IF($B66&gt;0,"🔴 Existe valor vencido a receber","🟢 Nada vencido")</f>
        <v/>
      </c>
      <c r="E66" s="25" t="inlineStr">
        <is>
          <t>Títulos de entrada em aberto com vencimento anterior a hoje.</t>
        </is>
      </c>
    </row>
    <row r="67">
      <c r="A67" s="9" t="inlineStr">
        <is>
          <t>Recebimentos nos próximos 7 dias</t>
        </is>
      </c>
      <c r="B67" s="18">
        <f>SUMIFS('LANÇAMENTOS'!$W$6:$W$2005,'LANÇAMENTOS'!$E$6:$E$2005,"Entrada",'LANÇAMENTOS'!$W$6:$W$2005,"&gt;0",'LANÇAMENTOS'!$C$6:$C$2005,"&gt;="&amp;TODAY(),'LANÇAMENTOS'!$C$6:$C$2005,"&lt;="&amp;TODAY()+7)</f>
        <v/>
      </c>
      <c r="C67" s="18" t="inlineStr">
        <is>
          <t>—</t>
        </is>
      </c>
      <c r="D67" s="17" t="inlineStr">
        <is>
          <t>—</t>
        </is>
      </c>
      <c r="E67" s="25" t="inlineStr">
        <is>
          <t>Títulos a receber com vencimento nos próximos 7 dias.</t>
        </is>
      </c>
    </row>
    <row r="68">
      <c r="A68" s="9" t="inlineStr">
        <is>
          <t>Prazo médio de recebimento (dias)</t>
        </is>
      </c>
      <c r="B68" s="24">
        <f>IFERROR(SUMIFS('LANÇAMENTOS'!$AL$6:$AL$2005,'LANÇAMENTOS'!$E$6:$E$2005,"Entrada")/SUMIFS('LANÇAMENTOS'!$V$6:$V$2005,'LANÇAMENTOS'!$E$6:$E$2005,"Entrada"),"")</f>
        <v/>
      </c>
      <c r="C68" s="24">
        <f>'CONFIGURAÇÕES'!$B$27</f>
        <v/>
      </c>
      <c r="D68" s="17">
        <f>IF($B68&gt;'CONFIGURAÇÕES'!$B$27,"🔴 Acima do alvo","🟢 Dentro do alvo")</f>
        <v/>
      </c>
      <c r="E68" s="25" t="inlineStr">
        <is>
          <t>Média ponderada dos dias entre a competência e o recebimento de fato.</t>
        </is>
      </c>
    </row>
    <row r="69">
      <c r="A69" s="9" t="inlineStr">
        <is>
          <t>Total a pagar em aberto</t>
        </is>
      </c>
      <c r="B69" s="18">
        <f>SUMIFS('LANÇAMENTOS'!$W$6:$W$2005,'LANÇAMENTOS'!$E$6:$E$2005,"Saída",'LANÇAMENTOS'!$W$6:$W$2005,"&gt;0")</f>
        <v/>
      </c>
      <c r="C69" s="18" t="inlineStr">
        <is>
          <t>—</t>
        </is>
      </c>
      <c r="D69" s="17" t="inlineStr">
        <is>
          <t>—</t>
        </is>
      </c>
      <c r="E69" s="25" t="inlineStr">
        <is>
          <t>Soma do saldo em aberto dos lançamentos de saída ainda não pagos.</t>
        </is>
      </c>
    </row>
    <row r="70">
      <c r="A70" s="9" t="inlineStr">
        <is>
          <t>Pago no ano</t>
        </is>
      </c>
      <c r="B70" s="18">
        <f>SUMIFS('LANÇAMENTOS'!$V$6:$V$2005,'LANÇAMENTOS'!$E$6:$E$2005,"Saída",'LANÇAMENTOS'!$D$6:$D$2005,"&gt;="&amp;DATE('CONFIGURAÇÕES'!$B$18,1,1),'LANÇAMENTOS'!$D$6:$D$2005,"&lt;="&amp;DATE('CONFIGURAÇÕES'!$B$18,12,31))</f>
        <v/>
      </c>
      <c r="C70" s="18" t="inlineStr">
        <is>
          <t>—</t>
        </is>
      </c>
      <c r="D70" s="17" t="inlineStr">
        <is>
          <t>—</t>
        </is>
      </c>
      <c r="E70" s="25" t="inlineStr">
        <is>
          <t>Saídas de caixa com data de pagamento no ano de análise.</t>
        </is>
      </c>
    </row>
    <row r="71">
      <c r="A71" s="9" t="inlineStr">
        <is>
          <t>Vencido a pagar</t>
        </is>
      </c>
      <c r="B71" s="18">
        <f>SUMIFS('LANÇAMENTOS'!$W$6:$W$2005,'LANÇAMENTOS'!$E$6:$E$2005,"Saída",'LANÇAMENTOS'!$W$6:$W$2005,"&gt;0",'LANÇAMENTOS'!$C$6:$C$2005,"&lt;"&amp;TODAY())</f>
        <v/>
      </c>
      <c r="C71" s="18">
        <f>0</f>
        <v/>
      </c>
      <c r="D71" s="17">
        <f>IF($B71&gt;0,"🔴 Existe valor vencido a pagar","🟢 Nada vencido")</f>
        <v/>
      </c>
      <c r="E71" s="25" t="inlineStr">
        <is>
          <t>Títulos de saída em aberto com vencimento anterior a hoje.</t>
        </is>
      </c>
    </row>
    <row r="72">
      <c r="A72" s="9" t="inlineStr">
        <is>
          <t>Pagamentos nos próximos 7 dias</t>
        </is>
      </c>
      <c r="B72" s="18">
        <f>SUMIFS('LANÇAMENTOS'!$W$6:$W$2005,'LANÇAMENTOS'!$E$6:$E$2005,"Saída",'LANÇAMENTOS'!$W$6:$W$2005,"&gt;0",'LANÇAMENTOS'!$C$6:$C$2005,"&gt;="&amp;TODAY(),'LANÇAMENTOS'!$C$6:$C$2005,"&lt;="&amp;TODAY()+7)</f>
        <v/>
      </c>
      <c r="C72" s="18" t="inlineStr">
        <is>
          <t>—</t>
        </is>
      </c>
      <c r="D72" s="17" t="inlineStr">
        <is>
          <t>—</t>
        </is>
      </c>
      <c r="E72" s="25" t="inlineStr">
        <is>
          <t>Títulos a pagar com vencimento nos próximos 7 dias.</t>
        </is>
      </c>
    </row>
    <row r="73">
      <c r="A73" s="9" t="inlineStr">
        <is>
          <t>Prazo médio de pagamento (dias)</t>
        </is>
      </c>
      <c r="B73" s="24">
        <f>IFERROR(SUMIFS('LANÇAMENTOS'!$AL$6:$AL$2005,'LANÇAMENTOS'!$E$6:$E$2005,"Saída")/SUMIFS('LANÇAMENTOS'!$V$6:$V$2005,'LANÇAMENTOS'!$E$6:$E$2005,"Saída"),"")</f>
        <v/>
      </c>
      <c r="C73" s="24">
        <f>'CONFIGURAÇÕES'!$B$28</f>
        <v/>
      </c>
      <c r="D73" s="17">
        <f>IF($B73&gt;'CONFIGURAÇÕES'!$B$28,"🟡 Acima do alvo","🟢 Dentro do alvo")</f>
        <v/>
      </c>
      <c r="E73" s="25" t="inlineStr">
        <is>
          <t>Média ponderada dos dias entre a competência e o pagamento de fato.</t>
        </is>
      </c>
    </row>
    <row r="74" ht="8" customHeight="1"/>
    <row r="76" ht="20" customHeight="1">
      <c r="A76" s="4" t="inlineStr">
        <is>
          <t>6. ENDIVIDAMENTO E CAPITAL DE GIRO</t>
        </is>
      </c>
      <c r="B76" s="4" t="n"/>
      <c r="C76" s="4" t="n"/>
      <c r="D76" s="4" t="n"/>
      <c r="E76" s="4" t="n"/>
    </row>
    <row r="77" ht="22" customHeight="1">
      <c r="A77" s="21" t="inlineStr">
        <is>
          <t>Indicador</t>
        </is>
      </c>
      <c r="B77" s="21" t="inlineStr">
        <is>
          <t>Valor</t>
        </is>
      </c>
      <c r="C77" s="21" t="inlineStr">
        <is>
          <t>Meta / referência</t>
        </is>
      </c>
      <c r="D77" s="21" t="inlineStr">
        <is>
          <t>Status</t>
        </is>
      </c>
      <c r="E77" s="21" t="inlineStr">
        <is>
          <t>Como é calculado</t>
        </is>
      </c>
    </row>
    <row r="78">
      <c r="A78" s="9" t="inlineStr">
        <is>
          <t>Saldo devedor total (dívida atual)</t>
        </is>
      </c>
      <c r="B78" s="18">
        <f>SUMIFS('EMPRÉSTIMOS E FINANCIAMENTOS'!$H$46:$H$405,'EMPRÉSTIMOS E FINANCIAMENTOS'!$I$46:$I$405,"A vencer")+SUMIFS('EMPRÉSTIMOS E FINANCIAMENTOS'!$G$46:$G$405,'EMPRÉSTIMOS E FINANCIAMENTOS'!$I$46:$I$405,"A vencer")</f>
        <v/>
      </c>
      <c r="C78" s="18" t="inlineStr">
        <is>
          <t>—</t>
        </is>
      </c>
      <c r="D78" s="17" t="inlineStr">
        <is>
          <t>—</t>
        </is>
      </c>
      <c r="E78" s="25" t="inlineStr">
        <is>
          <t>Soma das parcelas a vencer e das amortizações futuras dos contratos cadastrados.</t>
        </is>
      </c>
    </row>
    <row r="79">
      <c r="A79" s="9" t="inlineStr">
        <is>
          <t>Parcelas dos próximos 12 meses</t>
        </is>
      </c>
      <c r="B79" s="18">
        <f>SUMIFS('EMPRÉSTIMOS E FINANCIAMENTOS'!$E$46:$E$405,'EMPRÉSTIMOS E FINANCIAMENTOS'!$D$46:$D$405,"&gt;="&amp;TODAY(),'EMPRÉSTIMOS E FINANCIAMENTOS'!$D$46:$D$405,"&lt;="&amp;EDATE(TODAY(),12))</f>
        <v/>
      </c>
      <c r="C79" s="18" t="inlineStr">
        <is>
          <t>—</t>
        </is>
      </c>
      <c r="D79" s="17" t="inlineStr">
        <is>
          <t>—</t>
        </is>
      </c>
      <c r="E79" s="25" t="inlineStr">
        <is>
          <t>Total de parcelas de empréstimos com vencimento nos próximos 12 meses.</t>
        </is>
      </c>
    </row>
    <row r="80">
      <c r="A80" s="9" t="inlineStr">
        <is>
          <t>Comprometimento da receita (12 meses)</t>
        </is>
      </c>
      <c r="B80" s="23">
        <f>IFERROR(SUMIFS('EMPRÉSTIMOS E FINANCIAMENTOS'!$E$46:$E$405,'EMPRÉSTIMOS E FINANCIAMENTOS'!$D$46:$D$405,"&gt;="&amp;TODAY(),'EMPRÉSTIMOS E FINANCIAMENTOS'!$D$46:$D$405,"&lt;="&amp;EDATE(TODAY(),12))/SUMIFS('LANÇAMENTOS'!$AE$6:$AE$2005,'LANÇAMENTOS'!$AF$6:$AF$2005,"Faturamento Bruto",'LANÇAMENTOS'!$AA$6:$AA$2005,'CONFIGURAÇÕES'!$B$18),"")</f>
        <v/>
      </c>
      <c r="C80" s="23">
        <f>0.2</f>
        <v/>
      </c>
      <c r="D80" s="17">
        <f>IF($B80&gt;0.2,"🔴 Acima de 20%","🟢 Dentro de 20%")</f>
        <v/>
      </c>
      <c r="E80" s="25" t="inlineStr">
        <is>
          <t>Parcelas dos próximos 12 meses divididas pelo faturamento do ano.</t>
        </is>
      </c>
    </row>
    <row r="81">
      <c r="A81" s="9" t="inlineStr">
        <is>
          <t>Dívida total ÷ faturamento anual</t>
        </is>
      </c>
      <c r="B81" s="23">
        <f>IFERROR(SUMIFS('EMPRÉSTIMOS E FINANCIAMENTOS'!$H$46:$H$405,'EMPRÉSTIMOS E FINANCIAMENTOS'!$I$46:$I$405,"A vencer")+SUMIFS('EMPRÉSTIMOS E FINANCIAMENTOS'!$G$46:$G$405,'EMPRÉSTIMOS E FINANCIAMENTOS'!$I$46:$I$405,"A vencer")/SUMIFS('LANÇAMENTOS'!$AE$6:$AE$2005,'LANÇAMENTOS'!$AF$6:$AF$2005,"Faturamento Bruto",'LANÇAMENTOS'!$AA$6:$AA$2005,'CONFIGURAÇÕES'!$B$18),"")</f>
        <v/>
      </c>
      <c r="C81" s="23" t="inlineStr">
        <is>
          <t>—</t>
        </is>
      </c>
      <c r="D81" s="17" t="inlineStr">
        <is>
          <t>—</t>
        </is>
      </c>
      <c r="E81" s="25" t="inlineStr">
        <is>
          <t>Endividamento total comparado ao faturamento do ano.</t>
        </is>
      </c>
    </row>
    <row r="82">
      <c r="A82" s="9" t="inlineStr">
        <is>
          <t>Custo médio da dívida (% ao mês)</t>
        </is>
      </c>
      <c r="B82" s="23">
        <f>IFERROR(SUMPRODUCT(('EMPRÉSTIMOS E FINANCIAMENTOS'!$E$6:$E$15&lt;&gt;"")*'EMPRÉSTIMOS E FINANCIAMENTOS'!$E$6:$E$15*'EMPRÉSTIMOS E FINANCIAMENTOS'!$G$6:$G$15)/SUM('EMPRÉSTIMOS E FINANCIAMENTOS'!$E$6:$E$15),"")</f>
        <v/>
      </c>
      <c r="C82" s="23">
        <f>'CONFIGURAÇÕES'!$B$30</f>
        <v/>
      </c>
      <c r="D82" s="17" t="inlineStr">
        <is>
          <t>—</t>
        </is>
      </c>
      <c r="E82" s="25" t="inlineStr">
        <is>
          <t>Média ponderada das taxas mensais dos contratos cadastrados.</t>
        </is>
      </c>
    </row>
    <row r="83">
      <c r="A83" s="9" t="inlineStr">
        <is>
          <t>Capital de giro líquido</t>
        </is>
      </c>
      <c r="B83" s="18">
        <f>($B$53+SUMIFS('LANÇAMENTOS'!$W$6:$W$2005,'LANÇAMENTOS'!$E$6:$E$2005,"Entrada",'LANÇAMENTOS'!$W$6:$W$2005,"&gt;0"))-(SUMIFS('LANÇAMENTOS'!$W$6:$W$2005,'LANÇAMENTOS'!$E$6:$E$2005,"Saída",'LANÇAMENTOS'!$W$6:$W$2005,"&gt;0")+SUMIFS('EMPRÉSTIMOS E FINANCIAMENTOS'!$E$46:$E$405,'EMPRÉSTIMOS E FINANCIAMENTOS'!$D$46:$D$405,"&gt;="&amp;TODAY(),'EMPRÉSTIMOS E FINANCIAMENTOS'!$D$46:$D$405,"&lt;="&amp;EDATE(TODAY(),12)))</f>
        <v/>
      </c>
      <c r="C83" s="18">
        <f>0</f>
        <v/>
      </c>
      <c r="D83" s="17">
        <f>IF($B83&gt;0,"🟢 Positivo","🔴 Negativo")</f>
        <v/>
      </c>
      <c r="E83" s="25" t="inlineStr">
        <is>
          <t>(Caixa disponível + a receber) − (a pagar + parcelas de empréstimos dos próximos 12 meses).</t>
        </is>
      </c>
    </row>
    <row r="84">
      <c r="A84" s="9" t="inlineStr">
        <is>
          <t>Necessidade de capital de giro (operacional)</t>
        </is>
      </c>
      <c r="B84" s="18">
        <f>SUMIFS('LANÇAMENTOS'!$W$6:$W$2005,'LANÇAMENTOS'!$E$6:$E$2005,"Entrada",'LANÇAMENTOS'!$W$6:$W$2005,"&gt;0",'LANÇAMENTOS'!$C$6:$C$2005,"&gt;="&amp;TODAY())+SUMIFS('LANÇAMENTOS'!$AE$6:$AE$2005,'LANÇAMENTOS'!$AF$6:$AF$2005,"Despesas Fixas",'LANÇAMENTOS'!$AA$6:$AA$2005,'CONFIGURAÇÕES'!$B$18,'LANÇAMENTOS'!$Z$6:$Z$2005,IF('CONFIGURAÇÕES'!$B$19=0,"&gt;0",'CONFIGURAÇÕES'!$B$19))-SUMIFS('LANÇAMENTOS'!$W$6:$W$2005,'LANÇAMENTOS'!$E$6:$E$2005,"Saída",'LANÇAMENTOS'!$W$6:$W$2005,"&gt;0")</f>
        <v/>
      </c>
      <c r="C84" s="18">
        <f>0</f>
        <v/>
      </c>
      <c r="D84" s="17">
        <f>IF($B84&gt;$B53,"🔴 Precisa de capital","🟢 Coberto pelo caixa")</f>
        <v/>
      </c>
      <c r="E84" s="25" t="inlineStr">
        <is>
          <t>A receber a vencer + despesas fixas do mês − a pagar total em aberto.</t>
        </is>
      </c>
    </row>
    <row r="85">
      <c r="A85" s="9" t="inlineStr">
        <is>
          <t>Ciclo financeiro (dias)</t>
        </is>
      </c>
      <c r="B85" s="24">
        <f>IFERROR(SUMIFS('LANÇAMENTOS'!$AL$6:$AL$2005,'LANÇAMENTOS'!$E$6:$E$2005,"Entrada")/SUMIFS('LANÇAMENTOS'!$V$6:$V$2005,'LANÇAMENTOS'!$E$6:$E$2005,"Entrada")-SUMIFS('LANÇAMENTOS'!$AL$6:$AL$2005,'LANÇAMENTOS'!$E$6:$E$2005,"Saída")/SUMIFS('LANÇAMENTOS'!$V$6:$V$2005,'LANÇAMENTOS'!$E$6:$E$2005,"Saída"),"")</f>
        <v/>
      </c>
      <c r="C85" s="24" t="inlineStr">
        <is>
          <t>—</t>
        </is>
      </c>
      <c r="D85" s="17" t="inlineStr">
        <is>
          <t>—</t>
        </is>
      </c>
      <c r="E85" s="25" t="inlineStr">
        <is>
          <t>Prazo médio de recebimento menos prazo médio de pagamento.</t>
        </is>
      </c>
    </row>
    <row r="86">
      <c r="A86" s="9" t="inlineStr">
        <is>
          <t>Reserva de capital de giro recomendada</t>
        </is>
      </c>
      <c r="B86" s="18">
        <f>'CONFIGURAÇÕES'!$B$32*SUMIFS('LANÇAMENTOS'!$AE$6:$AE$2005,'LANÇAMENTOS'!$AF$6:$AF$2005,"Despesas Fixas",'LANÇAMENTOS'!$AA$6:$AA$2005,'CONFIGURAÇÕES'!$B$18,'LANÇAMENTOS'!$Z$6:$Z$2005,IF('CONFIGURAÇÕES'!$B$19=0,"&gt;0",'CONFIGURAÇÕES'!$B$19))</f>
        <v/>
      </c>
      <c r="C86" s="18" t="inlineStr">
        <is>
          <t>—</t>
        </is>
      </c>
      <c r="D86" s="17" t="inlineStr">
        <is>
          <t>—</t>
        </is>
      </c>
      <c r="E86" s="25" t="inlineStr">
        <is>
          <t>Meses de despesa fixa definidos na CONFIGURAÇÕES × despesas fixas do período.</t>
        </is>
      </c>
    </row>
    <row r="87" ht="8" customHeight="1"/>
    <row r="89" ht="22" customHeight="1">
      <c r="A89" s="4" t="inlineStr">
        <is>
          <t>7. EVOLUÇÃO MENSAL — BASE DOS GRÁFICOS DO DASHBOARD</t>
        </is>
      </c>
      <c r="B89" s="4" t="n"/>
      <c r="C89" s="4" t="n"/>
      <c r="D89" s="4" t="n"/>
      <c r="E89" s="4" t="n"/>
    </row>
    <row r="90" ht="34" customHeight="1">
      <c r="A90" s="21" t="inlineStr">
        <is>
          <t>Mês</t>
        </is>
      </c>
      <c r="B90" s="21" t="inlineStr">
        <is>
          <t>Faturamento</t>
        </is>
      </c>
      <c r="C90" s="21" t="inlineStr">
        <is>
          <t>Impostos e devoluções</t>
        </is>
      </c>
      <c r="D90" s="21" t="inlineStr">
        <is>
          <t>Custos variáveis</t>
        </is>
      </c>
      <c r="E90" s="21" t="inlineStr">
        <is>
          <t>Despesas fixas</t>
        </is>
      </c>
      <c r="F90" s="21" t="inlineStr">
        <is>
          <t>Despesas financeiras</t>
        </is>
      </c>
      <c r="G90" s="21" t="inlineStr">
        <is>
          <t>Receitas financeiras</t>
        </is>
      </c>
      <c r="H90" s="21" t="inlineStr">
        <is>
          <t>Margem contrib. %</t>
        </is>
      </c>
      <c r="I90" s="21" t="inlineStr">
        <is>
          <t>Lucro líquido</t>
        </is>
      </c>
      <c r="J90" s="21" t="inlineStr">
        <is>
          <t>Margem líquida %</t>
        </is>
      </c>
      <c r="K90" s="21" t="inlineStr">
        <is>
          <t>Entradas de caixa</t>
        </is>
      </c>
      <c r="L90" s="21" t="inlineStr">
        <is>
          <t>Saídas de caixa</t>
        </is>
      </c>
      <c r="M90" s="21" t="inlineStr">
        <is>
          <t>Saldo final de caixa</t>
        </is>
      </c>
      <c r="N90" s="21" t="inlineStr">
        <is>
          <t>Orçado</t>
        </is>
      </c>
      <c r="O90" s="21" t="inlineStr">
        <is>
          <t>Realizado</t>
        </is>
      </c>
      <c r="P90" s="21" t="inlineStr">
        <is>
          <t>% consumido</t>
        </is>
      </c>
    </row>
    <row r="91">
      <c r="A91" s="9">
        <f>IF('CONFIGURAÇÕES'!$B$19=1,"▶ Janeiro","Janeiro")</f>
        <v/>
      </c>
      <c r="B91" s="18">
        <f>SUMIFS('LANÇAMENTOS'!$AE$6:$AE$2005,'LANÇAMENTOS'!$AF$6:$AF$2005,"Faturamento Bruto",'LANÇAMENTOS'!$AA$6:$AA$2005,'CONFIGURAÇÕES'!$B$18,'LANÇAMENTOS'!$Z$6:$Z$2005,1)</f>
        <v/>
      </c>
      <c r="C91" s="18">
        <f>SUMIFS('LANÇAMENTOS'!$AE$6:$AE$2005,'LANÇAMENTOS'!$AF$6:$AF$2005,"Impostos sobre Vendas",'LANÇAMENTOS'!$AA$6:$AA$2005,'CONFIGURAÇÕES'!$B$18,'LANÇAMENTOS'!$Z$6:$Z$2005,1)+SUMIFS('LANÇAMENTOS'!$AE$6:$AE$2005,'LANÇAMENTOS'!$AF$6:$AF$2005,"Devoluções",'LANÇAMENTOS'!$AA$6:$AA$2005,'CONFIGURAÇÕES'!$B$18,'LANÇAMENTOS'!$Z$6:$Z$2005,1)</f>
        <v/>
      </c>
      <c r="D91" s="18">
        <f>SUMIFS('LANÇAMENTOS'!$AE$6:$AE$2005,'LANÇAMENTOS'!$AF$6:$AF$2005,"Custos Variáveis",'LANÇAMENTOS'!$AA$6:$AA$2005,'CONFIGURAÇÕES'!$B$18,'LANÇAMENTOS'!$Z$6:$Z$2005,1)</f>
        <v/>
      </c>
      <c r="E91" s="18">
        <f>SUMIFS('LANÇAMENTOS'!$AE$6:$AE$2005,'LANÇAMENTOS'!$AF$6:$AF$2005,"Despesas Fixas",'LANÇAMENTOS'!$AA$6:$AA$2005,'CONFIGURAÇÕES'!$B$18,'LANÇAMENTOS'!$Z$6:$Z$2005,1)</f>
        <v/>
      </c>
      <c r="F91" s="18">
        <f>SUMIFS('LANÇAMENTOS'!$AE$6:$AE$2005,'LANÇAMENTOS'!$AF$6:$AF$2005,"Despesas Financeiras",'LANÇAMENTOS'!$AA$6:$AA$2005,'CONFIGURAÇÕES'!$B$18,'LANÇAMENTOS'!$Z$6:$Z$2005,1)</f>
        <v/>
      </c>
      <c r="G91" s="18">
        <f>SUMIFS('LANÇAMENTOS'!$AE$6:$AE$2005,'LANÇAMENTOS'!$AF$6:$AF$2005,"Receitas Financeiras",'LANÇAMENTOS'!$AA$6:$AA$2005,'CONFIGURAÇÕES'!$B$18,'LANÇAMENTOS'!$Z$6:$Z$2005,1)+SUMIFS('LANÇAMENTOS'!$AE$6:$AE$2005,'LANÇAMENTOS'!$AF$6:$AF$2005,"Outras Receitas Operacionais",'LANÇAMENTOS'!$AA$6:$AA$2005,'CONFIGURAÇÕES'!$B$18,'LANÇAMENTOS'!$Z$6:$Z$2005,1)</f>
        <v/>
      </c>
      <c r="H91" s="23">
        <f>IFERROR(($B91-$C91-$D91)/($B91-$C91),"")</f>
        <v/>
      </c>
      <c r="I91" s="18">
        <f>$B91-$C91-$D91-$E91-$F91+$G91-SUMIFS('LANÇAMENTOS'!$AE$6:$AE$2005,'LANÇAMENTOS'!$AF$6:$AF$2005,"Impostos sobre o Resultado",'LANÇAMENTOS'!$AA$6:$AA$2005,'CONFIGURAÇÕES'!$B$18,'LANÇAMENTOS'!$Z$6:$Z$2005,1)</f>
        <v/>
      </c>
      <c r="J91" s="23">
        <f>IFERROR($I91/($B91-$C91),"")</f>
        <v/>
      </c>
      <c r="K91" s="18">
        <f>SUMIFS('LANÇAMENTOS'!$V$6:$V$2005,'LANÇAMENTOS'!$E$6:$E$2005,"Entrada",'LANÇAMENTOS'!$D$6:$D$2005,"&gt;="&amp;DATE('CONFIGURAÇÕES'!$B$18,1,1),'LANÇAMENTOS'!$D$6:$D$2005,"&lt;="&amp;EOMONTH(DATE('CONFIGURAÇÕES'!$B$18,1,1),0))</f>
        <v/>
      </c>
      <c r="L91" s="18">
        <f>SUMIFS('LANÇAMENTOS'!$V$6:$V$2005,'LANÇAMENTOS'!$E$6:$E$2005,"Saída",'LANÇAMENTOS'!$D$6:$D$2005,"&gt;="&amp;DATE('CONFIGURAÇÕES'!$B$18,1,1),'LANÇAMENTOS'!$D$6:$D$2005,"&lt;="&amp;EOMONTH(DATE('CONFIGURAÇÕES'!$B$18,1,1),0))</f>
        <v/>
      </c>
      <c r="M91" s="18">
        <f>SUM('CONTAS BANCÁRIAS'!$G$6:$G$13)+SUM($K$91:$K91)-SUM($L$91:$L91)</f>
        <v/>
      </c>
      <c r="N91" s="18">
        <f>'ORÇAMENTO X REALIZADO'!B49</f>
        <v/>
      </c>
      <c r="O91" s="18">
        <f>'ORÇAMENTO X REALIZADO'!B50</f>
        <v/>
      </c>
      <c r="P91" s="23">
        <f>IFERROR($O91/$N91,"")</f>
        <v/>
      </c>
    </row>
    <row r="92">
      <c r="A92" s="9">
        <f>IF('CONFIGURAÇÕES'!$B$19=2,"▶ Fevereiro","Fevereiro")</f>
        <v/>
      </c>
      <c r="B92" s="18">
        <f>SUMIFS('LANÇAMENTOS'!$AE$6:$AE$2005,'LANÇAMENTOS'!$AF$6:$AF$2005,"Faturamento Bruto",'LANÇAMENTOS'!$AA$6:$AA$2005,'CONFIGURAÇÕES'!$B$18,'LANÇAMENTOS'!$Z$6:$Z$2005,2)</f>
        <v/>
      </c>
      <c r="C92" s="18">
        <f>SUMIFS('LANÇAMENTOS'!$AE$6:$AE$2005,'LANÇAMENTOS'!$AF$6:$AF$2005,"Impostos sobre Vendas",'LANÇAMENTOS'!$AA$6:$AA$2005,'CONFIGURAÇÕES'!$B$18,'LANÇAMENTOS'!$Z$6:$Z$2005,2)+SUMIFS('LANÇAMENTOS'!$AE$6:$AE$2005,'LANÇAMENTOS'!$AF$6:$AF$2005,"Devoluções",'LANÇAMENTOS'!$AA$6:$AA$2005,'CONFIGURAÇÕES'!$B$18,'LANÇAMENTOS'!$Z$6:$Z$2005,2)</f>
        <v/>
      </c>
      <c r="D92" s="18">
        <f>SUMIFS('LANÇAMENTOS'!$AE$6:$AE$2005,'LANÇAMENTOS'!$AF$6:$AF$2005,"Custos Variáveis",'LANÇAMENTOS'!$AA$6:$AA$2005,'CONFIGURAÇÕES'!$B$18,'LANÇAMENTOS'!$Z$6:$Z$2005,2)</f>
        <v/>
      </c>
      <c r="E92" s="18">
        <f>SUMIFS('LANÇAMENTOS'!$AE$6:$AE$2005,'LANÇAMENTOS'!$AF$6:$AF$2005,"Despesas Fixas",'LANÇAMENTOS'!$AA$6:$AA$2005,'CONFIGURAÇÕES'!$B$18,'LANÇAMENTOS'!$Z$6:$Z$2005,2)</f>
        <v/>
      </c>
      <c r="F92" s="18">
        <f>SUMIFS('LANÇAMENTOS'!$AE$6:$AE$2005,'LANÇAMENTOS'!$AF$6:$AF$2005,"Despesas Financeiras",'LANÇAMENTOS'!$AA$6:$AA$2005,'CONFIGURAÇÕES'!$B$18,'LANÇAMENTOS'!$Z$6:$Z$2005,2)</f>
        <v/>
      </c>
      <c r="G92" s="18">
        <f>SUMIFS('LANÇAMENTOS'!$AE$6:$AE$2005,'LANÇAMENTOS'!$AF$6:$AF$2005,"Receitas Financeiras",'LANÇAMENTOS'!$AA$6:$AA$2005,'CONFIGURAÇÕES'!$B$18,'LANÇAMENTOS'!$Z$6:$Z$2005,2)+SUMIFS('LANÇAMENTOS'!$AE$6:$AE$2005,'LANÇAMENTOS'!$AF$6:$AF$2005,"Outras Receitas Operacionais",'LANÇAMENTOS'!$AA$6:$AA$2005,'CONFIGURAÇÕES'!$B$18,'LANÇAMENTOS'!$Z$6:$Z$2005,2)</f>
        <v/>
      </c>
      <c r="H92" s="23">
        <f>IFERROR(($B92-$C92-$D92)/($B92-$C92),"")</f>
        <v/>
      </c>
      <c r="I92" s="18">
        <f>$B92-$C92-$D92-$E92-$F92+$G92-SUMIFS('LANÇAMENTOS'!$AE$6:$AE$2005,'LANÇAMENTOS'!$AF$6:$AF$2005,"Impostos sobre o Resultado",'LANÇAMENTOS'!$AA$6:$AA$2005,'CONFIGURAÇÕES'!$B$18,'LANÇAMENTOS'!$Z$6:$Z$2005,2)</f>
        <v/>
      </c>
      <c r="J92" s="23">
        <f>IFERROR($I92/($B92-$C92),"")</f>
        <v/>
      </c>
      <c r="K92" s="18">
        <f>SUMIFS('LANÇAMENTOS'!$V$6:$V$2005,'LANÇAMENTOS'!$E$6:$E$2005,"Entrada",'LANÇAMENTOS'!$D$6:$D$2005,"&gt;="&amp;DATE('CONFIGURAÇÕES'!$B$18,2,1),'LANÇAMENTOS'!$D$6:$D$2005,"&lt;="&amp;EOMONTH(DATE('CONFIGURAÇÕES'!$B$18,2,1),0))</f>
        <v/>
      </c>
      <c r="L92" s="18">
        <f>SUMIFS('LANÇAMENTOS'!$V$6:$V$2005,'LANÇAMENTOS'!$E$6:$E$2005,"Saída",'LANÇAMENTOS'!$D$6:$D$2005,"&gt;="&amp;DATE('CONFIGURAÇÕES'!$B$18,2,1),'LANÇAMENTOS'!$D$6:$D$2005,"&lt;="&amp;EOMONTH(DATE('CONFIGURAÇÕES'!$B$18,2,1),0))</f>
        <v/>
      </c>
      <c r="M92" s="18">
        <f>SUM('CONTAS BANCÁRIAS'!$G$6:$G$13)+SUM($K$91:$K92)-SUM($L$91:$L92)</f>
        <v/>
      </c>
      <c r="N92" s="18">
        <f>'ORÇAMENTO X REALIZADO'!C49</f>
        <v/>
      </c>
      <c r="O92" s="18">
        <f>'ORÇAMENTO X REALIZADO'!C50</f>
        <v/>
      </c>
      <c r="P92" s="23">
        <f>IFERROR($O92/$N92,"")</f>
        <v/>
      </c>
    </row>
    <row r="93">
      <c r="A93" s="9">
        <f>IF('CONFIGURAÇÕES'!$B$19=3,"▶ Março","Março")</f>
        <v/>
      </c>
      <c r="B93" s="18">
        <f>SUMIFS('LANÇAMENTOS'!$AE$6:$AE$2005,'LANÇAMENTOS'!$AF$6:$AF$2005,"Faturamento Bruto",'LANÇAMENTOS'!$AA$6:$AA$2005,'CONFIGURAÇÕES'!$B$18,'LANÇAMENTOS'!$Z$6:$Z$2005,3)</f>
        <v/>
      </c>
      <c r="C93" s="18">
        <f>SUMIFS('LANÇAMENTOS'!$AE$6:$AE$2005,'LANÇAMENTOS'!$AF$6:$AF$2005,"Impostos sobre Vendas",'LANÇAMENTOS'!$AA$6:$AA$2005,'CONFIGURAÇÕES'!$B$18,'LANÇAMENTOS'!$Z$6:$Z$2005,3)+SUMIFS('LANÇAMENTOS'!$AE$6:$AE$2005,'LANÇAMENTOS'!$AF$6:$AF$2005,"Devoluções",'LANÇAMENTOS'!$AA$6:$AA$2005,'CONFIGURAÇÕES'!$B$18,'LANÇAMENTOS'!$Z$6:$Z$2005,3)</f>
        <v/>
      </c>
      <c r="D93" s="18">
        <f>SUMIFS('LANÇAMENTOS'!$AE$6:$AE$2005,'LANÇAMENTOS'!$AF$6:$AF$2005,"Custos Variáveis",'LANÇAMENTOS'!$AA$6:$AA$2005,'CONFIGURAÇÕES'!$B$18,'LANÇAMENTOS'!$Z$6:$Z$2005,3)</f>
        <v/>
      </c>
      <c r="E93" s="18">
        <f>SUMIFS('LANÇAMENTOS'!$AE$6:$AE$2005,'LANÇAMENTOS'!$AF$6:$AF$2005,"Despesas Fixas",'LANÇAMENTOS'!$AA$6:$AA$2005,'CONFIGURAÇÕES'!$B$18,'LANÇAMENTOS'!$Z$6:$Z$2005,3)</f>
        <v/>
      </c>
      <c r="F93" s="18">
        <f>SUMIFS('LANÇAMENTOS'!$AE$6:$AE$2005,'LANÇAMENTOS'!$AF$6:$AF$2005,"Despesas Financeiras",'LANÇAMENTOS'!$AA$6:$AA$2005,'CONFIGURAÇÕES'!$B$18,'LANÇAMENTOS'!$Z$6:$Z$2005,3)</f>
        <v/>
      </c>
      <c r="G93" s="18">
        <f>SUMIFS('LANÇAMENTOS'!$AE$6:$AE$2005,'LANÇAMENTOS'!$AF$6:$AF$2005,"Receitas Financeiras",'LANÇAMENTOS'!$AA$6:$AA$2005,'CONFIGURAÇÕES'!$B$18,'LANÇAMENTOS'!$Z$6:$Z$2005,3)+SUMIFS('LANÇAMENTOS'!$AE$6:$AE$2005,'LANÇAMENTOS'!$AF$6:$AF$2005,"Outras Receitas Operacionais",'LANÇAMENTOS'!$AA$6:$AA$2005,'CONFIGURAÇÕES'!$B$18,'LANÇAMENTOS'!$Z$6:$Z$2005,3)</f>
        <v/>
      </c>
      <c r="H93" s="23">
        <f>IFERROR(($B93-$C93-$D93)/($B93-$C93),"")</f>
        <v/>
      </c>
      <c r="I93" s="18">
        <f>$B93-$C93-$D93-$E93-$F93+$G93-SUMIFS('LANÇAMENTOS'!$AE$6:$AE$2005,'LANÇAMENTOS'!$AF$6:$AF$2005,"Impostos sobre o Resultado",'LANÇAMENTOS'!$AA$6:$AA$2005,'CONFIGURAÇÕES'!$B$18,'LANÇAMENTOS'!$Z$6:$Z$2005,3)</f>
        <v/>
      </c>
      <c r="J93" s="23">
        <f>IFERROR($I93/($B93-$C93),"")</f>
        <v/>
      </c>
      <c r="K93" s="18">
        <f>SUMIFS('LANÇAMENTOS'!$V$6:$V$2005,'LANÇAMENTOS'!$E$6:$E$2005,"Entrada",'LANÇAMENTOS'!$D$6:$D$2005,"&gt;="&amp;DATE('CONFIGURAÇÕES'!$B$18,3,1),'LANÇAMENTOS'!$D$6:$D$2005,"&lt;="&amp;EOMONTH(DATE('CONFIGURAÇÕES'!$B$18,3,1),0))</f>
        <v/>
      </c>
      <c r="L93" s="18">
        <f>SUMIFS('LANÇAMENTOS'!$V$6:$V$2005,'LANÇAMENTOS'!$E$6:$E$2005,"Saída",'LANÇAMENTOS'!$D$6:$D$2005,"&gt;="&amp;DATE('CONFIGURAÇÕES'!$B$18,3,1),'LANÇAMENTOS'!$D$6:$D$2005,"&lt;="&amp;EOMONTH(DATE('CONFIGURAÇÕES'!$B$18,3,1),0))</f>
        <v/>
      </c>
      <c r="M93" s="18">
        <f>SUM('CONTAS BANCÁRIAS'!$G$6:$G$13)+SUM($K$91:$K93)-SUM($L$91:$L93)</f>
        <v/>
      </c>
      <c r="N93" s="18">
        <f>'ORÇAMENTO X REALIZADO'!D49</f>
        <v/>
      </c>
      <c r="O93" s="18">
        <f>'ORÇAMENTO X REALIZADO'!D50</f>
        <v/>
      </c>
      <c r="P93" s="23">
        <f>IFERROR($O93/$N93,"")</f>
        <v/>
      </c>
    </row>
    <row r="94">
      <c r="A94" s="9">
        <f>IF('CONFIGURAÇÕES'!$B$19=4,"▶ Abril","Abril")</f>
        <v/>
      </c>
      <c r="B94" s="18">
        <f>SUMIFS('LANÇAMENTOS'!$AE$6:$AE$2005,'LANÇAMENTOS'!$AF$6:$AF$2005,"Faturamento Bruto",'LANÇAMENTOS'!$AA$6:$AA$2005,'CONFIGURAÇÕES'!$B$18,'LANÇAMENTOS'!$Z$6:$Z$2005,4)</f>
        <v/>
      </c>
      <c r="C94" s="18">
        <f>SUMIFS('LANÇAMENTOS'!$AE$6:$AE$2005,'LANÇAMENTOS'!$AF$6:$AF$2005,"Impostos sobre Vendas",'LANÇAMENTOS'!$AA$6:$AA$2005,'CONFIGURAÇÕES'!$B$18,'LANÇAMENTOS'!$Z$6:$Z$2005,4)+SUMIFS('LANÇAMENTOS'!$AE$6:$AE$2005,'LANÇAMENTOS'!$AF$6:$AF$2005,"Devoluções",'LANÇAMENTOS'!$AA$6:$AA$2005,'CONFIGURAÇÕES'!$B$18,'LANÇAMENTOS'!$Z$6:$Z$2005,4)</f>
        <v/>
      </c>
      <c r="D94" s="18">
        <f>SUMIFS('LANÇAMENTOS'!$AE$6:$AE$2005,'LANÇAMENTOS'!$AF$6:$AF$2005,"Custos Variáveis",'LANÇAMENTOS'!$AA$6:$AA$2005,'CONFIGURAÇÕES'!$B$18,'LANÇAMENTOS'!$Z$6:$Z$2005,4)</f>
        <v/>
      </c>
      <c r="E94" s="18">
        <f>SUMIFS('LANÇAMENTOS'!$AE$6:$AE$2005,'LANÇAMENTOS'!$AF$6:$AF$2005,"Despesas Fixas",'LANÇAMENTOS'!$AA$6:$AA$2005,'CONFIGURAÇÕES'!$B$18,'LANÇAMENTOS'!$Z$6:$Z$2005,4)</f>
        <v/>
      </c>
      <c r="F94" s="18">
        <f>SUMIFS('LANÇAMENTOS'!$AE$6:$AE$2005,'LANÇAMENTOS'!$AF$6:$AF$2005,"Despesas Financeiras",'LANÇAMENTOS'!$AA$6:$AA$2005,'CONFIGURAÇÕES'!$B$18,'LANÇAMENTOS'!$Z$6:$Z$2005,4)</f>
        <v/>
      </c>
      <c r="G94" s="18">
        <f>SUMIFS('LANÇAMENTOS'!$AE$6:$AE$2005,'LANÇAMENTOS'!$AF$6:$AF$2005,"Receitas Financeiras",'LANÇAMENTOS'!$AA$6:$AA$2005,'CONFIGURAÇÕES'!$B$18,'LANÇAMENTOS'!$Z$6:$Z$2005,4)+SUMIFS('LANÇAMENTOS'!$AE$6:$AE$2005,'LANÇAMENTOS'!$AF$6:$AF$2005,"Outras Receitas Operacionais",'LANÇAMENTOS'!$AA$6:$AA$2005,'CONFIGURAÇÕES'!$B$18,'LANÇAMENTOS'!$Z$6:$Z$2005,4)</f>
        <v/>
      </c>
      <c r="H94" s="23">
        <f>IFERROR(($B94-$C94-$D94)/($B94-$C94),"")</f>
        <v/>
      </c>
      <c r="I94" s="18">
        <f>$B94-$C94-$D94-$E94-$F94+$G94-SUMIFS('LANÇAMENTOS'!$AE$6:$AE$2005,'LANÇAMENTOS'!$AF$6:$AF$2005,"Impostos sobre o Resultado",'LANÇAMENTOS'!$AA$6:$AA$2005,'CONFIGURAÇÕES'!$B$18,'LANÇAMENTOS'!$Z$6:$Z$2005,4)</f>
        <v/>
      </c>
      <c r="J94" s="23">
        <f>IFERROR($I94/($B94-$C94),"")</f>
        <v/>
      </c>
      <c r="K94" s="18">
        <f>SUMIFS('LANÇAMENTOS'!$V$6:$V$2005,'LANÇAMENTOS'!$E$6:$E$2005,"Entrada",'LANÇAMENTOS'!$D$6:$D$2005,"&gt;="&amp;DATE('CONFIGURAÇÕES'!$B$18,4,1),'LANÇAMENTOS'!$D$6:$D$2005,"&lt;="&amp;EOMONTH(DATE('CONFIGURAÇÕES'!$B$18,4,1),0))</f>
        <v/>
      </c>
      <c r="L94" s="18">
        <f>SUMIFS('LANÇAMENTOS'!$V$6:$V$2005,'LANÇAMENTOS'!$E$6:$E$2005,"Saída",'LANÇAMENTOS'!$D$6:$D$2005,"&gt;="&amp;DATE('CONFIGURAÇÕES'!$B$18,4,1),'LANÇAMENTOS'!$D$6:$D$2005,"&lt;="&amp;EOMONTH(DATE('CONFIGURAÇÕES'!$B$18,4,1),0))</f>
        <v/>
      </c>
      <c r="M94" s="18">
        <f>SUM('CONTAS BANCÁRIAS'!$G$6:$G$13)+SUM($K$91:$K94)-SUM($L$91:$L94)</f>
        <v/>
      </c>
      <c r="N94" s="18">
        <f>'ORÇAMENTO X REALIZADO'!E49</f>
        <v/>
      </c>
      <c r="O94" s="18">
        <f>'ORÇAMENTO X REALIZADO'!E50</f>
        <v/>
      </c>
      <c r="P94" s="23">
        <f>IFERROR($O94/$N94,"")</f>
        <v/>
      </c>
    </row>
    <row r="95">
      <c r="A95" s="9">
        <f>IF('CONFIGURAÇÕES'!$B$19=5,"▶ Maio","Maio")</f>
        <v/>
      </c>
      <c r="B95" s="18">
        <f>SUMIFS('LANÇAMENTOS'!$AE$6:$AE$2005,'LANÇAMENTOS'!$AF$6:$AF$2005,"Faturamento Bruto",'LANÇAMENTOS'!$AA$6:$AA$2005,'CONFIGURAÇÕES'!$B$18,'LANÇAMENTOS'!$Z$6:$Z$2005,5)</f>
        <v/>
      </c>
      <c r="C95" s="18">
        <f>SUMIFS('LANÇAMENTOS'!$AE$6:$AE$2005,'LANÇAMENTOS'!$AF$6:$AF$2005,"Impostos sobre Vendas",'LANÇAMENTOS'!$AA$6:$AA$2005,'CONFIGURAÇÕES'!$B$18,'LANÇAMENTOS'!$Z$6:$Z$2005,5)+SUMIFS('LANÇAMENTOS'!$AE$6:$AE$2005,'LANÇAMENTOS'!$AF$6:$AF$2005,"Devoluções",'LANÇAMENTOS'!$AA$6:$AA$2005,'CONFIGURAÇÕES'!$B$18,'LANÇAMENTOS'!$Z$6:$Z$2005,5)</f>
        <v/>
      </c>
      <c r="D95" s="18">
        <f>SUMIFS('LANÇAMENTOS'!$AE$6:$AE$2005,'LANÇAMENTOS'!$AF$6:$AF$2005,"Custos Variáveis",'LANÇAMENTOS'!$AA$6:$AA$2005,'CONFIGURAÇÕES'!$B$18,'LANÇAMENTOS'!$Z$6:$Z$2005,5)</f>
        <v/>
      </c>
      <c r="E95" s="18">
        <f>SUMIFS('LANÇAMENTOS'!$AE$6:$AE$2005,'LANÇAMENTOS'!$AF$6:$AF$2005,"Despesas Fixas",'LANÇAMENTOS'!$AA$6:$AA$2005,'CONFIGURAÇÕES'!$B$18,'LANÇAMENTOS'!$Z$6:$Z$2005,5)</f>
        <v/>
      </c>
      <c r="F95" s="18">
        <f>SUMIFS('LANÇAMENTOS'!$AE$6:$AE$2005,'LANÇAMENTOS'!$AF$6:$AF$2005,"Despesas Financeiras",'LANÇAMENTOS'!$AA$6:$AA$2005,'CONFIGURAÇÕES'!$B$18,'LANÇAMENTOS'!$Z$6:$Z$2005,5)</f>
        <v/>
      </c>
      <c r="G95" s="18">
        <f>SUMIFS('LANÇAMENTOS'!$AE$6:$AE$2005,'LANÇAMENTOS'!$AF$6:$AF$2005,"Receitas Financeiras",'LANÇAMENTOS'!$AA$6:$AA$2005,'CONFIGURAÇÕES'!$B$18,'LANÇAMENTOS'!$Z$6:$Z$2005,5)+SUMIFS('LANÇAMENTOS'!$AE$6:$AE$2005,'LANÇAMENTOS'!$AF$6:$AF$2005,"Outras Receitas Operacionais",'LANÇAMENTOS'!$AA$6:$AA$2005,'CONFIGURAÇÕES'!$B$18,'LANÇAMENTOS'!$Z$6:$Z$2005,5)</f>
        <v/>
      </c>
      <c r="H95" s="23">
        <f>IFERROR(($B95-$C95-$D95)/($B95-$C95),"")</f>
        <v/>
      </c>
      <c r="I95" s="18">
        <f>$B95-$C95-$D95-$E95-$F95+$G95-SUMIFS('LANÇAMENTOS'!$AE$6:$AE$2005,'LANÇAMENTOS'!$AF$6:$AF$2005,"Impostos sobre o Resultado",'LANÇAMENTOS'!$AA$6:$AA$2005,'CONFIGURAÇÕES'!$B$18,'LANÇAMENTOS'!$Z$6:$Z$2005,5)</f>
        <v/>
      </c>
      <c r="J95" s="23">
        <f>IFERROR($I95/($B95-$C95),"")</f>
        <v/>
      </c>
      <c r="K95" s="18">
        <f>SUMIFS('LANÇAMENTOS'!$V$6:$V$2005,'LANÇAMENTOS'!$E$6:$E$2005,"Entrada",'LANÇAMENTOS'!$D$6:$D$2005,"&gt;="&amp;DATE('CONFIGURAÇÕES'!$B$18,5,1),'LANÇAMENTOS'!$D$6:$D$2005,"&lt;="&amp;EOMONTH(DATE('CONFIGURAÇÕES'!$B$18,5,1),0))</f>
        <v/>
      </c>
      <c r="L95" s="18">
        <f>SUMIFS('LANÇAMENTOS'!$V$6:$V$2005,'LANÇAMENTOS'!$E$6:$E$2005,"Saída",'LANÇAMENTOS'!$D$6:$D$2005,"&gt;="&amp;DATE('CONFIGURAÇÕES'!$B$18,5,1),'LANÇAMENTOS'!$D$6:$D$2005,"&lt;="&amp;EOMONTH(DATE('CONFIGURAÇÕES'!$B$18,5,1),0))</f>
        <v/>
      </c>
      <c r="M95" s="18">
        <f>SUM('CONTAS BANCÁRIAS'!$G$6:$G$13)+SUM($K$91:$K95)-SUM($L$91:$L95)</f>
        <v/>
      </c>
      <c r="N95" s="18">
        <f>'ORÇAMENTO X REALIZADO'!F49</f>
        <v/>
      </c>
      <c r="O95" s="18">
        <f>'ORÇAMENTO X REALIZADO'!F50</f>
        <v/>
      </c>
      <c r="P95" s="23">
        <f>IFERROR($O95/$N95,"")</f>
        <v/>
      </c>
    </row>
    <row r="96">
      <c r="A96" s="9">
        <f>IF('CONFIGURAÇÕES'!$B$19=6,"▶ Junho","Junho")</f>
        <v/>
      </c>
      <c r="B96" s="18">
        <f>SUMIFS('LANÇAMENTOS'!$AE$6:$AE$2005,'LANÇAMENTOS'!$AF$6:$AF$2005,"Faturamento Bruto",'LANÇAMENTOS'!$AA$6:$AA$2005,'CONFIGURAÇÕES'!$B$18,'LANÇAMENTOS'!$Z$6:$Z$2005,6)</f>
        <v/>
      </c>
      <c r="C96" s="18">
        <f>SUMIFS('LANÇAMENTOS'!$AE$6:$AE$2005,'LANÇAMENTOS'!$AF$6:$AF$2005,"Impostos sobre Vendas",'LANÇAMENTOS'!$AA$6:$AA$2005,'CONFIGURAÇÕES'!$B$18,'LANÇAMENTOS'!$Z$6:$Z$2005,6)+SUMIFS('LANÇAMENTOS'!$AE$6:$AE$2005,'LANÇAMENTOS'!$AF$6:$AF$2005,"Devoluções",'LANÇAMENTOS'!$AA$6:$AA$2005,'CONFIGURAÇÕES'!$B$18,'LANÇAMENTOS'!$Z$6:$Z$2005,6)</f>
        <v/>
      </c>
      <c r="D96" s="18">
        <f>SUMIFS('LANÇAMENTOS'!$AE$6:$AE$2005,'LANÇAMENTOS'!$AF$6:$AF$2005,"Custos Variáveis",'LANÇAMENTOS'!$AA$6:$AA$2005,'CONFIGURAÇÕES'!$B$18,'LANÇAMENTOS'!$Z$6:$Z$2005,6)</f>
        <v/>
      </c>
      <c r="E96" s="18">
        <f>SUMIFS('LANÇAMENTOS'!$AE$6:$AE$2005,'LANÇAMENTOS'!$AF$6:$AF$2005,"Despesas Fixas",'LANÇAMENTOS'!$AA$6:$AA$2005,'CONFIGURAÇÕES'!$B$18,'LANÇAMENTOS'!$Z$6:$Z$2005,6)</f>
        <v/>
      </c>
      <c r="F96" s="18">
        <f>SUMIFS('LANÇAMENTOS'!$AE$6:$AE$2005,'LANÇAMENTOS'!$AF$6:$AF$2005,"Despesas Financeiras",'LANÇAMENTOS'!$AA$6:$AA$2005,'CONFIGURAÇÕES'!$B$18,'LANÇAMENTOS'!$Z$6:$Z$2005,6)</f>
        <v/>
      </c>
      <c r="G96" s="18">
        <f>SUMIFS('LANÇAMENTOS'!$AE$6:$AE$2005,'LANÇAMENTOS'!$AF$6:$AF$2005,"Receitas Financeiras",'LANÇAMENTOS'!$AA$6:$AA$2005,'CONFIGURAÇÕES'!$B$18,'LANÇAMENTOS'!$Z$6:$Z$2005,6)+SUMIFS('LANÇAMENTOS'!$AE$6:$AE$2005,'LANÇAMENTOS'!$AF$6:$AF$2005,"Outras Receitas Operacionais",'LANÇAMENTOS'!$AA$6:$AA$2005,'CONFIGURAÇÕES'!$B$18,'LANÇAMENTOS'!$Z$6:$Z$2005,6)</f>
        <v/>
      </c>
      <c r="H96" s="23">
        <f>IFERROR(($B96-$C96-$D96)/($B96-$C96),"")</f>
        <v/>
      </c>
      <c r="I96" s="18">
        <f>$B96-$C96-$D96-$E96-$F96+$G96-SUMIFS('LANÇAMENTOS'!$AE$6:$AE$2005,'LANÇAMENTOS'!$AF$6:$AF$2005,"Impostos sobre o Resultado",'LANÇAMENTOS'!$AA$6:$AA$2005,'CONFIGURAÇÕES'!$B$18,'LANÇAMENTOS'!$Z$6:$Z$2005,6)</f>
        <v/>
      </c>
      <c r="J96" s="23">
        <f>IFERROR($I96/($B96-$C96),"")</f>
        <v/>
      </c>
      <c r="K96" s="18">
        <f>SUMIFS('LANÇAMENTOS'!$V$6:$V$2005,'LANÇAMENTOS'!$E$6:$E$2005,"Entrada",'LANÇAMENTOS'!$D$6:$D$2005,"&gt;="&amp;DATE('CONFIGURAÇÕES'!$B$18,6,1),'LANÇAMENTOS'!$D$6:$D$2005,"&lt;="&amp;EOMONTH(DATE('CONFIGURAÇÕES'!$B$18,6,1),0))</f>
        <v/>
      </c>
      <c r="L96" s="18">
        <f>SUMIFS('LANÇAMENTOS'!$V$6:$V$2005,'LANÇAMENTOS'!$E$6:$E$2005,"Saída",'LANÇAMENTOS'!$D$6:$D$2005,"&gt;="&amp;DATE('CONFIGURAÇÕES'!$B$18,6,1),'LANÇAMENTOS'!$D$6:$D$2005,"&lt;="&amp;EOMONTH(DATE('CONFIGURAÇÕES'!$B$18,6,1),0))</f>
        <v/>
      </c>
      <c r="M96" s="18">
        <f>SUM('CONTAS BANCÁRIAS'!$G$6:$G$13)+SUM($K$91:$K96)-SUM($L$91:$L96)</f>
        <v/>
      </c>
      <c r="N96" s="18">
        <f>'ORÇAMENTO X REALIZADO'!G49</f>
        <v/>
      </c>
      <c r="O96" s="18">
        <f>'ORÇAMENTO X REALIZADO'!G50</f>
        <v/>
      </c>
      <c r="P96" s="23">
        <f>IFERROR($O96/$N96,"")</f>
        <v/>
      </c>
    </row>
    <row r="97">
      <c r="A97" s="9">
        <f>IF('CONFIGURAÇÕES'!$B$19=7,"▶ Julho","Julho")</f>
        <v/>
      </c>
      <c r="B97" s="18">
        <f>SUMIFS('LANÇAMENTOS'!$AE$6:$AE$2005,'LANÇAMENTOS'!$AF$6:$AF$2005,"Faturamento Bruto",'LANÇAMENTOS'!$AA$6:$AA$2005,'CONFIGURAÇÕES'!$B$18,'LANÇAMENTOS'!$Z$6:$Z$2005,7)</f>
        <v/>
      </c>
      <c r="C97" s="18">
        <f>SUMIFS('LANÇAMENTOS'!$AE$6:$AE$2005,'LANÇAMENTOS'!$AF$6:$AF$2005,"Impostos sobre Vendas",'LANÇAMENTOS'!$AA$6:$AA$2005,'CONFIGURAÇÕES'!$B$18,'LANÇAMENTOS'!$Z$6:$Z$2005,7)+SUMIFS('LANÇAMENTOS'!$AE$6:$AE$2005,'LANÇAMENTOS'!$AF$6:$AF$2005,"Devoluções",'LANÇAMENTOS'!$AA$6:$AA$2005,'CONFIGURAÇÕES'!$B$18,'LANÇAMENTOS'!$Z$6:$Z$2005,7)</f>
        <v/>
      </c>
      <c r="D97" s="18">
        <f>SUMIFS('LANÇAMENTOS'!$AE$6:$AE$2005,'LANÇAMENTOS'!$AF$6:$AF$2005,"Custos Variáveis",'LANÇAMENTOS'!$AA$6:$AA$2005,'CONFIGURAÇÕES'!$B$18,'LANÇAMENTOS'!$Z$6:$Z$2005,7)</f>
        <v/>
      </c>
      <c r="E97" s="18">
        <f>SUMIFS('LANÇAMENTOS'!$AE$6:$AE$2005,'LANÇAMENTOS'!$AF$6:$AF$2005,"Despesas Fixas",'LANÇAMENTOS'!$AA$6:$AA$2005,'CONFIGURAÇÕES'!$B$18,'LANÇAMENTOS'!$Z$6:$Z$2005,7)</f>
        <v/>
      </c>
      <c r="F97" s="18">
        <f>SUMIFS('LANÇAMENTOS'!$AE$6:$AE$2005,'LANÇAMENTOS'!$AF$6:$AF$2005,"Despesas Financeiras",'LANÇAMENTOS'!$AA$6:$AA$2005,'CONFIGURAÇÕES'!$B$18,'LANÇAMENTOS'!$Z$6:$Z$2005,7)</f>
        <v/>
      </c>
      <c r="G97" s="18">
        <f>SUMIFS('LANÇAMENTOS'!$AE$6:$AE$2005,'LANÇAMENTOS'!$AF$6:$AF$2005,"Receitas Financeiras",'LANÇAMENTOS'!$AA$6:$AA$2005,'CONFIGURAÇÕES'!$B$18,'LANÇAMENTOS'!$Z$6:$Z$2005,7)+SUMIFS('LANÇAMENTOS'!$AE$6:$AE$2005,'LANÇAMENTOS'!$AF$6:$AF$2005,"Outras Receitas Operacionais",'LANÇAMENTOS'!$AA$6:$AA$2005,'CONFIGURAÇÕES'!$B$18,'LANÇAMENTOS'!$Z$6:$Z$2005,7)</f>
        <v/>
      </c>
      <c r="H97" s="23">
        <f>IFERROR(($B97-$C97-$D97)/($B97-$C97),"")</f>
        <v/>
      </c>
      <c r="I97" s="18">
        <f>$B97-$C97-$D97-$E97-$F97+$G97-SUMIFS('LANÇAMENTOS'!$AE$6:$AE$2005,'LANÇAMENTOS'!$AF$6:$AF$2005,"Impostos sobre o Resultado",'LANÇAMENTOS'!$AA$6:$AA$2005,'CONFIGURAÇÕES'!$B$18,'LANÇAMENTOS'!$Z$6:$Z$2005,7)</f>
        <v/>
      </c>
      <c r="J97" s="23">
        <f>IFERROR($I97/($B97-$C97),"")</f>
        <v/>
      </c>
      <c r="K97" s="18">
        <f>SUMIFS('LANÇAMENTOS'!$V$6:$V$2005,'LANÇAMENTOS'!$E$6:$E$2005,"Entrada",'LANÇAMENTOS'!$D$6:$D$2005,"&gt;="&amp;DATE('CONFIGURAÇÕES'!$B$18,7,1),'LANÇAMENTOS'!$D$6:$D$2005,"&lt;="&amp;EOMONTH(DATE('CONFIGURAÇÕES'!$B$18,7,1),0))</f>
        <v/>
      </c>
      <c r="L97" s="18">
        <f>SUMIFS('LANÇAMENTOS'!$V$6:$V$2005,'LANÇAMENTOS'!$E$6:$E$2005,"Saída",'LANÇAMENTOS'!$D$6:$D$2005,"&gt;="&amp;DATE('CONFIGURAÇÕES'!$B$18,7,1),'LANÇAMENTOS'!$D$6:$D$2005,"&lt;="&amp;EOMONTH(DATE('CONFIGURAÇÕES'!$B$18,7,1),0))</f>
        <v/>
      </c>
      <c r="M97" s="18">
        <f>SUM('CONTAS BANCÁRIAS'!$G$6:$G$13)+SUM($K$91:$K97)-SUM($L$91:$L97)</f>
        <v/>
      </c>
      <c r="N97" s="18">
        <f>'ORÇAMENTO X REALIZADO'!H49</f>
        <v/>
      </c>
      <c r="O97" s="18">
        <f>'ORÇAMENTO X REALIZADO'!H50</f>
        <v/>
      </c>
      <c r="P97" s="23">
        <f>IFERROR($O97/$N97,"")</f>
        <v/>
      </c>
    </row>
    <row r="98">
      <c r="A98" s="9">
        <f>IF('CONFIGURAÇÕES'!$B$19=8,"▶ Agosto","Agosto")</f>
        <v/>
      </c>
      <c r="B98" s="18">
        <f>SUMIFS('LANÇAMENTOS'!$AE$6:$AE$2005,'LANÇAMENTOS'!$AF$6:$AF$2005,"Faturamento Bruto",'LANÇAMENTOS'!$AA$6:$AA$2005,'CONFIGURAÇÕES'!$B$18,'LANÇAMENTOS'!$Z$6:$Z$2005,8)</f>
        <v/>
      </c>
      <c r="C98" s="18">
        <f>SUMIFS('LANÇAMENTOS'!$AE$6:$AE$2005,'LANÇAMENTOS'!$AF$6:$AF$2005,"Impostos sobre Vendas",'LANÇAMENTOS'!$AA$6:$AA$2005,'CONFIGURAÇÕES'!$B$18,'LANÇAMENTOS'!$Z$6:$Z$2005,8)+SUMIFS('LANÇAMENTOS'!$AE$6:$AE$2005,'LANÇAMENTOS'!$AF$6:$AF$2005,"Devoluções",'LANÇAMENTOS'!$AA$6:$AA$2005,'CONFIGURAÇÕES'!$B$18,'LANÇAMENTOS'!$Z$6:$Z$2005,8)</f>
        <v/>
      </c>
      <c r="D98" s="18">
        <f>SUMIFS('LANÇAMENTOS'!$AE$6:$AE$2005,'LANÇAMENTOS'!$AF$6:$AF$2005,"Custos Variáveis",'LANÇAMENTOS'!$AA$6:$AA$2005,'CONFIGURAÇÕES'!$B$18,'LANÇAMENTOS'!$Z$6:$Z$2005,8)</f>
        <v/>
      </c>
      <c r="E98" s="18">
        <f>SUMIFS('LANÇAMENTOS'!$AE$6:$AE$2005,'LANÇAMENTOS'!$AF$6:$AF$2005,"Despesas Fixas",'LANÇAMENTOS'!$AA$6:$AA$2005,'CONFIGURAÇÕES'!$B$18,'LANÇAMENTOS'!$Z$6:$Z$2005,8)</f>
        <v/>
      </c>
      <c r="F98" s="18">
        <f>SUMIFS('LANÇAMENTOS'!$AE$6:$AE$2005,'LANÇAMENTOS'!$AF$6:$AF$2005,"Despesas Financeiras",'LANÇAMENTOS'!$AA$6:$AA$2005,'CONFIGURAÇÕES'!$B$18,'LANÇAMENTOS'!$Z$6:$Z$2005,8)</f>
        <v/>
      </c>
      <c r="G98" s="18">
        <f>SUMIFS('LANÇAMENTOS'!$AE$6:$AE$2005,'LANÇAMENTOS'!$AF$6:$AF$2005,"Receitas Financeiras",'LANÇAMENTOS'!$AA$6:$AA$2005,'CONFIGURAÇÕES'!$B$18,'LANÇAMENTOS'!$Z$6:$Z$2005,8)+SUMIFS('LANÇAMENTOS'!$AE$6:$AE$2005,'LANÇAMENTOS'!$AF$6:$AF$2005,"Outras Receitas Operacionais",'LANÇAMENTOS'!$AA$6:$AA$2005,'CONFIGURAÇÕES'!$B$18,'LANÇAMENTOS'!$Z$6:$Z$2005,8)</f>
        <v/>
      </c>
      <c r="H98" s="23">
        <f>IFERROR(($B98-$C98-$D98)/($B98-$C98),"")</f>
        <v/>
      </c>
      <c r="I98" s="18">
        <f>$B98-$C98-$D98-$E98-$F98+$G98-SUMIFS('LANÇAMENTOS'!$AE$6:$AE$2005,'LANÇAMENTOS'!$AF$6:$AF$2005,"Impostos sobre o Resultado",'LANÇAMENTOS'!$AA$6:$AA$2005,'CONFIGURAÇÕES'!$B$18,'LANÇAMENTOS'!$Z$6:$Z$2005,8)</f>
        <v/>
      </c>
      <c r="J98" s="23">
        <f>IFERROR($I98/($B98-$C98),"")</f>
        <v/>
      </c>
      <c r="K98" s="18">
        <f>SUMIFS('LANÇAMENTOS'!$V$6:$V$2005,'LANÇAMENTOS'!$E$6:$E$2005,"Entrada",'LANÇAMENTOS'!$D$6:$D$2005,"&gt;="&amp;DATE('CONFIGURAÇÕES'!$B$18,8,1),'LANÇAMENTOS'!$D$6:$D$2005,"&lt;="&amp;EOMONTH(DATE('CONFIGURAÇÕES'!$B$18,8,1),0))</f>
        <v/>
      </c>
      <c r="L98" s="18">
        <f>SUMIFS('LANÇAMENTOS'!$V$6:$V$2005,'LANÇAMENTOS'!$E$6:$E$2005,"Saída",'LANÇAMENTOS'!$D$6:$D$2005,"&gt;="&amp;DATE('CONFIGURAÇÕES'!$B$18,8,1),'LANÇAMENTOS'!$D$6:$D$2005,"&lt;="&amp;EOMONTH(DATE('CONFIGURAÇÕES'!$B$18,8,1),0))</f>
        <v/>
      </c>
      <c r="M98" s="18">
        <f>SUM('CONTAS BANCÁRIAS'!$G$6:$G$13)+SUM($K$91:$K98)-SUM($L$91:$L98)</f>
        <v/>
      </c>
      <c r="N98" s="18">
        <f>'ORÇAMENTO X REALIZADO'!I49</f>
        <v/>
      </c>
      <c r="O98" s="18">
        <f>'ORÇAMENTO X REALIZADO'!I50</f>
        <v/>
      </c>
      <c r="P98" s="23">
        <f>IFERROR($O98/$N98,"")</f>
        <v/>
      </c>
    </row>
    <row r="99">
      <c r="A99" s="9">
        <f>IF('CONFIGURAÇÕES'!$B$19=9,"▶ Setembro","Setembro")</f>
        <v/>
      </c>
      <c r="B99" s="18">
        <f>SUMIFS('LANÇAMENTOS'!$AE$6:$AE$2005,'LANÇAMENTOS'!$AF$6:$AF$2005,"Faturamento Bruto",'LANÇAMENTOS'!$AA$6:$AA$2005,'CONFIGURAÇÕES'!$B$18,'LANÇAMENTOS'!$Z$6:$Z$2005,9)</f>
        <v/>
      </c>
      <c r="C99" s="18">
        <f>SUMIFS('LANÇAMENTOS'!$AE$6:$AE$2005,'LANÇAMENTOS'!$AF$6:$AF$2005,"Impostos sobre Vendas",'LANÇAMENTOS'!$AA$6:$AA$2005,'CONFIGURAÇÕES'!$B$18,'LANÇAMENTOS'!$Z$6:$Z$2005,9)+SUMIFS('LANÇAMENTOS'!$AE$6:$AE$2005,'LANÇAMENTOS'!$AF$6:$AF$2005,"Devoluções",'LANÇAMENTOS'!$AA$6:$AA$2005,'CONFIGURAÇÕES'!$B$18,'LANÇAMENTOS'!$Z$6:$Z$2005,9)</f>
        <v/>
      </c>
      <c r="D99" s="18">
        <f>SUMIFS('LANÇAMENTOS'!$AE$6:$AE$2005,'LANÇAMENTOS'!$AF$6:$AF$2005,"Custos Variáveis",'LANÇAMENTOS'!$AA$6:$AA$2005,'CONFIGURAÇÕES'!$B$18,'LANÇAMENTOS'!$Z$6:$Z$2005,9)</f>
        <v/>
      </c>
      <c r="E99" s="18">
        <f>SUMIFS('LANÇAMENTOS'!$AE$6:$AE$2005,'LANÇAMENTOS'!$AF$6:$AF$2005,"Despesas Fixas",'LANÇAMENTOS'!$AA$6:$AA$2005,'CONFIGURAÇÕES'!$B$18,'LANÇAMENTOS'!$Z$6:$Z$2005,9)</f>
        <v/>
      </c>
      <c r="F99" s="18">
        <f>SUMIFS('LANÇAMENTOS'!$AE$6:$AE$2005,'LANÇAMENTOS'!$AF$6:$AF$2005,"Despesas Financeiras",'LANÇAMENTOS'!$AA$6:$AA$2005,'CONFIGURAÇÕES'!$B$18,'LANÇAMENTOS'!$Z$6:$Z$2005,9)</f>
        <v/>
      </c>
      <c r="G99" s="18">
        <f>SUMIFS('LANÇAMENTOS'!$AE$6:$AE$2005,'LANÇAMENTOS'!$AF$6:$AF$2005,"Receitas Financeiras",'LANÇAMENTOS'!$AA$6:$AA$2005,'CONFIGURAÇÕES'!$B$18,'LANÇAMENTOS'!$Z$6:$Z$2005,9)+SUMIFS('LANÇAMENTOS'!$AE$6:$AE$2005,'LANÇAMENTOS'!$AF$6:$AF$2005,"Outras Receitas Operacionais",'LANÇAMENTOS'!$AA$6:$AA$2005,'CONFIGURAÇÕES'!$B$18,'LANÇAMENTOS'!$Z$6:$Z$2005,9)</f>
        <v/>
      </c>
      <c r="H99" s="23">
        <f>IFERROR(($B99-$C99-$D99)/($B99-$C99),"")</f>
        <v/>
      </c>
      <c r="I99" s="18">
        <f>$B99-$C99-$D99-$E99-$F99+$G99-SUMIFS('LANÇAMENTOS'!$AE$6:$AE$2005,'LANÇAMENTOS'!$AF$6:$AF$2005,"Impostos sobre o Resultado",'LANÇAMENTOS'!$AA$6:$AA$2005,'CONFIGURAÇÕES'!$B$18,'LANÇAMENTOS'!$Z$6:$Z$2005,9)</f>
        <v/>
      </c>
      <c r="J99" s="23">
        <f>IFERROR($I99/($B99-$C99),"")</f>
        <v/>
      </c>
      <c r="K99" s="18">
        <f>SUMIFS('LANÇAMENTOS'!$V$6:$V$2005,'LANÇAMENTOS'!$E$6:$E$2005,"Entrada",'LANÇAMENTOS'!$D$6:$D$2005,"&gt;="&amp;DATE('CONFIGURAÇÕES'!$B$18,9,1),'LANÇAMENTOS'!$D$6:$D$2005,"&lt;="&amp;EOMONTH(DATE('CONFIGURAÇÕES'!$B$18,9,1),0))</f>
        <v/>
      </c>
      <c r="L99" s="18">
        <f>SUMIFS('LANÇAMENTOS'!$V$6:$V$2005,'LANÇAMENTOS'!$E$6:$E$2005,"Saída",'LANÇAMENTOS'!$D$6:$D$2005,"&gt;="&amp;DATE('CONFIGURAÇÕES'!$B$18,9,1),'LANÇAMENTOS'!$D$6:$D$2005,"&lt;="&amp;EOMONTH(DATE('CONFIGURAÇÕES'!$B$18,9,1),0))</f>
        <v/>
      </c>
      <c r="M99" s="18">
        <f>SUM('CONTAS BANCÁRIAS'!$G$6:$G$13)+SUM($K$91:$K99)-SUM($L$91:$L99)</f>
        <v/>
      </c>
      <c r="N99" s="18">
        <f>'ORÇAMENTO X REALIZADO'!J49</f>
        <v/>
      </c>
      <c r="O99" s="18">
        <f>'ORÇAMENTO X REALIZADO'!J50</f>
        <v/>
      </c>
      <c r="P99" s="23">
        <f>IFERROR($O99/$N99,"")</f>
        <v/>
      </c>
    </row>
    <row r="100">
      <c r="A100" s="9">
        <f>IF('CONFIGURAÇÕES'!$B$19=10,"▶ Outubro","Outubro")</f>
        <v/>
      </c>
      <c r="B100" s="18">
        <f>SUMIFS('LANÇAMENTOS'!$AE$6:$AE$2005,'LANÇAMENTOS'!$AF$6:$AF$2005,"Faturamento Bruto",'LANÇAMENTOS'!$AA$6:$AA$2005,'CONFIGURAÇÕES'!$B$18,'LANÇAMENTOS'!$Z$6:$Z$2005,10)</f>
        <v/>
      </c>
      <c r="C100" s="18">
        <f>SUMIFS('LANÇAMENTOS'!$AE$6:$AE$2005,'LANÇAMENTOS'!$AF$6:$AF$2005,"Impostos sobre Vendas",'LANÇAMENTOS'!$AA$6:$AA$2005,'CONFIGURAÇÕES'!$B$18,'LANÇAMENTOS'!$Z$6:$Z$2005,10)+SUMIFS('LANÇAMENTOS'!$AE$6:$AE$2005,'LANÇAMENTOS'!$AF$6:$AF$2005,"Devoluções",'LANÇAMENTOS'!$AA$6:$AA$2005,'CONFIGURAÇÕES'!$B$18,'LANÇAMENTOS'!$Z$6:$Z$2005,10)</f>
        <v/>
      </c>
      <c r="D100" s="18">
        <f>SUMIFS('LANÇAMENTOS'!$AE$6:$AE$2005,'LANÇAMENTOS'!$AF$6:$AF$2005,"Custos Variáveis",'LANÇAMENTOS'!$AA$6:$AA$2005,'CONFIGURAÇÕES'!$B$18,'LANÇAMENTOS'!$Z$6:$Z$2005,10)</f>
        <v/>
      </c>
      <c r="E100" s="18">
        <f>SUMIFS('LANÇAMENTOS'!$AE$6:$AE$2005,'LANÇAMENTOS'!$AF$6:$AF$2005,"Despesas Fixas",'LANÇAMENTOS'!$AA$6:$AA$2005,'CONFIGURAÇÕES'!$B$18,'LANÇAMENTOS'!$Z$6:$Z$2005,10)</f>
        <v/>
      </c>
      <c r="F100" s="18">
        <f>SUMIFS('LANÇAMENTOS'!$AE$6:$AE$2005,'LANÇAMENTOS'!$AF$6:$AF$2005,"Despesas Financeiras",'LANÇAMENTOS'!$AA$6:$AA$2005,'CONFIGURAÇÕES'!$B$18,'LANÇAMENTOS'!$Z$6:$Z$2005,10)</f>
        <v/>
      </c>
      <c r="G100" s="18">
        <f>SUMIFS('LANÇAMENTOS'!$AE$6:$AE$2005,'LANÇAMENTOS'!$AF$6:$AF$2005,"Receitas Financeiras",'LANÇAMENTOS'!$AA$6:$AA$2005,'CONFIGURAÇÕES'!$B$18,'LANÇAMENTOS'!$Z$6:$Z$2005,10)+SUMIFS('LANÇAMENTOS'!$AE$6:$AE$2005,'LANÇAMENTOS'!$AF$6:$AF$2005,"Outras Receitas Operacionais",'LANÇAMENTOS'!$AA$6:$AA$2005,'CONFIGURAÇÕES'!$B$18,'LANÇAMENTOS'!$Z$6:$Z$2005,10)</f>
        <v/>
      </c>
      <c r="H100" s="23">
        <f>IFERROR(($B100-$C100-$D100)/($B100-$C100),"")</f>
        <v/>
      </c>
      <c r="I100" s="18">
        <f>$B100-$C100-$D100-$E100-$F100+$G100-SUMIFS('LANÇAMENTOS'!$AE$6:$AE$2005,'LANÇAMENTOS'!$AF$6:$AF$2005,"Impostos sobre o Resultado",'LANÇAMENTOS'!$AA$6:$AA$2005,'CONFIGURAÇÕES'!$B$18,'LANÇAMENTOS'!$Z$6:$Z$2005,10)</f>
        <v/>
      </c>
      <c r="J100" s="23">
        <f>IFERROR($I100/($B100-$C100),"")</f>
        <v/>
      </c>
      <c r="K100" s="18">
        <f>SUMIFS('LANÇAMENTOS'!$V$6:$V$2005,'LANÇAMENTOS'!$E$6:$E$2005,"Entrada",'LANÇAMENTOS'!$D$6:$D$2005,"&gt;="&amp;DATE('CONFIGURAÇÕES'!$B$18,10,1),'LANÇAMENTOS'!$D$6:$D$2005,"&lt;="&amp;EOMONTH(DATE('CONFIGURAÇÕES'!$B$18,10,1),0))</f>
        <v/>
      </c>
      <c r="L100" s="18">
        <f>SUMIFS('LANÇAMENTOS'!$V$6:$V$2005,'LANÇAMENTOS'!$E$6:$E$2005,"Saída",'LANÇAMENTOS'!$D$6:$D$2005,"&gt;="&amp;DATE('CONFIGURAÇÕES'!$B$18,10,1),'LANÇAMENTOS'!$D$6:$D$2005,"&lt;="&amp;EOMONTH(DATE('CONFIGURAÇÕES'!$B$18,10,1),0))</f>
        <v/>
      </c>
      <c r="M100" s="18">
        <f>SUM('CONTAS BANCÁRIAS'!$G$6:$G$13)+SUM($K$91:$K100)-SUM($L$91:$L100)</f>
        <v/>
      </c>
      <c r="N100" s="18">
        <f>'ORÇAMENTO X REALIZADO'!K49</f>
        <v/>
      </c>
      <c r="O100" s="18">
        <f>'ORÇAMENTO X REALIZADO'!K50</f>
        <v/>
      </c>
      <c r="P100" s="23">
        <f>IFERROR($O100/$N100,"")</f>
        <v/>
      </c>
    </row>
    <row r="101">
      <c r="A101" s="9">
        <f>IF('CONFIGURAÇÕES'!$B$19=11,"▶ Novembro","Novembro")</f>
        <v/>
      </c>
      <c r="B101" s="18">
        <f>SUMIFS('LANÇAMENTOS'!$AE$6:$AE$2005,'LANÇAMENTOS'!$AF$6:$AF$2005,"Faturamento Bruto",'LANÇAMENTOS'!$AA$6:$AA$2005,'CONFIGURAÇÕES'!$B$18,'LANÇAMENTOS'!$Z$6:$Z$2005,11)</f>
        <v/>
      </c>
      <c r="C101" s="18">
        <f>SUMIFS('LANÇAMENTOS'!$AE$6:$AE$2005,'LANÇAMENTOS'!$AF$6:$AF$2005,"Impostos sobre Vendas",'LANÇAMENTOS'!$AA$6:$AA$2005,'CONFIGURAÇÕES'!$B$18,'LANÇAMENTOS'!$Z$6:$Z$2005,11)+SUMIFS('LANÇAMENTOS'!$AE$6:$AE$2005,'LANÇAMENTOS'!$AF$6:$AF$2005,"Devoluções",'LANÇAMENTOS'!$AA$6:$AA$2005,'CONFIGURAÇÕES'!$B$18,'LANÇAMENTOS'!$Z$6:$Z$2005,11)</f>
        <v/>
      </c>
      <c r="D101" s="18">
        <f>SUMIFS('LANÇAMENTOS'!$AE$6:$AE$2005,'LANÇAMENTOS'!$AF$6:$AF$2005,"Custos Variáveis",'LANÇAMENTOS'!$AA$6:$AA$2005,'CONFIGURAÇÕES'!$B$18,'LANÇAMENTOS'!$Z$6:$Z$2005,11)</f>
        <v/>
      </c>
      <c r="E101" s="18">
        <f>SUMIFS('LANÇAMENTOS'!$AE$6:$AE$2005,'LANÇAMENTOS'!$AF$6:$AF$2005,"Despesas Fixas",'LANÇAMENTOS'!$AA$6:$AA$2005,'CONFIGURAÇÕES'!$B$18,'LANÇAMENTOS'!$Z$6:$Z$2005,11)</f>
        <v/>
      </c>
      <c r="F101" s="18">
        <f>SUMIFS('LANÇAMENTOS'!$AE$6:$AE$2005,'LANÇAMENTOS'!$AF$6:$AF$2005,"Despesas Financeiras",'LANÇAMENTOS'!$AA$6:$AA$2005,'CONFIGURAÇÕES'!$B$18,'LANÇAMENTOS'!$Z$6:$Z$2005,11)</f>
        <v/>
      </c>
      <c r="G101" s="18">
        <f>SUMIFS('LANÇAMENTOS'!$AE$6:$AE$2005,'LANÇAMENTOS'!$AF$6:$AF$2005,"Receitas Financeiras",'LANÇAMENTOS'!$AA$6:$AA$2005,'CONFIGURAÇÕES'!$B$18,'LANÇAMENTOS'!$Z$6:$Z$2005,11)+SUMIFS('LANÇAMENTOS'!$AE$6:$AE$2005,'LANÇAMENTOS'!$AF$6:$AF$2005,"Outras Receitas Operacionais",'LANÇAMENTOS'!$AA$6:$AA$2005,'CONFIGURAÇÕES'!$B$18,'LANÇAMENTOS'!$Z$6:$Z$2005,11)</f>
        <v/>
      </c>
      <c r="H101" s="23">
        <f>IFERROR(($B101-$C101-$D101)/($B101-$C101),"")</f>
        <v/>
      </c>
      <c r="I101" s="18">
        <f>$B101-$C101-$D101-$E101-$F101+$G101-SUMIFS('LANÇAMENTOS'!$AE$6:$AE$2005,'LANÇAMENTOS'!$AF$6:$AF$2005,"Impostos sobre o Resultado",'LANÇAMENTOS'!$AA$6:$AA$2005,'CONFIGURAÇÕES'!$B$18,'LANÇAMENTOS'!$Z$6:$Z$2005,11)</f>
        <v/>
      </c>
      <c r="J101" s="23">
        <f>IFERROR($I101/($B101-$C101),"")</f>
        <v/>
      </c>
      <c r="K101" s="18">
        <f>SUMIFS('LANÇAMENTOS'!$V$6:$V$2005,'LANÇAMENTOS'!$E$6:$E$2005,"Entrada",'LANÇAMENTOS'!$D$6:$D$2005,"&gt;="&amp;DATE('CONFIGURAÇÕES'!$B$18,11,1),'LANÇAMENTOS'!$D$6:$D$2005,"&lt;="&amp;EOMONTH(DATE('CONFIGURAÇÕES'!$B$18,11,1),0))</f>
        <v/>
      </c>
      <c r="L101" s="18">
        <f>SUMIFS('LANÇAMENTOS'!$V$6:$V$2005,'LANÇAMENTOS'!$E$6:$E$2005,"Saída",'LANÇAMENTOS'!$D$6:$D$2005,"&gt;="&amp;DATE('CONFIGURAÇÕES'!$B$18,11,1),'LANÇAMENTOS'!$D$6:$D$2005,"&lt;="&amp;EOMONTH(DATE('CONFIGURAÇÕES'!$B$18,11,1),0))</f>
        <v/>
      </c>
      <c r="M101" s="18">
        <f>SUM('CONTAS BANCÁRIAS'!$G$6:$G$13)+SUM($K$91:$K101)-SUM($L$91:$L101)</f>
        <v/>
      </c>
      <c r="N101" s="18">
        <f>'ORÇAMENTO X REALIZADO'!L49</f>
        <v/>
      </c>
      <c r="O101" s="18">
        <f>'ORÇAMENTO X REALIZADO'!L50</f>
        <v/>
      </c>
      <c r="P101" s="23">
        <f>IFERROR($O101/$N101,"")</f>
        <v/>
      </c>
    </row>
    <row r="102">
      <c r="A102" s="37" t="inlineStr">
        <is>
          <t>TOTAL DO ANO</t>
        </is>
      </c>
      <c r="B102" s="38">
        <f>SUM(B91:B101)</f>
        <v/>
      </c>
      <c r="C102" s="38">
        <f>SUM(C91:C101)</f>
        <v/>
      </c>
      <c r="D102" s="38">
        <f>SUM(D91:D101)</f>
        <v/>
      </c>
      <c r="E102" s="38">
        <f>SUM(E91:E101)</f>
        <v/>
      </c>
      <c r="F102" s="38">
        <f>SUM(F91:F101)</f>
        <v/>
      </c>
      <c r="G102" s="38">
        <f>SUM(G91:G101)</f>
        <v/>
      </c>
      <c r="H102" s="39">
        <f>IFERROR(($B102-$C102-$D102)/($B102-$C102),"")</f>
        <v/>
      </c>
      <c r="I102" s="38">
        <f>SUM(I91:I101)</f>
        <v/>
      </c>
      <c r="J102" s="39">
        <f>IFERROR($I102/($B102-$C102),"")</f>
        <v/>
      </c>
      <c r="K102" s="38">
        <f>SUM(K91:K101)</f>
        <v/>
      </c>
      <c r="L102" s="38">
        <f>SUM(L91:L101)</f>
        <v/>
      </c>
      <c r="M102" s="38">
        <f>$M101</f>
        <v/>
      </c>
      <c r="N102" s="38">
        <f>SUM(N91:N101)</f>
        <v/>
      </c>
      <c r="O102" s="38">
        <f>SUM(O91:O101)</f>
        <v/>
      </c>
      <c r="P102" s="39">
        <f>IFERROR($O102/$N102,"")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1">
    <mergeCell ref="A39:E39"/>
    <mergeCell ref="A62:E62"/>
    <mergeCell ref="A2:E2"/>
    <mergeCell ref="A25:E25"/>
    <mergeCell ref="A76:E76"/>
    <mergeCell ref="A51:E51"/>
    <mergeCell ref="A1:E1"/>
    <mergeCell ref="A5:E5"/>
    <mergeCell ref="A89:E89"/>
    <mergeCell ref="A27:E27"/>
    <mergeCell ref="A3:E3"/>
  </mergeCells>
  <conditionalFormatting sqref="B7:B24">
    <cfRule type="expression" priority="1" dxfId="2" stopIfTrue="0">
      <formula>ISNUMBER(SEARCH("🔴",B7))</formula>
    </cfRule>
    <cfRule type="expression" priority="2" dxfId="3" stopIfTrue="0">
      <formula>ISNUMBER(SEARCH("🟡",B7))</formula>
    </cfRule>
    <cfRule type="expression" priority="3" dxfId="4" stopIfTrue="0">
      <formula>ISNUMBER(SEARCH("🟢",B7))</formula>
    </cfRule>
  </conditionalFormatting>
  <conditionalFormatting sqref="A7:A24">
    <cfRule type="expression" priority="4" dxfId="9">
      <formula>=$B7="🔴 Crítico"</formula>
    </cfRule>
    <cfRule type="expression" priority="5" dxfId="10">
      <formula>=$B7="🟡 Atenção"</formula>
    </cfRule>
  </conditionalFormatting>
  <conditionalFormatting sqref="D29:D36">
    <cfRule type="expression" priority="6" dxfId="2" stopIfTrue="0">
      <formula>ISNUMBER(SEARCH("🔴",D29))</formula>
    </cfRule>
    <cfRule type="expression" priority="7" dxfId="3" stopIfTrue="0">
      <formula>ISNUMBER(SEARCH("🟡",D29))</formula>
    </cfRule>
    <cfRule type="expression" priority="8" dxfId="4" stopIfTrue="0">
      <formula>ISNUMBER(SEARCH("🟢",D29))</formula>
    </cfRule>
  </conditionalFormatting>
  <conditionalFormatting sqref="D41:D48">
    <cfRule type="expression" priority="9" dxfId="2" stopIfTrue="0">
      <formula>ISNUMBER(SEARCH("🔴",D41))</formula>
    </cfRule>
    <cfRule type="expression" priority="10" dxfId="3" stopIfTrue="0">
      <formula>ISNUMBER(SEARCH("🟡",D41))</formula>
    </cfRule>
    <cfRule type="expression" priority="11" dxfId="4" stopIfTrue="0">
      <formula>ISNUMBER(SEARCH("🟢",D41))</formula>
    </cfRule>
  </conditionalFormatting>
  <conditionalFormatting sqref="D53:D59">
    <cfRule type="expression" priority="12" dxfId="2" stopIfTrue="0">
      <formula>ISNUMBER(SEARCH("🔴",D53))</formula>
    </cfRule>
    <cfRule type="expression" priority="13" dxfId="3" stopIfTrue="0">
      <formula>ISNUMBER(SEARCH("🟡",D53))</formula>
    </cfRule>
    <cfRule type="expression" priority="14" dxfId="4" stopIfTrue="0">
      <formula>ISNUMBER(SEARCH("🟢",D53))</formula>
    </cfRule>
  </conditionalFormatting>
  <conditionalFormatting sqref="D64:D73">
    <cfRule type="expression" priority="15" dxfId="2" stopIfTrue="0">
      <formula>ISNUMBER(SEARCH("🔴",D64))</formula>
    </cfRule>
    <cfRule type="expression" priority="16" dxfId="3" stopIfTrue="0">
      <formula>ISNUMBER(SEARCH("🟡",D64))</formula>
    </cfRule>
    <cfRule type="expression" priority="17" dxfId="4" stopIfTrue="0">
      <formula>ISNUMBER(SEARCH("🟢",D64))</formula>
    </cfRule>
  </conditionalFormatting>
  <conditionalFormatting sqref="D78:D86">
    <cfRule type="expression" priority="18" dxfId="2" stopIfTrue="0">
      <formula>ISNUMBER(SEARCH("🔴",D78))</formula>
    </cfRule>
    <cfRule type="expression" priority="19" dxfId="3" stopIfTrue="0">
      <formula>ISNUMBER(SEARCH("🟡",D78))</formula>
    </cfRule>
    <cfRule type="expression" priority="20" dxfId="4" stopIfTrue="0">
      <formula>ISNUMBER(SEARCH("🟢",D78))</formula>
    </cfRule>
  </conditionalFormatting>
  <conditionalFormatting sqref="A91:A101">
    <cfRule type="expression" priority="21" dxfId="11" stopIfTrue="0">
      <formula>ISNUMBER(SEARCH("▶",A91))</formula>
    </cfRule>
  </conditionalFormatting>
  <conditionalFormatting sqref="B91:B101">
    <cfRule type="dataBar" priority="22">
      <dataBar showValue="1">
        <cfvo type="num" val="0"/>
        <cfvo type="max"/>
        <color rgb="002E75B6"/>
      </dataBar>
    </cfRule>
  </conditionalFormatting>
  <conditionalFormatting sqref="J91:J101">
    <cfRule type="colorScale" priority="2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N137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18" customWidth="1" min="4" max="4"/>
    <col width="24" customWidth="1" min="5" max="5"/>
    <col width="14" customWidth="1" min="6" max="6"/>
    <col width="14" customWidth="1" min="7" max="7"/>
    <col width="12" customWidth="1" min="8" max="8"/>
    <col width="26" customWidth="1" min="9" max="9"/>
    <col width="18" customWidth="1" min="10" max="10"/>
    <col width="10" customWidth="1" min="11" max="11"/>
    <col width="34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4" customHeight="1">
      <c r="A1" s="26" t="inlineStr">
        <is>
          <t>DESPESAS RECORRENTES — CADASTRO E GERAÇÃO DE LANÇAMENTOS FUTUROS</t>
        </is>
      </c>
    </row>
    <row r="2">
      <c r="A2" s="27" t="inlineStr">
        <is>
          <t>Cadastre aluguel, energia, salários, contabilidade e outras despesas fixas. O sistema calcula as próximas ocorrências, gera a lista pronta para lançamento e projeta os próximos 12 meses.</t>
        </is>
      </c>
    </row>
    <row r="3" ht="30" customHeight="1">
      <c r="A3" s="3" t="inlineStr">
        <is>
          <t>Como usar: 1) cadastre a despesa (células amarelas); 2) use a lista do bloco 3 para lançar as ocorrências na aba LANÇAMENTOS; 3) as ocorrências já lançadas são desconsideradas automaticamente no bloco 4 (evitando duplicidade). ⚠ As despesas cadastradas são exemplos.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20" customHeight="1">
      <c r="A5" s="4" t="inlineStr">
        <is>
          <t>1. CADASTRO DAS DESPESAS RECORRENTES</t>
        </is>
      </c>
      <c r="B5" s="4" t="n"/>
      <c r="C5" s="4" t="n"/>
      <c r="D5" s="4" t="n"/>
      <c r="E5" s="4" t="n"/>
      <c r="F5" s="4" t="n"/>
      <c r="G5" s="4" t="n"/>
      <c r="H5" s="4" t="n"/>
    </row>
    <row r="6" ht="34" customHeight="1">
      <c r="A6" s="29" t="inlineStr">
        <is>
          <t>Aluguel do galpão</t>
        </is>
      </c>
      <c r="B6" s="14" t="inlineStr">
        <is>
          <t>DESPESAS OPERACIONAIS</t>
        </is>
      </c>
      <c r="C6" s="14" t="inlineStr">
        <is>
          <t>Aluguel</t>
        </is>
      </c>
      <c r="D6" s="14" t="inlineStr">
        <is>
          <t>Administrativo</t>
        </is>
      </c>
      <c r="E6" s="29" t="inlineStr">
        <is>
          <t>IMÓVEIS E LOCAÇÕES PINHEIROS LTDA</t>
        </is>
      </c>
      <c r="F6" s="35" t="n">
        <v>7500</v>
      </c>
      <c r="G6" s="14" t="inlineStr">
        <is>
          <t>Mensal</t>
        </is>
      </c>
      <c r="H6" s="13" t="n">
        <v>5</v>
      </c>
      <c r="I6" s="14" t="inlineStr">
        <is>
          <t>Banco do Brasil — C/C 12345-6</t>
        </is>
      </c>
      <c r="J6" s="14" t="inlineStr">
        <is>
          <t>Boleto</t>
        </is>
      </c>
      <c r="K6" s="14" t="inlineStr">
        <is>
          <t>Sim</t>
        </is>
      </c>
      <c r="L6" s="29" t="inlineStr">
        <is>
          <t>Observações</t>
        </is>
      </c>
    </row>
    <row r="7">
      <c r="A7" s="29" t="inlineStr">
        <is>
          <t>Energia elétrica</t>
        </is>
      </c>
      <c r="B7" s="14" t="inlineStr">
        <is>
          <t>DESPESAS OPERACIONAIS</t>
        </is>
      </c>
      <c r="C7" s="14" t="inlineStr">
        <is>
          <t>Energia Elétrica</t>
        </is>
      </c>
      <c r="D7" s="14" t="inlineStr">
        <is>
          <t>Administrativo</t>
        </is>
      </c>
      <c r="E7" s="29" t="inlineStr">
        <is>
          <t>ENEL DISTRIBUIÇÃO SÃO PAULO</t>
        </is>
      </c>
      <c r="F7" s="35" t="n">
        <v>2300</v>
      </c>
      <c r="G7" s="14" t="inlineStr">
        <is>
          <t>Mensal</t>
        </is>
      </c>
      <c r="H7" s="13" t="n">
        <v>12</v>
      </c>
      <c r="I7" s="14" t="inlineStr">
        <is>
          <t>Itaú Unibanco — C/C 45678-9</t>
        </is>
      </c>
      <c r="J7" s="14" t="inlineStr">
        <is>
          <t>Débito automático</t>
        </is>
      </c>
      <c r="K7" s="14" t="inlineStr">
        <is>
          <t>Sim</t>
        </is>
      </c>
      <c r="L7" s="29" t="n"/>
    </row>
    <row r="8">
      <c r="A8" s="29" t="inlineStr">
        <is>
          <t>Água e saneamento</t>
        </is>
      </c>
      <c r="B8" s="14" t="inlineStr">
        <is>
          <t>DESPESAS OPERACIONAIS</t>
        </is>
      </c>
      <c r="C8" s="14" t="inlineStr">
        <is>
          <t>Água e Saneamento</t>
        </is>
      </c>
      <c r="D8" s="14" t="inlineStr">
        <is>
          <t>Administrativo</t>
        </is>
      </c>
      <c r="E8" s="29" t="inlineStr">
        <is>
          <t>SABESP — SANEAMENTO BÁSICO DO ESTADO DE SÃO PAULO</t>
        </is>
      </c>
      <c r="F8" s="35" t="n">
        <v>440</v>
      </c>
      <c r="G8" s="14" t="inlineStr">
        <is>
          <t>Mensal</t>
        </is>
      </c>
      <c r="H8" s="13" t="n">
        <v>15</v>
      </c>
      <c r="I8" s="14" t="inlineStr">
        <is>
          <t>Itaú Unibanco — C/C 45678-9</t>
        </is>
      </c>
      <c r="J8" s="14" t="inlineStr">
        <is>
          <t>Débito automático</t>
        </is>
      </c>
      <c r="K8" s="14" t="inlineStr">
        <is>
          <t>Sim</t>
        </is>
      </c>
      <c r="L8" s="29" t="n"/>
    </row>
    <row r="9">
      <c r="A9" s="29" t="inlineStr">
        <is>
          <t>Internet, telefonia e link dedicado</t>
        </is>
      </c>
      <c r="B9" s="14" t="inlineStr">
        <is>
          <t>DESPESAS OPERACIONAIS</t>
        </is>
      </c>
      <c r="C9" s="14" t="inlineStr">
        <is>
          <t>Internet e Telefonia</t>
        </is>
      </c>
      <c r="D9" s="14" t="inlineStr">
        <is>
          <t>Administrativo</t>
        </is>
      </c>
      <c r="E9" s="29" t="inlineStr">
        <is>
          <t>TELEFÔNICA BRASIL S.A. (VIVO EMPRESAS)</t>
        </is>
      </c>
      <c r="F9" s="35" t="n">
        <v>780</v>
      </c>
      <c r="G9" s="14" t="inlineStr">
        <is>
          <t>Mensal</t>
        </is>
      </c>
      <c r="H9" s="13" t="n">
        <v>10</v>
      </c>
      <c r="I9" s="14" t="inlineStr">
        <is>
          <t>Cartão Mastercard Nubank PJ</t>
        </is>
      </c>
      <c r="J9" s="14" t="inlineStr">
        <is>
          <t>Cartão de crédito</t>
        </is>
      </c>
      <c r="K9" s="14" t="inlineStr">
        <is>
          <t>Sim</t>
        </is>
      </c>
      <c r="L9" s="29" t="n"/>
    </row>
    <row r="10">
      <c r="A10" s="29" t="inlineStr">
        <is>
          <t>Honorários contábeis</t>
        </is>
      </c>
      <c r="B10" s="14" t="inlineStr">
        <is>
          <t>DESPESAS OPERACIONAIS</t>
        </is>
      </c>
      <c r="C10" s="14" t="inlineStr">
        <is>
          <t>Contabilidade</t>
        </is>
      </c>
      <c r="D10" s="14" t="inlineStr">
        <is>
          <t>Financeiro</t>
        </is>
      </c>
      <c r="E10" s="29" t="inlineStr">
        <is>
          <t>CONTABILIDADE AURORA ASSESSORIA CONTÁBIL LTDA</t>
        </is>
      </c>
      <c r="F10" s="35" t="n">
        <v>1250</v>
      </c>
      <c r="G10" s="14" t="inlineStr">
        <is>
          <t>Mensal</t>
        </is>
      </c>
      <c r="H10" s="13" t="n">
        <v>10</v>
      </c>
      <c r="I10" s="14" t="inlineStr">
        <is>
          <t>Itaú Unibanco — C/C 45678-9</t>
        </is>
      </c>
      <c r="J10" s="14" t="inlineStr">
        <is>
          <t>PIX</t>
        </is>
      </c>
      <c r="K10" s="14" t="inlineStr">
        <is>
          <t>Sim</t>
        </is>
      </c>
      <c r="L10" s="29" t="n"/>
    </row>
    <row r="11">
      <c r="A11" s="29" t="inlineStr">
        <is>
          <t>ERP, NF-e e BI (assinatura)</t>
        </is>
      </c>
      <c r="B11" s="14" t="inlineStr">
        <is>
          <t>DESPESAS OPERACIONAIS</t>
        </is>
      </c>
      <c r="C11" s="14" t="inlineStr">
        <is>
          <t>Sistemas e Softwares</t>
        </is>
      </c>
      <c r="D11" s="14" t="inlineStr">
        <is>
          <t>Administrativo</t>
        </is>
      </c>
      <c r="E11" s="29" t="inlineStr">
        <is>
          <t>TECNOLOGIA E SISTEMAS ABC LTDA</t>
        </is>
      </c>
      <c r="F11" s="35" t="n">
        <v>850</v>
      </c>
      <c r="G11" s="14" t="inlineStr">
        <is>
          <t>Mensal</t>
        </is>
      </c>
      <c r="H11" s="13" t="n">
        <v>8</v>
      </c>
      <c r="I11" s="14" t="inlineStr">
        <is>
          <t>Cartão Mastercard Nubank PJ</t>
        </is>
      </c>
      <c r="J11" s="14" t="inlineStr">
        <is>
          <t>Cartão de crédito</t>
        </is>
      </c>
      <c r="K11" s="14" t="inlineStr">
        <is>
          <t>Sim</t>
        </is>
      </c>
      <c r="L11" s="29" t="n"/>
    </row>
    <row r="12">
      <c r="A12" s="29" t="inlineStr">
        <is>
          <t>Folha de pagamento — salários</t>
        </is>
      </c>
      <c r="B12" s="14" t="inlineStr">
        <is>
          <t>DESPESAS OPERACIONAIS</t>
        </is>
      </c>
      <c r="C12" s="14" t="inlineStr">
        <is>
          <t>Salários</t>
        </is>
      </c>
      <c r="D12" s="14" t="inlineStr">
        <is>
          <t>Administrativo</t>
        </is>
      </c>
      <c r="E12" s="29" t="inlineStr">
        <is>
          <t>COLABORADORES — FOLHA DE PAGAMENTO</t>
        </is>
      </c>
      <c r="F12" s="35" t="n">
        <v>16000</v>
      </c>
      <c r="G12" s="14" t="inlineStr">
        <is>
          <t>Mensal</t>
        </is>
      </c>
      <c r="H12" s="13" t="n">
        <v>5</v>
      </c>
      <c r="I12" s="14" t="inlineStr">
        <is>
          <t>Banco do Brasil — C/C 12345-6</t>
        </is>
      </c>
      <c r="J12" s="14" t="inlineStr">
        <is>
          <t>Transferência</t>
        </is>
      </c>
      <c r="K12" s="14" t="inlineStr">
        <is>
          <t>Sim</t>
        </is>
      </c>
      <c r="L12" s="29" t="n"/>
    </row>
    <row r="13">
      <c r="A13" s="29" t="inlineStr">
        <is>
          <t>Encargos sociais (FGTS/INSS)</t>
        </is>
      </c>
      <c r="B13" s="14" t="inlineStr">
        <is>
          <t>DESPESAS OPERACIONAIS</t>
        </is>
      </c>
      <c r="C13" s="14" t="inlineStr">
        <is>
          <t>Encargos Sociais (FGTS/INSS)</t>
        </is>
      </c>
      <c r="D13" s="14" t="inlineStr">
        <is>
          <t>Administrativo</t>
        </is>
      </c>
      <c r="E13" s="29" t="inlineStr">
        <is>
          <t>RECEITA FEDERAL DO BRASIL</t>
        </is>
      </c>
      <c r="F13" s="35" t="n">
        <v>5600</v>
      </c>
      <c r="G13" s="14" t="inlineStr">
        <is>
          <t>Mensal</t>
        </is>
      </c>
      <c r="H13" s="13" t="n">
        <v>7</v>
      </c>
      <c r="I13" s="14" t="inlineStr">
        <is>
          <t>Itaú Unibanco — C/C 45678-9</t>
        </is>
      </c>
      <c r="J13" s="14" t="inlineStr">
        <is>
          <t>Transferência</t>
        </is>
      </c>
      <c r="K13" s="14" t="inlineStr">
        <is>
          <t>Sim</t>
        </is>
      </c>
      <c r="L13" s="29" t="n"/>
    </row>
    <row r="14">
      <c r="A14" s="29" t="inlineStr">
        <is>
          <t>Benefícios (VT, VA e plano de saúde)</t>
        </is>
      </c>
      <c r="B14" s="14" t="inlineStr">
        <is>
          <t>DESPESAS OPERACIONAIS</t>
        </is>
      </c>
      <c r="C14" s="14" t="inlineStr">
        <is>
          <t>Benefícios (VT/VA/Plano de Saúde)</t>
        </is>
      </c>
      <c r="D14" s="14" t="inlineStr">
        <is>
          <t>Administrativo</t>
        </is>
      </c>
      <c r="E14" s="29" t="inlineStr">
        <is>
          <t>BENEFÍCIOS BRASIL ADMINISTRADORA LTDA</t>
        </is>
      </c>
      <c r="F14" s="35" t="n">
        <v>1900</v>
      </c>
      <c r="G14" s="14" t="inlineStr">
        <is>
          <t>Mensal</t>
        </is>
      </c>
      <c r="H14" s="13" t="n">
        <v>5</v>
      </c>
      <c r="I14" s="14" t="inlineStr">
        <is>
          <t>Banco do Brasil — C/C 12345-6</t>
        </is>
      </c>
      <c r="J14" s="14" t="inlineStr">
        <is>
          <t>Transferência</t>
        </is>
      </c>
      <c r="K14" s="14" t="inlineStr">
        <is>
          <t>Sim</t>
        </is>
      </c>
      <c r="L14" s="29" t="n"/>
    </row>
    <row r="15">
      <c r="A15" s="29" t="inlineStr">
        <is>
          <t>Pró-labore dos sócios</t>
        </is>
      </c>
      <c r="B15" s="14" t="inlineStr">
        <is>
          <t>DESPESAS OPERACIONAIS</t>
        </is>
      </c>
      <c r="C15" s="14" t="inlineStr">
        <is>
          <t>Pró-labore</t>
        </is>
      </c>
      <c r="D15" s="14" t="inlineStr">
        <is>
          <t>Diretoria</t>
        </is>
      </c>
      <c r="E15" s="29" t="inlineStr">
        <is>
          <t>SÓCIOS — PRÓ-LABORE E DISTRIBUIÇÕES</t>
        </is>
      </c>
      <c r="F15" s="35" t="n">
        <v>9500</v>
      </c>
      <c r="G15" s="14" t="inlineStr">
        <is>
          <t>Mensal</t>
        </is>
      </c>
      <c r="H15" s="13" t="n">
        <v>5</v>
      </c>
      <c r="I15" s="14" t="inlineStr">
        <is>
          <t>Banco do Brasil — C/C 12345-6</t>
        </is>
      </c>
      <c r="J15" s="14" t="inlineStr">
        <is>
          <t>Transferência</t>
        </is>
      </c>
      <c r="K15" s="14" t="inlineStr">
        <is>
          <t>Sim</t>
        </is>
      </c>
      <c r="L15" s="29" t="n"/>
    </row>
    <row r="16">
      <c r="A16" s="29" t="inlineStr">
        <is>
          <t>Marketing digital (agência)</t>
        </is>
      </c>
      <c r="B16" s="14" t="inlineStr">
        <is>
          <t>DESPESAS OPERACIONAIS</t>
        </is>
      </c>
      <c r="C16" s="14" t="inlineStr">
        <is>
          <t>Marketing Digital</t>
        </is>
      </c>
      <c r="D16" s="14" t="inlineStr">
        <is>
          <t>Marketing</t>
        </is>
      </c>
      <c r="E16" s="29" t="inlineStr">
        <is>
          <t>AGÊNCIA PULSO DIGITAL LTDA</t>
        </is>
      </c>
      <c r="F16" s="35" t="n">
        <v>3200</v>
      </c>
      <c r="G16" s="14" t="inlineStr">
        <is>
          <t>Mensal</t>
        </is>
      </c>
      <c r="H16" s="13" t="n">
        <v>10</v>
      </c>
      <c r="I16" s="14" t="inlineStr">
        <is>
          <t>Cartão Mastercard Nubank PJ</t>
        </is>
      </c>
      <c r="J16" s="14" t="inlineStr">
        <is>
          <t>Cartão de crédito</t>
        </is>
      </c>
      <c r="K16" s="14" t="inlineStr">
        <is>
          <t>Sim</t>
        </is>
      </c>
      <c r="L16" s="29" t="n"/>
    </row>
    <row r="17">
      <c r="A17" s="29" t="inlineStr">
        <is>
          <t>Seguro do galpão, frota e RC</t>
        </is>
      </c>
      <c r="B17" s="14" t="inlineStr">
        <is>
          <t>DESPESAS OPERACIONAIS</t>
        </is>
      </c>
      <c r="C17" s="14" t="inlineStr">
        <is>
          <t>Seguros</t>
        </is>
      </c>
      <c r="D17" s="14" t="inlineStr">
        <is>
          <t>Administrativo</t>
        </is>
      </c>
      <c r="E17" s="29" t="inlineStr">
        <is>
          <t>PORTO SEGURO COMPANHIA DE SEGUROS GERAIS</t>
        </is>
      </c>
      <c r="F17" s="35" t="n">
        <v>780</v>
      </c>
      <c r="G17" s="14" t="inlineStr">
        <is>
          <t>Trimestral</t>
        </is>
      </c>
      <c r="H17" s="13" t="n">
        <v>20</v>
      </c>
      <c r="I17" s="14" t="inlineStr">
        <is>
          <t>Banco do Brasil — C/C 12345-6</t>
        </is>
      </c>
      <c r="J17" s="14" t="inlineStr">
        <is>
          <t>Boleto</t>
        </is>
      </c>
      <c r="K17" s="14" t="inlineStr">
        <is>
          <t>Sim</t>
        </is>
      </c>
      <c r="L17" s="29" t="n"/>
    </row>
    <row r="18">
      <c r="A18" s="29" t="n"/>
      <c r="B18" s="14" t="n"/>
      <c r="C18" s="14" t="n"/>
      <c r="D18" s="14" t="n"/>
      <c r="E18" s="29" t="n"/>
      <c r="F18" s="35" t="n"/>
      <c r="G18" s="14" t="n"/>
      <c r="H18" s="13" t="n"/>
      <c r="I18" s="14" t="n"/>
      <c r="J18" s="14" t="n"/>
      <c r="K18" s="14" t="n"/>
      <c r="L18" s="29" t="n"/>
    </row>
    <row r="19">
      <c r="A19" s="29" t="n"/>
      <c r="B19" s="14" t="n"/>
      <c r="C19" s="14" t="n"/>
      <c r="D19" s="14" t="n"/>
      <c r="E19" s="29" t="n"/>
      <c r="F19" s="35" t="n"/>
      <c r="G19" s="14" t="n"/>
      <c r="H19" s="13" t="n"/>
      <c r="I19" s="14" t="n"/>
      <c r="J19" s="14" t="n"/>
      <c r="K19" s="14" t="n"/>
      <c r="L19" s="29" t="n"/>
    </row>
    <row r="20">
      <c r="A20" s="29" t="n"/>
      <c r="B20" s="14" t="n"/>
      <c r="C20" s="14" t="n"/>
      <c r="D20" s="14" t="n"/>
      <c r="E20" s="29" t="n"/>
      <c r="F20" s="35" t="n"/>
      <c r="G20" s="14" t="n"/>
      <c r="H20" s="13" t="n"/>
      <c r="I20" s="14" t="n"/>
      <c r="J20" s="14" t="n"/>
      <c r="K20" s="14" t="n"/>
      <c r="L20" s="29" t="n"/>
    </row>
    <row r="21">
      <c r="A21" s="29" t="n"/>
      <c r="B21" s="14" t="n"/>
      <c r="C21" s="14" t="n"/>
      <c r="D21" s="14" t="n"/>
      <c r="E21" s="29" t="n"/>
      <c r="F21" s="35" t="n"/>
      <c r="G21" s="14" t="n"/>
      <c r="H21" s="13" t="n"/>
      <c r="I21" s="14" t="n"/>
      <c r="J21" s="14" t="n"/>
      <c r="K21" s="14" t="n"/>
      <c r="L21" s="29" t="n"/>
    </row>
    <row r="22">
      <c r="A22" s="29" t="n"/>
      <c r="B22" s="14" t="n"/>
      <c r="C22" s="14" t="n"/>
      <c r="D22" s="14" t="n"/>
      <c r="E22" s="29" t="n"/>
      <c r="F22" s="35" t="n"/>
      <c r="G22" s="14" t="n"/>
      <c r="H22" s="13" t="n"/>
      <c r="I22" s="14" t="n"/>
      <c r="J22" s="14" t="n"/>
      <c r="K22" s="14" t="n"/>
      <c r="L22" s="29" t="n"/>
    </row>
    <row r="23">
      <c r="A23" s="29" t="n"/>
      <c r="B23" s="14" t="n"/>
      <c r="C23" s="14" t="n"/>
      <c r="D23" s="14" t="n"/>
      <c r="E23" s="29" t="n"/>
      <c r="F23" s="35" t="n"/>
      <c r="G23" s="14" t="n"/>
      <c r="H23" s="13" t="n"/>
      <c r="I23" s="14" t="n"/>
      <c r="J23" s="14" t="n"/>
      <c r="K23" s="14" t="n"/>
      <c r="L23" s="29" t="n"/>
    </row>
    <row r="24">
      <c r="A24" s="29" t="n"/>
      <c r="B24" s="14" t="n"/>
      <c r="C24" s="14" t="n"/>
      <c r="D24" s="14" t="n"/>
      <c r="E24" s="29" t="n"/>
      <c r="F24" s="35" t="n"/>
      <c r="G24" s="14" t="n"/>
      <c r="H24" s="13" t="n"/>
      <c r="I24" s="14" t="n"/>
      <c r="J24" s="14" t="n"/>
      <c r="K24" s="14" t="n"/>
      <c r="L24" s="29" t="n"/>
    </row>
    <row r="25">
      <c r="A25" s="29" t="n"/>
      <c r="B25" s="14" t="n"/>
      <c r="C25" s="14" t="n"/>
      <c r="D25" s="14" t="n"/>
      <c r="E25" s="29" t="n"/>
      <c r="F25" s="35" t="n"/>
      <c r="G25" s="14" t="n"/>
      <c r="H25" s="13" t="n"/>
      <c r="I25" s="14" t="n"/>
      <c r="J25" s="14" t="n"/>
      <c r="K25" s="14" t="n"/>
      <c r="L25" s="29" t="n"/>
    </row>
    <row r="26">
      <c r="A26" s="29" t="n"/>
      <c r="B26" s="14" t="n"/>
      <c r="C26" s="14" t="n"/>
      <c r="D26" s="14" t="n"/>
      <c r="E26" s="29" t="n"/>
      <c r="F26" s="35" t="n"/>
      <c r="G26" s="14" t="n"/>
      <c r="H26" s="13" t="n"/>
      <c r="I26" s="14" t="n"/>
      <c r="J26" s="14" t="n"/>
      <c r="K26" s="14" t="n"/>
      <c r="L26" s="29" t="n"/>
    </row>
    <row r="27">
      <c r="A27" s="29" t="n"/>
      <c r="B27" s="14" t="n"/>
      <c r="C27" s="14" t="n"/>
      <c r="D27" s="14" t="n"/>
      <c r="E27" s="29" t="n"/>
      <c r="F27" s="35" t="n"/>
      <c r="G27" s="14" t="n"/>
      <c r="H27" s="13" t="n"/>
      <c r="I27" s="14" t="n"/>
      <c r="J27" s="14" t="n"/>
      <c r="K27" s="14" t="n"/>
      <c r="L27" s="29" t="n"/>
    </row>
    <row r="28">
      <c r="A28" s="29" t="n"/>
      <c r="B28" s="14" t="n"/>
      <c r="C28" s="14" t="n"/>
      <c r="D28" s="14" t="n"/>
      <c r="E28" s="29" t="n"/>
      <c r="F28" s="35" t="n"/>
      <c r="G28" s="14" t="n"/>
      <c r="H28" s="13" t="n"/>
      <c r="I28" s="14" t="n"/>
      <c r="J28" s="14" t="n"/>
      <c r="K28" s="14" t="n"/>
      <c r="L28" s="29" t="n"/>
    </row>
    <row r="29">
      <c r="A29" s="29" t="n"/>
      <c r="B29" s="14" t="n"/>
      <c r="C29" s="14" t="n"/>
      <c r="D29" s="14" t="n"/>
      <c r="E29" s="29" t="n"/>
      <c r="F29" s="35" t="n"/>
      <c r="G29" s="14" t="n"/>
      <c r="H29" s="13" t="n"/>
      <c r="I29" s="14" t="n"/>
      <c r="J29" s="14" t="n"/>
      <c r="K29" s="14" t="n"/>
      <c r="L29" s="29" t="n"/>
    </row>
    <row r="30">
      <c r="A30" s="29" t="n"/>
      <c r="B30" s="14" t="n"/>
      <c r="C30" s="14" t="n"/>
      <c r="D30" s="14" t="n"/>
      <c r="E30" s="29" t="n"/>
      <c r="F30" s="35" t="n"/>
      <c r="G30" s="14" t="n"/>
      <c r="H30" s="13" t="n"/>
      <c r="I30" s="14" t="n"/>
      <c r="J30" s="14" t="n"/>
      <c r="K30" s="14" t="n"/>
      <c r="L30" s="29" t="n"/>
    </row>
    <row r="31">
      <c r="A31" s="29" t="n"/>
      <c r="B31" s="14" t="n"/>
      <c r="C31" s="14" t="n"/>
      <c r="D31" s="14" t="n"/>
      <c r="E31" s="29" t="n"/>
      <c r="F31" s="35" t="n"/>
      <c r="G31" s="14" t="n"/>
      <c r="H31" s="13" t="n"/>
      <c r="I31" s="14" t="n"/>
      <c r="J31" s="14" t="n"/>
      <c r="K31" s="14" t="n"/>
      <c r="L31" s="29" t="n"/>
    </row>
    <row r="32">
      <c r="A32" s="29" t="n"/>
      <c r="B32" s="14" t="n"/>
      <c r="C32" s="14" t="n"/>
      <c r="D32" s="14" t="n"/>
      <c r="E32" s="29" t="n"/>
      <c r="F32" s="35" t="n"/>
      <c r="G32" s="14" t="n"/>
      <c r="H32" s="13" t="n"/>
      <c r="I32" s="14" t="n"/>
      <c r="J32" s="14" t="n"/>
      <c r="K32" s="14" t="n"/>
      <c r="L32" s="29" t="n"/>
    </row>
    <row r="33">
      <c r="A33" s="29" t="n"/>
      <c r="B33" s="14" t="n"/>
      <c r="C33" s="14" t="n"/>
      <c r="D33" s="14" t="n"/>
      <c r="E33" s="29" t="n"/>
      <c r="F33" s="35" t="n"/>
      <c r="G33" s="14" t="n"/>
      <c r="H33" s="13" t="n"/>
      <c r="I33" s="14" t="n"/>
      <c r="J33" s="14" t="n"/>
      <c r="K33" s="14" t="n"/>
      <c r="L33" s="29" t="n"/>
    </row>
    <row r="34">
      <c r="A34" s="29" t="n"/>
      <c r="B34" s="14" t="n"/>
      <c r="C34" s="14" t="n"/>
      <c r="D34" s="14" t="n"/>
      <c r="E34" s="29" t="n"/>
      <c r="F34" s="35" t="n"/>
      <c r="G34" s="14" t="n"/>
      <c r="H34" s="13" t="n"/>
      <c r="I34" s="14" t="n"/>
      <c r="J34" s="14" t="n"/>
      <c r="K34" s="14" t="n"/>
      <c r="L34" s="29" t="n"/>
    </row>
    <row r="35">
      <c r="A35" s="29" t="n"/>
      <c r="B35" s="14" t="n"/>
      <c r="C35" s="14" t="n"/>
      <c r="D35" s="14" t="n"/>
      <c r="E35" s="29" t="n"/>
      <c r="F35" s="35" t="n"/>
      <c r="G35" s="14" t="n"/>
      <c r="H35" s="13" t="n"/>
      <c r="I35" s="14" t="n"/>
      <c r="J35" s="14" t="n"/>
      <c r="K35" s="14" t="n"/>
      <c r="L35" s="29" t="n"/>
    </row>
    <row r="36">
      <c r="A36" s="29" t="n"/>
      <c r="B36" s="14" t="n"/>
      <c r="C36" s="14" t="n"/>
      <c r="D36" s="14" t="n"/>
      <c r="E36" s="29" t="n"/>
      <c r="F36" s="35" t="n"/>
      <c r="G36" s="14" t="n"/>
      <c r="H36" s="13" t="n"/>
      <c r="I36" s="14" t="n"/>
      <c r="J36" s="14" t="n"/>
      <c r="K36" s="14" t="n"/>
      <c r="L36" s="29" t="n"/>
    </row>
    <row r="37">
      <c r="A37" s="29" t="n"/>
      <c r="B37" s="14" t="n"/>
      <c r="C37" s="14" t="n"/>
      <c r="D37" s="14" t="n"/>
      <c r="E37" s="29" t="n"/>
      <c r="F37" s="35" t="n"/>
      <c r="G37" s="14" t="n"/>
      <c r="H37" s="13" t="n"/>
      <c r="I37" s="14" t="n"/>
      <c r="J37" s="14" t="n"/>
      <c r="K37" s="14" t="n"/>
      <c r="L37" s="29" t="n"/>
    </row>
    <row r="38">
      <c r="A38" s="29" t="n"/>
      <c r="B38" s="14" t="n"/>
      <c r="C38" s="14" t="n"/>
      <c r="D38" s="14" t="n"/>
      <c r="E38" s="29" t="n"/>
      <c r="F38" s="35" t="n"/>
      <c r="G38" s="14" t="n"/>
      <c r="H38" s="13" t="n"/>
      <c r="I38" s="14" t="n"/>
      <c r="J38" s="14" t="n"/>
      <c r="K38" s="14" t="n"/>
      <c r="L38" s="29" t="n"/>
    </row>
    <row r="39">
      <c r="A39" s="29" t="n"/>
      <c r="B39" s="14" t="n"/>
      <c r="C39" s="14" t="n"/>
      <c r="D39" s="14" t="n"/>
      <c r="E39" s="29" t="n"/>
      <c r="F39" s="35" t="n"/>
      <c r="G39" s="14" t="n"/>
      <c r="H39" s="13" t="n"/>
      <c r="I39" s="14" t="n"/>
      <c r="J39" s="14" t="n"/>
      <c r="K39" s="14" t="n"/>
      <c r="L39" s="29" t="n"/>
    </row>
    <row r="40">
      <c r="A40" s="29" t="n"/>
      <c r="B40" s="14" t="n"/>
      <c r="C40" s="14" t="n"/>
      <c r="D40" s="14" t="n"/>
      <c r="E40" s="29" t="n"/>
      <c r="F40" s="35" t="n"/>
      <c r="G40" s="14" t="n"/>
      <c r="H40" s="13" t="n"/>
      <c r="I40" s="14" t="n"/>
      <c r="J40" s="14" t="n"/>
      <c r="K40" s="14" t="n"/>
      <c r="L40" s="29" t="n"/>
    </row>
    <row r="41">
      <c r="A41" s="29" t="n"/>
      <c r="B41" s="14" t="n"/>
      <c r="C41" s="14" t="n"/>
      <c r="D41" s="14" t="n"/>
      <c r="E41" s="29" t="n"/>
      <c r="F41" s="35" t="n"/>
      <c r="G41" s="14" t="n"/>
      <c r="H41" s="13" t="n"/>
      <c r="I41" s="14" t="n"/>
      <c r="J41" s="14" t="n"/>
      <c r="K41" s="14" t="n"/>
      <c r="L41" s="29" t="n"/>
    </row>
    <row r="42">
      <c r="A42" s="29" t="n"/>
      <c r="B42" s="14" t="n"/>
      <c r="C42" s="14" t="n"/>
      <c r="D42" s="14" t="n"/>
      <c r="E42" s="29" t="n"/>
      <c r="F42" s="35" t="n"/>
      <c r="G42" s="14" t="n"/>
      <c r="H42" s="13" t="n"/>
      <c r="I42" s="14" t="n"/>
      <c r="J42" s="14" t="n"/>
      <c r="K42" s="14" t="n"/>
      <c r="L42" s="29" t="n"/>
    </row>
    <row r="43">
      <c r="A43" s="29" t="n"/>
      <c r="B43" s="14" t="n"/>
      <c r="C43" s="14" t="n"/>
      <c r="D43" s="14" t="n"/>
      <c r="E43" s="29" t="n"/>
      <c r="F43" s="35" t="n"/>
      <c r="G43" s="14" t="n"/>
      <c r="H43" s="13" t="n"/>
      <c r="I43" s="14" t="n"/>
      <c r="J43" s="14" t="n"/>
      <c r="K43" s="14" t="n"/>
      <c r="L43" s="29" t="n"/>
    </row>
    <row r="44">
      <c r="A44" s="29" t="n"/>
      <c r="B44" s="14" t="n"/>
      <c r="C44" s="14" t="n"/>
      <c r="D44" s="14" t="n"/>
      <c r="E44" s="29" t="n"/>
      <c r="F44" s="35" t="n"/>
      <c r="G44" s="14" t="n"/>
      <c r="H44" s="13" t="n"/>
      <c r="I44" s="14" t="n"/>
      <c r="J44" s="14" t="n"/>
      <c r="K44" s="14" t="n"/>
      <c r="L44" s="29" t="n"/>
    </row>
    <row r="45">
      <c r="A45" s="29" t="n"/>
      <c r="B45" s="14" t="n"/>
      <c r="C45" s="14" t="n"/>
      <c r="D45" s="14" t="n"/>
      <c r="E45" s="29" t="n"/>
      <c r="F45" s="35" t="n"/>
      <c r="G45" s="14" t="n"/>
      <c r="H45" s="13" t="n"/>
      <c r="I45" s="14" t="n"/>
      <c r="J45" s="14" t="n"/>
      <c r="K45" s="14" t="n"/>
      <c r="L45" s="29" t="n"/>
    </row>
    <row r="47" ht="20" customHeight="1">
      <c r="A47" s="4" t="inlineStr">
        <is>
          <t>2. INDICADORES DAS DESPESAS RECORRENTES</t>
        </is>
      </c>
      <c r="B47" s="4" t="n"/>
      <c r="C47" s="4" t="n"/>
      <c r="D47" s="4" t="n"/>
      <c r="E47" s="4" t="n"/>
      <c r="F47" s="4" t="n"/>
      <c r="G47" s="4" t="n"/>
      <c r="H47" s="4" t="n"/>
    </row>
    <row r="48" ht="26" customHeight="1">
      <c r="A48" s="5" t="inlineStr">
        <is>
          <t>Total mensal das recorrentes</t>
        </is>
      </c>
      <c r="B48" s="5" t="n"/>
      <c r="C48" s="5" t="inlineStr">
        <is>
          <t>Total anual projetado</t>
        </is>
      </c>
      <c r="D48" s="5" t="n"/>
      <c r="E48" s="5" t="inlineStr">
        <is>
          <t>% das despesas fixas do mês</t>
        </is>
      </c>
      <c r="F48" s="5" t="n"/>
      <c r="G48" s="5" t="inlineStr">
        <is>
          <t>Despesas recorrentes cadastradas</t>
        </is>
      </c>
      <c r="H48" s="5" t="n"/>
    </row>
    <row r="49" ht="28" customHeight="1">
      <c r="A49" s="6">
        <f>SUMIFS($F$6:$F$45,$K$6:$K$45,"Sim")</f>
        <v/>
      </c>
      <c r="B49" s="6" t="n"/>
      <c r="C49" s="6">
        <f>SUMIFS($F$6:$F$45,$K$6:$K$45,"Sim")*12</f>
        <v/>
      </c>
      <c r="D49" s="6" t="n"/>
      <c r="E49" s="15">
        <f>IFERROR(SUMIFS($F$6:$F$45,$K$6:$K$45,"Sim")/MAX(1,SUMIFS('LANÇAMENTOS'!$AE$6:$AE$2005,'LANÇAMENTOS'!$AF$6:$AF$2005,"Despesas Fixas",'LANÇAMENTOS'!$AA$6:$AA$2005,'CONFIGURAÇÕES'!$B$18,'LANÇAMENTOS'!$Z$6:$Z$2005,'CONFIGURAÇÕES'!$B$19)),"")</f>
        <v/>
      </c>
      <c r="F49" s="15" t="n"/>
      <c r="G49" s="16">
        <f>COUNTIFS($K$6:$K$45,"Sim")</f>
        <v/>
      </c>
      <c r="H49" s="16" t="n"/>
    </row>
    <row r="53" ht="20" customHeight="1">
      <c r="A53" s="4" t="inlineStr">
        <is>
          <t>3. PRÓXIMAS OCORRÊNCIAS — LISTA PRONTA PARA LANÇAR NA ABA LANÇAMENTOS</t>
        </is>
      </c>
      <c r="B53" s="4" t="n"/>
      <c r="C53" s="4" t="n"/>
      <c r="D53" s="4" t="n"/>
      <c r="E53" s="4" t="n"/>
      <c r="F53" s="4" t="n"/>
      <c r="G53" s="4" t="n"/>
      <c r="H53" s="4" t="n"/>
    </row>
    <row r="54" ht="34" customHeight="1">
      <c r="A54" s="21" t="inlineStr">
        <is>
          <t>Descrição</t>
        </is>
      </c>
      <c r="B54" s="21" t="inlineStr">
        <is>
          <t>Data de competência</t>
        </is>
      </c>
      <c r="C54" s="21" t="inlineStr">
        <is>
          <t>Data de vencimento</t>
        </is>
      </c>
      <c r="D54" s="21" t="inlineStr">
        <is>
          <t>Tipo</t>
        </is>
      </c>
      <c r="E54" s="21" t="inlineStr">
        <is>
          <t>Categoria</t>
        </is>
      </c>
      <c r="F54" s="21" t="inlineStr">
        <is>
          <t>Subcategoria</t>
        </is>
      </c>
      <c r="G54" s="21" t="inlineStr">
        <is>
          <t>Centro de custo</t>
        </is>
      </c>
      <c r="H54" s="21" t="inlineStr">
        <is>
          <t>Fornecedor</t>
        </is>
      </c>
      <c r="I54" s="21" t="inlineStr">
        <is>
          <t>Valor previsto</t>
        </is>
      </c>
      <c r="J54" s="21" t="inlineStr">
        <is>
          <t>Banco / conta</t>
        </is>
      </c>
      <c r="K54" s="21" t="inlineStr">
        <is>
          <t>Forma de pagamento</t>
        </is>
      </c>
      <c r="L54" s="21" t="inlineStr">
        <is>
          <t>Já lançado no mês?</t>
        </is>
      </c>
    </row>
    <row r="55">
      <c r="A55" s="9">
        <f>IF(OR($A$6="",$K$6&lt;&gt;"Sim"),"",$A$6)</f>
        <v/>
      </c>
      <c r="B55" s="30">
        <f>IF($A55="","",EOMONTH($C55,-1)+1)</f>
        <v/>
      </c>
      <c r="C55" s="30">
        <f>IF($A55="","",IF(DATE(YEAR(TODAY()),MONTH(TODAY()),MIN($H$6,DAY(EOMONTH(TODAY(),0))))&lt;TODAY(),DATE(YEAR(EDATE(TODAY(),1)),MONTH(EDATE(TODAY(),1)),MIN($H$6,DAY(EOMONTH(EDATE(TODAY(),1),0)))),DATE(YEAR(TODAY()),MONTH(TODAY()),MIN($H$6,DAY(EOMONTH(TODAY(),0))))))</f>
        <v/>
      </c>
      <c r="D55" s="17" t="inlineStr">
        <is>
          <t>Saída</t>
        </is>
      </c>
      <c r="E55" s="17">
        <f>IF($A55="","",$B$6)</f>
        <v/>
      </c>
      <c r="F55" s="17">
        <f>IF($A55="","",$C$6)</f>
        <v/>
      </c>
      <c r="G55" s="17">
        <f>IF($A55="","",$D$6)</f>
        <v/>
      </c>
      <c r="H55" s="9">
        <f>IF($A55="","",$E$6)</f>
        <v/>
      </c>
      <c r="I55" s="18">
        <f>IF($A55="","",$F$6)</f>
        <v/>
      </c>
      <c r="J55" s="17">
        <f>IF($A55="","",$I$6)</f>
        <v/>
      </c>
      <c r="K55" s="17">
        <f>IF($A55="","",$J$6)</f>
        <v/>
      </c>
      <c r="L55" s="17">
        <f>IF($A55="","",IF(COUNTIFS('LANÇAMENTOS'!$G$6:$G$2005,$F55,'LANÇAMENTOS'!$E$6:$E$2005,"Saída",'LANÇAMENTOS'!$Z$6:$Z$2005,MONTH($B55),'LANÇAMENTOS'!$AA$6:$AA$2005,YEAR($B55))&gt;0,"✔ Sim","— Não"))</f>
        <v/>
      </c>
    </row>
    <row r="56">
      <c r="A56" s="9">
        <f>IF(OR($A$7="",$K$7&lt;&gt;"Sim"),"",$A$7)</f>
        <v/>
      </c>
      <c r="B56" s="30">
        <f>IF($A56="","",EOMONTH($C56,-1)+1)</f>
        <v/>
      </c>
      <c r="C56" s="30">
        <f>IF($A56="","",IF(DATE(YEAR(TODAY()),MONTH(TODAY()),MIN($H$7,DAY(EOMONTH(TODAY(),0))))&lt;TODAY(),DATE(YEAR(EDATE(TODAY(),1)),MONTH(EDATE(TODAY(),1)),MIN($H$7,DAY(EOMONTH(EDATE(TODAY(),1),0)))),DATE(YEAR(TODAY()),MONTH(TODAY()),MIN($H$7,DAY(EOMONTH(TODAY(),0))))))</f>
        <v/>
      </c>
      <c r="D56" s="17" t="inlineStr">
        <is>
          <t>Saída</t>
        </is>
      </c>
      <c r="E56" s="17">
        <f>IF($A56="","",$B$7)</f>
        <v/>
      </c>
      <c r="F56" s="17">
        <f>IF($A56="","",$C$7)</f>
        <v/>
      </c>
      <c r="G56" s="17">
        <f>IF($A56="","",$D$7)</f>
        <v/>
      </c>
      <c r="H56" s="9">
        <f>IF($A56="","",$E$7)</f>
        <v/>
      </c>
      <c r="I56" s="18">
        <f>IF($A56="","",$F$7)</f>
        <v/>
      </c>
      <c r="J56" s="17">
        <f>IF($A56="","",$I$7)</f>
        <v/>
      </c>
      <c r="K56" s="17">
        <f>IF($A56="","",$J$7)</f>
        <v/>
      </c>
      <c r="L56" s="17">
        <f>IF($A56="","",IF(COUNTIFS('LANÇAMENTOS'!$G$6:$G$2005,$F56,'LANÇAMENTOS'!$E$6:$E$2005,"Saída",'LANÇAMENTOS'!$Z$6:$Z$2005,MONTH($B56),'LANÇAMENTOS'!$AA$6:$AA$2005,YEAR($B56))&gt;0,"✔ Sim","— Não"))</f>
        <v/>
      </c>
    </row>
    <row r="57">
      <c r="A57" s="9">
        <f>IF(OR($A$8="",$K$8&lt;&gt;"Sim"),"",$A$8)</f>
        <v/>
      </c>
      <c r="B57" s="30">
        <f>IF($A57="","",EOMONTH($C57,-1)+1)</f>
        <v/>
      </c>
      <c r="C57" s="30">
        <f>IF($A57="","",IF(DATE(YEAR(TODAY()),MONTH(TODAY()),MIN($H$8,DAY(EOMONTH(TODAY(),0))))&lt;TODAY(),DATE(YEAR(EDATE(TODAY(),1)),MONTH(EDATE(TODAY(),1)),MIN($H$8,DAY(EOMONTH(EDATE(TODAY(),1),0)))),DATE(YEAR(TODAY()),MONTH(TODAY()),MIN($H$8,DAY(EOMONTH(TODAY(),0))))))</f>
        <v/>
      </c>
      <c r="D57" s="17" t="inlineStr">
        <is>
          <t>Saída</t>
        </is>
      </c>
      <c r="E57" s="17">
        <f>IF($A57="","",$B$8)</f>
        <v/>
      </c>
      <c r="F57" s="17">
        <f>IF($A57="","",$C$8)</f>
        <v/>
      </c>
      <c r="G57" s="17">
        <f>IF($A57="","",$D$8)</f>
        <v/>
      </c>
      <c r="H57" s="9">
        <f>IF($A57="","",$E$8)</f>
        <v/>
      </c>
      <c r="I57" s="18">
        <f>IF($A57="","",$F$8)</f>
        <v/>
      </c>
      <c r="J57" s="17">
        <f>IF($A57="","",$I$8)</f>
        <v/>
      </c>
      <c r="K57" s="17">
        <f>IF($A57="","",$J$8)</f>
        <v/>
      </c>
      <c r="L57" s="17">
        <f>IF($A57="","",IF(COUNTIFS('LANÇAMENTOS'!$G$6:$G$2005,$F57,'LANÇAMENTOS'!$E$6:$E$2005,"Saída",'LANÇAMENTOS'!$Z$6:$Z$2005,MONTH($B57),'LANÇAMENTOS'!$AA$6:$AA$2005,YEAR($B57))&gt;0,"✔ Sim","— Não"))</f>
        <v/>
      </c>
    </row>
    <row r="58">
      <c r="A58" s="9">
        <f>IF(OR($A$9="",$K$9&lt;&gt;"Sim"),"",$A$9)</f>
        <v/>
      </c>
      <c r="B58" s="30">
        <f>IF($A58="","",EOMONTH($C58,-1)+1)</f>
        <v/>
      </c>
      <c r="C58" s="30">
        <f>IF($A58="","",IF(DATE(YEAR(TODAY()),MONTH(TODAY()),MIN($H$9,DAY(EOMONTH(TODAY(),0))))&lt;TODAY(),DATE(YEAR(EDATE(TODAY(),1)),MONTH(EDATE(TODAY(),1)),MIN($H$9,DAY(EOMONTH(EDATE(TODAY(),1),0)))),DATE(YEAR(TODAY()),MONTH(TODAY()),MIN($H$9,DAY(EOMONTH(TODAY(),0))))))</f>
        <v/>
      </c>
      <c r="D58" s="17" t="inlineStr">
        <is>
          <t>Saída</t>
        </is>
      </c>
      <c r="E58" s="17">
        <f>IF($A58="","",$B$9)</f>
        <v/>
      </c>
      <c r="F58" s="17">
        <f>IF($A58="","",$C$9)</f>
        <v/>
      </c>
      <c r="G58" s="17">
        <f>IF($A58="","",$D$9)</f>
        <v/>
      </c>
      <c r="H58" s="9">
        <f>IF($A58="","",$E$9)</f>
        <v/>
      </c>
      <c r="I58" s="18">
        <f>IF($A58="","",$F$9)</f>
        <v/>
      </c>
      <c r="J58" s="17">
        <f>IF($A58="","",$I$9)</f>
        <v/>
      </c>
      <c r="K58" s="17">
        <f>IF($A58="","",$J$9)</f>
        <v/>
      </c>
      <c r="L58" s="17">
        <f>IF($A58="","",IF(COUNTIFS('LANÇAMENTOS'!$G$6:$G$2005,$F58,'LANÇAMENTOS'!$E$6:$E$2005,"Saída",'LANÇAMENTOS'!$Z$6:$Z$2005,MONTH($B58),'LANÇAMENTOS'!$AA$6:$AA$2005,YEAR($B58))&gt;0,"✔ Sim","— Não"))</f>
        <v/>
      </c>
    </row>
    <row r="59">
      <c r="A59" s="9">
        <f>IF(OR($A$10="",$K$10&lt;&gt;"Sim"),"",$A$10)</f>
        <v/>
      </c>
      <c r="B59" s="30">
        <f>IF($A59="","",EOMONTH($C59,-1)+1)</f>
        <v/>
      </c>
      <c r="C59" s="30">
        <f>IF($A59="","",IF(DATE(YEAR(TODAY()),MONTH(TODAY()),MIN($H$10,DAY(EOMONTH(TODAY(),0))))&lt;TODAY(),DATE(YEAR(EDATE(TODAY(),1)),MONTH(EDATE(TODAY(),1)),MIN($H$10,DAY(EOMONTH(EDATE(TODAY(),1),0)))),DATE(YEAR(TODAY()),MONTH(TODAY()),MIN($H$10,DAY(EOMONTH(TODAY(),0))))))</f>
        <v/>
      </c>
      <c r="D59" s="17" t="inlineStr">
        <is>
          <t>Saída</t>
        </is>
      </c>
      <c r="E59" s="17">
        <f>IF($A59="","",$B$10)</f>
        <v/>
      </c>
      <c r="F59" s="17">
        <f>IF($A59="","",$C$10)</f>
        <v/>
      </c>
      <c r="G59" s="17">
        <f>IF($A59="","",$D$10)</f>
        <v/>
      </c>
      <c r="H59" s="9">
        <f>IF($A59="","",$E$10)</f>
        <v/>
      </c>
      <c r="I59" s="18">
        <f>IF($A59="","",$F$10)</f>
        <v/>
      </c>
      <c r="J59" s="17">
        <f>IF($A59="","",$I$10)</f>
        <v/>
      </c>
      <c r="K59" s="17">
        <f>IF($A59="","",$J$10)</f>
        <v/>
      </c>
      <c r="L59" s="17">
        <f>IF($A59="","",IF(COUNTIFS('LANÇAMENTOS'!$G$6:$G$2005,$F59,'LANÇAMENTOS'!$E$6:$E$2005,"Saída",'LANÇAMENTOS'!$Z$6:$Z$2005,MONTH($B59),'LANÇAMENTOS'!$AA$6:$AA$2005,YEAR($B59))&gt;0,"✔ Sim","— Não"))</f>
        <v/>
      </c>
    </row>
    <row r="60">
      <c r="A60" s="9">
        <f>IF(OR($A$11="",$K$11&lt;&gt;"Sim"),"",$A$11)</f>
        <v/>
      </c>
      <c r="B60" s="30">
        <f>IF($A60="","",EOMONTH($C60,-1)+1)</f>
        <v/>
      </c>
      <c r="C60" s="30">
        <f>IF($A60="","",IF(DATE(YEAR(TODAY()),MONTH(TODAY()),MIN($H$11,DAY(EOMONTH(TODAY(),0))))&lt;TODAY(),DATE(YEAR(EDATE(TODAY(),1)),MONTH(EDATE(TODAY(),1)),MIN($H$11,DAY(EOMONTH(EDATE(TODAY(),1),0)))),DATE(YEAR(TODAY()),MONTH(TODAY()),MIN($H$11,DAY(EOMONTH(TODAY(),0))))))</f>
        <v/>
      </c>
      <c r="D60" s="17" t="inlineStr">
        <is>
          <t>Saída</t>
        </is>
      </c>
      <c r="E60" s="17">
        <f>IF($A60="","",$B$11)</f>
        <v/>
      </c>
      <c r="F60" s="17">
        <f>IF($A60="","",$C$11)</f>
        <v/>
      </c>
      <c r="G60" s="17">
        <f>IF($A60="","",$D$11)</f>
        <v/>
      </c>
      <c r="H60" s="9">
        <f>IF($A60="","",$E$11)</f>
        <v/>
      </c>
      <c r="I60" s="18">
        <f>IF($A60="","",$F$11)</f>
        <v/>
      </c>
      <c r="J60" s="17">
        <f>IF($A60="","",$I$11)</f>
        <v/>
      </c>
      <c r="K60" s="17">
        <f>IF($A60="","",$J$11)</f>
        <v/>
      </c>
      <c r="L60" s="17">
        <f>IF($A60="","",IF(COUNTIFS('LANÇAMENTOS'!$G$6:$G$2005,$F60,'LANÇAMENTOS'!$E$6:$E$2005,"Saída",'LANÇAMENTOS'!$Z$6:$Z$2005,MONTH($B60),'LANÇAMENTOS'!$AA$6:$AA$2005,YEAR($B60))&gt;0,"✔ Sim","— Não"))</f>
        <v/>
      </c>
    </row>
    <row r="61">
      <c r="A61" s="9">
        <f>IF(OR($A$12="",$K$12&lt;&gt;"Sim"),"",$A$12)</f>
        <v/>
      </c>
      <c r="B61" s="30">
        <f>IF($A61="","",EOMONTH($C61,-1)+1)</f>
        <v/>
      </c>
      <c r="C61" s="30">
        <f>IF($A61="","",IF(DATE(YEAR(TODAY()),MONTH(TODAY()),MIN($H$12,DAY(EOMONTH(TODAY(),0))))&lt;TODAY(),DATE(YEAR(EDATE(TODAY(),1)),MONTH(EDATE(TODAY(),1)),MIN($H$12,DAY(EOMONTH(EDATE(TODAY(),1),0)))),DATE(YEAR(TODAY()),MONTH(TODAY()),MIN($H$12,DAY(EOMONTH(TODAY(),0))))))</f>
        <v/>
      </c>
      <c r="D61" s="17" t="inlineStr">
        <is>
          <t>Saída</t>
        </is>
      </c>
      <c r="E61" s="17">
        <f>IF($A61="","",$B$12)</f>
        <v/>
      </c>
      <c r="F61" s="17">
        <f>IF($A61="","",$C$12)</f>
        <v/>
      </c>
      <c r="G61" s="17">
        <f>IF($A61="","",$D$12)</f>
        <v/>
      </c>
      <c r="H61" s="9">
        <f>IF($A61="","",$E$12)</f>
        <v/>
      </c>
      <c r="I61" s="18">
        <f>IF($A61="","",$F$12)</f>
        <v/>
      </c>
      <c r="J61" s="17">
        <f>IF($A61="","",$I$12)</f>
        <v/>
      </c>
      <c r="K61" s="17">
        <f>IF($A61="","",$J$12)</f>
        <v/>
      </c>
      <c r="L61" s="17">
        <f>IF($A61="","",IF(COUNTIFS('LANÇAMENTOS'!$G$6:$G$2005,$F61,'LANÇAMENTOS'!$E$6:$E$2005,"Saída",'LANÇAMENTOS'!$Z$6:$Z$2005,MONTH($B61),'LANÇAMENTOS'!$AA$6:$AA$2005,YEAR($B61))&gt;0,"✔ Sim","— Não"))</f>
        <v/>
      </c>
    </row>
    <row r="62">
      <c r="A62" s="9">
        <f>IF(OR($A$13="",$K$13&lt;&gt;"Sim"),"",$A$13)</f>
        <v/>
      </c>
      <c r="B62" s="30">
        <f>IF($A62="","",EOMONTH($C62,-1)+1)</f>
        <v/>
      </c>
      <c r="C62" s="30">
        <f>IF($A62="","",IF(DATE(YEAR(TODAY()),MONTH(TODAY()),MIN($H$13,DAY(EOMONTH(TODAY(),0))))&lt;TODAY(),DATE(YEAR(EDATE(TODAY(),1)),MONTH(EDATE(TODAY(),1)),MIN($H$13,DAY(EOMONTH(EDATE(TODAY(),1),0)))),DATE(YEAR(TODAY()),MONTH(TODAY()),MIN($H$13,DAY(EOMONTH(TODAY(),0))))))</f>
        <v/>
      </c>
      <c r="D62" s="17" t="inlineStr">
        <is>
          <t>Saída</t>
        </is>
      </c>
      <c r="E62" s="17">
        <f>IF($A62="","",$B$13)</f>
        <v/>
      </c>
      <c r="F62" s="17">
        <f>IF($A62="","",$C$13)</f>
        <v/>
      </c>
      <c r="G62" s="17">
        <f>IF($A62="","",$D$13)</f>
        <v/>
      </c>
      <c r="H62" s="9">
        <f>IF($A62="","",$E$13)</f>
        <v/>
      </c>
      <c r="I62" s="18">
        <f>IF($A62="","",$F$13)</f>
        <v/>
      </c>
      <c r="J62" s="17">
        <f>IF($A62="","",$I$13)</f>
        <v/>
      </c>
      <c r="K62" s="17">
        <f>IF($A62="","",$J$13)</f>
        <v/>
      </c>
      <c r="L62" s="17">
        <f>IF($A62="","",IF(COUNTIFS('LANÇAMENTOS'!$G$6:$G$2005,$F62,'LANÇAMENTOS'!$E$6:$E$2005,"Saída",'LANÇAMENTOS'!$Z$6:$Z$2005,MONTH($B62),'LANÇAMENTOS'!$AA$6:$AA$2005,YEAR($B62))&gt;0,"✔ Sim","— Não"))</f>
        <v/>
      </c>
    </row>
    <row r="63">
      <c r="A63" s="9">
        <f>IF(OR($A$14="",$K$14&lt;&gt;"Sim"),"",$A$14)</f>
        <v/>
      </c>
      <c r="B63" s="30">
        <f>IF($A63="","",EOMONTH($C63,-1)+1)</f>
        <v/>
      </c>
      <c r="C63" s="30">
        <f>IF($A63="","",IF(DATE(YEAR(TODAY()),MONTH(TODAY()),MIN($H$14,DAY(EOMONTH(TODAY(),0))))&lt;TODAY(),DATE(YEAR(EDATE(TODAY(),1)),MONTH(EDATE(TODAY(),1)),MIN($H$14,DAY(EOMONTH(EDATE(TODAY(),1),0)))),DATE(YEAR(TODAY()),MONTH(TODAY()),MIN($H$14,DAY(EOMONTH(TODAY(),0))))))</f>
        <v/>
      </c>
      <c r="D63" s="17" t="inlineStr">
        <is>
          <t>Saída</t>
        </is>
      </c>
      <c r="E63" s="17">
        <f>IF($A63="","",$B$14)</f>
        <v/>
      </c>
      <c r="F63" s="17">
        <f>IF($A63="","",$C$14)</f>
        <v/>
      </c>
      <c r="G63" s="17">
        <f>IF($A63="","",$D$14)</f>
        <v/>
      </c>
      <c r="H63" s="9">
        <f>IF($A63="","",$E$14)</f>
        <v/>
      </c>
      <c r="I63" s="18">
        <f>IF($A63="","",$F$14)</f>
        <v/>
      </c>
      <c r="J63" s="17">
        <f>IF($A63="","",$I$14)</f>
        <v/>
      </c>
      <c r="K63" s="17">
        <f>IF($A63="","",$J$14)</f>
        <v/>
      </c>
      <c r="L63" s="17">
        <f>IF($A63="","",IF(COUNTIFS('LANÇAMENTOS'!$G$6:$G$2005,$F63,'LANÇAMENTOS'!$E$6:$E$2005,"Saída",'LANÇAMENTOS'!$Z$6:$Z$2005,MONTH($B63),'LANÇAMENTOS'!$AA$6:$AA$2005,YEAR($B63))&gt;0,"✔ Sim","— Não"))</f>
        <v/>
      </c>
    </row>
    <row r="64">
      <c r="A64" s="9">
        <f>IF(OR($A$15="",$K$15&lt;&gt;"Sim"),"",$A$15)</f>
        <v/>
      </c>
      <c r="B64" s="30">
        <f>IF($A64="","",EOMONTH($C64,-1)+1)</f>
        <v/>
      </c>
      <c r="C64" s="30">
        <f>IF($A64="","",IF(DATE(YEAR(TODAY()),MONTH(TODAY()),MIN($H$15,DAY(EOMONTH(TODAY(),0))))&lt;TODAY(),DATE(YEAR(EDATE(TODAY(),1)),MONTH(EDATE(TODAY(),1)),MIN($H$15,DAY(EOMONTH(EDATE(TODAY(),1),0)))),DATE(YEAR(TODAY()),MONTH(TODAY()),MIN($H$15,DAY(EOMONTH(TODAY(),0))))))</f>
        <v/>
      </c>
      <c r="D64" s="17" t="inlineStr">
        <is>
          <t>Saída</t>
        </is>
      </c>
      <c r="E64" s="17">
        <f>IF($A64="","",$B$15)</f>
        <v/>
      </c>
      <c r="F64" s="17">
        <f>IF($A64="","",$C$15)</f>
        <v/>
      </c>
      <c r="G64" s="17">
        <f>IF($A64="","",$D$15)</f>
        <v/>
      </c>
      <c r="H64" s="9">
        <f>IF($A64="","",$E$15)</f>
        <v/>
      </c>
      <c r="I64" s="18">
        <f>IF($A64="","",$F$15)</f>
        <v/>
      </c>
      <c r="J64" s="17">
        <f>IF($A64="","",$I$15)</f>
        <v/>
      </c>
      <c r="K64" s="17">
        <f>IF($A64="","",$J$15)</f>
        <v/>
      </c>
      <c r="L64" s="17">
        <f>IF($A64="","",IF(COUNTIFS('LANÇAMENTOS'!$G$6:$G$2005,$F64,'LANÇAMENTOS'!$E$6:$E$2005,"Saída",'LANÇAMENTOS'!$Z$6:$Z$2005,MONTH($B64),'LANÇAMENTOS'!$AA$6:$AA$2005,YEAR($B64))&gt;0,"✔ Sim","— Não"))</f>
        <v/>
      </c>
    </row>
    <row r="65">
      <c r="A65" s="9">
        <f>IF(OR($A$16="",$K$16&lt;&gt;"Sim"),"",$A$16)</f>
        <v/>
      </c>
      <c r="B65" s="30">
        <f>IF($A65="","",EOMONTH($C65,-1)+1)</f>
        <v/>
      </c>
      <c r="C65" s="30">
        <f>IF($A65="","",IF(DATE(YEAR(TODAY()),MONTH(TODAY()),MIN($H$16,DAY(EOMONTH(TODAY(),0))))&lt;TODAY(),DATE(YEAR(EDATE(TODAY(),1)),MONTH(EDATE(TODAY(),1)),MIN($H$16,DAY(EOMONTH(EDATE(TODAY(),1),0)))),DATE(YEAR(TODAY()),MONTH(TODAY()),MIN($H$16,DAY(EOMONTH(TODAY(),0))))))</f>
        <v/>
      </c>
      <c r="D65" s="17" t="inlineStr">
        <is>
          <t>Saída</t>
        </is>
      </c>
      <c r="E65" s="17">
        <f>IF($A65="","",$B$16)</f>
        <v/>
      </c>
      <c r="F65" s="17">
        <f>IF($A65="","",$C$16)</f>
        <v/>
      </c>
      <c r="G65" s="17">
        <f>IF($A65="","",$D$16)</f>
        <v/>
      </c>
      <c r="H65" s="9">
        <f>IF($A65="","",$E$16)</f>
        <v/>
      </c>
      <c r="I65" s="18">
        <f>IF($A65="","",$F$16)</f>
        <v/>
      </c>
      <c r="J65" s="17">
        <f>IF($A65="","",$I$16)</f>
        <v/>
      </c>
      <c r="K65" s="17">
        <f>IF($A65="","",$J$16)</f>
        <v/>
      </c>
      <c r="L65" s="17">
        <f>IF($A65="","",IF(COUNTIFS('LANÇAMENTOS'!$G$6:$G$2005,$F65,'LANÇAMENTOS'!$E$6:$E$2005,"Saída",'LANÇAMENTOS'!$Z$6:$Z$2005,MONTH($B65),'LANÇAMENTOS'!$AA$6:$AA$2005,YEAR($B65))&gt;0,"✔ Sim","— Não"))</f>
        <v/>
      </c>
    </row>
    <row r="66">
      <c r="A66" s="9">
        <f>IF(OR($A$17="",$K$17&lt;&gt;"Sim"),"",$A$17)</f>
        <v/>
      </c>
      <c r="B66" s="30">
        <f>IF($A66="","",EOMONTH($C66,-1)+1)</f>
        <v/>
      </c>
      <c r="C66" s="30">
        <f>IF($A66="","",IF(DATE(YEAR(TODAY()),MONTH(TODAY()),MIN($H$17,DAY(EOMONTH(TODAY(),0))))&lt;TODAY(),DATE(YEAR(EDATE(TODAY(),1)),MONTH(EDATE(TODAY(),1)),MIN($H$17,DAY(EOMONTH(EDATE(TODAY(),1),0)))),DATE(YEAR(TODAY()),MONTH(TODAY()),MIN($H$17,DAY(EOMONTH(TODAY(),0))))))</f>
        <v/>
      </c>
      <c r="D66" s="17" t="inlineStr">
        <is>
          <t>Saída</t>
        </is>
      </c>
      <c r="E66" s="17">
        <f>IF($A66="","",$B$17)</f>
        <v/>
      </c>
      <c r="F66" s="17">
        <f>IF($A66="","",$C$17)</f>
        <v/>
      </c>
      <c r="G66" s="17">
        <f>IF($A66="","",$D$17)</f>
        <v/>
      </c>
      <c r="H66" s="9">
        <f>IF($A66="","",$E$17)</f>
        <v/>
      </c>
      <c r="I66" s="18">
        <f>IF($A66="","",$F$17)</f>
        <v/>
      </c>
      <c r="J66" s="17">
        <f>IF($A66="","",$I$17)</f>
        <v/>
      </c>
      <c r="K66" s="17">
        <f>IF($A66="","",$J$17)</f>
        <v/>
      </c>
      <c r="L66" s="17">
        <f>IF($A66="","",IF(COUNTIFS('LANÇAMENTOS'!$G$6:$G$2005,$F66,'LANÇAMENTOS'!$E$6:$E$2005,"Saída",'LANÇAMENTOS'!$Z$6:$Z$2005,MONTH($B66),'LANÇAMENTOS'!$AA$6:$AA$2005,YEAR($B66))&gt;0,"✔ Sim","— Não"))</f>
        <v/>
      </c>
    </row>
    <row r="67">
      <c r="A67" s="9">
        <f>IF(OR($A$18="",$K$18&lt;&gt;"Sim"),"",$A$18)</f>
        <v/>
      </c>
      <c r="B67" s="30">
        <f>IF($A67="","",EOMONTH($C67,-1)+1)</f>
        <v/>
      </c>
      <c r="C67" s="30">
        <f>IF($A67="","",IF(DATE(YEAR(TODAY()),MONTH(TODAY()),MIN($H$18,DAY(EOMONTH(TODAY(),0))))&lt;TODAY(),DATE(YEAR(EDATE(TODAY(),1)),MONTH(EDATE(TODAY(),1)),MIN($H$18,DAY(EOMONTH(EDATE(TODAY(),1),0)))),DATE(YEAR(TODAY()),MONTH(TODAY()),MIN($H$18,DAY(EOMONTH(TODAY(),0))))))</f>
        <v/>
      </c>
      <c r="D67" s="17" t="inlineStr">
        <is>
          <t>Saída</t>
        </is>
      </c>
      <c r="E67" s="17">
        <f>IF($A67="","",$B$18)</f>
        <v/>
      </c>
      <c r="F67" s="17">
        <f>IF($A67="","",$C$18)</f>
        <v/>
      </c>
      <c r="G67" s="17">
        <f>IF($A67="","",$D$18)</f>
        <v/>
      </c>
      <c r="H67" s="9">
        <f>IF($A67="","",$E$18)</f>
        <v/>
      </c>
      <c r="I67" s="18">
        <f>IF($A67="","",$F$18)</f>
        <v/>
      </c>
      <c r="J67" s="17">
        <f>IF($A67="","",$I$18)</f>
        <v/>
      </c>
      <c r="K67" s="17">
        <f>IF($A67="","",$J$18)</f>
        <v/>
      </c>
      <c r="L67" s="17">
        <f>IF($A67="","",IF(COUNTIFS('LANÇAMENTOS'!$G$6:$G$2005,$F67,'LANÇAMENTOS'!$E$6:$E$2005,"Saída",'LANÇAMENTOS'!$Z$6:$Z$2005,MONTH($B67),'LANÇAMENTOS'!$AA$6:$AA$2005,YEAR($B67))&gt;0,"✔ Sim","— Não"))</f>
        <v/>
      </c>
    </row>
    <row r="68">
      <c r="A68" s="9">
        <f>IF(OR($A$19="",$K$19&lt;&gt;"Sim"),"",$A$19)</f>
        <v/>
      </c>
      <c r="B68" s="30">
        <f>IF($A68="","",EOMONTH($C68,-1)+1)</f>
        <v/>
      </c>
      <c r="C68" s="30">
        <f>IF($A68="","",IF(DATE(YEAR(TODAY()),MONTH(TODAY()),MIN($H$19,DAY(EOMONTH(TODAY(),0))))&lt;TODAY(),DATE(YEAR(EDATE(TODAY(),1)),MONTH(EDATE(TODAY(),1)),MIN($H$19,DAY(EOMONTH(EDATE(TODAY(),1),0)))),DATE(YEAR(TODAY()),MONTH(TODAY()),MIN($H$19,DAY(EOMONTH(TODAY(),0))))))</f>
        <v/>
      </c>
      <c r="D68" s="17" t="inlineStr">
        <is>
          <t>Saída</t>
        </is>
      </c>
      <c r="E68" s="17">
        <f>IF($A68="","",$B$19)</f>
        <v/>
      </c>
      <c r="F68" s="17">
        <f>IF($A68="","",$C$19)</f>
        <v/>
      </c>
      <c r="G68" s="17">
        <f>IF($A68="","",$D$19)</f>
        <v/>
      </c>
      <c r="H68" s="9">
        <f>IF($A68="","",$E$19)</f>
        <v/>
      </c>
      <c r="I68" s="18">
        <f>IF($A68="","",$F$19)</f>
        <v/>
      </c>
      <c r="J68" s="17">
        <f>IF($A68="","",$I$19)</f>
        <v/>
      </c>
      <c r="K68" s="17">
        <f>IF($A68="","",$J$19)</f>
        <v/>
      </c>
      <c r="L68" s="17">
        <f>IF($A68="","",IF(COUNTIFS('LANÇAMENTOS'!$G$6:$G$2005,$F68,'LANÇAMENTOS'!$E$6:$E$2005,"Saída",'LANÇAMENTOS'!$Z$6:$Z$2005,MONTH($B68),'LANÇAMENTOS'!$AA$6:$AA$2005,YEAR($B68))&gt;0,"✔ Sim","— Não"))</f>
        <v/>
      </c>
    </row>
    <row r="69">
      <c r="A69" s="9">
        <f>IF(OR($A$20="",$K$20&lt;&gt;"Sim"),"",$A$20)</f>
        <v/>
      </c>
      <c r="B69" s="30">
        <f>IF($A69="","",EOMONTH($C69,-1)+1)</f>
        <v/>
      </c>
      <c r="C69" s="30">
        <f>IF($A69="","",IF(DATE(YEAR(TODAY()),MONTH(TODAY()),MIN($H$20,DAY(EOMONTH(TODAY(),0))))&lt;TODAY(),DATE(YEAR(EDATE(TODAY(),1)),MONTH(EDATE(TODAY(),1)),MIN($H$20,DAY(EOMONTH(EDATE(TODAY(),1),0)))),DATE(YEAR(TODAY()),MONTH(TODAY()),MIN($H$20,DAY(EOMONTH(TODAY(),0))))))</f>
        <v/>
      </c>
      <c r="D69" s="17" t="inlineStr">
        <is>
          <t>Saída</t>
        </is>
      </c>
      <c r="E69" s="17">
        <f>IF($A69="","",$B$20)</f>
        <v/>
      </c>
      <c r="F69" s="17">
        <f>IF($A69="","",$C$20)</f>
        <v/>
      </c>
      <c r="G69" s="17">
        <f>IF($A69="","",$D$20)</f>
        <v/>
      </c>
      <c r="H69" s="9">
        <f>IF($A69="","",$E$20)</f>
        <v/>
      </c>
      <c r="I69" s="18">
        <f>IF($A69="","",$F$20)</f>
        <v/>
      </c>
      <c r="J69" s="17">
        <f>IF($A69="","",$I$20)</f>
        <v/>
      </c>
      <c r="K69" s="17">
        <f>IF($A69="","",$J$20)</f>
        <v/>
      </c>
      <c r="L69" s="17">
        <f>IF($A69="","",IF(COUNTIFS('LANÇAMENTOS'!$G$6:$G$2005,$F69,'LANÇAMENTOS'!$E$6:$E$2005,"Saída",'LANÇAMENTOS'!$Z$6:$Z$2005,MONTH($B69),'LANÇAMENTOS'!$AA$6:$AA$2005,YEAR($B69))&gt;0,"✔ Sim","— Não"))</f>
        <v/>
      </c>
    </row>
    <row r="70">
      <c r="A70" s="9">
        <f>IF(OR($A$21="",$K$21&lt;&gt;"Sim"),"",$A$21)</f>
        <v/>
      </c>
      <c r="B70" s="30">
        <f>IF($A70="","",EOMONTH($C70,-1)+1)</f>
        <v/>
      </c>
      <c r="C70" s="30">
        <f>IF($A70="","",IF(DATE(YEAR(TODAY()),MONTH(TODAY()),MIN($H$21,DAY(EOMONTH(TODAY(),0))))&lt;TODAY(),DATE(YEAR(EDATE(TODAY(),1)),MONTH(EDATE(TODAY(),1)),MIN($H$21,DAY(EOMONTH(EDATE(TODAY(),1),0)))),DATE(YEAR(TODAY()),MONTH(TODAY()),MIN($H$21,DAY(EOMONTH(TODAY(),0))))))</f>
        <v/>
      </c>
      <c r="D70" s="17" t="inlineStr">
        <is>
          <t>Saída</t>
        </is>
      </c>
      <c r="E70" s="17">
        <f>IF($A70="","",$B$21)</f>
        <v/>
      </c>
      <c r="F70" s="17">
        <f>IF($A70="","",$C$21)</f>
        <v/>
      </c>
      <c r="G70" s="17">
        <f>IF($A70="","",$D$21)</f>
        <v/>
      </c>
      <c r="H70" s="9">
        <f>IF($A70="","",$E$21)</f>
        <v/>
      </c>
      <c r="I70" s="18">
        <f>IF($A70="","",$F$21)</f>
        <v/>
      </c>
      <c r="J70" s="17">
        <f>IF($A70="","",$I$21)</f>
        <v/>
      </c>
      <c r="K70" s="17">
        <f>IF($A70="","",$J$21)</f>
        <v/>
      </c>
      <c r="L70" s="17">
        <f>IF($A70="","",IF(COUNTIFS('LANÇAMENTOS'!$G$6:$G$2005,$F70,'LANÇAMENTOS'!$E$6:$E$2005,"Saída",'LANÇAMENTOS'!$Z$6:$Z$2005,MONTH($B70),'LANÇAMENTOS'!$AA$6:$AA$2005,YEAR($B70))&gt;0,"✔ Sim","— Não"))</f>
        <v/>
      </c>
    </row>
    <row r="71">
      <c r="A71" s="9">
        <f>IF(OR($A$22="",$K$22&lt;&gt;"Sim"),"",$A$22)</f>
        <v/>
      </c>
      <c r="B71" s="30">
        <f>IF($A71="","",EOMONTH($C71,-1)+1)</f>
        <v/>
      </c>
      <c r="C71" s="30">
        <f>IF($A71="","",IF(DATE(YEAR(TODAY()),MONTH(TODAY()),MIN($H$22,DAY(EOMONTH(TODAY(),0))))&lt;TODAY(),DATE(YEAR(EDATE(TODAY(),1)),MONTH(EDATE(TODAY(),1)),MIN($H$22,DAY(EOMONTH(EDATE(TODAY(),1),0)))),DATE(YEAR(TODAY()),MONTH(TODAY()),MIN($H$22,DAY(EOMONTH(TODAY(),0))))))</f>
        <v/>
      </c>
      <c r="D71" s="17" t="inlineStr">
        <is>
          <t>Saída</t>
        </is>
      </c>
      <c r="E71" s="17">
        <f>IF($A71="","",$B$22)</f>
        <v/>
      </c>
      <c r="F71" s="17">
        <f>IF($A71="","",$C$22)</f>
        <v/>
      </c>
      <c r="G71" s="17">
        <f>IF($A71="","",$D$22)</f>
        <v/>
      </c>
      <c r="H71" s="9">
        <f>IF($A71="","",$E$22)</f>
        <v/>
      </c>
      <c r="I71" s="18">
        <f>IF($A71="","",$F$22)</f>
        <v/>
      </c>
      <c r="J71" s="17">
        <f>IF($A71="","",$I$22)</f>
        <v/>
      </c>
      <c r="K71" s="17">
        <f>IF($A71="","",$J$22)</f>
        <v/>
      </c>
      <c r="L71" s="17">
        <f>IF($A71="","",IF(COUNTIFS('LANÇAMENTOS'!$G$6:$G$2005,$F71,'LANÇAMENTOS'!$E$6:$E$2005,"Saída",'LANÇAMENTOS'!$Z$6:$Z$2005,MONTH($B71),'LANÇAMENTOS'!$AA$6:$AA$2005,YEAR($B71))&gt;0,"✔ Sim","— Não"))</f>
        <v/>
      </c>
    </row>
    <row r="72">
      <c r="A72" s="9">
        <f>IF(OR($A$23="",$K$23&lt;&gt;"Sim"),"",$A$23)</f>
        <v/>
      </c>
      <c r="B72" s="30">
        <f>IF($A72="","",EOMONTH($C72,-1)+1)</f>
        <v/>
      </c>
      <c r="C72" s="30">
        <f>IF($A72="","",IF(DATE(YEAR(TODAY()),MONTH(TODAY()),MIN($H$23,DAY(EOMONTH(TODAY(),0))))&lt;TODAY(),DATE(YEAR(EDATE(TODAY(),1)),MONTH(EDATE(TODAY(),1)),MIN($H$23,DAY(EOMONTH(EDATE(TODAY(),1),0)))),DATE(YEAR(TODAY()),MONTH(TODAY()),MIN($H$23,DAY(EOMONTH(TODAY(),0))))))</f>
        <v/>
      </c>
      <c r="D72" s="17" t="inlineStr">
        <is>
          <t>Saída</t>
        </is>
      </c>
      <c r="E72" s="17">
        <f>IF($A72="","",$B$23)</f>
        <v/>
      </c>
      <c r="F72" s="17">
        <f>IF($A72="","",$C$23)</f>
        <v/>
      </c>
      <c r="G72" s="17">
        <f>IF($A72="","",$D$23)</f>
        <v/>
      </c>
      <c r="H72" s="9">
        <f>IF($A72="","",$E$23)</f>
        <v/>
      </c>
      <c r="I72" s="18">
        <f>IF($A72="","",$F$23)</f>
        <v/>
      </c>
      <c r="J72" s="17">
        <f>IF($A72="","",$I$23)</f>
        <v/>
      </c>
      <c r="K72" s="17">
        <f>IF($A72="","",$J$23)</f>
        <v/>
      </c>
      <c r="L72" s="17">
        <f>IF($A72="","",IF(COUNTIFS('LANÇAMENTOS'!$G$6:$G$2005,$F72,'LANÇAMENTOS'!$E$6:$E$2005,"Saída",'LANÇAMENTOS'!$Z$6:$Z$2005,MONTH($B72),'LANÇAMENTOS'!$AA$6:$AA$2005,YEAR($B72))&gt;0,"✔ Sim","— Não"))</f>
        <v/>
      </c>
    </row>
    <row r="73">
      <c r="A73" s="9">
        <f>IF(OR($A$24="",$K$24&lt;&gt;"Sim"),"",$A$24)</f>
        <v/>
      </c>
      <c r="B73" s="30">
        <f>IF($A73="","",EOMONTH($C73,-1)+1)</f>
        <v/>
      </c>
      <c r="C73" s="30">
        <f>IF($A73="","",IF(DATE(YEAR(TODAY()),MONTH(TODAY()),MIN($H$24,DAY(EOMONTH(TODAY(),0))))&lt;TODAY(),DATE(YEAR(EDATE(TODAY(),1)),MONTH(EDATE(TODAY(),1)),MIN($H$24,DAY(EOMONTH(EDATE(TODAY(),1),0)))),DATE(YEAR(TODAY()),MONTH(TODAY()),MIN($H$24,DAY(EOMONTH(TODAY(),0))))))</f>
        <v/>
      </c>
      <c r="D73" s="17" t="inlineStr">
        <is>
          <t>Saída</t>
        </is>
      </c>
      <c r="E73" s="17">
        <f>IF($A73="","",$B$24)</f>
        <v/>
      </c>
      <c r="F73" s="17">
        <f>IF($A73="","",$C$24)</f>
        <v/>
      </c>
      <c r="G73" s="17">
        <f>IF($A73="","",$D$24)</f>
        <v/>
      </c>
      <c r="H73" s="9">
        <f>IF($A73="","",$E$24)</f>
        <v/>
      </c>
      <c r="I73" s="18">
        <f>IF($A73="","",$F$24)</f>
        <v/>
      </c>
      <c r="J73" s="17">
        <f>IF($A73="","",$I$24)</f>
        <v/>
      </c>
      <c r="K73" s="17">
        <f>IF($A73="","",$J$24)</f>
        <v/>
      </c>
      <c r="L73" s="17">
        <f>IF($A73="","",IF(COUNTIFS('LANÇAMENTOS'!$G$6:$G$2005,$F73,'LANÇAMENTOS'!$E$6:$E$2005,"Saída",'LANÇAMENTOS'!$Z$6:$Z$2005,MONTH($B73),'LANÇAMENTOS'!$AA$6:$AA$2005,YEAR($B73))&gt;0,"✔ Sim","— Não"))</f>
        <v/>
      </c>
    </row>
    <row r="74">
      <c r="A74" s="9">
        <f>IF(OR($A$25="",$K$25&lt;&gt;"Sim"),"",$A$25)</f>
        <v/>
      </c>
      <c r="B74" s="30">
        <f>IF($A74="","",EOMONTH($C74,-1)+1)</f>
        <v/>
      </c>
      <c r="C74" s="30">
        <f>IF($A74="","",IF(DATE(YEAR(TODAY()),MONTH(TODAY()),MIN($H$25,DAY(EOMONTH(TODAY(),0))))&lt;TODAY(),DATE(YEAR(EDATE(TODAY(),1)),MONTH(EDATE(TODAY(),1)),MIN($H$25,DAY(EOMONTH(EDATE(TODAY(),1),0)))),DATE(YEAR(TODAY()),MONTH(TODAY()),MIN($H$25,DAY(EOMONTH(TODAY(),0))))))</f>
        <v/>
      </c>
      <c r="D74" s="17" t="inlineStr">
        <is>
          <t>Saída</t>
        </is>
      </c>
      <c r="E74" s="17">
        <f>IF($A74="","",$B$25)</f>
        <v/>
      </c>
      <c r="F74" s="17">
        <f>IF($A74="","",$C$25)</f>
        <v/>
      </c>
      <c r="G74" s="17">
        <f>IF($A74="","",$D$25)</f>
        <v/>
      </c>
      <c r="H74" s="9">
        <f>IF($A74="","",$E$25)</f>
        <v/>
      </c>
      <c r="I74" s="18">
        <f>IF($A74="","",$F$25)</f>
        <v/>
      </c>
      <c r="J74" s="17">
        <f>IF($A74="","",$I$25)</f>
        <v/>
      </c>
      <c r="K74" s="17">
        <f>IF($A74="","",$J$25)</f>
        <v/>
      </c>
      <c r="L74" s="17">
        <f>IF($A74="","",IF(COUNTIFS('LANÇAMENTOS'!$G$6:$G$2005,$F74,'LANÇAMENTOS'!$E$6:$E$2005,"Saída",'LANÇAMENTOS'!$Z$6:$Z$2005,MONTH($B74),'LANÇAMENTOS'!$AA$6:$AA$2005,YEAR($B74))&gt;0,"✔ Sim","— Não"))</f>
        <v/>
      </c>
    </row>
    <row r="75">
      <c r="A75" s="9">
        <f>IF(OR($A$26="",$K$26&lt;&gt;"Sim"),"",$A$26)</f>
        <v/>
      </c>
      <c r="B75" s="30">
        <f>IF($A75="","",EOMONTH($C75,-1)+1)</f>
        <v/>
      </c>
      <c r="C75" s="30">
        <f>IF($A75="","",IF(DATE(YEAR(TODAY()),MONTH(TODAY()),MIN($H$26,DAY(EOMONTH(TODAY(),0))))&lt;TODAY(),DATE(YEAR(EDATE(TODAY(),1)),MONTH(EDATE(TODAY(),1)),MIN($H$26,DAY(EOMONTH(EDATE(TODAY(),1),0)))),DATE(YEAR(TODAY()),MONTH(TODAY()),MIN($H$26,DAY(EOMONTH(TODAY(),0))))))</f>
        <v/>
      </c>
      <c r="D75" s="17" t="inlineStr">
        <is>
          <t>Saída</t>
        </is>
      </c>
      <c r="E75" s="17">
        <f>IF($A75="","",$B$26)</f>
        <v/>
      </c>
      <c r="F75" s="17">
        <f>IF($A75="","",$C$26)</f>
        <v/>
      </c>
      <c r="G75" s="17">
        <f>IF($A75="","",$D$26)</f>
        <v/>
      </c>
      <c r="H75" s="9">
        <f>IF($A75="","",$E$26)</f>
        <v/>
      </c>
      <c r="I75" s="18">
        <f>IF($A75="","",$F$26)</f>
        <v/>
      </c>
      <c r="J75" s="17">
        <f>IF($A75="","",$I$26)</f>
        <v/>
      </c>
      <c r="K75" s="17">
        <f>IF($A75="","",$J$26)</f>
        <v/>
      </c>
      <c r="L75" s="17">
        <f>IF($A75="","",IF(COUNTIFS('LANÇAMENTOS'!$G$6:$G$2005,$F75,'LANÇAMENTOS'!$E$6:$E$2005,"Saída",'LANÇAMENTOS'!$Z$6:$Z$2005,MONTH($B75),'LANÇAMENTOS'!$AA$6:$AA$2005,YEAR($B75))&gt;0,"✔ Sim","— Não"))</f>
        <v/>
      </c>
    </row>
    <row r="76">
      <c r="A76" s="9">
        <f>IF(OR($A$27="",$K$27&lt;&gt;"Sim"),"",$A$27)</f>
        <v/>
      </c>
      <c r="B76" s="30">
        <f>IF($A76="","",EOMONTH($C76,-1)+1)</f>
        <v/>
      </c>
      <c r="C76" s="30">
        <f>IF($A76="","",IF(DATE(YEAR(TODAY()),MONTH(TODAY()),MIN($H$27,DAY(EOMONTH(TODAY(),0))))&lt;TODAY(),DATE(YEAR(EDATE(TODAY(),1)),MONTH(EDATE(TODAY(),1)),MIN($H$27,DAY(EOMONTH(EDATE(TODAY(),1),0)))),DATE(YEAR(TODAY()),MONTH(TODAY()),MIN($H$27,DAY(EOMONTH(TODAY(),0))))))</f>
        <v/>
      </c>
      <c r="D76" s="17" t="inlineStr">
        <is>
          <t>Saída</t>
        </is>
      </c>
      <c r="E76" s="17">
        <f>IF($A76="","",$B$27)</f>
        <v/>
      </c>
      <c r="F76" s="17">
        <f>IF($A76="","",$C$27)</f>
        <v/>
      </c>
      <c r="G76" s="17">
        <f>IF($A76="","",$D$27)</f>
        <v/>
      </c>
      <c r="H76" s="9">
        <f>IF($A76="","",$E$27)</f>
        <v/>
      </c>
      <c r="I76" s="18">
        <f>IF($A76="","",$F$27)</f>
        <v/>
      </c>
      <c r="J76" s="17">
        <f>IF($A76="","",$I$27)</f>
        <v/>
      </c>
      <c r="K76" s="17">
        <f>IF($A76="","",$J$27)</f>
        <v/>
      </c>
      <c r="L76" s="17">
        <f>IF($A76="","",IF(COUNTIFS('LANÇAMENTOS'!$G$6:$G$2005,$F76,'LANÇAMENTOS'!$E$6:$E$2005,"Saída",'LANÇAMENTOS'!$Z$6:$Z$2005,MONTH($B76),'LANÇAMENTOS'!$AA$6:$AA$2005,YEAR($B76))&gt;0,"✔ Sim","— Não"))</f>
        <v/>
      </c>
    </row>
    <row r="77">
      <c r="A77" s="9">
        <f>IF(OR($A$28="",$K$28&lt;&gt;"Sim"),"",$A$28)</f>
        <v/>
      </c>
      <c r="B77" s="30">
        <f>IF($A77="","",EOMONTH($C77,-1)+1)</f>
        <v/>
      </c>
      <c r="C77" s="30">
        <f>IF($A77="","",IF(DATE(YEAR(TODAY()),MONTH(TODAY()),MIN($H$28,DAY(EOMONTH(TODAY(),0))))&lt;TODAY(),DATE(YEAR(EDATE(TODAY(),1)),MONTH(EDATE(TODAY(),1)),MIN($H$28,DAY(EOMONTH(EDATE(TODAY(),1),0)))),DATE(YEAR(TODAY()),MONTH(TODAY()),MIN($H$28,DAY(EOMONTH(TODAY(),0))))))</f>
        <v/>
      </c>
      <c r="D77" s="17" t="inlineStr">
        <is>
          <t>Saída</t>
        </is>
      </c>
      <c r="E77" s="17">
        <f>IF($A77="","",$B$28)</f>
        <v/>
      </c>
      <c r="F77" s="17">
        <f>IF($A77="","",$C$28)</f>
        <v/>
      </c>
      <c r="G77" s="17">
        <f>IF($A77="","",$D$28)</f>
        <v/>
      </c>
      <c r="H77" s="9">
        <f>IF($A77="","",$E$28)</f>
        <v/>
      </c>
      <c r="I77" s="18">
        <f>IF($A77="","",$F$28)</f>
        <v/>
      </c>
      <c r="J77" s="17">
        <f>IF($A77="","",$I$28)</f>
        <v/>
      </c>
      <c r="K77" s="17">
        <f>IF($A77="","",$J$28)</f>
        <v/>
      </c>
      <c r="L77" s="17">
        <f>IF($A77="","",IF(COUNTIFS('LANÇAMENTOS'!$G$6:$G$2005,$F77,'LANÇAMENTOS'!$E$6:$E$2005,"Saída",'LANÇAMENTOS'!$Z$6:$Z$2005,MONTH($B77),'LANÇAMENTOS'!$AA$6:$AA$2005,YEAR($B77))&gt;0,"✔ Sim","— Não"))</f>
        <v/>
      </c>
    </row>
    <row r="78">
      <c r="A78" s="9">
        <f>IF(OR($A$29="",$K$29&lt;&gt;"Sim"),"",$A$29)</f>
        <v/>
      </c>
      <c r="B78" s="30">
        <f>IF($A78="","",EOMONTH($C78,-1)+1)</f>
        <v/>
      </c>
      <c r="C78" s="30">
        <f>IF($A78="","",IF(DATE(YEAR(TODAY()),MONTH(TODAY()),MIN($H$29,DAY(EOMONTH(TODAY(),0))))&lt;TODAY(),DATE(YEAR(EDATE(TODAY(),1)),MONTH(EDATE(TODAY(),1)),MIN($H$29,DAY(EOMONTH(EDATE(TODAY(),1),0)))),DATE(YEAR(TODAY()),MONTH(TODAY()),MIN($H$29,DAY(EOMONTH(TODAY(),0))))))</f>
        <v/>
      </c>
      <c r="D78" s="17" t="inlineStr">
        <is>
          <t>Saída</t>
        </is>
      </c>
      <c r="E78" s="17">
        <f>IF($A78="","",$B$29)</f>
        <v/>
      </c>
      <c r="F78" s="17">
        <f>IF($A78="","",$C$29)</f>
        <v/>
      </c>
      <c r="G78" s="17">
        <f>IF($A78="","",$D$29)</f>
        <v/>
      </c>
      <c r="H78" s="9">
        <f>IF($A78="","",$E$29)</f>
        <v/>
      </c>
      <c r="I78" s="18">
        <f>IF($A78="","",$F$29)</f>
        <v/>
      </c>
      <c r="J78" s="17">
        <f>IF($A78="","",$I$29)</f>
        <v/>
      </c>
      <c r="K78" s="17">
        <f>IF($A78="","",$J$29)</f>
        <v/>
      </c>
      <c r="L78" s="17">
        <f>IF($A78="","",IF(COUNTIFS('LANÇAMENTOS'!$G$6:$G$2005,$F78,'LANÇAMENTOS'!$E$6:$E$2005,"Saída",'LANÇAMENTOS'!$Z$6:$Z$2005,MONTH($B78),'LANÇAMENTOS'!$AA$6:$AA$2005,YEAR($B78))&gt;0,"✔ Sim","— Não"))</f>
        <v/>
      </c>
    </row>
    <row r="79">
      <c r="A79" s="9">
        <f>IF(OR($A$30="",$K$30&lt;&gt;"Sim"),"",$A$30)</f>
        <v/>
      </c>
      <c r="B79" s="30">
        <f>IF($A79="","",EOMONTH($C79,-1)+1)</f>
        <v/>
      </c>
      <c r="C79" s="30">
        <f>IF($A79="","",IF(DATE(YEAR(TODAY()),MONTH(TODAY()),MIN($H$30,DAY(EOMONTH(TODAY(),0))))&lt;TODAY(),DATE(YEAR(EDATE(TODAY(),1)),MONTH(EDATE(TODAY(),1)),MIN($H$30,DAY(EOMONTH(EDATE(TODAY(),1),0)))),DATE(YEAR(TODAY()),MONTH(TODAY()),MIN($H$30,DAY(EOMONTH(TODAY(),0))))))</f>
        <v/>
      </c>
      <c r="D79" s="17" t="inlineStr">
        <is>
          <t>Saída</t>
        </is>
      </c>
      <c r="E79" s="17">
        <f>IF($A79="","",$B$30)</f>
        <v/>
      </c>
      <c r="F79" s="17">
        <f>IF($A79="","",$C$30)</f>
        <v/>
      </c>
      <c r="G79" s="17">
        <f>IF($A79="","",$D$30)</f>
        <v/>
      </c>
      <c r="H79" s="9">
        <f>IF($A79="","",$E$30)</f>
        <v/>
      </c>
      <c r="I79" s="18">
        <f>IF($A79="","",$F$30)</f>
        <v/>
      </c>
      <c r="J79" s="17">
        <f>IF($A79="","",$I$30)</f>
        <v/>
      </c>
      <c r="K79" s="17">
        <f>IF($A79="","",$J$30)</f>
        <v/>
      </c>
      <c r="L79" s="17">
        <f>IF($A79="","",IF(COUNTIFS('LANÇAMENTOS'!$G$6:$G$2005,$F79,'LANÇAMENTOS'!$E$6:$E$2005,"Saída",'LANÇAMENTOS'!$Z$6:$Z$2005,MONTH($B79),'LANÇAMENTOS'!$AA$6:$AA$2005,YEAR($B79))&gt;0,"✔ Sim","— Não"))</f>
        <v/>
      </c>
    </row>
    <row r="80">
      <c r="A80" s="9">
        <f>IF(OR($A$31="",$K$31&lt;&gt;"Sim"),"",$A$31)</f>
        <v/>
      </c>
      <c r="B80" s="30">
        <f>IF($A80="","",EOMONTH($C80,-1)+1)</f>
        <v/>
      </c>
      <c r="C80" s="30">
        <f>IF($A80="","",IF(DATE(YEAR(TODAY()),MONTH(TODAY()),MIN($H$31,DAY(EOMONTH(TODAY(),0))))&lt;TODAY(),DATE(YEAR(EDATE(TODAY(),1)),MONTH(EDATE(TODAY(),1)),MIN($H$31,DAY(EOMONTH(EDATE(TODAY(),1),0)))),DATE(YEAR(TODAY()),MONTH(TODAY()),MIN($H$31,DAY(EOMONTH(TODAY(),0))))))</f>
        <v/>
      </c>
      <c r="D80" s="17" t="inlineStr">
        <is>
          <t>Saída</t>
        </is>
      </c>
      <c r="E80" s="17">
        <f>IF($A80="","",$B$31)</f>
        <v/>
      </c>
      <c r="F80" s="17">
        <f>IF($A80="","",$C$31)</f>
        <v/>
      </c>
      <c r="G80" s="17">
        <f>IF($A80="","",$D$31)</f>
        <v/>
      </c>
      <c r="H80" s="9">
        <f>IF($A80="","",$E$31)</f>
        <v/>
      </c>
      <c r="I80" s="18">
        <f>IF($A80="","",$F$31)</f>
        <v/>
      </c>
      <c r="J80" s="17">
        <f>IF($A80="","",$I$31)</f>
        <v/>
      </c>
      <c r="K80" s="17">
        <f>IF($A80="","",$J$31)</f>
        <v/>
      </c>
      <c r="L80" s="17">
        <f>IF($A80="","",IF(COUNTIFS('LANÇAMENTOS'!$G$6:$G$2005,$F80,'LANÇAMENTOS'!$E$6:$E$2005,"Saída",'LANÇAMENTOS'!$Z$6:$Z$2005,MONTH($B80),'LANÇAMENTOS'!$AA$6:$AA$2005,YEAR($B80))&gt;0,"✔ Sim","— Não"))</f>
        <v/>
      </c>
    </row>
    <row r="81">
      <c r="A81" s="9">
        <f>IF(OR($A$32="",$K$32&lt;&gt;"Sim"),"",$A$32)</f>
        <v/>
      </c>
      <c r="B81" s="30">
        <f>IF($A81="","",EOMONTH($C81,-1)+1)</f>
        <v/>
      </c>
      <c r="C81" s="30">
        <f>IF($A81="","",IF(DATE(YEAR(TODAY()),MONTH(TODAY()),MIN($H$32,DAY(EOMONTH(TODAY(),0))))&lt;TODAY(),DATE(YEAR(EDATE(TODAY(),1)),MONTH(EDATE(TODAY(),1)),MIN($H$32,DAY(EOMONTH(EDATE(TODAY(),1),0)))),DATE(YEAR(TODAY()),MONTH(TODAY()),MIN($H$32,DAY(EOMONTH(TODAY(),0))))))</f>
        <v/>
      </c>
      <c r="D81" s="17" t="inlineStr">
        <is>
          <t>Saída</t>
        </is>
      </c>
      <c r="E81" s="17">
        <f>IF($A81="","",$B$32)</f>
        <v/>
      </c>
      <c r="F81" s="17">
        <f>IF($A81="","",$C$32)</f>
        <v/>
      </c>
      <c r="G81" s="17">
        <f>IF($A81="","",$D$32)</f>
        <v/>
      </c>
      <c r="H81" s="9">
        <f>IF($A81="","",$E$32)</f>
        <v/>
      </c>
      <c r="I81" s="18">
        <f>IF($A81="","",$F$32)</f>
        <v/>
      </c>
      <c r="J81" s="17">
        <f>IF($A81="","",$I$32)</f>
        <v/>
      </c>
      <c r="K81" s="17">
        <f>IF($A81="","",$J$32)</f>
        <v/>
      </c>
      <c r="L81" s="17">
        <f>IF($A81="","",IF(COUNTIFS('LANÇAMENTOS'!$G$6:$G$2005,$F81,'LANÇAMENTOS'!$E$6:$E$2005,"Saída",'LANÇAMENTOS'!$Z$6:$Z$2005,MONTH($B81),'LANÇAMENTOS'!$AA$6:$AA$2005,YEAR($B81))&gt;0,"✔ Sim","— Não"))</f>
        <v/>
      </c>
    </row>
    <row r="82">
      <c r="A82" s="9">
        <f>IF(OR($A$33="",$K$33&lt;&gt;"Sim"),"",$A$33)</f>
        <v/>
      </c>
      <c r="B82" s="30">
        <f>IF($A82="","",EOMONTH($C82,-1)+1)</f>
        <v/>
      </c>
      <c r="C82" s="30">
        <f>IF($A82="","",IF(DATE(YEAR(TODAY()),MONTH(TODAY()),MIN($H$33,DAY(EOMONTH(TODAY(),0))))&lt;TODAY(),DATE(YEAR(EDATE(TODAY(),1)),MONTH(EDATE(TODAY(),1)),MIN($H$33,DAY(EOMONTH(EDATE(TODAY(),1),0)))),DATE(YEAR(TODAY()),MONTH(TODAY()),MIN($H$33,DAY(EOMONTH(TODAY(),0))))))</f>
        <v/>
      </c>
      <c r="D82" s="17" t="inlineStr">
        <is>
          <t>Saída</t>
        </is>
      </c>
      <c r="E82" s="17">
        <f>IF($A82="","",$B$33)</f>
        <v/>
      </c>
      <c r="F82" s="17">
        <f>IF($A82="","",$C$33)</f>
        <v/>
      </c>
      <c r="G82" s="17">
        <f>IF($A82="","",$D$33)</f>
        <v/>
      </c>
      <c r="H82" s="9">
        <f>IF($A82="","",$E$33)</f>
        <v/>
      </c>
      <c r="I82" s="18">
        <f>IF($A82="","",$F$33)</f>
        <v/>
      </c>
      <c r="J82" s="17">
        <f>IF($A82="","",$I$33)</f>
        <v/>
      </c>
      <c r="K82" s="17">
        <f>IF($A82="","",$J$33)</f>
        <v/>
      </c>
      <c r="L82" s="17">
        <f>IF($A82="","",IF(COUNTIFS('LANÇAMENTOS'!$G$6:$G$2005,$F82,'LANÇAMENTOS'!$E$6:$E$2005,"Saída",'LANÇAMENTOS'!$Z$6:$Z$2005,MONTH($B82),'LANÇAMENTOS'!$AA$6:$AA$2005,YEAR($B82))&gt;0,"✔ Sim","— Não"))</f>
        <v/>
      </c>
    </row>
    <row r="83">
      <c r="A83" s="9">
        <f>IF(OR($A$34="",$K$34&lt;&gt;"Sim"),"",$A$34)</f>
        <v/>
      </c>
      <c r="B83" s="30">
        <f>IF($A83="","",EOMONTH($C83,-1)+1)</f>
        <v/>
      </c>
      <c r="C83" s="30">
        <f>IF($A83="","",IF(DATE(YEAR(TODAY()),MONTH(TODAY()),MIN($H$34,DAY(EOMONTH(TODAY(),0))))&lt;TODAY(),DATE(YEAR(EDATE(TODAY(),1)),MONTH(EDATE(TODAY(),1)),MIN($H$34,DAY(EOMONTH(EDATE(TODAY(),1),0)))),DATE(YEAR(TODAY()),MONTH(TODAY()),MIN($H$34,DAY(EOMONTH(TODAY(),0))))))</f>
        <v/>
      </c>
      <c r="D83" s="17" t="inlineStr">
        <is>
          <t>Saída</t>
        </is>
      </c>
      <c r="E83" s="17">
        <f>IF($A83="","",$B$34)</f>
        <v/>
      </c>
      <c r="F83" s="17">
        <f>IF($A83="","",$C$34)</f>
        <v/>
      </c>
      <c r="G83" s="17">
        <f>IF($A83="","",$D$34)</f>
        <v/>
      </c>
      <c r="H83" s="9">
        <f>IF($A83="","",$E$34)</f>
        <v/>
      </c>
      <c r="I83" s="18">
        <f>IF($A83="","",$F$34)</f>
        <v/>
      </c>
      <c r="J83" s="17">
        <f>IF($A83="","",$I$34)</f>
        <v/>
      </c>
      <c r="K83" s="17">
        <f>IF($A83="","",$J$34)</f>
        <v/>
      </c>
      <c r="L83" s="17">
        <f>IF($A83="","",IF(COUNTIFS('LANÇAMENTOS'!$G$6:$G$2005,$F83,'LANÇAMENTOS'!$E$6:$E$2005,"Saída",'LANÇAMENTOS'!$Z$6:$Z$2005,MONTH($B83),'LANÇAMENTOS'!$AA$6:$AA$2005,YEAR($B83))&gt;0,"✔ Sim","— Não"))</f>
        <v/>
      </c>
    </row>
    <row r="84">
      <c r="A84" s="9">
        <f>IF(OR($A$35="",$K$35&lt;&gt;"Sim"),"",$A$35)</f>
        <v/>
      </c>
      <c r="B84" s="30">
        <f>IF($A84="","",EOMONTH($C84,-1)+1)</f>
        <v/>
      </c>
      <c r="C84" s="30">
        <f>IF($A84="","",IF(DATE(YEAR(TODAY()),MONTH(TODAY()),MIN($H$35,DAY(EOMONTH(TODAY(),0))))&lt;TODAY(),DATE(YEAR(EDATE(TODAY(),1)),MONTH(EDATE(TODAY(),1)),MIN($H$35,DAY(EOMONTH(EDATE(TODAY(),1),0)))),DATE(YEAR(TODAY()),MONTH(TODAY()),MIN($H$35,DAY(EOMONTH(TODAY(),0))))))</f>
        <v/>
      </c>
      <c r="D84" s="17" t="inlineStr">
        <is>
          <t>Saída</t>
        </is>
      </c>
      <c r="E84" s="17">
        <f>IF($A84="","",$B$35)</f>
        <v/>
      </c>
      <c r="F84" s="17">
        <f>IF($A84="","",$C$35)</f>
        <v/>
      </c>
      <c r="G84" s="17">
        <f>IF($A84="","",$D$35)</f>
        <v/>
      </c>
      <c r="H84" s="9">
        <f>IF($A84="","",$E$35)</f>
        <v/>
      </c>
      <c r="I84" s="18">
        <f>IF($A84="","",$F$35)</f>
        <v/>
      </c>
      <c r="J84" s="17">
        <f>IF($A84="","",$I$35)</f>
        <v/>
      </c>
      <c r="K84" s="17">
        <f>IF($A84="","",$J$35)</f>
        <v/>
      </c>
      <c r="L84" s="17">
        <f>IF($A84="","",IF(COUNTIFS('LANÇAMENTOS'!$G$6:$G$2005,$F84,'LANÇAMENTOS'!$E$6:$E$2005,"Saída",'LANÇAMENTOS'!$Z$6:$Z$2005,MONTH($B84),'LANÇAMENTOS'!$AA$6:$AA$2005,YEAR($B84))&gt;0,"✔ Sim","— Não"))</f>
        <v/>
      </c>
    </row>
    <row r="85">
      <c r="A85" s="9">
        <f>IF(OR($A$36="",$K$36&lt;&gt;"Sim"),"",$A$36)</f>
        <v/>
      </c>
      <c r="B85" s="30">
        <f>IF($A85="","",EOMONTH($C85,-1)+1)</f>
        <v/>
      </c>
      <c r="C85" s="30">
        <f>IF($A85="","",IF(DATE(YEAR(TODAY()),MONTH(TODAY()),MIN($H$36,DAY(EOMONTH(TODAY(),0))))&lt;TODAY(),DATE(YEAR(EDATE(TODAY(),1)),MONTH(EDATE(TODAY(),1)),MIN($H$36,DAY(EOMONTH(EDATE(TODAY(),1),0)))),DATE(YEAR(TODAY()),MONTH(TODAY()),MIN($H$36,DAY(EOMONTH(TODAY(),0))))))</f>
        <v/>
      </c>
      <c r="D85" s="17" t="inlineStr">
        <is>
          <t>Saída</t>
        </is>
      </c>
      <c r="E85" s="17">
        <f>IF($A85="","",$B$36)</f>
        <v/>
      </c>
      <c r="F85" s="17">
        <f>IF($A85="","",$C$36)</f>
        <v/>
      </c>
      <c r="G85" s="17">
        <f>IF($A85="","",$D$36)</f>
        <v/>
      </c>
      <c r="H85" s="9">
        <f>IF($A85="","",$E$36)</f>
        <v/>
      </c>
      <c r="I85" s="18">
        <f>IF($A85="","",$F$36)</f>
        <v/>
      </c>
      <c r="J85" s="17">
        <f>IF($A85="","",$I$36)</f>
        <v/>
      </c>
      <c r="K85" s="17">
        <f>IF($A85="","",$J$36)</f>
        <v/>
      </c>
      <c r="L85" s="17">
        <f>IF($A85="","",IF(COUNTIFS('LANÇAMENTOS'!$G$6:$G$2005,$F85,'LANÇAMENTOS'!$E$6:$E$2005,"Saída",'LANÇAMENTOS'!$Z$6:$Z$2005,MONTH($B85),'LANÇAMENTOS'!$AA$6:$AA$2005,YEAR($B85))&gt;0,"✔ Sim","— Não"))</f>
        <v/>
      </c>
    </row>
    <row r="86">
      <c r="A86" s="9">
        <f>IF(OR($A$37="",$K$37&lt;&gt;"Sim"),"",$A$37)</f>
        <v/>
      </c>
      <c r="B86" s="30">
        <f>IF($A86="","",EOMONTH($C86,-1)+1)</f>
        <v/>
      </c>
      <c r="C86" s="30">
        <f>IF($A86="","",IF(DATE(YEAR(TODAY()),MONTH(TODAY()),MIN($H$37,DAY(EOMONTH(TODAY(),0))))&lt;TODAY(),DATE(YEAR(EDATE(TODAY(),1)),MONTH(EDATE(TODAY(),1)),MIN($H$37,DAY(EOMONTH(EDATE(TODAY(),1),0)))),DATE(YEAR(TODAY()),MONTH(TODAY()),MIN($H$37,DAY(EOMONTH(TODAY(),0))))))</f>
        <v/>
      </c>
      <c r="D86" s="17" t="inlineStr">
        <is>
          <t>Saída</t>
        </is>
      </c>
      <c r="E86" s="17">
        <f>IF($A86="","",$B$37)</f>
        <v/>
      </c>
      <c r="F86" s="17">
        <f>IF($A86="","",$C$37)</f>
        <v/>
      </c>
      <c r="G86" s="17">
        <f>IF($A86="","",$D$37)</f>
        <v/>
      </c>
      <c r="H86" s="9">
        <f>IF($A86="","",$E$37)</f>
        <v/>
      </c>
      <c r="I86" s="18">
        <f>IF($A86="","",$F$37)</f>
        <v/>
      </c>
      <c r="J86" s="17">
        <f>IF($A86="","",$I$37)</f>
        <v/>
      </c>
      <c r="K86" s="17">
        <f>IF($A86="","",$J$37)</f>
        <v/>
      </c>
      <c r="L86" s="17">
        <f>IF($A86="","",IF(COUNTIFS('LANÇAMENTOS'!$G$6:$G$2005,$F86,'LANÇAMENTOS'!$E$6:$E$2005,"Saída",'LANÇAMENTOS'!$Z$6:$Z$2005,MONTH($B86),'LANÇAMENTOS'!$AA$6:$AA$2005,YEAR($B86))&gt;0,"✔ Sim","— Não"))</f>
        <v/>
      </c>
    </row>
    <row r="87">
      <c r="A87" s="9">
        <f>IF(OR($A$38="",$K$38&lt;&gt;"Sim"),"",$A$38)</f>
        <v/>
      </c>
      <c r="B87" s="30">
        <f>IF($A87="","",EOMONTH($C87,-1)+1)</f>
        <v/>
      </c>
      <c r="C87" s="30">
        <f>IF($A87="","",IF(DATE(YEAR(TODAY()),MONTH(TODAY()),MIN($H$38,DAY(EOMONTH(TODAY(),0))))&lt;TODAY(),DATE(YEAR(EDATE(TODAY(),1)),MONTH(EDATE(TODAY(),1)),MIN($H$38,DAY(EOMONTH(EDATE(TODAY(),1),0)))),DATE(YEAR(TODAY()),MONTH(TODAY()),MIN($H$38,DAY(EOMONTH(TODAY(),0))))))</f>
        <v/>
      </c>
      <c r="D87" s="17" t="inlineStr">
        <is>
          <t>Saída</t>
        </is>
      </c>
      <c r="E87" s="17">
        <f>IF($A87="","",$B$38)</f>
        <v/>
      </c>
      <c r="F87" s="17">
        <f>IF($A87="","",$C$38)</f>
        <v/>
      </c>
      <c r="G87" s="17">
        <f>IF($A87="","",$D$38)</f>
        <v/>
      </c>
      <c r="H87" s="9">
        <f>IF($A87="","",$E$38)</f>
        <v/>
      </c>
      <c r="I87" s="18">
        <f>IF($A87="","",$F$38)</f>
        <v/>
      </c>
      <c r="J87" s="17">
        <f>IF($A87="","",$I$38)</f>
        <v/>
      </c>
      <c r="K87" s="17">
        <f>IF($A87="","",$J$38)</f>
        <v/>
      </c>
      <c r="L87" s="17">
        <f>IF($A87="","",IF(COUNTIFS('LANÇAMENTOS'!$G$6:$G$2005,$F87,'LANÇAMENTOS'!$E$6:$E$2005,"Saída",'LANÇAMENTOS'!$Z$6:$Z$2005,MONTH($B87),'LANÇAMENTOS'!$AA$6:$AA$2005,YEAR($B87))&gt;0,"✔ Sim","— Não"))</f>
        <v/>
      </c>
    </row>
    <row r="88">
      <c r="A88" s="9">
        <f>IF(OR($A$39="",$K$39&lt;&gt;"Sim"),"",$A$39)</f>
        <v/>
      </c>
      <c r="B88" s="30">
        <f>IF($A88="","",EOMONTH($C88,-1)+1)</f>
        <v/>
      </c>
      <c r="C88" s="30">
        <f>IF($A88="","",IF(DATE(YEAR(TODAY()),MONTH(TODAY()),MIN($H$39,DAY(EOMONTH(TODAY(),0))))&lt;TODAY(),DATE(YEAR(EDATE(TODAY(),1)),MONTH(EDATE(TODAY(),1)),MIN($H$39,DAY(EOMONTH(EDATE(TODAY(),1),0)))),DATE(YEAR(TODAY()),MONTH(TODAY()),MIN($H$39,DAY(EOMONTH(TODAY(),0))))))</f>
        <v/>
      </c>
      <c r="D88" s="17" t="inlineStr">
        <is>
          <t>Saída</t>
        </is>
      </c>
      <c r="E88" s="17">
        <f>IF($A88="","",$B$39)</f>
        <v/>
      </c>
      <c r="F88" s="17">
        <f>IF($A88="","",$C$39)</f>
        <v/>
      </c>
      <c r="G88" s="17">
        <f>IF($A88="","",$D$39)</f>
        <v/>
      </c>
      <c r="H88" s="9">
        <f>IF($A88="","",$E$39)</f>
        <v/>
      </c>
      <c r="I88" s="18">
        <f>IF($A88="","",$F$39)</f>
        <v/>
      </c>
      <c r="J88" s="17">
        <f>IF($A88="","",$I$39)</f>
        <v/>
      </c>
      <c r="K88" s="17">
        <f>IF($A88="","",$J$39)</f>
        <v/>
      </c>
      <c r="L88" s="17">
        <f>IF($A88="","",IF(COUNTIFS('LANÇAMENTOS'!$G$6:$G$2005,$F88,'LANÇAMENTOS'!$E$6:$E$2005,"Saída",'LANÇAMENTOS'!$Z$6:$Z$2005,MONTH($B88),'LANÇAMENTOS'!$AA$6:$AA$2005,YEAR($B88))&gt;0,"✔ Sim","— Não"))</f>
        <v/>
      </c>
    </row>
    <row r="89">
      <c r="A89" s="9">
        <f>IF(OR($A$40="",$K$40&lt;&gt;"Sim"),"",$A$40)</f>
        <v/>
      </c>
      <c r="B89" s="30">
        <f>IF($A89="","",EOMONTH($C89,-1)+1)</f>
        <v/>
      </c>
      <c r="C89" s="30">
        <f>IF($A89="","",IF(DATE(YEAR(TODAY()),MONTH(TODAY()),MIN($H$40,DAY(EOMONTH(TODAY(),0))))&lt;TODAY(),DATE(YEAR(EDATE(TODAY(),1)),MONTH(EDATE(TODAY(),1)),MIN($H$40,DAY(EOMONTH(EDATE(TODAY(),1),0)))),DATE(YEAR(TODAY()),MONTH(TODAY()),MIN($H$40,DAY(EOMONTH(TODAY(),0))))))</f>
        <v/>
      </c>
      <c r="D89" s="17" t="inlineStr">
        <is>
          <t>Saída</t>
        </is>
      </c>
      <c r="E89" s="17">
        <f>IF($A89="","",$B$40)</f>
        <v/>
      </c>
      <c r="F89" s="17">
        <f>IF($A89="","",$C$40)</f>
        <v/>
      </c>
      <c r="G89" s="17">
        <f>IF($A89="","",$D$40)</f>
        <v/>
      </c>
      <c r="H89" s="9">
        <f>IF($A89="","",$E$40)</f>
        <v/>
      </c>
      <c r="I89" s="18">
        <f>IF($A89="","",$F$40)</f>
        <v/>
      </c>
      <c r="J89" s="17">
        <f>IF($A89="","",$I$40)</f>
        <v/>
      </c>
      <c r="K89" s="17">
        <f>IF($A89="","",$J$40)</f>
        <v/>
      </c>
      <c r="L89" s="17">
        <f>IF($A89="","",IF(COUNTIFS('LANÇAMENTOS'!$G$6:$G$2005,$F89,'LANÇAMENTOS'!$E$6:$E$2005,"Saída",'LANÇAMENTOS'!$Z$6:$Z$2005,MONTH($B89),'LANÇAMENTOS'!$AA$6:$AA$2005,YEAR($B89))&gt;0,"✔ Sim","— Não"))</f>
        <v/>
      </c>
    </row>
    <row r="90">
      <c r="A90" s="9">
        <f>IF(OR($A$41="",$K$41&lt;&gt;"Sim"),"",$A$41)</f>
        <v/>
      </c>
      <c r="B90" s="30">
        <f>IF($A90="","",EOMONTH($C90,-1)+1)</f>
        <v/>
      </c>
      <c r="C90" s="30">
        <f>IF($A90="","",IF(DATE(YEAR(TODAY()),MONTH(TODAY()),MIN($H$41,DAY(EOMONTH(TODAY(),0))))&lt;TODAY(),DATE(YEAR(EDATE(TODAY(),1)),MONTH(EDATE(TODAY(),1)),MIN($H$41,DAY(EOMONTH(EDATE(TODAY(),1),0)))),DATE(YEAR(TODAY()),MONTH(TODAY()),MIN($H$41,DAY(EOMONTH(TODAY(),0))))))</f>
        <v/>
      </c>
      <c r="D90" s="17" t="inlineStr">
        <is>
          <t>Saída</t>
        </is>
      </c>
      <c r="E90" s="17">
        <f>IF($A90="","",$B$41)</f>
        <v/>
      </c>
      <c r="F90" s="17">
        <f>IF($A90="","",$C$41)</f>
        <v/>
      </c>
      <c r="G90" s="17">
        <f>IF($A90="","",$D$41)</f>
        <v/>
      </c>
      <c r="H90" s="9">
        <f>IF($A90="","",$E$41)</f>
        <v/>
      </c>
      <c r="I90" s="18">
        <f>IF($A90="","",$F$41)</f>
        <v/>
      </c>
      <c r="J90" s="17">
        <f>IF($A90="","",$I$41)</f>
        <v/>
      </c>
      <c r="K90" s="17">
        <f>IF($A90="","",$J$41)</f>
        <v/>
      </c>
      <c r="L90" s="17">
        <f>IF($A90="","",IF(COUNTIFS('LANÇAMENTOS'!$G$6:$G$2005,$F90,'LANÇAMENTOS'!$E$6:$E$2005,"Saída",'LANÇAMENTOS'!$Z$6:$Z$2005,MONTH($B90),'LANÇAMENTOS'!$AA$6:$AA$2005,YEAR($B90))&gt;0,"✔ Sim","— Não"))</f>
        <v/>
      </c>
    </row>
    <row r="91">
      <c r="A91" s="9">
        <f>IF(OR($A$42="",$K$42&lt;&gt;"Sim"),"",$A$42)</f>
        <v/>
      </c>
      <c r="B91" s="30">
        <f>IF($A91="","",EOMONTH($C91,-1)+1)</f>
        <v/>
      </c>
      <c r="C91" s="30">
        <f>IF($A91="","",IF(DATE(YEAR(TODAY()),MONTH(TODAY()),MIN($H$42,DAY(EOMONTH(TODAY(),0))))&lt;TODAY(),DATE(YEAR(EDATE(TODAY(),1)),MONTH(EDATE(TODAY(),1)),MIN($H$42,DAY(EOMONTH(EDATE(TODAY(),1),0)))),DATE(YEAR(TODAY()),MONTH(TODAY()),MIN($H$42,DAY(EOMONTH(TODAY(),0))))))</f>
        <v/>
      </c>
      <c r="D91" s="17" t="inlineStr">
        <is>
          <t>Saída</t>
        </is>
      </c>
      <c r="E91" s="17">
        <f>IF($A91="","",$B$42)</f>
        <v/>
      </c>
      <c r="F91" s="17">
        <f>IF($A91="","",$C$42)</f>
        <v/>
      </c>
      <c r="G91" s="17">
        <f>IF($A91="","",$D$42)</f>
        <v/>
      </c>
      <c r="H91" s="9">
        <f>IF($A91="","",$E$42)</f>
        <v/>
      </c>
      <c r="I91" s="18">
        <f>IF($A91="","",$F$42)</f>
        <v/>
      </c>
      <c r="J91" s="17">
        <f>IF($A91="","",$I$42)</f>
        <v/>
      </c>
      <c r="K91" s="17">
        <f>IF($A91="","",$J$42)</f>
        <v/>
      </c>
      <c r="L91" s="17">
        <f>IF($A91="","",IF(COUNTIFS('LANÇAMENTOS'!$G$6:$G$2005,$F91,'LANÇAMENTOS'!$E$6:$E$2005,"Saída",'LANÇAMENTOS'!$Z$6:$Z$2005,MONTH($B91),'LANÇAMENTOS'!$AA$6:$AA$2005,YEAR($B91))&gt;0,"✔ Sim","— Não"))</f>
        <v/>
      </c>
    </row>
    <row r="92">
      <c r="A92" s="9">
        <f>IF(OR($A$43="",$K$43&lt;&gt;"Sim"),"",$A$43)</f>
        <v/>
      </c>
      <c r="B92" s="30">
        <f>IF($A92="","",EOMONTH($C92,-1)+1)</f>
        <v/>
      </c>
      <c r="C92" s="30">
        <f>IF($A92="","",IF(DATE(YEAR(TODAY()),MONTH(TODAY()),MIN($H$43,DAY(EOMONTH(TODAY(),0))))&lt;TODAY(),DATE(YEAR(EDATE(TODAY(),1)),MONTH(EDATE(TODAY(),1)),MIN($H$43,DAY(EOMONTH(EDATE(TODAY(),1),0)))),DATE(YEAR(TODAY()),MONTH(TODAY()),MIN($H$43,DAY(EOMONTH(TODAY(),0))))))</f>
        <v/>
      </c>
      <c r="D92" s="17" t="inlineStr">
        <is>
          <t>Saída</t>
        </is>
      </c>
      <c r="E92" s="17">
        <f>IF($A92="","",$B$43)</f>
        <v/>
      </c>
      <c r="F92" s="17">
        <f>IF($A92="","",$C$43)</f>
        <v/>
      </c>
      <c r="G92" s="17">
        <f>IF($A92="","",$D$43)</f>
        <v/>
      </c>
      <c r="H92" s="9">
        <f>IF($A92="","",$E$43)</f>
        <v/>
      </c>
      <c r="I92" s="18">
        <f>IF($A92="","",$F$43)</f>
        <v/>
      </c>
      <c r="J92" s="17">
        <f>IF($A92="","",$I$43)</f>
        <v/>
      </c>
      <c r="K92" s="17">
        <f>IF($A92="","",$J$43)</f>
        <v/>
      </c>
      <c r="L92" s="17">
        <f>IF($A92="","",IF(COUNTIFS('LANÇAMENTOS'!$G$6:$G$2005,$F92,'LANÇAMENTOS'!$E$6:$E$2005,"Saída",'LANÇAMENTOS'!$Z$6:$Z$2005,MONTH($B92),'LANÇAMENTOS'!$AA$6:$AA$2005,YEAR($B92))&gt;0,"✔ Sim","— Não"))</f>
        <v/>
      </c>
    </row>
    <row r="93">
      <c r="A93" s="9">
        <f>IF(OR($A$44="",$K$44&lt;&gt;"Sim"),"",$A$44)</f>
        <v/>
      </c>
      <c r="B93" s="30">
        <f>IF($A93="","",EOMONTH($C93,-1)+1)</f>
        <v/>
      </c>
      <c r="C93" s="30">
        <f>IF($A93="","",IF(DATE(YEAR(TODAY()),MONTH(TODAY()),MIN($H$44,DAY(EOMONTH(TODAY(),0))))&lt;TODAY(),DATE(YEAR(EDATE(TODAY(),1)),MONTH(EDATE(TODAY(),1)),MIN($H$44,DAY(EOMONTH(EDATE(TODAY(),1),0)))),DATE(YEAR(TODAY()),MONTH(TODAY()),MIN($H$44,DAY(EOMONTH(TODAY(),0))))))</f>
        <v/>
      </c>
      <c r="D93" s="17" t="inlineStr">
        <is>
          <t>Saída</t>
        </is>
      </c>
      <c r="E93" s="17">
        <f>IF($A93="","",$B$44)</f>
        <v/>
      </c>
      <c r="F93" s="17">
        <f>IF($A93="","",$C$44)</f>
        <v/>
      </c>
      <c r="G93" s="17">
        <f>IF($A93="","",$D$44)</f>
        <v/>
      </c>
      <c r="H93" s="9">
        <f>IF($A93="","",$E$44)</f>
        <v/>
      </c>
      <c r="I93" s="18">
        <f>IF($A93="","",$F$44)</f>
        <v/>
      </c>
      <c r="J93" s="17">
        <f>IF($A93="","",$I$44)</f>
        <v/>
      </c>
      <c r="K93" s="17">
        <f>IF($A93="","",$J$44)</f>
        <v/>
      </c>
      <c r="L93" s="17">
        <f>IF($A93="","",IF(COUNTIFS('LANÇAMENTOS'!$G$6:$G$2005,$F93,'LANÇAMENTOS'!$E$6:$E$2005,"Saída",'LANÇAMENTOS'!$Z$6:$Z$2005,MONTH($B93),'LANÇAMENTOS'!$AA$6:$AA$2005,YEAR($B93))&gt;0,"✔ Sim","— Não"))</f>
        <v/>
      </c>
    </row>
    <row r="94">
      <c r="A94" s="37" t="inlineStr">
        <is>
          <t>TOTAL A LANÇAR</t>
        </is>
      </c>
      <c r="B94" s="30">
        <f>IF($A94="","",EOMONTH($C94,-1)+1)</f>
        <v/>
      </c>
      <c r="C94" s="30">
        <f>IF($A94="","",IF(DATE(YEAR(TODAY()),MONTH(TODAY()),MIN($H$45,DAY(EOMONTH(TODAY(),0))))&lt;TODAY(),DATE(YEAR(EDATE(TODAY(),1)),MONTH(EDATE(TODAY(),1)),MIN($H$45,DAY(EOMONTH(EDATE(TODAY(),1),0)))),DATE(YEAR(TODAY()),MONTH(TODAY()),MIN($H$45,DAY(EOMONTH(TODAY(),0))))))</f>
        <v/>
      </c>
      <c r="D94" s="17" t="inlineStr">
        <is>
          <t>Saída</t>
        </is>
      </c>
      <c r="E94" s="17">
        <f>IF($A94="","",$B$45)</f>
        <v/>
      </c>
      <c r="F94" s="17">
        <f>IF($A94="","",$C$45)</f>
        <v/>
      </c>
      <c r="G94" s="17">
        <f>IF($A94="","",$D$45)</f>
        <v/>
      </c>
      <c r="H94" s="9">
        <f>IF($A94="","",$E$45)</f>
        <v/>
      </c>
      <c r="I94" s="38">
        <f>SUMIF($L$55:$L$93,"— Não",$I$55:$I$93)</f>
        <v/>
      </c>
      <c r="J94" s="17">
        <f>IF($A94="","",$I$45)</f>
        <v/>
      </c>
      <c r="K94" s="17">
        <f>IF($A94="","",$J$45)</f>
        <v/>
      </c>
      <c r="L94" s="17">
        <f>IF($A94="","",IF(COUNTIFS('LANÇAMENTOS'!$G$6:$G$2005,$F94,'LANÇAMENTOS'!$E$6:$E$2005,"Saída",'LANÇAMENTOS'!$Z$6:$Z$2005,MONTH($B94),'LANÇAMENTOS'!$AA$6:$AA$2005,YEAR($B94))&gt;0,"✔ Sim","— Não"))</f>
        <v/>
      </c>
    </row>
    <row r="96" ht="22" customHeight="1">
      <c r="A96" s="4" t="inlineStr">
        <is>
          <t>4. PROJEÇÃO DAS RECORRENTES PARA OS PRÓXIMOS 12 MESES (desconsidera o que já está lançado)</t>
        </is>
      </c>
      <c r="B96" s="4" t="n"/>
      <c r="C96" s="4" t="n"/>
      <c r="D96" s="4" t="n"/>
      <c r="E96" s="4" t="n"/>
      <c r="F96" s="4" t="n"/>
      <c r="G96" s="4" t="n"/>
      <c r="H96" s="4" t="n"/>
    </row>
    <row r="97" ht="30" customHeight="1">
      <c r="A97" s="21" t="inlineStr">
        <is>
          <t>Descrição</t>
        </is>
      </c>
      <c r="B97" s="21" t="inlineStr">
        <is>
          <t>Subcategoria</t>
        </is>
      </c>
      <c r="C97" s="46">
        <f>DATE(YEAR(EDATE(TODAY(),0)),MONTH(EDATE(TODAY(),0)),1)</f>
        <v/>
      </c>
      <c r="D97" s="46">
        <f>DATE(YEAR(EDATE(TODAY(),1)),MONTH(EDATE(TODAY(),1)),1)</f>
        <v/>
      </c>
      <c r="E97" s="46">
        <f>DATE(YEAR(EDATE(TODAY(),2)),MONTH(EDATE(TODAY(),2)),1)</f>
        <v/>
      </c>
      <c r="F97" s="46">
        <f>DATE(YEAR(EDATE(TODAY(),3)),MONTH(EDATE(TODAY(),3)),1)</f>
        <v/>
      </c>
      <c r="G97" s="46">
        <f>DATE(YEAR(EDATE(TODAY(),4)),MONTH(EDATE(TODAY(),4)),1)</f>
        <v/>
      </c>
      <c r="H97" s="46">
        <f>DATE(YEAR(EDATE(TODAY(),5)),MONTH(EDATE(TODAY(),5)),1)</f>
        <v/>
      </c>
      <c r="I97" s="46">
        <f>DATE(YEAR(EDATE(TODAY(),6)),MONTH(EDATE(TODAY(),6)),1)</f>
        <v/>
      </c>
      <c r="J97" s="46">
        <f>DATE(YEAR(EDATE(TODAY(),7)),MONTH(EDATE(TODAY(),7)),1)</f>
        <v/>
      </c>
      <c r="K97" s="46">
        <f>DATE(YEAR(EDATE(TODAY(),8)),MONTH(EDATE(TODAY(),8)),1)</f>
        <v/>
      </c>
      <c r="L97" s="46">
        <f>DATE(YEAR(EDATE(TODAY(),9)),MONTH(EDATE(TODAY(),9)),1)</f>
        <v/>
      </c>
      <c r="M97" s="46">
        <f>DATE(YEAR(EDATE(TODAY(),10)),MONTH(EDATE(TODAY(),10)),1)</f>
        <v/>
      </c>
      <c r="N97" s="46">
        <f>DATE(YEAR(EDATE(TODAY(),11)),MONTH(EDATE(TODAY(),11)),1)</f>
        <v/>
      </c>
    </row>
    <row r="98">
      <c r="A98" s="9">
        <f>IF(OR($A$6="",$K$6&lt;&gt;"Sim"),"",$A$6)</f>
        <v/>
      </c>
      <c r="B98" s="17">
        <f>IF($A98="","",$C$6)</f>
        <v/>
      </c>
      <c r="C98" s="18">
        <f>IF($A98="",0,IF(MOD(0,IF($G$6="Mensal",1,IF($G$6="Bimestral",2,IF($G$6="Trimestral",3,IF($G$6="Semestral",6,12)))))&lt;&gt;0,0,IF(COUNTIFS('LANÇAMENTOS'!$G$6:$G$2005,$B98,'LANÇAMENTOS'!$E$6:$E$2005,"Saída",'LANÇAMENTOS'!$Z$6:$Z$2005,MONTH(EDATE(TODAY(),0)),'LANÇAMENTOS'!$AA$6:$AA$2005,YEAR(EDATE(TODAY(),0)))&gt;0,0,$F$6)))</f>
        <v/>
      </c>
      <c r="D98" s="18">
        <f>IF($A98="",0,IF(MOD(1,IF($G$6="Mensal",1,IF($G$6="Bimestral",2,IF($G$6="Trimestral",3,IF($G$6="Semestral",6,12)))))&lt;&gt;0,0,IF(COUNTIFS('LANÇAMENTOS'!$G$6:$G$2005,$B98,'LANÇAMENTOS'!$E$6:$E$2005,"Saída",'LANÇAMENTOS'!$Z$6:$Z$2005,MONTH(EDATE(TODAY(),1)),'LANÇAMENTOS'!$AA$6:$AA$2005,YEAR(EDATE(TODAY(),1)))&gt;0,0,$F$6)))</f>
        <v/>
      </c>
      <c r="E98" s="18">
        <f>IF($A98="",0,IF(MOD(2,IF($G$6="Mensal",1,IF($G$6="Bimestral",2,IF($G$6="Trimestral",3,IF($G$6="Semestral",6,12)))))&lt;&gt;0,0,IF(COUNTIFS('LANÇAMENTOS'!$G$6:$G$2005,$B98,'LANÇAMENTOS'!$E$6:$E$2005,"Saída",'LANÇAMENTOS'!$Z$6:$Z$2005,MONTH(EDATE(TODAY(),2)),'LANÇAMENTOS'!$AA$6:$AA$2005,YEAR(EDATE(TODAY(),2)))&gt;0,0,$F$6)))</f>
        <v/>
      </c>
      <c r="F98" s="18">
        <f>IF($A98="",0,IF(MOD(3,IF($G$6="Mensal",1,IF($G$6="Bimestral",2,IF($G$6="Trimestral",3,IF($G$6="Semestral",6,12)))))&lt;&gt;0,0,IF(COUNTIFS('LANÇAMENTOS'!$G$6:$G$2005,$B98,'LANÇAMENTOS'!$E$6:$E$2005,"Saída",'LANÇAMENTOS'!$Z$6:$Z$2005,MONTH(EDATE(TODAY(),3)),'LANÇAMENTOS'!$AA$6:$AA$2005,YEAR(EDATE(TODAY(),3)))&gt;0,0,$F$6)))</f>
        <v/>
      </c>
      <c r="G98" s="18">
        <f>IF($A98="",0,IF(MOD(4,IF($G$6="Mensal",1,IF($G$6="Bimestral",2,IF($G$6="Trimestral",3,IF($G$6="Semestral",6,12)))))&lt;&gt;0,0,IF(COUNTIFS('LANÇAMENTOS'!$G$6:$G$2005,$B98,'LANÇAMENTOS'!$E$6:$E$2005,"Saída",'LANÇAMENTOS'!$Z$6:$Z$2005,MONTH(EDATE(TODAY(),4)),'LANÇAMENTOS'!$AA$6:$AA$2005,YEAR(EDATE(TODAY(),4)))&gt;0,0,$F$6)))</f>
        <v/>
      </c>
      <c r="H98" s="18">
        <f>IF($A98="",0,IF(MOD(5,IF($G$6="Mensal",1,IF($G$6="Bimestral",2,IF($G$6="Trimestral",3,IF($G$6="Semestral",6,12)))))&lt;&gt;0,0,IF(COUNTIFS('LANÇAMENTOS'!$G$6:$G$2005,$B98,'LANÇAMENTOS'!$E$6:$E$2005,"Saída",'LANÇAMENTOS'!$Z$6:$Z$2005,MONTH(EDATE(TODAY(),5)),'LANÇAMENTOS'!$AA$6:$AA$2005,YEAR(EDATE(TODAY(),5)))&gt;0,0,$F$6)))</f>
        <v/>
      </c>
      <c r="I98" s="18">
        <f>IF($A98="",0,IF(MOD(6,IF($G$6="Mensal",1,IF($G$6="Bimestral",2,IF($G$6="Trimestral",3,IF($G$6="Semestral",6,12)))))&lt;&gt;0,0,IF(COUNTIFS('LANÇAMENTOS'!$G$6:$G$2005,$B98,'LANÇAMENTOS'!$E$6:$E$2005,"Saída",'LANÇAMENTOS'!$Z$6:$Z$2005,MONTH(EDATE(TODAY(),6)),'LANÇAMENTOS'!$AA$6:$AA$2005,YEAR(EDATE(TODAY(),6)))&gt;0,0,$F$6)))</f>
        <v/>
      </c>
      <c r="J98" s="18">
        <f>IF($A98="",0,IF(MOD(7,IF($G$6="Mensal",1,IF($G$6="Bimestral",2,IF($G$6="Trimestral",3,IF($G$6="Semestral",6,12)))))&lt;&gt;0,0,IF(COUNTIFS('LANÇAMENTOS'!$G$6:$G$2005,$B98,'LANÇAMENTOS'!$E$6:$E$2005,"Saída",'LANÇAMENTOS'!$Z$6:$Z$2005,MONTH(EDATE(TODAY(),7)),'LANÇAMENTOS'!$AA$6:$AA$2005,YEAR(EDATE(TODAY(),7)))&gt;0,0,$F$6)))</f>
        <v/>
      </c>
      <c r="K98" s="18">
        <f>IF($A98="",0,IF(MOD(8,IF($G$6="Mensal",1,IF($G$6="Bimestral",2,IF($G$6="Trimestral",3,IF($G$6="Semestral",6,12)))))&lt;&gt;0,0,IF(COUNTIFS('LANÇAMENTOS'!$G$6:$G$2005,$B98,'LANÇAMENTOS'!$E$6:$E$2005,"Saída",'LANÇAMENTOS'!$Z$6:$Z$2005,MONTH(EDATE(TODAY(),8)),'LANÇAMENTOS'!$AA$6:$AA$2005,YEAR(EDATE(TODAY(),8)))&gt;0,0,$F$6)))</f>
        <v/>
      </c>
      <c r="L98" s="18">
        <f>IF($A98="",0,IF(MOD(9,IF($G$6="Mensal",1,IF($G$6="Bimestral",2,IF($G$6="Trimestral",3,IF($G$6="Semestral",6,12)))))&lt;&gt;0,0,IF(COUNTIFS('LANÇAMENTOS'!$G$6:$G$2005,$B98,'LANÇAMENTOS'!$E$6:$E$2005,"Saída",'LANÇAMENTOS'!$Z$6:$Z$2005,MONTH(EDATE(TODAY(),9)),'LANÇAMENTOS'!$AA$6:$AA$2005,YEAR(EDATE(TODAY(),9)))&gt;0,0,$F$6)))</f>
        <v/>
      </c>
      <c r="M98" s="18">
        <f>IF($A98="",0,IF(MOD(10,IF($G$6="Mensal",1,IF($G$6="Bimestral",2,IF($G$6="Trimestral",3,IF($G$6="Semestral",6,12)))))&lt;&gt;0,0,IF(COUNTIFS('LANÇAMENTOS'!$G$6:$G$2005,$B98,'LANÇAMENTOS'!$E$6:$E$2005,"Saída",'LANÇAMENTOS'!$Z$6:$Z$2005,MONTH(EDATE(TODAY(),10)),'LANÇAMENTOS'!$AA$6:$AA$2005,YEAR(EDATE(TODAY(),10)))&gt;0,0,$F$6)))</f>
        <v/>
      </c>
      <c r="N98" s="18">
        <f>IF($A98="",0,IF(MOD(11,IF($G$6="Mensal",1,IF($G$6="Bimestral",2,IF($G$6="Trimestral",3,IF($G$6="Semestral",6,12)))))&lt;&gt;0,0,IF(COUNTIFS('LANÇAMENTOS'!$G$6:$G$2005,$B98,'LANÇAMENTOS'!$E$6:$E$2005,"Saída",'LANÇAMENTOS'!$Z$6:$Z$2005,MONTH(EDATE(TODAY(),11)),'LANÇAMENTOS'!$AA$6:$AA$2005,YEAR(EDATE(TODAY(),11)))&gt;0,0,$F$6)))</f>
        <v/>
      </c>
    </row>
    <row r="99">
      <c r="A99" s="9">
        <f>IF(OR($A$7="",$K$7&lt;&gt;"Sim"),"",$A$7)</f>
        <v/>
      </c>
      <c r="B99" s="17">
        <f>IF($A99="","",$C$7)</f>
        <v/>
      </c>
      <c r="C99" s="18">
        <f>IF($A99="",0,IF(MOD(0,IF($G$7="Mensal",1,IF($G$7="Bimestral",2,IF($G$7="Trimestral",3,IF($G$7="Semestral",6,12)))))&lt;&gt;0,0,IF(COUNTIFS('LANÇAMENTOS'!$G$6:$G$2005,$B99,'LANÇAMENTOS'!$E$6:$E$2005,"Saída",'LANÇAMENTOS'!$Z$6:$Z$2005,MONTH(EDATE(TODAY(),0)),'LANÇAMENTOS'!$AA$6:$AA$2005,YEAR(EDATE(TODAY(),0)))&gt;0,0,$F$7)))</f>
        <v/>
      </c>
      <c r="D99" s="18">
        <f>IF($A99="",0,IF(MOD(1,IF($G$7="Mensal",1,IF($G$7="Bimestral",2,IF($G$7="Trimestral",3,IF($G$7="Semestral",6,12)))))&lt;&gt;0,0,IF(COUNTIFS('LANÇAMENTOS'!$G$6:$G$2005,$B99,'LANÇAMENTOS'!$E$6:$E$2005,"Saída",'LANÇAMENTOS'!$Z$6:$Z$2005,MONTH(EDATE(TODAY(),1)),'LANÇAMENTOS'!$AA$6:$AA$2005,YEAR(EDATE(TODAY(),1)))&gt;0,0,$F$7)))</f>
        <v/>
      </c>
      <c r="E99" s="18">
        <f>IF($A99="",0,IF(MOD(2,IF($G$7="Mensal",1,IF($G$7="Bimestral",2,IF($G$7="Trimestral",3,IF($G$7="Semestral",6,12)))))&lt;&gt;0,0,IF(COUNTIFS('LANÇAMENTOS'!$G$6:$G$2005,$B99,'LANÇAMENTOS'!$E$6:$E$2005,"Saída",'LANÇAMENTOS'!$Z$6:$Z$2005,MONTH(EDATE(TODAY(),2)),'LANÇAMENTOS'!$AA$6:$AA$2005,YEAR(EDATE(TODAY(),2)))&gt;0,0,$F$7)))</f>
        <v/>
      </c>
      <c r="F99" s="18">
        <f>IF($A99="",0,IF(MOD(3,IF($G$7="Mensal",1,IF($G$7="Bimestral",2,IF($G$7="Trimestral",3,IF($G$7="Semestral",6,12)))))&lt;&gt;0,0,IF(COUNTIFS('LANÇAMENTOS'!$G$6:$G$2005,$B99,'LANÇAMENTOS'!$E$6:$E$2005,"Saída",'LANÇAMENTOS'!$Z$6:$Z$2005,MONTH(EDATE(TODAY(),3)),'LANÇAMENTOS'!$AA$6:$AA$2005,YEAR(EDATE(TODAY(),3)))&gt;0,0,$F$7)))</f>
        <v/>
      </c>
      <c r="G99" s="18">
        <f>IF($A99="",0,IF(MOD(4,IF($G$7="Mensal",1,IF($G$7="Bimestral",2,IF($G$7="Trimestral",3,IF($G$7="Semestral",6,12)))))&lt;&gt;0,0,IF(COUNTIFS('LANÇAMENTOS'!$G$6:$G$2005,$B99,'LANÇAMENTOS'!$E$6:$E$2005,"Saída",'LANÇAMENTOS'!$Z$6:$Z$2005,MONTH(EDATE(TODAY(),4)),'LANÇAMENTOS'!$AA$6:$AA$2005,YEAR(EDATE(TODAY(),4)))&gt;0,0,$F$7)))</f>
        <v/>
      </c>
      <c r="H99" s="18">
        <f>IF($A99="",0,IF(MOD(5,IF($G$7="Mensal",1,IF($G$7="Bimestral",2,IF($G$7="Trimestral",3,IF($G$7="Semestral",6,12)))))&lt;&gt;0,0,IF(COUNTIFS('LANÇAMENTOS'!$G$6:$G$2005,$B99,'LANÇAMENTOS'!$E$6:$E$2005,"Saída",'LANÇAMENTOS'!$Z$6:$Z$2005,MONTH(EDATE(TODAY(),5)),'LANÇAMENTOS'!$AA$6:$AA$2005,YEAR(EDATE(TODAY(),5)))&gt;0,0,$F$7)))</f>
        <v/>
      </c>
      <c r="I99" s="18">
        <f>IF($A99="",0,IF(MOD(6,IF($G$7="Mensal",1,IF($G$7="Bimestral",2,IF($G$7="Trimestral",3,IF($G$7="Semestral",6,12)))))&lt;&gt;0,0,IF(COUNTIFS('LANÇAMENTOS'!$G$6:$G$2005,$B99,'LANÇAMENTOS'!$E$6:$E$2005,"Saída",'LANÇAMENTOS'!$Z$6:$Z$2005,MONTH(EDATE(TODAY(),6)),'LANÇAMENTOS'!$AA$6:$AA$2005,YEAR(EDATE(TODAY(),6)))&gt;0,0,$F$7)))</f>
        <v/>
      </c>
      <c r="J99" s="18">
        <f>IF($A99="",0,IF(MOD(7,IF($G$7="Mensal",1,IF($G$7="Bimestral",2,IF($G$7="Trimestral",3,IF($G$7="Semestral",6,12)))))&lt;&gt;0,0,IF(COUNTIFS('LANÇAMENTOS'!$G$6:$G$2005,$B99,'LANÇAMENTOS'!$E$6:$E$2005,"Saída",'LANÇAMENTOS'!$Z$6:$Z$2005,MONTH(EDATE(TODAY(),7)),'LANÇAMENTOS'!$AA$6:$AA$2005,YEAR(EDATE(TODAY(),7)))&gt;0,0,$F$7)))</f>
        <v/>
      </c>
      <c r="K99" s="18">
        <f>IF($A99="",0,IF(MOD(8,IF($G$7="Mensal",1,IF($G$7="Bimestral",2,IF($G$7="Trimestral",3,IF($G$7="Semestral",6,12)))))&lt;&gt;0,0,IF(COUNTIFS('LANÇAMENTOS'!$G$6:$G$2005,$B99,'LANÇAMENTOS'!$E$6:$E$2005,"Saída",'LANÇAMENTOS'!$Z$6:$Z$2005,MONTH(EDATE(TODAY(),8)),'LANÇAMENTOS'!$AA$6:$AA$2005,YEAR(EDATE(TODAY(),8)))&gt;0,0,$F$7)))</f>
        <v/>
      </c>
      <c r="L99" s="18">
        <f>IF($A99="",0,IF(MOD(9,IF($G$7="Mensal",1,IF($G$7="Bimestral",2,IF($G$7="Trimestral",3,IF($G$7="Semestral",6,12)))))&lt;&gt;0,0,IF(COUNTIFS('LANÇAMENTOS'!$G$6:$G$2005,$B99,'LANÇAMENTOS'!$E$6:$E$2005,"Saída",'LANÇAMENTOS'!$Z$6:$Z$2005,MONTH(EDATE(TODAY(),9)),'LANÇAMENTOS'!$AA$6:$AA$2005,YEAR(EDATE(TODAY(),9)))&gt;0,0,$F$7)))</f>
        <v/>
      </c>
      <c r="M99" s="18">
        <f>IF($A99="",0,IF(MOD(10,IF($G$7="Mensal",1,IF($G$7="Bimestral",2,IF($G$7="Trimestral",3,IF($G$7="Semestral",6,12)))))&lt;&gt;0,0,IF(COUNTIFS('LANÇAMENTOS'!$G$6:$G$2005,$B99,'LANÇAMENTOS'!$E$6:$E$2005,"Saída",'LANÇAMENTOS'!$Z$6:$Z$2005,MONTH(EDATE(TODAY(),10)),'LANÇAMENTOS'!$AA$6:$AA$2005,YEAR(EDATE(TODAY(),10)))&gt;0,0,$F$7)))</f>
        <v/>
      </c>
      <c r="N99" s="18">
        <f>IF($A99="",0,IF(MOD(11,IF($G$7="Mensal",1,IF($G$7="Bimestral",2,IF($G$7="Trimestral",3,IF($G$7="Semestral",6,12)))))&lt;&gt;0,0,IF(COUNTIFS('LANÇAMENTOS'!$G$6:$G$2005,$B99,'LANÇAMENTOS'!$E$6:$E$2005,"Saída",'LANÇAMENTOS'!$Z$6:$Z$2005,MONTH(EDATE(TODAY(),11)),'LANÇAMENTOS'!$AA$6:$AA$2005,YEAR(EDATE(TODAY(),11)))&gt;0,0,$F$7)))</f>
        <v/>
      </c>
    </row>
    <row r="100">
      <c r="A100" s="9">
        <f>IF(OR($A$8="",$K$8&lt;&gt;"Sim"),"",$A$8)</f>
        <v/>
      </c>
      <c r="B100" s="17">
        <f>IF($A100="","",$C$8)</f>
        <v/>
      </c>
      <c r="C100" s="18">
        <f>IF($A100="",0,IF(MOD(0,IF($G$8="Mensal",1,IF($G$8="Bimestral",2,IF($G$8="Trimestral",3,IF($G$8="Semestral",6,12)))))&lt;&gt;0,0,IF(COUNTIFS('LANÇAMENTOS'!$G$6:$G$2005,$B100,'LANÇAMENTOS'!$E$6:$E$2005,"Saída",'LANÇAMENTOS'!$Z$6:$Z$2005,MONTH(EDATE(TODAY(),0)),'LANÇAMENTOS'!$AA$6:$AA$2005,YEAR(EDATE(TODAY(),0)))&gt;0,0,$F$8)))</f>
        <v/>
      </c>
      <c r="D100" s="18">
        <f>IF($A100="",0,IF(MOD(1,IF($G$8="Mensal",1,IF($G$8="Bimestral",2,IF($G$8="Trimestral",3,IF($G$8="Semestral",6,12)))))&lt;&gt;0,0,IF(COUNTIFS('LANÇAMENTOS'!$G$6:$G$2005,$B100,'LANÇAMENTOS'!$E$6:$E$2005,"Saída",'LANÇAMENTOS'!$Z$6:$Z$2005,MONTH(EDATE(TODAY(),1)),'LANÇAMENTOS'!$AA$6:$AA$2005,YEAR(EDATE(TODAY(),1)))&gt;0,0,$F$8)))</f>
        <v/>
      </c>
      <c r="E100" s="18">
        <f>IF($A100="",0,IF(MOD(2,IF($G$8="Mensal",1,IF($G$8="Bimestral",2,IF($G$8="Trimestral",3,IF($G$8="Semestral",6,12)))))&lt;&gt;0,0,IF(COUNTIFS('LANÇAMENTOS'!$G$6:$G$2005,$B100,'LANÇAMENTOS'!$E$6:$E$2005,"Saída",'LANÇAMENTOS'!$Z$6:$Z$2005,MONTH(EDATE(TODAY(),2)),'LANÇAMENTOS'!$AA$6:$AA$2005,YEAR(EDATE(TODAY(),2)))&gt;0,0,$F$8)))</f>
        <v/>
      </c>
      <c r="F100" s="18">
        <f>IF($A100="",0,IF(MOD(3,IF($G$8="Mensal",1,IF($G$8="Bimestral",2,IF($G$8="Trimestral",3,IF($G$8="Semestral",6,12)))))&lt;&gt;0,0,IF(COUNTIFS('LANÇAMENTOS'!$G$6:$G$2005,$B100,'LANÇAMENTOS'!$E$6:$E$2005,"Saída",'LANÇAMENTOS'!$Z$6:$Z$2005,MONTH(EDATE(TODAY(),3)),'LANÇAMENTOS'!$AA$6:$AA$2005,YEAR(EDATE(TODAY(),3)))&gt;0,0,$F$8)))</f>
        <v/>
      </c>
      <c r="G100" s="18">
        <f>IF($A100="",0,IF(MOD(4,IF($G$8="Mensal",1,IF($G$8="Bimestral",2,IF($G$8="Trimestral",3,IF($G$8="Semestral",6,12)))))&lt;&gt;0,0,IF(COUNTIFS('LANÇAMENTOS'!$G$6:$G$2005,$B100,'LANÇAMENTOS'!$E$6:$E$2005,"Saída",'LANÇAMENTOS'!$Z$6:$Z$2005,MONTH(EDATE(TODAY(),4)),'LANÇAMENTOS'!$AA$6:$AA$2005,YEAR(EDATE(TODAY(),4)))&gt;0,0,$F$8)))</f>
        <v/>
      </c>
      <c r="H100" s="18">
        <f>IF($A100="",0,IF(MOD(5,IF($G$8="Mensal",1,IF($G$8="Bimestral",2,IF($G$8="Trimestral",3,IF($G$8="Semestral",6,12)))))&lt;&gt;0,0,IF(COUNTIFS('LANÇAMENTOS'!$G$6:$G$2005,$B100,'LANÇAMENTOS'!$E$6:$E$2005,"Saída",'LANÇAMENTOS'!$Z$6:$Z$2005,MONTH(EDATE(TODAY(),5)),'LANÇAMENTOS'!$AA$6:$AA$2005,YEAR(EDATE(TODAY(),5)))&gt;0,0,$F$8)))</f>
        <v/>
      </c>
      <c r="I100" s="18">
        <f>IF($A100="",0,IF(MOD(6,IF($G$8="Mensal",1,IF($G$8="Bimestral",2,IF($G$8="Trimestral",3,IF($G$8="Semestral",6,12)))))&lt;&gt;0,0,IF(COUNTIFS('LANÇAMENTOS'!$G$6:$G$2005,$B100,'LANÇAMENTOS'!$E$6:$E$2005,"Saída",'LANÇAMENTOS'!$Z$6:$Z$2005,MONTH(EDATE(TODAY(),6)),'LANÇAMENTOS'!$AA$6:$AA$2005,YEAR(EDATE(TODAY(),6)))&gt;0,0,$F$8)))</f>
        <v/>
      </c>
      <c r="J100" s="18">
        <f>IF($A100="",0,IF(MOD(7,IF($G$8="Mensal",1,IF($G$8="Bimestral",2,IF($G$8="Trimestral",3,IF($G$8="Semestral",6,12)))))&lt;&gt;0,0,IF(COUNTIFS('LANÇAMENTOS'!$G$6:$G$2005,$B100,'LANÇAMENTOS'!$E$6:$E$2005,"Saída",'LANÇAMENTOS'!$Z$6:$Z$2005,MONTH(EDATE(TODAY(),7)),'LANÇAMENTOS'!$AA$6:$AA$2005,YEAR(EDATE(TODAY(),7)))&gt;0,0,$F$8)))</f>
        <v/>
      </c>
      <c r="K100" s="18">
        <f>IF($A100="",0,IF(MOD(8,IF($G$8="Mensal",1,IF($G$8="Bimestral",2,IF($G$8="Trimestral",3,IF($G$8="Semestral",6,12)))))&lt;&gt;0,0,IF(COUNTIFS('LANÇAMENTOS'!$G$6:$G$2005,$B100,'LANÇAMENTOS'!$E$6:$E$2005,"Saída",'LANÇAMENTOS'!$Z$6:$Z$2005,MONTH(EDATE(TODAY(),8)),'LANÇAMENTOS'!$AA$6:$AA$2005,YEAR(EDATE(TODAY(),8)))&gt;0,0,$F$8)))</f>
        <v/>
      </c>
      <c r="L100" s="18">
        <f>IF($A100="",0,IF(MOD(9,IF($G$8="Mensal",1,IF($G$8="Bimestral",2,IF($G$8="Trimestral",3,IF($G$8="Semestral",6,12)))))&lt;&gt;0,0,IF(COUNTIFS('LANÇAMENTOS'!$G$6:$G$2005,$B100,'LANÇAMENTOS'!$E$6:$E$2005,"Saída",'LANÇAMENTOS'!$Z$6:$Z$2005,MONTH(EDATE(TODAY(),9)),'LANÇAMENTOS'!$AA$6:$AA$2005,YEAR(EDATE(TODAY(),9)))&gt;0,0,$F$8)))</f>
        <v/>
      </c>
      <c r="M100" s="18">
        <f>IF($A100="",0,IF(MOD(10,IF($G$8="Mensal",1,IF($G$8="Bimestral",2,IF($G$8="Trimestral",3,IF($G$8="Semestral",6,12)))))&lt;&gt;0,0,IF(COUNTIFS('LANÇAMENTOS'!$G$6:$G$2005,$B100,'LANÇAMENTOS'!$E$6:$E$2005,"Saída",'LANÇAMENTOS'!$Z$6:$Z$2005,MONTH(EDATE(TODAY(),10)),'LANÇAMENTOS'!$AA$6:$AA$2005,YEAR(EDATE(TODAY(),10)))&gt;0,0,$F$8)))</f>
        <v/>
      </c>
      <c r="N100" s="18">
        <f>IF($A100="",0,IF(MOD(11,IF($G$8="Mensal",1,IF($G$8="Bimestral",2,IF($G$8="Trimestral",3,IF($G$8="Semestral",6,12)))))&lt;&gt;0,0,IF(COUNTIFS('LANÇAMENTOS'!$G$6:$G$2005,$B100,'LANÇAMENTOS'!$E$6:$E$2005,"Saída",'LANÇAMENTOS'!$Z$6:$Z$2005,MONTH(EDATE(TODAY(),11)),'LANÇAMENTOS'!$AA$6:$AA$2005,YEAR(EDATE(TODAY(),11)))&gt;0,0,$F$8)))</f>
        <v/>
      </c>
    </row>
    <row r="101">
      <c r="A101" s="9">
        <f>IF(OR($A$9="",$K$9&lt;&gt;"Sim"),"",$A$9)</f>
        <v/>
      </c>
      <c r="B101" s="17">
        <f>IF($A101="","",$C$9)</f>
        <v/>
      </c>
      <c r="C101" s="18">
        <f>IF($A101="",0,IF(MOD(0,IF($G$9="Mensal",1,IF($G$9="Bimestral",2,IF($G$9="Trimestral",3,IF($G$9="Semestral",6,12)))))&lt;&gt;0,0,IF(COUNTIFS('LANÇAMENTOS'!$G$6:$G$2005,$B101,'LANÇAMENTOS'!$E$6:$E$2005,"Saída",'LANÇAMENTOS'!$Z$6:$Z$2005,MONTH(EDATE(TODAY(),0)),'LANÇAMENTOS'!$AA$6:$AA$2005,YEAR(EDATE(TODAY(),0)))&gt;0,0,$F$9)))</f>
        <v/>
      </c>
      <c r="D101" s="18">
        <f>IF($A101="",0,IF(MOD(1,IF($G$9="Mensal",1,IF($G$9="Bimestral",2,IF($G$9="Trimestral",3,IF($G$9="Semestral",6,12)))))&lt;&gt;0,0,IF(COUNTIFS('LANÇAMENTOS'!$G$6:$G$2005,$B101,'LANÇAMENTOS'!$E$6:$E$2005,"Saída",'LANÇAMENTOS'!$Z$6:$Z$2005,MONTH(EDATE(TODAY(),1)),'LANÇAMENTOS'!$AA$6:$AA$2005,YEAR(EDATE(TODAY(),1)))&gt;0,0,$F$9)))</f>
        <v/>
      </c>
      <c r="E101" s="18">
        <f>IF($A101="",0,IF(MOD(2,IF($G$9="Mensal",1,IF($G$9="Bimestral",2,IF($G$9="Trimestral",3,IF($G$9="Semestral",6,12)))))&lt;&gt;0,0,IF(COUNTIFS('LANÇAMENTOS'!$G$6:$G$2005,$B101,'LANÇAMENTOS'!$E$6:$E$2005,"Saída",'LANÇAMENTOS'!$Z$6:$Z$2005,MONTH(EDATE(TODAY(),2)),'LANÇAMENTOS'!$AA$6:$AA$2005,YEAR(EDATE(TODAY(),2)))&gt;0,0,$F$9)))</f>
        <v/>
      </c>
      <c r="F101" s="18">
        <f>IF($A101="",0,IF(MOD(3,IF($G$9="Mensal",1,IF($G$9="Bimestral",2,IF($G$9="Trimestral",3,IF($G$9="Semestral",6,12)))))&lt;&gt;0,0,IF(COUNTIFS('LANÇAMENTOS'!$G$6:$G$2005,$B101,'LANÇAMENTOS'!$E$6:$E$2005,"Saída",'LANÇAMENTOS'!$Z$6:$Z$2005,MONTH(EDATE(TODAY(),3)),'LANÇAMENTOS'!$AA$6:$AA$2005,YEAR(EDATE(TODAY(),3)))&gt;0,0,$F$9)))</f>
        <v/>
      </c>
      <c r="G101" s="18">
        <f>IF($A101="",0,IF(MOD(4,IF($G$9="Mensal",1,IF($G$9="Bimestral",2,IF($G$9="Trimestral",3,IF($G$9="Semestral",6,12)))))&lt;&gt;0,0,IF(COUNTIFS('LANÇAMENTOS'!$G$6:$G$2005,$B101,'LANÇAMENTOS'!$E$6:$E$2005,"Saída",'LANÇAMENTOS'!$Z$6:$Z$2005,MONTH(EDATE(TODAY(),4)),'LANÇAMENTOS'!$AA$6:$AA$2005,YEAR(EDATE(TODAY(),4)))&gt;0,0,$F$9)))</f>
        <v/>
      </c>
      <c r="H101" s="18">
        <f>IF($A101="",0,IF(MOD(5,IF($G$9="Mensal",1,IF($G$9="Bimestral",2,IF($G$9="Trimestral",3,IF($G$9="Semestral",6,12)))))&lt;&gt;0,0,IF(COUNTIFS('LANÇAMENTOS'!$G$6:$G$2005,$B101,'LANÇAMENTOS'!$E$6:$E$2005,"Saída",'LANÇAMENTOS'!$Z$6:$Z$2005,MONTH(EDATE(TODAY(),5)),'LANÇAMENTOS'!$AA$6:$AA$2005,YEAR(EDATE(TODAY(),5)))&gt;0,0,$F$9)))</f>
        <v/>
      </c>
      <c r="I101" s="18">
        <f>IF($A101="",0,IF(MOD(6,IF($G$9="Mensal",1,IF($G$9="Bimestral",2,IF($G$9="Trimestral",3,IF($G$9="Semestral",6,12)))))&lt;&gt;0,0,IF(COUNTIFS('LANÇAMENTOS'!$G$6:$G$2005,$B101,'LANÇAMENTOS'!$E$6:$E$2005,"Saída",'LANÇAMENTOS'!$Z$6:$Z$2005,MONTH(EDATE(TODAY(),6)),'LANÇAMENTOS'!$AA$6:$AA$2005,YEAR(EDATE(TODAY(),6)))&gt;0,0,$F$9)))</f>
        <v/>
      </c>
      <c r="J101" s="18">
        <f>IF($A101="",0,IF(MOD(7,IF($G$9="Mensal",1,IF($G$9="Bimestral",2,IF($G$9="Trimestral",3,IF($G$9="Semestral",6,12)))))&lt;&gt;0,0,IF(COUNTIFS('LANÇAMENTOS'!$G$6:$G$2005,$B101,'LANÇAMENTOS'!$E$6:$E$2005,"Saída",'LANÇAMENTOS'!$Z$6:$Z$2005,MONTH(EDATE(TODAY(),7)),'LANÇAMENTOS'!$AA$6:$AA$2005,YEAR(EDATE(TODAY(),7)))&gt;0,0,$F$9)))</f>
        <v/>
      </c>
      <c r="K101" s="18">
        <f>IF($A101="",0,IF(MOD(8,IF($G$9="Mensal",1,IF($G$9="Bimestral",2,IF($G$9="Trimestral",3,IF($G$9="Semestral",6,12)))))&lt;&gt;0,0,IF(COUNTIFS('LANÇAMENTOS'!$G$6:$G$2005,$B101,'LANÇAMENTOS'!$E$6:$E$2005,"Saída",'LANÇAMENTOS'!$Z$6:$Z$2005,MONTH(EDATE(TODAY(),8)),'LANÇAMENTOS'!$AA$6:$AA$2005,YEAR(EDATE(TODAY(),8)))&gt;0,0,$F$9)))</f>
        <v/>
      </c>
      <c r="L101" s="18">
        <f>IF($A101="",0,IF(MOD(9,IF($G$9="Mensal",1,IF($G$9="Bimestral",2,IF($G$9="Trimestral",3,IF($G$9="Semestral",6,12)))))&lt;&gt;0,0,IF(COUNTIFS('LANÇAMENTOS'!$G$6:$G$2005,$B101,'LANÇAMENTOS'!$E$6:$E$2005,"Saída",'LANÇAMENTOS'!$Z$6:$Z$2005,MONTH(EDATE(TODAY(),9)),'LANÇAMENTOS'!$AA$6:$AA$2005,YEAR(EDATE(TODAY(),9)))&gt;0,0,$F$9)))</f>
        <v/>
      </c>
      <c r="M101" s="18">
        <f>IF($A101="",0,IF(MOD(10,IF($G$9="Mensal",1,IF($G$9="Bimestral",2,IF($G$9="Trimestral",3,IF($G$9="Semestral",6,12)))))&lt;&gt;0,0,IF(COUNTIFS('LANÇAMENTOS'!$G$6:$G$2005,$B101,'LANÇAMENTOS'!$E$6:$E$2005,"Saída",'LANÇAMENTOS'!$Z$6:$Z$2005,MONTH(EDATE(TODAY(),10)),'LANÇAMENTOS'!$AA$6:$AA$2005,YEAR(EDATE(TODAY(),10)))&gt;0,0,$F$9)))</f>
        <v/>
      </c>
      <c r="N101" s="18">
        <f>IF($A101="",0,IF(MOD(11,IF($G$9="Mensal",1,IF($G$9="Bimestral",2,IF($G$9="Trimestral",3,IF($G$9="Semestral",6,12)))))&lt;&gt;0,0,IF(COUNTIFS('LANÇAMENTOS'!$G$6:$G$2005,$B101,'LANÇAMENTOS'!$E$6:$E$2005,"Saída",'LANÇAMENTOS'!$Z$6:$Z$2005,MONTH(EDATE(TODAY(),11)),'LANÇAMENTOS'!$AA$6:$AA$2005,YEAR(EDATE(TODAY(),11)))&gt;0,0,$F$9)))</f>
        <v/>
      </c>
    </row>
    <row r="102">
      <c r="A102" s="9">
        <f>IF(OR($A$10="",$K$10&lt;&gt;"Sim"),"",$A$10)</f>
        <v/>
      </c>
      <c r="B102" s="17">
        <f>IF($A102="","",$C$10)</f>
        <v/>
      </c>
      <c r="C102" s="18">
        <f>IF($A102="",0,IF(MOD(0,IF($G$10="Mensal",1,IF($G$10="Bimestral",2,IF($G$10="Trimestral",3,IF($G$10="Semestral",6,12)))))&lt;&gt;0,0,IF(COUNTIFS('LANÇAMENTOS'!$G$6:$G$2005,$B102,'LANÇAMENTOS'!$E$6:$E$2005,"Saída",'LANÇAMENTOS'!$Z$6:$Z$2005,MONTH(EDATE(TODAY(),0)),'LANÇAMENTOS'!$AA$6:$AA$2005,YEAR(EDATE(TODAY(),0)))&gt;0,0,$F$10)))</f>
        <v/>
      </c>
      <c r="D102" s="18">
        <f>IF($A102="",0,IF(MOD(1,IF($G$10="Mensal",1,IF($G$10="Bimestral",2,IF($G$10="Trimestral",3,IF($G$10="Semestral",6,12)))))&lt;&gt;0,0,IF(COUNTIFS('LANÇAMENTOS'!$G$6:$G$2005,$B102,'LANÇAMENTOS'!$E$6:$E$2005,"Saída",'LANÇAMENTOS'!$Z$6:$Z$2005,MONTH(EDATE(TODAY(),1)),'LANÇAMENTOS'!$AA$6:$AA$2005,YEAR(EDATE(TODAY(),1)))&gt;0,0,$F$10)))</f>
        <v/>
      </c>
      <c r="E102" s="18">
        <f>IF($A102="",0,IF(MOD(2,IF($G$10="Mensal",1,IF($G$10="Bimestral",2,IF($G$10="Trimestral",3,IF($G$10="Semestral",6,12)))))&lt;&gt;0,0,IF(COUNTIFS('LANÇAMENTOS'!$G$6:$G$2005,$B102,'LANÇAMENTOS'!$E$6:$E$2005,"Saída",'LANÇAMENTOS'!$Z$6:$Z$2005,MONTH(EDATE(TODAY(),2)),'LANÇAMENTOS'!$AA$6:$AA$2005,YEAR(EDATE(TODAY(),2)))&gt;0,0,$F$10)))</f>
        <v/>
      </c>
      <c r="F102" s="18">
        <f>IF($A102="",0,IF(MOD(3,IF($G$10="Mensal",1,IF($G$10="Bimestral",2,IF($G$10="Trimestral",3,IF($G$10="Semestral",6,12)))))&lt;&gt;0,0,IF(COUNTIFS('LANÇAMENTOS'!$G$6:$G$2005,$B102,'LANÇAMENTOS'!$E$6:$E$2005,"Saída",'LANÇAMENTOS'!$Z$6:$Z$2005,MONTH(EDATE(TODAY(),3)),'LANÇAMENTOS'!$AA$6:$AA$2005,YEAR(EDATE(TODAY(),3)))&gt;0,0,$F$10)))</f>
        <v/>
      </c>
      <c r="G102" s="18">
        <f>IF($A102="",0,IF(MOD(4,IF($G$10="Mensal",1,IF($G$10="Bimestral",2,IF($G$10="Trimestral",3,IF($G$10="Semestral",6,12)))))&lt;&gt;0,0,IF(COUNTIFS('LANÇAMENTOS'!$G$6:$G$2005,$B102,'LANÇAMENTOS'!$E$6:$E$2005,"Saída",'LANÇAMENTOS'!$Z$6:$Z$2005,MONTH(EDATE(TODAY(),4)),'LANÇAMENTOS'!$AA$6:$AA$2005,YEAR(EDATE(TODAY(),4)))&gt;0,0,$F$10)))</f>
        <v/>
      </c>
      <c r="H102" s="18">
        <f>IF($A102="",0,IF(MOD(5,IF($G$10="Mensal",1,IF($G$10="Bimestral",2,IF($G$10="Trimestral",3,IF($G$10="Semestral",6,12)))))&lt;&gt;0,0,IF(COUNTIFS('LANÇAMENTOS'!$G$6:$G$2005,$B102,'LANÇAMENTOS'!$E$6:$E$2005,"Saída",'LANÇAMENTOS'!$Z$6:$Z$2005,MONTH(EDATE(TODAY(),5)),'LANÇAMENTOS'!$AA$6:$AA$2005,YEAR(EDATE(TODAY(),5)))&gt;0,0,$F$10)))</f>
        <v/>
      </c>
      <c r="I102" s="18">
        <f>IF($A102="",0,IF(MOD(6,IF($G$10="Mensal",1,IF($G$10="Bimestral",2,IF($G$10="Trimestral",3,IF($G$10="Semestral",6,12)))))&lt;&gt;0,0,IF(COUNTIFS('LANÇAMENTOS'!$G$6:$G$2005,$B102,'LANÇAMENTOS'!$E$6:$E$2005,"Saída",'LANÇAMENTOS'!$Z$6:$Z$2005,MONTH(EDATE(TODAY(),6)),'LANÇAMENTOS'!$AA$6:$AA$2005,YEAR(EDATE(TODAY(),6)))&gt;0,0,$F$10)))</f>
        <v/>
      </c>
      <c r="J102" s="18">
        <f>IF($A102="",0,IF(MOD(7,IF($G$10="Mensal",1,IF($G$10="Bimestral",2,IF($G$10="Trimestral",3,IF($G$10="Semestral",6,12)))))&lt;&gt;0,0,IF(COUNTIFS('LANÇAMENTOS'!$G$6:$G$2005,$B102,'LANÇAMENTOS'!$E$6:$E$2005,"Saída",'LANÇAMENTOS'!$Z$6:$Z$2005,MONTH(EDATE(TODAY(),7)),'LANÇAMENTOS'!$AA$6:$AA$2005,YEAR(EDATE(TODAY(),7)))&gt;0,0,$F$10)))</f>
        <v/>
      </c>
      <c r="K102" s="18">
        <f>IF($A102="",0,IF(MOD(8,IF($G$10="Mensal",1,IF($G$10="Bimestral",2,IF($G$10="Trimestral",3,IF($G$10="Semestral",6,12)))))&lt;&gt;0,0,IF(COUNTIFS('LANÇAMENTOS'!$G$6:$G$2005,$B102,'LANÇAMENTOS'!$E$6:$E$2005,"Saída",'LANÇAMENTOS'!$Z$6:$Z$2005,MONTH(EDATE(TODAY(),8)),'LANÇAMENTOS'!$AA$6:$AA$2005,YEAR(EDATE(TODAY(),8)))&gt;0,0,$F$10)))</f>
        <v/>
      </c>
      <c r="L102" s="18">
        <f>IF($A102="",0,IF(MOD(9,IF($G$10="Mensal",1,IF($G$10="Bimestral",2,IF($G$10="Trimestral",3,IF($G$10="Semestral",6,12)))))&lt;&gt;0,0,IF(COUNTIFS('LANÇAMENTOS'!$G$6:$G$2005,$B102,'LANÇAMENTOS'!$E$6:$E$2005,"Saída",'LANÇAMENTOS'!$Z$6:$Z$2005,MONTH(EDATE(TODAY(),9)),'LANÇAMENTOS'!$AA$6:$AA$2005,YEAR(EDATE(TODAY(),9)))&gt;0,0,$F$10)))</f>
        <v/>
      </c>
      <c r="M102" s="18">
        <f>IF($A102="",0,IF(MOD(10,IF($G$10="Mensal",1,IF($G$10="Bimestral",2,IF($G$10="Trimestral",3,IF($G$10="Semestral",6,12)))))&lt;&gt;0,0,IF(COUNTIFS('LANÇAMENTOS'!$G$6:$G$2005,$B102,'LANÇAMENTOS'!$E$6:$E$2005,"Saída",'LANÇAMENTOS'!$Z$6:$Z$2005,MONTH(EDATE(TODAY(),10)),'LANÇAMENTOS'!$AA$6:$AA$2005,YEAR(EDATE(TODAY(),10)))&gt;0,0,$F$10)))</f>
        <v/>
      </c>
      <c r="N102" s="18">
        <f>IF($A102="",0,IF(MOD(11,IF($G$10="Mensal",1,IF($G$10="Bimestral",2,IF($G$10="Trimestral",3,IF($G$10="Semestral",6,12)))))&lt;&gt;0,0,IF(COUNTIFS('LANÇAMENTOS'!$G$6:$G$2005,$B102,'LANÇAMENTOS'!$E$6:$E$2005,"Saída",'LANÇAMENTOS'!$Z$6:$Z$2005,MONTH(EDATE(TODAY(),11)),'LANÇAMENTOS'!$AA$6:$AA$2005,YEAR(EDATE(TODAY(),11)))&gt;0,0,$F$10)))</f>
        <v/>
      </c>
    </row>
    <row r="103">
      <c r="A103" s="9">
        <f>IF(OR($A$11="",$K$11&lt;&gt;"Sim"),"",$A$11)</f>
        <v/>
      </c>
      <c r="B103" s="17">
        <f>IF($A103="","",$C$11)</f>
        <v/>
      </c>
      <c r="C103" s="18">
        <f>IF($A103="",0,IF(MOD(0,IF($G$11="Mensal",1,IF($G$11="Bimestral",2,IF($G$11="Trimestral",3,IF($G$11="Semestral",6,12)))))&lt;&gt;0,0,IF(COUNTIFS('LANÇAMENTOS'!$G$6:$G$2005,$B103,'LANÇAMENTOS'!$E$6:$E$2005,"Saída",'LANÇAMENTOS'!$Z$6:$Z$2005,MONTH(EDATE(TODAY(),0)),'LANÇAMENTOS'!$AA$6:$AA$2005,YEAR(EDATE(TODAY(),0)))&gt;0,0,$F$11)))</f>
        <v/>
      </c>
      <c r="D103" s="18">
        <f>IF($A103="",0,IF(MOD(1,IF($G$11="Mensal",1,IF($G$11="Bimestral",2,IF($G$11="Trimestral",3,IF($G$11="Semestral",6,12)))))&lt;&gt;0,0,IF(COUNTIFS('LANÇAMENTOS'!$G$6:$G$2005,$B103,'LANÇAMENTOS'!$E$6:$E$2005,"Saída",'LANÇAMENTOS'!$Z$6:$Z$2005,MONTH(EDATE(TODAY(),1)),'LANÇAMENTOS'!$AA$6:$AA$2005,YEAR(EDATE(TODAY(),1)))&gt;0,0,$F$11)))</f>
        <v/>
      </c>
      <c r="E103" s="18">
        <f>IF($A103="",0,IF(MOD(2,IF($G$11="Mensal",1,IF($G$11="Bimestral",2,IF($G$11="Trimestral",3,IF($G$11="Semestral",6,12)))))&lt;&gt;0,0,IF(COUNTIFS('LANÇAMENTOS'!$G$6:$G$2005,$B103,'LANÇAMENTOS'!$E$6:$E$2005,"Saída",'LANÇAMENTOS'!$Z$6:$Z$2005,MONTH(EDATE(TODAY(),2)),'LANÇAMENTOS'!$AA$6:$AA$2005,YEAR(EDATE(TODAY(),2)))&gt;0,0,$F$11)))</f>
        <v/>
      </c>
      <c r="F103" s="18">
        <f>IF($A103="",0,IF(MOD(3,IF($G$11="Mensal",1,IF($G$11="Bimestral",2,IF($G$11="Trimestral",3,IF($G$11="Semestral",6,12)))))&lt;&gt;0,0,IF(COUNTIFS('LANÇAMENTOS'!$G$6:$G$2005,$B103,'LANÇAMENTOS'!$E$6:$E$2005,"Saída",'LANÇAMENTOS'!$Z$6:$Z$2005,MONTH(EDATE(TODAY(),3)),'LANÇAMENTOS'!$AA$6:$AA$2005,YEAR(EDATE(TODAY(),3)))&gt;0,0,$F$11)))</f>
        <v/>
      </c>
      <c r="G103" s="18">
        <f>IF($A103="",0,IF(MOD(4,IF($G$11="Mensal",1,IF($G$11="Bimestral",2,IF($G$11="Trimestral",3,IF($G$11="Semestral",6,12)))))&lt;&gt;0,0,IF(COUNTIFS('LANÇAMENTOS'!$G$6:$G$2005,$B103,'LANÇAMENTOS'!$E$6:$E$2005,"Saída",'LANÇAMENTOS'!$Z$6:$Z$2005,MONTH(EDATE(TODAY(),4)),'LANÇAMENTOS'!$AA$6:$AA$2005,YEAR(EDATE(TODAY(),4)))&gt;0,0,$F$11)))</f>
        <v/>
      </c>
      <c r="H103" s="18">
        <f>IF($A103="",0,IF(MOD(5,IF($G$11="Mensal",1,IF($G$11="Bimestral",2,IF($G$11="Trimestral",3,IF($G$11="Semestral",6,12)))))&lt;&gt;0,0,IF(COUNTIFS('LANÇAMENTOS'!$G$6:$G$2005,$B103,'LANÇAMENTOS'!$E$6:$E$2005,"Saída",'LANÇAMENTOS'!$Z$6:$Z$2005,MONTH(EDATE(TODAY(),5)),'LANÇAMENTOS'!$AA$6:$AA$2005,YEAR(EDATE(TODAY(),5)))&gt;0,0,$F$11)))</f>
        <v/>
      </c>
      <c r="I103" s="18">
        <f>IF($A103="",0,IF(MOD(6,IF($G$11="Mensal",1,IF($G$11="Bimestral",2,IF($G$11="Trimestral",3,IF($G$11="Semestral",6,12)))))&lt;&gt;0,0,IF(COUNTIFS('LANÇAMENTOS'!$G$6:$G$2005,$B103,'LANÇAMENTOS'!$E$6:$E$2005,"Saída",'LANÇAMENTOS'!$Z$6:$Z$2005,MONTH(EDATE(TODAY(),6)),'LANÇAMENTOS'!$AA$6:$AA$2005,YEAR(EDATE(TODAY(),6)))&gt;0,0,$F$11)))</f>
        <v/>
      </c>
      <c r="J103" s="18">
        <f>IF($A103="",0,IF(MOD(7,IF($G$11="Mensal",1,IF($G$11="Bimestral",2,IF($G$11="Trimestral",3,IF($G$11="Semestral",6,12)))))&lt;&gt;0,0,IF(COUNTIFS('LANÇAMENTOS'!$G$6:$G$2005,$B103,'LANÇAMENTOS'!$E$6:$E$2005,"Saída",'LANÇAMENTOS'!$Z$6:$Z$2005,MONTH(EDATE(TODAY(),7)),'LANÇAMENTOS'!$AA$6:$AA$2005,YEAR(EDATE(TODAY(),7)))&gt;0,0,$F$11)))</f>
        <v/>
      </c>
      <c r="K103" s="18">
        <f>IF($A103="",0,IF(MOD(8,IF($G$11="Mensal",1,IF($G$11="Bimestral",2,IF($G$11="Trimestral",3,IF($G$11="Semestral",6,12)))))&lt;&gt;0,0,IF(COUNTIFS('LANÇAMENTOS'!$G$6:$G$2005,$B103,'LANÇAMENTOS'!$E$6:$E$2005,"Saída",'LANÇAMENTOS'!$Z$6:$Z$2005,MONTH(EDATE(TODAY(),8)),'LANÇAMENTOS'!$AA$6:$AA$2005,YEAR(EDATE(TODAY(),8)))&gt;0,0,$F$11)))</f>
        <v/>
      </c>
      <c r="L103" s="18">
        <f>IF($A103="",0,IF(MOD(9,IF($G$11="Mensal",1,IF($G$11="Bimestral",2,IF($G$11="Trimestral",3,IF($G$11="Semestral",6,12)))))&lt;&gt;0,0,IF(COUNTIFS('LANÇAMENTOS'!$G$6:$G$2005,$B103,'LANÇAMENTOS'!$E$6:$E$2005,"Saída",'LANÇAMENTOS'!$Z$6:$Z$2005,MONTH(EDATE(TODAY(),9)),'LANÇAMENTOS'!$AA$6:$AA$2005,YEAR(EDATE(TODAY(),9)))&gt;0,0,$F$11)))</f>
        <v/>
      </c>
      <c r="M103" s="18">
        <f>IF($A103="",0,IF(MOD(10,IF($G$11="Mensal",1,IF($G$11="Bimestral",2,IF($G$11="Trimestral",3,IF($G$11="Semestral",6,12)))))&lt;&gt;0,0,IF(COUNTIFS('LANÇAMENTOS'!$G$6:$G$2005,$B103,'LANÇAMENTOS'!$E$6:$E$2005,"Saída",'LANÇAMENTOS'!$Z$6:$Z$2005,MONTH(EDATE(TODAY(),10)),'LANÇAMENTOS'!$AA$6:$AA$2005,YEAR(EDATE(TODAY(),10)))&gt;0,0,$F$11)))</f>
        <v/>
      </c>
      <c r="N103" s="18">
        <f>IF($A103="",0,IF(MOD(11,IF($G$11="Mensal",1,IF($G$11="Bimestral",2,IF($G$11="Trimestral",3,IF($G$11="Semestral",6,12)))))&lt;&gt;0,0,IF(COUNTIFS('LANÇAMENTOS'!$G$6:$G$2005,$B103,'LANÇAMENTOS'!$E$6:$E$2005,"Saída",'LANÇAMENTOS'!$Z$6:$Z$2005,MONTH(EDATE(TODAY(),11)),'LANÇAMENTOS'!$AA$6:$AA$2005,YEAR(EDATE(TODAY(),11)))&gt;0,0,$F$11)))</f>
        <v/>
      </c>
    </row>
    <row r="104">
      <c r="A104" s="9">
        <f>IF(OR($A$12="",$K$12&lt;&gt;"Sim"),"",$A$12)</f>
        <v/>
      </c>
      <c r="B104" s="17">
        <f>IF($A104="","",$C$12)</f>
        <v/>
      </c>
      <c r="C104" s="18">
        <f>IF($A104="",0,IF(MOD(0,IF($G$12="Mensal",1,IF($G$12="Bimestral",2,IF($G$12="Trimestral",3,IF($G$12="Semestral",6,12)))))&lt;&gt;0,0,IF(COUNTIFS('LANÇAMENTOS'!$G$6:$G$2005,$B104,'LANÇAMENTOS'!$E$6:$E$2005,"Saída",'LANÇAMENTOS'!$Z$6:$Z$2005,MONTH(EDATE(TODAY(),0)),'LANÇAMENTOS'!$AA$6:$AA$2005,YEAR(EDATE(TODAY(),0)))&gt;0,0,$F$12)))</f>
        <v/>
      </c>
      <c r="D104" s="18">
        <f>IF($A104="",0,IF(MOD(1,IF($G$12="Mensal",1,IF($G$12="Bimestral",2,IF($G$12="Trimestral",3,IF($G$12="Semestral",6,12)))))&lt;&gt;0,0,IF(COUNTIFS('LANÇAMENTOS'!$G$6:$G$2005,$B104,'LANÇAMENTOS'!$E$6:$E$2005,"Saída",'LANÇAMENTOS'!$Z$6:$Z$2005,MONTH(EDATE(TODAY(),1)),'LANÇAMENTOS'!$AA$6:$AA$2005,YEAR(EDATE(TODAY(),1)))&gt;0,0,$F$12)))</f>
        <v/>
      </c>
      <c r="E104" s="18">
        <f>IF($A104="",0,IF(MOD(2,IF($G$12="Mensal",1,IF($G$12="Bimestral",2,IF($G$12="Trimestral",3,IF($G$12="Semestral",6,12)))))&lt;&gt;0,0,IF(COUNTIFS('LANÇAMENTOS'!$G$6:$G$2005,$B104,'LANÇAMENTOS'!$E$6:$E$2005,"Saída",'LANÇAMENTOS'!$Z$6:$Z$2005,MONTH(EDATE(TODAY(),2)),'LANÇAMENTOS'!$AA$6:$AA$2005,YEAR(EDATE(TODAY(),2)))&gt;0,0,$F$12)))</f>
        <v/>
      </c>
      <c r="F104" s="18">
        <f>IF($A104="",0,IF(MOD(3,IF($G$12="Mensal",1,IF($G$12="Bimestral",2,IF($G$12="Trimestral",3,IF($G$12="Semestral",6,12)))))&lt;&gt;0,0,IF(COUNTIFS('LANÇAMENTOS'!$G$6:$G$2005,$B104,'LANÇAMENTOS'!$E$6:$E$2005,"Saída",'LANÇAMENTOS'!$Z$6:$Z$2005,MONTH(EDATE(TODAY(),3)),'LANÇAMENTOS'!$AA$6:$AA$2005,YEAR(EDATE(TODAY(),3)))&gt;0,0,$F$12)))</f>
        <v/>
      </c>
      <c r="G104" s="18">
        <f>IF($A104="",0,IF(MOD(4,IF($G$12="Mensal",1,IF($G$12="Bimestral",2,IF($G$12="Trimestral",3,IF($G$12="Semestral",6,12)))))&lt;&gt;0,0,IF(COUNTIFS('LANÇAMENTOS'!$G$6:$G$2005,$B104,'LANÇAMENTOS'!$E$6:$E$2005,"Saída",'LANÇAMENTOS'!$Z$6:$Z$2005,MONTH(EDATE(TODAY(),4)),'LANÇAMENTOS'!$AA$6:$AA$2005,YEAR(EDATE(TODAY(),4)))&gt;0,0,$F$12)))</f>
        <v/>
      </c>
      <c r="H104" s="18">
        <f>IF($A104="",0,IF(MOD(5,IF($G$12="Mensal",1,IF($G$12="Bimestral",2,IF($G$12="Trimestral",3,IF($G$12="Semestral",6,12)))))&lt;&gt;0,0,IF(COUNTIFS('LANÇAMENTOS'!$G$6:$G$2005,$B104,'LANÇAMENTOS'!$E$6:$E$2005,"Saída",'LANÇAMENTOS'!$Z$6:$Z$2005,MONTH(EDATE(TODAY(),5)),'LANÇAMENTOS'!$AA$6:$AA$2005,YEAR(EDATE(TODAY(),5)))&gt;0,0,$F$12)))</f>
        <v/>
      </c>
      <c r="I104" s="18">
        <f>IF($A104="",0,IF(MOD(6,IF($G$12="Mensal",1,IF($G$12="Bimestral",2,IF($G$12="Trimestral",3,IF($G$12="Semestral",6,12)))))&lt;&gt;0,0,IF(COUNTIFS('LANÇAMENTOS'!$G$6:$G$2005,$B104,'LANÇAMENTOS'!$E$6:$E$2005,"Saída",'LANÇAMENTOS'!$Z$6:$Z$2005,MONTH(EDATE(TODAY(),6)),'LANÇAMENTOS'!$AA$6:$AA$2005,YEAR(EDATE(TODAY(),6)))&gt;0,0,$F$12)))</f>
        <v/>
      </c>
      <c r="J104" s="18">
        <f>IF($A104="",0,IF(MOD(7,IF($G$12="Mensal",1,IF($G$12="Bimestral",2,IF($G$12="Trimestral",3,IF($G$12="Semestral",6,12)))))&lt;&gt;0,0,IF(COUNTIFS('LANÇAMENTOS'!$G$6:$G$2005,$B104,'LANÇAMENTOS'!$E$6:$E$2005,"Saída",'LANÇAMENTOS'!$Z$6:$Z$2005,MONTH(EDATE(TODAY(),7)),'LANÇAMENTOS'!$AA$6:$AA$2005,YEAR(EDATE(TODAY(),7)))&gt;0,0,$F$12)))</f>
        <v/>
      </c>
      <c r="K104" s="18">
        <f>IF($A104="",0,IF(MOD(8,IF($G$12="Mensal",1,IF($G$12="Bimestral",2,IF($G$12="Trimestral",3,IF($G$12="Semestral",6,12)))))&lt;&gt;0,0,IF(COUNTIFS('LANÇAMENTOS'!$G$6:$G$2005,$B104,'LANÇAMENTOS'!$E$6:$E$2005,"Saída",'LANÇAMENTOS'!$Z$6:$Z$2005,MONTH(EDATE(TODAY(),8)),'LANÇAMENTOS'!$AA$6:$AA$2005,YEAR(EDATE(TODAY(),8)))&gt;0,0,$F$12)))</f>
        <v/>
      </c>
      <c r="L104" s="18">
        <f>IF($A104="",0,IF(MOD(9,IF($G$12="Mensal",1,IF($G$12="Bimestral",2,IF($G$12="Trimestral",3,IF($G$12="Semestral",6,12)))))&lt;&gt;0,0,IF(COUNTIFS('LANÇAMENTOS'!$G$6:$G$2005,$B104,'LANÇAMENTOS'!$E$6:$E$2005,"Saída",'LANÇAMENTOS'!$Z$6:$Z$2005,MONTH(EDATE(TODAY(),9)),'LANÇAMENTOS'!$AA$6:$AA$2005,YEAR(EDATE(TODAY(),9)))&gt;0,0,$F$12)))</f>
        <v/>
      </c>
      <c r="M104" s="18">
        <f>IF($A104="",0,IF(MOD(10,IF($G$12="Mensal",1,IF($G$12="Bimestral",2,IF($G$12="Trimestral",3,IF($G$12="Semestral",6,12)))))&lt;&gt;0,0,IF(COUNTIFS('LANÇAMENTOS'!$G$6:$G$2005,$B104,'LANÇAMENTOS'!$E$6:$E$2005,"Saída",'LANÇAMENTOS'!$Z$6:$Z$2005,MONTH(EDATE(TODAY(),10)),'LANÇAMENTOS'!$AA$6:$AA$2005,YEAR(EDATE(TODAY(),10)))&gt;0,0,$F$12)))</f>
        <v/>
      </c>
      <c r="N104" s="18">
        <f>IF($A104="",0,IF(MOD(11,IF($G$12="Mensal",1,IF($G$12="Bimestral",2,IF($G$12="Trimestral",3,IF($G$12="Semestral",6,12)))))&lt;&gt;0,0,IF(COUNTIFS('LANÇAMENTOS'!$G$6:$G$2005,$B104,'LANÇAMENTOS'!$E$6:$E$2005,"Saída",'LANÇAMENTOS'!$Z$6:$Z$2005,MONTH(EDATE(TODAY(),11)),'LANÇAMENTOS'!$AA$6:$AA$2005,YEAR(EDATE(TODAY(),11)))&gt;0,0,$F$12)))</f>
        <v/>
      </c>
    </row>
    <row r="105">
      <c r="A105" s="9">
        <f>IF(OR($A$13="",$K$13&lt;&gt;"Sim"),"",$A$13)</f>
        <v/>
      </c>
      <c r="B105" s="17">
        <f>IF($A105="","",$C$13)</f>
        <v/>
      </c>
      <c r="C105" s="18">
        <f>IF($A105="",0,IF(MOD(0,IF($G$13="Mensal",1,IF($G$13="Bimestral",2,IF($G$13="Trimestral",3,IF($G$13="Semestral",6,12)))))&lt;&gt;0,0,IF(COUNTIFS('LANÇAMENTOS'!$G$6:$G$2005,$B105,'LANÇAMENTOS'!$E$6:$E$2005,"Saída",'LANÇAMENTOS'!$Z$6:$Z$2005,MONTH(EDATE(TODAY(),0)),'LANÇAMENTOS'!$AA$6:$AA$2005,YEAR(EDATE(TODAY(),0)))&gt;0,0,$F$13)))</f>
        <v/>
      </c>
      <c r="D105" s="18">
        <f>IF($A105="",0,IF(MOD(1,IF($G$13="Mensal",1,IF($G$13="Bimestral",2,IF($G$13="Trimestral",3,IF($G$13="Semestral",6,12)))))&lt;&gt;0,0,IF(COUNTIFS('LANÇAMENTOS'!$G$6:$G$2005,$B105,'LANÇAMENTOS'!$E$6:$E$2005,"Saída",'LANÇAMENTOS'!$Z$6:$Z$2005,MONTH(EDATE(TODAY(),1)),'LANÇAMENTOS'!$AA$6:$AA$2005,YEAR(EDATE(TODAY(),1)))&gt;0,0,$F$13)))</f>
        <v/>
      </c>
      <c r="E105" s="18">
        <f>IF($A105="",0,IF(MOD(2,IF($G$13="Mensal",1,IF($G$13="Bimestral",2,IF($G$13="Trimestral",3,IF($G$13="Semestral",6,12)))))&lt;&gt;0,0,IF(COUNTIFS('LANÇAMENTOS'!$G$6:$G$2005,$B105,'LANÇAMENTOS'!$E$6:$E$2005,"Saída",'LANÇAMENTOS'!$Z$6:$Z$2005,MONTH(EDATE(TODAY(),2)),'LANÇAMENTOS'!$AA$6:$AA$2005,YEAR(EDATE(TODAY(),2)))&gt;0,0,$F$13)))</f>
        <v/>
      </c>
      <c r="F105" s="18">
        <f>IF($A105="",0,IF(MOD(3,IF($G$13="Mensal",1,IF($G$13="Bimestral",2,IF($G$13="Trimestral",3,IF($G$13="Semestral",6,12)))))&lt;&gt;0,0,IF(COUNTIFS('LANÇAMENTOS'!$G$6:$G$2005,$B105,'LANÇAMENTOS'!$E$6:$E$2005,"Saída",'LANÇAMENTOS'!$Z$6:$Z$2005,MONTH(EDATE(TODAY(),3)),'LANÇAMENTOS'!$AA$6:$AA$2005,YEAR(EDATE(TODAY(),3)))&gt;0,0,$F$13)))</f>
        <v/>
      </c>
      <c r="G105" s="18">
        <f>IF($A105="",0,IF(MOD(4,IF($G$13="Mensal",1,IF($G$13="Bimestral",2,IF($G$13="Trimestral",3,IF($G$13="Semestral",6,12)))))&lt;&gt;0,0,IF(COUNTIFS('LANÇAMENTOS'!$G$6:$G$2005,$B105,'LANÇAMENTOS'!$E$6:$E$2005,"Saída",'LANÇAMENTOS'!$Z$6:$Z$2005,MONTH(EDATE(TODAY(),4)),'LANÇAMENTOS'!$AA$6:$AA$2005,YEAR(EDATE(TODAY(),4)))&gt;0,0,$F$13)))</f>
        <v/>
      </c>
      <c r="H105" s="18">
        <f>IF($A105="",0,IF(MOD(5,IF($G$13="Mensal",1,IF($G$13="Bimestral",2,IF($G$13="Trimestral",3,IF($G$13="Semestral",6,12)))))&lt;&gt;0,0,IF(COUNTIFS('LANÇAMENTOS'!$G$6:$G$2005,$B105,'LANÇAMENTOS'!$E$6:$E$2005,"Saída",'LANÇAMENTOS'!$Z$6:$Z$2005,MONTH(EDATE(TODAY(),5)),'LANÇAMENTOS'!$AA$6:$AA$2005,YEAR(EDATE(TODAY(),5)))&gt;0,0,$F$13)))</f>
        <v/>
      </c>
      <c r="I105" s="18">
        <f>IF($A105="",0,IF(MOD(6,IF($G$13="Mensal",1,IF($G$13="Bimestral",2,IF($G$13="Trimestral",3,IF($G$13="Semestral",6,12)))))&lt;&gt;0,0,IF(COUNTIFS('LANÇAMENTOS'!$G$6:$G$2005,$B105,'LANÇAMENTOS'!$E$6:$E$2005,"Saída",'LANÇAMENTOS'!$Z$6:$Z$2005,MONTH(EDATE(TODAY(),6)),'LANÇAMENTOS'!$AA$6:$AA$2005,YEAR(EDATE(TODAY(),6)))&gt;0,0,$F$13)))</f>
        <v/>
      </c>
      <c r="J105" s="18">
        <f>IF($A105="",0,IF(MOD(7,IF($G$13="Mensal",1,IF($G$13="Bimestral",2,IF($G$13="Trimestral",3,IF($G$13="Semestral",6,12)))))&lt;&gt;0,0,IF(COUNTIFS('LANÇAMENTOS'!$G$6:$G$2005,$B105,'LANÇAMENTOS'!$E$6:$E$2005,"Saída",'LANÇAMENTOS'!$Z$6:$Z$2005,MONTH(EDATE(TODAY(),7)),'LANÇAMENTOS'!$AA$6:$AA$2005,YEAR(EDATE(TODAY(),7)))&gt;0,0,$F$13)))</f>
        <v/>
      </c>
      <c r="K105" s="18">
        <f>IF($A105="",0,IF(MOD(8,IF($G$13="Mensal",1,IF($G$13="Bimestral",2,IF($G$13="Trimestral",3,IF($G$13="Semestral",6,12)))))&lt;&gt;0,0,IF(COUNTIFS('LANÇAMENTOS'!$G$6:$G$2005,$B105,'LANÇAMENTOS'!$E$6:$E$2005,"Saída",'LANÇAMENTOS'!$Z$6:$Z$2005,MONTH(EDATE(TODAY(),8)),'LANÇAMENTOS'!$AA$6:$AA$2005,YEAR(EDATE(TODAY(),8)))&gt;0,0,$F$13)))</f>
        <v/>
      </c>
      <c r="L105" s="18">
        <f>IF($A105="",0,IF(MOD(9,IF($G$13="Mensal",1,IF($G$13="Bimestral",2,IF($G$13="Trimestral",3,IF($G$13="Semestral",6,12)))))&lt;&gt;0,0,IF(COUNTIFS('LANÇAMENTOS'!$G$6:$G$2005,$B105,'LANÇAMENTOS'!$E$6:$E$2005,"Saída",'LANÇAMENTOS'!$Z$6:$Z$2005,MONTH(EDATE(TODAY(),9)),'LANÇAMENTOS'!$AA$6:$AA$2005,YEAR(EDATE(TODAY(),9)))&gt;0,0,$F$13)))</f>
        <v/>
      </c>
      <c r="M105" s="18">
        <f>IF($A105="",0,IF(MOD(10,IF($G$13="Mensal",1,IF($G$13="Bimestral",2,IF($G$13="Trimestral",3,IF($G$13="Semestral",6,12)))))&lt;&gt;0,0,IF(COUNTIFS('LANÇAMENTOS'!$G$6:$G$2005,$B105,'LANÇAMENTOS'!$E$6:$E$2005,"Saída",'LANÇAMENTOS'!$Z$6:$Z$2005,MONTH(EDATE(TODAY(),10)),'LANÇAMENTOS'!$AA$6:$AA$2005,YEAR(EDATE(TODAY(),10)))&gt;0,0,$F$13)))</f>
        <v/>
      </c>
      <c r="N105" s="18">
        <f>IF($A105="",0,IF(MOD(11,IF($G$13="Mensal",1,IF($G$13="Bimestral",2,IF($G$13="Trimestral",3,IF($G$13="Semestral",6,12)))))&lt;&gt;0,0,IF(COUNTIFS('LANÇAMENTOS'!$G$6:$G$2005,$B105,'LANÇAMENTOS'!$E$6:$E$2005,"Saída",'LANÇAMENTOS'!$Z$6:$Z$2005,MONTH(EDATE(TODAY(),11)),'LANÇAMENTOS'!$AA$6:$AA$2005,YEAR(EDATE(TODAY(),11)))&gt;0,0,$F$13)))</f>
        <v/>
      </c>
    </row>
    <row r="106">
      <c r="A106" s="9">
        <f>IF(OR($A$14="",$K$14&lt;&gt;"Sim"),"",$A$14)</f>
        <v/>
      </c>
      <c r="B106" s="17">
        <f>IF($A106="","",$C$14)</f>
        <v/>
      </c>
      <c r="C106" s="18">
        <f>IF($A106="",0,IF(MOD(0,IF($G$14="Mensal",1,IF($G$14="Bimestral",2,IF($G$14="Trimestral",3,IF($G$14="Semestral",6,12)))))&lt;&gt;0,0,IF(COUNTIFS('LANÇAMENTOS'!$G$6:$G$2005,$B106,'LANÇAMENTOS'!$E$6:$E$2005,"Saída",'LANÇAMENTOS'!$Z$6:$Z$2005,MONTH(EDATE(TODAY(),0)),'LANÇAMENTOS'!$AA$6:$AA$2005,YEAR(EDATE(TODAY(),0)))&gt;0,0,$F$14)))</f>
        <v/>
      </c>
      <c r="D106" s="18">
        <f>IF($A106="",0,IF(MOD(1,IF($G$14="Mensal",1,IF($G$14="Bimestral",2,IF($G$14="Trimestral",3,IF($G$14="Semestral",6,12)))))&lt;&gt;0,0,IF(COUNTIFS('LANÇAMENTOS'!$G$6:$G$2005,$B106,'LANÇAMENTOS'!$E$6:$E$2005,"Saída",'LANÇAMENTOS'!$Z$6:$Z$2005,MONTH(EDATE(TODAY(),1)),'LANÇAMENTOS'!$AA$6:$AA$2005,YEAR(EDATE(TODAY(),1)))&gt;0,0,$F$14)))</f>
        <v/>
      </c>
      <c r="E106" s="18">
        <f>IF($A106="",0,IF(MOD(2,IF($G$14="Mensal",1,IF($G$14="Bimestral",2,IF($G$14="Trimestral",3,IF($G$14="Semestral",6,12)))))&lt;&gt;0,0,IF(COUNTIFS('LANÇAMENTOS'!$G$6:$G$2005,$B106,'LANÇAMENTOS'!$E$6:$E$2005,"Saída",'LANÇAMENTOS'!$Z$6:$Z$2005,MONTH(EDATE(TODAY(),2)),'LANÇAMENTOS'!$AA$6:$AA$2005,YEAR(EDATE(TODAY(),2)))&gt;0,0,$F$14)))</f>
        <v/>
      </c>
      <c r="F106" s="18">
        <f>IF($A106="",0,IF(MOD(3,IF($G$14="Mensal",1,IF($G$14="Bimestral",2,IF($G$14="Trimestral",3,IF($G$14="Semestral",6,12)))))&lt;&gt;0,0,IF(COUNTIFS('LANÇAMENTOS'!$G$6:$G$2005,$B106,'LANÇAMENTOS'!$E$6:$E$2005,"Saída",'LANÇAMENTOS'!$Z$6:$Z$2005,MONTH(EDATE(TODAY(),3)),'LANÇAMENTOS'!$AA$6:$AA$2005,YEAR(EDATE(TODAY(),3)))&gt;0,0,$F$14)))</f>
        <v/>
      </c>
      <c r="G106" s="18">
        <f>IF($A106="",0,IF(MOD(4,IF($G$14="Mensal",1,IF($G$14="Bimestral",2,IF($G$14="Trimestral",3,IF($G$14="Semestral",6,12)))))&lt;&gt;0,0,IF(COUNTIFS('LANÇAMENTOS'!$G$6:$G$2005,$B106,'LANÇAMENTOS'!$E$6:$E$2005,"Saída",'LANÇAMENTOS'!$Z$6:$Z$2005,MONTH(EDATE(TODAY(),4)),'LANÇAMENTOS'!$AA$6:$AA$2005,YEAR(EDATE(TODAY(),4)))&gt;0,0,$F$14)))</f>
        <v/>
      </c>
      <c r="H106" s="18">
        <f>IF($A106="",0,IF(MOD(5,IF($G$14="Mensal",1,IF($G$14="Bimestral",2,IF($G$14="Trimestral",3,IF($G$14="Semestral",6,12)))))&lt;&gt;0,0,IF(COUNTIFS('LANÇAMENTOS'!$G$6:$G$2005,$B106,'LANÇAMENTOS'!$E$6:$E$2005,"Saída",'LANÇAMENTOS'!$Z$6:$Z$2005,MONTH(EDATE(TODAY(),5)),'LANÇAMENTOS'!$AA$6:$AA$2005,YEAR(EDATE(TODAY(),5)))&gt;0,0,$F$14)))</f>
        <v/>
      </c>
      <c r="I106" s="18">
        <f>IF($A106="",0,IF(MOD(6,IF($G$14="Mensal",1,IF($G$14="Bimestral",2,IF($G$14="Trimestral",3,IF($G$14="Semestral",6,12)))))&lt;&gt;0,0,IF(COUNTIFS('LANÇAMENTOS'!$G$6:$G$2005,$B106,'LANÇAMENTOS'!$E$6:$E$2005,"Saída",'LANÇAMENTOS'!$Z$6:$Z$2005,MONTH(EDATE(TODAY(),6)),'LANÇAMENTOS'!$AA$6:$AA$2005,YEAR(EDATE(TODAY(),6)))&gt;0,0,$F$14)))</f>
        <v/>
      </c>
      <c r="J106" s="18">
        <f>IF($A106="",0,IF(MOD(7,IF($G$14="Mensal",1,IF($G$14="Bimestral",2,IF($G$14="Trimestral",3,IF($G$14="Semestral",6,12)))))&lt;&gt;0,0,IF(COUNTIFS('LANÇAMENTOS'!$G$6:$G$2005,$B106,'LANÇAMENTOS'!$E$6:$E$2005,"Saída",'LANÇAMENTOS'!$Z$6:$Z$2005,MONTH(EDATE(TODAY(),7)),'LANÇAMENTOS'!$AA$6:$AA$2005,YEAR(EDATE(TODAY(),7)))&gt;0,0,$F$14)))</f>
        <v/>
      </c>
      <c r="K106" s="18">
        <f>IF($A106="",0,IF(MOD(8,IF($G$14="Mensal",1,IF($G$14="Bimestral",2,IF($G$14="Trimestral",3,IF($G$14="Semestral",6,12)))))&lt;&gt;0,0,IF(COUNTIFS('LANÇAMENTOS'!$G$6:$G$2005,$B106,'LANÇAMENTOS'!$E$6:$E$2005,"Saída",'LANÇAMENTOS'!$Z$6:$Z$2005,MONTH(EDATE(TODAY(),8)),'LANÇAMENTOS'!$AA$6:$AA$2005,YEAR(EDATE(TODAY(),8)))&gt;0,0,$F$14)))</f>
        <v/>
      </c>
      <c r="L106" s="18">
        <f>IF($A106="",0,IF(MOD(9,IF($G$14="Mensal",1,IF($G$14="Bimestral",2,IF($G$14="Trimestral",3,IF($G$14="Semestral",6,12)))))&lt;&gt;0,0,IF(COUNTIFS('LANÇAMENTOS'!$G$6:$G$2005,$B106,'LANÇAMENTOS'!$E$6:$E$2005,"Saída",'LANÇAMENTOS'!$Z$6:$Z$2005,MONTH(EDATE(TODAY(),9)),'LANÇAMENTOS'!$AA$6:$AA$2005,YEAR(EDATE(TODAY(),9)))&gt;0,0,$F$14)))</f>
        <v/>
      </c>
      <c r="M106" s="18">
        <f>IF($A106="",0,IF(MOD(10,IF($G$14="Mensal",1,IF($G$14="Bimestral",2,IF($G$14="Trimestral",3,IF($G$14="Semestral",6,12)))))&lt;&gt;0,0,IF(COUNTIFS('LANÇAMENTOS'!$G$6:$G$2005,$B106,'LANÇAMENTOS'!$E$6:$E$2005,"Saída",'LANÇAMENTOS'!$Z$6:$Z$2005,MONTH(EDATE(TODAY(),10)),'LANÇAMENTOS'!$AA$6:$AA$2005,YEAR(EDATE(TODAY(),10)))&gt;0,0,$F$14)))</f>
        <v/>
      </c>
      <c r="N106" s="18">
        <f>IF($A106="",0,IF(MOD(11,IF($G$14="Mensal",1,IF($G$14="Bimestral",2,IF($G$14="Trimestral",3,IF($G$14="Semestral",6,12)))))&lt;&gt;0,0,IF(COUNTIFS('LANÇAMENTOS'!$G$6:$G$2005,$B106,'LANÇAMENTOS'!$E$6:$E$2005,"Saída",'LANÇAMENTOS'!$Z$6:$Z$2005,MONTH(EDATE(TODAY(),11)),'LANÇAMENTOS'!$AA$6:$AA$2005,YEAR(EDATE(TODAY(),11)))&gt;0,0,$F$14)))</f>
        <v/>
      </c>
    </row>
    <row r="107">
      <c r="A107" s="9">
        <f>IF(OR($A$15="",$K$15&lt;&gt;"Sim"),"",$A$15)</f>
        <v/>
      </c>
      <c r="B107" s="17">
        <f>IF($A107="","",$C$15)</f>
        <v/>
      </c>
      <c r="C107" s="18">
        <f>IF($A107="",0,IF(MOD(0,IF($G$15="Mensal",1,IF($G$15="Bimestral",2,IF($G$15="Trimestral",3,IF($G$15="Semestral",6,12)))))&lt;&gt;0,0,IF(COUNTIFS('LANÇAMENTOS'!$G$6:$G$2005,$B107,'LANÇAMENTOS'!$E$6:$E$2005,"Saída",'LANÇAMENTOS'!$Z$6:$Z$2005,MONTH(EDATE(TODAY(),0)),'LANÇAMENTOS'!$AA$6:$AA$2005,YEAR(EDATE(TODAY(),0)))&gt;0,0,$F$15)))</f>
        <v/>
      </c>
      <c r="D107" s="18">
        <f>IF($A107="",0,IF(MOD(1,IF($G$15="Mensal",1,IF($G$15="Bimestral",2,IF($G$15="Trimestral",3,IF($G$15="Semestral",6,12)))))&lt;&gt;0,0,IF(COUNTIFS('LANÇAMENTOS'!$G$6:$G$2005,$B107,'LANÇAMENTOS'!$E$6:$E$2005,"Saída",'LANÇAMENTOS'!$Z$6:$Z$2005,MONTH(EDATE(TODAY(),1)),'LANÇAMENTOS'!$AA$6:$AA$2005,YEAR(EDATE(TODAY(),1)))&gt;0,0,$F$15)))</f>
        <v/>
      </c>
      <c r="E107" s="18">
        <f>IF($A107="",0,IF(MOD(2,IF($G$15="Mensal",1,IF($G$15="Bimestral",2,IF($G$15="Trimestral",3,IF($G$15="Semestral",6,12)))))&lt;&gt;0,0,IF(COUNTIFS('LANÇAMENTOS'!$G$6:$G$2005,$B107,'LANÇAMENTOS'!$E$6:$E$2005,"Saída",'LANÇAMENTOS'!$Z$6:$Z$2005,MONTH(EDATE(TODAY(),2)),'LANÇAMENTOS'!$AA$6:$AA$2005,YEAR(EDATE(TODAY(),2)))&gt;0,0,$F$15)))</f>
        <v/>
      </c>
      <c r="F107" s="18">
        <f>IF($A107="",0,IF(MOD(3,IF($G$15="Mensal",1,IF($G$15="Bimestral",2,IF($G$15="Trimestral",3,IF($G$15="Semestral",6,12)))))&lt;&gt;0,0,IF(COUNTIFS('LANÇAMENTOS'!$G$6:$G$2005,$B107,'LANÇAMENTOS'!$E$6:$E$2005,"Saída",'LANÇAMENTOS'!$Z$6:$Z$2005,MONTH(EDATE(TODAY(),3)),'LANÇAMENTOS'!$AA$6:$AA$2005,YEAR(EDATE(TODAY(),3)))&gt;0,0,$F$15)))</f>
        <v/>
      </c>
      <c r="G107" s="18">
        <f>IF($A107="",0,IF(MOD(4,IF($G$15="Mensal",1,IF($G$15="Bimestral",2,IF($G$15="Trimestral",3,IF($G$15="Semestral",6,12)))))&lt;&gt;0,0,IF(COUNTIFS('LANÇAMENTOS'!$G$6:$G$2005,$B107,'LANÇAMENTOS'!$E$6:$E$2005,"Saída",'LANÇAMENTOS'!$Z$6:$Z$2005,MONTH(EDATE(TODAY(),4)),'LANÇAMENTOS'!$AA$6:$AA$2005,YEAR(EDATE(TODAY(),4)))&gt;0,0,$F$15)))</f>
        <v/>
      </c>
      <c r="H107" s="18">
        <f>IF($A107="",0,IF(MOD(5,IF($G$15="Mensal",1,IF($G$15="Bimestral",2,IF($G$15="Trimestral",3,IF($G$15="Semestral",6,12)))))&lt;&gt;0,0,IF(COUNTIFS('LANÇAMENTOS'!$G$6:$G$2005,$B107,'LANÇAMENTOS'!$E$6:$E$2005,"Saída",'LANÇAMENTOS'!$Z$6:$Z$2005,MONTH(EDATE(TODAY(),5)),'LANÇAMENTOS'!$AA$6:$AA$2005,YEAR(EDATE(TODAY(),5)))&gt;0,0,$F$15)))</f>
        <v/>
      </c>
      <c r="I107" s="18">
        <f>IF($A107="",0,IF(MOD(6,IF($G$15="Mensal",1,IF($G$15="Bimestral",2,IF($G$15="Trimestral",3,IF($G$15="Semestral",6,12)))))&lt;&gt;0,0,IF(COUNTIFS('LANÇAMENTOS'!$G$6:$G$2005,$B107,'LANÇAMENTOS'!$E$6:$E$2005,"Saída",'LANÇAMENTOS'!$Z$6:$Z$2005,MONTH(EDATE(TODAY(),6)),'LANÇAMENTOS'!$AA$6:$AA$2005,YEAR(EDATE(TODAY(),6)))&gt;0,0,$F$15)))</f>
        <v/>
      </c>
      <c r="J107" s="18">
        <f>IF($A107="",0,IF(MOD(7,IF($G$15="Mensal",1,IF($G$15="Bimestral",2,IF($G$15="Trimestral",3,IF($G$15="Semestral",6,12)))))&lt;&gt;0,0,IF(COUNTIFS('LANÇAMENTOS'!$G$6:$G$2005,$B107,'LANÇAMENTOS'!$E$6:$E$2005,"Saída",'LANÇAMENTOS'!$Z$6:$Z$2005,MONTH(EDATE(TODAY(),7)),'LANÇAMENTOS'!$AA$6:$AA$2005,YEAR(EDATE(TODAY(),7)))&gt;0,0,$F$15)))</f>
        <v/>
      </c>
      <c r="K107" s="18">
        <f>IF($A107="",0,IF(MOD(8,IF($G$15="Mensal",1,IF($G$15="Bimestral",2,IF($G$15="Trimestral",3,IF($G$15="Semestral",6,12)))))&lt;&gt;0,0,IF(COUNTIFS('LANÇAMENTOS'!$G$6:$G$2005,$B107,'LANÇAMENTOS'!$E$6:$E$2005,"Saída",'LANÇAMENTOS'!$Z$6:$Z$2005,MONTH(EDATE(TODAY(),8)),'LANÇAMENTOS'!$AA$6:$AA$2005,YEAR(EDATE(TODAY(),8)))&gt;0,0,$F$15)))</f>
        <v/>
      </c>
      <c r="L107" s="18">
        <f>IF($A107="",0,IF(MOD(9,IF($G$15="Mensal",1,IF($G$15="Bimestral",2,IF($G$15="Trimestral",3,IF($G$15="Semestral",6,12)))))&lt;&gt;0,0,IF(COUNTIFS('LANÇAMENTOS'!$G$6:$G$2005,$B107,'LANÇAMENTOS'!$E$6:$E$2005,"Saída",'LANÇAMENTOS'!$Z$6:$Z$2005,MONTH(EDATE(TODAY(),9)),'LANÇAMENTOS'!$AA$6:$AA$2005,YEAR(EDATE(TODAY(),9)))&gt;0,0,$F$15)))</f>
        <v/>
      </c>
      <c r="M107" s="18">
        <f>IF($A107="",0,IF(MOD(10,IF($G$15="Mensal",1,IF($G$15="Bimestral",2,IF($G$15="Trimestral",3,IF($G$15="Semestral",6,12)))))&lt;&gt;0,0,IF(COUNTIFS('LANÇAMENTOS'!$G$6:$G$2005,$B107,'LANÇAMENTOS'!$E$6:$E$2005,"Saída",'LANÇAMENTOS'!$Z$6:$Z$2005,MONTH(EDATE(TODAY(),10)),'LANÇAMENTOS'!$AA$6:$AA$2005,YEAR(EDATE(TODAY(),10)))&gt;0,0,$F$15)))</f>
        <v/>
      </c>
      <c r="N107" s="18">
        <f>IF($A107="",0,IF(MOD(11,IF($G$15="Mensal",1,IF($G$15="Bimestral",2,IF($G$15="Trimestral",3,IF($G$15="Semestral",6,12)))))&lt;&gt;0,0,IF(COUNTIFS('LANÇAMENTOS'!$G$6:$G$2005,$B107,'LANÇAMENTOS'!$E$6:$E$2005,"Saída",'LANÇAMENTOS'!$Z$6:$Z$2005,MONTH(EDATE(TODAY(),11)),'LANÇAMENTOS'!$AA$6:$AA$2005,YEAR(EDATE(TODAY(),11)))&gt;0,0,$F$15)))</f>
        <v/>
      </c>
    </row>
    <row r="108">
      <c r="A108" s="9">
        <f>IF(OR($A$16="",$K$16&lt;&gt;"Sim"),"",$A$16)</f>
        <v/>
      </c>
      <c r="B108" s="17">
        <f>IF($A108="","",$C$16)</f>
        <v/>
      </c>
      <c r="C108" s="18">
        <f>IF($A108="",0,IF(MOD(0,IF($G$16="Mensal",1,IF($G$16="Bimestral",2,IF($G$16="Trimestral",3,IF($G$16="Semestral",6,12)))))&lt;&gt;0,0,IF(COUNTIFS('LANÇAMENTOS'!$G$6:$G$2005,$B108,'LANÇAMENTOS'!$E$6:$E$2005,"Saída",'LANÇAMENTOS'!$Z$6:$Z$2005,MONTH(EDATE(TODAY(),0)),'LANÇAMENTOS'!$AA$6:$AA$2005,YEAR(EDATE(TODAY(),0)))&gt;0,0,$F$16)))</f>
        <v/>
      </c>
      <c r="D108" s="18">
        <f>IF($A108="",0,IF(MOD(1,IF($G$16="Mensal",1,IF($G$16="Bimestral",2,IF($G$16="Trimestral",3,IF($G$16="Semestral",6,12)))))&lt;&gt;0,0,IF(COUNTIFS('LANÇAMENTOS'!$G$6:$G$2005,$B108,'LANÇAMENTOS'!$E$6:$E$2005,"Saída",'LANÇAMENTOS'!$Z$6:$Z$2005,MONTH(EDATE(TODAY(),1)),'LANÇAMENTOS'!$AA$6:$AA$2005,YEAR(EDATE(TODAY(),1)))&gt;0,0,$F$16)))</f>
        <v/>
      </c>
      <c r="E108" s="18">
        <f>IF($A108="",0,IF(MOD(2,IF($G$16="Mensal",1,IF($G$16="Bimestral",2,IF($G$16="Trimestral",3,IF($G$16="Semestral",6,12)))))&lt;&gt;0,0,IF(COUNTIFS('LANÇAMENTOS'!$G$6:$G$2005,$B108,'LANÇAMENTOS'!$E$6:$E$2005,"Saída",'LANÇAMENTOS'!$Z$6:$Z$2005,MONTH(EDATE(TODAY(),2)),'LANÇAMENTOS'!$AA$6:$AA$2005,YEAR(EDATE(TODAY(),2)))&gt;0,0,$F$16)))</f>
        <v/>
      </c>
      <c r="F108" s="18">
        <f>IF($A108="",0,IF(MOD(3,IF($G$16="Mensal",1,IF($G$16="Bimestral",2,IF($G$16="Trimestral",3,IF($G$16="Semestral",6,12)))))&lt;&gt;0,0,IF(COUNTIFS('LANÇAMENTOS'!$G$6:$G$2005,$B108,'LANÇAMENTOS'!$E$6:$E$2005,"Saída",'LANÇAMENTOS'!$Z$6:$Z$2005,MONTH(EDATE(TODAY(),3)),'LANÇAMENTOS'!$AA$6:$AA$2005,YEAR(EDATE(TODAY(),3)))&gt;0,0,$F$16)))</f>
        <v/>
      </c>
      <c r="G108" s="18">
        <f>IF($A108="",0,IF(MOD(4,IF($G$16="Mensal",1,IF($G$16="Bimestral",2,IF($G$16="Trimestral",3,IF($G$16="Semestral",6,12)))))&lt;&gt;0,0,IF(COUNTIFS('LANÇAMENTOS'!$G$6:$G$2005,$B108,'LANÇAMENTOS'!$E$6:$E$2005,"Saída",'LANÇAMENTOS'!$Z$6:$Z$2005,MONTH(EDATE(TODAY(),4)),'LANÇAMENTOS'!$AA$6:$AA$2005,YEAR(EDATE(TODAY(),4)))&gt;0,0,$F$16)))</f>
        <v/>
      </c>
      <c r="H108" s="18">
        <f>IF($A108="",0,IF(MOD(5,IF($G$16="Mensal",1,IF($G$16="Bimestral",2,IF($G$16="Trimestral",3,IF($G$16="Semestral",6,12)))))&lt;&gt;0,0,IF(COUNTIFS('LANÇAMENTOS'!$G$6:$G$2005,$B108,'LANÇAMENTOS'!$E$6:$E$2005,"Saída",'LANÇAMENTOS'!$Z$6:$Z$2005,MONTH(EDATE(TODAY(),5)),'LANÇAMENTOS'!$AA$6:$AA$2005,YEAR(EDATE(TODAY(),5)))&gt;0,0,$F$16)))</f>
        <v/>
      </c>
      <c r="I108" s="18">
        <f>IF($A108="",0,IF(MOD(6,IF($G$16="Mensal",1,IF($G$16="Bimestral",2,IF($G$16="Trimestral",3,IF($G$16="Semestral",6,12)))))&lt;&gt;0,0,IF(COUNTIFS('LANÇAMENTOS'!$G$6:$G$2005,$B108,'LANÇAMENTOS'!$E$6:$E$2005,"Saída",'LANÇAMENTOS'!$Z$6:$Z$2005,MONTH(EDATE(TODAY(),6)),'LANÇAMENTOS'!$AA$6:$AA$2005,YEAR(EDATE(TODAY(),6)))&gt;0,0,$F$16)))</f>
        <v/>
      </c>
      <c r="J108" s="18">
        <f>IF($A108="",0,IF(MOD(7,IF($G$16="Mensal",1,IF($G$16="Bimestral",2,IF($G$16="Trimestral",3,IF($G$16="Semestral",6,12)))))&lt;&gt;0,0,IF(COUNTIFS('LANÇAMENTOS'!$G$6:$G$2005,$B108,'LANÇAMENTOS'!$E$6:$E$2005,"Saída",'LANÇAMENTOS'!$Z$6:$Z$2005,MONTH(EDATE(TODAY(),7)),'LANÇAMENTOS'!$AA$6:$AA$2005,YEAR(EDATE(TODAY(),7)))&gt;0,0,$F$16)))</f>
        <v/>
      </c>
      <c r="K108" s="18">
        <f>IF($A108="",0,IF(MOD(8,IF($G$16="Mensal",1,IF($G$16="Bimestral",2,IF($G$16="Trimestral",3,IF($G$16="Semestral",6,12)))))&lt;&gt;0,0,IF(COUNTIFS('LANÇAMENTOS'!$G$6:$G$2005,$B108,'LANÇAMENTOS'!$E$6:$E$2005,"Saída",'LANÇAMENTOS'!$Z$6:$Z$2005,MONTH(EDATE(TODAY(),8)),'LANÇAMENTOS'!$AA$6:$AA$2005,YEAR(EDATE(TODAY(),8)))&gt;0,0,$F$16)))</f>
        <v/>
      </c>
      <c r="L108" s="18">
        <f>IF($A108="",0,IF(MOD(9,IF($G$16="Mensal",1,IF($G$16="Bimestral",2,IF($G$16="Trimestral",3,IF($G$16="Semestral",6,12)))))&lt;&gt;0,0,IF(COUNTIFS('LANÇAMENTOS'!$G$6:$G$2005,$B108,'LANÇAMENTOS'!$E$6:$E$2005,"Saída",'LANÇAMENTOS'!$Z$6:$Z$2005,MONTH(EDATE(TODAY(),9)),'LANÇAMENTOS'!$AA$6:$AA$2005,YEAR(EDATE(TODAY(),9)))&gt;0,0,$F$16)))</f>
        <v/>
      </c>
      <c r="M108" s="18">
        <f>IF($A108="",0,IF(MOD(10,IF($G$16="Mensal",1,IF($G$16="Bimestral",2,IF($G$16="Trimestral",3,IF($G$16="Semestral",6,12)))))&lt;&gt;0,0,IF(COUNTIFS('LANÇAMENTOS'!$G$6:$G$2005,$B108,'LANÇAMENTOS'!$E$6:$E$2005,"Saída",'LANÇAMENTOS'!$Z$6:$Z$2005,MONTH(EDATE(TODAY(),10)),'LANÇAMENTOS'!$AA$6:$AA$2005,YEAR(EDATE(TODAY(),10)))&gt;0,0,$F$16)))</f>
        <v/>
      </c>
      <c r="N108" s="18">
        <f>IF($A108="",0,IF(MOD(11,IF($G$16="Mensal",1,IF($G$16="Bimestral",2,IF($G$16="Trimestral",3,IF($G$16="Semestral",6,12)))))&lt;&gt;0,0,IF(COUNTIFS('LANÇAMENTOS'!$G$6:$G$2005,$B108,'LANÇAMENTOS'!$E$6:$E$2005,"Saída",'LANÇAMENTOS'!$Z$6:$Z$2005,MONTH(EDATE(TODAY(),11)),'LANÇAMENTOS'!$AA$6:$AA$2005,YEAR(EDATE(TODAY(),11)))&gt;0,0,$F$16)))</f>
        <v/>
      </c>
    </row>
    <row r="109">
      <c r="A109" s="9">
        <f>IF(OR($A$17="",$K$17&lt;&gt;"Sim"),"",$A$17)</f>
        <v/>
      </c>
      <c r="B109" s="17">
        <f>IF($A109="","",$C$17)</f>
        <v/>
      </c>
      <c r="C109" s="18">
        <f>IF($A109="",0,IF(MOD(0,IF($G$17="Mensal",1,IF($G$17="Bimestral",2,IF($G$17="Trimestral",3,IF($G$17="Semestral",6,12)))))&lt;&gt;0,0,IF(COUNTIFS('LANÇAMENTOS'!$G$6:$G$2005,$B109,'LANÇAMENTOS'!$E$6:$E$2005,"Saída",'LANÇAMENTOS'!$Z$6:$Z$2005,MONTH(EDATE(TODAY(),0)),'LANÇAMENTOS'!$AA$6:$AA$2005,YEAR(EDATE(TODAY(),0)))&gt;0,0,$F$17)))</f>
        <v/>
      </c>
      <c r="D109" s="18">
        <f>IF($A109="",0,IF(MOD(1,IF($G$17="Mensal",1,IF($G$17="Bimestral",2,IF($G$17="Trimestral",3,IF($G$17="Semestral",6,12)))))&lt;&gt;0,0,IF(COUNTIFS('LANÇAMENTOS'!$G$6:$G$2005,$B109,'LANÇAMENTOS'!$E$6:$E$2005,"Saída",'LANÇAMENTOS'!$Z$6:$Z$2005,MONTH(EDATE(TODAY(),1)),'LANÇAMENTOS'!$AA$6:$AA$2005,YEAR(EDATE(TODAY(),1)))&gt;0,0,$F$17)))</f>
        <v/>
      </c>
      <c r="E109" s="18">
        <f>IF($A109="",0,IF(MOD(2,IF($G$17="Mensal",1,IF($G$17="Bimestral",2,IF($G$17="Trimestral",3,IF($G$17="Semestral",6,12)))))&lt;&gt;0,0,IF(COUNTIFS('LANÇAMENTOS'!$G$6:$G$2005,$B109,'LANÇAMENTOS'!$E$6:$E$2005,"Saída",'LANÇAMENTOS'!$Z$6:$Z$2005,MONTH(EDATE(TODAY(),2)),'LANÇAMENTOS'!$AA$6:$AA$2005,YEAR(EDATE(TODAY(),2)))&gt;0,0,$F$17)))</f>
        <v/>
      </c>
      <c r="F109" s="18">
        <f>IF($A109="",0,IF(MOD(3,IF($G$17="Mensal",1,IF($G$17="Bimestral",2,IF($G$17="Trimestral",3,IF($G$17="Semestral",6,12)))))&lt;&gt;0,0,IF(COUNTIFS('LANÇAMENTOS'!$G$6:$G$2005,$B109,'LANÇAMENTOS'!$E$6:$E$2005,"Saída",'LANÇAMENTOS'!$Z$6:$Z$2005,MONTH(EDATE(TODAY(),3)),'LANÇAMENTOS'!$AA$6:$AA$2005,YEAR(EDATE(TODAY(),3)))&gt;0,0,$F$17)))</f>
        <v/>
      </c>
      <c r="G109" s="18">
        <f>IF($A109="",0,IF(MOD(4,IF($G$17="Mensal",1,IF($G$17="Bimestral",2,IF($G$17="Trimestral",3,IF($G$17="Semestral",6,12)))))&lt;&gt;0,0,IF(COUNTIFS('LANÇAMENTOS'!$G$6:$G$2005,$B109,'LANÇAMENTOS'!$E$6:$E$2005,"Saída",'LANÇAMENTOS'!$Z$6:$Z$2005,MONTH(EDATE(TODAY(),4)),'LANÇAMENTOS'!$AA$6:$AA$2005,YEAR(EDATE(TODAY(),4)))&gt;0,0,$F$17)))</f>
        <v/>
      </c>
      <c r="H109" s="18">
        <f>IF($A109="",0,IF(MOD(5,IF($G$17="Mensal",1,IF($G$17="Bimestral",2,IF($G$17="Trimestral",3,IF($G$17="Semestral",6,12)))))&lt;&gt;0,0,IF(COUNTIFS('LANÇAMENTOS'!$G$6:$G$2005,$B109,'LANÇAMENTOS'!$E$6:$E$2005,"Saída",'LANÇAMENTOS'!$Z$6:$Z$2005,MONTH(EDATE(TODAY(),5)),'LANÇAMENTOS'!$AA$6:$AA$2005,YEAR(EDATE(TODAY(),5)))&gt;0,0,$F$17)))</f>
        <v/>
      </c>
      <c r="I109" s="18">
        <f>IF($A109="",0,IF(MOD(6,IF($G$17="Mensal",1,IF($G$17="Bimestral",2,IF($G$17="Trimestral",3,IF($G$17="Semestral",6,12)))))&lt;&gt;0,0,IF(COUNTIFS('LANÇAMENTOS'!$G$6:$G$2005,$B109,'LANÇAMENTOS'!$E$6:$E$2005,"Saída",'LANÇAMENTOS'!$Z$6:$Z$2005,MONTH(EDATE(TODAY(),6)),'LANÇAMENTOS'!$AA$6:$AA$2005,YEAR(EDATE(TODAY(),6)))&gt;0,0,$F$17)))</f>
        <v/>
      </c>
      <c r="J109" s="18">
        <f>IF($A109="",0,IF(MOD(7,IF($G$17="Mensal",1,IF($G$17="Bimestral",2,IF($G$17="Trimestral",3,IF($G$17="Semestral",6,12)))))&lt;&gt;0,0,IF(COUNTIFS('LANÇAMENTOS'!$G$6:$G$2005,$B109,'LANÇAMENTOS'!$E$6:$E$2005,"Saída",'LANÇAMENTOS'!$Z$6:$Z$2005,MONTH(EDATE(TODAY(),7)),'LANÇAMENTOS'!$AA$6:$AA$2005,YEAR(EDATE(TODAY(),7)))&gt;0,0,$F$17)))</f>
        <v/>
      </c>
      <c r="K109" s="18">
        <f>IF($A109="",0,IF(MOD(8,IF($G$17="Mensal",1,IF($G$17="Bimestral",2,IF($G$17="Trimestral",3,IF($G$17="Semestral",6,12)))))&lt;&gt;0,0,IF(COUNTIFS('LANÇAMENTOS'!$G$6:$G$2005,$B109,'LANÇAMENTOS'!$E$6:$E$2005,"Saída",'LANÇAMENTOS'!$Z$6:$Z$2005,MONTH(EDATE(TODAY(),8)),'LANÇAMENTOS'!$AA$6:$AA$2005,YEAR(EDATE(TODAY(),8)))&gt;0,0,$F$17)))</f>
        <v/>
      </c>
      <c r="L109" s="18">
        <f>IF($A109="",0,IF(MOD(9,IF($G$17="Mensal",1,IF($G$17="Bimestral",2,IF($G$17="Trimestral",3,IF($G$17="Semestral",6,12)))))&lt;&gt;0,0,IF(COUNTIFS('LANÇAMENTOS'!$G$6:$G$2005,$B109,'LANÇAMENTOS'!$E$6:$E$2005,"Saída",'LANÇAMENTOS'!$Z$6:$Z$2005,MONTH(EDATE(TODAY(),9)),'LANÇAMENTOS'!$AA$6:$AA$2005,YEAR(EDATE(TODAY(),9)))&gt;0,0,$F$17)))</f>
        <v/>
      </c>
      <c r="M109" s="18">
        <f>IF($A109="",0,IF(MOD(10,IF($G$17="Mensal",1,IF($G$17="Bimestral",2,IF($G$17="Trimestral",3,IF($G$17="Semestral",6,12)))))&lt;&gt;0,0,IF(COUNTIFS('LANÇAMENTOS'!$G$6:$G$2005,$B109,'LANÇAMENTOS'!$E$6:$E$2005,"Saída",'LANÇAMENTOS'!$Z$6:$Z$2005,MONTH(EDATE(TODAY(),10)),'LANÇAMENTOS'!$AA$6:$AA$2005,YEAR(EDATE(TODAY(),10)))&gt;0,0,$F$17)))</f>
        <v/>
      </c>
      <c r="N109" s="18">
        <f>IF($A109="",0,IF(MOD(11,IF($G$17="Mensal",1,IF($G$17="Bimestral",2,IF($G$17="Trimestral",3,IF($G$17="Semestral",6,12)))))&lt;&gt;0,0,IF(COUNTIFS('LANÇAMENTOS'!$G$6:$G$2005,$B109,'LANÇAMENTOS'!$E$6:$E$2005,"Saída",'LANÇAMENTOS'!$Z$6:$Z$2005,MONTH(EDATE(TODAY(),11)),'LANÇAMENTOS'!$AA$6:$AA$2005,YEAR(EDATE(TODAY(),11)))&gt;0,0,$F$17)))</f>
        <v/>
      </c>
    </row>
    <row r="110">
      <c r="A110" s="9">
        <f>IF(OR($A$18="",$K$18&lt;&gt;"Sim"),"",$A$18)</f>
        <v/>
      </c>
      <c r="B110" s="17">
        <f>IF($A110="","",$C$18)</f>
        <v/>
      </c>
      <c r="C110" s="18">
        <f>IF($A110="",0,IF(MOD(0,IF($G$18="Mensal",1,IF($G$18="Bimestral",2,IF($G$18="Trimestral",3,IF($G$18="Semestral",6,12)))))&lt;&gt;0,0,IF(COUNTIFS('LANÇAMENTOS'!$G$6:$G$2005,$B110,'LANÇAMENTOS'!$E$6:$E$2005,"Saída",'LANÇAMENTOS'!$Z$6:$Z$2005,MONTH(EDATE(TODAY(),0)),'LANÇAMENTOS'!$AA$6:$AA$2005,YEAR(EDATE(TODAY(),0)))&gt;0,0,$F$18)))</f>
        <v/>
      </c>
      <c r="D110" s="18">
        <f>IF($A110="",0,IF(MOD(1,IF($G$18="Mensal",1,IF($G$18="Bimestral",2,IF($G$18="Trimestral",3,IF($G$18="Semestral",6,12)))))&lt;&gt;0,0,IF(COUNTIFS('LANÇAMENTOS'!$G$6:$G$2005,$B110,'LANÇAMENTOS'!$E$6:$E$2005,"Saída",'LANÇAMENTOS'!$Z$6:$Z$2005,MONTH(EDATE(TODAY(),1)),'LANÇAMENTOS'!$AA$6:$AA$2005,YEAR(EDATE(TODAY(),1)))&gt;0,0,$F$18)))</f>
        <v/>
      </c>
      <c r="E110" s="18">
        <f>IF($A110="",0,IF(MOD(2,IF($G$18="Mensal",1,IF($G$18="Bimestral",2,IF($G$18="Trimestral",3,IF($G$18="Semestral",6,12)))))&lt;&gt;0,0,IF(COUNTIFS('LANÇAMENTOS'!$G$6:$G$2005,$B110,'LANÇAMENTOS'!$E$6:$E$2005,"Saída",'LANÇAMENTOS'!$Z$6:$Z$2005,MONTH(EDATE(TODAY(),2)),'LANÇAMENTOS'!$AA$6:$AA$2005,YEAR(EDATE(TODAY(),2)))&gt;0,0,$F$18)))</f>
        <v/>
      </c>
      <c r="F110" s="18">
        <f>IF($A110="",0,IF(MOD(3,IF($G$18="Mensal",1,IF($G$18="Bimestral",2,IF($G$18="Trimestral",3,IF($G$18="Semestral",6,12)))))&lt;&gt;0,0,IF(COUNTIFS('LANÇAMENTOS'!$G$6:$G$2005,$B110,'LANÇAMENTOS'!$E$6:$E$2005,"Saída",'LANÇAMENTOS'!$Z$6:$Z$2005,MONTH(EDATE(TODAY(),3)),'LANÇAMENTOS'!$AA$6:$AA$2005,YEAR(EDATE(TODAY(),3)))&gt;0,0,$F$18)))</f>
        <v/>
      </c>
      <c r="G110" s="18">
        <f>IF($A110="",0,IF(MOD(4,IF($G$18="Mensal",1,IF($G$18="Bimestral",2,IF($G$18="Trimestral",3,IF($G$18="Semestral",6,12)))))&lt;&gt;0,0,IF(COUNTIFS('LANÇAMENTOS'!$G$6:$G$2005,$B110,'LANÇAMENTOS'!$E$6:$E$2005,"Saída",'LANÇAMENTOS'!$Z$6:$Z$2005,MONTH(EDATE(TODAY(),4)),'LANÇAMENTOS'!$AA$6:$AA$2005,YEAR(EDATE(TODAY(),4)))&gt;0,0,$F$18)))</f>
        <v/>
      </c>
      <c r="H110" s="18">
        <f>IF($A110="",0,IF(MOD(5,IF($G$18="Mensal",1,IF($G$18="Bimestral",2,IF($G$18="Trimestral",3,IF($G$18="Semestral",6,12)))))&lt;&gt;0,0,IF(COUNTIFS('LANÇAMENTOS'!$G$6:$G$2005,$B110,'LANÇAMENTOS'!$E$6:$E$2005,"Saída",'LANÇAMENTOS'!$Z$6:$Z$2005,MONTH(EDATE(TODAY(),5)),'LANÇAMENTOS'!$AA$6:$AA$2005,YEAR(EDATE(TODAY(),5)))&gt;0,0,$F$18)))</f>
        <v/>
      </c>
      <c r="I110" s="18">
        <f>IF($A110="",0,IF(MOD(6,IF($G$18="Mensal",1,IF($G$18="Bimestral",2,IF($G$18="Trimestral",3,IF($G$18="Semestral",6,12)))))&lt;&gt;0,0,IF(COUNTIFS('LANÇAMENTOS'!$G$6:$G$2005,$B110,'LANÇAMENTOS'!$E$6:$E$2005,"Saída",'LANÇAMENTOS'!$Z$6:$Z$2005,MONTH(EDATE(TODAY(),6)),'LANÇAMENTOS'!$AA$6:$AA$2005,YEAR(EDATE(TODAY(),6)))&gt;0,0,$F$18)))</f>
        <v/>
      </c>
      <c r="J110" s="18">
        <f>IF($A110="",0,IF(MOD(7,IF($G$18="Mensal",1,IF($G$18="Bimestral",2,IF($G$18="Trimestral",3,IF($G$18="Semestral",6,12)))))&lt;&gt;0,0,IF(COUNTIFS('LANÇAMENTOS'!$G$6:$G$2005,$B110,'LANÇAMENTOS'!$E$6:$E$2005,"Saída",'LANÇAMENTOS'!$Z$6:$Z$2005,MONTH(EDATE(TODAY(),7)),'LANÇAMENTOS'!$AA$6:$AA$2005,YEAR(EDATE(TODAY(),7)))&gt;0,0,$F$18)))</f>
        <v/>
      </c>
      <c r="K110" s="18">
        <f>IF($A110="",0,IF(MOD(8,IF($G$18="Mensal",1,IF($G$18="Bimestral",2,IF($G$18="Trimestral",3,IF($G$18="Semestral",6,12)))))&lt;&gt;0,0,IF(COUNTIFS('LANÇAMENTOS'!$G$6:$G$2005,$B110,'LANÇAMENTOS'!$E$6:$E$2005,"Saída",'LANÇAMENTOS'!$Z$6:$Z$2005,MONTH(EDATE(TODAY(),8)),'LANÇAMENTOS'!$AA$6:$AA$2005,YEAR(EDATE(TODAY(),8)))&gt;0,0,$F$18)))</f>
        <v/>
      </c>
      <c r="L110" s="18">
        <f>IF($A110="",0,IF(MOD(9,IF($G$18="Mensal",1,IF($G$18="Bimestral",2,IF($G$18="Trimestral",3,IF($G$18="Semestral",6,12)))))&lt;&gt;0,0,IF(COUNTIFS('LANÇAMENTOS'!$G$6:$G$2005,$B110,'LANÇAMENTOS'!$E$6:$E$2005,"Saída",'LANÇAMENTOS'!$Z$6:$Z$2005,MONTH(EDATE(TODAY(),9)),'LANÇAMENTOS'!$AA$6:$AA$2005,YEAR(EDATE(TODAY(),9)))&gt;0,0,$F$18)))</f>
        <v/>
      </c>
      <c r="M110" s="18">
        <f>IF($A110="",0,IF(MOD(10,IF($G$18="Mensal",1,IF($G$18="Bimestral",2,IF($G$18="Trimestral",3,IF($G$18="Semestral",6,12)))))&lt;&gt;0,0,IF(COUNTIFS('LANÇAMENTOS'!$G$6:$G$2005,$B110,'LANÇAMENTOS'!$E$6:$E$2005,"Saída",'LANÇAMENTOS'!$Z$6:$Z$2005,MONTH(EDATE(TODAY(),10)),'LANÇAMENTOS'!$AA$6:$AA$2005,YEAR(EDATE(TODAY(),10)))&gt;0,0,$F$18)))</f>
        <v/>
      </c>
      <c r="N110" s="18">
        <f>IF($A110="",0,IF(MOD(11,IF($G$18="Mensal",1,IF($G$18="Bimestral",2,IF($G$18="Trimestral",3,IF($G$18="Semestral",6,12)))))&lt;&gt;0,0,IF(COUNTIFS('LANÇAMENTOS'!$G$6:$G$2005,$B110,'LANÇAMENTOS'!$E$6:$E$2005,"Saída",'LANÇAMENTOS'!$Z$6:$Z$2005,MONTH(EDATE(TODAY(),11)),'LANÇAMENTOS'!$AA$6:$AA$2005,YEAR(EDATE(TODAY(),11)))&gt;0,0,$F$18)))</f>
        <v/>
      </c>
    </row>
    <row r="111">
      <c r="A111" s="9">
        <f>IF(OR($A$19="",$K$19&lt;&gt;"Sim"),"",$A$19)</f>
        <v/>
      </c>
      <c r="B111" s="17">
        <f>IF($A111="","",$C$19)</f>
        <v/>
      </c>
      <c r="C111" s="18">
        <f>IF($A111="",0,IF(MOD(0,IF($G$19="Mensal",1,IF($G$19="Bimestral",2,IF($G$19="Trimestral",3,IF($G$19="Semestral",6,12)))))&lt;&gt;0,0,IF(COUNTIFS('LANÇAMENTOS'!$G$6:$G$2005,$B111,'LANÇAMENTOS'!$E$6:$E$2005,"Saída",'LANÇAMENTOS'!$Z$6:$Z$2005,MONTH(EDATE(TODAY(),0)),'LANÇAMENTOS'!$AA$6:$AA$2005,YEAR(EDATE(TODAY(),0)))&gt;0,0,$F$19)))</f>
        <v/>
      </c>
      <c r="D111" s="18">
        <f>IF($A111="",0,IF(MOD(1,IF($G$19="Mensal",1,IF($G$19="Bimestral",2,IF($G$19="Trimestral",3,IF($G$19="Semestral",6,12)))))&lt;&gt;0,0,IF(COUNTIFS('LANÇAMENTOS'!$G$6:$G$2005,$B111,'LANÇAMENTOS'!$E$6:$E$2005,"Saída",'LANÇAMENTOS'!$Z$6:$Z$2005,MONTH(EDATE(TODAY(),1)),'LANÇAMENTOS'!$AA$6:$AA$2005,YEAR(EDATE(TODAY(),1)))&gt;0,0,$F$19)))</f>
        <v/>
      </c>
      <c r="E111" s="18">
        <f>IF($A111="",0,IF(MOD(2,IF($G$19="Mensal",1,IF($G$19="Bimestral",2,IF($G$19="Trimestral",3,IF($G$19="Semestral",6,12)))))&lt;&gt;0,0,IF(COUNTIFS('LANÇAMENTOS'!$G$6:$G$2005,$B111,'LANÇAMENTOS'!$E$6:$E$2005,"Saída",'LANÇAMENTOS'!$Z$6:$Z$2005,MONTH(EDATE(TODAY(),2)),'LANÇAMENTOS'!$AA$6:$AA$2005,YEAR(EDATE(TODAY(),2)))&gt;0,0,$F$19)))</f>
        <v/>
      </c>
      <c r="F111" s="18">
        <f>IF($A111="",0,IF(MOD(3,IF($G$19="Mensal",1,IF($G$19="Bimestral",2,IF($G$19="Trimestral",3,IF($G$19="Semestral",6,12)))))&lt;&gt;0,0,IF(COUNTIFS('LANÇAMENTOS'!$G$6:$G$2005,$B111,'LANÇAMENTOS'!$E$6:$E$2005,"Saída",'LANÇAMENTOS'!$Z$6:$Z$2005,MONTH(EDATE(TODAY(),3)),'LANÇAMENTOS'!$AA$6:$AA$2005,YEAR(EDATE(TODAY(),3)))&gt;0,0,$F$19)))</f>
        <v/>
      </c>
      <c r="G111" s="18">
        <f>IF($A111="",0,IF(MOD(4,IF($G$19="Mensal",1,IF($G$19="Bimestral",2,IF($G$19="Trimestral",3,IF($G$19="Semestral",6,12)))))&lt;&gt;0,0,IF(COUNTIFS('LANÇAMENTOS'!$G$6:$G$2005,$B111,'LANÇAMENTOS'!$E$6:$E$2005,"Saída",'LANÇAMENTOS'!$Z$6:$Z$2005,MONTH(EDATE(TODAY(),4)),'LANÇAMENTOS'!$AA$6:$AA$2005,YEAR(EDATE(TODAY(),4)))&gt;0,0,$F$19)))</f>
        <v/>
      </c>
      <c r="H111" s="18">
        <f>IF($A111="",0,IF(MOD(5,IF($G$19="Mensal",1,IF($G$19="Bimestral",2,IF($G$19="Trimestral",3,IF($G$19="Semestral",6,12)))))&lt;&gt;0,0,IF(COUNTIFS('LANÇAMENTOS'!$G$6:$G$2005,$B111,'LANÇAMENTOS'!$E$6:$E$2005,"Saída",'LANÇAMENTOS'!$Z$6:$Z$2005,MONTH(EDATE(TODAY(),5)),'LANÇAMENTOS'!$AA$6:$AA$2005,YEAR(EDATE(TODAY(),5)))&gt;0,0,$F$19)))</f>
        <v/>
      </c>
      <c r="I111" s="18">
        <f>IF($A111="",0,IF(MOD(6,IF($G$19="Mensal",1,IF($G$19="Bimestral",2,IF($G$19="Trimestral",3,IF($G$19="Semestral",6,12)))))&lt;&gt;0,0,IF(COUNTIFS('LANÇAMENTOS'!$G$6:$G$2005,$B111,'LANÇAMENTOS'!$E$6:$E$2005,"Saída",'LANÇAMENTOS'!$Z$6:$Z$2005,MONTH(EDATE(TODAY(),6)),'LANÇAMENTOS'!$AA$6:$AA$2005,YEAR(EDATE(TODAY(),6)))&gt;0,0,$F$19)))</f>
        <v/>
      </c>
      <c r="J111" s="18">
        <f>IF($A111="",0,IF(MOD(7,IF($G$19="Mensal",1,IF($G$19="Bimestral",2,IF($G$19="Trimestral",3,IF($G$19="Semestral",6,12)))))&lt;&gt;0,0,IF(COUNTIFS('LANÇAMENTOS'!$G$6:$G$2005,$B111,'LANÇAMENTOS'!$E$6:$E$2005,"Saída",'LANÇAMENTOS'!$Z$6:$Z$2005,MONTH(EDATE(TODAY(),7)),'LANÇAMENTOS'!$AA$6:$AA$2005,YEAR(EDATE(TODAY(),7)))&gt;0,0,$F$19)))</f>
        <v/>
      </c>
      <c r="K111" s="18">
        <f>IF($A111="",0,IF(MOD(8,IF($G$19="Mensal",1,IF($G$19="Bimestral",2,IF($G$19="Trimestral",3,IF($G$19="Semestral",6,12)))))&lt;&gt;0,0,IF(COUNTIFS('LANÇAMENTOS'!$G$6:$G$2005,$B111,'LANÇAMENTOS'!$E$6:$E$2005,"Saída",'LANÇAMENTOS'!$Z$6:$Z$2005,MONTH(EDATE(TODAY(),8)),'LANÇAMENTOS'!$AA$6:$AA$2005,YEAR(EDATE(TODAY(),8)))&gt;0,0,$F$19)))</f>
        <v/>
      </c>
      <c r="L111" s="18">
        <f>IF($A111="",0,IF(MOD(9,IF($G$19="Mensal",1,IF($G$19="Bimestral",2,IF($G$19="Trimestral",3,IF($G$19="Semestral",6,12)))))&lt;&gt;0,0,IF(COUNTIFS('LANÇAMENTOS'!$G$6:$G$2005,$B111,'LANÇAMENTOS'!$E$6:$E$2005,"Saída",'LANÇAMENTOS'!$Z$6:$Z$2005,MONTH(EDATE(TODAY(),9)),'LANÇAMENTOS'!$AA$6:$AA$2005,YEAR(EDATE(TODAY(),9)))&gt;0,0,$F$19)))</f>
        <v/>
      </c>
      <c r="M111" s="18">
        <f>IF($A111="",0,IF(MOD(10,IF($G$19="Mensal",1,IF($G$19="Bimestral",2,IF($G$19="Trimestral",3,IF($G$19="Semestral",6,12)))))&lt;&gt;0,0,IF(COUNTIFS('LANÇAMENTOS'!$G$6:$G$2005,$B111,'LANÇAMENTOS'!$E$6:$E$2005,"Saída",'LANÇAMENTOS'!$Z$6:$Z$2005,MONTH(EDATE(TODAY(),10)),'LANÇAMENTOS'!$AA$6:$AA$2005,YEAR(EDATE(TODAY(),10)))&gt;0,0,$F$19)))</f>
        <v/>
      </c>
      <c r="N111" s="18">
        <f>IF($A111="",0,IF(MOD(11,IF($G$19="Mensal",1,IF($G$19="Bimestral",2,IF($G$19="Trimestral",3,IF($G$19="Semestral",6,12)))))&lt;&gt;0,0,IF(COUNTIFS('LANÇAMENTOS'!$G$6:$G$2005,$B111,'LANÇAMENTOS'!$E$6:$E$2005,"Saída",'LANÇAMENTOS'!$Z$6:$Z$2005,MONTH(EDATE(TODAY(),11)),'LANÇAMENTOS'!$AA$6:$AA$2005,YEAR(EDATE(TODAY(),11)))&gt;0,0,$F$19)))</f>
        <v/>
      </c>
    </row>
    <row r="112">
      <c r="A112" s="9">
        <f>IF(OR($A$20="",$K$20&lt;&gt;"Sim"),"",$A$20)</f>
        <v/>
      </c>
      <c r="B112" s="17">
        <f>IF($A112="","",$C$20)</f>
        <v/>
      </c>
      <c r="C112" s="18">
        <f>IF($A112="",0,IF(MOD(0,IF($G$20="Mensal",1,IF($G$20="Bimestral",2,IF($G$20="Trimestral",3,IF($G$20="Semestral",6,12)))))&lt;&gt;0,0,IF(COUNTIFS('LANÇAMENTOS'!$G$6:$G$2005,$B112,'LANÇAMENTOS'!$E$6:$E$2005,"Saída",'LANÇAMENTOS'!$Z$6:$Z$2005,MONTH(EDATE(TODAY(),0)),'LANÇAMENTOS'!$AA$6:$AA$2005,YEAR(EDATE(TODAY(),0)))&gt;0,0,$F$20)))</f>
        <v/>
      </c>
      <c r="D112" s="18">
        <f>IF($A112="",0,IF(MOD(1,IF($G$20="Mensal",1,IF($G$20="Bimestral",2,IF($G$20="Trimestral",3,IF($G$20="Semestral",6,12)))))&lt;&gt;0,0,IF(COUNTIFS('LANÇAMENTOS'!$G$6:$G$2005,$B112,'LANÇAMENTOS'!$E$6:$E$2005,"Saída",'LANÇAMENTOS'!$Z$6:$Z$2005,MONTH(EDATE(TODAY(),1)),'LANÇAMENTOS'!$AA$6:$AA$2005,YEAR(EDATE(TODAY(),1)))&gt;0,0,$F$20)))</f>
        <v/>
      </c>
      <c r="E112" s="18">
        <f>IF($A112="",0,IF(MOD(2,IF($G$20="Mensal",1,IF($G$20="Bimestral",2,IF($G$20="Trimestral",3,IF($G$20="Semestral",6,12)))))&lt;&gt;0,0,IF(COUNTIFS('LANÇAMENTOS'!$G$6:$G$2005,$B112,'LANÇAMENTOS'!$E$6:$E$2005,"Saída",'LANÇAMENTOS'!$Z$6:$Z$2005,MONTH(EDATE(TODAY(),2)),'LANÇAMENTOS'!$AA$6:$AA$2005,YEAR(EDATE(TODAY(),2)))&gt;0,0,$F$20)))</f>
        <v/>
      </c>
      <c r="F112" s="18">
        <f>IF($A112="",0,IF(MOD(3,IF($G$20="Mensal",1,IF($G$20="Bimestral",2,IF($G$20="Trimestral",3,IF($G$20="Semestral",6,12)))))&lt;&gt;0,0,IF(COUNTIFS('LANÇAMENTOS'!$G$6:$G$2005,$B112,'LANÇAMENTOS'!$E$6:$E$2005,"Saída",'LANÇAMENTOS'!$Z$6:$Z$2005,MONTH(EDATE(TODAY(),3)),'LANÇAMENTOS'!$AA$6:$AA$2005,YEAR(EDATE(TODAY(),3)))&gt;0,0,$F$20)))</f>
        <v/>
      </c>
      <c r="G112" s="18">
        <f>IF($A112="",0,IF(MOD(4,IF($G$20="Mensal",1,IF($G$20="Bimestral",2,IF($G$20="Trimestral",3,IF($G$20="Semestral",6,12)))))&lt;&gt;0,0,IF(COUNTIFS('LANÇAMENTOS'!$G$6:$G$2005,$B112,'LANÇAMENTOS'!$E$6:$E$2005,"Saída",'LANÇAMENTOS'!$Z$6:$Z$2005,MONTH(EDATE(TODAY(),4)),'LANÇAMENTOS'!$AA$6:$AA$2005,YEAR(EDATE(TODAY(),4)))&gt;0,0,$F$20)))</f>
        <v/>
      </c>
      <c r="H112" s="18">
        <f>IF($A112="",0,IF(MOD(5,IF($G$20="Mensal",1,IF($G$20="Bimestral",2,IF($G$20="Trimestral",3,IF($G$20="Semestral",6,12)))))&lt;&gt;0,0,IF(COUNTIFS('LANÇAMENTOS'!$G$6:$G$2005,$B112,'LANÇAMENTOS'!$E$6:$E$2005,"Saída",'LANÇAMENTOS'!$Z$6:$Z$2005,MONTH(EDATE(TODAY(),5)),'LANÇAMENTOS'!$AA$6:$AA$2005,YEAR(EDATE(TODAY(),5)))&gt;0,0,$F$20)))</f>
        <v/>
      </c>
      <c r="I112" s="18">
        <f>IF($A112="",0,IF(MOD(6,IF($G$20="Mensal",1,IF($G$20="Bimestral",2,IF($G$20="Trimestral",3,IF($G$20="Semestral",6,12)))))&lt;&gt;0,0,IF(COUNTIFS('LANÇAMENTOS'!$G$6:$G$2005,$B112,'LANÇAMENTOS'!$E$6:$E$2005,"Saída",'LANÇAMENTOS'!$Z$6:$Z$2005,MONTH(EDATE(TODAY(),6)),'LANÇAMENTOS'!$AA$6:$AA$2005,YEAR(EDATE(TODAY(),6)))&gt;0,0,$F$20)))</f>
        <v/>
      </c>
      <c r="J112" s="18">
        <f>IF($A112="",0,IF(MOD(7,IF($G$20="Mensal",1,IF($G$20="Bimestral",2,IF($G$20="Trimestral",3,IF($G$20="Semestral",6,12)))))&lt;&gt;0,0,IF(COUNTIFS('LANÇAMENTOS'!$G$6:$G$2005,$B112,'LANÇAMENTOS'!$E$6:$E$2005,"Saída",'LANÇAMENTOS'!$Z$6:$Z$2005,MONTH(EDATE(TODAY(),7)),'LANÇAMENTOS'!$AA$6:$AA$2005,YEAR(EDATE(TODAY(),7)))&gt;0,0,$F$20)))</f>
        <v/>
      </c>
      <c r="K112" s="18">
        <f>IF($A112="",0,IF(MOD(8,IF($G$20="Mensal",1,IF($G$20="Bimestral",2,IF($G$20="Trimestral",3,IF($G$20="Semestral",6,12)))))&lt;&gt;0,0,IF(COUNTIFS('LANÇAMENTOS'!$G$6:$G$2005,$B112,'LANÇAMENTOS'!$E$6:$E$2005,"Saída",'LANÇAMENTOS'!$Z$6:$Z$2005,MONTH(EDATE(TODAY(),8)),'LANÇAMENTOS'!$AA$6:$AA$2005,YEAR(EDATE(TODAY(),8)))&gt;0,0,$F$20)))</f>
        <v/>
      </c>
      <c r="L112" s="18">
        <f>IF($A112="",0,IF(MOD(9,IF($G$20="Mensal",1,IF($G$20="Bimestral",2,IF($G$20="Trimestral",3,IF($G$20="Semestral",6,12)))))&lt;&gt;0,0,IF(COUNTIFS('LANÇAMENTOS'!$G$6:$G$2005,$B112,'LANÇAMENTOS'!$E$6:$E$2005,"Saída",'LANÇAMENTOS'!$Z$6:$Z$2005,MONTH(EDATE(TODAY(),9)),'LANÇAMENTOS'!$AA$6:$AA$2005,YEAR(EDATE(TODAY(),9)))&gt;0,0,$F$20)))</f>
        <v/>
      </c>
      <c r="M112" s="18">
        <f>IF($A112="",0,IF(MOD(10,IF($G$20="Mensal",1,IF($G$20="Bimestral",2,IF($G$20="Trimestral",3,IF($G$20="Semestral",6,12)))))&lt;&gt;0,0,IF(COUNTIFS('LANÇAMENTOS'!$G$6:$G$2005,$B112,'LANÇAMENTOS'!$E$6:$E$2005,"Saída",'LANÇAMENTOS'!$Z$6:$Z$2005,MONTH(EDATE(TODAY(),10)),'LANÇAMENTOS'!$AA$6:$AA$2005,YEAR(EDATE(TODAY(),10)))&gt;0,0,$F$20)))</f>
        <v/>
      </c>
      <c r="N112" s="18">
        <f>IF($A112="",0,IF(MOD(11,IF($G$20="Mensal",1,IF($G$20="Bimestral",2,IF($G$20="Trimestral",3,IF($G$20="Semestral",6,12)))))&lt;&gt;0,0,IF(COUNTIFS('LANÇAMENTOS'!$G$6:$G$2005,$B112,'LANÇAMENTOS'!$E$6:$E$2005,"Saída",'LANÇAMENTOS'!$Z$6:$Z$2005,MONTH(EDATE(TODAY(),11)),'LANÇAMENTOS'!$AA$6:$AA$2005,YEAR(EDATE(TODAY(),11)))&gt;0,0,$F$20)))</f>
        <v/>
      </c>
    </row>
    <row r="113">
      <c r="A113" s="9">
        <f>IF(OR($A$21="",$K$21&lt;&gt;"Sim"),"",$A$21)</f>
        <v/>
      </c>
      <c r="B113" s="17">
        <f>IF($A113="","",$C$21)</f>
        <v/>
      </c>
      <c r="C113" s="18">
        <f>IF($A113="",0,IF(MOD(0,IF($G$21="Mensal",1,IF($G$21="Bimestral",2,IF($G$21="Trimestral",3,IF($G$21="Semestral",6,12)))))&lt;&gt;0,0,IF(COUNTIFS('LANÇAMENTOS'!$G$6:$G$2005,$B113,'LANÇAMENTOS'!$E$6:$E$2005,"Saída",'LANÇAMENTOS'!$Z$6:$Z$2005,MONTH(EDATE(TODAY(),0)),'LANÇAMENTOS'!$AA$6:$AA$2005,YEAR(EDATE(TODAY(),0)))&gt;0,0,$F$21)))</f>
        <v/>
      </c>
      <c r="D113" s="18">
        <f>IF($A113="",0,IF(MOD(1,IF($G$21="Mensal",1,IF($G$21="Bimestral",2,IF($G$21="Trimestral",3,IF($G$21="Semestral",6,12)))))&lt;&gt;0,0,IF(COUNTIFS('LANÇAMENTOS'!$G$6:$G$2005,$B113,'LANÇAMENTOS'!$E$6:$E$2005,"Saída",'LANÇAMENTOS'!$Z$6:$Z$2005,MONTH(EDATE(TODAY(),1)),'LANÇAMENTOS'!$AA$6:$AA$2005,YEAR(EDATE(TODAY(),1)))&gt;0,0,$F$21)))</f>
        <v/>
      </c>
      <c r="E113" s="18">
        <f>IF($A113="",0,IF(MOD(2,IF($G$21="Mensal",1,IF($G$21="Bimestral",2,IF($G$21="Trimestral",3,IF($G$21="Semestral",6,12)))))&lt;&gt;0,0,IF(COUNTIFS('LANÇAMENTOS'!$G$6:$G$2005,$B113,'LANÇAMENTOS'!$E$6:$E$2005,"Saída",'LANÇAMENTOS'!$Z$6:$Z$2005,MONTH(EDATE(TODAY(),2)),'LANÇAMENTOS'!$AA$6:$AA$2005,YEAR(EDATE(TODAY(),2)))&gt;0,0,$F$21)))</f>
        <v/>
      </c>
      <c r="F113" s="18">
        <f>IF($A113="",0,IF(MOD(3,IF($G$21="Mensal",1,IF($G$21="Bimestral",2,IF($G$21="Trimestral",3,IF($G$21="Semestral",6,12)))))&lt;&gt;0,0,IF(COUNTIFS('LANÇAMENTOS'!$G$6:$G$2005,$B113,'LANÇAMENTOS'!$E$6:$E$2005,"Saída",'LANÇAMENTOS'!$Z$6:$Z$2005,MONTH(EDATE(TODAY(),3)),'LANÇAMENTOS'!$AA$6:$AA$2005,YEAR(EDATE(TODAY(),3)))&gt;0,0,$F$21)))</f>
        <v/>
      </c>
      <c r="G113" s="18">
        <f>IF($A113="",0,IF(MOD(4,IF($G$21="Mensal",1,IF($G$21="Bimestral",2,IF($G$21="Trimestral",3,IF($G$21="Semestral",6,12)))))&lt;&gt;0,0,IF(COUNTIFS('LANÇAMENTOS'!$G$6:$G$2005,$B113,'LANÇAMENTOS'!$E$6:$E$2005,"Saída",'LANÇAMENTOS'!$Z$6:$Z$2005,MONTH(EDATE(TODAY(),4)),'LANÇAMENTOS'!$AA$6:$AA$2005,YEAR(EDATE(TODAY(),4)))&gt;0,0,$F$21)))</f>
        <v/>
      </c>
      <c r="H113" s="18">
        <f>IF($A113="",0,IF(MOD(5,IF($G$21="Mensal",1,IF($G$21="Bimestral",2,IF($G$21="Trimestral",3,IF($G$21="Semestral",6,12)))))&lt;&gt;0,0,IF(COUNTIFS('LANÇAMENTOS'!$G$6:$G$2005,$B113,'LANÇAMENTOS'!$E$6:$E$2005,"Saída",'LANÇAMENTOS'!$Z$6:$Z$2005,MONTH(EDATE(TODAY(),5)),'LANÇAMENTOS'!$AA$6:$AA$2005,YEAR(EDATE(TODAY(),5)))&gt;0,0,$F$21)))</f>
        <v/>
      </c>
      <c r="I113" s="18">
        <f>IF($A113="",0,IF(MOD(6,IF($G$21="Mensal",1,IF($G$21="Bimestral",2,IF($G$21="Trimestral",3,IF($G$21="Semestral",6,12)))))&lt;&gt;0,0,IF(COUNTIFS('LANÇAMENTOS'!$G$6:$G$2005,$B113,'LANÇAMENTOS'!$E$6:$E$2005,"Saída",'LANÇAMENTOS'!$Z$6:$Z$2005,MONTH(EDATE(TODAY(),6)),'LANÇAMENTOS'!$AA$6:$AA$2005,YEAR(EDATE(TODAY(),6)))&gt;0,0,$F$21)))</f>
        <v/>
      </c>
      <c r="J113" s="18">
        <f>IF($A113="",0,IF(MOD(7,IF($G$21="Mensal",1,IF($G$21="Bimestral",2,IF($G$21="Trimestral",3,IF($G$21="Semestral",6,12)))))&lt;&gt;0,0,IF(COUNTIFS('LANÇAMENTOS'!$G$6:$G$2005,$B113,'LANÇAMENTOS'!$E$6:$E$2005,"Saída",'LANÇAMENTOS'!$Z$6:$Z$2005,MONTH(EDATE(TODAY(),7)),'LANÇAMENTOS'!$AA$6:$AA$2005,YEAR(EDATE(TODAY(),7)))&gt;0,0,$F$21)))</f>
        <v/>
      </c>
      <c r="K113" s="18">
        <f>IF($A113="",0,IF(MOD(8,IF($G$21="Mensal",1,IF($G$21="Bimestral",2,IF($G$21="Trimestral",3,IF($G$21="Semestral",6,12)))))&lt;&gt;0,0,IF(COUNTIFS('LANÇAMENTOS'!$G$6:$G$2005,$B113,'LANÇAMENTOS'!$E$6:$E$2005,"Saída",'LANÇAMENTOS'!$Z$6:$Z$2005,MONTH(EDATE(TODAY(),8)),'LANÇAMENTOS'!$AA$6:$AA$2005,YEAR(EDATE(TODAY(),8)))&gt;0,0,$F$21)))</f>
        <v/>
      </c>
      <c r="L113" s="18">
        <f>IF($A113="",0,IF(MOD(9,IF($G$21="Mensal",1,IF($G$21="Bimestral",2,IF($G$21="Trimestral",3,IF($G$21="Semestral",6,12)))))&lt;&gt;0,0,IF(COUNTIFS('LANÇAMENTOS'!$G$6:$G$2005,$B113,'LANÇAMENTOS'!$E$6:$E$2005,"Saída",'LANÇAMENTOS'!$Z$6:$Z$2005,MONTH(EDATE(TODAY(),9)),'LANÇAMENTOS'!$AA$6:$AA$2005,YEAR(EDATE(TODAY(),9)))&gt;0,0,$F$21)))</f>
        <v/>
      </c>
      <c r="M113" s="18">
        <f>IF($A113="",0,IF(MOD(10,IF($G$21="Mensal",1,IF($G$21="Bimestral",2,IF($G$21="Trimestral",3,IF($G$21="Semestral",6,12)))))&lt;&gt;0,0,IF(COUNTIFS('LANÇAMENTOS'!$G$6:$G$2005,$B113,'LANÇAMENTOS'!$E$6:$E$2005,"Saída",'LANÇAMENTOS'!$Z$6:$Z$2005,MONTH(EDATE(TODAY(),10)),'LANÇAMENTOS'!$AA$6:$AA$2005,YEAR(EDATE(TODAY(),10)))&gt;0,0,$F$21)))</f>
        <v/>
      </c>
      <c r="N113" s="18">
        <f>IF($A113="",0,IF(MOD(11,IF($G$21="Mensal",1,IF($G$21="Bimestral",2,IF($G$21="Trimestral",3,IF($G$21="Semestral",6,12)))))&lt;&gt;0,0,IF(COUNTIFS('LANÇAMENTOS'!$G$6:$G$2005,$B113,'LANÇAMENTOS'!$E$6:$E$2005,"Saída",'LANÇAMENTOS'!$Z$6:$Z$2005,MONTH(EDATE(TODAY(),11)),'LANÇAMENTOS'!$AA$6:$AA$2005,YEAR(EDATE(TODAY(),11)))&gt;0,0,$F$21)))</f>
        <v/>
      </c>
    </row>
    <row r="114">
      <c r="A114" s="9">
        <f>IF(OR($A$22="",$K$22&lt;&gt;"Sim"),"",$A$22)</f>
        <v/>
      </c>
      <c r="B114" s="17">
        <f>IF($A114="","",$C$22)</f>
        <v/>
      </c>
      <c r="C114" s="18">
        <f>IF($A114="",0,IF(MOD(0,IF($G$22="Mensal",1,IF($G$22="Bimestral",2,IF($G$22="Trimestral",3,IF($G$22="Semestral",6,12)))))&lt;&gt;0,0,IF(COUNTIFS('LANÇAMENTOS'!$G$6:$G$2005,$B114,'LANÇAMENTOS'!$E$6:$E$2005,"Saída",'LANÇAMENTOS'!$Z$6:$Z$2005,MONTH(EDATE(TODAY(),0)),'LANÇAMENTOS'!$AA$6:$AA$2005,YEAR(EDATE(TODAY(),0)))&gt;0,0,$F$22)))</f>
        <v/>
      </c>
      <c r="D114" s="18">
        <f>IF($A114="",0,IF(MOD(1,IF($G$22="Mensal",1,IF($G$22="Bimestral",2,IF($G$22="Trimestral",3,IF($G$22="Semestral",6,12)))))&lt;&gt;0,0,IF(COUNTIFS('LANÇAMENTOS'!$G$6:$G$2005,$B114,'LANÇAMENTOS'!$E$6:$E$2005,"Saída",'LANÇAMENTOS'!$Z$6:$Z$2005,MONTH(EDATE(TODAY(),1)),'LANÇAMENTOS'!$AA$6:$AA$2005,YEAR(EDATE(TODAY(),1)))&gt;0,0,$F$22)))</f>
        <v/>
      </c>
      <c r="E114" s="18">
        <f>IF($A114="",0,IF(MOD(2,IF($G$22="Mensal",1,IF($G$22="Bimestral",2,IF($G$22="Trimestral",3,IF($G$22="Semestral",6,12)))))&lt;&gt;0,0,IF(COUNTIFS('LANÇAMENTOS'!$G$6:$G$2005,$B114,'LANÇAMENTOS'!$E$6:$E$2005,"Saída",'LANÇAMENTOS'!$Z$6:$Z$2005,MONTH(EDATE(TODAY(),2)),'LANÇAMENTOS'!$AA$6:$AA$2005,YEAR(EDATE(TODAY(),2)))&gt;0,0,$F$22)))</f>
        <v/>
      </c>
      <c r="F114" s="18">
        <f>IF($A114="",0,IF(MOD(3,IF($G$22="Mensal",1,IF($G$22="Bimestral",2,IF($G$22="Trimestral",3,IF($G$22="Semestral",6,12)))))&lt;&gt;0,0,IF(COUNTIFS('LANÇAMENTOS'!$G$6:$G$2005,$B114,'LANÇAMENTOS'!$E$6:$E$2005,"Saída",'LANÇAMENTOS'!$Z$6:$Z$2005,MONTH(EDATE(TODAY(),3)),'LANÇAMENTOS'!$AA$6:$AA$2005,YEAR(EDATE(TODAY(),3)))&gt;0,0,$F$22)))</f>
        <v/>
      </c>
      <c r="G114" s="18">
        <f>IF($A114="",0,IF(MOD(4,IF($G$22="Mensal",1,IF($G$22="Bimestral",2,IF($G$22="Trimestral",3,IF($G$22="Semestral",6,12)))))&lt;&gt;0,0,IF(COUNTIFS('LANÇAMENTOS'!$G$6:$G$2005,$B114,'LANÇAMENTOS'!$E$6:$E$2005,"Saída",'LANÇAMENTOS'!$Z$6:$Z$2005,MONTH(EDATE(TODAY(),4)),'LANÇAMENTOS'!$AA$6:$AA$2005,YEAR(EDATE(TODAY(),4)))&gt;0,0,$F$22)))</f>
        <v/>
      </c>
      <c r="H114" s="18">
        <f>IF($A114="",0,IF(MOD(5,IF($G$22="Mensal",1,IF($G$22="Bimestral",2,IF($G$22="Trimestral",3,IF($G$22="Semestral",6,12)))))&lt;&gt;0,0,IF(COUNTIFS('LANÇAMENTOS'!$G$6:$G$2005,$B114,'LANÇAMENTOS'!$E$6:$E$2005,"Saída",'LANÇAMENTOS'!$Z$6:$Z$2005,MONTH(EDATE(TODAY(),5)),'LANÇAMENTOS'!$AA$6:$AA$2005,YEAR(EDATE(TODAY(),5)))&gt;0,0,$F$22)))</f>
        <v/>
      </c>
      <c r="I114" s="18">
        <f>IF($A114="",0,IF(MOD(6,IF($G$22="Mensal",1,IF($G$22="Bimestral",2,IF($G$22="Trimestral",3,IF($G$22="Semestral",6,12)))))&lt;&gt;0,0,IF(COUNTIFS('LANÇAMENTOS'!$G$6:$G$2005,$B114,'LANÇAMENTOS'!$E$6:$E$2005,"Saída",'LANÇAMENTOS'!$Z$6:$Z$2005,MONTH(EDATE(TODAY(),6)),'LANÇAMENTOS'!$AA$6:$AA$2005,YEAR(EDATE(TODAY(),6)))&gt;0,0,$F$22)))</f>
        <v/>
      </c>
      <c r="J114" s="18">
        <f>IF($A114="",0,IF(MOD(7,IF($G$22="Mensal",1,IF($G$22="Bimestral",2,IF($G$22="Trimestral",3,IF($G$22="Semestral",6,12)))))&lt;&gt;0,0,IF(COUNTIFS('LANÇAMENTOS'!$G$6:$G$2005,$B114,'LANÇAMENTOS'!$E$6:$E$2005,"Saída",'LANÇAMENTOS'!$Z$6:$Z$2005,MONTH(EDATE(TODAY(),7)),'LANÇAMENTOS'!$AA$6:$AA$2005,YEAR(EDATE(TODAY(),7)))&gt;0,0,$F$22)))</f>
        <v/>
      </c>
      <c r="K114" s="18">
        <f>IF($A114="",0,IF(MOD(8,IF($G$22="Mensal",1,IF($G$22="Bimestral",2,IF($G$22="Trimestral",3,IF($G$22="Semestral",6,12)))))&lt;&gt;0,0,IF(COUNTIFS('LANÇAMENTOS'!$G$6:$G$2005,$B114,'LANÇAMENTOS'!$E$6:$E$2005,"Saída",'LANÇAMENTOS'!$Z$6:$Z$2005,MONTH(EDATE(TODAY(),8)),'LANÇAMENTOS'!$AA$6:$AA$2005,YEAR(EDATE(TODAY(),8)))&gt;0,0,$F$22)))</f>
        <v/>
      </c>
      <c r="L114" s="18">
        <f>IF($A114="",0,IF(MOD(9,IF($G$22="Mensal",1,IF($G$22="Bimestral",2,IF($G$22="Trimestral",3,IF($G$22="Semestral",6,12)))))&lt;&gt;0,0,IF(COUNTIFS('LANÇAMENTOS'!$G$6:$G$2005,$B114,'LANÇAMENTOS'!$E$6:$E$2005,"Saída",'LANÇAMENTOS'!$Z$6:$Z$2005,MONTH(EDATE(TODAY(),9)),'LANÇAMENTOS'!$AA$6:$AA$2005,YEAR(EDATE(TODAY(),9)))&gt;0,0,$F$22)))</f>
        <v/>
      </c>
      <c r="M114" s="18">
        <f>IF($A114="",0,IF(MOD(10,IF($G$22="Mensal",1,IF($G$22="Bimestral",2,IF($G$22="Trimestral",3,IF($G$22="Semestral",6,12)))))&lt;&gt;0,0,IF(COUNTIFS('LANÇAMENTOS'!$G$6:$G$2005,$B114,'LANÇAMENTOS'!$E$6:$E$2005,"Saída",'LANÇAMENTOS'!$Z$6:$Z$2005,MONTH(EDATE(TODAY(),10)),'LANÇAMENTOS'!$AA$6:$AA$2005,YEAR(EDATE(TODAY(),10)))&gt;0,0,$F$22)))</f>
        <v/>
      </c>
      <c r="N114" s="18">
        <f>IF($A114="",0,IF(MOD(11,IF($G$22="Mensal",1,IF($G$22="Bimestral",2,IF($G$22="Trimestral",3,IF($G$22="Semestral",6,12)))))&lt;&gt;0,0,IF(COUNTIFS('LANÇAMENTOS'!$G$6:$G$2005,$B114,'LANÇAMENTOS'!$E$6:$E$2005,"Saída",'LANÇAMENTOS'!$Z$6:$Z$2005,MONTH(EDATE(TODAY(),11)),'LANÇAMENTOS'!$AA$6:$AA$2005,YEAR(EDATE(TODAY(),11)))&gt;0,0,$F$22)))</f>
        <v/>
      </c>
    </row>
    <row r="115">
      <c r="A115" s="9">
        <f>IF(OR($A$23="",$K$23&lt;&gt;"Sim"),"",$A$23)</f>
        <v/>
      </c>
      <c r="B115" s="17">
        <f>IF($A115="","",$C$23)</f>
        <v/>
      </c>
      <c r="C115" s="18">
        <f>IF($A115="",0,IF(MOD(0,IF($G$23="Mensal",1,IF($G$23="Bimestral",2,IF($G$23="Trimestral",3,IF($G$23="Semestral",6,12)))))&lt;&gt;0,0,IF(COUNTIFS('LANÇAMENTOS'!$G$6:$G$2005,$B115,'LANÇAMENTOS'!$E$6:$E$2005,"Saída",'LANÇAMENTOS'!$Z$6:$Z$2005,MONTH(EDATE(TODAY(),0)),'LANÇAMENTOS'!$AA$6:$AA$2005,YEAR(EDATE(TODAY(),0)))&gt;0,0,$F$23)))</f>
        <v/>
      </c>
      <c r="D115" s="18">
        <f>IF($A115="",0,IF(MOD(1,IF($G$23="Mensal",1,IF($G$23="Bimestral",2,IF($G$23="Trimestral",3,IF($G$23="Semestral",6,12)))))&lt;&gt;0,0,IF(COUNTIFS('LANÇAMENTOS'!$G$6:$G$2005,$B115,'LANÇAMENTOS'!$E$6:$E$2005,"Saída",'LANÇAMENTOS'!$Z$6:$Z$2005,MONTH(EDATE(TODAY(),1)),'LANÇAMENTOS'!$AA$6:$AA$2005,YEAR(EDATE(TODAY(),1)))&gt;0,0,$F$23)))</f>
        <v/>
      </c>
      <c r="E115" s="18">
        <f>IF($A115="",0,IF(MOD(2,IF($G$23="Mensal",1,IF($G$23="Bimestral",2,IF($G$23="Trimestral",3,IF($G$23="Semestral",6,12)))))&lt;&gt;0,0,IF(COUNTIFS('LANÇAMENTOS'!$G$6:$G$2005,$B115,'LANÇAMENTOS'!$E$6:$E$2005,"Saída",'LANÇAMENTOS'!$Z$6:$Z$2005,MONTH(EDATE(TODAY(),2)),'LANÇAMENTOS'!$AA$6:$AA$2005,YEAR(EDATE(TODAY(),2)))&gt;0,0,$F$23)))</f>
        <v/>
      </c>
      <c r="F115" s="18">
        <f>IF($A115="",0,IF(MOD(3,IF($G$23="Mensal",1,IF($G$23="Bimestral",2,IF($G$23="Trimestral",3,IF($G$23="Semestral",6,12)))))&lt;&gt;0,0,IF(COUNTIFS('LANÇAMENTOS'!$G$6:$G$2005,$B115,'LANÇAMENTOS'!$E$6:$E$2005,"Saída",'LANÇAMENTOS'!$Z$6:$Z$2005,MONTH(EDATE(TODAY(),3)),'LANÇAMENTOS'!$AA$6:$AA$2005,YEAR(EDATE(TODAY(),3)))&gt;0,0,$F$23)))</f>
        <v/>
      </c>
      <c r="G115" s="18">
        <f>IF($A115="",0,IF(MOD(4,IF($G$23="Mensal",1,IF($G$23="Bimestral",2,IF($G$23="Trimestral",3,IF($G$23="Semestral",6,12)))))&lt;&gt;0,0,IF(COUNTIFS('LANÇAMENTOS'!$G$6:$G$2005,$B115,'LANÇAMENTOS'!$E$6:$E$2005,"Saída",'LANÇAMENTOS'!$Z$6:$Z$2005,MONTH(EDATE(TODAY(),4)),'LANÇAMENTOS'!$AA$6:$AA$2005,YEAR(EDATE(TODAY(),4)))&gt;0,0,$F$23)))</f>
        <v/>
      </c>
      <c r="H115" s="18">
        <f>IF($A115="",0,IF(MOD(5,IF($G$23="Mensal",1,IF($G$23="Bimestral",2,IF($G$23="Trimestral",3,IF($G$23="Semestral",6,12)))))&lt;&gt;0,0,IF(COUNTIFS('LANÇAMENTOS'!$G$6:$G$2005,$B115,'LANÇAMENTOS'!$E$6:$E$2005,"Saída",'LANÇAMENTOS'!$Z$6:$Z$2005,MONTH(EDATE(TODAY(),5)),'LANÇAMENTOS'!$AA$6:$AA$2005,YEAR(EDATE(TODAY(),5)))&gt;0,0,$F$23)))</f>
        <v/>
      </c>
      <c r="I115" s="18">
        <f>IF($A115="",0,IF(MOD(6,IF($G$23="Mensal",1,IF($G$23="Bimestral",2,IF($G$23="Trimestral",3,IF($G$23="Semestral",6,12)))))&lt;&gt;0,0,IF(COUNTIFS('LANÇAMENTOS'!$G$6:$G$2005,$B115,'LANÇAMENTOS'!$E$6:$E$2005,"Saída",'LANÇAMENTOS'!$Z$6:$Z$2005,MONTH(EDATE(TODAY(),6)),'LANÇAMENTOS'!$AA$6:$AA$2005,YEAR(EDATE(TODAY(),6)))&gt;0,0,$F$23)))</f>
        <v/>
      </c>
      <c r="J115" s="18">
        <f>IF($A115="",0,IF(MOD(7,IF($G$23="Mensal",1,IF($G$23="Bimestral",2,IF($G$23="Trimestral",3,IF($G$23="Semestral",6,12)))))&lt;&gt;0,0,IF(COUNTIFS('LANÇAMENTOS'!$G$6:$G$2005,$B115,'LANÇAMENTOS'!$E$6:$E$2005,"Saída",'LANÇAMENTOS'!$Z$6:$Z$2005,MONTH(EDATE(TODAY(),7)),'LANÇAMENTOS'!$AA$6:$AA$2005,YEAR(EDATE(TODAY(),7)))&gt;0,0,$F$23)))</f>
        <v/>
      </c>
      <c r="K115" s="18">
        <f>IF($A115="",0,IF(MOD(8,IF($G$23="Mensal",1,IF($G$23="Bimestral",2,IF($G$23="Trimestral",3,IF($G$23="Semestral",6,12)))))&lt;&gt;0,0,IF(COUNTIFS('LANÇAMENTOS'!$G$6:$G$2005,$B115,'LANÇAMENTOS'!$E$6:$E$2005,"Saída",'LANÇAMENTOS'!$Z$6:$Z$2005,MONTH(EDATE(TODAY(),8)),'LANÇAMENTOS'!$AA$6:$AA$2005,YEAR(EDATE(TODAY(),8)))&gt;0,0,$F$23)))</f>
        <v/>
      </c>
      <c r="L115" s="18">
        <f>IF($A115="",0,IF(MOD(9,IF($G$23="Mensal",1,IF($G$23="Bimestral",2,IF($G$23="Trimestral",3,IF($G$23="Semestral",6,12)))))&lt;&gt;0,0,IF(COUNTIFS('LANÇAMENTOS'!$G$6:$G$2005,$B115,'LANÇAMENTOS'!$E$6:$E$2005,"Saída",'LANÇAMENTOS'!$Z$6:$Z$2005,MONTH(EDATE(TODAY(),9)),'LANÇAMENTOS'!$AA$6:$AA$2005,YEAR(EDATE(TODAY(),9)))&gt;0,0,$F$23)))</f>
        <v/>
      </c>
      <c r="M115" s="18">
        <f>IF($A115="",0,IF(MOD(10,IF($G$23="Mensal",1,IF($G$23="Bimestral",2,IF($G$23="Trimestral",3,IF($G$23="Semestral",6,12)))))&lt;&gt;0,0,IF(COUNTIFS('LANÇAMENTOS'!$G$6:$G$2005,$B115,'LANÇAMENTOS'!$E$6:$E$2005,"Saída",'LANÇAMENTOS'!$Z$6:$Z$2005,MONTH(EDATE(TODAY(),10)),'LANÇAMENTOS'!$AA$6:$AA$2005,YEAR(EDATE(TODAY(),10)))&gt;0,0,$F$23)))</f>
        <v/>
      </c>
      <c r="N115" s="18">
        <f>IF($A115="",0,IF(MOD(11,IF($G$23="Mensal",1,IF($G$23="Bimestral",2,IF($G$23="Trimestral",3,IF($G$23="Semestral",6,12)))))&lt;&gt;0,0,IF(COUNTIFS('LANÇAMENTOS'!$G$6:$G$2005,$B115,'LANÇAMENTOS'!$E$6:$E$2005,"Saída",'LANÇAMENTOS'!$Z$6:$Z$2005,MONTH(EDATE(TODAY(),11)),'LANÇAMENTOS'!$AA$6:$AA$2005,YEAR(EDATE(TODAY(),11)))&gt;0,0,$F$23)))</f>
        <v/>
      </c>
    </row>
    <row r="116">
      <c r="A116" s="9">
        <f>IF(OR($A$24="",$K$24&lt;&gt;"Sim"),"",$A$24)</f>
        <v/>
      </c>
      <c r="B116" s="17">
        <f>IF($A116="","",$C$24)</f>
        <v/>
      </c>
      <c r="C116" s="18">
        <f>IF($A116="",0,IF(MOD(0,IF($G$24="Mensal",1,IF($G$24="Bimestral",2,IF($G$24="Trimestral",3,IF($G$24="Semestral",6,12)))))&lt;&gt;0,0,IF(COUNTIFS('LANÇAMENTOS'!$G$6:$G$2005,$B116,'LANÇAMENTOS'!$E$6:$E$2005,"Saída",'LANÇAMENTOS'!$Z$6:$Z$2005,MONTH(EDATE(TODAY(),0)),'LANÇAMENTOS'!$AA$6:$AA$2005,YEAR(EDATE(TODAY(),0)))&gt;0,0,$F$24)))</f>
        <v/>
      </c>
      <c r="D116" s="18">
        <f>IF($A116="",0,IF(MOD(1,IF($G$24="Mensal",1,IF($G$24="Bimestral",2,IF($G$24="Trimestral",3,IF($G$24="Semestral",6,12)))))&lt;&gt;0,0,IF(COUNTIFS('LANÇAMENTOS'!$G$6:$G$2005,$B116,'LANÇAMENTOS'!$E$6:$E$2005,"Saída",'LANÇAMENTOS'!$Z$6:$Z$2005,MONTH(EDATE(TODAY(),1)),'LANÇAMENTOS'!$AA$6:$AA$2005,YEAR(EDATE(TODAY(),1)))&gt;0,0,$F$24)))</f>
        <v/>
      </c>
      <c r="E116" s="18">
        <f>IF($A116="",0,IF(MOD(2,IF($G$24="Mensal",1,IF($G$24="Bimestral",2,IF($G$24="Trimestral",3,IF($G$24="Semestral",6,12)))))&lt;&gt;0,0,IF(COUNTIFS('LANÇAMENTOS'!$G$6:$G$2005,$B116,'LANÇAMENTOS'!$E$6:$E$2005,"Saída",'LANÇAMENTOS'!$Z$6:$Z$2005,MONTH(EDATE(TODAY(),2)),'LANÇAMENTOS'!$AA$6:$AA$2005,YEAR(EDATE(TODAY(),2)))&gt;0,0,$F$24)))</f>
        <v/>
      </c>
      <c r="F116" s="18">
        <f>IF($A116="",0,IF(MOD(3,IF($G$24="Mensal",1,IF($G$24="Bimestral",2,IF($G$24="Trimestral",3,IF($G$24="Semestral",6,12)))))&lt;&gt;0,0,IF(COUNTIFS('LANÇAMENTOS'!$G$6:$G$2005,$B116,'LANÇAMENTOS'!$E$6:$E$2005,"Saída",'LANÇAMENTOS'!$Z$6:$Z$2005,MONTH(EDATE(TODAY(),3)),'LANÇAMENTOS'!$AA$6:$AA$2005,YEAR(EDATE(TODAY(),3)))&gt;0,0,$F$24)))</f>
        <v/>
      </c>
      <c r="G116" s="18">
        <f>IF($A116="",0,IF(MOD(4,IF($G$24="Mensal",1,IF($G$24="Bimestral",2,IF($G$24="Trimestral",3,IF($G$24="Semestral",6,12)))))&lt;&gt;0,0,IF(COUNTIFS('LANÇAMENTOS'!$G$6:$G$2005,$B116,'LANÇAMENTOS'!$E$6:$E$2005,"Saída",'LANÇAMENTOS'!$Z$6:$Z$2005,MONTH(EDATE(TODAY(),4)),'LANÇAMENTOS'!$AA$6:$AA$2005,YEAR(EDATE(TODAY(),4)))&gt;0,0,$F$24)))</f>
        <v/>
      </c>
      <c r="H116" s="18">
        <f>IF($A116="",0,IF(MOD(5,IF($G$24="Mensal",1,IF($G$24="Bimestral",2,IF($G$24="Trimestral",3,IF($G$24="Semestral",6,12)))))&lt;&gt;0,0,IF(COUNTIFS('LANÇAMENTOS'!$G$6:$G$2005,$B116,'LANÇAMENTOS'!$E$6:$E$2005,"Saída",'LANÇAMENTOS'!$Z$6:$Z$2005,MONTH(EDATE(TODAY(),5)),'LANÇAMENTOS'!$AA$6:$AA$2005,YEAR(EDATE(TODAY(),5)))&gt;0,0,$F$24)))</f>
        <v/>
      </c>
      <c r="I116" s="18">
        <f>IF($A116="",0,IF(MOD(6,IF($G$24="Mensal",1,IF($G$24="Bimestral",2,IF($G$24="Trimestral",3,IF($G$24="Semestral",6,12)))))&lt;&gt;0,0,IF(COUNTIFS('LANÇAMENTOS'!$G$6:$G$2005,$B116,'LANÇAMENTOS'!$E$6:$E$2005,"Saída",'LANÇAMENTOS'!$Z$6:$Z$2005,MONTH(EDATE(TODAY(),6)),'LANÇAMENTOS'!$AA$6:$AA$2005,YEAR(EDATE(TODAY(),6)))&gt;0,0,$F$24)))</f>
        <v/>
      </c>
      <c r="J116" s="18">
        <f>IF($A116="",0,IF(MOD(7,IF($G$24="Mensal",1,IF($G$24="Bimestral",2,IF($G$24="Trimestral",3,IF($G$24="Semestral",6,12)))))&lt;&gt;0,0,IF(COUNTIFS('LANÇAMENTOS'!$G$6:$G$2005,$B116,'LANÇAMENTOS'!$E$6:$E$2005,"Saída",'LANÇAMENTOS'!$Z$6:$Z$2005,MONTH(EDATE(TODAY(),7)),'LANÇAMENTOS'!$AA$6:$AA$2005,YEAR(EDATE(TODAY(),7)))&gt;0,0,$F$24)))</f>
        <v/>
      </c>
      <c r="K116" s="18">
        <f>IF($A116="",0,IF(MOD(8,IF($G$24="Mensal",1,IF($G$24="Bimestral",2,IF($G$24="Trimestral",3,IF($G$24="Semestral",6,12)))))&lt;&gt;0,0,IF(COUNTIFS('LANÇAMENTOS'!$G$6:$G$2005,$B116,'LANÇAMENTOS'!$E$6:$E$2005,"Saída",'LANÇAMENTOS'!$Z$6:$Z$2005,MONTH(EDATE(TODAY(),8)),'LANÇAMENTOS'!$AA$6:$AA$2005,YEAR(EDATE(TODAY(),8)))&gt;0,0,$F$24)))</f>
        <v/>
      </c>
      <c r="L116" s="18">
        <f>IF($A116="",0,IF(MOD(9,IF($G$24="Mensal",1,IF($G$24="Bimestral",2,IF($G$24="Trimestral",3,IF($G$24="Semestral",6,12)))))&lt;&gt;0,0,IF(COUNTIFS('LANÇAMENTOS'!$G$6:$G$2005,$B116,'LANÇAMENTOS'!$E$6:$E$2005,"Saída",'LANÇAMENTOS'!$Z$6:$Z$2005,MONTH(EDATE(TODAY(),9)),'LANÇAMENTOS'!$AA$6:$AA$2005,YEAR(EDATE(TODAY(),9)))&gt;0,0,$F$24)))</f>
        <v/>
      </c>
      <c r="M116" s="18">
        <f>IF($A116="",0,IF(MOD(10,IF($G$24="Mensal",1,IF($G$24="Bimestral",2,IF($G$24="Trimestral",3,IF($G$24="Semestral",6,12)))))&lt;&gt;0,0,IF(COUNTIFS('LANÇAMENTOS'!$G$6:$G$2005,$B116,'LANÇAMENTOS'!$E$6:$E$2005,"Saída",'LANÇAMENTOS'!$Z$6:$Z$2005,MONTH(EDATE(TODAY(),10)),'LANÇAMENTOS'!$AA$6:$AA$2005,YEAR(EDATE(TODAY(),10)))&gt;0,0,$F$24)))</f>
        <v/>
      </c>
      <c r="N116" s="18">
        <f>IF($A116="",0,IF(MOD(11,IF($G$24="Mensal",1,IF($G$24="Bimestral",2,IF($G$24="Trimestral",3,IF($G$24="Semestral",6,12)))))&lt;&gt;0,0,IF(COUNTIFS('LANÇAMENTOS'!$G$6:$G$2005,$B116,'LANÇAMENTOS'!$E$6:$E$2005,"Saída",'LANÇAMENTOS'!$Z$6:$Z$2005,MONTH(EDATE(TODAY(),11)),'LANÇAMENTOS'!$AA$6:$AA$2005,YEAR(EDATE(TODAY(),11)))&gt;0,0,$F$24)))</f>
        <v/>
      </c>
    </row>
    <row r="117">
      <c r="A117" s="9">
        <f>IF(OR($A$25="",$K$25&lt;&gt;"Sim"),"",$A$25)</f>
        <v/>
      </c>
      <c r="B117" s="17">
        <f>IF($A117="","",$C$25)</f>
        <v/>
      </c>
      <c r="C117" s="18">
        <f>IF($A117="",0,IF(MOD(0,IF($G$25="Mensal",1,IF($G$25="Bimestral",2,IF($G$25="Trimestral",3,IF($G$25="Semestral",6,12)))))&lt;&gt;0,0,IF(COUNTIFS('LANÇAMENTOS'!$G$6:$G$2005,$B117,'LANÇAMENTOS'!$E$6:$E$2005,"Saída",'LANÇAMENTOS'!$Z$6:$Z$2005,MONTH(EDATE(TODAY(),0)),'LANÇAMENTOS'!$AA$6:$AA$2005,YEAR(EDATE(TODAY(),0)))&gt;0,0,$F$25)))</f>
        <v/>
      </c>
      <c r="D117" s="18">
        <f>IF($A117="",0,IF(MOD(1,IF($G$25="Mensal",1,IF($G$25="Bimestral",2,IF($G$25="Trimestral",3,IF($G$25="Semestral",6,12)))))&lt;&gt;0,0,IF(COUNTIFS('LANÇAMENTOS'!$G$6:$G$2005,$B117,'LANÇAMENTOS'!$E$6:$E$2005,"Saída",'LANÇAMENTOS'!$Z$6:$Z$2005,MONTH(EDATE(TODAY(),1)),'LANÇAMENTOS'!$AA$6:$AA$2005,YEAR(EDATE(TODAY(),1)))&gt;0,0,$F$25)))</f>
        <v/>
      </c>
      <c r="E117" s="18">
        <f>IF($A117="",0,IF(MOD(2,IF($G$25="Mensal",1,IF($G$25="Bimestral",2,IF($G$25="Trimestral",3,IF($G$25="Semestral",6,12)))))&lt;&gt;0,0,IF(COUNTIFS('LANÇAMENTOS'!$G$6:$G$2005,$B117,'LANÇAMENTOS'!$E$6:$E$2005,"Saída",'LANÇAMENTOS'!$Z$6:$Z$2005,MONTH(EDATE(TODAY(),2)),'LANÇAMENTOS'!$AA$6:$AA$2005,YEAR(EDATE(TODAY(),2)))&gt;0,0,$F$25)))</f>
        <v/>
      </c>
      <c r="F117" s="18">
        <f>IF($A117="",0,IF(MOD(3,IF($G$25="Mensal",1,IF($G$25="Bimestral",2,IF($G$25="Trimestral",3,IF($G$25="Semestral",6,12)))))&lt;&gt;0,0,IF(COUNTIFS('LANÇAMENTOS'!$G$6:$G$2005,$B117,'LANÇAMENTOS'!$E$6:$E$2005,"Saída",'LANÇAMENTOS'!$Z$6:$Z$2005,MONTH(EDATE(TODAY(),3)),'LANÇAMENTOS'!$AA$6:$AA$2005,YEAR(EDATE(TODAY(),3)))&gt;0,0,$F$25)))</f>
        <v/>
      </c>
      <c r="G117" s="18">
        <f>IF($A117="",0,IF(MOD(4,IF($G$25="Mensal",1,IF($G$25="Bimestral",2,IF($G$25="Trimestral",3,IF($G$25="Semestral",6,12)))))&lt;&gt;0,0,IF(COUNTIFS('LANÇAMENTOS'!$G$6:$G$2005,$B117,'LANÇAMENTOS'!$E$6:$E$2005,"Saída",'LANÇAMENTOS'!$Z$6:$Z$2005,MONTH(EDATE(TODAY(),4)),'LANÇAMENTOS'!$AA$6:$AA$2005,YEAR(EDATE(TODAY(),4)))&gt;0,0,$F$25)))</f>
        <v/>
      </c>
      <c r="H117" s="18">
        <f>IF($A117="",0,IF(MOD(5,IF($G$25="Mensal",1,IF($G$25="Bimestral",2,IF($G$25="Trimestral",3,IF($G$25="Semestral",6,12)))))&lt;&gt;0,0,IF(COUNTIFS('LANÇAMENTOS'!$G$6:$G$2005,$B117,'LANÇAMENTOS'!$E$6:$E$2005,"Saída",'LANÇAMENTOS'!$Z$6:$Z$2005,MONTH(EDATE(TODAY(),5)),'LANÇAMENTOS'!$AA$6:$AA$2005,YEAR(EDATE(TODAY(),5)))&gt;0,0,$F$25)))</f>
        <v/>
      </c>
      <c r="I117" s="18">
        <f>IF($A117="",0,IF(MOD(6,IF($G$25="Mensal",1,IF($G$25="Bimestral",2,IF($G$25="Trimestral",3,IF($G$25="Semestral",6,12)))))&lt;&gt;0,0,IF(COUNTIFS('LANÇAMENTOS'!$G$6:$G$2005,$B117,'LANÇAMENTOS'!$E$6:$E$2005,"Saída",'LANÇAMENTOS'!$Z$6:$Z$2005,MONTH(EDATE(TODAY(),6)),'LANÇAMENTOS'!$AA$6:$AA$2005,YEAR(EDATE(TODAY(),6)))&gt;0,0,$F$25)))</f>
        <v/>
      </c>
      <c r="J117" s="18">
        <f>IF($A117="",0,IF(MOD(7,IF($G$25="Mensal",1,IF($G$25="Bimestral",2,IF($G$25="Trimestral",3,IF($G$25="Semestral",6,12)))))&lt;&gt;0,0,IF(COUNTIFS('LANÇAMENTOS'!$G$6:$G$2005,$B117,'LANÇAMENTOS'!$E$6:$E$2005,"Saída",'LANÇAMENTOS'!$Z$6:$Z$2005,MONTH(EDATE(TODAY(),7)),'LANÇAMENTOS'!$AA$6:$AA$2005,YEAR(EDATE(TODAY(),7)))&gt;0,0,$F$25)))</f>
        <v/>
      </c>
      <c r="K117" s="18">
        <f>IF($A117="",0,IF(MOD(8,IF($G$25="Mensal",1,IF($G$25="Bimestral",2,IF($G$25="Trimestral",3,IF($G$25="Semestral",6,12)))))&lt;&gt;0,0,IF(COUNTIFS('LANÇAMENTOS'!$G$6:$G$2005,$B117,'LANÇAMENTOS'!$E$6:$E$2005,"Saída",'LANÇAMENTOS'!$Z$6:$Z$2005,MONTH(EDATE(TODAY(),8)),'LANÇAMENTOS'!$AA$6:$AA$2005,YEAR(EDATE(TODAY(),8)))&gt;0,0,$F$25)))</f>
        <v/>
      </c>
      <c r="L117" s="18">
        <f>IF($A117="",0,IF(MOD(9,IF($G$25="Mensal",1,IF($G$25="Bimestral",2,IF($G$25="Trimestral",3,IF($G$25="Semestral",6,12)))))&lt;&gt;0,0,IF(COUNTIFS('LANÇAMENTOS'!$G$6:$G$2005,$B117,'LANÇAMENTOS'!$E$6:$E$2005,"Saída",'LANÇAMENTOS'!$Z$6:$Z$2005,MONTH(EDATE(TODAY(),9)),'LANÇAMENTOS'!$AA$6:$AA$2005,YEAR(EDATE(TODAY(),9)))&gt;0,0,$F$25)))</f>
        <v/>
      </c>
      <c r="M117" s="18">
        <f>IF($A117="",0,IF(MOD(10,IF($G$25="Mensal",1,IF($G$25="Bimestral",2,IF($G$25="Trimestral",3,IF($G$25="Semestral",6,12)))))&lt;&gt;0,0,IF(COUNTIFS('LANÇAMENTOS'!$G$6:$G$2005,$B117,'LANÇAMENTOS'!$E$6:$E$2005,"Saída",'LANÇAMENTOS'!$Z$6:$Z$2005,MONTH(EDATE(TODAY(),10)),'LANÇAMENTOS'!$AA$6:$AA$2005,YEAR(EDATE(TODAY(),10)))&gt;0,0,$F$25)))</f>
        <v/>
      </c>
      <c r="N117" s="18">
        <f>IF($A117="",0,IF(MOD(11,IF($G$25="Mensal",1,IF($G$25="Bimestral",2,IF($G$25="Trimestral",3,IF($G$25="Semestral",6,12)))))&lt;&gt;0,0,IF(COUNTIFS('LANÇAMENTOS'!$G$6:$G$2005,$B117,'LANÇAMENTOS'!$E$6:$E$2005,"Saída",'LANÇAMENTOS'!$Z$6:$Z$2005,MONTH(EDATE(TODAY(),11)),'LANÇAMENTOS'!$AA$6:$AA$2005,YEAR(EDATE(TODAY(),11)))&gt;0,0,$F$25)))</f>
        <v/>
      </c>
    </row>
    <row r="118">
      <c r="A118" s="9">
        <f>IF(OR($A$26="",$K$26&lt;&gt;"Sim"),"",$A$26)</f>
        <v/>
      </c>
      <c r="B118" s="17">
        <f>IF($A118="","",$C$26)</f>
        <v/>
      </c>
      <c r="C118" s="18">
        <f>IF($A118="",0,IF(MOD(0,IF($G$26="Mensal",1,IF($G$26="Bimestral",2,IF($G$26="Trimestral",3,IF($G$26="Semestral",6,12)))))&lt;&gt;0,0,IF(COUNTIFS('LANÇAMENTOS'!$G$6:$G$2005,$B118,'LANÇAMENTOS'!$E$6:$E$2005,"Saída",'LANÇAMENTOS'!$Z$6:$Z$2005,MONTH(EDATE(TODAY(),0)),'LANÇAMENTOS'!$AA$6:$AA$2005,YEAR(EDATE(TODAY(),0)))&gt;0,0,$F$26)))</f>
        <v/>
      </c>
      <c r="D118" s="18">
        <f>IF($A118="",0,IF(MOD(1,IF($G$26="Mensal",1,IF($G$26="Bimestral",2,IF($G$26="Trimestral",3,IF($G$26="Semestral",6,12)))))&lt;&gt;0,0,IF(COUNTIFS('LANÇAMENTOS'!$G$6:$G$2005,$B118,'LANÇAMENTOS'!$E$6:$E$2005,"Saída",'LANÇAMENTOS'!$Z$6:$Z$2005,MONTH(EDATE(TODAY(),1)),'LANÇAMENTOS'!$AA$6:$AA$2005,YEAR(EDATE(TODAY(),1)))&gt;0,0,$F$26)))</f>
        <v/>
      </c>
      <c r="E118" s="18">
        <f>IF($A118="",0,IF(MOD(2,IF($G$26="Mensal",1,IF($G$26="Bimestral",2,IF($G$26="Trimestral",3,IF($G$26="Semestral",6,12)))))&lt;&gt;0,0,IF(COUNTIFS('LANÇAMENTOS'!$G$6:$G$2005,$B118,'LANÇAMENTOS'!$E$6:$E$2005,"Saída",'LANÇAMENTOS'!$Z$6:$Z$2005,MONTH(EDATE(TODAY(),2)),'LANÇAMENTOS'!$AA$6:$AA$2005,YEAR(EDATE(TODAY(),2)))&gt;0,0,$F$26)))</f>
        <v/>
      </c>
      <c r="F118" s="18">
        <f>IF($A118="",0,IF(MOD(3,IF($G$26="Mensal",1,IF($G$26="Bimestral",2,IF($G$26="Trimestral",3,IF($G$26="Semestral",6,12)))))&lt;&gt;0,0,IF(COUNTIFS('LANÇAMENTOS'!$G$6:$G$2005,$B118,'LANÇAMENTOS'!$E$6:$E$2005,"Saída",'LANÇAMENTOS'!$Z$6:$Z$2005,MONTH(EDATE(TODAY(),3)),'LANÇAMENTOS'!$AA$6:$AA$2005,YEAR(EDATE(TODAY(),3)))&gt;0,0,$F$26)))</f>
        <v/>
      </c>
      <c r="G118" s="18">
        <f>IF($A118="",0,IF(MOD(4,IF($G$26="Mensal",1,IF($G$26="Bimestral",2,IF($G$26="Trimestral",3,IF($G$26="Semestral",6,12)))))&lt;&gt;0,0,IF(COUNTIFS('LANÇAMENTOS'!$G$6:$G$2005,$B118,'LANÇAMENTOS'!$E$6:$E$2005,"Saída",'LANÇAMENTOS'!$Z$6:$Z$2005,MONTH(EDATE(TODAY(),4)),'LANÇAMENTOS'!$AA$6:$AA$2005,YEAR(EDATE(TODAY(),4)))&gt;0,0,$F$26)))</f>
        <v/>
      </c>
      <c r="H118" s="18">
        <f>IF($A118="",0,IF(MOD(5,IF($G$26="Mensal",1,IF($G$26="Bimestral",2,IF($G$26="Trimestral",3,IF($G$26="Semestral",6,12)))))&lt;&gt;0,0,IF(COUNTIFS('LANÇAMENTOS'!$G$6:$G$2005,$B118,'LANÇAMENTOS'!$E$6:$E$2005,"Saída",'LANÇAMENTOS'!$Z$6:$Z$2005,MONTH(EDATE(TODAY(),5)),'LANÇAMENTOS'!$AA$6:$AA$2005,YEAR(EDATE(TODAY(),5)))&gt;0,0,$F$26)))</f>
        <v/>
      </c>
      <c r="I118" s="18">
        <f>IF($A118="",0,IF(MOD(6,IF($G$26="Mensal",1,IF($G$26="Bimestral",2,IF($G$26="Trimestral",3,IF($G$26="Semestral",6,12)))))&lt;&gt;0,0,IF(COUNTIFS('LANÇAMENTOS'!$G$6:$G$2005,$B118,'LANÇAMENTOS'!$E$6:$E$2005,"Saída",'LANÇAMENTOS'!$Z$6:$Z$2005,MONTH(EDATE(TODAY(),6)),'LANÇAMENTOS'!$AA$6:$AA$2005,YEAR(EDATE(TODAY(),6)))&gt;0,0,$F$26)))</f>
        <v/>
      </c>
      <c r="J118" s="18">
        <f>IF($A118="",0,IF(MOD(7,IF($G$26="Mensal",1,IF($G$26="Bimestral",2,IF($G$26="Trimestral",3,IF($G$26="Semestral",6,12)))))&lt;&gt;0,0,IF(COUNTIFS('LANÇAMENTOS'!$G$6:$G$2005,$B118,'LANÇAMENTOS'!$E$6:$E$2005,"Saída",'LANÇAMENTOS'!$Z$6:$Z$2005,MONTH(EDATE(TODAY(),7)),'LANÇAMENTOS'!$AA$6:$AA$2005,YEAR(EDATE(TODAY(),7)))&gt;0,0,$F$26)))</f>
        <v/>
      </c>
      <c r="K118" s="18">
        <f>IF($A118="",0,IF(MOD(8,IF($G$26="Mensal",1,IF($G$26="Bimestral",2,IF($G$26="Trimestral",3,IF($G$26="Semestral",6,12)))))&lt;&gt;0,0,IF(COUNTIFS('LANÇAMENTOS'!$G$6:$G$2005,$B118,'LANÇAMENTOS'!$E$6:$E$2005,"Saída",'LANÇAMENTOS'!$Z$6:$Z$2005,MONTH(EDATE(TODAY(),8)),'LANÇAMENTOS'!$AA$6:$AA$2005,YEAR(EDATE(TODAY(),8)))&gt;0,0,$F$26)))</f>
        <v/>
      </c>
      <c r="L118" s="18">
        <f>IF($A118="",0,IF(MOD(9,IF($G$26="Mensal",1,IF($G$26="Bimestral",2,IF($G$26="Trimestral",3,IF($G$26="Semestral",6,12)))))&lt;&gt;0,0,IF(COUNTIFS('LANÇAMENTOS'!$G$6:$G$2005,$B118,'LANÇAMENTOS'!$E$6:$E$2005,"Saída",'LANÇAMENTOS'!$Z$6:$Z$2005,MONTH(EDATE(TODAY(),9)),'LANÇAMENTOS'!$AA$6:$AA$2005,YEAR(EDATE(TODAY(),9)))&gt;0,0,$F$26)))</f>
        <v/>
      </c>
      <c r="M118" s="18">
        <f>IF($A118="",0,IF(MOD(10,IF($G$26="Mensal",1,IF($G$26="Bimestral",2,IF($G$26="Trimestral",3,IF($G$26="Semestral",6,12)))))&lt;&gt;0,0,IF(COUNTIFS('LANÇAMENTOS'!$G$6:$G$2005,$B118,'LANÇAMENTOS'!$E$6:$E$2005,"Saída",'LANÇAMENTOS'!$Z$6:$Z$2005,MONTH(EDATE(TODAY(),10)),'LANÇAMENTOS'!$AA$6:$AA$2005,YEAR(EDATE(TODAY(),10)))&gt;0,0,$F$26)))</f>
        <v/>
      </c>
      <c r="N118" s="18">
        <f>IF($A118="",0,IF(MOD(11,IF($G$26="Mensal",1,IF($G$26="Bimestral",2,IF($G$26="Trimestral",3,IF($G$26="Semestral",6,12)))))&lt;&gt;0,0,IF(COUNTIFS('LANÇAMENTOS'!$G$6:$G$2005,$B118,'LANÇAMENTOS'!$E$6:$E$2005,"Saída",'LANÇAMENTOS'!$Z$6:$Z$2005,MONTH(EDATE(TODAY(),11)),'LANÇAMENTOS'!$AA$6:$AA$2005,YEAR(EDATE(TODAY(),11)))&gt;0,0,$F$26)))</f>
        <v/>
      </c>
    </row>
    <row r="119">
      <c r="A119" s="9">
        <f>IF(OR($A$27="",$K$27&lt;&gt;"Sim"),"",$A$27)</f>
        <v/>
      </c>
      <c r="B119" s="17">
        <f>IF($A119="","",$C$27)</f>
        <v/>
      </c>
      <c r="C119" s="18">
        <f>IF($A119="",0,IF(MOD(0,IF($G$27="Mensal",1,IF($G$27="Bimestral",2,IF($G$27="Trimestral",3,IF($G$27="Semestral",6,12)))))&lt;&gt;0,0,IF(COUNTIFS('LANÇAMENTOS'!$G$6:$G$2005,$B119,'LANÇAMENTOS'!$E$6:$E$2005,"Saída",'LANÇAMENTOS'!$Z$6:$Z$2005,MONTH(EDATE(TODAY(),0)),'LANÇAMENTOS'!$AA$6:$AA$2005,YEAR(EDATE(TODAY(),0)))&gt;0,0,$F$27)))</f>
        <v/>
      </c>
      <c r="D119" s="18">
        <f>IF($A119="",0,IF(MOD(1,IF($G$27="Mensal",1,IF($G$27="Bimestral",2,IF($G$27="Trimestral",3,IF($G$27="Semestral",6,12)))))&lt;&gt;0,0,IF(COUNTIFS('LANÇAMENTOS'!$G$6:$G$2005,$B119,'LANÇAMENTOS'!$E$6:$E$2005,"Saída",'LANÇAMENTOS'!$Z$6:$Z$2005,MONTH(EDATE(TODAY(),1)),'LANÇAMENTOS'!$AA$6:$AA$2005,YEAR(EDATE(TODAY(),1)))&gt;0,0,$F$27)))</f>
        <v/>
      </c>
      <c r="E119" s="18">
        <f>IF($A119="",0,IF(MOD(2,IF($G$27="Mensal",1,IF($G$27="Bimestral",2,IF($G$27="Trimestral",3,IF($G$27="Semestral",6,12)))))&lt;&gt;0,0,IF(COUNTIFS('LANÇAMENTOS'!$G$6:$G$2005,$B119,'LANÇAMENTOS'!$E$6:$E$2005,"Saída",'LANÇAMENTOS'!$Z$6:$Z$2005,MONTH(EDATE(TODAY(),2)),'LANÇAMENTOS'!$AA$6:$AA$2005,YEAR(EDATE(TODAY(),2)))&gt;0,0,$F$27)))</f>
        <v/>
      </c>
      <c r="F119" s="18">
        <f>IF($A119="",0,IF(MOD(3,IF($G$27="Mensal",1,IF($G$27="Bimestral",2,IF($G$27="Trimestral",3,IF($G$27="Semestral",6,12)))))&lt;&gt;0,0,IF(COUNTIFS('LANÇAMENTOS'!$G$6:$G$2005,$B119,'LANÇAMENTOS'!$E$6:$E$2005,"Saída",'LANÇAMENTOS'!$Z$6:$Z$2005,MONTH(EDATE(TODAY(),3)),'LANÇAMENTOS'!$AA$6:$AA$2005,YEAR(EDATE(TODAY(),3)))&gt;0,0,$F$27)))</f>
        <v/>
      </c>
      <c r="G119" s="18">
        <f>IF($A119="",0,IF(MOD(4,IF($G$27="Mensal",1,IF($G$27="Bimestral",2,IF($G$27="Trimestral",3,IF($G$27="Semestral",6,12)))))&lt;&gt;0,0,IF(COUNTIFS('LANÇAMENTOS'!$G$6:$G$2005,$B119,'LANÇAMENTOS'!$E$6:$E$2005,"Saída",'LANÇAMENTOS'!$Z$6:$Z$2005,MONTH(EDATE(TODAY(),4)),'LANÇAMENTOS'!$AA$6:$AA$2005,YEAR(EDATE(TODAY(),4)))&gt;0,0,$F$27)))</f>
        <v/>
      </c>
      <c r="H119" s="18">
        <f>IF($A119="",0,IF(MOD(5,IF($G$27="Mensal",1,IF($G$27="Bimestral",2,IF($G$27="Trimestral",3,IF($G$27="Semestral",6,12)))))&lt;&gt;0,0,IF(COUNTIFS('LANÇAMENTOS'!$G$6:$G$2005,$B119,'LANÇAMENTOS'!$E$6:$E$2005,"Saída",'LANÇAMENTOS'!$Z$6:$Z$2005,MONTH(EDATE(TODAY(),5)),'LANÇAMENTOS'!$AA$6:$AA$2005,YEAR(EDATE(TODAY(),5)))&gt;0,0,$F$27)))</f>
        <v/>
      </c>
      <c r="I119" s="18">
        <f>IF($A119="",0,IF(MOD(6,IF($G$27="Mensal",1,IF($G$27="Bimestral",2,IF($G$27="Trimestral",3,IF($G$27="Semestral",6,12)))))&lt;&gt;0,0,IF(COUNTIFS('LANÇAMENTOS'!$G$6:$G$2005,$B119,'LANÇAMENTOS'!$E$6:$E$2005,"Saída",'LANÇAMENTOS'!$Z$6:$Z$2005,MONTH(EDATE(TODAY(),6)),'LANÇAMENTOS'!$AA$6:$AA$2005,YEAR(EDATE(TODAY(),6)))&gt;0,0,$F$27)))</f>
        <v/>
      </c>
      <c r="J119" s="18">
        <f>IF($A119="",0,IF(MOD(7,IF($G$27="Mensal",1,IF($G$27="Bimestral",2,IF($G$27="Trimestral",3,IF($G$27="Semestral",6,12)))))&lt;&gt;0,0,IF(COUNTIFS('LANÇAMENTOS'!$G$6:$G$2005,$B119,'LANÇAMENTOS'!$E$6:$E$2005,"Saída",'LANÇAMENTOS'!$Z$6:$Z$2005,MONTH(EDATE(TODAY(),7)),'LANÇAMENTOS'!$AA$6:$AA$2005,YEAR(EDATE(TODAY(),7)))&gt;0,0,$F$27)))</f>
        <v/>
      </c>
      <c r="K119" s="18">
        <f>IF($A119="",0,IF(MOD(8,IF($G$27="Mensal",1,IF($G$27="Bimestral",2,IF($G$27="Trimestral",3,IF($G$27="Semestral",6,12)))))&lt;&gt;0,0,IF(COUNTIFS('LANÇAMENTOS'!$G$6:$G$2005,$B119,'LANÇAMENTOS'!$E$6:$E$2005,"Saída",'LANÇAMENTOS'!$Z$6:$Z$2005,MONTH(EDATE(TODAY(),8)),'LANÇAMENTOS'!$AA$6:$AA$2005,YEAR(EDATE(TODAY(),8)))&gt;0,0,$F$27)))</f>
        <v/>
      </c>
      <c r="L119" s="18">
        <f>IF($A119="",0,IF(MOD(9,IF($G$27="Mensal",1,IF($G$27="Bimestral",2,IF($G$27="Trimestral",3,IF($G$27="Semestral",6,12)))))&lt;&gt;0,0,IF(COUNTIFS('LANÇAMENTOS'!$G$6:$G$2005,$B119,'LANÇAMENTOS'!$E$6:$E$2005,"Saída",'LANÇAMENTOS'!$Z$6:$Z$2005,MONTH(EDATE(TODAY(),9)),'LANÇAMENTOS'!$AA$6:$AA$2005,YEAR(EDATE(TODAY(),9)))&gt;0,0,$F$27)))</f>
        <v/>
      </c>
      <c r="M119" s="18">
        <f>IF($A119="",0,IF(MOD(10,IF($G$27="Mensal",1,IF($G$27="Bimestral",2,IF($G$27="Trimestral",3,IF($G$27="Semestral",6,12)))))&lt;&gt;0,0,IF(COUNTIFS('LANÇAMENTOS'!$G$6:$G$2005,$B119,'LANÇAMENTOS'!$E$6:$E$2005,"Saída",'LANÇAMENTOS'!$Z$6:$Z$2005,MONTH(EDATE(TODAY(),10)),'LANÇAMENTOS'!$AA$6:$AA$2005,YEAR(EDATE(TODAY(),10)))&gt;0,0,$F$27)))</f>
        <v/>
      </c>
      <c r="N119" s="18">
        <f>IF($A119="",0,IF(MOD(11,IF($G$27="Mensal",1,IF($G$27="Bimestral",2,IF($G$27="Trimestral",3,IF($G$27="Semestral",6,12)))))&lt;&gt;0,0,IF(COUNTIFS('LANÇAMENTOS'!$G$6:$G$2005,$B119,'LANÇAMENTOS'!$E$6:$E$2005,"Saída",'LANÇAMENTOS'!$Z$6:$Z$2005,MONTH(EDATE(TODAY(),11)),'LANÇAMENTOS'!$AA$6:$AA$2005,YEAR(EDATE(TODAY(),11)))&gt;0,0,$F$27)))</f>
        <v/>
      </c>
    </row>
    <row r="120">
      <c r="A120" s="9">
        <f>IF(OR($A$28="",$K$28&lt;&gt;"Sim"),"",$A$28)</f>
        <v/>
      </c>
      <c r="B120" s="17">
        <f>IF($A120="","",$C$28)</f>
        <v/>
      </c>
      <c r="C120" s="18">
        <f>IF($A120="",0,IF(MOD(0,IF($G$28="Mensal",1,IF($G$28="Bimestral",2,IF($G$28="Trimestral",3,IF($G$28="Semestral",6,12)))))&lt;&gt;0,0,IF(COUNTIFS('LANÇAMENTOS'!$G$6:$G$2005,$B120,'LANÇAMENTOS'!$E$6:$E$2005,"Saída",'LANÇAMENTOS'!$Z$6:$Z$2005,MONTH(EDATE(TODAY(),0)),'LANÇAMENTOS'!$AA$6:$AA$2005,YEAR(EDATE(TODAY(),0)))&gt;0,0,$F$28)))</f>
        <v/>
      </c>
      <c r="D120" s="18">
        <f>IF($A120="",0,IF(MOD(1,IF($G$28="Mensal",1,IF($G$28="Bimestral",2,IF($G$28="Trimestral",3,IF($G$28="Semestral",6,12)))))&lt;&gt;0,0,IF(COUNTIFS('LANÇAMENTOS'!$G$6:$G$2005,$B120,'LANÇAMENTOS'!$E$6:$E$2005,"Saída",'LANÇAMENTOS'!$Z$6:$Z$2005,MONTH(EDATE(TODAY(),1)),'LANÇAMENTOS'!$AA$6:$AA$2005,YEAR(EDATE(TODAY(),1)))&gt;0,0,$F$28)))</f>
        <v/>
      </c>
      <c r="E120" s="18">
        <f>IF($A120="",0,IF(MOD(2,IF($G$28="Mensal",1,IF($G$28="Bimestral",2,IF($G$28="Trimestral",3,IF($G$28="Semestral",6,12)))))&lt;&gt;0,0,IF(COUNTIFS('LANÇAMENTOS'!$G$6:$G$2005,$B120,'LANÇAMENTOS'!$E$6:$E$2005,"Saída",'LANÇAMENTOS'!$Z$6:$Z$2005,MONTH(EDATE(TODAY(),2)),'LANÇAMENTOS'!$AA$6:$AA$2005,YEAR(EDATE(TODAY(),2)))&gt;0,0,$F$28)))</f>
        <v/>
      </c>
      <c r="F120" s="18">
        <f>IF($A120="",0,IF(MOD(3,IF($G$28="Mensal",1,IF($G$28="Bimestral",2,IF($G$28="Trimestral",3,IF($G$28="Semestral",6,12)))))&lt;&gt;0,0,IF(COUNTIFS('LANÇAMENTOS'!$G$6:$G$2005,$B120,'LANÇAMENTOS'!$E$6:$E$2005,"Saída",'LANÇAMENTOS'!$Z$6:$Z$2005,MONTH(EDATE(TODAY(),3)),'LANÇAMENTOS'!$AA$6:$AA$2005,YEAR(EDATE(TODAY(),3)))&gt;0,0,$F$28)))</f>
        <v/>
      </c>
      <c r="G120" s="18">
        <f>IF($A120="",0,IF(MOD(4,IF($G$28="Mensal",1,IF($G$28="Bimestral",2,IF($G$28="Trimestral",3,IF($G$28="Semestral",6,12)))))&lt;&gt;0,0,IF(COUNTIFS('LANÇAMENTOS'!$G$6:$G$2005,$B120,'LANÇAMENTOS'!$E$6:$E$2005,"Saída",'LANÇAMENTOS'!$Z$6:$Z$2005,MONTH(EDATE(TODAY(),4)),'LANÇAMENTOS'!$AA$6:$AA$2005,YEAR(EDATE(TODAY(),4)))&gt;0,0,$F$28)))</f>
        <v/>
      </c>
      <c r="H120" s="18">
        <f>IF($A120="",0,IF(MOD(5,IF($G$28="Mensal",1,IF($G$28="Bimestral",2,IF($G$28="Trimestral",3,IF($G$28="Semestral",6,12)))))&lt;&gt;0,0,IF(COUNTIFS('LANÇAMENTOS'!$G$6:$G$2005,$B120,'LANÇAMENTOS'!$E$6:$E$2005,"Saída",'LANÇAMENTOS'!$Z$6:$Z$2005,MONTH(EDATE(TODAY(),5)),'LANÇAMENTOS'!$AA$6:$AA$2005,YEAR(EDATE(TODAY(),5)))&gt;0,0,$F$28)))</f>
        <v/>
      </c>
      <c r="I120" s="18">
        <f>IF($A120="",0,IF(MOD(6,IF($G$28="Mensal",1,IF($G$28="Bimestral",2,IF($G$28="Trimestral",3,IF($G$28="Semestral",6,12)))))&lt;&gt;0,0,IF(COUNTIFS('LANÇAMENTOS'!$G$6:$G$2005,$B120,'LANÇAMENTOS'!$E$6:$E$2005,"Saída",'LANÇAMENTOS'!$Z$6:$Z$2005,MONTH(EDATE(TODAY(),6)),'LANÇAMENTOS'!$AA$6:$AA$2005,YEAR(EDATE(TODAY(),6)))&gt;0,0,$F$28)))</f>
        <v/>
      </c>
      <c r="J120" s="18">
        <f>IF($A120="",0,IF(MOD(7,IF($G$28="Mensal",1,IF($G$28="Bimestral",2,IF($G$28="Trimestral",3,IF($G$28="Semestral",6,12)))))&lt;&gt;0,0,IF(COUNTIFS('LANÇAMENTOS'!$G$6:$G$2005,$B120,'LANÇAMENTOS'!$E$6:$E$2005,"Saída",'LANÇAMENTOS'!$Z$6:$Z$2005,MONTH(EDATE(TODAY(),7)),'LANÇAMENTOS'!$AA$6:$AA$2005,YEAR(EDATE(TODAY(),7)))&gt;0,0,$F$28)))</f>
        <v/>
      </c>
      <c r="K120" s="18">
        <f>IF($A120="",0,IF(MOD(8,IF($G$28="Mensal",1,IF($G$28="Bimestral",2,IF($G$28="Trimestral",3,IF($G$28="Semestral",6,12)))))&lt;&gt;0,0,IF(COUNTIFS('LANÇAMENTOS'!$G$6:$G$2005,$B120,'LANÇAMENTOS'!$E$6:$E$2005,"Saída",'LANÇAMENTOS'!$Z$6:$Z$2005,MONTH(EDATE(TODAY(),8)),'LANÇAMENTOS'!$AA$6:$AA$2005,YEAR(EDATE(TODAY(),8)))&gt;0,0,$F$28)))</f>
        <v/>
      </c>
      <c r="L120" s="18">
        <f>IF($A120="",0,IF(MOD(9,IF($G$28="Mensal",1,IF($G$28="Bimestral",2,IF($G$28="Trimestral",3,IF($G$28="Semestral",6,12)))))&lt;&gt;0,0,IF(COUNTIFS('LANÇAMENTOS'!$G$6:$G$2005,$B120,'LANÇAMENTOS'!$E$6:$E$2005,"Saída",'LANÇAMENTOS'!$Z$6:$Z$2005,MONTH(EDATE(TODAY(),9)),'LANÇAMENTOS'!$AA$6:$AA$2005,YEAR(EDATE(TODAY(),9)))&gt;0,0,$F$28)))</f>
        <v/>
      </c>
      <c r="M120" s="18">
        <f>IF($A120="",0,IF(MOD(10,IF($G$28="Mensal",1,IF($G$28="Bimestral",2,IF($G$28="Trimestral",3,IF($G$28="Semestral",6,12)))))&lt;&gt;0,0,IF(COUNTIFS('LANÇAMENTOS'!$G$6:$G$2005,$B120,'LANÇAMENTOS'!$E$6:$E$2005,"Saída",'LANÇAMENTOS'!$Z$6:$Z$2005,MONTH(EDATE(TODAY(),10)),'LANÇAMENTOS'!$AA$6:$AA$2005,YEAR(EDATE(TODAY(),10)))&gt;0,0,$F$28)))</f>
        <v/>
      </c>
      <c r="N120" s="18">
        <f>IF($A120="",0,IF(MOD(11,IF($G$28="Mensal",1,IF($G$28="Bimestral",2,IF($G$28="Trimestral",3,IF($G$28="Semestral",6,12)))))&lt;&gt;0,0,IF(COUNTIFS('LANÇAMENTOS'!$G$6:$G$2005,$B120,'LANÇAMENTOS'!$E$6:$E$2005,"Saída",'LANÇAMENTOS'!$Z$6:$Z$2005,MONTH(EDATE(TODAY(),11)),'LANÇAMENTOS'!$AA$6:$AA$2005,YEAR(EDATE(TODAY(),11)))&gt;0,0,$F$28)))</f>
        <v/>
      </c>
    </row>
    <row r="121">
      <c r="A121" s="9">
        <f>IF(OR($A$29="",$K$29&lt;&gt;"Sim"),"",$A$29)</f>
        <v/>
      </c>
      <c r="B121" s="17">
        <f>IF($A121="","",$C$29)</f>
        <v/>
      </c>
      <c r="C121" s="18">
        <f>IF($A121="",0,IF(MOD(0,IF($G$29="Mensal",1,IF($G$29="Bimestral",2,IF($G$29="Trimestral",3,IF($G$29="Semestral",6,12)))))&lt;&gt;0,0,IF(COUNTIFS('LANÇAMENTOS'!$G$6:$G$2005,$B121,'LANÇAMENTOS'!$E$6:$E$2005,"Saída",'LANÇAMENTOS'!$Z$6:$Z$2005,MONTH(EDATE(TODAY(),0)),'LANÇAMENTOS'!$AA$6:$AA$2005,YEAR(EDATE(TODAY(),0)))&gt;0,0,$F$29)))</f>
        <v/>
      </c>
      <c r="D121" s="18">
        <f>IF($A121="",0,IF(MOD(1,IF($G$29="Mensal",1,IF($G$29="Bimestral",2,IF($G$29="Trimestral",3,IF($G$29="Semestral",6,12)))))&lt;&gt;0,0,IF(COUNTIFS('LANÇAMENTOS'!$G$6:$G$2005,$B121,'LANÇAMENTOS'!$E$6:$E$2005,"Saída",'LANÇAMENTOS'!$Z$6:$Z$2005,MONTH(EDATE(TODAY(),1)),'LANÇAMENTOS'!$AA$6:$AA$2005,YEAR(EDATE(TODAY(),1)))&gt;0,0,$F$29)))</f>
        <v/>
      </c>
      <c r="E121" s="18">
        <f>IF($A121="",0,IF(MOD(2,IF($G$29="Mensal",1,IF($G$29="Bimestral",2,IF($G$29="Trimestral",3,IF($G$29="Semestral",6,12)))))&lt;&gt;0,0,IF(COUNTIFS('LANÇAMENTOS'!$G$6:$G$2005,$B121,'LANÇAMENTOS'!$E$6:$E$2005,"Saída",'LANÇAMENTOS'!$Z$6:$Z$2005,MONTH(EDATE(TODAY(),2)),'LANÇAMENTOS'!$AA$6:$AA$2005,YEAR(EDATE(TODAY(),2)))&gt;0,0,$F$29)))</f>
        <v/>
      </c>
      <c r="F121" s="18">
        <f>IF($A121="",0,IF(MOD(3,IF($G$29="Mensal",1,IF($G$29="Bimestral",2,IF($G$29="Trimestral",3,IF($G$29="Semestral",6,12)))))&lt;&gt;0,0,IF(COUNTIFS('LANÇAMENTOS'!$G$6:$G$2005,$B121,'LANÇAMENTOS'!$E$6:$E$2005,"Saída",'LANÇAMENTOS'!$Z$6:$Z$2005,MONTH(EDATE(TODAY(),3)),'LANÇAMENTOS'!$AA$6:$AA$2005,YEAR(EDATE(TODAY(),3)))&gt;0,0,$F$29)))</f>
        <v/>
      </c>
      <c r="G121" s="18">
        <f>IF($A121="",0,IF(MOD(4,IF($G$29="Mensal",1,IF($G$29="Bimestral",2,IF($G$29="Trimestral",3,IF($G$29="Semestral",6,12)))))&lt;&gt;0,0,IF(COUNTIFS('LANÇAMENTOS'!$G$6:$G$2005,$B121,'LANÇAMENTOS'!$E$6:$E$2005,"Saída",'LANÇAMENTOS'!$Z$6:$Z$2005,MONTH(EDATE(TODAY(),4)),'LANÇAMENTOS'!$AA$6:$AA$2005,YEAR(EDATE(TODAY(),4)))&gt;0,0,$F$29)))</f>
        <v/>
      </c>
      <c r="H121" s="18">
        <f>IF($A121="",0,IF(MOD(5,IF($G$29="Mensal",1,IF($G$29="Bimestral",2,IF($G$29="Trimestral",3,IF($G$29="Semestral",6,12)))))&lt;&gt;0,0,IF(COUNTIFS('LANÇAMENTOS'!$G$6:$G$2005,$B121,'LANÇAMENTOS'!$E$6:$E$2005,"Saída",'LANÇAMENTOS'!$Z$6:$Z$2005,MONTH(EDATE(TODAY(),5)),'LANÇAMENTOS'!$AA$6:$AA$2005,YEAR(EDATE(TODAY(),5)))&gt;0,0,$F$29)))</f>
        <v/>
      </c>
      <c r="I121" s="18">
        <f>IF($A121="",0,IF(MOD(6,IF($G$29="Mensal",1,IF($G$29="Bimestral",2,IF($G$29="Trimestral",3,IF($G$29="Semestral",6,12)))))&lt;&gt;0,0,IF(COUNTIFS('LANÇAMENTOS'!$G$6:$G$2005,$B121,'LANÇAMENTOS'!$E$6:$E$2005,"Saída",'LANÇAMENTOS'!$Z$6:$Z$2005,MONTH(EDATE(TODAY(),6)),'LANÇAMENTOS'!$AA$6:$AA$2005,YEAR(EDATE(TODAY(),6)))&gt;0,0,$F$29)))</f>
        <v/>
      </c>
      <c r="J121" s="18">
        <f>IF($A121="",0,IF(MOD(7,IF($G$29="Mensal",1,IF($G$29="Bimestral",2,IF($G$29="Trimestral",3,IF($G$29="Semestral",6,12)))))&lt;&gt;0,0,IF(COUNTIFS('LANÇAMENTOS'!$G$6:$G$2005,$B121,'LANÇAMENTOS'!$E$6:$E$2005,"Saída",'LANÇAMENTOS'!$Z$6:$Z$2005,MONTH(EDATE(TODAY(),7)),'LANÇAMENTOS'!$AA$6:$AA$2005,YEAR(EDATE(TODAY(),7)))&gt;0,0,$F$29)))</f>
        <v/>
      </c>
      <c r="K121" s="18">
        <f>IF($A121="",0,IF(MOD(8,IF($G$29="Mensal",1,IF($G$29="Bimestral",2,IF($G$29="Trimestral",3,IF($G$29="Semestral",6,12)))))&lt;&gt;0,0,IF(COUNTIFS('LANÇAMENTOS'!$G$6:$G$2005,$B121,'LANÇAMENTOS'!$E$6:$E$2005,"Saída",'LANÇAMENTOS'!$Z$6:$Z$2005,MONTH(EDATE(TODAY(),8)),'LANÇAMENTOS'!$AA$6:$AA$2005,YEAR(EDATE(TODAY(),8)))&gt;0,0,$F$29)))</f>
        <v/>
      </c>
      <c r="L121" s="18">
        <f>IF($A121="",0,IF(MOD(9,IF($G$29="Mensal",1,IF($G$29="Bimestral",2,IF($G$29="Trimestral",3,IF($G$29="Semestral",6,12)))))&lt;&gt;0,0,IF(COUNTIFS('LANÇAMENTOS'!$G$6:$G$2005,$B121,'LANÇAMENTOS'!$E$6:$E$2005,"Saída",'LANÇAMENTOS'!$Z$6:$Z$2005,MONTH(EDATE(TODAY(),9)),'LANÇAMENTOS'!$AA$6:$AA$2005,YEAR(EDATE(TODAY(),9)))&gt;0,0,$F$29)))</f>
        <v/>
      </c>
      <c r="M121" s="18">
        <f>IF($A121="",0,IF(MOD(10,IF($G$29="Mensal",1,IF($G$29="Bimestral",2,IF($G$29="Trimestral",3,IF($G$29="Semestral",6,12)))))&lt;&gt;0,0,IF(COUNTIFS('LANÇAMENTOS'!$G$6:$G$2005,$B121,'LANÇAMENTOS'!$E$6:$E$2005,"Saída",'LANÇAMENTOS'!$Z$6:$Z$2005,MONTH(EDATE(TODAY(),10)),'LANÇAMENTOS'!$AA$6:$AA$2005,YEAR(EDATE(TODAY(),10)))&gt;0,0,$F$29)))</f>
        <v/>
      </c>
      <c r="N121" s="18">
        <f>IF($A121="",0,IF(MOD(11,IF($G$29="Mensal",1,IF($G$29="Bimestral",2,IF($G$29="Trimestral",3,IF($G$29="Semestral",6,12)))))&lt;&gt;0,0,IF(COUNTIFS('LANÇAMENTOS'!$G$6:$G$2005,$B121,'LANÇAMENTOS'!$E$6:$E$2005,"Saída",'LANÇAMENTOS'!$Z$6:$Z$2005,MONTH(EDATE(TODAY(),11)),'LANÇAMENTOS'!$AA$6:$AA$2005,YEAR(EDATE(TODAY(),11)))&gt;0,0,$F$29)))</f>
        <v/>
      </c>
    </row>
    <row r="122">
      <c r="A122" s="9">
        <f>IF(OR($A$30="",$K$30&lt;&gt;"Sim"),"",$A$30)</f>
        <v/>
      </c>
      <c r="B122" s="17">
        <f>IF($A122="","",$C$30)</f>
        <v/>
      </c>
      <c r="C122" s="18">
        <f>IF($A122="",0,IF(MOD(0,IF($G$30="Mensal",1,IF($G$30="Bimestral",2,IF($G$30="Trimestral",3,IF($G$30="Semestral",6,12)))))&lt;&gt;0,0,IF(COUNTIFS('LANÇAMENTOS'!$G$6:$G$2005,$B122,'LANÇAMENTOS'!$E$6:$E$2005,"Saída",'LANÇAMENTOS'!$Z$6:$Z$2005,MONTH(EDATE(TODAY(),0)),'LANÇAMENTOS'!$AA$6:$AA$2005,YEAR(EDATE(TODAY(),0)))&gt;0,0,$F$30)))</f>
        <v/>
      </c>
      <c r="D122" s="18">
        <f>IF($A122="",0,IF(MOD(1,IF($G$30="Mensal",1,IF($G$30="Bimestral",2,IF($G$30="Trimestral",3,IF($G$30="Semestral",6,12)))))&lt;&gt;0,0,IF(COUNTIFS('LANÇAMENTOS'!$G$6:$G$2005,$B122,'LANÇAMENTOS'!$E$6:$E$2005,"Saída",'LANÇAMENTOS'!$Z$6:$Z$2005,MONTH(EDATE(TODAY(),1)),'LANÇAMENTOS'!$AA$6:$AA$2005,YEAR(EDATE(TODAY(),1)))&gt;0,0,$F$30)))</f>
        <v/>
      </c>
      <c r="E122" s="18">
        <f>IF($A122="",0,IF(MOD(2,IF($G$30="Mensal",1,IF($G$30="Bimestral",2,IF($G$30="Trimestral",3,IF($G$30="Semestral",6,12)))))&lt;&gt;0,0,IF(COUNTIFS('LANÇAMENTOS'!$G$6:$G$2005,$B122,'LANÇAMENTOS'!$E$6:$E$2005,"Saída",'LANÇAMENTOS'!$Z$6:$Z$2005,MONTH(EDATE(TODAY(),2)),'LANÇAMENTOS'!$AA$6:$AA$2005,YEAR(EDATE(TODAY(),2)))&gt;0,0,$F$30)))</f>
        <v/>
      </c>
      <c r="F122" s="18">
        <f>IF($A122="",0,IF(MOD(3,IF($G$30="Mensal",1,IF($G$30="Bimestral",2,IF($G$30="Trimestral",3,IF($G$30="Semestral",6,12)))))&lt;&gt;0,0,IF(COUNTIFS('LANÇAMENTOS'!$G$6:$G$2005,$B122,'LANÇAMENTOS'!$E$6:$E$2005,"Saída",'LANÇAMENTOS'!$Z$6:$Z$2005,MONTH(EDATE(TODAY(),3)),'LANÇAMENTOS'!$AA$6:$AA$2005,YEAR(EDATE(TODAY(),3)))&gt;0,0,$F$30)))</f>
        <v/>
      </c>
      <c r="G122" s="18">
        <f>IF($A122="",0,IF(MOD(4,IF($G$30="Mensal",1,IF($G$30="Bimestral",2,IF($G$30="Trimestral",3,IF($G$30="Semestral",6,12)))))&lt;&gt;0,0,IF(COUNTIFS('LANÇAMENTOS'!$G$6:$G$2005,$B122,'LANÇAMENTOS'!$E$6:$E$2005,"Saída",'LANÇAMENTOS'!$Z$6:$Z$2005,MONTH(EDATE(TODAY(),4)),'LANÇAMENTOS'!$AA$6:$AA$2005,YEAR(EDATE(TODAY(),4)))&gt;0,0,$F$30)))</f>
        <v/>
      </c>
      <c r="H122" s="18">
        <f>IF($A122="",0,IF(MOD(5,IF($G$30="Mensal",1,IF($G$30="Bimestral",2,IF($G$30="Trimestral",3,IF($G$30="Semestral",6,12)))))&lt;&gt;0,0,IF(COUNTIFS('LANÇAMENTOS'!$G$6:$G$2005,$B122,'LANÇAMENTOS'!$E$6:$E$2005,"Saída",'LANÇAMENTOS'!$Z$6:$Z$2005,MONTH(EDATE(TODAY(),5)),'LANÇAMENTOS'!$AA$6:$AA$2005,YEAR(EDATE(TODAY(),5)))&gt;0,0,$F$30)))</f>
        <v/>
      </c>
      <c r="I122" s="18">
        <f>IF($A122="",0,IF(MOD(6,IF($G$30="Mensal",1,IF($G$30="Bimestral",2,IF($G$30="Trimestral",3,IF($G$30="Semestral",6,12)))))&lt;&gt;0,0,IF(COUNTIFS('LANÇAMENTOS'!$G$6:$G$2005,$B122,'LANÇAMENTOS'!$E$6:$E$2005,"Saída",'LANÇAMENTOS'!$Z$6:$Z$2005,MONTH(EDATE(TODAY(),6)),'LANÇAMENTOS'!$AA$6:$AA$2005,YEAR(EDATE(TODAY(),6)))&gt;0,0,$F$30)))</f>
        <v/>
      </c>
      <c r="J122" s="18">
        <f>IF($A122="",0,IF(MOD(7,IF($G$30="Mensal",1,IF($G$30="Bimestral",2,IF($G$30="Trimestral",3,IF($G$30="Semestral",6,12)))))&lt;&gt;0,0,IF(COUNTIFS('LANÇAMENTOS'!$G$6:$G$2005,$B122,'LANÇAMENTOS'!$E$6:$E$2005,"Saída",'LANÇAMENTOS'!$Z$6:$Z$2005,MONTH(EDATE(TODAY(),7)),'LANÇAMENTOS'!$AA$6:$AA$2005,YEAR(EDATE(TODAY(),7)))&gt;0,0,$F$30)))</f>
        <v/>
      </c>
      <c r="K122" s="18">
        <f>IF($A122="",0,IF(MOD(8,IF($G$30="Mensal",1,IF($G$30="Bimestral",2,IF($G$30="Trimestral",3,IF($G$30="Semestral",6,12)))))&lt;&gt;0,0,IF(COUNTIFS('LANÇAMENTOS'!$G$6:$G$2005,$B122,'LANÇAMENTOS'!$E$6:$E$2005,"Saída",'LANÇAMENTOS'!$Z$6:$Z$2005,MONTH(EDATE(TODAY(),8)),'LANÇAMENTOS'!$AA$6:$AA$2005,YEAR(EDATE(TODAY(),8)))&gt;0,0,$F$30)))</f>
        <v/>
      </c>
      <c r="L122" s="18">
        <f>IF($A122="",0,IF(MOD(9,IF($G$30="Mensal",1,IF($G$30="Bimestral",2,IF($G$30="Trimestral",3,IF($G$30="Semestral",6,12)))))&lt;&gt;0,0,IF(COUNTIFS('LANÇAMENTOS'!$G$6:$G$2005,$B122,'LANÇAMENTOS'!$E$6:$E$2005,"Saída",'LANÇAMENTOS'!$Z$6:$Z$2005,MONTH(EDATE(TODAY(),9)),'LANÇAMENTOS'!$AA$6:$AA$2005,YEAR(EDATE(TODAY(),9)))&gt;0,0,$F$30)))</f>
        <v/>
      </c>
      <c r="M122" s="18">
        <f>IF($A122="",0,IF(MOD(10,IF($G$30="Mensal",1,IF($G$30="Bimestral",2,IF($G$30="Trimestral",3,IF($G$30="Semestral",6,12)))))&lt;&gt;0,0,IF(COUNTIFS('LANÇAMENTOS'!$G$6:$G$2005,$B122,'LANÇAMENTOS'!$E$6:$E$2005,"Saída",'LANÇAMENTOS'!$Z$6:$Z$2005,MONTH(EDATE(TODAY(),10)),'LANÇAMENTOS'!$AA$6:$AA$2005,YEAR(EDATE(TODAY(),10)))&gt;0,0,$F$30)))</f>
        <v/>
      </c>
      <c r="N122" s="18">
        <f>IF($A122="",0,IF(MOD(11,IF($G$30="Mensal",1,IF($G$30="Bimestral",2,IF($G$30="Trimestral",3,IF($G$30="Semestral",6,12)))))&lt;&gt;0,0,IF(COUNTIFS('LANÇAMENTOS'!$G$6:$G$2005,$B122,'LANÇAMENTOS'!$E$6:$E$2005,"Saída",'LANÇAMENTOS'!$Z$6:$Z$2005,MONTH(EDATE(TODAY(),11)),'LANÇAMENTOS'!$AA$6:$AA$2005,YEAR(EDATE(TODAY(),11)))&gt;0,0,$F$30)))</f>
        <v/>
      </c>
    </row>
    <row r="123">
      <c r="A123" s="9">
        <f>IF(OR($A$31="",$K$31&lt;&gt;"Sim"),"",$A$31)</f>
        <v/>
      </c>
      <c r="B123" s="17">
        <f>IF($A123="","",$C$31)</f>
        <v/>
      </c>
      <c r="C123" s="18">
        <f>IF($A123="",0,IF(MOD(0,IF($G$31="Mensal",1,IF($G$31="Bimestral",2,IF($G$31="Trimestral",3,IF($G$31="Semestral",6,12)))))&lt;&gt;0,0,IF(COUNTIFS('LANÇAMENTOS'!$G$6:$G$2005,$B123,'LANÇAMENTOS'!$E$6:$E$2005,"Saída",'LANÇAMENTOS'!$Z$6:$Z$2005,MONTH(EDATE(TODAY(),0)),'LANÇAMENTOS'!$AA$6:$AA$2005,YEAR(EDATE(TODAY(),0)))&gt;0,0,$F$31)))</f>
        <v/>
      </c>
      <c r="D123" s="18">
        <f>IF($A123="",0,IF(MOD(1,IF($G$31="Mensal",1,IF($G$31="Bimestral",2,IF($G$31="Trimestral",3,IF($G$31="Semestral",6,12)))))&lt;&gt;0,0,IF(COUNTIFS('LANÇAMENTOS'!$G$6:$G$2005,$B123,'LANÇAMENTOS'!$E$6:$E$2005,"Saída",'LANÇAMENTOS'!$Z$6:$Z$2005,MONTH(EDATE(TODAY(),1)),'LANÇAMENTOS'!$AA$6:$AA$2005,YEAR(EDATE(TODAY(),1)))&gt;0,0,$F$31)))</f>
        <v/>
      </c>
      <c r="E123" s="18">
        <f>IF($A123="",0,IF(MOD(2,IF($G$31="Mensal",1,IF($G$31="Bimestral",2,IF($G$31="Trimestral",3,IF($G$31="Semestral",6,12)))))&lt;&gt;0,0,IF(COUNTIFS('LANÇAMENTOS'!$G$6:$G$2005,$B123,'LANÇAMENTOS'!$E$6:$E$2005,"Saída",'LANÇAMENTOS'!$Z$6:$Z$2005,MONTH(EDATE(TODAY(),2)),'LANÇAMENTOS'!$AA$6:$AA$2005,YEAR(EDATE(TODAY(),2)))&gt;0,0,$F$31)))</f>
        <v/>
      </c>
      <c r="F123" s="18">
        <f>IF($A123="",0,IF(MOD(3,IF($G$31="Mensal",1,IF($G$31="Bimestral",2,IF($G$31="Trimestral",3,IF($G$31="Semestral",6,12)))))&lt;&gt;0,0,IF(COUNTIFS('LANÇAMENTOS'!$G$6:$G$2005,$B123,'LANÇAMENTOS'!$E$6:$E$2005,"Saída",'LANÇAMENTOS'!$Z$6:$Z$2005,MONTH(EDATE(TODAY(),3)),'LANÇAMENTOS'!$AA$6:$AA$2005,YEAR(EDATE(TODAY(),3)))&gt;0,0,$F$31)))</f>
        <v/>
      </c>
      <c r="G123" s="18">
        <f>IF($A123="",0,IF(MOD(4,IF($G$31="Mensal",1,IF($G$31="Bimestral",2,IF($G$31="Trimestral",3,IF($G$31="Semestral",6,12)))))&lt;&gt;0,0,IF(COUNTIFS('LANÇAMENTOS'!$G$6:$G$2005,$B123,'LANÇAMENTOS'!$E$6:$E$2005,"Saída",'LANÇAMENTOS'!$Z$6:$Z$2005,MONTH(EDATE(TODAY(),4)),'LANÇAMENTOS'!$AA$6:$AA$2005,YEAR(EDATE(TODAY(),4)))&gt;0,0,$F$31)))</f>
        <v/>
      </c>
      <c r="H123" s="18">
        <f>IF($A123="",0,IF(MOD(5,IF($G$31="Mensal",1,IF($G$31="Bimestral",2,IF($G$31="Trimestral",3,IF($G$31="Semestral",6,12)))))&lt;&gt;0,0,IF(COUNTIFS('LANÇAMENTOS'!$G$6:$G$2005,$B123,'LANÇAMENTOS'!$E$6:$E$2005,"Saída",'LANÇAMENTOS'!$Z$6:$Z$2005,MONTH(EDATE(TODAY(),5)),'LANÇAMENTOS'!$AA$6:$AA$2005,YEAR(EDATE(TODAY(),5)))&gt;0,0,$F$31)))</f>
        <v/>
      </c>
      <c r="I123" s="18">
        <f>IF($A123="",0,IF(MOD(6,IF($G$31="Mensal",1,IF($G$31="Bimestral",2,IF($G$31="Trimestral",3,IF($G$31="Semestral",6,12)))))&lt;&gt;0,0,IF(COUNTIFS('LANÇAMENTOS'!$G$6:$G$2005,$B123,'LANÇAMENTOS'!$E$6:$E$2005,"Saída",'LANÇAMENTOS'!$Z$6:$Z$2005,MONTH(EDATE(TODAY(),6)),'LANÇAMENTOS'!$AA$6:$AA$2005,YEAR(EDATE(TODAY(),6)))&gt;0,0,$F$31)))</f>
        <v/>
      </c>
      <c r="J123" s="18">
        <f>IF($A123="",0,IF(MOD(7,IF($G$31="Mensal",1,IF($G$31="Bimestral",2,IF($G$31="Trimestral",3,IF($G$31="Semestral",6,12)))))&lt;&gt;0,0,IF(COUNTIFS('LANÇAMENTOS'!$G$6:$G$2005,$B123,'LANÇAMENTOS'!$E$6:$E$2005,"Saída",'LANÇAMENTOS'!$Z$6:$Z$2005,MONTH(EDATE(TODAY(),7)),'LANÇAMENTOS'!$AA$6:$AA$2005,YEAR(EDATE(TODAY(),7)))&gt;0,0,$F$31)))</f>
        <v/>
      </c>
      <c r="K123" s="18">
        <f>IF($A123="",0,IF(MOD(8,IF($G$31="Mensal",1,IF($G$31="Bimestral",2,IF($G$31="Trimestral",3,IF($G$31="Semestral",6,12)))))&lt;&gt;0,0,IF(COUNTIFS('LANÇAMENTOS'!$G$6:$G$2005,$B123,'LANÇAMENTOS'!$E$6:$E$2005,"Saída",'LANÇAMENTOS'!$Z$6:$Z$2005,MONTH(EDATE(TODAY(),8)),'LANÇAMENTOS'!$AA$6:$AA$2005,YEAR(EDATE(TODAY(),8)))&gt;0,0,$F$31)))</f>
        <v/>
      </c>
      <c r="L123" s="18">
        <f>IF($A123="",0,IF(MOD(9,IF($G$31="Mensal",1,IF($G$31="Bimestral",2,IF($G$31="Trimestral",3,IF($G$31="Semestral",6,12)))))&lt;&gt;0,0,IF(COUNTIFS('LANÇAMENTOS'!$G$6:$G$2005,$B123,'LANÇAMENTOS'!$E$6:$E$2005,"Saída",'LANÇAMENTOS'!$Z$6:$Z$2005,MONTH(EDATE(TODAY(),9)),'LANÇAMENTOS'!$AA$6:$AA$2005,YEAR(EDATE(TODAY(),9)))&gt;0,0,$F$31)))</f>
        <v/>
      </c>
      <c r="M123" s="18">
        <f>IF($A123="",0,IF(MOD(10,IF($G$31="Mensal",1,IF($G$31="Bimestral",2,IF($G$31="Trimestral",3,IF($G$31="Semestral",6,12)))))&lt;&gt;0,0,IF(COUNTIFS('LANÇAMENTOS'!$G$6:$G$2005,$B123,'LANÇAMENTOS'!$E$6:$E$2005,"Saída",'LANÇAMENTOS'!$Z$6:$Z$2005,MONTH(EDATE(TODAY(),10)),'LANÇAMENTOS'!$AA$6:$AA$2005,YEAR(EDATE(TODAY(),10)))&gt;0,0,$F$31)))</f>
        <v/>
      </c>
      <c r="N123" s="18">
        <f>IF($A123="",0,IF(MOD(11,IF($G$31="Mensal",1,IF($G$31="Bimestral",2,IF($G$31="Trimestral",3,IF($G$31="Semestral",6,12)))))&lt;&gt;0,0,IF(COUNTIFS('LANÇAMENTOS'!$G$6:$G$2005,$B123,'LANÇAMENTOS'!$E$6:$E$2005,"Saída",'LANÇAMENTOS'!$Z$6:$Z$2005,MONTH(EDATE(TODAY(),11)),'LANÇAMENTOS'!$AA$6:$AA$2005,YEAR(EDATE(TODAY(),11)))&gt;0,0,$F$31)))</f>
        <v/>
      </c>
    </row>
    <row r="124">
      <c r="A124" s="9">
        <f>IF(OR($A$32="",$K$32&lt;&gt;"Sim"),"",$A$32)</f>
        <v/>
      </c>
      <c r="B124" s="17">
        <f>IF($A124="","",$C$32)</f>
        <v/>
      </c>
      <c r="C124" s="18">
        <f>IF($A124="",0,IF(MOD(0,IF($G$32="Mensal",1,IF($G$32="Bimestral",2,IF($G$32="Trimestral",3,IF($G$32="Semestral",6,12)))))&lt;&gt;0,0,IF(COUNTIFS('LANÇAMENTOS'!$G$6:$G$2005,$B124,'LANÇAMENTOS'!$E$6:$E$2005,"Saída",'LANÇAMENTOS'!$Z$6:$Z$2005,MONTH(EDATE(TODAY(),0)),'LANÇAMENTOS'!$AA$6:$AA$2005,YEAR(EDATE(TODAY(),0)))&gt;0,0,$F$32)))</f>
        <v/>
      </c>
      <c r="D124" s="18">
        <f>IF($A124="",0,IF(MOD(1,IF($G$32="Mensal",1,IF($G$32="Bimestral",2,IF($G$32="Trimestral",3,IF($G$32="Semestral",6,12)))))&lt;&gt;0,0,IF(COUNTIFS('LANÇAMENTOS'!$G$6:$G$2005,$B124,'LANÇAMENTOS'!$E$6:$E$2005,"Saída",'LANÇAMENTOS'!$Z$6:$Z$2005,MONTH(EDATE(TODAY(),1)),'LANÇAMENTOS'!$AA$6:$AA$2005,YEAR(EDATE(TODAY(),1)))&gt;0,0,$F$32)))</f>
        <v/>
      </c>
      <c r="E124" s="18">
        <f>IF($A124="",0,IF(MOD(2,IF($G$32="Mensal",1,IF($G$32="Bimestral",2,IF($G$32="Trimestral",3,IF($G$32="Semestral",6,12)))))&lt;&gt;0,0,IF(COUNTIFS('LANÇAMENTOS'!$G$6:$G$2005,$B124,'LANÇAMENTOS'!$E$6:$E$2005,"Saída",'LANÇAMENTOS'!$Z$6:$Z$2005,MONTH(EDATE(TODAY(),2)),'LANÇAMENTOS'!$AA$6:$AA$2005,YEAR(EDATE(TODAY(),2)))&gt;0,0,$F$32)))</f>
        <v/>
      </c>
      <c r="F124" s="18">
        <f>IF($A124="",0,IF(MOD(3,IF($G$32="Mensal",1,IF($G$32="Bimestral",2,IF($G$32="Trimestral",3,IF($G$32="Semestral",6,12)))))&lt;&gt;0,0,IF(COUNTIFS('LANÇAMENTOS'!$G$6:$G$2005,$B124,'LANÇAMENTOS'!$E$6:$E$2005,"Saída",'LANÇAMENTOS'!$Z$6:$Z$2005,MONTH(EDATE(TODAY(),3)),'LANÇAMENTOS'!$AA$6:$AA$2005,YEAR(EDATE(TODAY(),3)))&gt;0,0,$F$32)))</f>
        <v/>
      </c>
      <c r="G124" s="18">
        <f>IF($A124="",0,IF(MOD(4,IF($G$32="Mensal",1,IF($G$32="Bimestral",2,IF($G$32="Trimestral",3,IF($G$32="Semestral",6,12)))))&lt;&gt;0,0,IF(COUNTIFS('LANÇAMENTOS'!$G$6:$G$2005,$B124,'LANÇAMENTOS'!$E$6:$E$2005,"Saída",'LANÇAMENTOS'!$Z$6:$Z$2005,MONTH(EDATE(TODAY(),4)),'LANÇAMENTOS'!$AA$6:$AA$2005,YEAR(EDATE(TODAY(),4)))&gt;0,0,$F$32)))</f>
        <v/>
      </c>
      <c r="H124" s="18">
        <f>IF($A124="",0,IF(MOD(5,IF($G$32="Mensal",1,IF($G$32="Bimestral",2,IF($G$32="Trimestral",3,IF($G$32="Semestral",6,12)))))&lt;&gt;0,0,IF(COUNTIFS('LANÇAMENTOS'!$G$6:$G$2005,$B124,'LANÇAMENTOS'!$E$6:$E$2005,"Saída",'LANÇAMENTOS'!$Z$6:$Z$2005,MONTH(EDATE(TODAY(),5)),'LANÇAMENTOS'!$AA$6:$AA$2005,YEAR(EDATE(TODAY(),5)))&gt;0,0,$F$32)))</f>
        <v/>
      </c>
      <c r="I124" s="18">
        <f>IF($A124="",0,IF(MOD(6,IF($G$32="Mensal",1,IF($G$32="Bimestral",2,IF($G$32="Trimestral",3,IF($G$32="Semestral",6,12)))))&lt;&gt;0,0,IF(COUNTIFS('LANÇAMENTOS'!$G$6:$G$2005,$B124,'LANÇAMENTOS'!$E$6:$E$2005,"Saída",'LANÇAMENTOS'!$Z$6:$Z$2005,MONTH(EDATE(TODAY(),6)),'LANÇAMENTOS'!$AA$6:$AA$2005,YEAR(EDATE(TODAY(),6)))&gt;0,0,$F$32)))</f>
        <v/>
      </c>
      <c r="J124" s="18">
        <f>IF($A124="",0,IF(MOD(7,IF($G$32="Mensal",1,IF($G$32="Bimestral",2,IF($G$32="Trimestral",3,IF($G$32="Semestral",6,12)))))&lt;&gt;0,0,IF(COUNTIFS('LANÇAMENTOS'!$G$6:$G$2005,$B124,'LANÇAMENTOS'!$E$6:$E$2005,"Saída",'LANÇAMENTOS'!$Z$6:$Z$2005,MONTH(EDATE(TODAY(),7)),'LANÇAMENTOS'!$AA$6:$AA$2005,YEAR(EDATE(TODAY(),7)))&gt;0,0,$F$32)))</f>
        <v/>
      </c>
      <c r="K124" s="18">
        <f>IF($A124="",0,IF(MOD(8,IF($G$32="Mensal",1,IF($G$32="Bimestral",2,IF($G$32="Trimestral",3,IF($G$32="Semestral",6,12)))))&lt;&gt;0,0,IF(COUNTIFS('LANÇAMENTOS'!$G$6:$G$2005,$B124,'LANÇAMENTOS'!$E$6:$E$2005,"Saída",'LANÇAMENTOS'!$Z$6:$Z$2005,MONTH(EDATE(TODAY(),8)),'LANÇAMENTOS'!$AA$6:$AA$2005,YEAR(EDATE(TODAY(),8)))&gt;0,0,$F$32)))</f>
        <v/>
      </c>
      <c r="L124" s="18">
        <f>IF($A124="",0,IF(MOD(9,IF($G$32="Mensal",1,IF($G$32="Bimestral",2,IF($G$32="Trimestral",3,IF($G$32="Semestral",6,12)))))&lt;&gt;0,0,IF(COUNTIFS('LANÇAMENTOS'!$G$6:$G$2005,$B124,'LANÇAMENTOS'!$E$6:$E$2005,"Saída",'LANÇAMENTOS'!$Z$6:$Z$2005,MONTH(EDATE(TODAY(),9)),'LANÇAMENTOS'!$AA$6:$AA$2005,YEAR(EDATE(TODAY(),9)))&gt;0,0,$F$32)))</f>
        <v/>
      </c>
      <c r="M124" s="18">
        <f>IF($A124="",0,IF(MOD(10,IF($G$32="Mensal",1,IF($G$32="Bimestral",2,IF($G$32="Trimestral",3,IF($G$32="Semestral",6,12)))))&lt;&gt;0,0,IF(COUNTIFS('LANÇAMENTOS'!$G$6:$G$2005,$B124,'LANÇAMENTOS'!$E$6:$E$2005,"Saída",'LANÇAMENTOS'!$Z$6:$Z$2005,MONTH(EDATE(TODAY(),10)),'LANÇAMENTOS'!$AA$6:$AA$2005,YEAR(EDATE(TODAY(),10)))&gt;0,0,$F$32)))</f>
        <v/>
      </c>
      <c r="N124" s="18">
        <f>IF($A124="",0,IF(MOD(11,IF($G$32="Mensal",1,IF($G$32="Bimestral",2,IF($G$32="Trimestral",3,IF($G$32="Semestral",6,12)))))&lt;&gt;0,0,IF(COUNTIFS('LANÇAMENTOS'!$G$6:$G$2005,$B124,'LANÇAMENTOS'!$E$6:$E$2005,"Saída",'LANÇAMENTOS'!$Z$6:$Z$2005,MONTH(EDATE(TODAY(),11)),'LANÇAMENTOS'!$AA$6:$AA$2005,YEAR(EDATE(TODAY(),11)))&gt;0,0,$F$32)))</f>
        <v/>
      </c>
    </row>
    <row r="125">
      <c r="A125" s="9">
        <f>IF(OR($A$33="",$K$33&lt;&gt;"Sim"),"",$A$33)</f>
        <v/>
      </c>
      <c r="B125" s="17">
        <f>IF($A125="","",$C$33)</f>
        <v/>
      </c>
      <c r="C125" s="18">
        <f>IF($A125="",0,IF(MOD(0,IF($G$33="Mensal",1,IF($G$33="Bimestral",2,IF($G$33="Trimestral",3,IF($G$33="Semestral",6,12)))))&lt;&gt;0,0,IF(COUNTIFS('LANÇAMENTOS'!$G$6:$G$2005,$B125,'LANÇAMENTOS'!$E$6:$E$2005,"Saída",'LANÇAMENTOS'!$Z$6:$Z$2005,MONTH(EDATE(TODAY(),0)),'LANÇAMENTOS'!$AA$6:$AA$2005,YEAR(EDATE(TODAY(),0)))&gt;0,0,$F$33)))</f>
        <v/>
      </c>
      <c r="D125" s="18">
        <f>IF($A125="",0,IF(MOD(1,IF($G$33="Mensal",1,IF($G$33="Bimestral",2,IF($G$33="Trimestral",3,IF($G$33="Semestral",6,12)))))&lt;&gt;0,0,IF(COUNTIFS('LANÇAMENTOS'!$G$6:$G$2005,$B125,'LANÇAMENTOS'!$E$6:$E$2005,"Saída",'LANÇAMENTOS'!$Z$6:$Z$2005,MONTH(EDATE(TODAY(),1)),'LANÇAMENTOS'!$AA$6:$AA$2005,YEAR(EDATE(TODAY(),1)))&gt;0,0,$F$33)))</f>
        <v/>
      </c>
      <c r="E125" s="18">
        <f>IF($A125="",0,IF(MOD(2,IF($G$33="Mensal",1,IF($G$33="Bimestral",2,IF($G$33="Trimestral",3,IF($G$33="Semestral",6,12)))))&lt;&gt;0,0,IF(COUNTIFS('LANÇAMENTOS'!$G$6:$G$2005,$B125,'LANÇAMENTOS'!$E$6:$E$2005,"Saída",'LANÇAMENTOS'!$Z$6:$Z$2005,MONTH(EDATE(TODAY(),2)),'LANÇAMENTOS'!$AA$6:$AA$2005,YEAR(EDATE(TODAY(),2)))&gt;0,0,$F$33)))</f>
        <v/>
      </c>
      <c r="F125" s="18">
        <f>IF($A125="",0,IF(MOD(3,IF($G$33="Mensal",1,IF($G$33="Bimestral",2,IF($G$33="Trimestral",3,IF($G$33="Semestral",6,12)))))&lt;&gt;0,0,IF(COUNTIFS('LANÇAMENTOS'!$G$6:$G$2005,$B125,'LANÇAMENTOS'!$E$6:$E$2005,"Saída",'LANÇAMENTOS'!$Z$6:$Z$2005,MONTH(EDATE(TODAY(),3)),'LANÇAMENTOS'!$AA$6:$AA$2005,YEAR(EDATE(TODAY(),3)))&gt;0,0,$F$33)))</f>
        <v/>
      </c>
      <c r="G125" s="18">
        <f>IF($A125="",0,IF(MOD(4,IF($G$33="Mensal",1,IF($G$33="Bimestral",2,IF($G$33="Trimestral",3,IF($G$33="Semestral",6,12)))))&lt;&gt;0,0,IF(COUNTIFS('LANÇAMENTOS'!$G$6:$G$2005,$B125,'LANÇAMENTOS'!$E$6:$E$2005,"Saída",'LANÇAMENTOS'!$Z$6:$Z$2005,MONTH(EDATE(TODAY(),4)),'LANÇAMENTOS'!$AA$6:$AA$2005,YEAR(EDATE(TODAY(),4)))&gt;0,0,$F$33)))</f>
        <v/>
      </c>
      <c r="H125" s="18">
        <f>IF($A125="",0,IF(MOD(5,IF($G$33="Mensal",1,IF($G$33="Bimestral",2,IF($G$33="Trimestral",3,IF($G$33="Semestral",6,12)))))&lt;&gt;0,0,IF(COUNTIFS('LANÇAMENTOS'!$G$6:$G$2005,$B125,'LANÇAMENTOS'!$E$6:$E$2005,"Saída",'LANÇAMENTOS'!$Z$6:$Z$2005,MONTH(EDATE(TODAY(),5)),'LANÇAMENTOS'!$AA$6:$AA$2005,YEAR(EDATE(TODAY(),5)))&gt;0,0,$F$33)))</f>
        <v/>
      </c>
      <c r="I125" s="18">
        <f>IF($A125="",0,IF(MOD(6,IF($G$33="Mensal",1,IF($G$33="Bimestral",2,IF($G$33="Trimestral",3,IF($G$33="Semestral",6,12)))))&lt;&gt;0,0,IF(COUNTIFS('LANÇAMENTOS'!$G$6:$G$2005,$B125,'LANÇAMENTOS'!$E$6:$E$2005,"Saída",'LANÇAMENTOS'!$Z$6:$Z$2005,MONTH(EDATE(TODAY(),6)),'LANÇAMENTOS'!$AA$6:$AA$2005,YEAR(EDATE(TODAY(),6)))&gt;0,0,$F$33)))</f>
        <v/>
      </c>
      <c r="J125" s="18">
        <f>IF($A125="",0,IF(MOD(7,IF($G$33="Mensal",1,IF($G$33="Bimestral",2,IF($G$33="Trimestral",3,IF($G$33="Semestral",6,12)))))&lt;&gt;0,0,IF(COUNTIFS('LANÇAMENTOS'!$G$6:$G$2005,$B125,'LANÇAMENTOS'!$E$6:$E$2005,"Saída",'LANÇAMENTOS'!$Z$6:$Z$2005,MONTH(EDATE(TODAY(),7)),'LANÇAMENTOS'!$AA$6:$AA$2005,YEAR(EDATE(TODAY(),7)))&gt;0,0,$F$33)))</f>
        <v/>
      </c>
      <c r="K125" s="18">
        <f>IF($A125="",0,IF(MOD(8,IF($G$33="Mensal",1,IF($G$33="Bimestral",2,IF($G$33="Trimestral",3,IF($G$33="Semestral",6,12)))))&lt;&gt;0,0,IF(COUNTIFS('LANÇAMENTOS'!$G$6:$G$2005,$B125,'LANÇAMENTOS'!$E$6:$E$2005,"Saída",'LANÇAMENTOS'!$Z$6:$Z$2005,MONTH(EDATE(TODAY(),8)),'LANÇAMENTOS'!$AA$6:$AA$2005,YEAR(EDATE(TODAY(),8)))&gt;0,0,$F$33)))</f>
        <v/>
      </c>
      <c r="L125" s="18">
        <f>IF($A125="",0,IF(MOD(9,IF($G$33="Mensal",1,IF($G$33="Bimestral",2,IF($G$33="Trimestral",3,IF($G$33="Semestral",6,12)))))&lt;&gt;0,0,IF(COUNTIFS('LANÇAMENTOS'!$G$6:$G$2005,$B125,'LANÇAMENTOS'!$E$6:$E$2005,"Saída",'LANÇAMENTOS'!$Z$6:$Z$2005,MONTH(EDATE(TODAY(),9)),'LANÇAMENTOS'!$AA$6:$AA$2005,YEAR(EDATE(TODAY(),9)))&gt;0,0,$F$33)))</f>
        <v/>
      </c>
      <c r="M125" s="18">
        <f>IF($A125="",0,IF(MOD(10,IF($G$33="Mensal",1,IF($G$33="Bimestral",2,IF($G$33="Trimestral",3,IF($G$33="Semestral",6,12)))))&lt;&gt;0,0,IF(COUNTIFS('LANÇAMENTOS'!$G$6:$G$2005,$B125,'LANÇAMENTOS'!$E$6:$E$2005,"Saída",'LANÇAMENTOS'!$Z$6:$Z$2005,MONTH(EDATE(TODAY(),10)),'LANÇAMENTOS'!$AA$6:$AA$2005,YEAR(EDATE(TODAY(),10)))&gt;0,0,$F$33)))</f>
        <v/>
      </c>
      <c r="N125" s="18">
        <f>IF($A125="",0,IF(MOD(11,IF($G$33="Mensal",1,IF($G$33="Bimestral",2,IF($G$33="Trimestral",3,IF($G$33="Semestral",6,12)))))&lt;&gt;0,0,IF(COUNTIFS('LANÇAMENTOS'!$G$6:$G$2005,$B125,'LANÇAMENTOS'!$E$6:$E$2005,"Saída",'LANÇAMENTOS'!$Z$6:$Z$2005,MONTH(EDATE(TODAY(),11)),'LANÇAMENTOS'!$AA$6:$AA$2005,YEAR(EDATE(TODAY(),11)))&gt;0,0,$F$33)))</f>
        <v/>
      </c>
    </row>
    <row r="126">
      <c r="A126" s="9">
        <f>IF(OR($A$34="",$K$34&lt;&gt;"Sim"),"",$A$34)</f>
        <v/>
      </c>
      <c r="B126" s="17">
        <f>IF($A126="","",$C$34)</f>
        <v/>
      </c>
      <c r="C126" s="18">
        <f>IF($A126="",0,IF(MOD(0,IF($G$34="Mensal",1,IF($G$34="Bimestral",2,IF($G$34="Trimestral",3,IF($G$34="Semestral",6,12)))))&lt;&gt;0,0,IF(COUNTIFS('LANÇAMENTOS'!$G$6:$G$2005,$B126,'LANÇAMENTOS'!$E$6:$E$2005,"Saída",'LANÇAMENTOS'!$Z$6:$Z$2005,MONTH(EDATE(TODAY(),0)),'LANÇAMENTOS'!$AA$6:$AA$2005,YEAR(EDATE(TODAY(),0)))&gt;0,0,$F$34)))</f>
        <v/>
      </c>
      <c r="D126" s="18">
        <f>IF($A126="",0,IF(MOD(1,IF($G$34="Mensal",1,IF($G$34="Bimestral",2,IF($G$34="Trimestral",3,IF($G$34="Semestral",6,12)))))&lt;&gt;0,0,IF(COUNTIFS('LANÇAMENTOS'!$G$6:$G$2005,$B126,'LANÇAMENTOS'!$E$6:$E$2005,"Saída",'LANÇAMENTOS'!$Z$6:$Z$2005,MONTH(EDATE(TODAY(),1)),'LANÇAMENTOS'!$AA$6:$AA$2005,YEAR(EDATE(TODAY(),1)))&gt;0,0,$F$34)))</f>
        <v/>
      </c>
      <c r="E126" s="18">
        <f>IF($A126="",0,IF(MOD(2,IF($G$34="Mensal",1,IF($G$34="Bimestral",2,IF($G$34="Trimestral",3,IF($G$34="Semestral",6,12)))))&lt;&gt;0,0,IF(COUNTIFS('LANÇAMENTOS'!$G$6:$G$2005,$B126,'LANÇAMENTOS'!$E$6:$E$2005,"Saída",'LANÇAMENTOS'!$Z$6:$Z$2005,MONTH(EDATE(TODAY(),2)),'LANÇAMENTOS'!$AA$6:$AA$2005,YEAR(EDATE(TODAY(),2)))&gt;0,0,$F$34)))</f>
        <v/>
      </c>
      <c r="F126" s="18">
        <f>IF($A126="",0,IF(MOD(3,IF($G$34="Mensal",1,IF($G$34="Bimestral",2,IF($G$34="Trimestral",3,IF($G$34="Semestral",6,12)))))&lt;&gt;0,0,IF(COUNTIFS('LANÇAMENTOS'!$G$6:$G$2005,$B126,'LANÇAMENTOS'!$E$6:$E$2005,"Saída",'LANÇAMENTOS'!$Z$6:$Z$2005,MONTH(EDATE(TODAY(),3)),'LANÇAMENTOS'!$AA$6:$AA$2005,YEAR(EDATE(TODAY(),3)))&gt;0,0,$F$34)))</f>
        <v/>
      </c>
      <c r="G126" s="18">
        <f>IF($A126="",0,IF(MOD(4,IF($G$34="Mensal",1,IF($G$34="Bimestral",2,IF($G$34="Trimestral",3,IF($G$34="Semestral",6,12)))))&lt;&gt;0,0,IF(COUNTIFS('LANÇAMENTOS'!$G$6:$G$2005,$B126,'LANÇAMENTOS'!$E$6:$E$2005,"Saída",'LANÇAMENTOS'!$Z$6:$Z$2005,MONTH(EDATE(TODAY(),4)),'LANÇAMENTOS'!$AA$6:$AA$2005,YEAR(EDATE(TODAY(),4)))&gt;0,0,$F$34)))</f>
        <v/>
      </c>
      <c r="H126" s="18">
        <f>IF($A126="",0,IF(MOD(5,IF($G$34="Mensal",1,IF($G$34="Bimestral",2,IF($G$34="Trimestral",3,IF($G$34="Semestral",6,12)))))&lt;&gt;0,0,IF(COUNTIFS('LANÇAMENTOS'!$G$6:$G$2005,$B126,'LANÇAMENTOS'!$E$6:$E$2005,"Saída",'LANÇAMENTOS'!$Z$6:$Z$2005,MONTH(EDATE(TODAY(),5)),'LANÇAMENTOS'!$AA$6:$AA$2005,YEAR(EDATE(TODAY(),5)))&gt;0,0,$F$34)))</f>
        <v/>
      </c>
      <c r="I126" s="18">
        <f>IF($A126="",0,IF(MOD(6,IF($G$34="Mensal",1,IF($G$34="Bimestral",2,IF($G$34="Trimestral",3,IF($G$34="Semestral",6,12)))))&lt;&gt;0,0,IF(COUNTIFS('LANÇAMENTOS'!$G$6:$G$2005,$B126,'LANÇAMENTOS'!$E$6:$E$2005,"Saída",'LANÇAMENTOS'!$Z$6:$Z$2005,MONTH(EDATE(TODAY(),6)),'LANÇAMENTOS'!$AA$6:$AA$2005,YEAR(EDATE(TODAY(),6)))&gt;0,0,$F$34)))</f>
        <v/>
      </c>
      <c r="J126" s="18">
        <f>IF($A126="",0,IF(MOD(7,IF($G$34="Mensal",1,IF($G$34="Bimestral",2,IF($G$34="Trimestral",3,IF($G$34="Semestral",6,12)))))&lt;&gt;0,0,IF(COUNTIFS('LANÇAMENTOS'!$G$6:$G$2005,$B126,'LANÇAMENTOS'!$E$6:$E$2005,"Saída",'LANÇAMENTOS'!$Z$6:$Z$2005,MONTH(EDATE(TODAY(),7)),'LANÇAMENTOS'!$AA$6:$AA$2005,YEAR(EDATE(TODAY(),7)))&gt;0,0,$F$34)))</f>
        <v/>
      </c>
      <c r="K126" s="18">
        <f>IF($A126="",0,IF(MOD(8,IF($G$34="Mensal",1,IF($G$34="Bimestral",2,IF($G$34="Trimestral",3,IF($G$34="Semestral",6,12)))))&lt;&gt;0,0,IF(COUNTIFS('LANÇAMENTOS'!$G$6:$G$2005,$B126,'LANÇAMENTOS'!$E$6:$E$2005,"Saída",'LANÇAMENTOS'!$Z$6:$Z$2005,MONTH(EDATE(TODAY(),8)),'LANÇAMENTOS'!$AA$6:$AA$2005,YEAR(EDATE(TODAY(),8)))&gt;0,0,$F$34)))</f>
        <v/>
      </c>
      <c r="L126" s="18">
        <f>IF($A126="",0,IF(MOD(9,IF($G$34="Mensal",1,IF($G$34="Bimestral",2,IF($G$34="Trimestral",3,IF($G$34="Semestral",6,12)))))&lt;&gt;0,0,IF(COUNTIFS('LANÇAMENTOS'!$G$6:$G$2005,$B126,'LANÇAMENTOS'!$E$6:$E$2005,"Saída",'LANÇAMENTOS'!$Z$6:$Z$2005,MONTH(EDATE(TODAY(),9)),'LANÇAMENTOS'!$AA$6:$AA$2005,YEAR(EDATE(TODAY(),9)))&gt;0,0,$F$34)))</f>
        <v/>
      </c>
      <c r="M126" s="18">
        <f>IF($A126="",0,IF(MOD(10,IF($G$34="Mensal",1,IF($G$34="Bimestral",2,IF($G$34="Trimestral",3,IF($G$34="Semestral",6,12)))))&lt;&gt;0,0,IF(COUNTIFS('LANÇAMENTOS'!$G$6:$G$2005,$B126,'LANÇAMENTOS'!$E$6:$E$2005,"Saída",'LANÇAMENTOS'!$Z$6:$Z$2005,MONTH(EDATE(TODAY(),10)),'LANÇAMENTOS'!$AA$6:$AA$2005,YEAR(EDATE(TODAY(),10)))&gt;0,0,$F$34)))</f>
        <v/>
      </c>
      <c r="N126" s="18">
        <f>IF($A126="",0,IF(MOD(11,IF($G$34="Mensal",1,IF($G$34="Bimestral",2,IF($G$34="Trimestral",3,IF($G$34="Semestral",6,12)))))&lt;&gt;0,0,IF(COUNTIFS('LANÇAMENTOS'!$G$6:$G$2005,$B126,'LANÇAMENTOS'!$E$6:$E$2005,"Saída",'LANÇAMENTOS'!$Z$6:$Z$2005,MONTH(EDATE(TODAY(),11)),'LANÇAMENTOS'!$AA$6:$AA$2005,YEAR(EDATE(TODAY(),11)))&gt;0,0,$F$34)))</f>
        <v/>
      </c>
    </row>
    <row r="127">
      <c r="A127" s="9">
        <f>IF(OR($A$35="",$K$35&lt;&gt;"Sim"),"",$A$35)</f>
        <v/>
      </c>
      <c r="B127" s="17">
        <f>IF($A127="","",$C$35)</f>
        <v/>
      </c>
      <c r="C127" s="18">
        <f>IF($A127="",0,IF(MOD(0,IF($G$35="Mensal",1,IF($G$35="Bimestral",2,IF($G$35="Trimestral",3,IF($G$35="Semestral",6,12)))))&lt;&gt;0,0,IF(COUNTIFS('LANÇAMENTOS'!$G$6:$G$2005,$B127,'LANÇAMENTOS'!$E$6:$E$2005,"Saída",'LANÇAMENTOS'!$Z$6:$Z$2005,MONTH(EDATE(TODAY(),0)),'LANÇAMENTOS'!$AA$6:$AA$2005,YEAR(EDATE(TODAY(),0)))&gt;0,0,$F$35)))</f>
        <v/>
      </c>
      <c r="D127" s="18">
        <f>IF($A127="",0,IF(MOD(1,IF($G$35="Mensal",1,IF($G$35="Bimestral",2,IF($G$35="Trimestral",3,IF($G$35="Semestral",6,12)))))&lt;&gt;0,0,IF(COUNTIFS('LANÇAMENTOS'!$G$6:$G$2005,$B127,'LANÇAMENTOS'!$E$6:$E$2005,"Saída",'LANÇAMENTOS'!$Z$6:$Z$2005,MONTH(EDATE(TODAY(),1)),'LANÇAMENTOS'!$AA$6:$AA$2005,YEAR(EDATE(TODAY(),1)))&gt;0,0,$F$35)))</f>
        <v/>
      </c>
      <c r="E127" s="18">
        <f>IF($A127="",0,IF(MOD(2,IF($G$35="Mensal",1,IF($G$35="Bimestral",2,IF($G$35="Trimestral",3,IF($G$35="Semestral",6,12)))))&lt;&gt;0,0,IF(COUNTIFS('LANÇAMENTOS'!$G$6:$G$2005,$B127,'LANÇAMENTOS'!$E$6:$E$2005,"Saída",'LANÇAMENTOS'!$Z$6:$Z$2005,MONTH(EDATE(TODAY(),2)),'LANÇAMENTOS'!$AA$6:$AA$2005,YEAR(EDATE(TODAY(),2)))&gt;0,0,$F$35)))</f>
        <v/>
      </c>
      <c r="F127" s="18">
        <f>IF($A127="",0,IF(MOD(3,IF($G$35="Mensal",1,IF($G$35="Bimestral",2,IF($G$35="Trimestral",3,IF($G$35="Semestral",6,12)))))&lt;&gt;0,0,IF(COUNTIFS('LANÇAMENTOS'!$G$6:$G$2005,$B127,'LANÇAMENTOS'!$E$6:$E$2005,"Saída",'LANÇAMENTOS'!$Z$6:$Z$2005,MONTH(EDATE(TODAY(),3)),'LANÇAMENTOS'!$AA$6:$AA$2005,YEAR(EDATE(TODAY(),3)))&gt;0,0,$F$35)))</f>
        <v/>
      </c>
      <c r="G127" s="18">
        <f>IF($A127="",0,IF(MOD(4,IF($G$35="Mensal",1,IF($G$35="Bimestral",2,IF($G$35="Trimestral",3,IF($G$35="Semestral",6,12)))))&lt;&gt;0,0,IF(COUNTIFS('LANÇAMENTOS'!$G$6:$G$2005,$B127,'LANÇAMENTOS'!$E$6:$E$2005,"Saída",'LANÇAMENTOS'!$Z$6:$Z$2005,MONTH(EDATE(TODAY(),4)),'LANÇAMENTOS'!$AA$6:$AA$2005,YEAR(EDATE(TODAY(),4)))&gt;0,0,$F$35)))</f>
        <v/>
      </c>
      <c r="H127" s="18">
        <f>IF($A127="",0,IF(MOD(5,IF($G$35="Mensal",1,IF($G$35="Bimestral",2,IF($G$35="Trimestral",3,IF($G$35="Semestral",6,12)))))&lt;&gt;0,0,IF(COUNTIFS('LANÇAMENTOS'!$G$6:$G$2005,$B127,'LANÇAMENTOS'!$E$6:$E$2005,"Saída",'LANÇAMENTOS'!$Z$6:$Z$2005,MONTH(EDATE(TODAY(),5)),'LANÇAMENTOS'!$AA$6:$AA$2005,YEAR(EDATE(TODAY(),5)))&gt;0,0,$F$35)))</f>
        <v/>
      </c>
      <c r="I127" s="18">
        <f>IF($A127="",0,IF(MOD(6,IF($G$35="Mensal",1,IF($G$35="Bimestral",2,IF($G$35="Trimestral",3,IF($G$35="Semestral",6,12)))))&lt;&gt;0,0,IF(COUNTIFS('LANÇAMENTOS'!$G$6:$G$2005,$B127,'LANÇAMENTOS'!$E$6:$E$2005,"Saída",'LANÇAMENTOS'!$Z$6:$Z$2005,MONTH(EDATE(TODAY(),6)),'LANÇAMENTOS'!$AA$6:$AA$2005,YEAR(EDATE(TODAY(),6)))&gt;0,0,$F$35)))</f>
        <v/>
      </c>
      <c r="J127" s="18">
        <f>IF($A127="",0,IF(MOD(7,IF($G$35="Mensal",1,IF($G$35="Bimestral",2,IF($G$35="Trimestral",3,IF($G$35="Semestral",6,12)))))&lt;&gt;0,0,IF(COUNTIFS('LANÇAMENTOS'!$G$6:$G$2005,$B127,'LANÇAMENTOS'!$E$6:$E$2005,"Saída",'LANÇAMENTOS'!$Z$6:$Z$2005,MONTH(EDATE(TODAY(),7)),'LANÇAMENTOS'!$AA$6:$AA$2005,YEAR(EDATE(TODAY(),7)))&gt;0,0,$F$35)))</f>
        <v/>
      </c>
      <c r="K127" s="18">
        <f>IF($A127="",0,IF(MOD(8,IF($G$35="Mensal",1,IF($G$35="Bimestral",2,IF($G$35="Trimestral",3,IF($G$35="Semestral",6,12)))))&lt;&gt;0,0,IF(COUNTIFS('LANÇAMENTOS'!$G$6:$G$2005,$B127,'LANÇAMENTOS'!$E$6:$E$2005,"Saída",'LANÇAMENTOS'!$Z$6:$Z$2005,MONTH(EDATE(TODAY(),8)),'LANÇAMENTOS'!$AA$6:$AA$2005,YEAR(EDATE(TODAY(),8)))&gt;0,0,$F$35)))</f>
        <v/>
      </c>
      <c r="L127" s="18">
        <f>IF($A127="",0,IF(MOD(9,IF($G$35="Mensal",1,IF($G$35="Bimestral",2,IF($G$35="Trimestral",3,IF($G$35="Semestral",6,12)))))&lt;&gt;0,0,IF(COUNTIFS('LANÇAMENTOS'!$G$6:$G$2005,$B127,'LANÇAMENTOS'!$E$6:$E$2005,"Saída",'LANÇAMENTOS'!$Z$6:$Z$2005,MONTH(EDATE(TODAY(),9)),'LANÇAMENTOS'!$AA$6:$AA$2005,YEAR(EDATE(TODAY(),9)))&gt;0,0,$F$35)))</f>
        <v/>
      </c>
      <c r="M127" s="18">
        <f>IF($A127="",0,IF(MOD(10,IF($G$35="Mensal",1,IF($G$35="Bimestral",2,IF($G$35="Trimestral",3,IF($G$35="Semestral",6,12)))))&lt;&gt;0,0,IF(COUNTIFS('LANÇAMENTOS'!$G$6:$G$2005,$B127,'LANÇAMENTOS'!$E$6:$E$2005,"Saída",'LANÇAMENTOS'!$Z$6:$Z$2005,MONTH(EDATE(TODAY(),10)),'LANÇAMENTOS'!$AA$6:$AA$2005,YEAR(EDATE(TODAY(),10)))&gt;0,0,$F$35)))</f>
        <v/>
      </c>
      <c r="N127" s="18">
        <f>IF($A127="",0,IF(MOD(11,IF($G$35="Mensal",1,IF($G$35="Bimestral",2,IF($G$35="Trimestral",3,IF($G$35="Semestral",6,12)))))&lt;&gt;0,0,IF(COUNTIFS('LANÇAMENTOS'!$G$6:$G$2005,$B127,'LANÇAMENTOS'!$E$6:$E$2005,"Saída",'LANÇAMENTOS'!$Z$6:$Z$2005,MONTH(EDATE(TODAY(),11)),'LANÇAMENTOS'!$AA$6:$AA$2005,YEAR(EDATE(TODAY(),11)))&gt;0,0,$F$35)))</f>
        <v/>
      </c>
    </row>
    <row r="128">
      <c r="A128" s="9">
        <f>IF(OR($A$36="",$K$36&lt;&gt;"Sim"),"",$A$36)</f>
        <v/>
      </c>
      <c r="B128" s="17">
        <f>IF($A128="","",$C$36)</f>
        <v/>
      </c>
      <c r="C128" s="18">
        <f>IF($A128="",0,IF(MOD(0,IF($G$36="Mensal",1,IF($G$36="Bimestral",2,IF($G$36="Trimestral",3,IF($G$36="Semestral",6,12)))))&lt;&gt;0,0,IF(COUNTIFS('LANÇAMENTOS'!$G$6:$G$2005,$B128,'LANÇAMENTOS'!$E$6:$E$2005,"Saída",'LANÇAMENTOS'!$Z$6:$Z$2005,MONTH(EDATE(TODAY(),0)),'LANÇAMENTOS'!$AA$6:$AA$2005,YEAR(EDATE(TODAY(),0)))&gt;0,0,$F$36)))</f>
        <v/>
      </c>
      <c r="D128" s="18">
        <f>IF($A128="",0,IF(MOD(1,IF($G$36="Mensal",1,IF($G$36="Bimestral",2,IF($G$36="Trimestral",3,IF($G$36="Semestral",6,12)))))&lt;&gt;0,0,IF(COUNTIFS('LANÇAMENTOS'!$G$6:$G$2005,$B128,'LANÇAMENTOS'!$E$6:$E$2005,"Saída",'LANÇAMENTOS'!$Z$6:$Z$2005,MONTH(EDATE(TODAY(),1)),'LANÇAMENTOS'!$AA$6:$AA$2005,YEAR(EDATE(TODAY(),1)))&gt;0,0,$F$36)))</f>
        <v/>
      </c>
      <c r="E128" s="18">
        <f>IF($A128="",0,IF(MOD(2,IF($G$36="Mensal",1,IF($G$36="Bimestral",2,IF($G$36="Trimestral",3,IF($G$36="Semestral",6,12)))))&lt;&gt;0,0,IF(COUNTIFS('LANÇAMENTOS'!$G$6:$G$2005,$B128,'LANÇAMENTOS'!$E$6:$E$2005,"Saída",'LANÇAMENTOS'!$Z$6:$Z$2005,MONTH(EDATE(TODAY(),2)),'LANÇAMENTOS'!$AA$6:$AA$2005,YEAR(EDATE(TODAY(),2)))&gt;0,0,$F$36)))</f>
        <v/>
      </c>
      <c r="F128" s="18">
        <f>IF($A128="",0,IF(MOD(3,IF($G$36="Mensal",1,IF($G$36="Bimestral",2,IF($G$36="Trimestral",3,IF($G$36="Semestral",6,12)))))&lt;&gt;0,0,IF(COUNTIFS('LANÇAMENTOS'!$G$6:$G$2005,$B128,'LANÇAMENTOS'!$E$6:$E$2005,"Saída",'LANÇAMENTOS'!$Z$6:$Z$2005,MONTH(EDATE(TODAY(),3)),'LANÇAMENTOS'!$AA$6:$AA$2005,YEAR(EDATE(TODAY(),3)))&gt;0,0,$F$36)))</f>
        <v/>
      </c>
      <c r="G128" s="18">
        <f>IF($A128="",0,IF(MOD(4,IF($G$36="Mensal",1,IF($G$36="Bimestral",2,IF($G$36="Trimestral",3,IF($G$36="Semestral",6,12)))))&lt;&gt;0,0,IF(COUNTIFS('LANÇAMENTOS'!$G$6:$G$2005,$B128,'LANÇAMENTOS'!$E$6:$E$2005,"Saída",'LANÇAMENTOS'!$Z$6:$Z$2005,MONTH(EDATE(TODAY(),4)),'LANÇAMENTOS'!$AA$6:$AA$2005,YEAR(EDATE(TODAY(),4)))&gt;0,0,$F$36)))</f>
        <v/>
      </c>
      <c r="H128" s="18">
        <f>IF($A128="",0,IF(MOD(5,IF($G$36="Mensal",1,IF($G$36="Bimestral",2,IF($G$36="Trimestral",3,IF($G$36="Semestral",6,12)))))&lt;&gt;0,0,IF(COUNTIFS('LANÇAMENTOS'!$G$6:$G$2005,$B128,'LANÇAMENTOS'!$E$6:$E$2005,"Saída",'LANÇAMENTOS'!$Z$6:$Z$2005,MONTH(EDATE(TODAY(),5)),'LANÇAMENTOS'!$AA$6:$AA$2005,YEAR(EDATE(TODAY(),5)))&gt;0,0,$F$36)))</f>
        <v/>
      </c>
      <c r="I128" s="18">
        <f>IF($A128="",0,IF(MOD(6,IF($G$36="Mensal",1,IF($G$36="Bimestral",2,IF($G$36="Trimestral",3,IF($G$36="Semestral",6,12)))))&lt;&gt;0,0,IF(COUNTIFS('LANÇAMENTOS'!$G$6:$G$2005,$B128,'LANÇAMENTOS'!$E$6:$E$2005,"Saída",'LANÇAMENTOS'!$Z$6:$Z$2005,MONTH(EDATE(TODAY(),6)),'LANÇAMENTOS'!$AA$6:$AA$2005,YEAR(EDATE(TODAY(),6)))&gt;0,0,$F$36)))</f>
        <v/>
      </c>
      <c r="J128" s="18">
        <f>IF($A128="",0,IF(MOD(7,IF($G$36="Mensal",1,IF($G$36="Bimestral",2,IF($G$36="Trimestral",3,IF($G$36="Semestral",6,12)))))&lt;&gt;0,0,IF(COUNTIFS('LANÇAMENTOS'!$G$6:$G$2005,$B128,'LANÇAMENTOS'!$E$6:$E$2005,"Saída",'LANÇAMENTOS'!$Z$6:$Z$2005,MONTH(EDATE(TODAY(),7)),'LANÇAMENTOS'!$AA$6:$AA$2005,YEAR(EDATE(TODAY(),7)))&gt;0,0,$F$36)))</f>
        <v/>
      </c>
      <c r="K128" s="18">
        <f>IF($A128="",0,IF(MOD(8,IF($G$36="Mensal",1,IF($G$36="Bimestral",2,IF($G$36="Trimestral",3,IF($G$36="Semestral",6,12)))))&lt;&gt;0,0,IF(COUNTIFS('LANÇAMENTOS'!$G$6:$G$2005,$B128,'LANÇAMENTOS'!$E$6:$E$2005,"Saída",'LANÇAMENTOS'!$Z$6:$Z$2005,MONTH(EDATE(TODAY(),8)),'LANÇAMENTOS'!$AA$6:$AA$2005,YEAR(EDATE(TODAY(),8)))&gt;0,0,$F$36)))</f>
        <v/>
      </c>
      <c r="L128" s="18">
        <f>IF($A128="",0,IF(MOD(9,IF($G$36="Mensal",1,IF($G$36="Bimestral",2,IF($G$36="Trimestral",3,IF($G$36="Semestral",6,12)))))&lt;&gt;0,0,IF(COUNTIFS('LANÇAMENTOS'!$G$6:$G$2005,$B128,'LANÇAMENTOS'!$E$6:$E$2005,"Saída",'LANÇAMENTOS'!$Z$6:$Z$2005,MONTH(EDATE(TODAY(),9)),'LANÇAMENTOS'!$AA$6:$AA$2005,YEAR(EDATE(TODAY(),9)))&gt;0,0,$F$36)))</f>
        <v/>
      </c>
      <c r="M128" s="18">
        <f>IF($A128="",0,IF(MOD(10,IF($G$36="Mensal",1,IF($G$36="Bimestral",2,IF($G$36="Trimestral",3,IF($G$36="Semestral",6,12)))))&lt;&gt;0,0,IF(COUNTIFS('LANÇAMENTOS'!$G$6:$G$2005,$B128,'LANÇAMENTOS'!$E$6:$E$2005,"Saída",'LANÇAMENTOS'!$Z$6:$Z$2005,MONTH(EDATE(TODAY(),10)),'LANÇAMENTOS'!$AA$6:$AA$2005,YEAR(EDATE(TODAY(),10)))&gt;0,0,$F$36)))</f>
        <v/>
      </c>
      <c r="N128" s="18">
        <f>IF($A128="",0,IF(MOD(11,IF($G$36="Mensal",1,IF($G$36="Bimestral",2,IF($G$36="Trimestral",3,IF($G$36="Semestral",6,12)))))&lt;&gt;0,0,IF(COUNTIFS('LANÇAMENTOS'!$G$6:$G$2005,$B128,'LANÇAMENTOS'!$E$6:$E$2005,"Saída",'LANÇAMENTOS'!$Z$6:$Z$2005,MONTH(EDATE(TODAY(),11)),'LANÇAMENTOS'!$AA$6:$AA$2005,YEAR(EDATE(TODAY(),11)))&gt;0,0,$F$36)))</f>
        <v/>
      </c>
    </row>
    <row r="129">
      <c r="A129" s="9">
        <f>IF(OR($A$37="",$K$37&lt;&gt;"Sim"),"",$A$37)</f>
        <v/>
      </c>
      <c r="B129" s="17">
        <f>IF($A129="","",$C$37)</f>
        <v/>
      </c>
      <c r="C129" s="18">
        <f>IF($A129="",0,IF(MOD(0,IF($G$37="Mensal",1,IF($G$37="Bimestral",2,IF($G$37="Trimestral",3,IF($G$37="Semestral",6,12)))))&lt;&gt;0,0,IF(COUNTIFS('LANÇAMENTOS'!$G$6:$G$2005,$B129,'LANÇAMENTOS'!$E$6:$E$2005,"Saída",'LANÇAMENTOS'!$Z$6:$Z$2005,MONTH(EDATE(TODAY(),0)),'LANÇAMENTOS'!$AA$6:$AA$2005,YEAR(EDATE(TODAY(),0)))&gt;0,0,$F$37)))</f>
        <v/>
      </c>
      <c r="D129" s="18">
        <f>IF($A129="",0,IF(MOD(1,IF($G$37="Mensal",1,IF($G$37="Bimestral",2,IF($G$37="Trimestral",3,IF($G$37="Semestral",6,12)))))&lt;&gt;0,0,IF(COUNTIFS('LANÇAMENTOS'!$G$6:$G$2005,$B129,'LANÇAMENTOS'!$E$6:$E$2005,"Saída",'LANÇAMENTOS'!$Z$6:$Z$2005,MONTH(EDATE(TODAY(),1)),'LANÇAMENTOS'!$AA$6:$AA$2005,YEAR(EDATE(TODAY(),1)))&gt;0,0,$F$37)))</f>
        <v/>
      </c>
      <c r="E129" s="18">
        <f>IF($A129="",0,IF(MOD(2,IF($G$37="Mensal",1,IF($G$37="Bimestral",2,IF($G$37="Trimestral",3,IF($G$37="Semestral",6,12)))))&lt;&gt;0,0,IF(COUNTIFS('LANÇAMENTOS'!$G$6:$G$2005,$B129,'LANÇAMENTOS'!$E$6:$E$2005,"Saída",'LANÇAMENTOS'!$Z$6:$Z$2005,MONTH(EDATE(TODAY(),2)),'LANÇAMENTOS'!$AA$6:$AA$2005,YEAR(EDATE(TODAY(),2)))&gt;0,0,$F$37)))</f>
        <v/>
      </c>
      <c r="F129" s="18">
        <f>IF($A129="",0,IF(MOD(3,IF($G$37="Mensal",1,IF($G$37="Bimestral",2,IF($G$37="Trimestral",3,IF($G$37="Semestral",6,12)))))&lt;&gt;0,0,IF(COUNTIFS('LANÇAMENTOS'!$G$6:$G$2005,$B129,'LANÇAMENTOS'!$E$6:$E$2005,"Saída",'LANÇAMENTOS'!$Z$6:$Z$2005,MONTH(EDATE(TODAY(),3)),'LANÇAMENTOS'!$AA$6:$AA$2005,YEAR(EDATE(TODAY(),3)))&gt;0,0,$F$37)))</f>
        <v/>
      </c>
      <c r="G129" s="18">
        <f>IF($A129="",0,IF(MOD(4,IF($G$37="Mensal",1,IF($G$37="Bimestral",2,IF($G$37="Trimestral",3,IF($G$37="Semestral",6,12)))))&lt;&gt;0,0,IF(COUNTIFS('LANÇAMENTOS'!$G$6:$G$2005,$B129,'LANÇAMENTOS'!$E$6:$E$2005,"Saída",'LANÇAMENTOS'!$Z$6:$Z$2005,MONTH(EDATE(TODAY(),4)),'LANÇAMENTOS'!$AA$6:$AA$2005,YEAR(EDATE(TODAY(),4)))&gt;0,0,$F$37)))</f>
        <v/>
      </c>
      <c r="H129" s="18">
        <f>IF($A129="",0,IF(MOD(5,IF($G$37="Mensal",1,IF($G$37="Bimestral",2,IF($G$37="Trimestral",3,IF($G$37="Semestral",6,12)))))&lt;&gt;0,0,IF(COUNTIFS('LANÇAMENTOS'!$G$6:$G$2005,$B129,'LANÇAMENTOS'!$E$6:$E$2005,"Saída",'LANÇAMENTOS'!$Z$6:$Z$2005,MONTH(EDATE(TODAY(),5)),'LANÇAMENTOS'!$AA$6:$AA$2005,YEAR(EDATE(TODAY(),5)))&gt;0,0,$F$37)))</f>
        <v/>
      </c>
      <c r="I129" s="18">
        <f>IF($A129="",0,IF(MOD(6,IF($G$37="Mensal",1,IF($G$37="Bimestral",2,IF($G$37="Trimestral",3,IF($G$37="Semestral",6,12)))))&lt;&gt;0,0,IF(COUNTIFS('LANÇAMENTOS'!$G$6:$G$2005,$B129,'LANÇAMENTOS'!$E$6:$E$2005,"Saída",'LANÇAMENTOS'!$Z$6:$Z$2005,MONTH(EDATE(TODAY(),6)),'LANÇAMENTOS'!$AA$6:$AA$2005,YEAR(EDATE(TODAY(),6)))&gt;0,0,$F$37)))</f>
        <v/>
      </c>
      <c r="J129" s="18">
        <f>IF($A129="",0,IF(MOD(7,IF($G$37="Mensal",1,IF($G$37="Bimestral",2,IF($G$37="Trimestral",3,IF($G$37="Semestral",6,12)))))&lt;&gt;0,0,IF(COUNTIFS('LANÇAMENTOS'!$G$6:$G$2005,$B129,'LANÇAMENTOS'!$E$6:$E$2005,"Saída",'LANÇAMENTOS'!$Z$6:$Z$2005,MONTH(EDATE(TODAY(),7)),'LANÇAMENTOS'!$AA$6:$AA$2005,YEAR(EDATE(TODAY(),7)))&gt;0,0,$F$37)))</f>
        <v/>
      </c>
      <c r="K129" s="18">
        <f>IF($A129="",0,IF(MOD(8,IF($G$37="Mensal",1,IF($G$37="Bimestral",2,IF($G$37="Trimestral",3,IF($G$37="Semestral",6,12)))))&lt;&gt;0,0,IF(COUNTIFS('LANÇAMENTOS'!$G$6:$G$2005,$B129,'LANÇAMENTOS'!$E$6:$E$2005,"Saída",'LANÇAMENTOS'!$Z$6:$Z$2005,MONTH(EDATE(TODAY(),8)),'LANÇAMENTOS'!$AA$6:$AA$2005,YEAR(EDATE(TODAY(),8)))&gt;0,0,$F$37)))</f>
        <v/>
      </c>
      <c r="L129" s="18">
        <f>IF($A129="",0,IF(MOD(9,IF($G$37="Mensal",1,IF($G$37="Bimestral",2,IF($G$37="Trimestral",3,IF($G$37="Semestral",6,12)))))&lt;&gt;0,0,IF(COUNTIFS('LANÇAMENTOS'!$G$6:$G$2005,$B129,'LANÇAMENTOS'!$E$6:$E$2005,"Saída",'LANÇAMENTOS'!$Z$6:$Z$2005,MONTH(EDATE(TODAY(),9)),'LANÇAMENTOS'!$AA$6:$AA$2005,YEAR(EDATE(TODAY(),9)))&gt;0,0,$F$37)))</f>
        <v/>
      </c>
      <c r="M129" s="18">
        <f>IF($A129="",0,IF(MOD(10,IF($G$37="Mensal",1,IF($G$37="Bimestral",2,IF($G$37="Trimestral",3,IF($G$37="Semestral",6,12)))))&lt;&gt;0,0,IF(COUNTIFS('LANÇAMENTOS'!$G$6:$G$2005,$B129,'LANÇAMENTOS'!$E$6:$E$2005,"Saída",'LANÇAMENTOS'!$Z$6:$Z$2005,MONTH(EDATE(TODAY(),10)),'LANÇAMENTOS'!$AA$6:$AA$2005,YEAR(EDATE(TODAY(),10)))&gt;0,0,$F$37)))</f>
        <v/>
      </c>
      <c r="N129" s="18">
        <f>IF($A129="",0,IF(MOD(11,IF($G$37="Mensal",1,IF($G$37="Bimestral",2,IF($G$37="Trimestral",3,IF($G$37="Semestral",6,12)))))&lt;&gt;0,0,IF(COUNTIFS('LANÇAMENTOS'!$G$6:$G$2005,$B129,'LANÇAMENTOS'!$E$6:$E$2005,"Saída",'LANÇAMENTOS'!$Z$6:$Z$2005,MONTH(EDATE(TODAY(),11)),'LANÇAMENTOS'!$AA$6:$AA$2005,YEAR(EDATE(TODAY(),11)))&gt;0,0,$F$37)))</f>
        <v/>
      </c>
    </row>
    <row r="130">
      <c r="A130" s="9">
        <f>IF(OR($A$38="",$K$38&lt;&gt;"Sim"),"",$A$38)</f>
        <v/>
      </c>
      <c r="B130" s="17">
        <f>IF($A130="","",$C$38)</f>
        <v/>
      </c>
      <c r="C130" s="18">
        <f>IF($A130="",0,IF(MOD(0,IF($G$38="Mensal",1,IF($G$38="Bimestral",2,IF($G$38="Trimestral",3,IF($G$38="Semestral",6,12)))))&lt;&gt;0,0,IF(COUNTIFS('LANÇAMENTOS'!$G$6:$G$2005,$B130,'LANÇAMENTOS'!$E$6:$E$2005,"Saída",'LANÇAMENTOS'!$Z$6:$Z$2005,MONTH(EDATE(TODAY(),0)),'LANÇAMENTOS'!$AA$6:$AA$2005,YEAR(EDATE(TODAY(),0)))&gt;0,0,$F$38)))</f>
        <v/>
      </c>
      <c r="D130" s="18">
        <f>IF($A130="",0,IF(MOD(1,IF($G$38="Mensal",1,IF($G$38="Bimestral",2,IF($G$38="Trimestral",3,IF($G$38="Semestral",6,12)))))&lt;&gt;0,0,IF(COUNTIFS('LANÇAMENTOS'!$G$6:$G$2005,$B130,'LANÇAMENTOS'!$E$6:$E$2005,"Saída",'LANÇAMENTOS'!$Z$6:$Z$2005,MONTH(EDATE(TODAY(),1)),'LANÇAMENTOS'!$AA$6:$AA$2005,YEAR(EDATE(TODAY(),1)))&gt;0,0,$F$38)))</f>
        <v/>
      </c>
      <c r="E130" s="18">
        <f>IF($A130="",0,IF(MOD(2,IF($G$38="Mensal",1,IF($G$38="Bimestral",2,IF($G$38="Trimestral",3,IF($G$38="Semestral",6,12)))))&lt;&gt;0,0,IF(COUNTIFS('LANÇAMENTOS'!$G$6:$G$2005,$B130,'LANÇAMENTOS'!$E$6:$E$2005,"Saída",'LANÇAMENTOS'!$Z$6:$Z$2005,MONTH(EDATE(TODAY(),2)),'LANÇAMENTOS'!$AA$6:$AA$2005,YEAR(EDATE(TODAY(),2)))&gt;0,0,$F$38)))</f>
        <v/>
      </c>
      <c r="F130" s="18">
        <f>IF($A130="",0,IF(MOD(3,IF($G$38="Mensal",1,IF($G$38="Bimestral",2,IF($G$38="Trimestral",3,IF($G$38="Semestral",6,12)))))&lt;&gt;0,0,IF(COUNTIFS('LANÇAMENTOS'!$G$6:$G$2005,$B130,'LANÇAMENTOS'!$E$6:$E$2005,"Saída",'LANÇAMENTOS'!$Z$6:$Z$2005,MONTH(EDATE(TODAY(),3)),'LANÇAMENTOS'!$AA$6:$AA$2005,YEAR(EDATE(TODAY(),3)))&gt;0,0,$F$38)))</f>
        <v/>
      </c>
      <c r="G130" s="18">
        <f>IF($A130="",0,IF(MOD(4,IF($G$38="Mensal",1,IF($G$38="Bimestral",2,IF($G$38="Trimestral",3,IF($G$38="Semestral",6,12)))))&lt;&gt;0,0,IF(COUNTIFS('LANÇAMENTOS'!$G$6:$G$2005,$B130,'LANÇAMENTOS'!$E$6:$E$2005,"Saída",'LANÇAMENTOS'!$Z$6:$Z$2005,MONTH(EDATE(TODAY(),4)),'LANÇAMENTOS'!$AA$6:$AA$2005,YEAR(EDATE(TODAY(),4)))&gt;0,0,$F$38)))</f>
        <v/>
      </c>
      <c r="H130" s="18">
        <f>IF($A130="",0,IF(MOD(5,IF($G$38="Mensal",1,IF($G$38="Bimestral",2,IF($G$38="Trimestral",3,IF($G$38="Semestral",6,12)))))&lt;&gt;0,0,IF(COUNTIFS('LANÇAMENTOS'!$G$6:$G$2005,$B130,'LANÇAMENTOS'!$E$6:$E$2005,"Saída",'LANÇAMENTOS'!$Z$6:$Z$2005,MONTH(EDATE(TODAY(),5)),'LANÇAMENTOS'!$AA$6:$AA$2005,YEAR(EDATE(TODAY(),5)))&gt;0,0,$F$38)))</f>
        <v/>
      </c>
      <c r="I130" s="18">
        <f>IF($A130="",0,IF(MOD(6,IF($G$38="Mensal",1,IF($G$38="Bimestral",2,IF($G$38="Trimestral",3,IF($G$38="Semestral",6,12)))))&lt;&gt;0,0,IF(COUNTIFS('LANÇAMENTOS'!$G$6:$G$2005,$B130,'LANÇAMENTOS'!$E$6:$E$2005,"Saída",'LANÇAMENTOS'!$Z$6:$Z$2005,MONTH(EDATE(TODAY(),6)),'LANÇAMENTOS'!$AA$6:$AA$2005,YEAR(EDATE(TODAY(),6)))&gt;0,0,$F$38)))</f>
        <v/>
      </c>
      <c r="J130" s="18">
        <f>IF($A130="",0,IF(MOD(7,IF($G$38="Mensal",1,IF($G$38="Bimestral",2,IF($G$38="Trimestral",3,IF($G$38="Semestral",6,12)))))&lt;&gt;0,0,IF(COUNTIFS('LANÇAMENTOS'!$G$6:$G$2005,$B130,'LANÇAMENTOS'!$E$6:$E$2005,"Saída",'LANÇAMENTOS'!$Z$6:$Z$2005,MONTH(EDATE(TODAY(),7)),'LANÇAMENTOS'!$AA$6:$AA$2005,YEAR(EDATE(TODAY(),7)))&gt;0,0,$F$38)))</f>
        <v/>
      </c>
      <c r="K130" s="18">
        <f>IF($A130="",0,IF(MOD(8,IF($G$38="Mensal",1,IF($G$38="Bimestral",2,IF($G$38="Trimestral",3,IF($G$38="Semestral",6,12)))))&lt;&gt;0,0,IF(COUNTIFS('LANÇAMENTOS'!$G$6:$G$2005,$B130,'LANÇAMENTOS'!$E$6:$E$2005,"Saída",'LANÇAMENTOS'!$Z$6:$Z$2005,MONTH(EDATE(TODAY(),8)),'LANÇAMENTOS'!$AA$6:$AA$2005,YEAR(EDATE(TODAY(),8)))&gt;0,0,$F$38)))</f>
        <v/>
      </c>
      <c r="L130" s="18">
        <f>IF($A130="",0,IF(MOD(9,IF($G$38="Mensal",1,IF($G$38="Bimestral",2,IF($G$38="Trimestral",3,IF($G$38="Semestral",6,12)))))&lt;&gt;0,0,IF(COUNTIFS('LANÇAMENTOS'!$G$6:$G$2005,$B130,'LANÇAMENTOS'!$E$6:$E$2005,"Saída",'LANÇAMENTOS'!$Z$6:$Z$2005,MONTH(EDATE(TODAY(),9)),'LANÇAMENTOS'!$AA$6:$AA$2005,YEAR(EDATE(TODAY(),9)))&gt;0,0,$F$38)))</f>
        <v/>
      </c>
      <c r="M130" s="18">
        <f>IF($A130="",0,IF(MOD(10,IF($G$38="Mensal",1,IF($G$38="Bimestral",2,IF($G$38="Trimestral",3,IF($G$38="Semestral",6,12)))))&lt;&gt;0,0,IF(COUNTIFS('LANÇAMENTOS'!$G$6:$G$2005,$B130,'LANÇAMENTOS'!$E$6:$E$2005,"Saída",'LANÇAMENTOS'!$Z$6:$Z$2005,MONTH(EDATE(TODAY(),10)),'LANÇAMENTOS'!$AA$6:$AA$2005,YEAR(EDATE(TODAY(),10)))&gt;0,0,$F$38)))</f>
        <v/>
      </c>
      <c r="N130" s="18">
        <f>IF($A130="",0,IF(MOD(11,IF($G$38="Mensal",1,IF($G$38="Bimestral",2,IF($G$38="Trimestral",3,IF($G$38="Semestral",6,12)))))&lt;&gt;0,0,IF(COUNTIFS('LANÇAMENTOS'!$G$6:$G$2005,$B130,'LANÇAMENTOS'!$E$6:$E$2005,"Saída",'LANÇAMENTOS'!$Z$6:$Z$2005,MONTH(EDATE(TODAY(),11)),'LANÇAMENTOS'!$AA$6:$AA$2005,YEAR(EDATE(TODAY(),11)))&gt;0,0,$F$38)))</f>
        <v/>
      </c>
    </row>
    <row r="131">
      <c r="A131" s="9">
        <f>IF(OR($A$39="",$K$39&lt;&gt;"Sim"),"",$A$39)</f>
        <v/>
      </c>
      <c r="B131" s="17">
        <f>IF($A131="","",$C$39)</f>
        <v/>
      </c>
      <c r="C131" s="18">
        <f>IF($A131="",0,IF(MOD(0,IF($G$39="Mensal",1,IF($G$39="Bimestral",2,IF($G$39="Trimestral",3,IF($G$39="Semestral",6,12)))))&lt;&gt;0,0,IF(COUNTIFS('LANÇAMENTOS'!$G$6:$G$2005,$B131,'LANÇAMENTOS'!$E$6:$E$2005,"Saída",'LANÇAMENTOS'!$Z$6:$Z$2005,MONTH(EDATE(TODAY(),0)),'LANÇAMENTOS'!$AA$6:$AA$2005,YEAR(EDATE(TODAY(),0)))&gt;0,0,$F$39)))</f>
        <v/>
      </c>
      <c r="D131" s="18">
        <f>IF($A131="",0,IF(MOD(1,IF($G$39="Mensal",1,IF($G$39="Bimestral",2,IF($G$39="Trimestral",3,IF($G$39="Semestral",6,12)))))&lt;&gt;0,0,IF(COUNTIFS('LANÇAMENTOS'!$G$6:$G$2005,$B131,'LANÇAMENTOS'!$E$6:$E$2005,"Saída",'LANÇAMENTOS'!$Z$6:$Z$2005,MONTH(EDATE(TODAY(),1)),'LANÇAMENTOS'!$AA$6:$AA$2005,YEAR(EDATE(TODAY(),1)))&gt;0,0,$F$39)))</f>
        <v/>
      </c>
      <c r="E131" s="18">
        <f>IF($A131="",0,IF(MOD(2,IF($G$39="Mensal",1,IF($G$39="Bimestral",2,IF($G$39="Trimestral",3,IF($G$39="Semestral",6,12)))))&lt;&gt;0,0,IF(COUNTIFS('LANÇAMENTOS'!$G$6:$G$2005,$B131,'LANÇAMENTOS'!$E$6:$E$2005,"Saída",'LANÇAMENTOS'!$Z$6:$Z$2005,MONTH(EDATE(TODAY(),2)),'LANÇAMENTOS'!$AA$6:$AA$2005,YEAR(EDATE(TODAY(),2)))&gt;0,0,$F$39)))</f>
        <v/>
      </c>
      <c r="F131" s="18">
        <f>IF($A131="",0,IF(MOD(3,IF($G$39="Mensal",1,IF($G$39="Bimestral",2,IF($G$39="Trimestral",3,IF($G$39="Semestral",6,12)))))&lt;&gt;0,0,IF(COUNTIFS('LANÇAMENTOS'!$G$6:$G$2005,$B131,'LANÇAMENTOS'!$E$6:$E$2005,"Saída",'LANÇAMENTOS'!$Z$6:$Z$2005,MONTH(EDATE(TODAY(),3)),'LANÇAMENTOS'!$AA$6:$AA$2005,YEAR(EDATE(TODAY(),3)))&gt;0,0,$F$39)))</f>
        <v/>
      </c>
      <c r="G131" s="18">
        <f>IF($A131="",0,IF(MOD(4,IF($G$39="Mensal",1,IF($G$39="Bimestral",2,IF($G$39="Trimestral",3,IF($G$39="Semestral",6,12)))))&lt;&gt;0,0,IF(COUNTIFS('LANÇAMENTOS'!$G$6:$G$2005,$B131,'LANÇAMENTOS'!$E$6:$E$2005,"Saída",'LANÇAMENTOS'!$Z$6:$Z$2005,MONTH(EDATE(TODAY(),4)),'LANÇAMENTOS'!$AA$6:$AA$2005,YEAR(EDATE(TODAY(),4)))&gt;0,0,$F$39)))</f>
        <v/>
      </c>
      <c r="H131" s="18">
        <f>IF($A131="",0,IF(MOD(5,IF($G$39="Mensal",1,IF($G$39="Bimestral",2,IF($G$39="Trimestral",3,IF($G$39="Semestral",6,12)))))&lt;&gt;0,0,IF(COUNTIFS('LANÇAMENTOS'!$G$6:$G$2005,$B131,'LANÇAMENTOS'!$E$6:$E$2005,"Saída",'LANÇAMENTOS'!$Z$6:$Z$2005,MONTH(EDATE(TODAY(),5)),'LANÇAMENTOS'!$AA$6:$AA$2005,YEAR(EDATE(TODAY(),5)))&gt;0,0,$F$39)))</f>
        <v/>
      </c>
      <c r="I131" s="18">
        <f>IF($A131="",0,IF(MOD(6,IF($G$39="Mensal",1,IF($G$39="Bimestral",2,IF($G$39="Trimestral",3,IF($G$39="Semestral",6,12)))))&lt;&gt;0,0,IF(COUNTIFS('LANÇAMENTOS'!$G$6:$G$2005,$B131,'LANÇAMENTOS'!$E$6:$E$2005,"Saída",'LANÇAMENTOS'!$Z$6:$Z$2005,MONTH(EDATE(TODAY(),6)),'LANÇAMENTOS'!$AA$6:$AA$2005,YEAR(EDATE(TODAY(),6)))&gt;0,0,$F$39)))</f>
        <v/>
      </c>
      <c r="J131" s="18">
        <f>IF($A131="",0,IF(MOD(7,IF($G$39="Mensal",1,IF($G$39="Bimestral",2,IF($G$39="Trimestral",3,IF($G$39="Semestral",6,12)))))&lt;&gt;0,0,IF(COUNTIFS('LANÇAMENTOS'!$G$6:$G$2005,$B131,'LANÇAMENTOS'!$E$6:$E$2005,"Saída",'LANÇAMENTOS'!$Z$6:$Z$2005,MONTH(EDATE(TODAY(),7)),'LANÇAMENTOS'!$AA$6:$AA$2005,YEAR(EDATE(TODAY(),7)))&gt;0,0,$F$39)))</f>
        <v/>
      </c>
      <c r="K131" s="18">
        <f>IF($A131="",0,IF(MOD(8,IF($G$39="Mensal",1,IF($G$39="Bimestral",2,IF($G$39="Trimestral",3,IF($G$39="Semestral",6,12)))))&lt;&gt;0,0,IF(COUNTIFS('LANÇAMENTOS'!$G$6:$G$2005,$B131,'LANÇAMENTOS'!$E$6:$E$2005,"Saída",'LANÇAMENTOS'!$Z$6:$Z$2005,MONTH(EDATE(TODAY(),8)),'LANÇAMENTOS'!$AA$6:$AA$2005,YEAR(EDATE(TODAY(),8)))&gt;0,0,$F$39)))</f>
        <v/>
      </c>
      <c r="L131" s="18">
        <f>IF($A131="",0,IF(MOD(9,IF($G$39="Mensal",1,IF($G$39="Bimestral",2,IF($G$39="Trimestral",3,IF($G$39="Semestral",6,12)))))&lt;&gt;0,0,IF(COUNTIFS('LANÇAMENTOS'!$G$6:$G$2005,$B131,'LANÇAMENTOS'!$E$6:$E$2005,"Saída",'LANÇAMENTOS'!$Z$6:$Z$2005,MONTH(EDATE(TODAY(),9)),'LANÇAMENTOS'!$AA$6:$AA$2005,YEAR(EDATE(TODAY(),9)))&gt;0,0,$F$39)))</f>
        <v/>
      </c>
      <c r="M131" s="18">
        <f>IF($A131="",0,IF(MOD(10,IF($G$39="Mensal",1,IF($G$39="Bimestral",2,IF($G$39="Trimestral",3,IF($G$39="Semestral",6,12)))))&lt;&gt;0,0,IF(COUNTIFS('LANÇAMENTOS'!$G$6:$G$2005,$B131,'LANÇAMENTOS'!$E$6:$E$2005,"Saída",'LANÇAMENTOS'!$Z$6:$Z$2005,MONTH(EDATE(TODAY(),10)),'LANÇAMENTOS'!$AA$6:$AA$2005,YEAR(EDATE(TODAY(),10)))&gt;0,0,$F$39)))</f>
        <v/>
      </c>
      <c r="N131" s="18">
        <f>IF($A131="",0,IF(MOD(11,IF($G$39="Mensal",1,IF($G$39="Bimestral",2,IF($G$39="Trimestral",3,IF($G$39="Semestral",6,12)))))&lt;&gt;0,0,IF(COUNTIFS('LANÇAMENTOS'!$G$6:$G$2005,$B131,'LANÇAMENTOS'!$E$6:$E$2005,"Saída",'LANÇAMENTOS'!$Z$6:$Z$2005,MONTH(EDATE(TODAY(),11)),'LANÇAMENTOS'!$AA$6:$AA$2005,YEAR(EDATE(TODAY(),11)))&gt;0,0,$F$39)))</f>
        <v/>
      </c>
    </row>
    <row r="132">
      <c r="A132" s="9">
        <f>IF(OR($A$40="",$K$40&lt;&gt;"Sim"),"",$A$40)</f>
        <v/>
      </c>
      <c r="B132" s="17">
        <f>IF($A132="","",$C$40)</f>
        <v/>
      </c>
      <c r="C132" s="18">
        <f>IF($A132="",0,IF(MOD(0,IF($G$40="Mensal",1,IF($G$40="Bimestral",2,IF($G$40="Trimestral",3,IF($G$40="Semestral",6,12)))))&lt;&gt;0,0,IF(COUNTIFS('LANÇAMENTOS'!$G$6:$G$2005,$B132,'LANÇAMENTOS'!$E$6:$E$2005,"Saída",'LANÇAMENTOS'!$Z$6:$Z$2005,MONTH(EDATE(TODAY(),0)),'LANÇAMENTOS'!$AA$6:$AA$2005,YEAR(EDATE(TODAY(),0)))&gt;0,0,$F$40)))</f>
        <v/>
      </c>
      <c r="D132" s="18">
        <f>IF($A132="",0,IF(MOD(1,IF($G$40="Mensal",1,IF($G$40="Bimestral",2,IF($G$40="Trimestral",3,IF($G$40="Semestral",6,12)))))&lt;&gt;0,0,IF(COUNTIFS('LANÇAMENTOS'!$G$6:$G$2005,$B132,'LANÇAMENTOS'!$E$6:$E$2005,"Saída",'LANÇAMENTOS'!$Z$6:$Z$2005,MONTH(EDATE(TODAY(),1)),'LANÇAMENTOS'!$AA$6:$AA$2005,YEAR(EDATE(TODAY(),1)))&gt;0,0,$F$40)))</f>
        <v/>
      </c>
      <c r="E132" s="18">
        <f>IF($A132="",0,IF(MOD(2,IF($G$40="Mensal",1,IF($G$40="Bimestral",2,IF($G$40="Trimestral",3,IF($G$40="Semestral",6,12)))))&lt;&gt;0,0,IF(COUNTIFS('LANÇAMENTOS'!$G$6:$G$2005,$B132,'LANÇAMENTOS'!$E$6:$E$2005,"Saída",'LANÇAMENTOS'!$Z$6:$Z$2005,MONTH(EDATE(TODAY(),2)),'LANÇAMENTOS'!$AA$6:$AA$2005,YEAR(EDATE(TODAY(),2)))&gt;0,0,$F$40)))</f>
        <v/>
      </c>
      <c r="F132" s="18">
        <f>IF($A132="",0,IF(MOD(3,IF($G$40="Mensal",1,IF($G$40="Bimestral",2,IF($G$40="Trimestral",3,IF($G$40="Semestral",6,12)))))&lt;&gt;0,0,IF(COUNTIFS('LANÇAMENTOS'!$G$6:$G$2005,$B132,'LANÇAMENTOS'!$E$6:$E$2005,"Saída",'LANÇAMENTOS'!$Z$6:$Z$2005,MONTH(EDATE(TODAY(),3)),'LANÇAMENTOS'!$AA$6:$AA$2005,YEAR(EDATE(TODAY(),3)))&gt;0,0,$F$40)))</f>
        <v/>
      </c>
      <c r="G132" s="18">
        <f>IF($A132="",0,IF(MOD(4,IF($G$40="Mensal",1,IF($G$40="Bimestral",2,IF($G$40="Trimestral",3,IF($G$40="Semestral",6,12)))))&lt;&gt;0,0,IF(COUNTIFS('LANÇAMENTOS'!$G$6:$G$2005,$B132,'LANÇAMENTOS'!$E$6:$E$2005,"Saída",'LANÇAMENTOS'!$Z$6:$Z$2005,MONTH(EDATE(TODAY(),4)),'LANÇAMENTOS'!$AA$6:$AA$2005,YEAR(EDATE(TODAY(),4)))&gt;0,0,$F$40)))</f>
        <v/>
      </c>
      <c r="H132" s="18">
        <f>IF($A132="",0,IF(MOD(5,IF($G$40="Mensal",1,IF($G$40="Bimestral",2,IF($G$40="Trimestral",3,IF($G$40="Semestral",6,12)))))&lt;&gt;0,0,IF(COUNTIFS('LANÇAMENTOS'!$G$6:$G$2005,$B132,'LANÇAMENTOS'!$E$6:$E$2005,"Saída",'LANÇAMENTOS'!$Z$6:$Z$2005,MONTH(EDATE(TODAY(),5)),'LANÇAMENTOS'!$AA$6:$AA$2005,YEAR(EDATE(TODAY(),5)))&gt;0,0,$F$40)))</f>
        <v/>
      </c>
      <c r="I132" s="18">
        <f>IF($A132="",0,IF(MOD(6,IF($G$40="Mensal",1,IF($G$40="Bimestral",2,IF($G$40="Trimestral",3,IF($G$40="Semestral",6,12)))))&lt;&gt;0,0,IF(COUNTIFS('LANÇAMENTOS'!$G$6:$G$2005,$B132,'LANÇAMENTOS'!$E$6:$E$2005,"Saída",'LANÇAMENTOS'!$Z$6:$Z$2005,MONTH(EDATE(TODAY(),6)),'LANÇAMENTOS'!$AA$6:$AA$2005,YEAR(EDATE(TODAY(),6)))&gt;0,0,$F$40)))</f>
        <v/>
      </c>
      <c r="J132" s="18">
        <f>IF($A132="",0,IF(MOD(7,IF($G$40="Mensal",1,IF($G$40="Bimestral",2,IF($G$40="Trimestral",3,IF($G$40="Semestral",6,12)))))&lt;&gt;0,0,IF(COUNTIFS('LANÇAMENTOS'!$G$6:$G$2005,$B132,'LANÇAMENTOS'!$E$6:$E$2005,"Saída",'LANÇAMENTOS'!$Z$6:$Z$2005,MONTH(EDATE(TODAY(),7)),'LANÇAMENTOS'!$AA$6:$AA$2005,YEAR(EDATE(TODAY(),7)))&gt;0,0,$F$40)))</f>
        <v/>
      </c>
      <c r="K132" s="18">
        <f>IF($A132="",0,IF(MOD(8,IF($G$40="Mensal",1,IF($G$40="Bimestral",2,IF($G$40="Trimestral",3,IF($G$40="Semestral",6,12)))))&lt;&gt;0,0,IF(COUNTIFS('LANÇAMENTOS'!$G$6:$G$2005,$B132,'LANÇAMENTOS'!$E$6:$E$2005,"Saída",'LANÇAMENTOS'!$Z$6:$Z$2005,MONTH(EDATE(TODAY(),8)),'LANÇAMENTOS'!$AA$6:$AA$2005,YEAR(EDATE(TODAY(),8)))&gt;0,0,$F$40)))</f>
        <v/>
      </c>
      <c r="L132" s="18">
        <f>IF($A132="",0,IF(MOD(9,IF($G$40="Mensal",1,IF($G$40="Bimestral",2,IF($G$40="Trimestral",3,IF($G$40="Semestral",6,12)))))&lt;&gt;0,0,IF(COUNTIFS('LANÇAMENTOS'!$G$6:$G$2005,$B132,'LANÇAMENTOS'!$E$6:$E$2005,"Saída",'LANÇAMENTOS'!$Z$6:$Z$2005,MONTH(EDATE(TODAY(),9)),'LANÇAMENTOS'!$AA$6:$AA$2005,YEAR(EDATE(TODAY(),9)))&gt;0,0,$F$40)))</f>
        <v/>
      </c>
      <c r="M132" s="18">
        <f>IF($A132="",0,IF(MOD(10,IF($G$40="Mensal",1,IF($G$40="Bimestral",2,IF($G$40="Trimestral",3,IF($G$40="Semestral",6,12)))))&lt;&gt;0,0,IF(COUNTIFS('LANÇAMENTOS'!$G$6:$G$2005,$B132,'LANÇAMENTOS'!$E$6:$E$2005,"Saída",'LANÇAMENTOS'!$Z$6:$Z$2005,MONTH(EDATE(TODAY(),10)),'LANÇAMENTOS'!$AA$6:$AA$2005,YEAR(EDATE(TODAY(),10)))&gt;0,0,$F$40)))</f>
        <v/>
      </c>
      <c r="N132" s="18">
        <f>IF($A132="",0,IF(MOD(11,IF($G$40="Mensal",1,IF($G$40="Bimestral",2,IF($G$40="Trimestral",3,IF($G$40="Semestral",6,12)))))&lt;&gt;0,0,IF(COUNTIFS('LANÇAMENTOS'!$G$6:$G$2005,$B132,'LANÇAMENTOS'!$E$6:$E$2005,"Saída",'LANÇAMENTOS'!$Z$6:$Z$2005,MONTH(EDATE(TODAY(),11)),'LANÇAMENTOS'!$AA$6:$AA$2005,YEAR(EDATE(TODAY(),11)))&gt;0,0,$F$40)))</f>
        <v/>
      </c>
    </row>
    <row r="133">
      <c r="A133" s="9">
        <f>IF(OR($A$41="",$K$41&lt;&gt;"Sim"),"",$A$41)</f>
        <v/>
      </c>
      <c r="B133" s="17">
        <f>IF($A133="","",$C$41)</f>
        <v/>
      </c>
      <c r="C133" s="18">
        <f>IF($A133="",0,IF(MOD(0,IF($G$41="Mensal",1,IF($G$41="Bimestral",2,IF($G$41="Trimestral",3,IF($G$41="Semestral",6,12)))))&lt;&gt;0,0,IF(COUNTIFS('LANÇAMENTOS'!$G$6:$G$2005,$B133,'LANÇAMENTOS'!$E$6:$E$2005,"Saída",'LANÇAMENTOS'!$Z$6:$Z$2005,MONTH(EDATE(TODAY(),0)),'LANÇAMENTOS'!$AA$6:$AA$2005,YEAR(EDATE(TODAY(),0)))&gt;0,0,$F$41)))</f>
        <v/>
      </c>
      <c r="D133" s="18">
        <f>IF($A133="",0,IF(MOD(1,IF($G$41="Mensal",1,IF($G$41="Bimestral",2,IF($G$41="Trimestral",3,IF($G$41="Semestral",6,12)))))&lt;&gt;0,0,IF(COUNTIFS('LANÇAMENTOS'!$G$6:$G$2005,$B133,'LANÇAMENTOS'!$E$6:$E$2005,"Saída",'LANÇAMENTOS'!$Z$6:$Z$2005,MONTH(EDATE(TODAY(),1)),'LANÇAMENTOS'!$AA$6:$AA$2005,YEAR(EDATE(TODAY(),1)))&gt;0,0,$F$41)))</f>
        <v/>
      </c>
      <c r="E133" s="18">
        <f>IF($A133="",0,IF(MOD(2,IF($G$41="Mensal",1,IF($G$41="Bimestral",2,IF($G$41="Trimestral",3,IF($G$41="Semestral",6,12)))))&lt;&gt;0,0,IF(COUNTIFS('LANÇAMENTOS'!$G$6:$G$2005,$B133,'LANÇAMENTOS'!$E$6:$E$2005,"Saída",'LANÇAMENTOS'!$Z$6:$Z$2005,MONTH(EDATE(TODAY(),2)),'LANÇAMENTOS'!$AA$6:$AA$2005,YEAR(EDATE(TODAY(),2)))&gt;0,0,$F$41)))</f>
        <v/>
      </c>
      <c r="F133" s="18">
        <f>IF($A133="",0,IF(MOD(3,IF($G$41="Mensal",1,IF($G$41="Bimestral",2,IF($G$41="Trimestral",3,IF($G$41="Semestral",6,12)))))&lt;&gt;0,0,IF(COUNTIFS('LANÇAMENTOS'!$G$6:$G$2005,$B133,'LANÇAMENTOS'!$E$6:$E$2005,"Saída",'LANÇAMENTOS'!$Z$6:$Z$2005,MONTH(EDATE(TODAY(),3)),'LANÇAMENTOS'!$AA$6:$AA$2005,YEAR(EDATE(TODAY(),3)))&gt;0,0,$F$41)))</f>
        <v/>
      </c>
      <c r="G133" s="18">
        <f>IF($A133="",0,IF(MOD(4,IF($G$41="Mensal",1,IF($G$41="Bimestral",2,IF($G$41="Trimestral",3,IF($G$41="Semestral",6,12)))))&lt;&gt;0,0,IF(COUNTIFS('LANÇAMENTOS'!$G$6:$G$2005,$B133,'LANÇAMENTOS'!$E$6:$E$2005,"Saída",'LANÇAMENTOS'!$Z$6:$Z$2005,MONTH(EDATE(TODAY(),4)),'LANÇAMENTOS'!$AA$6:$AA$2005,YEAR(EDATE(TODAY(),4)))&gt;0,0,$F$41)))</f>
        <v/>
      </c>
      <c r="H133" s="18">
        <f>IF($A133="",0,IF(MOD(5,IF($G$41="Mensal",1,IF($G$41="Bimestral",2,IF($G$41="Trimestral",3,IF($G$41="Semestral",6,12)))))&lt;&gt;0,0,IF(COUNTIFS('LANÇAMENTOS'!$G$6:$G$2005,$B133,'LANÇAMENTOS'!$E$6:$E$2005,"Saída",'LANÇAMENTOS'!$Z$6:$Z$2005,MONTH(EDATE(TODAY(),5)),'LANÇAMENTOS'!$AA$6:$AA$2005,YEAR(EDATE(TODAY(),5)))&gt;0,0,$F$41)))</f>
        <v/>
      </c>
      <c r="I133" s="18">
        <f>IF($A133="",0,IF(MOD(6,IF($G$41="Mensal",1,IF($G$41="Bimestral",2,IF($G$41="Trimestral",3,IF($G$41="Semestral",6,12)))))&lt;&gt;0,0,IF(COUNTIFS('LANÇAMENTOS'!$G$6:$G$2005,$B133,'LANÇAMENTOS'!$E$6:$E$2005,"Saída",'LANÇAMENTOS'!$Z$6:$Z$2005,MONTH(EDATE(TODAY(),6)),'LANÇAMENTOS'!$AA$6:$AA$2005,YEAR(EDATE(TODAY(),6)))&gt;0,0,$F$41)))</f>
        <v/>
      </c>
      <c r="J133" s="18">
        <f>IF($A133="",0,IF(MOD(7,IF($G$41="Mensal",1,IF($G$41="Bimestral",2,IF($G$41="Trimestral",3,IF($G$41="Semestral",6,12)))))&lt;&gt;0,0,IF(COUNTIFS('LANÇAMENTOS'!$G$6:$G$2005,$B133,'LANÇAMENTOS'!$E$6:$E$2005,"Saída",'LANÇAMENTOS'!$Z$6:$Z$2005,MONTH(EDATE(TODAY(),7)),'LANÇAMENTOS'!$AA$6:$AA$2005,YEAR(EDATE(TODAY(),7)))&gt;0,0,$F$41)))</f>
        <v/>
      </c>
      <c r="K133" s="18">
        <f>IF($A133="",0,IF(MOD(8,IF($G$41="Mensal",1,IF($G$41="Bimestral",2,IF($G$41="Trimestral",3,IF($G$41="Semestral",6,12)))))&lt;&gt;0,0,IF(COUNTIFS('LANÇAMENTOS'!$G$6:$G$2005,$B133,'LANÇAMENTOS'!$E$6:$E$2005,"Saída",'LANÇAMENTOS'!$Z$6:$Z$2005,MONTH(EDATE(TODAY(),8)),'LANÇAMENTOS'!$AA$6:$AA$2005,YEAR(EDATE(TODAY(),8)))&gt;0,0,$F$41)))</f>
        <v/>
      </c>
      <c r="L133" s="18">
        <f>IF($A133="",0,IF(MOD(9,IF($G$41="Mensal",1,IF($G$41="Bimestral",2,IF($G$41="Trimestral",3,IF($G$41="Semestral",6,12)))))&lt;&gt;0,0,IF(COUNTIFS('LANÇAMENTOS'!$G$6:$G$2005,$B133,'LANÇAMENTOS'!$E$6:$E$2005,"Saída",'LANÇAMENTOS'!$Z$6:$Z$2005,MONTH(EDATE(TODAY(),9)),'LANÇAMENTOS'!$AA$6:$AA$2005,YEAR(EDATE(TODAY(),9)))&gt;0,0,$F$41)))</f>
        <v/>
      </c>
      <c r="M133" s="18">
        <f>IF($A133="",0,IF(MOD(10,IF($G$41="Mensal",1,IF($G$41="Bimestral",2,IF($G$41="Trimestral",3,IF($G$41="Semestral",6,12)))))&lt;&gt;0,0,IF(COUNTIFS('LANÇAMENTOS'!$G$6:$G$2005,$B133,'LANÇAMENTOS'!$E$6:$E$2005,"Saída",'LANÇAMENTOS'!$Z$6:$Z$2005,MONTH(EDATE(TODAY(),10)),'LANÇAMENTOS'!$AA$6:$AA$2005,YEAR(EDATE(TODAY(),10)))&gt;0,0,$F$41)))</f>
        <v/>
      </c>
      <c r="N133" s="18">
        <f>IF($A133="",0,IF(MOD(11,IF($G$41="Mensal",1,IF($G$41="Bimestral",2,IF($G$41="Trimestral",3,IF($G$41="Semestral",6,12)))))&lt;&gt;0,0,IF(COUNTIFS('LANÇAMENTOS'!$G$6:$G$2005,$B133,'LANÇAMENTOS'!$E$6:$E$2005,"Saída",'LANÇAMENTOS'!$Z$6:$Z$2005,MONTH(EDATE(TODAY(),11)),'LANÇAMENTOS'!$AA$6:$AA$2005,YEAR(EDATE(TODAY(),11)))&gt;0,0,$F$41)))</f>
        <v/>
      </c>
    </row>
    <row r="134">
      <c r="A134" s="9">
        <f>IF(OR($A$42="",$K$42&lt;&gt;"Sim"),"",$A$42)</f>
        <v/>
      </c>
      <c r="B134" s="17">
        <f>IF($A134="","",$C$42)</f>
        <v/>
      </c>
      <c r="C134" s="18">
        <f>IF($A134="",0,IF(MOD(0,IF($G$42="Mensal",1,IF($G$42="Bimestral",2,IF($G$42="Trimestral",3,IF($G$42="Semestral",6,12)))))&lt;&gt;0,0,IF(COUNTIFS('LANÇAMENTOS'!$G$6:$G$2005,$B134,'LANÇAMENTOS'!$E$6:$E$2005,"Saída",'LANÇAMENTOS'!$Z$6:$Z$2005,MONTH(EDATE(TODAY(),0)),'LANÇAMENTOS'!$AA$6:$AA$2005,YEAR(EDATE(TODAY(),0)))&gt;0,0,$F$42)))</f>
        <v/>
      </c>
      <c r="D134" s="18">
        <f>IF($A134="",0,IF(MOD(1,IF($G$42="Mensal",1,IF($G$42="Bimestral",2,IF($G$42="Trimestral",3,IF($G$42="Semestral",6,12)))))&lt;&gt;0,0,IF(COUNTIFS('LANÇAMENTOS'!$G$6:$G$2005,$B134,'LANÇAMENTOS'!$E$6:$E$2005,"Saída",'LANÇAMENTOS'!$Z$6:$Z$2005,MONTH(EDATE(TODAY(),1)),'LANÇAMENTOS'!$AA$6:$AA$2005,YEAR(EDATE(TODAY(),1)))&gt;0,0,$F$42)))</f>
        <v/>
      </c>
      <c r="E134" s="18">
        <f>IF($A134="",0,IF(MOD(2,IF($G$42="Mensal",1,IF($G$42="Bimestral",2,IF($G$42="Trimestral",3,IF($G$42="Semestral",6,12)))))&lt;&gt;0,0,IF(COUNTIFS('LANÇAMENTOS'!$G$6:$G$2005,$B134,'LANÇAMENTOS'!$E$6:$E$2005,"Saída",'LANÇAMENTOS'!$Z$6:$Z$2005,MONTH(EDATE(TODAY(),2)),'LANÇAMENTOS'!$AA$6:$AA$2005,YEAR(EDATE(TODAY(),2)))&gt;0,0,$F$42)))</f>
        <v/>
      </c>
      <c r="F134" s="18">
        <f>IF($A134="",0,IF(MOD(3,IF($G$42="Mensal",1,IF($G$42="Bimestral",2,IF($G$42="Trimestral",3,IF($G$42="Semestral",6,12)))))&lt;&gt;0,0,IF(COUNTIFS('LANÇAMENTOS'!$G$6:$G$2005,$B134,'LANÇAMENTOS'!$E$6:$E$2005,"Saída",'LANÇAMENTOS'!$Z$6:$Z$2005,MONTH(EDATE(TODAY(),3)),'LANÇAMENTOS'!$AA$6:$AA$2005,YEAR(EDATE(TODAY(),3)))&gt;0,0,$F$42)))</f>
        <v/>
      </c>
      <c r="G134" s="18">
        <f>IF($A134="",0,IF(MOD(4,IF($G$42="Mensal",1,IF($G$42="Bimestral",2,IF($G$42="Trimestral",3,IF($G$42="Semestral",6,12)))))&lt;&gt;0,0,IF(COUNTIFS('LANÇAMENTOS'!$G$6:$G$2005,$B134,'LANÇAMENTOS'!$E$6:$E$2005,"Saída",'LANÇAMENTOS'!$Z$6:$Z$2005,MONTH(EDATE(TODAY(),4)),'LANÇAMENTOS'!$AA$6:$AA$2005,YEAR(EDATE(TODAY(),4)))&gt;0,0,$F$42)))</f>
        <v/>
      </c>
      <c r="H134" s="18">
        <f>IF($A134="",0,IF(MOD(5,IF($G$42="Mensal",1,IF($G$42="Bimestral",2,IF($G$42="Trimestral",3,IF($G$42="Semestral",6,12)))))&lt;&gt;0,0,IF(COUNTIFS('LANÇAMENTOS'!$G$6:$G$2005,$B134,'LANÇAMENTOS'!$E$6:$E$2005,"Saída",'LANÇAMENTOS'!$Z$6:$Z$2005,MONTH(EDATE(TODAY(),5)),'LANÇAMENTOS'!$AA$6:$AA$2005,YEAR(EDATE(TODAY(),5)))&gt;0,0,$F$42)))</f>
        <v/>
      </c>
      <c r="I134" s="18">
        <f>IF($A134="",0,IF(MOD(6,IF($G$42="Mensal",1,IF($G$42="Bimestral",2,IF($G$42="Trimestral",3,IF($G$42="Semestral",6,12)))))&lt;&gt;0,0,IF(COUNTIFS('LANÇAMENTOS'!$G$6:$G$2005,$B134,'LANÇAMENTOS'!$E$6:$E$2005,"Saída",'LANÇAMENTOS'!$Z$6:$Z$2005,MONTH(EDATE(TODAY(),6)),'LANÇAMENTOS'!$AA$6:$AA$2005,YEAR(EDATE(TODAY(),6)))&gt;0,0,$F$42)))</f>
        <v/>
      </c>
      <c r="J134" s="18">
        <f>IF($A134="",0,IF(MOD(7,IF($G$42="Mensal",1,IF($G$42="Bimestral",2,IF($G$42="Trimestral",3,IF($G$42="Semestral",6,12)))))&lt;&gt;0,0,IF(COUNTIFS('LANÇAMENTOS'!$G$6:$G$2005,$B134,'LANÇAMENTOS'!$E$6:$E$2005,"Saída",'LANÇAMENTOS'!$Z$6:$Z$2005,MONTH(EDATE(TODAY(),7)),'LANÇAMENTOS'!$AA$6:$AA$2005,YEAR(EDATE(TODAY(),7)))&gt;0,0,$F$42)))</f>
        <v/>
      </c>
      <c r="K134" s="18">
        <f>IF($A134="",0,IF(MOD(8,IF($G$42="Mensal",1,IF($G$42="Bimestral",2,IF($G$42="Trimestral",3,IF($G$42="Semestral",6,12)))))&lt;&gt;0,0,IF(COUNTIFS('LANÇAMENTOS'!$G$6:$G$2005,$B134,'LANÇAMENTOS'!$E$6:$E$2005,"Saída",'LANÇAMENTOS'!$Z$6:$Z$2005,MONTH(EDATE(TODAY(),8)),'LANÇAMENTOS'!$AA$6:$AA$2005,YEAR(EDATE(TODAY(),8)))&gt;0,0,$F$42)))</f>
        <v/>
      </c>
      <c r="L134" s="18">
        <f>IF($A134="",0,IF(MOD(9,IF($G$42="Mensal",1,IF($G$42="Bimestral",2,IF($G$42="Trimestral",3,IF($G$42="Semestral",6,12)))))&lt;&gt;0,0,IF(COUNTIFS('LANÇAMENTOS'!$G$6:$G$2005,$B134,'LANÇAMENTOS'!$E$6:$E$2005,"Saída",'LANÇAMENTOS'!$Z$6:$Z$2005,MONTH(EDATE(TODAY(),9)),'LANÇAMENTOS'!$AA$6:$AA$2005,YEAR(EDATE(TODAY(),9)))&gt;0,0,$F$42)))</f>
        <v/>
      </c>
      <c r="M134" s="18">
        <f>IF($A134="",0,IF(MOD(10,IF($G$42="Mensal",1,IF($G$42="Bimestral",2,IF($G$42="Trimestral",3,IF($G$42="Semestral",6,12)))))&lt;&gt;0,0,IF(COUNTIFS('LANÇAMENTOS'!$G$6:$G$2005,$B134,'LANÇAMENTOS'!$E$6:$E$2005,"Saída",'LANÇAMENTOS'!$Z$6:$Z$2005,MONTH(EDATE(TODAY(),10)),'LANÇAMENTOS'!$AA$6:$AA$2005,YEAR(EDATE(TODAY(),10)))&gt;0,0,$F$42)))</f>
        <v/>
      </c>
      <c r="N134" s="18">
        <f>IF($A134="",0,IF(MOD(11,IF($G$42="Mensal",1,IF($G$42="Bimestral",2,IF($G$42="Trimestral",3,IF($G$42="Semestral",6,12)))))&lt;&gt;0,0,IF(COUNTIFS('LANÇAMENTOS'!$G$6:$G$2005,$B134,'LANÇAMENTOS'!$E$6:$E$2005,"Saída",'LANÇAMENTOS'!$Z$6:$Z$2005,MONTH(EDATE(TODAY(),11)),'LANÇAMENTOS'!$AA$6:$AA$2005,YEAR(EDATE(TODAY(),11)))&gt;0,0,$F$42)))</f>
        <v/>
      </c>
    </row>
    <row r="135">
      <c r="A135" s="9">
        <f>IF(OR($A$43="",$K$43&lt;&gt;"Sim"),"",$A$43)</f>
        <v/>
      </c>
      <c r="B135" s="17">
        <f>IF($A135="","",$C$43)</f>
        <v/>
      </c>
      <c r="C135" s="18">
        <f>IF($A135="",0,IF(MOD(0,IF($G$43="Mensal",1,IF($G$43="Bimestral",2,IF($G$43="Trimestral",3,IF($G$43="Semestral",6,12)))))&lt;&gt;0,0,IF(COUNTIFS('LANÇAMENTOS'!$G$6:$G$2005,$B135,'LANÇAMENTOS'!$E$6:$E$2005,"Saída",'LANÇAMENTOS'!$Z$6:$Z$2005,MONTH(EDATE(TODAY(),0)),'LANÇAMENTOS'!$AA$6:$AA$2005,YEAR(EDATE(TODAY(),0)))&gt;0,0,$F$43)))</f>
        <v/>
      </c>
      <c r="D135" s="18">
        <f>IF($A135="",0,IF(MOD(1,IF($G$43="Mensal",1,IF($G$43="Bimestral",2,IF($G$43="Trimestral",3,IF($G$43="Semestral",6,12)))))&lt;&gt;0,0,IF(COUNTIFS('LANÇAMENTOS'!$G$6:$G$2005,$B135,'LANÇAMENTOS'!$E$6:$E$2005,"Saída",'LANÇAMENTOS'!$Z$6:$Z$2005,MONTH(EDATE(TODAY(),1)),'LANÇAMENTOS'!$AA$6:$AA$2005,YEAR(EDATE(TODAY(),1)))&gt;0,0,$F$43)))</f>
        <v/>
      </c>
      <c r="E135" s="18">
        <f>IF($A135="",0,IF(MOD(2,IF($G$43="Mensal",1,IF($G$43="Bimestral",2,IF($G$43="Trimestral",3,IF($G$43="Semestral",6,12)))))&lt;&gt;0,0,IF(COUNTIFS('LANÇAMENTOS'!$G$6:$G$2005,$B135,'LANÇAMENTOS'!$E$6:$E$2005,"Saída",'LANÇAMENTOS'!$Z$6:$Z$2005,MONTH(EDATE(TODAY(),2)),'LANÇAMENTOS'!$AA$6:$AA$2005,YEAR(EDATE(TODAY(),2)))&gt;0,0,$F$43)))</f>
        <v/>
      </c>
      <c r="F135" s="18">
        <f>IF($A135="",0,IF(MOD(3,IF($G$43="Mensal",1,IF($G$43="Bimestral",2,IF($G$43="Trimestral",3,IF($G$43="Semestral",6,12)))))&lt;&gt;0,0,IF(COUNTIFS('LANÇAMENTOS'!$G$6:$G$2005,$B135,'LANÇAMENTOS'!$E$6:$E$2005,"Saída",'LANÇAMENTOS'!$Z$6:$Z$2005,MONTH(EDATE(TODAY(),3)),'LANÇAMENTOS'!$AA$6:$AA$2005,YEAR(EDATE(TODAY(),3)))&gt;0,0,$F$43)))</f>
        <v/>
      </c>
      <c r="G135" s="18">
        <f>IF($A135="",0,IF(MOD(4,IF($G$43="Mensal",1,IF($G$43="Bimestral",2,IF($G$43="Trimestral",3,IF($G$43="Semestral",6,12)))))&lt;&gt;0,0,IF(COUNTIFS('LANÇAMENTOS'!$G$6:$G$2005,$B135,'LANÇAMENTOS'!$E$6:$E$2005,"Saída",'LANÇAMENTOS'!$Z$6:$Z$2005,MONTH(EDATE(TODAY(),4)),'LANÇAMENTOS'!$AA$6:$AA$2005,YEAR(EDATE(TODAY(),4)))&gt;0,0,$F$43)))</f>
        <v/>
      </c>
      <c r="H135" s="18">
        <f>IF($A135="",0,IF(MOD(5,IF($G$43="Mensal",1,IF($G$43="Bimestral",2,IF($G$43="Trimestral",3,IF($G$43="Semestral",6,12)))))&lt;&gt;0,0,IF(COUNTIFS('LANÇAMENTOS'!$G$6:$G$2005,$B135,'LANÇAMENTOS'!$E$6:$E$2005,"Saída",'LANÇAMENTOS'!$Z$6:$Z$2005,MONTH(EDATE(TODAY(),5)),'LANÇAMENTOS'!$AA$6:$AA$2005,YEAR(EDATE(TODAY(),5)))&gt;0,0,$F$43)))</f>
        <v/>
      </c>
      <c r="I135" s="18">
        <f>IF($A135="",0,IF(MOD(6,IF($G$43="Mensal",1,IF($G$43="Bimestral",2,IF($G$43="Trimestral",3,IF($G$43="Semestral",6,12)))))&lt;&gt;0,0,IF(COUNTIFS('LANÇAMENTOS'!$G$6:$G$2005,$B135,'LANÇAMENTOS'!$E$6:$E$2005,"Saída",'LANÇAMENTOS'!$Z$6:$Z$2005,MONTH(EDATE(TODAY(),6)),'LANÇAMENTOS'!$AA$6:$AA$2005,YEAR(EDATE(TODAY(),6)))&gt;0,0,$F$43)))</f>
        <v/>
      </c>
      <c r="J135" s="18">
        <f>IF($A135="",0,IF(MOD(7,IF($G$43="Mensal",1,IF($G$43="Bimestral",2,IF($G$43="Trimestral",3,IF($G$43="Semestral",6,12)))))&lt;&gt;0,0,IF(COUNTIFS('LANÇAMENTOS'!$G$6:$G$2005,$B135,'LANÇAMENTOS'!$E$6:$E$2005,"Saída",'LANÇAMENTOS'!$Z$6:$Z$2005,MONTH(EDATE(TODAY(),7)),'LANÇAMENTOS'!$AA$6:$AA$2005,YEAR(EDATE(TODAY(),7)))&gt;0,0,$F$43)))</f>
        <v/>
      </c>
      <c r="K135" s="18">
        <f>IF($A135="",0,IF(MOD(8,IF($G$43="Mensal",1,IF($G$43="Bimestral",2,IF($G$43="Trimestral",3,IF($G$43="Semestral",6,12)))))&lt;&gt;0,0,IF(COUNTIFS('LANÇAMENTOS'!$G$6:$G$2005,$B135,'LANÇAMENTOS'!$E$6:$E$2005,"Saída",'LANÇAMENTOS'!$Z$6:$Z$2005,MONTH(EDATE(TODAY(),8)),'LANÇAMENTOS'!$AA$6:$AA$2005,YEAR(EDATE(TODAY(),8)))&gt;0,0,$F$43)))</f>
        <v/>
      </c>
      <c r="L135" s="18">
        <f>IF($A135="",0,IF(MOD(9,IF($G$43="Mensal",1,IF($G$43="Bimestral",2,IF($G$43="Trimestral",3,IF($G$43="Semestral",6,12)))))&lt;&gt;0,0,IF(COUNTIFS('LANÇAMENTOS'!$G$6:$G$2005,$B135,'LANÇAMENTOS'!$E$6:$E$2005,"Saída",'LANÇAMENTOS'!$Z$6:$Z$2005,MONTH(EDATE(TODAY(),9)),'LANÇAMENTOS'!$AA$6:$AA$2005,YEAR(EDATE(TODAY(),9)))&gt;0,0,$F$43)))</f>
        <v/>
      </c>
      <c r="M135" s="18">
        <f>IF($A135="",0,IF(MOD(10,IF($G$43="Mensal",1,IF($G$43="Bimestral",2,IF($G$43="Trimestral",3,IF($G$43="Semestral",6,12)))))&lt;&gt;0,0,IF(COUNTIFS('LANÇAMENTOS'!$G$6:$G$2005,$B135,'LANÇAMENTOS'!$E$6:$E$2005,"Saída",'LANÇAMENTOS'!$Z$6:$Z$2005,MONTH(EDATE(TODAY(),10)),'LANÇAMENTOS'!$AA$6:$AA$2005,YEAR(EDATE(TODAY(),10)))&gt;0,0,$F$43)))</f>
        <v/>
      </c>
      <c r="N135" s="18">
        <f>IF($A135="",0,IF(MOD(11,IF($G$43="Mensal",1,IF($G$43="Bimestral",2,IF($G$43="Trimestral",3,IF($G$43="Semestral",6,12)))))&lt;&gt;0,0,IF(COUNTIFS('LANÇAMENTOS'!$G$6:$G$2005,$B135,'LANÇAMENTOS'!$E$6:$E$2005,"Saída",'LANÇAMENTOS'!$Z$6:$Z$2005,MONTH(EDATE(TODAY(),11)),'LANÇAMENTOS'!$AA$6:$AA$2005,YEAR(EDATE(TODAY(),11)))&gt;0,0,$F$43)))</f>
        <v/>
      </c>
    </row>
    <row r="136">
      <c r="A136" s="9">
        <f>IF(OR($A$44="",$K$44&lt;&gt;"Sim"),"",$A$44)</f>
        <v/>
      </c>
      <c r="B136" s="17">
        <f>IF($A136="","",$C$44)</f>
        <v/>
      </c>
      <c r="C136" s="18">
        <f>IF($A136="",0,IF(MOD(0,IF($G$44="Mensal",1,IF($G$44="Bimestral",2,IF($G$44="Trimestral",3,IF($G$44="Semestral",6,12)))))&lt;&gt;0,0,IF(COUNTIFS('LANÇAMENTOS'!$G$6:$G$2005,$B136,'LANÇAMENTOS'!$E$6:$E$2005,"Saída",'LANÇAMENTOS'!$Z$6:$Z$2005,MONTH(EDATE(TODAY(),0)),'LANÇAMENTOS'!$AA$6:$AA$2005,YEAR(EDATE(TODAY(),0)))&gt;0,0,$F$44)))</f>
        <v/>
      </c>
      <c r="D136" s="18">
        <f>IF($A136="",0,IF(MOD(1,IF($G$44="Mensal",1,IF($G$44="Bimestral",2,IF($G$44="Trimestral",3,IF($G$44="Semestral",6,12)))))&lt;&gt;0,0,IF(COUNTIFS('LANÇAMENTOS'!$G$6:$G$2005,$B136,'LANÇAMENTOS'!$E$6:$E$2005,"Saída",'LANÇAMENTOS'!$Z$6:$Z$2005,MONTH(EDATE(TODAY(),1)),'LANÇAMENTOS'!$AA$6:$AA$2005,YEAR(EDATE(TODAY(),1)))&gt;0,0,$F$44)))</f>
        <v/>
      </c>
      <c r="E136" s="18">
        <f>IF($A136="",0,IF(MOD(2,IF($G$44="Mensal",1,IF($G$44="Bimestral",2,IF($G$44="Trimestral",3,IF($G$44="Semestral",6,12)))))&lt;&gt;0,0,IF(COUNTIFS('LANÇAMENTOS'!$G$6:$G$2005,$B136,'LANÇAMENTOS'!$E$6:$E$2005,"Saída",'LANÇAMENTOS'!$Z$6:$Z$2005,MONTH(EDATE(TODAY(),2)),'LANÇAMENTOS'!$AA$6:$AA$2005,YEAR(EDATE(TODAY(),2)))&gt;0,0,$F$44)))</f>
        <v/>
      </c>
      <c r="F136" s="18">
        <f>IF($A136="",0,IF(MOD(3,IF($G$44="Mensal",1,IF($G$44="Bimestral",2,IF($G$44="Trimestral",3,IF($G$44="Semestral",6,12)))))&lt;&gt;0,0,IF(COUNTIFS('LANÇAMENTOS'!$G$6:$G$2005,$B136,'LANÇAMENTOS'!$E$6:$E$2005,"Saída",'LANÇAMENTOS'!$Z$6:$Z$2005,MONTH(EDATE(TODAY(),3)),'LANÇAMENTOS'!$AA$6:$AA$2005,YEAR(EDATE(TODAY(),3)))&gt;0,0,$F$44)))</f>
        <v/>
      </c>
      <c r="G136" s="18">
        <f>IF($A136="",0,IF(MOD(4,IF($G$44="Mensal",1,IF($G$44="Bimestral",2,IF($G$44="Trimestral",3,IF($G$44="Semestral",6,12)))))&lt;&gt;0,0,IF(COUNTIFS('LANÇAMENTOS'!$G$6:$G$2005,$B136,'LANÇAMENTOS'!$E$6:$E$2005,"Saída",'LANÇAMENTOS'!$Z$6:$Z$2005,MONTH(EDATE(TODAY(),4)),'LANÇAMENTOS'!$AA$6:$AA$2005,YEAR(EDATE(TODAY(),4)))&gt;0,0,$F$44)))</f>
        <v/>
      </c>
      <c r="H136" s="18">
        <f>IF($A136="",0,IF(MOD(5,IF($G$44="Mensal",1,IF($G$44="Bimestral",2,IF($G$44="Trimestral",3,IF($G$44="Semestral",6,12)))))&lt;&gt;0,0,IF(COUNTIFS('LANÇAMENTOS'!$G$6:$G$2005,$B136,'LANÇAMENTOS'!$E$6:$E$2005,"Saída",'LANÇAMENTOS'!$Z$6:$Z$2005,MONTH(EDATE(TODAY(),5)),'LANÇAMENTOS'!$AA$6:$AA$2005,YEAR(EDATE(TODAY(),5)))&gt;0,0,$F$44)))</f>
        <v/>
      </c>
      <c r="I136" s="18">
        <f>IF($A136="",0,IF(MOD(6,IF($G$44="Mensal",1,IF($G$44="Bimestral",2,IF($G$44="Trimestral",3,IF($G$44="Semestral",6,12)))))&lt;&gt;0,0,IF(COUNTIFS('LANÇAMENTOS'!$G$6:$G$2005,$B136,'LANÇAMENTOS'!$E$6:$E$2005,"Saída",'LANÇAMENTOS'!$Z$6:$Z$2005,MONTH(EDATE(TODAY(),6)),'LANÇAMENTOS'!$AA$6:$AA$2005,YEAR(EDATE(TODAY(),6)))&gt;0,0,$F$44)))</f>
        <v/>
      </c>
      <c r="J136" s="18">
        <f>IF($A136="",0,IF(MOD(7,IF($G$44="Mensal",1,IF($G$44="Bimestral",2,IF($G$44="Trimestral",3,IF($G$44="Semestral",6,12)))))&lt;&gt;0,0,IF(COUNTIFS('LANÇAMENTOS'!$G$6:$G$2005,$B136,'LANÇAMENTOS'!$E$6:$E$2005,"Saída",'LANÇAMENTOS'!$Z$6:$Z$2005,MONTH(EDATE(TODAY(),7)),'LANÇAMENTOS'!$AA$6:$AA$2005,YEAR(EDATE(TODAY(),7)))&gt;0,0,$F$44)))</f>
        <v/>
      </c>
      <c r="K136" s="18">
        <f>IF($A136="",0,IF(MOD(8,IF($G$44="Mensal",1,IF($G$44="Bimestral",2,IF($G$44="Trimestral",3,IF($G$44="Semestral",6,12)))))&lt;&gt;0,0,IF(COUNTIFS('LANÇAMENTOS'!$G$6:$G$2005,$B136,'LANÇAMENTOS'!$E$6:$E$2005,"Saída",'LANÇAMENTOS'!$Z$6:$Z$2005,MONTH(EDATE(TODAY(),8)),'LANÇAMENTOS'!$AA$6:$AA$2005,YEAR(EDATE(TODAY(),8)))&gt;0,0,$F$44)))</f>
        <v/>
      </c>
      <c r="L136" s="18">
        <f>IF($A136="",0,IF(MOD(9,IF($G$44="Mensal",1,IF($G$44="Bimestral",2,IF($G$44="Trimestral",3,IF($G$44="Semestral",6,12)))))&lt;&gt;0,0,IF(COUNTIFS('LANÇAMENTOS'!$G$6:$G$2005,$B136,'LANÇAMENTOS'!$E$6:$E$2005,"Saída",'LANÇAMENTOS'!$Z$6:$Z$2005,MONTH(EDATE(TODAY(),9)),'LANÇAMENTOS'!$AA$6:$AA$2005,YEAR(EDATE(TODAY(),9)))&gt;0,0,$F$44)))</f>
        <v/>
      </c>
      <c r="M136" s="18">
        <f>IF($A136="",0,IF(MOD(10,IF($G$44="Mensal",1,IF($G$44="Bimestral",2,IF($G$44="Trimestral",3,IF($G$44="Semestral",6,12)))))&lt;&gt;0,0,IF(COUNTIFS('LANÇAMENTOS'!$G$6:$G$2005,$B136,'LANÇAMENTOS'!$E$6:$E$2005,"Saída",'LANÇAMENTOS'!$Z$6:$Z$2005,MONTH(EDATE(TODAY(),10)),'LANÇAMENTOS'!$AA$6:$AA$2005,YEAR(EDATE(TODAY(),10)))&gt;0,0,$F$44)))</f>
        <v/>
      </c>
      <c r="N136" s="18">
        <f>IF($A136="",0,IF(MOD(11,IF($G$44="Mensal",1,IF($G$44="Bimestral",2,IF($G$44="Trimestral",3,IF($G$44="Semestral",6,12)))))&lt;&gt;0,0,IF(COUNTIFS('LANÇAMENTOS'!$G$6:$G$2005,$B136,'LANÇAMENTOS'!$E$6:$E$2005,"Saída",'LANÇAMENTOS'!$Z$6:$Z$2005,MONTH(EDATE(TODAY(),11)),'LANÇAMENTOS'!$AA$6:$AA$2005,YEAR(EDATE(TODAY(),11)))&gt;0,0,$F$44)))</f>
        <v/>
      </c>
    </row>
    <row r="137">
      <c r="A137" s="37" t="inlineStr">
        <is>
          <t>TOTAL DAS RECORRENTES NO MÊS</t>
        </is>
      </c>
      <c r="B137" s="37" t="inlineStr"/>
      <c r="C137" s="38">
        <f>SUM(C98:C136)</f>
        <v/>
      </c>
      <c r="D137" s="38">
        <f>SUM(D98:D136)</f>
        <v/>
      </c>
      <c r="E137" s="38">
        <f>SUM(E98:E136)</f>
        <v/>
      </c>
      <c r="F137" s="38">
        <f>SUM(F98:F136)</f>
        <v/>
      </c>
      <c r="G137" s="38">
        <f>SUM(G98:G136)</f>
        <v/>
      </c>
      <c r="H137" s="38">
        <f>SUM(H98:H136)</f>
        <v/>
      </c>
      <c r="I137" s="38">
        <f>SUM(I98:I136)</f>
        <v/>
      </c>
      <c r="J137" s="38">
        <f>SUM(J98:J136)</f>
        <v/>
      </c>
      <c r="K137" s="38">
        <f>SUM(K98:K136)</f>
        <v/>
      </c>
      <c r="L137" s="38">
        <f>SUM(L98:L136)</f>
        <v/>
      </c>
      <c r="M137" s="38">
        <f>SUM(M98:M136)</f>
        <v/>
      </c>
      <c r="N137" s="38">
        <f>SUM(N98:N136)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6:L45"/>
  <mergeCells count="15">
    <mergeCell ref="A1:H1"/>
    <mergeCell ref="A48:B48"/>
    <mergeCell ref="G49:H49"/>
    <mergeCell ref="A53:H53"/>
    <mergeCell ref="A96:H96"/>
    <mergeCell ref="A2:H2"/>
    <mergeCell ref="A49:B49"/>
    <mergeCell ref="E49:F49"/>
    <mergeCell ref="A47:H47"/>
    <mergeCell ref="A5:H5"/>
    <mergeCell ref="C48:D48"/>
    <mergeCell ref="A3:L3"/>
    <mergeCell ref="G48:H48"/>
    <mergeCell ref="E48:F48"/>
    <mergeCell ref="C49:D49"/>
  </mergeCells>
  <conditionalFormatting sqref="F49">
    <cfRule type="expression" priority="1" dxfId="6">
      <formula>=F49&gt;0</formula>
    </cfRule>
  </conditionalFormatting>
  <conditionalFormatting sqref="L55:L93">
    <cfRule type="expression" priority="2" dxfId="4" stopIfTrue="0">
      <formula>ISNUMBER(SEARCH("✔",L55))</formula>
    </cfRule>
    <cfRule type="expression" priority="3" dxfId="3" stopIfTrue="0">
      <formula>ISNUMBER(SEARCH("Não",L55))</formula>
    </cfRule>
  </conditionalFormatting>
  <conditionalFormatting sqref="C137:N137">
    <cfRule type="dataBar" priority="4">
      <dataBar showValue="1">
        <cfvo type="num" val="0"/>
        <cfvo type="max"/>
        <color rgb="002E75B6"/>
      </dataBar>
    </cfRule>
  </conditionalFormatting>
  <dataValidations count="9">
    <dataValidation sqref="B6:B45" showDropDown="0" showInputMessage="1" showErrorMessage="1" allowBlank="1" errorTitle="Categoria inválida" error="Escolha uma categoria do plano de contas." promptTitle="Valores permitidos" prompt="Escolha uma categoria do plano de contas." type="list" errorStyle="stop">
      <formula1>SUBGRUPOS_PLANO</formula1>
    </dataValidation>
    <dataValidation sqref="C6:C45" showDropDown="0" showInputMessage="1" showErrorMessage="1" allowBlank="1" errorTitle="Subcategoria inválida" error="Escolha uma subcategoria do plano de contas." promptTitle="Valores permitidos" prompt="Escolha uma subcategoria do plano de contas." type="list" errorStyle="warning">
      <formula1>SUBCATEGORIAS_PLANO</formula1>
    </dataValidation>
    <dataValidation sqref="D6:D45" showDropDown="0" showInputMessage="1" showErrorMessage="1" allowBlank="1" errorTitle="Centro de custo inválido" error="Escolha um centro de custo cadastrado." promptTitle="Valores permitidos" prompt="Escolha um centro de custo cadastrado." type="list" errorStyle="warning">
      <formula1>CENTROS_CUSTO</formula1>
    </dataValidation>
    <dataValidation sqref="G6:G45" showDropDown="0" showInputMessage="1" showErrorMessage="1" allowBlank="1" errorTitle="Periodicidade inválida" error="Escolha Mensal, Bimestral, Trimestral, Semestral ou Anual." promptTitle="Valores permitidos" prompt="Escolha Mensal, Bimestral, Trimestral, Semestral ou Anual." type="list" errorStyle="stop">
      <formula1>PERIODICIDADE</formula1>
    </dataValidation>
    <dataValidation sqref="I6:I45" showDropDown="0" showInputMessage="1" showErrorMessage="1" allowBlank="1" errorTitle="Conta inválida" error="Escolha uma conta bancária ou cartão cadastrado." promptTitle="Valores permitidos" prompt="Escolha uma conta bancária ou cartão cadastrado." type="list" errorStyle="warning">
      <formula1>CONTAS_BANCARIAS</formula1>
    </dataValidation>
    <dataValidation sqref="J6:J45" showDropDown="0" showInputMessage="1" showErrorMessage="1" allowBlank="1" errorTitle="Forma inválida" error="Escolha uma forma de pagamento da lista." promptTitle="Valores permitidos" prompt="Escolha uma forma de pagamento da lista." type="list" errorStyle="stop">
      <formula1>FORMA_PAGAMENTO</formula1>
    </dataValidation>
    <dataValidation sqref="K6:K45" showDropDown="0" showInputMessage="1" showErrorMessage="1" allowBlank="1" errorTitle="Valor inválido" error="Use Sim ou Não." promptTitle="Valores permitidos" prompt="Use Sim ou Não." type="list" errorStyle="stop">
      <formula1>SIM_NAO</formula1>
    </dataValidation>
    <dataValidation sqref="H6:H45" showDropDown="0" showInputMessage="0" showErrorMessage="1" allowBlank="1" errorTitle="Dia inválido" error="Informe o dia do vencimento (1 a 31)." type="whole" errorStyle="stop" operator="between">
      <formula1>1</formula1>
      <formula2>31</formula2>
    </dataValidation>
    <dataValidation sqref="F6:F45" showDropDown="0" showInputMessage="0" showErrorMessage="1" allowBlank="1" errorTitle="Valor inválido" error="Informe o valor mensal da despesa." type="decimal" errorStyle="stop" operator="greaterThanOrEqual">
      <formula1>0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32"/>
  <sheetViews>
    <sheetView showGridLines="0" tabSelected="0" zoomScale="10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26" t="inlineStr">
        <is>
          <t>PROJEÇÃO DE CAIXA — 7, 15, 30, 60, 90 E 180 DIAS</t>
        </is>
      </c>
    </row>
    <row r="2">
      <c r="A2" s="27" t="inlineStr">
        <is>
          <t>Simulação do saldo de caixa no curto e médio prazo, considerando os títulos em aberto, as despesas recorrentes cadastradas e as parcelas de empréstimos.</t>
        </is>
      </c>
    </row>
    <row r="3" ht="30" customHeight="1">
      <c r="A3" s="3" t="inlineStr">
        <is>
          <t>Como ler: as entradas previstas usam os títulos a receber em aberto pela data de vencimento; as saídas usam os títulos a pagar em aberto + as despesas recorrentes ainda não lançadas. O alerta de déficit compara o saldo projetado com o saldo mínimo definido nas configurações.</t>
        </is>
      </c>
      <c r="B3" s="3" t="n"/>
      <c r="C3" s="3" t="n"/>
      <c r="D3" s="3" t="n"/>
      <c r="E3" s="3" t="n"/>
      <c r="F3" s="3" t="n"/>
      <c r="G3" s="3" t="n"/>
      <c r="H3" s="3" t="n"/>
    </row>
    <row r="5" ht="20" customHeight="1">
      <c r="A5" s="4" t="inlineStr">
        <is>
          <t>1. POSIÇÃO ATUAL</t>
        </is>
      </c>
      <c r="B5" s="4" t="n"/>
      <c r="C5" s="4" t="n"/>
      <c r="D5" s="4" t="n"/>
      <c r="E5" s="4" t="n"/>
      <c r="F5" s="4" t="n"/>
      <c r="G5" s="4" t="n"/>
      <c r="H5" s="4" t="n"/>
    </row>
    <row r="6" ht="26" customHeight="1">
      <c r="A6" s="5" t="inlineStr">
        <is>
          <t>Saldo disponível hoje</t>
        </is>
      </c>
      <c r="B6" s="5" t="n"/>
      <c r="C6" s="5" t="inlineStr">
        <is>
          <t>A receber em aberto</t>
        </is>
      </c>
      <c r="D6" s="5" t="n"/>
      <c r="E6" s="5" t="inlineStr">
        <is>
          <t>A pagar em aberto</t>
        </is>
      </c>
      <c r="F6" s="5" t="n"/>
      <c r="G6" s="5" t="inlineStr">
        <is>
          <t>Saldo mínimo exigido</t>
        </is>
      </c>
      <c r="H6" s="5" t="n"/>
    </row>
    <row r="7" ht="28" customHeight="1">
      <c r="A7" s="6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B7" s="6" t="n"/>
      <c r="C7" s="6">
        <f>SUMIFS('LANÇAMENTOS'!$W$6:$W$2005,'LANÇAMENTOS'!$E$6:$E$2005,"Entrada")</f>
        <v/>
      </c>
      <c r="D7" s="6" t="n"/>
      <c r="E7" s="6">
        <f>SUMIFS('LANÇAMENTOS'!$W$6:$W$2005,'LANÇAMENTOS'!$E$6:$E$2005,"Saída")</f>
        <v/>
      </c>
      <c r="F7" s="6" t="n"/>
      <c r="G7" s="6">
        <f>'CONFIGURAÇÕES'!$B$25</f>
        <v/>
      </c>
      <c r="H7" s="6" t="n"/>
    </row>
    <row r="9" ht="20" customHeight="1">
      <c r="A9" s="4" t="inlineStr">
        <is>
          <t>2. PROJEÇÃO POR HORIZONTE DE TEMPO</t>
        </is>
      </c>
      <c r="B9" s="4" t="n"/>
      <c r="C9" s="4" t="n"/>
      <c r="D9" s="4" t="n"/>
      <c r="E9" s="4" t="n"/>
      <c r="F9" s="4" t="n"/>
      <c r="G9" s="4" t="n"/>
      <c r="H9" s="4" t="n"/>
    </row>
    <row r="10" ht="34" customHeight="1">
      <c r="A10" s="21" t="inlineStr">
        <is>
          <t>Horizonte</t>
        </is>
      </c>
      <c r="B10" s="21" t="inlineStr">
        <is>
          <t>Entradas previstas</t>
        </is>
      </c>
      <c r="C10" s="21" t="inlineStr">
        <is>
          <t>Saídas previstas</t>
        </is>
      </c>
      <c r="D10" s="21" t="inlineStr">
        <is>
          <t>Recorrentes não lançadas</t>
        </is>
      </c>
      <c r="E10" s="21" t="inlineStr">
        <is>
          <t>Resultado do período</t>
        </is>
      </c>
      <c r="F10" s="21" t="inlineStr">
        <is>
          <t>Saldo projetado</t>
        </is>
      </c>
      <c r="G10" s="21" t="inlineStr">
        <is>
          <t>Saldo mínimo exigido</t>
        </is>
      </c>
      <c r="H10" s="21" t="inlineStr">
        <is>
          <t>Folga / déficit</t>
        </is>
      </c>
      <c r="I10" s="21" t="inlineStr">
        <is>
          <t>Situação</t>
        </is>
      </c>
    </row>
    <row r="11">
      <c r="A11" s="17">
        <f>"7 dias"</f>
        <v/>
      </c>
      <c r="B11" s="18">
        <f>SUMIFS('LANÇAMENTOS'!$W$6:$W$2005,'LANÇAMENTOS'!$E$6:$E$2005,"Entrada",'LANÇAMENTOS'!$C$6:$C$2005,"&gt;="&amp;TODAY(),'LANÇAMENTOS'!$C$6:$C$2005,"&lt;="&amp;TODAY()+7)</f>
        <v/>
      </c>
      <c r="C11" s="18">
        <f>SUMIFS('LANÇAMENTOS'!$W$6:$W$2005,'LANÇAMENTOS'!$E$6:$E$2005,"Saída",'LANÇAMENTOS'!$C$6:$C$2005,"&gt;="&amp;TODAY(),'LANÇAMENTOS'!$C$6:$C$2005,"&lt;="&amp;TODAY()+7)</f>
        <v/>
      </c>
      <c r="D11" s="18">
        <f>SUMPRODUCT(('DESPESAS RECORRENTES'!$C$97:$N$97&lt;=TODAY()+7)*('DESPESAS RECORRENTES'!$C$97:$N$97&gt;EOMONTH(TODAY(),0))*'DESPESAS RECORRENTES'!$C$137:$N$137)</f>
        <v/>
      </c>
      <c r="E11" s="18">
        <f>$B11-$C11-$D11</f>
        <v/>
      </c>
      <c r="F11" s="18">
        <f>$A$7+$E11</f>
        <v/>
      </c>
      <c r="G11" s="18">
        <f>'CONFIGURAÇÕES'!$B$25</f>
        <v/>
      </c>
      <c r="H11" s="18">
        <f>$F11-$G11</f>
        <v/>
      </c>
      <c r="I11" s="17">
        <f>IF($H11&lt;0,"🔴 Déficit de caixa projetado","🟢 Caixa suficiente no período")</f>
        <v/>
      </c>
    </row>
    <row r="12">
      <c r="A12" s="17">
        <f>"15 dias"</f>
        <v/>
      </c>
      <c r="B12" s="18">
        <f>SUMIFS('LANÇAMENTOS'!$W$6:$W$2005,'LANÇAMENTOS'!$E$6:$E$2005,"Entrada",'LANÇAMENTOS'!$C$6:$C$2005,"&gt;="&amp;TODAY(),'LANÇAMENTOS'!$C$6:$C$2005,"&lt;="&amp;TODAY()+15)</f>
        <v/>
      </c>
      <c r="C12" s="18">
        <f>SUMIFS('LANÇAMENTOS'!$W$6:$W$2005,'LANÇAMENTOS'!$E$6:$E$2005,"Saída",'LANÇAMENTOS'!$C$6:$C$2005,"&gt;="&amp;TODAY(),'LANÇAMENTOS'!$C$6:$C$2005,"&lt;="&amp;TODAY()+15)</f>
        <v/>
      </c>
      <c r="D12" s="18">
        <f>SUMPRODUCT(('DESPESAS RECORRENTES'!$C$97:$N$97&lt;=TODAY()+15)*('DESPESAS RECORRENTES'!$C$97:$N$97&gt;EOMONTH(TODAY(),0))*'DESPESAS RECORRENTES'!$C$137:$N$137)</f>
        <v/>
      </c>
      <c r="E12" s="18">
        <f>$B12-$C12-$D12</f>
        <v/>
      </c>
      <c r="F12" s="18">
        <f>$A$7+$E12</f>
        <v/>
      </c>
      <c r="G12" s="18">
        <f>'CONFIGURAÇÕES'!$B$25</f>
        <v/>
      </c>
      <c r="H12" s="18">
        <f>$F12-$G12</f>
        <v/>
      </c>
      <c r="I12" s="17">
        <f>IF($H12&lt;0,"🔴 Déficit de caixa projetado","🟢 Caixa suficiente no período")</f>
        <v/>
      </c>
    </row>
    <row r="13">
      <c r="A13" s="17">
        <f>"30 dias"</f>
        <v/>
      </c>
      <c r="B13" s="18">
        <f>SUMIFS('LANÇAMENTOS'!$W$6:$W$2005,'LANÇAMENTOS'!$E$6:$E$2005,"Entrada",'LANÇAMENTOS'!$C$6:$C$2005,"&gt;="&amp;TODAY(),'LANÇAMENTOS'!$C$6:$C$2005,"&lt;="&amp;TODAY()+30)</f>
        <v/>
      </c>
      <c r="C13" s="18">
        <f>SUMIFS('LANÇAMENTOS'!$W$6:$W$2005,'LANÇAMENTOS'!$E$6:$E$2005,"Saída",'LANÇAMENTOS'!$C$6:$C$2005,"&gt;="&amp;TODAY(),'LANÇAMENTOS'!$C$6:$C$2005,"&lt;="&amp;TODAY()+30)</f>
        <v/>
      </c>
      <c r="D13" s="18">
        <f>SUMPRODUCT(('DESPESAS RECORRENTES'!$C$97:$N$97&lt;=TODAY()+30)*('DESPESAS RECORRENTES'!$C$97:$N$97&gt;EOMONTH(TODAY(),0))*'DESPESAS RECORRENTES'!$C$137:$N$137)</f>
        <v/>
      </c>
      <c r="E13" s="18">
        <f>$B13-$C13-$D13</f>
        <v/>
      </c>
      <c r="F13" s="18">
        <f>$A$7+$E13</f>
        <v/>
      </c>
      <c r="G13" s="18">
        <f>'CONFIGURAÇÕES'!$B$25</f>
        <v/>
      </c>
      <c r="H13" s="18">
        <f>$F13-$G13</f>
        <v/>
      </c>
      <c r="I13" s="17">
        <f>IF($H13&lt;0,"🔴 Déficit de caixa projetado","🟢 Caixa suficiente no período")</f>
        <v/>
      </c>
    </row>
    <row r="14">
      <c r="A14" s="17">
        <f>"60 dias"</f>
        <v/>
      </c>
      <c r="B14" s="18">
        <f>SUMIFS('LANÇAMENTOS'!$W$6:$W$2005,'LANÇAMENTOS'!$E$6:$E$2005,"Entrada",'LANÇAMENTOS'!$C$6:$C$2005,"&gt;="&amp;TODAY(),'LANÇAMENTOS'!$C$6:$C$2005,"&lt;="&amp;TODAY()+60)</f>
        <v/>
      </c>
      <c r="C14" s="18">
        <f>SUMIFS('LANÇAMENTOS'!$W$6:$W$2005,'LANÇAMENTOS'!$E$6:$E$2005,"Saída",'LANÇAMENTOS'!$C$6:$C$2005,"&gt;="&amp;TODAY(),'LANÇAMENTOS'!$C$6:$C$2005,"&lt;="&amp;TODAY()+60)</f>
        <v/>
      </c>
      <c r="D14" s="18">
        <f>SUMPRODUCT(('DESPESAS RECORRENTES'!$C$97:$N$97&lt;=TODAY()+60)*('DESPESAS RECORRENTES'!$C$97:$N$97&gt;EOMONTH(TODAY(),0))*'DESPESAS RECORRENTES'!$C$137:$N$137)</f>
        <v/>
      </c>
      <c r="E14" s="18">
        <f>$B14-$C14-$D14</f>
        <v/>
      </c>
      <c r="F14" s="18">
        <f>$A$7+$E14</f>
        <v/>
      </c>
      <c r="G14" s="18">
        <f>'CONFIGURAÇÕES'!$B$25</f>
        <v/>
      </c>
      <c r="H14" s="18">
        <f>$F14-$G14</f>
        <v/>
      </c>
      <c r="I14" s="17">
        <f>IF($H14&lt;0,"🔴 Déficit de caixa projetado","🟢 Caixa suficiente no período")</f>
        <v/>
      </c>
    </row>
    <row r="15">
      <c r="A15" s="17">
        <f>"90 dias"</f>
        <v/>
      </c>
      <c r="B15" s="18">
        <f>SUMIFS('LANÇAMENTOS'!$W$6:$W$2005,'LANÇAMENTOS'!$E$6:$E$2005,"Entrada",'LANÇAMENTOS'!$C$6:$C$2005,"&gt;="&amp;TODAY(),'LANÇAMENTOS'!$C$6:$C$2005,"&lt;="&amp;TODAY()+90)</f>
        <v/>
      </c>
      <c r="C15" s="18">
        <f>SUMIFS('LANÇAMENTOS'!$W$6:$W$2005,'LANÇAMENTOS'!$E$6:$E$2005,"Saída",'LANÇAMENTOS'!$C$6:$C$2005,"&gt;="&amp;TODAY(),'LANÇAMENTOS'!$C$6:$C$2005,"&lt;="&amp;TODAY()+90)</f>
        <v/>
      </c>
      <c r="D15" s="18">
        <f>SUMPRODUCT(('DESPESAS RECORRENTES'!$C$97:$N$97&lt;=TODAY()+90)*('DESPESAS RECORRENTES'!$C$97:$N$97&gt;EOMONTH(TODAY(),0))*'DESPESAS RECORRENTES'!$C$137:$N$137)</f>
        <v/>
      </c>
      <c r="E15" s="18">
        <f>$B15-$C15-$D15</f>
        <v/>
      </c>
      <c r="F15" s="18">
        <f>$A$7+$E15</f>
        <v/>
      </c>
      <c r="G15" s="18">
        <f>'CONFIGURAÇÕES'!$B$25</f>
        <v/>
      </c>
      <c r="H15" s="18">
        <f>$F15-$G15</f>
        <v/>
      </c>
      <c r="I15" s="17">
        <f>IF($H15&lt;0,"🔴 Déficit de caixa projetado","🟢 Caixa suficiente no período")</f>
        <v/>
      </c>
    </row>
    <row r="16">
      <c r="A16" s="17">
        <f>"180 dias"</f>
        <v/>
      </c>
      <c r="B16" s="18">
        <f>SUMIFS('LANÇAMENTOS'!$W$6:$W$2005,'LANÇAMENTOS'!$E$6:$E$2005,"Entrada",'LANÇAMENTOS'!$C$6:$C$2005,"&gt;="&amp;TODAY(),'LANÇAMENTOS'!$C$6:$C$2005,"&lt;="&amp;TODAY()+180)</f>
        <v/>
      </c>
      <c r="C16" s="18">
        <f>SUMIFS('LANÇAMENTOS'!$W$6:$W$2005,'LANÇAMENTOS'!$E$6:$E$2005,"Saída",'LANÇAMENTOS'!$C$6:$C$2005,"&gt;="&amp;TODAY(),'LANÇAMENTOS'!$C$6:$C$2005,"&lt;="&amp;TODAY()+180)</f>
        <v/>
      </c>
      <c r="D16" s="18">
        <f>SUMPRODUCT(('DESPESAS RECORRENTES'!$C$97:$N$97&lt;=TODAY()+180)*('DESPESAS RECORRENTES'!$C$97:$N$97&gt;EOMONTH(TODAY(),0))*'DESPESAS RECORRENTES'!$C$137:$N$137)</f>
        <v/>
      </c>
      <c r="E16" s="18">
        <f>$B16-$C16-$D16</f>
        <v/>
      </c>
      <c r="F16" s="18">
        <f>$A$7+$E16</f>
        <v/>
      </c>
      <c r="G16" s="18">
        <f>'CONFIGURAÇÕES'!$B$25</f>
        <v/>
      </c>
      <c r="H16" s="18">
        <f>$F16-$G16</f>
        <v/>
      </c>
      <c r="I16" s="17">
        <f>IF($H16&lt;0,"🔴 Déficit de caixa projetado","🟢 Caixa suficiente no período")</f>
        <v/>
      </c>
    </row>
    <row r="18" ht="20" customHeight="1">
      <c r="A18" s="4" t="inlineStr">
        <is>
          <t>3. PROJEÇÃO MENSAL — PRÓXIMOS 12 MESES</t>
        </is>
      </c>
      <c r="B18" s="4" t="n"/>
      <c r="C18" s="4" t="n"/>
      <c r="D18" s="4" t="n"/>
      <c r="E18" s="4" t="n"/>
      <c r="F18" s="4" t="n"/>
      <c r="G18" s="4" t="n"/>
      <c r="H18" s="4" t="n"/>
    </row>
    <row r="19" ht="34" customHeight="1">
      <c r="A19" s="21" t="inlineStr">
        <is>
          <t>Mês</t>
        </is>
      </c>
      <c r="B19" s="21" t="inlineStr">
        <is>
          <t>Entradas previstas</t>
        </is>
      </c>
      <c r="C19" s="21" t="inlineStr">
        <is>
          <t>Saídas previstas (títulos)</t>
        </is>
      </c>
      <c r="D19" s="21" t="inlineStr">
        <is>
          <t>Despesas recorrentes não lançadas</t>
        </is>
      </c>
      <c r="E19" s="21" t="inlineStr">
        <is>
          <t>Resultado do mês</t>
        </is>
      </c>
      <c r="F19" s="21" t="inlineStr">
        <is>
          <t>Saldo projetado acumulado</t>
        </is>
      </c>
      <c r="G19" s="21" t="inlineStr">
        <is>
          <t>Saldo mínimo</t>
        </is>
      </c>
      <c r="H19" s="21" t="inlineStr">
        <is>
          <t>Folga / déficit</t>
        </is>
      </c>
      <c r="I19" s="21" t="inlineStr">
        <is>
          <t>Situação</t>
        </is>
      </c>
      <c r="J19" s="21" t="inlineStr">
        <is>
          <t>Receita estimada usada</t>
        </is>
      </c>
    </row>
    <row r="20">
      <c r="A20" s="17">
        <f>TEXT(EDATE(TODAY(),0),"MM/AAAA")</f>
        <v/>
      </c>
      <c r="B20" s="18">
        <f>SUMIFS('LANÇAMENTOS'!$W$6:$W$2005,'LANÇAMENTOS'!$E$6:$E$2005,"Entrada",'LANÇAMENTOS'!$C$6:$C$2005,"&gt;="&amp;DATE(YEAR(EDATE(TODAY(),0)),MONTH(EDATE(TODAY(),0)),1),'LANÇAMENTOS'!$C$6:$C$2005,"&lt;="&amp;EOMONTH(EDATE(TODAY(),0),0))</f>
        <v/>
      </c>
      <c r="C20" s="18">
        <f>SUMIFS('LANÇAMENTOS'!$W$6:$W$2005,'LANÇAMENTOS'!$E$6:$E$2005,"Saída",'LANÇAMENTOS'!$C$6:$C$2005,"&gt;="&amp;DATE(YEAR(EDATE(TODAY(),0)),MONTH(EDATE(TODAY(),0)),1),'LANÇAMENTOS'!$C$6:$C$2005,"&lt;="&amp;EOMONTH(EDATE(TODAY(),0),0))</f>
        <v/>
      </c>
      <c r="D20" s="18">
        <f>SUMPRODUCT(('DESPESAS RECORRENTES'!$C$97:$N$97&gt;=DATE(YEAR(EDATE(TODAY(),0)),MONTH(EDATE(TODAY(),0)),1))*('DESPESAS RECORRENTES'!$C$97:$N$97&lt;=EOMONTH(EDATE(TODAY(),0),0))*'DESPESAS RECORRENTES'!$C$137:$N$137)</f>
        <v/>
      </c>
      <c r="E20" s="18">
        <f>-$C20-$D20+IF($B20=0,$J20,$B20)</f>
        <v/>
      </c>
      <c r="F20" s="18">
        <f>$A$7+$E20</f>
        <v/>
      </c>
      <c r="G20" s="18">
        <f>'CONFIGURAÇÕES'!$B$25</f>
        <v/>
      </c>
      <c r="H20" s="18">
        <f>$F20-$G20</f>
        <v/>
      </c>
      <c r="I20" s="17">
        <f>IF($H20&lt;0,"🔴 Déficit em "&amp;$A20,"🟢 Caixa suficiente")</f>
        <v/>
      </c>
      <c r="J20" s="18">
        <f>IF($B20&gt;0,0,ROUND(AVERAGEIF('INDICADORES'!$B$91:$B$101,"&gt;0"),2))</f>
        <v/>
      </c>
    </row>
    <row r="21">
      <c r="A21" s="17">
        <f>TEXT(EDATE(TODAY(),1),"MM/AAAA")</f>
        <v/>
      </c>
      <c r="B21" s="18">
        <f>SUMIFS('LANÇAMENTOS'!$W$6:$W$2005,'LANÇAMENTOS'!$E$6:$E$2005,"Entrada",'LANÇAMENTOS'!$C$6:$C$2005,"&gt;="&amp;DATE(YEAR(EDATE(TODAY(),1)),MONTH(EDATE(TODAY(),1)),1),'LANÇAMENTOS'!$C$6:$C$2005,"&lt;="&amp;EOMONTH(EDATE(TODAY(),1),0))</f>
        <v/>
      </c>
      <c r="C21" s="18">
        <f>SUMIFS('LANÇAMENTOS'!$W$6:$W$2005,'LANÇAMENTOS'!$E$6:$E$2005,"Saída",'LANÇAMENTOS'!$C$6:$C$2005,"&gt;="&amp;DATE(YEAR(EDATE(TODAY(),1)),MONTH(EDATE(TODAY(),1)),1),'LANÇAMENTOS'!$C$6:$C$2005,"&lt;="&amp;EOMONTH(EDATE(TODAY(),1),0))</f>
        <v/>
      </c>
      <c r="D21" s="18">
        <f>SUMPRODUCT(('DESPESAS RECORRENTES'!$C$97:$N$97&gt;=DATE(YEAR(EDATE(TODAY(),1)),MONTH(EDATE(TODAY(),1)),1))*('DESPESAS RECORRENTES'!$C$97:$N$97&lt;=EOMONTH(EDATE(TODAY(),1),0))*'DESPESAS RECORRENTES'!$C$137:$N$137)</f>
        <v/>
      </c>
      <c r="E21" s="18">
        <f>-$C21-$D21+IF($B21=0,$J21,$B21)</f>
        <v/>
      </c>
      <c r="F21" s="18">
        <f>$F20+$E21</f>
        <v/>
      </c>
      <c r="G21" s="18">
        <f>'CONFIGURAÇÕES'!$B$25</f>
        <v/>
      </c>
      <c r="H21" s="18">
        <f>$F21-$G21</f>
        <v/>
      </c>
      <c r="I21" s="17">
        <f>IF($H21&lt;0,"🔴 Déficit em "&amp;$A21,"🟢 Caixa suficiente")</f>
        <v/>
      </c>
      <c r="J21" s="18">
        <f>IF($B21&gt;0,0,ROUND(AVERAGEIF('INDICADORES'!$B$91:$B$101,"&gt;0"),2))</f>
        <v/>
      </c>
    </row>
    <row r="22">
      <c r="A22" s="17">
        <f>TEXT(EDATE(TODAY(),2),"MM/AAAA")</f>
        <v/>
      </c>
      <c r="B22" s="18">
        <f>SUMIFS('LANÇAMENTOS'!$W$6:$W$2005,'LANÇAMENTOS'!$E$6:$E$2005,"Entrada",'LANÇAMENTOS'!$C$6:$C$2005,"&gt;="&amp;DATE(YEAR(EDATE(TODAY(),2)),MONTH(EDATE(TODAY(),2)),1),'LANÇAMENTOS'!$C$6:$C$2005,"&lt;="&amp;EOMONTH(EDATE(TODAY(),2),0))</f>
        <v/>
      </c>
      <c r="C22" s="18">
        <f>SUMIFS('LANÇAMENTOS'!$W$6:$W$2005,'LANÇAMENTOS'!$E$6:$E$2005,"Saída",'LANÇAMENTOS'!$C$6:$C$2005,"&gt;="&amp;DATE(YEAR(EDATE(TODAY(),2)),MONTH(EDATE(TODAY(),2)),1),'LANÇAMENTOS'!$C$6:$C$2005,"&lt;="&amp;EOMONTH(EDATE(TODAY(),2),0))</f>
        <v/>
      </c>
      <c r="D22" s="18">
        <f>SUMPRODUCT(('DESPESAS RECORRENTES'!$C$97:$N$97&gt;=DATE(YEAR(EDATE(TODAY(),2)),MONTH(EDATE(TODAY(),2)),1))*('DESPESAS RECORRENTES'!$C$97:$N$97&lt;=EOMONTH(EDATE(TODAY(),2),0))*'DESPESAS RECORRENTES'!$C$137:$N$137)</f>
        <v/>
      </c>
      <c r="E22" s="18">
        <f>-$C22-$D22+IF($B22=0,$J22,$B22)</f>
        <v/>
      </c>
      <c r="F22" s="18">
        <f>$F21+$E22</f>
        <v/>
      </c>
      <c r="G22" s="18">
        <f>'CONFIGURAÇÕES'!$B$25</f>
        <v/>
      </c>
      <c r="H22" s="18">
        <f>$F22-$G22</f>
        <v/>
      </c>
      <c r="I22" s="17">
        <f>IF($H22&lt;0,"🔴 Déficit em "&amp;$A22,"🟢 Caixa suficiente")</f>
        <v/>
      </c>
      <c r="J22" s="18">
        <f>IF($B22&gt;0,0,ROUND(AVERAGEIF('INDICADORES'!$B$91:$B$101,"&gt;0"),2))</f>
        <v/>
      </c>
    </row>
    <row r="23">
      <c r="A23" s="17">
        <f>TEXT(EDATE(TODAY(),3),"MM/AAAA")</f>
        <v/>
      </c>
      <c r="B23" s="18">
        <f>SUMIFS('LANÇAMENTOS'!$W$6:$W$2005,'LANÇAMENTOS'!$E$6:$E$2005,"Entrada",'LANÇAMENTOS'!$C$6:$C$2005,"&gt;="&amp;DATE(YEAR(EDATE(TODAY(),3)),MONTH(EDATE(TODAY(),3)),1),'LANÇAMENTOS'!$C$6:$C$2005,"&lt;="&amp;EOMONTH(EDATE(TODAY(),3),0))</f>
        <v/>
      </c>
      <c r="C23" s="18">
        <f>SUMIFS('LANÇAMENTOS'!$W$6:$W$2005,'LANÇAMENTOS'!$E$6:$E$2005,"Saída",'LANÇAMENTOS'!$C$6:$C$2005,"&gt;="&amp;DATE(YEAR(EDATE(TODAY(),3)),MONTH(EDATE(TODAY(),3)),1),'LANÇAMENTOS'!$C$6:$C$2005,"&lt;="&amp;EOMONTH(EDATE(TODAY(),3),0))</f>
        <v/>
      </c>
      <c r="D23" s="18">
        <f>SUMPRODUCT(('DESPESAS RECORRENTES'!$C$97:$N$97&gt;=DATE(YEAR(EDATE(TODAY(),3)),MONTH(EDATE(TODAY(),3)),1))*('DESPESAS RECORRENTES'!$C$97:$N$97&lt;=EOMONTH(EDATE(TODAY(),3),0))*'DESPESAS RECORRENTES'!$C$137:$N$137)</f>
        <v/>
      </c>
      <c r="E23" s="18">
        <f>-$C23-$D23+IF($B23=0,$J23,$B23)</f>
        <v/>
      </c>
      <c r="F23" s="18">
        <f>$F22+$E23</f>
        <v/>
      </c>
      <c r="G23" s="18">
        <f>'CONFIGURAÇÕES'!$B$25</f>
        <v/>
      </c>
      <c r="H23" s="18">
        <f>$F23-$G23</f>
        <v/>
      </c>
      <c r="I23" s="17">
        <f>IF($H23&lt;0,"🔴 Déficit em "&amp;$A23,"🟢 Caixa suficiente")</f>
        <v/>
      </c>
      <c r="J23" s="18">
        <f>IF($B23&gt;0,0,ROUND(AVERAGEIF('INDICADORES'!$B$91:$B$101,"&gt;0"),2))</f>
        <v/>
      </c>
    </row>
    <row r="24">
      <c r="A24" s="17">
        <f>TEXT(EDATE(TODAY(),4),"MM/AAAA")</f>
        <v/>
      </c>
      <c r="B24" s="18">
        <f>SUMIFS('LANÇAMENTOS'!$W$6:$W$2005,'LANÇAMENTOS'!$E$6:$E$2005,"Entrada",'LANÇAMENTOS'!$C$6:$C$2005,"&gt;="&amp;DATE(YEAR(EDATE(TODAY(),4)),MONTH(EDATE(TODAY(),4)),1),'LANÇAMENTOS'!$C$6:$C$2005,"&lt;="&amp;EOMONTH(EDATE(TODAY(),4),0))</f>
        <v/>
      </c>
      <c r="C24" s="18">
        <f>SUMIFS('LANÇAMENTOS'!$W$6:$W$2005,'LANÇAMENTOS'!$E$6:$E$2005,"Saída",'LANÇAMENTOS'!$C$6:$C$2005,"&gt;="&amp;DATE(YEAR(EDATE(TODAY(),4)),MONTH(EDATE(TODAY(),4)),1),'LANÇAMENTOS'!$C$6:$C$2005,"&lt;="&amp;EOMONTH(EDATE(TODAY(),4),0))</f>
        <v/>
      </c>
      <c r="D24" s="18">
        <f>SUMPRODUCT(('DESPESAS RECORRENTES'!$C$97:$N$97&gt;=DATE(YEAR(EDATE(TODAY(),4)),MONTH(EDATE(TODAY(),4)),1))*('DESPESAS RECORRENTES'!$C$97:$N$97&lt;=EOMONTH(EDATE(TODAY(),4),0))*'DESPESAS RECORRENTES'!$C$137:$N$137)</f>
        <v/>
      </c>
      <c r="E24" s="18">
        <f>-$C24-$D24+IF($B24=0,$J24,$B24)</f>
        <v/>
      </c>
      <c r="F24" s="18">
        <f>$F23+$E24</f>
        <v/>
      </c>
      <c r="G24" s="18">
        <f>'CONFIGURAÇÕES'!$B$25</f>
        <v/>
      </c>
      <c r="H24" s="18">
        <f>$F24-$G24</f>
        <v/>
      </c>
      <c r="I24" s="17">
        <f>IF($H24&lt;0,"🔴 Déficit em "&amp;$A24,"🟢 Caixa suficiente")</f>
        <v/>
      </c>
      <c r="J24" s="18">
        <f>IF($B24&gt;0,0,ROUND(AVERAGEIF('INDICADORES'!$B$91:$B$101,"&gt;0"),2))</f>
        <v/>
      </c>
    </row>
    <row r="25">
      <c r="A25" s="17">
        <f>TEXT(EDATE(TODAY(),5),"MM/AAAA")</f>
        <v/>
      </c>
      <c r="B25" s="18">
        <f>SUMIFS('LANÇAMENTOS'!$W$6:$W$2005,'LANÇAMENTOS'!$E$6:$E$2005,"Entrada",'LANÇAMENTOS'!$C$6:$C$2005,"&gt;="&amp;DATE(YEAR(EDATE(TODAY(),5)),MONTH(EDATE(TODAY(),5)),1),'LANÇAMENTOS'!$C$6:$C$2005,"&lt;="&amp;EOMONTH(EDATE(TODAY(),5),0))</f>
        <v/>
      </c>
      <c r="C25" s="18">
        <f>SUMIFS('LANÇAMENTOS'!$W$6:$W$2005,'LANÇAMENTOS'!$E$6:$E$2005,"Saída",'LANÇAMENTOS'!$C$6:$C$2005,"&gt;="&amp;DATE(YEAR(EDATE(TODAY(),5)),MONTH(EDATE(TODAY(),5)),1),'LANÇAMENTOS'!$C$6:$C$2005,"&lt;="&amp;EOMONTH(EDATE(TODAY(),5),0))</f>
        <v/>
      </c>
      <c r="D25" s="18">
        <f>SUMPRODUCT(('DESPESAS RECORRENTES'!$C$97:$N$97&gt;=DATE(YEAR(EDATE(TODAY(),5)),MONTH(EDATE(TODAY(),5)),1))*('DESPESAS RECORRENTES'!$C$97:$N$97&lt;=EOMONTH(EDATE(TODAY(),5),0))*'DESPESAS RECORRENTES'!$C$137:$N$137)</f>
        <v/>
      </c>
      <c r="E25" s="18">
        <f>-$C25-$D25+IF($B25=0,$J25,$B25)</f>
        <v/>
      </c>
      <c r="F25" s="18">
        <f>$F24+$E25</f>
        <v/>
      </c>
      <c r="G25" s="18">
        <f>'CONFIGURAÇÕES'!$B$25</f>
        <v/>
      </c>
      <c r="H25" s="18">
        <f>$F25-$G25</f>
        <v/>
      </c>
      <c r="I25" s="17">
        <f>IF($H25&lt;0,"🔴 Déficit em "&amp;$A25,"🟢 Caixa suficiente")</f>
        <v/>
      </c>
      <c r="J25" s="18">
        <f>IF($B25&gt;0,0,ROUND(AVERAGEIF('INDICADORES'!$B$91:$B$101,"&gt;0"),2))</f>
        <v/>
      </c>
    </row>
    <row r="26">
      <c r="A26" s="17">
        <f>TEXT(EDATE(TODAY(),6),"MM/AAAA")</f>
        <v/>
      </c>
      <c r="B26" s="18">
        <f>SUMIFS('LANÇAMENTOS'!$W$6:$W$2005,'LANÇAMENTOS'!$E$6:$E$2005,"Entrada",'LANÇAMENTOS'!$C$6:$C$2005,"&gt;="&amp;DATE(YEAR(EDATE(TODAY(),6)),MONTH(EDATE(TODAY(),6)),1),'LANÇAMENTOS'!$C$6:$C$2005,"&lt;="&amp;EOMONTH(EDATE(TODAY(),6),0))</f>
        <v/>
      </c>
      <c r="C26" s="18">
        <f>SUMIFS('LANÇAMENTOS'!$W$6:$W$2005,'LANÇAMENTOS'!$E$6:$E$2005,"Saída",'LANÇAMENTOS'!$C$6:$C$2005,"&gt;="&amp;DATE(YEAR(EDATE(TODAY(),6)),MONTH(EDATE(TODAY(),6)),1),'LANÇAMENTOS'!$C$6:$C$2005,"&lt;="&amp;EOMONTH(EDATE(TODAY(),6),0))</f>
        <v/>
      </c>
      <c r="D26" s="18">
        <f>SUMPRODUCT(('DESPESAS RECORRENTES'!$C$97:$N$97&gt;=DATE(YEAR(EDATE(TODAY(),6)),MONTH(EDATE(TODAY(),6)),1))*('DESPESAS RECORRENTES'!$C$97:$N$97&lt;=EOMONTH(EDATE(TODAY(),6),0))*'DESPESAS RECORRENTES'!$C$137:$N$137)</f>
        <v/>
      </c>
      <c r="E26" s="18">
        <f>-$C26-$D26+IF($B26=0,$J26,$B26)</f>
        <v/>
      </c>
      <c r="F26" s="18">
        <f>$F25+$E26</f>
        <v/>
      </c>
      <c r="G26" s="18">
        <f>'CONFIGURAÇÕES'!$B$25</f>
        <v/>
      </c>
      <c r="H26" s="18">
        <f>$F26-$G26</f>
        <v/>
      </c>
      <c r="I26" s="17">
        <f>IF($H26&lt;0,"🔴 Déficit em "&amp;$A26,"🟢 Caixa suficiente")</f>
        <v/>
      </c>
      <c r="J26" s="18">
        <f>IF($B26&gt;0,0,ROUND(AVERAGEIF('INDICADORES'!$B$91:$B$101,"&gt;0"),2))</f>
        <v/>
      </c>
    </row>
    <row r="27">
      <c r="A27" s="17">
        <f>TEXT(EDATE(TODAY(),7),"MM/AAAA")</f>
        <v/>
      </c>
      <c r="B27" s="18">
        <f>SUMIFS('LANÇAMENTOS'!$W$6:$W$2005,'LANÇAMENTOS'!$E$6:$E$2005,"Entrada",'LANÇAMENTOS'!$C$6:$C$2005,"&gt;="&amp;DATE(YEAR(EDATE(TODAY(),7)),MONTH(EDATE(TODAY(),7)),1),'LANÇAMENTOS'!$C$6:$C$2005,"&lt;="&amp;EOMONTH(EDATE(TODAY(),7),0))</f>
        <v/>
      </c>
      <c r="C27" s="18">
        <f>SUMIFS('LANÇAMENTOS'!$W$6:$W$2005,'LANÇAMENTOS'!$E$6:$E$2005,"Saída",'LANÇAMENTOS'!$C$6:$C$2005,"&gt;="&amp;DATE(YEAR(EDATE(TODAY(),7)),MONTH(EDATE(TODAY(),7)),1),'LANÇAMENTOS'!$C$6:$C$2005,"&lt;="&amp;EOMONTH(EDATE(TODAY(),7),0))</f>
        <v/>
      </c>
      <c r="D27" s="18">
        <f>SUMPRODUCT(('DESPESAS RECORRENTES'!$C$97:$N$97&gt;=DATE(YEAR(EDATE(TODAY(),7)),MONTH(EDATE(TODAY(),7)),1))*('DESPESAS RECORRENTES'!$C$97:$N$97&lt;=EOMONTH(EDATE(TODAY(),7),0))*'DESPESAS RECORRENTES'!$C$137:$N$137)</f>
        <v/>
      </c>
      <c r="E27" s="18">
        <f>-$C27-$D27+IF($B27=0,$J27,$B27)</f>
        <v/>
      </c>
      <c r="F27" s="18">
        <f>$F26+$E27</f>
        <v/>
      </c>
      <c r="G27" s="18">
        <f>'CONFIGURAÇÕES'!$B$25</f>
        <v/>
      </c>
      <c r="H27" s="18">
        <f>$F27-$G27</f>
        <v/>
      </c>
      <c r="I27" s="17">
        <f>IF($H27&lt;0,"🔴 Déficit em "&amp;$A27,"🟢 Caixa suficiente")</f>
        <v/>
      </c>
      <c r="J27" s="18">
        <f>IF($B27&gt;0,0,ROUND(AVERAGEIF('INDICADORES'!$B$91:$B$101,"&gt;0"),2))</f>
        <v/>
      </c>
    </row>
    <row r="28">
      <c r="A28" s="17">
        <f>TEXT(EDATE(TODAY(),8),"MM/AAAA")</f>
        <v/>
      </c>
      <c r="B28" s="18">
        <f>SUMIFS('LANÇAMENTOS'!$W$6:$W$2005,'LANÇAMENTOS'!$E$6:$E$2005,"Entrada",'LANÇAMENTOS'!$C$6:$C$2005,"&gt;="&amp;DATE(YEAR(EDATE(TODAY(),8)),MONTH(EDATE(TODAY(),8)),1),'LANÇAMENTOS'!$C$6:$C$2005,"&lt;="&amp;EOMONTH(EDATE(TODAY(),8),0))</f>
        <v/>
      </c>
      <c r="C28" s="18">
        <f>SUMIFS('LANÇAMENTOS'!$W$6:$W$2005,'LANÇAMENTOS'!$E$6:$E$2005,"Saída",'LANÇAMENTOS'!$C$6:$C$2005,"&gt;="&amp;DATE(YEAR(EDATE(TODAY(),8)),MONTH(EDATE(TODAY(),8)),1),'LANÇAMENTOS'!$C$6:$C$2005,"&lt;="&amp;EOMONTH(EDATE(TODAY(),8),0))</f>
        <v/>
      </c>
      <c r="D28" s="18">
        <f>SUMPRODUCT(('DESPESAS RECORRENTES'!$C$97:$N$97&gt;=DATE(YEAR(EDATE(TODAY(),8)),MONTH(EDATE(TODAY(),8)),1))*('DESPESAS RECORRENTES'!$C$97:$N$97&lt;=EOMONTH(EDATE(TODAY(),8),0))*'DESPESAS RECORRENTES'!$C$137:$N$137)</f>
        <v/>
      </c>
      <c r="E28" s="18">
        <f>-$C28-$D28+IF($B28=0,$J28,$B28)</f>
        <v/>
      </c>
      <c r="F28" s="18">
        <f>$F27+$E28</f>
        <v/>
      </c>
      <c r="G28" s="18">
        <f>'CONFIGURAÇÕES'!$B$25</f>
        <v/>
      </c>
      <c r="H28" s="18">
        <f>$F28-$G28</f>
        <v/>
      </c>
      <c r="I28" s="17">
        <f>IF($H28&lt;0,"🔴 Déficit em "&amp;$A28,"🟢 Caixa suficiente")</f>
        <v/>
      </c>
      <c r="J28" s="18">
        <f>IF($B28&gt;0,0,ROUND(AVERAGEIF('INDICADORES'!$B$91:$B$101,"&gt;0"),2))</f>
        <v/>
      </c>
    </row>
    <row r="29">
      <c r="A29" s="17">
        <f>TEXT(EDATE(TODAY(),9),"MM/AAAA")</f>
        <v/>
      </c>
      <c r="B29" s="18">
        <f>SUMIFS('LANÇAMENTOS'!$W$6:$W$2005,'LANÇAMENTOS'!$E$6:$E$2005,"Entrada",'LANÇAMENTOS'!$C$6:$C$2005,"&gt;="&amp;DATE(YEAR(EDATE(TODAY(),9)),MONTH(EDATE(TODAY(),9)),1),'LANÇAMENTOS'!$C$6:$C$2005,"&lt;="&amp;EOMONTH(EDATE(TODAY(),9),0))</f>
        <v/>
      </c>
      <c r="C29" s="18">
        <f>SUMIFS('LANÇAMENTOS'!$W$6:$W$2005,'LANÇAMENTOS'!$E$6:$E$2005,"Saída",'LANÇAMENTOS'!$C$6:$C$2005,"&gt;="&amp;DATE(YEAR(EDATE(TODAY(),9)),MONTH(EDATE(TODAY(),9)),1),'LANÇAMENTOS'!$C$6:$C$2005,"&lt;="&amp;EOMONTH(EDATE(TODAY(),9),0))</f>
        <v/>
      </c>
      <c r="D29" s="18">
        <f>SUMPRODUCT(('DESPESAS RECORRENTES'!$C$97:$N$97&gt;=DATE(YEAR(EDATE(TODAY(),9)),MONTH(EDATE(TODAY(),9)),1))*('DESPESAS RECORRENTES'!$C$97:$N$97&lt;=EOMONTH(EDATE(TODAY(),9),0))*'DESPESAS RECORRENTES'!$C$137:$N$137)</f>
        <v/>
      </c>
      <c r="E29" s="18">
        <f>-$C29-$D29+IF($B29=0,$J29,$B29)</f>
        <v/>
      </c>
      <c r="F29" s="18">
        <f>$F28+$E29</f>
        <v/>
      </c>
      <c r="G29" s="18">
        <f>'CONFIGURAÇÕES'!$B$25</f>
        <v/>
      </c>
      <c r="H29" s="18">
        <f>$F29-$G29</f>
        <v/>
      </c>
      <c r="I29" s="17">
        <f>IF($H29&lt;0,"🔴 Déficit em "&amp;$A29,"🟢 Caixa suficiente")</f>
        <v/>
      </c>
      <c r="J29" s="18">
        <f>IF($B29&gt;0,0,ROUND(AVERAGEIF('INDICADORES'!$B$91:$B$101,"&gt;0"),2))</f>
        <v/>
      </c>
    </row>
    <row r="30">
      <c r="A30" s="17">
        <f>TEXT(EDATE(TODAY(),10),"MM/AAAA")</f>
        <v/>
      </c>
      <c r="B30" s="18">
        <f>SUMIFS('LANÇAMENTOS'!$W$6:$W$2005,'LANÇAMENTOS'!$E$6:$E$2005,"Entrada",'LANÇAMENTOS'!$C$6:$C$2005,"&gt;="&amp;DATE(YEAR(EDATE(TODAY(),10)),MONTH(EDATE(TODAY(),10)),1),'LANÇAMENTOS'!$C$6:$C$2005,"&lt;="&amp;EOMONTH(EDATE(TODAY(),10),0))</f>
        <v/>
      </c>
      <c r="C30" s="18">
        <f>SUMIFS('LANÇAMENTOS'!$W$6:$W$2005,'LANÇAMENTOS'!$E$6:$E$2005,"Saída",'LANÇAMENTOS'!$C$6:$C$2005,"&gt;="&amp;DATE(YEAR(EDATE(TODAY(),10)),MONTH(EDATE(TODAY(),10)),1),'LANÇAMENTOS'!$C$6:$C$2005,"&lt;="&amp;EOMONTH(EDATE(TODAY(),10),0))</f>
        <v/>
      </c>
      <c r="D30" s="18">
        <f>SUMPRODUCT(('DESPESAS RECORRENTES'!$C$97:$N$97&gt;=DATE(YEAR(EDATE(TODAY(),10)),MONTH(EDATE(TODAY(),10)),1))*('DESPESAS RECORRENTES'!$C$97:$N$97&lt;=EOMONTH(EDATE(TODAY(),10),0))*'DESPESAS RECORRENTES'!$C$137:$N$137)</f>
        <v/>
      </c>
      <c r="E30" s="18">
        <f>-$C30-$D30+IF($B30=0,$J30,$B30)</f>
        <v/>
      </c>
      <c r="F30" s="18">
        <f>$F29+$E30</f>
        <v/>
      </c>
      <c r="G30" s="18">
        <f>'CONFIGURAÇÕES'!$B$25</f>
        <v/>
      </c>
      <c r="H30" s="18">
        <f>$F30-$G30</f>
        <v/>
      </c>
      <c r="I30" s="17">
        <f>IF($H30&lt;0,"🔴 Déficit em "&amp;$A30,"🟢 Caixa suficiente")</f>
        <v/>
      </c>
      <c r="J30" s="18">
        <f>IF($B30&gt;0,0,ROUND(AVERAGEIF('INDICADORES'!$B$91:$B$101,"&gt;0"),2))</f>
        <v/>
      </c>
    </row>
    <row r="31">
      <c r="A31" s="17">
        <f>TEXT(EDATE(TODAY(),11),"MM/AAAA")</f>
        <v/>
      </c>
      <c r="B31" s="18">
        <f>SUMIFS('LANÇAMENTOS'!$W$6:$W$2005,'LANÇAMENTOS'!$E$6:$E$2005,"Entrada",'LANÇAMENTOS'!$C$6:$C$2005,"&gt;="&amp;DATE(YEAR(EDATE(TODAY(),11)),MONTH(EDATE(TODAY(),11)),1),'LANÇAMENTOS'!$C$6:$C$2005,"&lt;="&amp;EOMONTH(EDATE(TODAY(),11),0))</f>
        <v/>
      </c>
      <c r="C31" s="18">
        <f>SUMIFS('LANÇAMENTOS'!$W$6:$W$2005,'LANÇAMENTOS'!$E$6:$E$2005,"Saída",'LANÇAMENTOS'!$C$6:$C$2005,"&gt;="&amp;DATE(YEAR(EDATE(TODAY(),11)),MONTH(EDATE(TODAY(),11)),1),'LANÇAMENTOS'!$C$6:$C$2005,"&lt;="&amp;EOMONTH(EDATE(TODAY(),11),0))</f>
        <v/>
      </c>
      <c r="D31" s="18">
        <f>SUMPRODUCT(('DESPESAS RECORRENTES'!$C$97:$N$97&gt;=DATE(YEAR(EDATE(TODAY(),11)),MONTH(EDATE(TODAY(),11)),1))*('DESPESAS RECORRENTES'!$C$97:$N$97&lt;=EOMONTH(EDATE(TODAY(),11),0))*'DESPESAS RECORRENTES'!$C$137:$N$137)</f>
        <v/>
      </c>
      <c r="E31" s="18">
        <f>-$C31-$D31+IF($B31=0,$J31,$B31)</f>
        <v/>
      </c>
      <c r="F31" s="18">
        <f>$F30+$E31</f>
        <v/>
      </c>
      <c r="G31" s="18">
        <f>'CONFIGURAÇÕES'!$B$25</f>
        <v/>
      </c>
      <c r="H31" s="18">
        <f>$F31-$G31</f>
        <v/>
      </c>
      <c r="I31" s="17">
        <f>IF($H31&lt;0,"🔴 Déficit em "&amp;$A31,"🟢 Caixa suficiente")</f>
        <v/>
      </c>
      <c r="J31" s="18">
        <f>IF($B31&gt;0,0,ROUND(AVERAGEIF('INDICADORES'!$B$91:$B$101,"&gt;0"),2))</f>
        <v/>
      </c>
    </row>
    <row r="32">
      <c r="A32" s="37" t="inlineStr">
        <is>
          <t>TOTAL DOS 12 MESES</t>
        </is>
      </c>
      <c r="B32" s="38">
        <f>SUM(B20:B31)</f>
        <v/>
      </c>
      <c r="C32" s="38">
        <f>SUM(C20:C31)</f>
        <v/>
      </c>
      <c r="D32" s="38">
        <f>SUM(D20:D31)</f>
        <v/>
      </c>
      <c r="E32" s="38">
        <f>SUM(E20:E31)</f>
        <v/>
      </c>
      <c r="F32" s="38">
        <f>$F31</f>
        <v/>
      </c>
      <c r="H32" s="38">
        <f>$H31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4">
    <mergeCell ref="A1:H1"/>
    <mergeCell ref="A9:H9"/>
    <mergeCell ref="A18:H18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5:H5"/>
    <mergeCell ref="A6:B6"/>
  </mergeCells>
  <conditionalFormatting sqref="I11:I16">
    <cfRule type="expression" priority="1" dxfId="4" stopIfTrue="0">
      <formula>ISNUMBER(SEARCH("🟢",I11))</formula>
    </cfRule>
    <cfRule type="expression" priority="2" dxfId="2" stopIfTrue="0">
      <formula>ISNUMBER(SEARCH("🔴",I11))</formula>
    </cfRule>
  </conditionalFormatting>
  <conditionalFormatting sqref="H11:H16">
    <cfRule type="cellIs" priority="3" operator="lessThan" dxfId="9">
      <formula>0</formula>
    </cfRule>
  </conditionalFormatting>
  <conditionalFormatting sqref="F11:F16">
    <cfRule type="dataBar" priority="4">
      <dataBar showValue="1">
        <cfvo type="num" val="0"/>
        <cfvo type="max"/>
        <color rgb="002E75B6"/>
      </dataBar>
    </cfRule>
  </conditionalFormatting>
  <conditionalFormatting sqref="I20:I31">
    <cfRule type="expression" priority="5" dxfId="4" stopIfTrue="0">
      <formula>ISNUMBER(SEARCH("🟢",I20))</formula>
    </cfRule>
    <cfRule type="expression" priority="6" dxfId="2" stopIfTrue="0">
      <formula>ISNUMBER(SEARCH("🔴",I20))</formula>
    </cfRule>
  </conditionalFormatting>
  <conditionalFormatting sqref="F20:F31">
    <cfRule type="dataBar" priority="7">
      <dataBar showValue="1">
        <cfvo type="num" val="0"/>
        <cfvo type="max"/>
        <color rgb="002E75B6"/>
      </dataBar>
    </cfRule>
  </conditionalFormatting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2E8B8B"/>
    <outlinePr summaryBelow="1" summaryRight="1"/>
    <pageSetUpPr fitToPage="1"/>
  </sheetPr>
  <dimension ref="A1:I39"/>
  <sheetViews>
    <sheetView showGridLines="0" tabSelected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60" customWidth="1" min="4" max="4"/>
  </cols>
  <sheetData>
    <row r="1" ht="24" customHeight="1">
      <c r="A1" s="26" t="inlineStr">
        <is>
          <t>PONTO DE EQUILÍBRIO E MARGEM DE SEGURANÇA</t>
        </is>
      </c>
    </row>
    <row r="2">
      <c r="A2" s="27" t="inlineStr">
        <is>
          <t>Quanto a empresa precisa faturar para não ter prejuízo (em reais e em quantidade de vendas), a margem de segurança e o faturamento necessário para atingir a meta de lucro.</t>
        </is>
      </c>
    </row>
    <row r="3" ht="22" customHeight="1">
      <c r="A3" s="3" t="inlineStr">
        <is>
          <t>As células amarelas (linhas 8 a 12) são premissas editáveis — já vêm preenchidas com os números reais apurados na aba LANÇAMENTOS. Os cálculos abaixo se ajustam automaticamente.</t>
        </is>
      </c>
      <c r="B3" s="3" t="n"/>
      <c r="C3" s="3" t="n"/>
      <c r="D3" s="3" t="n"/>
    </row>
    <row r="6" ht="22" customHeight="1">
      <c r="A6" s="4" t="inlineStr">
        <is>
          <t>1. PREMISSAS DO CÁLCULO (editáveis)</t>
        </is>
      </c>
      <c r="B6" s="4" t="n"/>
      <c r="C6" s="4" t="n"/>
      <c r="D6" s="4" t="n"/>
    </row>
    <row r="7" ht="22" customHeight="1">
      <c r="A7" s="21" t="inlineStr">
        <is>
          <t>Premissa</t>
        </is>
      </c>
      <c r="B7" s="21" t="inlineStr">
        <is>
          <t>Valor</t>
        </is>
      </c>
      <c r="C7" s="21" t="inlineStr">
        <is>
          <t>Como o sistema chega neste número</t>
        </is>
      </c>
    </row>
    <row r="8">
      <c r="A8" s="28" t="inlineStr">
        <is>
          <t>Faturamento bruto do período de análise</t>
        </is>
      </c>
      <c r="B8" s="35">
        <f>SUMIFS('LANÇAMENTOS'!$AE$6:$AE$2005,'LANÇAMENTOS'!$AF$6:$AF$2005,"Faturamento Bruto",'LANÇAMENTOS'!$AA$6:$AA$2005,'CONFIGURAÇÕES'!$B$18,'LANÇAMENTOS'!$Z$6:$Z$2005,IF('CONFIGURAÇÕES'!$B$19=0,"&gt;0",'CONFIGURAÇÕES'!$B$19))</f>
        <v/>
      </c>
      <c r="C8" s="25" t="inlineStr">
        <is>
          <t>Soma dos lançamentos de Faturamento Bruto no mês (ou ano) de análise.</t>
        </is>
      </c>
      <c r="D8" s="25" t="n"/>
    </row>
    <row r="9">
      <c r="A9" s="28" t="inlineStr">
        <is>
          <t>Percentual de custos variáveis e impostos</t>
        </is>
      </c>
      <c r="B9" s="32">
        <f>IFERROR((SUMIFS('LANÇAMENTOS'!$AE$6:$AE$2005,'LANÇAMENTOS'!$AF$6:$AF$2005,"Custos Variáveis",'LANÇAMENTOS'!$AA$6:$AA$2005,'CONFIGURAÇÕES'!$B$18,'LANÇAMENTOS'!$Z$6:$Z$2005,IF('CONFIGURAÇÕES'!$B$19=0,"&gt;0",'CONFIGURAÇÕES'!$B$19))+SUMIFS('LANÇAMENTOS'!$AE$6:$AE$2005,'LANÇAMENTOS'!$AF$6:$AF$2005,"Impostos sobre Vendas",'LANÇAMENTOS'!$AA$6:$AA$2005,'CONFIGURAÇÕES'!$B$18,'LANÇAMENTOS'!$Z$6:$Z$2005,IF('CONFIGURAÇÕES'!$B$19=0,"&gt;0",'CONFIGURAÇÕES'!$B$19))+SUMIFS('LANÇAMENTOS'!$AE$6:$AE$2005,'LANÇAMENTOS'!$AF$6:$AF$2005,"Devoluções",'LANÇAMENTOS'!$AA$6:$AA$2005,'CONFIGURAÇÕES'!$B$18,'LANÇAMENTOS'!$Z$6:$Z$2005,IF('CONFIGURAÇÕES'!$B$19=0,"&gt;0",'CONFIGURAÇÕES'!$B$19)))/(SUMIFS('LANÇAMENTOS'!$AE$6:$AE$2005,'LANÇAMENTOS'!$AF$6:$AF$2005,"Faturamento Bruto",'LANÇAMENTOS'!$AA$6:$AA$2005,'CONFIGURAÇÕES'!$B$18,'LANÇAMENTOS'!$Z$6:$Z$2005,IF('CONFIGURAÇÕES'!$B$19=0,"&gt;0",'CONFIGURAÇÕES'!$B$19))),"")</f>
        <v/>
      </c>
      <c r="C9" s="25" t="inlineStr">
        <is>
          <t>Custos variáveis + impostos sobre vendas + devoluções, divididos pelo faturamento.</t>
        </is>
      </c>
      <c r="D9" s="25" t="n"/>
    </row>
    <row r="10">
      <c r="A10" s="28" t="inlineStr">
        <is>
          <t>Custos e despesas fixas do período</t>
        </is>
      </c>
      <c r="B10" s="35">
        <f>SUMIFS('LANÇAMENTOS'!$AE$6:$AE$2005,'LANÇAMENTOS'!$AF$6:$AF$2005,"Despesas Fixas",'LANÇAMENTOS'!$AA$6:$AA$2005,'CONFIGURAÇÕES'!$B$18,'LANÇAMENTOS'!$Z$6:$Z$2005,IF('CONFIGURAÇÕES'!$B$19=0,"&gt;0",'CONFIGURAÇÕES'!$B$19))+SUMIFS('LANÇAMENTOS'!$AE$6:$AE$2005,'LANÇAMENTOS'!$AF$6:$AF$2005,"Despesas Financeiras",'LANÇAMENTOS'!$AA$6:$AA$2005,'CONFIGURAÇÕES'!$B$18,'LANÇAMENTOS'!$Z$6:$Z$2005,IF('CONFIGURAÇÕES'!$B$19=0,"&gt;0",'CONFIGURAÇÕES'!$B$19))</f>
        <v/>
      </c>
      <c r="C10" s="25" t="inlineStr">
        <is>
          <t>Despesas fixas + despesas financeiras: não variam com o volume de vendas.</t>
        </is>
      </c>
      <c r="D10" s="25" t="n"/>
    </row>
    <row r="11">
      <c r="A11" s="28" t="inlineStr">
        <is>
          <t>Ticket médio por venda</t>
        </is>
      </c>
      <c r="B11" s="35">
        <f>IFERROR(SUMIFS('LANÇAMENTOS'!$AE$6:$AE$2005,'LANÇAMENTOS'!$AF$6:$AF$2005,"Faturamento Bruto",'LANÇAMENTOS'!$AA$6:$AA$2005,'CONFIGURAÇÕES'!$B$18,'LANÇAMENTOS'!$Z$6:$Z$2005,IF('CONFIGURAÇÕES'!$B$19=0,"&gt;0",'CONFIGURAÇÕES'!$B$19))/IF('CONFIGURAÇÕES'!$B$19=0,COUNTIFS('LANÇAMENTOS'!$AF$6:$AF$2005,"Faturamento Bruto",'LANÇAMENTOS'!$AA$6:$AA$2005,'CONFIGURAÇÕES'!$B$18,'LANÇAMENTOS'!$O$6:$O$2005,1),COUNTIFS('LANÇAMENTOS'!$AF$6:$AF$2005,"Faturamento Bruto",'LANÇAMENTOS'!$AA$6:$AA$2005,'CONFIGURAÇÕES'!$B$18,'LANÇAMENTOS'!$Z$6:$Z$2005,IF('CONFIGURAÇÕES'!$B$19=0,"&gt;0",'CONFIGURAÇÕES'!$B$19),'LANÇAMENTOS'!$O$6:$O$2005,1)),"")</f>
        <v/>
      </c>
      <c r="C11" s="25" t="inlineStr">
        <is>
          <t>Faturamento dividido pela quantidade de vendas iniciadas no período.</t>
        </is>
      </c>
      <c r="D11" s="25" t="n"/>
    </row>
    <row r="12">
      <c r="A12" s="28" t="inlineStr">
        <is>
          <t>Meta de lucro do período (vem da CONFIGURAÇÕES)</t>
        </is>
      </c>
      <c r="B12" s="35">
        <f>'CONFIGURAÇÕES'!$B$23</f>
        <v/>
      </c>
      <c r="C12" s="25" t="inlineStr">
        <is>
          <t>Lucro que a empresa quer atingir no período de análise.</t>
        </is>
      </c>
      <c r="D12" s="25" t="n"/>
    </row>
    <row r="14" ht="22" customHeight="1">
      <c r="A14" s="4" t="inlineStr">
        <is>
          <t>2. CÁLCULOS DO PONTO DE EQUILÍBRIO</t>
        </is>
      </c>
      <c r="B14" s="4" t="n"/>
      <c r="C14" s="4" t="n"/>
      <c r="D14" s="4" t="n"/>
    </row>
    <row r="15" ht="22" customHeight="1">
      <c r="A15" s="21" t="inlineStr">
        <is>
          <t>Resultado</t>
        </is>
      </c>
      <c r="B15" s="21" t="inlineStr">
        <is>
          <t>Valor</t>
        </is>
      </c>
      <c r="C15" s="21" t="inlineStr">
        <is>
          <t>Unidade</t>
        </is>
      </c>
      <c r="D15" s="21" t="inlineStr">
        <is>
          <t>Interpretação</t>
        </is>
      </c>
    </row>
    <row r="16">
      <c r="A16" s="9" t="inlineStr">
        <is>
          <t>Margem de contribuição (%)</t>
        </is>
      </c>
      <c r="B16" s="23">
        <f>1-$B$9</f>
        <v/>
      </c>
      <c r="C16" s="17" t="inlineStr">
        <is>
          <t>%</t>
        </is>
      </c>
      <c r="D16" s="25" t="inlineStr">
        <is>
          <t>Quanto sobra de cada R$ vendido para pagar a estrutura fixa.</t>
        </is>
      </c>
    </row>
    <row r="17">
      <c r="A17" s="9" t="inlineStr">
        <is>
          <t>Margem de contribuição unitária (MC unit.)</t>
        </is>
      </c>
      <c r="B17" s="18">
        <f>$B$11*$B$16</f>
        <v/>
      </c>
      <c r="C17" s="17" t="inlineStr">
        <is>
          <t>R$/venda</t>
        </is>
      </c>
      <c r="D17" s="25" t="inlineStr">
        <is>
          <t>Quanto cada venda contribui para pagar a estrutura fixa.</t>
        </is>
      </c>
    </row>
    <row r="18">
      <c r="A18" s="37" t="inlineStr">
        <is>
          <t>PONTO DE EQUILÍBRIO (R$ no período)</t>
        </is>
      </c>
      <c r="B18" s="38">
        <f>IFERROR($B$10/$B$16,"")</f>
        <v/>
      </c>
      <c r="C18" s="17" t="inlineStr">
        <is>
          <t>R$</t>
        </is>
      </c>
      <c r="D18" s="25" t="inlineStr">
        <is>
          <t>Faturamento mínimo para o lucro ser igual a zero.</t>
        </is>
      </c>
    </row>
    <row r="19">
      <c r="A19" s="37" t="inlineStr">
        <is>
          <t>PONTO DE EQUILÍBRIO (quantidade de vendas)</t>
        </is>
      </c>
      <c r="B19" s="41">
        <f>IFERROR($B$18/$B$11,"")</f>
        <v/>
      </c>
      <c r="C19" s="17" t="inlineStr">
        <is>
          <t>vendas</t>
        </is>
      </c>
      <c r="D19" s="25" t="inlineStr">
        <is>
          <t>Quantas vendas são necessárias para cobrir todos os custos.</t>
        </is>
      </c>
    </row>
    <row r="20">
      <c r="A20" s="9" t="inlineStr">
        <is>
          <t>Faturamento atual</t>
        </is>
      </c>
      <c r="B20" s="18">
        <f>$B$8</f>
        <v/>
      </c>
      <c r="C20" s="17" t="inlineStr">
        <is>
          <t>R$</t>
        </is>
      </c>
      <c r="D20" s="25" t="inlineStr">
        <is>
          <t>Faturamento apurado no período de análise.</t>
        </is>
      </c>
    </row>
    <row r="21">
      <c r="A21" s="37" t="inlineStr">
        <is>
          <t>MARGEM DE SEGURANÇA (%)</t>
        </is>
      </c>
      <c r="B21" s="39">
        <f>IFERROR(($B$20-$B$18)/$B$20,"")</f>
        <v/>
      </c>
      <c r="C21" s="17" t="inlineStr">
        <is>
          <t>%</t>
        </is>
      </c>
      <c r="D21" s="25" t="inlineStr">
        <is>
          <t>Quanto o faturamento pode cair antes de a empresa entrar no prejuízo.</t>
        </is>
      </c>
    </row>
    <row r="22">
      <c r="A22" s="37" t="inlineStr">
        <is>
          <t>Faturamento necessário para a meta de lucro</t>
        </is>
      </c>
      <c r="B22" s="38">
        <f>IFERROR(($B$10+$B$12)/$B$16,"")</f>
        <v/>
      </c>
      <c r="C22" s="17" t="inlineStr">
        <is>
          <t>R$</t>
        </is>
      </c>
      <c r="D22" s="25" t="inlineStr">
        <is>
          <t>Faturamento que produz exatamente a meta de lucro definida.</t>
        </is>
      </c>
    </row>
    <row r="23">
      <c r="A23" s="9" t="inlineStr">
        <is>
          <t>Lucro estimado mantendo o faturamento atual</t>
        </is>
      </c>
      <c r="B23" s="18">
        <f>IFERROR($B$20*$B$16-$B$10,"")</f>
        <v/>
      </c>
      <c r="C23" s="17" t="inlineStr">
        <is>
          <t>R$</t>
        </is>
      </c>
      <c r="D23" s="25" t="inlineStr">
        <is>
          <t>Resultado esperado se o faturamento atual se repetir.</t>
        </is>
      </c>
    </row>
    <row r="24">
      <c r="A24" s="9" t="inlineStr">
        <is>
          <t>Ponto de equilíbrio como % do faturamento atual</t>
        </is>
      </c>
      <c r="B24" s="23">
        <f>IFERROR($B$18/$B$20,"")</f>
        <v/>
      </c>
      <c r="C24" s="17" t="inlineStr">
        <is>
          <t>%</t>
        </is>
      </c>
      <c r="D24" s="25" t="inlineStr">
        <is>
          <t>Distância entre o ponto de equilíbrio e o faturamento atual.</t>
        </is>
      </c>
    </row>
    <row r="25">
      <c r="A25" s="9" t="inlineStr">
        <is>
          <t>Dias úteis de venda para atingir o equilíbrio</t>
        </is>
      </c>
      <c r="B25" s="24">
        <f>IFERROR(ROUND($B$18/($B$8/22),1),"")</f>
        <v/>
      </c>
      <c r="C25" s="17" t="inlineStr">
        <is>
          <t>dias</t>
        </is>
      </c>
      <c r="D25" s="25" t="inlineStr">
        <is>
          <t>Considerando 22 dias úteis no período de análise.</t>
        </is>
      </c>
    </row>
    <row r="26">
      <c r="A26" s="9" t="inlineStr">
        <is>
          <t>Conferência — lucro no ponto de equilíbrio (deve ser R$ 0,00)</t>
        </is>
      </c>
      <c r="B26" s="18">
        <f>IFERROR($B$18*$B$16-$B$10,"")</f>
        <v/>
      </c>
      <c r="C26" s="17" t="inlineStr">
        <is>
          <t>R$</t>
        </is>
      </c>
      <c r="D26" s="25" t="inlineStr">
        <is>
          <t>Teste do cálculo: no ponto de equilíbrio o lucro é zero.</t>
        </is>
      </c>
    </row>
    <row r="29" ht="22" customHeight="1">
      <c r="A29" s="4" t="inlineStr">
        <is>
          <t>3. SIMULAÇÃO — RESULTADO EM DIFERENTES NÍVEIS DE FATURAMENTO</t>
        </is>
      </c>
      <c r="B29" s="4" t="n"/>
      <c r="C29" s="4" t="n"/>
      <c r="D29" s="4" t="n"/>
    </row>
    <row r="30" ht="34" customHeight="1">
      <c r="A30" s="21" t="inlineStr">
        <is>
          <t>Cenário de faturamento</t>
        </is>
      </c>
      <c r="B30" s="21" t="inlineStr">
        <is>
          <t>% do ponto de equilíbrio</t>
        </is>
      </c>
      <c r="C30" s="21" t="inlineStr">
        <is>
          <t>Faturamento simulado</t>
        </is>
      </c>
      <c r="D30" s="21" t="inlineStr">
        <is>
          <t>Vendas necessárias</t>
        </is>
      </c>
      <c r="E30" s="21" t="inlineStr">
        <is>
          <t>Custos variáveis e impostos</t>
        </is>
      </c>
      <c r="F30" s="21" t="inlineStr">
        <is>
          <t>Custos e despesas fixas</t>
        </is>
      </c>
      <c r="G30" s="21" t="inlineStr">
        <is>
          <t>Resultado</t>
        </is>
      </c>
      <c r="H30" s="21" t="inlineStr">
        <is>
          <t>Margem</t>
        </is>
      </c>
      <c r="I30" s="21" t="inlineStr">
        <is>
          <t>Status</t>
        </is>
      </c>
    </row>
    <row r="31">
      <c r="A31" s="17">
        <f>"Cenário 1"</f>
        <v/>
      </c>
      <c r="B31" s="23" t="n">
        <v>0.5</v>
      </c>
      <c r="C31" s="18">
        <f>$B$18*$B31</f>
        <v/>
      </c>
      <c r="D31" s="24">
        <f>IFERROR($C31/$B$11,"")</f>
        <v/>
      </c>
      <c r="E31" s="18">
        <f>$C31*$B$9</f>
        <v/>
      </c>
      <c r="F31" s="18">
        <f>$B$10</f>
        <v/>
      </c>
      <c r="G31" s="18">
        <f>$C31-$E31-$F31</f>
        <v/>
      </c>
      <c r="H31" s="23">
        <f>IFERROR($G31/$C31,"")</f>
        <v/>
      </c>
      <c r="I31" s="17">
        <f>IF($G31&lt;0,"🔴 Prejuízo",IF($G31=0,"🟡 Equilíbrio","🟢 Lucro"))</f>
        <v/>
      </c>
    </row>
    <row r="32">
      <c r="A32" s="17">
        <f>"Cenário 2"</f>
        <v/>
      </c>
      <c r="B32" s="23" t="n">
        <v>0.7</v>
      </c>
      <c r="C32" s="18">
        <f>$B$18*$B32</f>
        <v/>
      </c>
      <c r="D32" s="24">
        <f>IFERROR($C32/$B$11,"")</f>
        <v/>
      </c>
      <c r="E32" s="18">
        <f>$C32*$B$9</f>
        <v/>
      </c>
      <c r="F32" s="18">
        <f>$B$10</f>
        <v/>
      </c>
      <c r="G32" s="18">
        <f>$C32-$E32-$F32</f>
        <v/>
      </c>
      <c r="H32" s="23">
        <f>IFERROR($G32/$C32,"")</f>
        <v/>
      </c>
      <c r="I32" s="17">
        <f>IF($G32&lt;0,"🔴 Prejuízo",IF($G32=0,"🟡 Equilíbrio","🟢 Lucro"))</f>
        <v/>
      </c>
    </row>
    <row r="33">
      <c r="A33" s="17">
        <f>"Cenário 3"</f>
        <v/>
      </c>
      <c r="B33" s="23" t="n">
        <v>0.9</v>
      </c>
      <c r="C33" s="18">
        <f>$B$18*$B33</f>
        <v/>
      </c>
      <c r="D33" s="24">
        <f>IFERROR($C33/$B$11,"")</f>
        <v/>
      </c>
      <c r="E33" s="18">
        <f>$C33*$B$9</f>
        <v/>
      </c>
      <c r="F33" s="18">
        <f>$B$10</f>
        <v/>
      </c>
      <c r="G33" s="18">
        <f>$C33-$E33-$F33</f>
        <v/>
      </c>
      <c r="H33" s="23">
        <f>IFERROR($G33/$C33,"")</f>
        <v/>
      </c>
      <c r="I33" s="17">
        <f>IF($G33&lt;0,"🔴 Prejuízo",IF($G33=0,"🟡 Equilíbrio","🟢 Lucro"))</f>
        <v/>
      </c>
    </row>
    <row r="34">
      <c r="A34" s="17">
        <f>"Cenário 4"</f>
        <v/>
      </c>
      <c r="B34" s="23" t="n">
        <v>1</v>
      </c>
      <c r="C34" s="18">
        <f>$B$18*$B34</f>
        <v/>
      </c>
      <c r="D34" s="24">
        <f>IFERROR($C34/$B$11,"")</f>
        <v/>
      </c>
      <c r="E34" s="18">
        <f>$C34*$B$9</f>
        <v/>
      </c>
      <c r="F34" s="18">
        <f>$B$10</f>
        <v/>
      </c>
      <c r="G34" s="38">
        <f>$C34-$E34-$F34</f>
        <v/>
      </c>
      <c r="H34" s="23">
        <f>IFERROR($G34/$C34,"")</f>
        <v/>
      </c>
      <c r="I34" s="17">
        <f>IF($G34&lt;0,"🔴 Prejuízo",IF($G34=0,"🟡 Equilíbrio","🟢 Lucro"))</f>
        <v/>
      </c>
    </row>
    <row r="35">
      <c r="A35" s="17">
        <f>"Cenário 5"</f>
        <v/>
      </c>
      <c r="B35" s="23" t="n">
        <v>1.1</v>
      </c>
      <c r="C35" s="18">
        <f>$B$18*$B35</f>
        <v/>
      </c>
      <c r="D35" s="24">
        <f>IFERROR($C35/$B$11,"")</f>
        <v/>
      </c>
      <c r="E35" s="18">
        <f>$C35*$B$9</f>
        <v/>
      </c>
      <c r="F35" s="18">
        <f>$B$10</f>
        <v/>
      </c>
      <c r="G35" s="18">
        <f>$C35-$E35-$F35</f>
        <v/>
      </c>
      <c r="H35" s="23">
        <f>IFERROR($G35/$C35,"")</f>
        <v/>
      </c>
      <c r="I35" s="17">
        <f>IF($G35&lt;0,"🔴 Prejuízo",IF($G35=0,"🟡 Equilíbrio","🟢 Lucro"))</f>
        <v/>
      </c>
    </row>
    <row r="36">
      <c r="A36" s="17">
        <f>"Cenário 6"</f>
        <v/>
      </c>
      <c r="B36" s="23" t="n">
        <v>1.3</v>
      </c>
      <c r="C36" s="18">
        <f>$B$18*$B36</f>
        <v/>
      </c>
      <c r="D36" s="24">
        <f>IFERROR($C36/$B$11,"")</f>
        <v/>
      </c>
      <c r="E36" s="18">
        <f>$C36*$B$9</f>
        <v/>
      </c>
      <c r="F36" s="18">
        <f>$B$10</f>
        <v/>
      </c>
      <c r="G36" s="18">
        <f>$C36-$E36-$F36</f>
        <v/>
      </c>
      <c r="H36" s="23">
        <f>IFERROR($G36/$C36,"")</f>
        <v/>
      </c>
      <c r="I36" s="17">
        <f>IF($G36&lt;0,"🔴 Prejuízo",IF($G36=0,"🟡 Equilíbrio","🟢 Lucro"))</f>
        <v/>
      </c>
    </row>
    <row r="37">
      <c r="A37" s="17">
        <f>"Cenário 7"</f>
        <v/>
      </c>
      <c r="B37" s="23" t="n">
        <v>1.5</v>
      </c>
      <c r="C37" s="18">
        <f>$B$18*$B37</f>
        <v/>
      </c>
      <c r="D37" s="24">
        <f>IFERROR($C37/$B$11,"")</f>
        <v/>
      </c>
      <c r="E37" s="18">
        <f>$C37*$B$9</f>
        <v/>
      </c>
      <c r="F37" s="18">
        <f>$B$10</f>
        <v/>
      </c>
      <c r="G37" s="18">
        <f>$C37-$E37-$F37</f>
        <v/>
      </c>
      <c r="H37" s="23">
        <f>IFERROR($G37/$C37,"")</f>
        <v/>
      </c>
      <c r="I37" s="17">
        <f>IF($G37&lt;0,"🔴 Prejuízo",IF($G37=0,"🟡 Equilíbrio","🟢 Lucro"))</f>
        <v/>
      </c>
    </row>
    <row r="38">
      <c r="A38" s="17">
        <f>"Cenário 8"</f>
        <v/>
      </c>
      <c r="B38" s="23" t="n">
        <v>1.8</v>
      </c>
      <c r="C38" s="18">
        <f>$B$18*$B38</f>
        <v/>
      </c>
      <c r="D38" s="24">
        <f>IFERROR($C38/$B$11,"")</f>
        <v/>
      </c>
      <c r="E38" s="18">
        <f>$C38*$B$9</f>
        <v/>
      </c>
      <c r="F38" s="18">
        <f>$B$10</f>
        <v/>
      </c>
      <c r="G38" s="18">
        <f>$C38-$E38-$F38</f>
        <v/>
      </c>
      <c r="H38" s="23">
        <f>IFERROR($G38/$C38,"")</f>
        <v/>
      </c>
      <c r="I38" s="17">
        <f>IF($G38&lt;0,"🔴 Prejuízo",IF($G38=0,"🟡 Equilíbrio","🟢 Lucro"))</f>
        <v/>
      </c>
    </row>
    <row r="39">
      <c r="A39" s="17">
        <f>"Cenário 9"</f>
        <v/>
      </c>
      <c r="B39" s="23" t="n">
        <v>2</v>
      </c>
      <c r="C39" s="18">
        <f>$B$18*$B39</f>
        <v/>
      </c>
      <c r="D39" s="24">
        <f>IFERROR($C39/$B$11,"")</f>
        <v/>
      </c>
      <c r="E39" s="18">
        <f>$C39*$B$9</f>
        <v/>
      </c>
      <c r="F39" s="18">
        <f>$B$10</f>
        <v/>
      </c>
      <c r="G39" s="18">
        <f>$C39-$E39-$F39</f>
        <v/>
      </c>
      <c r="H39" s="23">
        <f>IFERROR($G39/$C39,"")</f>
        <v/>
      </c>
      <c r="I39" s="17">
        <f>IF($G39&lt;0,"🔴 Prejuízo",IF($G39=0,"🟡 Equilíbrio","🟢 Lucro"))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1">
    <mergeCell ref="A1:D1"/>
    <mergeCell ref="C12:D12"/>
    <mergeCell ref="C10:D10"/>
    <mergeCell ref="A6:D6"/>
    <mergeCell ref="C11:D11"/>
    <mergeCell ref="A3:D3"/>
    <mergeCell ref="A29:D29"/>
    <mergeCell ref="A2:D2"/>
    <mergeCell ref="C9:D9"/>
    <mergeCell ref="C8:D8"/>
    <mergeCell ref="A14:D14"/>
  </mergeCells>
  <conditionalFormatting sqref="B21">
    <cfRule type="expression" priority="1" dxfId="0">
      <formula>=$B$21&lt;0.2</formula>
    </cfRule>
    <cfRule type="expression" priority="2" dxfId="1">
      <formula>=AND($B$21&gt;=0.2,$B$21&lt;0.4)</formula>
    </cfRule>
    <cfRule type="expression" priority="3" dxfId="8">
      <formula>=$B$21&gt;=0.4</formula>
    </cfRule>
  </conditionalFormatting>
  <conditionalFormatting sqref="I31:I39">
    <cfRule type="expression" priority="4" dxfId="2" stopIfTrue="0">
      <formula>ISNUMBER(SEARCH("Prejuízo",I31))</formula>
    </cfRule>
    <cfRule type="expression" priority="5" dxfId="3" stopIfTrue="0">
      <formula>ISNUMBER(SEARCH("Equilíbrio",I31))</formula>
    </cfRule>
    <cfRule type="expression" priority="6" dxfId="4" stopIfTrue="0">
      <formula>ISNUMBER(SEARCH("Lucro",I31))</formula>
    </cfRule>
  </conditionalFormatting>
  <conditionalFormatting sqref="C31:C39">
    <cfRule type="dataBar" priority="7">
      <dataBar showValue="1">
        <cfvo type="num" val="0"/>
        <cfvo type="max"/>
        <color rgb="002E75B6"/>
      </dataBar>
    </cfRule>
  </conditionalFormatting>
  <dataValidations count="4">
    <dataValidation sqref="B8" showDropDown="0" showInputMessage="0" showErrorMessage="1" allowBlank="1" errorTitle="Valor inválido" error="Informe um valor maior ou igual a zero." type="decimal" errorStyle="stop" operator="greaterThanOrEqual">
      <formula1>0</formula1>
    </dataValidation>
    <dataValidation sqref="B9" showDropDown="0" showInputMessage="0" showErrorMessage="1" allowBlank="1" errorTitle="0.95" error="Percentual inválido" type="decimal" errorStyle="stop" operator="between">
      <formula1>0</formula1>
    </dataValidation>
    <dataValidation sqref="B10" showDropDown="0" showInputMessage="0" showErrorMessage="1" allowBlank="1" errorTitle="Valor inválido" error="Informe um valor maior ou igual a zero." type="decimal" errorStyle="stop" operator="greaterThanOrEqual">
      <formula1>0</formula1>
    </dataValidation>
    <dataValidation sqref="B11" showDropDown="0" showInputMessage="0" showErrorMessage="1" allowBlank="1" errorTitle="Valor inválido" error="Informe um valor maior que zero." type="decimal" errorStyle="stop" operator="greaterThan">
      <formula1>0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54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6" customWidth="1" min="7" max="7"/>
  </cols>
  <sheetData>
    <row r="1" ht="24" customHeight="1">
      <c r="A1" s="26" t="inlineStr">
        <is>
          <t>SIMULADOR DE CENÁRIOS — ATUAL, OTIMISTA E CONSERVADOR</t>
        </is>
      </c>
    </row>
    <row r="2">
      <c r="A2" s="27" t="inlineStr">
        <is>
          <t>Compare o efeito de variações no faturamento, nos custos, nas despesas fixas, nos impostos e na inadimplência sobre o lucro e o caixa dos próximos 12 meses.</t>
        </is>
      </c>
    </row>
    <row r="3" ht="22" customHeight="1">
      <c r="A3" s="3" t="inlineStr">
        <is>
          <t>As premissas do bloco 1 vêm dos números reais apurados na planilha. Os fatores do bloco 2 são editáveis: 1,00 = mantém o cenário atual, 1,10 = aumenta 10%, 0,90 = reduz 10%.</t>
        </is>
      </c>
      <c r="B3" s="3" t="n"/>
      <c r="C3" s="3" t="n"/>
      <c r="D3" s="3" t="n"/>
      <c r="E3" s="3" t="n"/>
      <c r="F3" s="3" t="n"/>
      <c r="G3" s="3" t="n"/>
    </row>
    <row r="5" ht="22" customHeight="1">
      <c r="A5" s="4" t="inlineStr">
        <is>
          <t>1. PREMISSAS BASE (calculadas automaticamente no período de análise)</t>
        </is>
      </c>
      <c r="B5" s="4" t="n"/>
      <c r="C5" s="4" t="n"/>
      <c r="D5" s="4" t="n"/>
      <c r="E5" s="4" t="n"/>
      <c r="F5" s="4" t="n"/>
    </row>
    <row r="6" ht="22" customHeight="1">
      <c r="A6" s="21" t="inlineStr">
        <is>
          <t>Premissa</t>
        </is>
      </c>
      <c r="B6" s="21" t="inlineStr">
        <is>
          <t>Valor</t>
        </is>
      </c>
      <c r="C6" s="21" t="inlineStr">
        <is>
          <t>Como é calculado</t>
        </is>
      </c>
    </row>
    <row r="7">
      <c r="A7" s="28" t="inlineStr">
        <is>
          <t>Faturamento bruto do período</t>
        </is>
      </c>
      <c r="B7" s="35">
        <f>SUMIFS('LANÇAMENTOS'!$AE$6:$AE$2005,'LANÇAMENTOS'!$AF$6:$AF$2005,"Faturamento Bruto",'LANÇAMENTOS'!$AA$6:$AA$2005,'CONFIGURAÇÕES'!$B$18,'LANÇAMENTOS'!$Z$6:$Z$2005,IF('CONFIGURAÇÕES'!$B$19=0,"&gt;0",'CONFIGURAÇÕES'!$B$19))</f>
        <v/>
      </c>
      <c r="C7" s="25" t="inlineStr">
        <is>
          <t>Soma do Faturamento Bruto na competência do mês (ou ano) de análise.</t>
        </is>
      </c>
      <c r="D7" s="25" t="n"/>
      <c r="E7" s="25" t="n"/>
      <c r="F7" s="25" t="n"/>
      <c r="G7" s="25" t="n"/>
    </row>
    <row r="8">
      <c r="A8" s="28" t="inlineStr">
        <is>
          <t>Custos variáveis do período</t>
        </is>
      </c>
      <c r="B8" s="35">
        <f>SUMIFS('LANÇAMENTOS'!$AE$6:$AE$2005,'LANÇAMENTOS'!$AF$6:$AF$2005,"Custos Variáveis",'LANÇAMENTOS'!$AA$6:$AA$2005,'CONFIGURAÇÕES'!$B$18,'LANÇAMENTOS'!$Z$6:$Z$2005,IF('CONFIGURAÇÕES'!$B$19=0,"&gt;0",'CONFIGURAÇÕES'!$B$19))</f>
        <v/>
      </c>
      <c r="C8" s="25" t="inlineStr">
        <is>
          <t>Custos que acompanham o volume de vendas.</t>
        </is>
      </c>
      <c r="D8" s="25" t="n"/>
      <c r="E8" s="25" t="n"/>
      <c r="F8" s="25" t="n"/>
      <c r="G8" s="25" t="n"/>
    </row>
    <row r="9">
      <c r="A9" s="28" t="inlineStr">
        <is>
          <t>Impostos sobre vendas do período</t>
        </is>
      </c>
      <c r="B9" s="35">
        <f>SUMIFS('LANÇAMENTOS'!$AE$6:$AE$2005,'LANÇAMENTOS'!$AF$6:$AF$2005,"Impostos sobre Vendas",'LANÇAMENTOS'!$AA$6:$AA$2005,'CONFIGURAÇÕES'!$B$18,'LANÇAMENTOS'!$Z$6:$Z$2005,IF('CONFIGURAÇÕES'!$B$19=0,"&gt;0",'CONFIGURAÇÕES'!$B$19))</f>
        <v/>
      </c>
      <c r="C9" s="25" t="inlineStr">
        <is>
          <t>Tributos incidentes sobre as vendas.</t>
        </is>
      </c>
      <c r="D9" s="25" t="n"/>
      <c r="E9" s="25" t="n"/>
      <c r="F9" s="25" t="n"/>
      <c r="G9" s="25" t="n"/>
    </row>
    <row r="10">
      <c r="A10" s="28" t="inlineStr">
        <is>
          <t>Devoluções do período</t>
        </is>
      </c>
      <c r="B10" s="35">
        <f>SUMIFS('LANÇAMENTOS'!$AE$6:$AE$2005,'LANÇAMENTOS'!$AF$6:$AF$2005,"Devoluções",'LANÇAMENTOS'!$AA$6:$AA$2005,'CONFIGURAÇÕES'!$B$18,'LANÇAMENTOS'!$Z$6:$Z$2005,IF('CONFIGURAÇÕES'!$B$19=0,"&gt;0",'CONFIGURAÇÕES'!$B$19))</f>
        <v/>
      </c>
      <c r="C10" s="25" t="inlineStr">
        <is>
          <t>Vendas canceladas ou devolvidas.</t>
        </is>
      </c>
      <c r="D10" s="25" t="n"/>
      <c r="E10" s="25" t="n"/>
      <c r="F10" s="25" t="n"/>
      <c r="G10" s="25" t="n"/>
    </row>
    <row r="11">
      <c r="A11" s="28" t="inlineStr">
        <is>
          <t>Despesas fixas do período</t>
        </is>
      </c>
      <c r="B11" s="35">
        <f>SUMIFS('LANÇAMENTOS'!$AE$6:$AE$2005,'LANÇAMENTOS'!$AF$6:$AF$2005,"Despesas Fixas",'LANÇAMENTOS'!$AA$6:$AA$2005,'CONFIGURAÇÕES'!$B$18,'LANÇAMENTOS'!$Z$6:$Z$2005,IF('CONFIGURAÇÕES'!$B$19=0,"&gt;0",'CONFIGURAÇÕES'!$B$19))</f>
        <v/>
      </c>
      <c r="C11" s="25" t="inlineStr">
        <is>
          <t>Estrutura administrativa, pessoal e comercial.</t>
        </is>
      </c>
      <c r="D11" s="25" t="n"/>
      <c r="E11" s="25" t="n"/>
      <c r="F11" s="25" t="n"/>
      <c r="G11" s="25" t="n"/>
    </row>
    <row r="12">
      <c r="A12" s="28" t="inlineStr">
        <is>
          <t>Despesas financeiras do período</t>
        </is>
      </c>
      <c r="B12" s="35">
        <f>SUMIFS('LANÇAMENTOS'!$AE$6:$AE$2005,'LANÇAMENTOS'!$AF$6:$AF$2005,"Despesas Financeiras",'LANÇAMENTOS'!$AA$6:$AA$2005,'CONFIGURAÇÕES'!$B$18,'LANÇAMENTOS'!$Z$6:$Z$2005,IF('CONFIGURAÇÕES'!$B$19=0,"&gt;0",'CONFIGURAÇÕES'!$B$19))</f>
        <v/>
      </c>
      <c r="C12" s="25" t="inlineStr">
        <is>
          <t>Juros, tarifas e encargos bancários.</t>
        </is>
      </c>
      <c r="D12" s="25" t="n"/>
      <c r="E12" s="25" t="n"/>
      <c r="F12" s="25" t="n"/>
      <c r="G12" s="25" t="n"/>
    </row>
    <row r="13">
      <c r="A13" s="28" t="inlineStr">
        <is>
          <t>Saldo de caixa disponível hoje</t>
        </is>
      </c>
      <c r="B13" s="35">
        <f>SUM('CONTAS BANCÁRIAS'!$G$6:$G$13)+SUMIFS('LANÇAMENTOS'!$V$6:$V$2005,'LANÇAMENTOS'!$E$6:$E$2005,"Entrada",'LANÇAMENTOS'!$D$6:$D$2005,"&lt;="&amp;TODAY())-SUMIFS('LANÇAMENTOS'!$V$6:$V$2005,'LANÇAMENTOS'!$E$6:$E$2005,"Saída",'LANÇAMENTOS'!$D$6:$D$2005,"&lt;="&amp;TODAY())</f>
        <v/>
      </c>
      <c r="C13" s="25" t="inlineStr">
        <is>
          <t>Posição de caixa atual das contas bancárias mais as realizações.</t>
        </is>
      </c>
      <c r="D13" s="25" t="n"/>
      <c r="E13" s="25" t="n"/>
      <c r="F13" s="25" t="n"/>
      <c r="G13" s="25" t="n"/>
    </row>
    <row r="14">
      <c r="A14" s="28" t="inlineStr">
        <is>
          <t>Inadimplência do período</t>
        </is>
      </c>
      <c r="B14" s="32">
        <f>IFERROR(SUMIFS('LANÇAMENTOS'!$W$6:$W$2005,'LANÇAMENTOS'!$E$6:$E$2005,"Entrada",'LANÇAMENTOS'!$W$6:$W$2005,"&gt;0",'LANÇAMENTOS'!$C$6:$C$2005,"&lt;"&amp;TODAY())/SUMIFS('LANÇAMENTOS'!$AE$6:$AE$2005,'LANÇAMENTOS'!$AF$6:$AF$2005,"Faturamento Bruto",'LANÇAMENTOS'!$AA$6:$AA$2005,'CONFIGURAÇÕES'!$B$18,'LANÇAMENTOS'!$Z$6:$Z$2005,IF('CONFIGURAÇÕES'!$B$19=0,"&gt;0",'CONFIGURAÇÕES'!$B$19)),"")</f>
        <v/>
      </c>
      <c r="C14" s="25" t="inlineStr">
        <is>
          <t>Vencido a receber dividido pelo faturamento do período.</t>
        </is>
      </c>
      <c r="D14" s="25" t="n"/>
      <c r="E14" s="25" t="n"/>
      <c r="F14" s="25" t="n"/>
      <c r="G14" s="25" t="n"/>
    </row>
    <row r="16" ht="22" customHeight="1">
      <c r="A16" s="4" t="inlineStr">
        <is>
          <t>2. FATORES DOS CENÁRIOS (editáveis)</t>
        </is>
      </c>
      <c r="B16" s="4" t="n"/>
      <c r="C16" s="4" t="n"/>
      <c r="D16" s="4" t="n"/>
      <c r="E16" s="4" t="n"/>
      <c r="F16" s="4" t="n"/>
    </row>
    <row r="17" ht="30" customHeight="1">
      <c r="A17" s="21" t="inlineStr">
        <is>
          <t>Premissa</t>
        </is>
      </c>
      <c r="B17" s="21" t="inlineStr">
        <is>
          <t>Cenário atual</t>
        </is>
      </c>
      <c r="C17" s="21" t="inlineStr">
        <is>
          <t>Cenário otimista</t>
        </is>
      </c>
      <c r="D17" s="21" t="inlineStr">
        <is>
          <t>Cenário conservador</t>
        </is>
      </c>
      <c r="E17" s="21" t="inlineStr">
        <is>
          <t>Comentário</t>
        </is>
      </c>
    </row>
    <row r="18">
      <c r="A18" s="28" t="inlineStr">
        <is>
          <t>Fator sobre o faturamento</t>
        </is>
      </c>
      <c r="B18" s="32" t="n">
        <v>1</v>
      </c>
      <c r="C18" s="32" t="n">
        <v>1.1</v>
      </c>
      <c r="D18" s="32" t="n">
        <v>0.9</v>
      </c>
      <c r="E18" s="25" t="inlineStr">
        <is>
          <t>Otimista: +10% de vendas; conservador: −10%.</t>
        </is>
      </c>
      <c r="F18" s="25" t="n"/>
      <c r="G18" s="25" t="n"/>
    </row>
    <row r="19">
      <c r="A19" s="28" t="inlineStr">
        <is>
          <t>Fator sobre os custos variáveis</t>
        </is>
      </c>
      <c r="B19" s="32" t="n">
        <v>1</v>
      </c>
      <c r="C19" s="32" t="n">
        <v>1.05</v>
      </c>
      <c r="D19" s="32" t="n">
        <v>0.92</v>
      </c>
      <c r="E19" s="25" t="inlineStr">
        <is>
          <t>Os custos acompanham as vendas.</t>
        </is>
      </c>
      <c r="F19" s="25" t="n"/>
      <c r="G19" s="25" t="n"/>
    </row>
    <row r="20">
      <c r="A20" s="28" t="inlineStr">
        <is>
          <t>Fator sobre as despesas fixas</t>
        </is>
      </c>
      <c r="B20" s="32" t="n">
        <v>1</v>
      </c>
      <c r="C20" s="32" t="n">
        <v>1</v>
      </c>
      <c r="D20" s="32" t="n">
        <v>1</v>
      </c>
      <c r="E20" s="25" t="inlineStr">
        <is>
          <t>Mantenha 1,00 para não alterar a estrutura.</t>
        </is>
      </c>
      <c r="F20" s="25" t="n"/>
      <c r="G20" s="25" t="n"/>
    </row>
    <row r="21">
      <c r="A21" s="28" t="inlineStr">
        <is>
          <t>Fator sobre os impostos</t>
        </is>
      </c>
      <c r="B21" s="32" t="n">
        <v>1</v>
      </c>
      <c r="C21" s="32" t="n">
        <v>1</v>
      </c>
      <c r="D21" s="32" t="n">
        <v>1.05</v>
      </c>
      <c r="E21" s="25" t="inlineStr">
        <is>
          <t>Conservador: carga tributária 5% maior.</t>
        </is>
      </c>
      <c r="F21" s="25" t="n"/>
      <c r="G21" s="25" t="n"/>
    </row>
    <row r="22">
      <c r="A22" s="28" t="inlineStr">
        <is>
          <t>Fator sobre a inadimplência</t>
        </is>
      </c>
      <c r="B22" s="32" t="n">
        <v>1</v>
      </c>
      <c r="C22" s="32" t="n">
        <v>0.8</v>
      </c>
      <c r="D22" s="32" t="n">
        <v>1.5</v>
      </c>
      <c r="E22" s="25" t="inlineStr">
        <is>
          <t>Conservador: 50% mais clientes em atraso.</t>
        </is>
      </c>
      <c r="F22" s="25" t="n"/>
      <c r="G22" s="25" t="n"/>
    </row>
    <row r="24" ht="22" customHeight="1">
      <c r="A24" s="4" t="inlineStr">
        <is>
          <t>3. RESULTADO PROJETADO PARA OS PRÓXIMOS 12 MESES</t>
        </is>
      </c>
      <c r="B24" s="4" t="n"/>
      <c r="C24" s="4" t="n"/>
      <c r="D24" s="4" t="n"/>
      <c r="E24" s="4" t="n"/>
      <c r="F24" s="4" t="n"/>
    </row>
    <row r="25" ht="30" customHeight="1">
      <c r="A25" s="21" t="inlineStr">
        <is>
          <t>Linha projetada</t>
        </is>
      </c>
      <c r="B25" s="21" t="inlineStr">
        <is>
          <t>Cenário atual</t>
        </is>
      </c>
      <c r="C25" s="21" t="inlineStr">
        <is>
          <t>Cenário otimista</t>
        </is>
      </c>
      <c r="D25" s="21" t="inlineStr">
        <is>
          <t>Cenário conservador</t>
        </is>
      </c>
      <c r="E25" s="21" t="inlineStr">
        <is>
          <t>Diferença (otimista − atual)</t>
        </is>
      </c>
      <c r="F25" s="21" t="inlineStr">
        <is>
          <t>Como é calculado</t>
        </is>
      </c>
    </row>
    <row r="26">
      <c r="A26" s="9" t="inlineStr">
        <is>
          <t>Faturamento bruto projetado</t>
        </is>
      </c>
      <c r="B26" s="18">
        <f>$B$7*12*B$18</f>
        <v/>
      </c>
      <c r="C26" s="18">
        <f>$B$7*12*C$18</f>
        <v/>
      </c>
      <c r="D26" s="18">
        <f>$B$7*12*D$18</f>
        <v/>
      </c>
      <c r="E26" s="18">
        <f>C26-B26</f>
        <v/>
      </c>
      <c r="F26" s="25" t="inlineStr">
        <is>
          <t>Premissas do bloco 1 × fatores da coluna × 12 meses.</t>
        </is>
      </c>
    </row>
    <row r="27">
      <c r="A27" s="9" t="inlineStr">
        <is>
          <t>(−) Impostos sobre as vendas</t>
        </is>
      </c>
      <c r="B27" s="18">
        <f>-$B$9*12*B$21*B$18</f>
        <v/>
      </c>
      <c r="C27" s="18">
        <f>-$B$9*12*C$21*C$18</f>
        <v/>
      </c>
      <c r="D27" s="18">
        <f>-$B$9*12*D$21*D$18</f>
        <v/>
      </c>
      <c r="E27" s="18">
        <f>C27-B27</f>
        <v/>
      </c>
      <c r="F27" s="25" t="inlineStr">
        <is>
          <t>Premissas do bloco 1 × fatores da coluna × 12 meses.</t>
        </is>
      </c>
    </row>
    <row r="28">
      <c r="A28" s="9" t="inlineStr">
        <is>
          <t>(−) Devoluções</t>
        </is>
      </c>
      <c r="B28" s="18">
        <f>-$B$10*12*B$18</f>
        <v/>
      </c>
      <c r="C28" s="18">
        <f>-$B$10*12*C$18</f>
        <v/>
      </c>
      <c r="D28" s="18">
        <f>-$B$10*12*D$18</f>
        <v/>
      </c>
      <c r="E28" s="18">
        <f>C28-B28</f>
        <v/>
      </c>
      <c r="F28" s="25" t="inlineStr">
        <is>
          <t>Premissas do bloco 1 × fatores da coluna × 12 meses.</t>
        </is>
      </c>
    </row>
    <row r="29">
      <c r="A29" s="9" t="inlineStr">
        <is>
          <t>(−) Custos variáveis</t>
        </is>
      </c>
      <c r="B29" s="18">
        <f>-$B$8*12*B$19</f>
        <v/>
      </c>
      <c r="C29" s="18">
        <f>-$B$8*12*C$19</f>
        <v/>
      </c>
      <c r="D29" s="18">
        <f>-$B$8*12*D$19</f>
        <v/>
      </c>
      <c r="E29" s="18">
        <f>C29-B29</f>
        <v/>
      </c>
      <c r="F29" s="25" t="inlineStr">
        <is>
          <t>Premissas do bloco 1 × fatores da coluna × 12 meses.</t>
        </is>
      </c>
    </row>
    <row r="30">
      <c r="A30" s="37" t="inlineStr">
        <is>
          <t>▶ Margem de contribuição</t>
        </is>
      </c>
      <c r="B30" s="38">
        <f>B26+B27+B28+B29</f>
        <v/>
      </c>
      <c r="C30" s="38">
        <f>C26+C27+C28+C29</f>
        <v/>
      </c>
      <c r="D30" s="38">
        <f>D26+D27+D28+D29</f>
        <v/>
      </c>
      <c r="E30" s="18">
        <f>C30-B30</f>
        <v/>
      </c>
      <c r="F30" s="25" t="inlineStr">
        <is>
          <t>Premissas do bloco 1 × fatores da coluna × 12 meses.</t>
        </is>
      </c>
    </row>
    <row r="31">
      <c r="A31" s="9" t="inlineStr">
        <is>
          <t>(−) Despesas fixas</t>
        </is>
      </c>
      <c r="B31" s="18">
        <f>-$B$11*12*B$20</f>
        <v/>
      </c>
      <c r="C31" s="18">
        <f>-$B$11*12*C$20</f>
        <v/>
      </c>
      <c r="D31" s="18">
        <f>-$B$11*12*D$20</f>
        <v/>
      </c>
      <c r="E31" s="18">
        <f>C31-B31</f>
        <v/>
      </c>
      <c r="F31" s="25" t="inlineStr">
        <is>
          <t>Premissas do bloco 1 × fatores da coluna × 12 meses.</t>
        </is>
      </c>
    </row>
    <row r="32">
      <c r="A32" s="9" t="inlineStr">
        <is>
          <t>(−) Despesas financeiras</t>
        </is>
      </c>
      <c r="B32" s="18">
        <f>-$B$12*12*B$20</f>
        <v/>
      </c>
      <c r="C32" s="18">
        <f>-$B$12*12*C$20</f>
        <v/>
      </c>
      <c r="D32" s="18">
        <f>-$B$12*12*D$20</f>
        <v/>
      </c>
      <c r="E32" s="18">
        <f>C32-B32</f>
        <v/>
      </c>
      <c r="F32" s="25" t="inlineStr">
        <is>
          <t>Premissas do bloco 1 × fatores da coluna × 12 meses.</t>
        </is>
      </c>
    </row>
    <row r="33" ht="26" customHeight="1">
      <c r="A33" s="9" t="inlineStr">
        <is>
          <t>(−) Perdas por inadimplência (provisão do vencido atual)</t>
        </is>
      </c>
      <c r="B33" s="18">
        <f>-$B$14*$B$7*B$22</f>
        <v/>
      </c>
      <c r="C33" s="18">
        <f>-$B$14*$B$7*C$22</f>
        <v/>
      </c>
      <c r="D33" s="18">
        <f>-$B$14*$B$7*D$22</f>
        <v/>
      </c>
      <c r="E33" s="18">
        <f>C33-B33</f>
        <v/>
      </c>
      <c r="F33" s="25" t="inlineStr">
        <is>
          <t>Provisão calculada sobre o valor vencido a receber atual (estoque), ajustada pelo fator do cenário — não é a taxa mensal repetida 12 vezes.</t>
        </is>
      </c>
    </row>
    <row r="34">
      <c r="A34" s="37" t="inlineStr">
        <is>
          <t>▶ Lucro líquido projetado</t>
        </is>
      </c>
      <c r="B34" s="38">
        <f>B30+B31+B32+B33</f>
        <v/>
      </c>
      <c r="C34" s="38">
        <f>C30+C31+C32+C33</f>
        <v/>
      </c>
      <c r="D34" s="38">
        <f>D30+D31+D32+D33</f>
        <v/>
      </c>
      <c r="E34" s="18">
        <f>C34-B34</f>
        <v/>
      </c>
      <c r="F34" s="25" t="inlineStr">
        <is>
          <t>Premissas do bloco 1 × fatores da coluna × 12 meses.</t>
        </is>
      </c>
    </row>
    <row r="35">
      <c r="A35" s="9" t="inlineStr">
        <is>
          <t>Margem líquida projetada</t>
        </is>
      </c>
      <c r="B35" s="39">
        <f>IFERROR(B34/B26,"")</f>
        <v/>
      </c>
      <c r="C35" s="39">
        <f>IFERROR(C34/C26,"")</f>
        <v/>
      </c>
      <c r="D35" s="39">
        <f>IFERROR(D34/D26,"")</f>
        <v/>
      </c>
      <c r="E35" s="23">
        <f>C35-B35</f>
        <v/>
      </c>
      <c r="F35" s="25" t="inlineStr">
        <is>
          <t>Premissas do bloco 1 × fatores da coluna × 12 meses.</t>
        </is>
      </c>
    </row>
    <row r="36">
      <c r="A36" s="37" t="inlineStr">
        <is>
          <t>▶ Caixa estimado em 12 meses (saldo atual + lucro projetado)</t>
        </is>
      </c>
      <c r="B36" s="38">
        <f>$B$13+B34</f>
        <v/>
      </c>
      <c r="C36" s="38">
        <f>$B$13+C34</f>
        <v/>
      </c>
      <c r="D36" s="38">
        <f>$B$13+D34</f>
        <v/>
      </c>
      <c r="E36" s="18">
        <f>C36-B36</f>
        <v/>
      </c>
      <c r="F36" s="25" t="inlineStr">
        <is>
          <t>Premissas do bloco 1 × fatores da coluna × 12 meses.</t>
        </is>
      </c>
    </row>
    <row r="39" ht="22" customHeight="1">
      <c r="A39" s="4" t="inlineStr">
        <is>
          <t>4. PROJEÇÃO MENSAL DE CAIXA POR CENÁRIO</t>
        </is>
      </c>
      <c r="B39" s="4" t="n"/>
      <c r="C39" s="4" t="n"/>
      <c r="D39" s="4" t="n"/>
      <c r="E39" s="4" t="n"/>
      <c r="F39" s="4" t="n"/>
    </row>
    <row r="40" ht="30" customHeight="1">
      <c r="A40" s="21" t="inlineStr">
        <is>
          <t>Mês</t>
        </is>
      </c>
      <c r="B40" s="21" t="inlineStr">
        <is>
          <t>Saldo inicial</t>
        </is>
      </c>
      <c r="C40" s="21" t="inlineStr">
        <is>
          <t>Entradas (cenário atual)</t>
        </is>
      </c>
      <c r="D40" s="21" t="inlineStr">
        <is>
          <t>Saídas (cenário atual)</t>
        </is>
      </c>
      <c r="E40" s="21" t="inlineStr">
        <is>
          <t>Saldo final (atual)</t>
        </is>
      </c>
      <c r="F40" s="21" t="inlineStr">
        <is>
          <t>Saldo final (otimista)</t>
        </is>
      </c>
      <c r="G40" s="21" t="inlineStr">
        <is>
          <t>Saldo final (conservador)</t>
        </is>
      </c>
    </row>
    <row r="41">
      <c r="A41" s="17">
        <f>TEXT(EDATE(DATE('CONFIGURAÇÕES'!$B$18,IF('CONFIGURAÇÕES'!$B$19=0,"&gt;0",'CONFIGURAÇÕES'!$B$19),1),0),"MM/AAAA")</f>
        <v/>
      </c>
      <c r="B41" s="18">
        <f>$B$13</f>
        <v/>
      </c>
      <c r="C41" s="18">
        <f>$B$7*(1+'CONFIGURAÇÕES'!$B$31)^0*B$18*(1-$B$14*B$22)</f>
        <v/>
      </c>
      <c r="D41" s="18">
        <f>($B$8*(1+'CONFIGURAÇÕES'!$B$31)^0*B$19+$B$11*B$20+$B$12*B$20+$B$9*(1+'CONFIGURAÇÕES'!$B$31)^0*B$21+$B$10*(1+'CONFIGURAÇÕES'!$B$31)^0)</f>
        <v/>
      </c>
      <c r="E41" s="38">
        <f>$B41+$C41-$D41</f>
        <v/>
      </c>
      <c r="F41" s="18">
        <f>$B$13+($B$7*(1+'CONFIGURAÇÕES'!$B$31)^0*C$18*(1-$B$14*C$22))-(($B$8*(1+'CONFIGURAÇÕES'!$B$31)^0*C$19+$B$11*C$20+$B$12*C$20+$B$9*(1+'CONFIGURAÇÕES'!$B$31)^0*C$21+$B$10*(1+'CONFIGURAÇÕES'!$B$31)^0))</f>
        <v/>
      </c>
      <c r="G41" s="18">
        <f>$B$13+($B$7*(1+'CONFIGURAÇÕES'!$B$31)^0*D$18*(1-$B$14*D$22))-(($B$8*(1+'CONFIGURAÇÕES'!$B$31)^0*D$19+$B$11*D$20+$B$12*D$20+$B$9*(1+'CONFIGURAÇÕES'!$B$31)^0*D$21+$B$10*(1+'CONFIGURAÇÕES'!$B$31)^0))</f>
        <v/>
      </c>
    </row>
    <row r="42">
      <c r="A42" s="17">
        <f>TEXT(EDATE(DATE('CONFIGURAÇÕES'!$B$18,IF('CONFIGURAÇÕES'!$B$19=0,"&gt;0",'CONFIGURAÇÕES'!$B$19),1),1),"MM/AAAA")</f>
        <v/>
      </c>
      <c r="B42" s="18">
        <f>$E41</f>
        <v/>
      </c>
      <c r="C42" s="18">
        <f>$B$7*(1+'CONFIGURAÇÕES'!$B$31)^1*B$18*(1-$B$14*B$22)</f>
        <v/>
      </c>
      <c r="D42" s="18">
        <f>($B$8*(1+'CONFIGURAÇÕES'!$B$31)^1*B$19+$B$11*B$20+$B$12*B$20+$B$9*(1+'CONFIGURAÇÕES'!$B$31)^1*B$21+$B$10*(1+'CONFIGURAÇÕES'!$B$31)^1)</f>
        <v/>
      </c>
      <c r="E42" s="38">
        <f>$B42+$C42-$D42</f>
        <v/>
      </c>
      <c r="F42" s="18">
        <f>$F41+($B$7*(1+'CONFIGURAÇÕES'!$B$31)^1*C$18*(1-$B$14*C$22))-(($B$8*(1+'CONFIGURAÇÕES'!$B$31)^1*C$19+$B$11*C$20+$B$12*C$20+$B$9*(1+'CONFIGURAÇÕES'!$B$31)^1*C$21+$B$10*(1+'CONFIGURAÇÕES'!$B$31)^1))</f>
        <v/>
      </c>
      <c r="G42" s="18">
        <f>$G41+($B$7*(1+'CONFIGURAÇÕES'!$B$31)^1*D$18*(1-$B$14*D$22))-(($B$8*(1+'CONFIGURAÇÕES'!$B$31)^1*D$19+$B$11*D$20+$B$12*D$20+$B$9*(1+'CONFIGURAÇÕES'!$B$31)^1*D$21+$B$10*(1+'CONFIGURAÇÕES'!$B$31)^1))</f>
        <v/>
      </c>
    </row>
    <row r="43">
      <c r="A43" s="17">
        <f>TEXT(EDATE(DATE('CONFIGURAÇÕES'!$B$18,IF('CONFIGURAÇÕES'!$B$19=0,"&gt;0",'CONFIGURAÇÕES'!$B$19),1),2),"MM/AAAA")</f>
        <v/>
      </c>
      <c r="B43" s="18">
        <f>$E42</f>
        <v/>
      </c>
      <c r="C43" s="18">
        <f>$B$7*(1+'CONFIGURAÇÕES'!$B$31)^2*B$18*(1-$B$14*B$22)</f>
        <v/>
      </c>
      <c r="D43" s="18">
        <f>($B$8*(1+'CONFIGURAÇÕES'!$B$31)^2*B$19+$B$11*B$20+$B$12*B$20+$B$9*(1+'CONFIGURAÇÕES'!$B$31)^2*B$21+$B$10*(1+'CONFIGURAÇÕES'!$B$31)^2)</f>
        <v/>
      </c>
      <c r="E43" s="38">
        <f>$B43+$C43-$D43</f>
        <v/>
      </c>
      <c r="F43" s="18">
        <f>$F42+($B$7*(1+'CONFIGURAÇÕES'!$B$31)^2*C$18*(1-$B$14*C$22))-(($B$8*(1+'CONFIGURAÇÕES'!$B$31)^2*C$19+$B$11*C$20+$B$12*C$20+$B$9*(1+'CONFIGURAÇÕES'!$B$31)^2*C$21+$B$10*(1+'CONFIGURAÇÕES'!$B$31)^2))</f>
        <v/>
      </c>
      <c r="G43" s="18">
        <f>$G42+($B$7*(1+'CONFIGURAÇÕES'!$B$31)^2*D$18*(1-$B$14*D$22))-(($B$8*(1+'CONFIGURAÇÕES'!$B$31)^2*D$19+$B$11*D$20+$B$12*D$20+$B$9*(1+'CONFIGURAÇÕES'!$B$31)^2*D$21+$B$10*(1+'CONFIGURAÇÕES'!$B$31)^2))</f>
        <v/>
      </c>
    </row>
    <row r="44">
      <c r="A44" s="17">
        <f>TEXT(EDATE(DATE('CONFIGURAÇÕES'!$B$18,IF('CONFIGURAÇÕES'!$B$19=0,"&gt;0",'CONFIGURAÇÕES'!$B$19),1),3),"MM/AAAA")</f>
        <v/>
      </c>
      <c r="B44" s="18">
        <f>$E43</f>
        <v/>
      </c>
      <c r="C44" s="18">
        <f>$B$7*(1+'CONFIGURAÇÕES'!$B$31)^3*B$18*(1-$B$14*B$22)</f>
        <v/>
      </c>
      <c r="D44" s="18">
        <f>($B$8*(1+'CONFIGURAÇÕES'!$B$31)^3*B$19+$B$11*B$20+$B$12*B$20+$B$9*(1+'CONFIGURAÇÕES'!$B$31)^3*B$21+$B$10*(1+'CONFIGURAÇÕES'!$B$31)^3)</f>
        <v/>
      </c>
      <c r="E44" s="38">
        <f>$B44+$C44-$D44</f>
        <v/>
      </c>
      <c r="F44" s="18">
        <f>$F43+($B$7*(1+'CONFIGURAÇÕES'!$B$31)^3*C$18*(1-$B$14*C$22))-(($B$8*(1+'CONFIGURAÇÕES'!$B$31)^3*C$19+$B$11*C$20+$B$12*C$20+$B$9*(1+'CONFIGURAÇÕES'!$B$31)^3*C$21+$B$10*(1+'CONFIGURAÇÕES'!$B$31)^3))</f>
        <v/>
      </c>
      <c r="G44" s="18">
        <f>$G43+($B$7*(1+'CONFIGURAÇÕES'!$B$31)^3*D$18*(1-$B$14*D$22))-(($B$8*(1+'CONFIGURAÇÕES'!$B$31)^3*D$19+$B$11*D$20+$B$12*D$20+$B$9*(1+'CONFIGURAÇÕES'!$B$31)^3*D$21+$B$10*(1+'CONFIGURAÇÕES'!$B$31)^3))</f>
        <v/>
      </c>
    </row>
    <row r="45">
      <c r="A45" s="17">
        <f>TEXT(EDATE(DATE('CONFIGURAÇÕES'!$B$18,IF('CONFIGURAÇÕES'!$B$19=0,"&gt;0",'CONFIGURAÇÕES'!$B$19),1),4),"MM/AAAA")</f>
        <v/>
      </c>
      <c r="B45" s="18">
        <f>$E44</f>
        <v/>
      </c>
      <c r="C45" s="18">
        <f>$B$7*(1+'CONFIGURAÇÕES'!$B$31)^4*B$18*(1-$B$14*B$22)</f>
        <v/>
      </c>
      <c r="D45" s="18">
        <f>($B$8*(1+'CONFIGURAÇÕES'!$B$31)^4*B$19+$B$11*B$20+$B$12*B$20+$B$9*(1+'CONFIGURAÇÕES'!$B$31)^4*B$21+$B$10*(1+'CONFIGURAÇÕES'!$B$31)^4)</f>
        <v/>
      </c>
      <c r="E45" s="38">
        <f>$B45+$C45-$D45</f>
        <v/>
      </c>
      <c r="F45" s="18">
        <f>$F44+($B$7*(1+'CONFIGURAÇÕES'!$B$31)^4*C$18*(1-$B$14*C$22))-(($B$8*(1+'CONFIGURAÇÕES'!$B$31)^4*C$19+$B$11*C$20+$B$12*C$20+$B$9*(1+'CONFIGURAÇÕES'!$B$31)^4*C$21+$B$10*(1+'CONFIGURAÇÕES'!$B$31)^4))</f>
        <v/>
      </c>
      <c r="G45" s="18">
        <f>$G44+($B$7*(1+'CONFIGURAÇÕES'!$B$31)^4*D$18*(1-$B$14*D$22))-(($B$8*(1+'CONFIGURAÇÕES'!$B$31)^4*D$19+$B$11*D$20+$B$12*D$20+$B$9*(1+'CONFIGURAÇÕES'!$B$31)^4*D$21+$B$10*(1+'CONFIGURAÇÕES'!$B$31)^4))</f>
        <v/>
      </c>
    </row>
    <row r="46">
      <c r="A46" s="17">
        <f>TEXT(EDATE(DATE('CONFIGURAÇÕES'!$B$18,IF('CONFIGURAÇÕES'!$B$19=0,"&gt;0",'CONFIGURAÇÕES'!$B$19),1),5),"MM/AAAA")</f>
        <v/>
      </c>
      <c r="B46" s="18">
        <f>$E45</f>
        <v/>
      </c>
      <c r="C46" s="18">
        <f>$B$7*(1+'CONFIGURAÇÕES'!$B$31)^5*B$18*(1-$B$14*B$22)</f>
        <v/>
      </c>
      <c r="D46" s="18">
        <f>($B$8*(1+'CONFIGURAÇÕES'!$B$31)^5*B$19+$B$11*B$20+$B$12*B$20+$B$9*(1+'CONFIGURAÇÕES'!$B$31)^5*B$21+$B$10*(1+'CONFIGURAÇÕES'!$B$31)^5)</f>
        <v/>
      </c>
      <c r="E46" s="38">
        <f>$B46+$C46-$D46</f>
        <v/>
      </c>
      <c r="F46" s="18">
        <f>$F45+($B$7*(1+'CONFIGURAÇÕES'!$B$31)^5*C$18*(1-$B$14*C$22))-(($B$8*(1+'CONFIGURAÇÕES'!$B$31)^5*C$19+$B$11*C$20+$B$12*C$20+$B$9*(1+'CONFIGURAÇÕES'!$B$31)^5*C$21+$B$10*(1+'CONFIGURAÇÕES'!$B$31)^5))</f>
        <v/>
      </c>
      <c r="G46" s="18">
        <f>$G45+($B$7*(1+'CONFIGURAÇÕES'!$B$31)^5*D$18*(1-$B$14*D$22))-(($B$8*(1+'CONFIGURAÇÕES'!$B$31)^5*D$19+$B$11*D$20+$B$12*D$20+$B$9*(1+'CONFIGURAÇÕES'!$B$31)^5*D$21+$B$10*(1+'CONFIGURAÇÕES'!$B$31)^5))</f>
        <v/>
      </c>
    </row>
    <row r="47">
      <c r="A47" s="17">
        <f>TEXT(EDATE(DATE('CONFIGURAÇÕES'!$B$18,IF('CONFIGURAÇÕES'!$B$19=0,"&gt;0",'CONFIGURAÇÕES'!$B$19),1),6),"MM/AAAA")</f>
        <v/>
      </c>
      <c r="B47" s="18">
        <f>$E46</f>
        <v/>
      </c>
      <c r="C47" s="18">
        <f>$B$7*(1+'CONFIGURAÇÕES'!$B$31)^6*B$18*(1-$B$14*B$22)</f>
        <v/>
      </c>
      <c r="D47" s="18">
        <f>($B$8*(1+'CONFIGURAÇÕES'!$B$31)^6*B$19+$B$11*B$20+$B$12*B$20+$B$9*(1+'CONFIGURAÇÕES'!$B$31)^6*B$21+$B$10*(1+'CONFIGURAÇÕES'!$B$31)^6)</f>
        <v/>
      </c>
      <c r="E47" s="38">
        <f>$B47+$C47-$D47</f>
        <v/>
      </c>
      <c r="F47" s="18">
        <f>$F46+($B$7*(1+'CONFIGURAÇÕES'!$B$31)^6*C$18*(1-$B$14*C$22))-(($B$8*(1+'CONFIGURAÇÕES'!$B$31)^6*C$19+$B$11*C$20+$B$12*C$20+$B$9*(1+'CONFIGURAÇÕES'!$B$31)^6*C$21+$B$10*(1+'CONFIGURAÇÕES'!$B$31)^6))</f>
        <v/>
      </c>
      <c r="G47" s="18">
        <f>$G46+($B$7*(1+'CONFIGURAÇÕES'!$B$31)^6*D$18*(1-$B$14*D$22))-(($B$8*(1+'CONFIGURAÇÕES'!$B$31)^6*D$19+$B$11*D$20+$B$12*D$20+$B$9*(1+'CONFIGURAÇÕES'!$B$31)^6*D$21+$B$10*(1+'CONFIGURAÇÕES'!$B$31)^6))</f>
        <v/>
      </c>
    </row>
    <row r="48">
      <c r="A48" s="17">
        <f>TEXT(EDATE(DATE('CONFIGURAÇÕES'!$B$18,IF('CONFIGURAÇÕES'!$B$19=0,"&gt;0",'CONFIGURAÇÕES'!$B$19),1),7),"MM/AAAA")</f>
        <v/>
      </c>
      <c r="B48" s="18">
        <f>$E47</f>
        <v/>
      </c>
      <c r="C48" s="18">
        <f>$B$7*(1+'CONFIGURAÇÕES'!$B$31)^7*B$18*(1-$B$14*B$22)</f>
        <v/>
      </c>
      <c r="D48" s="18">
        <f>($B$8*(1+'CONFIGURAÇÕES'!$B$31)^7*B$19+$B$11*B$20+$B$12*B$20+$B$9*(1+'CONFIGURAÇÕES'!$B$31)^7*B$21+$B$10*(1+'CONFIGURAÇÕES'!$B$31)^7)</f>
        <v/>
      </c>
      <c r="E48" s="38">
        <f>$B48+$C48-$D48</f>
        <v/>
      </c>
      <c r="F48" s="18">
        <f>$F47+($B$7*(1+'CONFIGURAÇÕES'!$B$31)^7*C$18*(1-$B$14*C$22))-(($B$8*(1+'CONFIGURAÇÕES'!$B$31)^7*C$19+$B$11*C$20+$B$12*C$20+$B$9*(1+'CONFIGURAÇÕES'!$B$31)^7*C$21+$B$10*(1+'CONFIGURAÇÕES'!$B$31)^7))</f>
        <v/>
      </c>
      <c r="G48" s="18">
        <f>$G47+($B$7*(1+'CONFIGURAÇÕES'!$B$31)^7*D$18*(1-$B$14*D$22))-(($B$8*(1+'CONFIGURAÇÕES'!$B$31)^7*D$19+$B$11*D$20+$B$12*D$20+$B$9*(1+'CONFIGURAÇÕES'!$B$31)^7*D$21+$B$10*(1+'CONFIGURAÇÕES'!$B$31)^7))</f>
        <v/>
      </c>
    </row>
    <row r="49">
      <c r="A49" s="17">
        <f>TEXT(EDATE(DATE('CONFIGURAÇÕES'!$B$18,IF('CONFIGURAÇÕES'!$B$19=0,"&gt;0",'CONFIGURAÇÕES'!$B$19),1),8),"MM/AAAA")</f>
        <v/>
      </c>
      <c r="B49" s="18">
        <f>$E48</f>
        <v/>
      </c>
      <c r="C49" s="18">
        <f>$B$7*(1+'CONFIGURAÇÕES'!$B$31)^8*B$18*(1-$B$14*B$22)</f>
        <v/>
      </c>
      <c r="D49" s="18">
        <f>($B$8*(1+'CONFIGURAÇÕES'!$B$31)^8*B$19+$B$11*B$20+$B$12*B$20+$B$9*(1+'CONFIGURAÇÕES'!$B$31)^8*B$21+$B$10*(1+'CONFIGURAÇÕES'!$B$31)^8)</f>
        <v/>
      </c>
      <c r="E49" s="38">
        <f>$B49+$C49-$D49</f>
        <v/>
      </c>
      <c r="F49" s="18">
        <f>$F48+($B$7*(1+'CONFIGURAÇÕES'!$B$31)^8*C$18*(1-$B$14*C$22))-(($B$8*(1+'CONFIGURAÇÕES'!$B$31)^8*C$19+$B$11*C$20+$B$12*C$20+$B$9*(1+'CONFIGURAÇÕES'!$B$31)^8*C$21+$B$10*(1+'CONFIGURAÇÕES'!$B$31)^8))</f>
        <v/>
      </c>
      <c r="G49" s="18">
        <f>$G48+($B$7*(1+'CONFIGURAÇÕES'!$B$31)^8*D$18*(1-$B$14*D$22))-(($B$8*(1+'CONFIGURAÇÕES'!$B$31)^8*D$19+$B$11*D$20+$B$12*D$20+$B$9*(1+'CONFIGURAÇÕES'!$B$31)^8*D$21+$B$10*(1+'CONFIGURAÇÕES'!$B$31)^8))</f>
        <v/>
      </c>
    </row>
    <row r="50">
      <c r="A50" s="17">
        <f>TEXT(EDATE(DATE('CONFIGURAÇÕES'!$B$18,IF('CONFIGURAÇÕES'!$B$19=0,"&gt;0",'CONFIGURAÇÕES'!$B$19),1),9),"MM/AAAA")</f>
        <v/>
      </c>
      <c r="B50" s="18">
        <f>$E49</f>
        <v/>
      </c>
      <c r="C50" s="18">
        <f>$B$7*(1+'CONFIGURAÇÕES'!$B$31)^9*B$18*(1-$B$14*B$22)</f>
        <v/>
      </c>
      <c r="D50" s="18">
        <f>($B$8*(1+'CONFIGURAÇÕES'!$B$31)^9*B$19+$B$11*B$20+$B$12*B$20+$B$9*(1+'CONFIGURAÇÕES'!$B$31)^9*B$21+$B$10*(1+'CONFIGURAÇÕES'!$B$31)^9)</f>
        <v/>
      </c>
      <c r="E50" s="38">
        <f>$B50+$C50-$D50</f>
        <v/>
      </c>
      <c r="F50" s="18">
        <f>$F49+($B$7*(1+'CONFIGURAÇÕES'!$B$31)^9*C$18*(1-$B$14*C$22))-(($B$8*(1+'CONFIGURAÇÕES'!$B$31)^9*C$19+$B$11*C$20+$B$12*C$20+$B$9*(1+'CONFIGURAÇÕES'!$B$31)^9*C$21+$B$10*(1+'CONFIGURAÇÕES'!$B$31)^9))</f>
        <v/>
      </c>
      <c r="G50" s="18">
        <f>$G49+($B$7*(1+'CONFIGURAÇÕES'!$B$31)^9*D$18*(1-$B$14*D$22))-(($B$8*(1+'CONFIGURAÇÕES'!$B$31)^9*D$19+$B$11*D$20+$B$12*D$20+$B$9*(1+'CONFIGURAÇÕES'!$B$31)^9*D$21+$B$10*(1+'CONFIGURAÇÕES'!$B$31)^9))</f>
        <v/>
      </c>
    </row>
    <row r="51">
      <c r="A51" s="17">
        <f>TEXT(EDATE(DATE('CONFIGURAÇÕES'!$B$18,IF('CONFIGURAÇÕES'!$B$19=0,"&gt;0",'CONFIGURAÇÕES'!$B$19),1),10),"MM/AAAA")</f>
        <v/>
      </c>
      <c r="B51" s="18">
        <f>$E50</f>
        <v/>
      </c>
      <c r="C51" s="18">
        <f>$B$7*(1+'CONFIGURAÇÕES'!$B$31)^10*B$18*(1-$B$14*B$22)</f>
        <v/>
      </c>
      <c r="D51" s="18">
        <f>($B$8*(1+'CONFIGURAÇÕES'!$B$31)^10*B$19+$B$11*B$20+$B$12*B$20+$B$9*(1+'CONFIGURAÇÕES'!$B$31)^10*B$21+$B$10*(1+'CONFIGURAÇÕES'!$B$31)^10)</f>
        <v/>
      </c>
      <c r="E51" s="38">
        <f>$B51+$C51-$D51</f>
        <v/>
      </c>
      <c r="F51" s="18">
        <f>$F50+($B$7*(1+'CONFIGURAÇÕES'!$B$31)^10*C$18*(1-$B$14*C$22))-(($B$8*(1+'CONFIGURAÇÕES'!$B$31)^10*C$19+$B$11*C$20+$B$12*C$20+$B$9*(1+'CONFIGURAÇÕES'!$B$31)^10*C$21+$B$10*(1+'CONFIGURAÇÕES'!$B$31)^10))</f>
        <v/>
      </c>
      <c r="G51" s="18">
        <f>$G50+($B$7*(1+'CONFIGURAÇÕES'!$B$31)^10*D$18*(1-$B$14*D$22))-(($B$8*(1+'CONFIGURAÇÕES'!$B$31)^10*D$19+$B$11*D$20+$B$12*D$20+$B$9*(1+'CONFIGURAÇÕES'!$B$31)^10*D$21+$B$10*(1+'CONFIGURAÇÕES'!$B$31)^10))</f>
        <v/>
      </c>
    </row>
    <row r="52">
      <c r="A52" s="17">
        <f>TEXT(EDATE(DATE('CONFIGURAÇÕES'!$B$18,IF('CONFIGURAÇÕES'!$B$19=0,"&gt;0",'CONFIGURAÇÕES'!$B$19),1),11),"MM/AAAA")</f>
        <v/>
      </c>
      <c r="B52" s="18">
        <f>$E51</f>
        <v/>
      </c>
      <c r="C52" s="18">
        <f>$B$7*(1+'CONFIGURAÇÕES'!$B$31)^11*B$18*(1-$B$14*B$22)</f>
        <v/>
      </c>
      <c r="D52" s="18">
        <f>($B$8*(1+'CONFIGURAÇÕES'!$B$31)^11*B$19+$B$11*B$20+$B$12*B$20+$B$9*(1+'CONFIGURAÇÕES'!$B$31)^11*B$21+$B$10*(1+'CONFIGURAÇÕES'!$B$31)^11)</f>
        <v/>
      </c>
      <c r="E52" s="38">
        <f>$B52+$C52-$D52</f>
        <v/>
      </c>
      <c r="F52" s="18">
        <f>$F51+($B$7*(1+'CONFIGURAÇÕES'!$B$31)^11*C$18*(1-$B$14*C$22))-(($B$8*(1+'CONFIGURAÇÕES'!$B$31)^11*C$19+$B$11*C$20+$B$12*C$20+$B$9*(1+'CONFIGURAÇÕES'!$B$31)^11*C$21+$B$10*(1+'CONFIGURAÇÕES'!$B$31)^11))</f>
        <v/>
      </c>
      <c r="G52" s="18">
        <f>$G51+($B$7*(1+'CONFIGURAÇÕES'!$B$31)^11*D$18*(1-$B$14*D$22))-(($B$8*(1+'CONFIGURAÇÕES'!$B$31)^11*D$19+$B$11*D$20+$B$12*D$20+$B$9*(1+'CONFIGURAÇÕES'!$B$31)^11*D$21+$B$10*(1+'CONFIGURAÇÕES'!$B$31)^11))</f>
        <v/>
      </c>
    </row>
    <row r="54" ht="30" customHeight="1">
      <c r="A54" s="3" t="inlineStr">
        <is>
          <t>Como usar: ajuste os fatores do bloco 2 e observe o lucro (bloco 3) e o caixa (bloco 4). O cenário conservador mostra o que acontece se as vendas caírem e a inadimplência aumentar: use-o para dimensionar reservas e cortes preventivos.</t>
        </is>
      </c>
      <c r="B54" s="3" t="n"/>
      <c r="C54" s="3" t="n"/>
      <c r="D54" s="3" t="n"/>
      <c r="E54" s="3" t="n"/>
      <c r="F54" s="3" t="n"/>
      <c r="G54" s="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1">
    <mergeCell ref="A16:F16"/>
    <mergeCell ref="E19:G19"/>
    <mergeCell ref="C14:G14"/>
    <mergeCell ref="A2:F2"/>
    <mergeCell ref="C10:G10"/>
    <mergeCell ref="A5:F5"/>
    <mergeCell ref="C9:G9"/>
    <mergeCell ref="C12:G12"/>
    <mergeCell ref="E22:G22"/>
    <mergeCell ref="C11:G11"/>
    <mergeCell ref="E18:G18"/>
    <mergeCell ref="A54:G54"/>
    <mergeCell ref="E21:G21"/>
    <mergeCell ref="C8:G8"/>
    <mergeCell ref="A39:F39"/>
    <mergeCell ref="A24:F24"/>
    <mergeCell ref="C7:G7"/>
    <mergeCell ref="A3:G3"/>
    <mergeCell ref="A1:F1"/>
    <mergeCell ref="C13:G13"/>
    <mergeCell ref="E20:G20"/>
  </mergeCells>
  <conditionalFormatting sqref="B34:D34">
    <cfRule type="expression" priority="1" dxfId="0">
      <formula>=B34&lt;0</formula>
    </cfRule>
    <cfRule type="expression" priority="2" dxfId="8">
      <formula>=B34&gt;=0</formula>
    </cfRule>
  </conditionalFormatting>
  <conditionalFormatting sqref="B36:D36">
    <cfRule type="expression" priority="3" dxfId="0">
      <formula>=B36&lt;'CONFIGURAÇÕES'!$B$25</formula>
    </cfRule>
  </conditionalFormatting>
  <conditionalFormatting sqref="E26:E29">
    <cfRule type="dataBar" priority="4">
      <dataBar showValue="1">
        <cfvo type="num" val="0"/>
        <cfvo type="max"/>
        <color rgb="002E75B6"/>
      </dataBar>
    </cfRule>
  </conditionalFormatting>
  <conditionalFormatting sqref="E41:E52">
    <cfRule type="expression" priority="5" dxfId="0">
      <formula>=E41&lt;'CONFIGURAÇÕES'!$B$25</formula>
    </cfRule>
  </conditionalFormatting>
  <conditionalFormatting sqref="F41:F52">
    <cfRule type="expression" priority="6" dxfId="1">
      <formula>=F41&lt;'CONFIGURAÇÕES'!$B$25</formula>
    </cfRule>
  </conditionalFormatting>
  <conditionalFormatting sqref="G41:G52">
    <cfRule type="expression" priority="7" dxfId="0">
      <formula>=G41&lt;'CONFIGURAÇÕES'!$B$25</formula>
    </cfRule>
  </conditionalFormatting>
  <dataValidations count="1">
    <dataValidation sqref="B18:D22" showDropDown="0" showInputMessage="0" showErrorMessage="1" allowBlank="1" errorTitle="2" error="Fator inválido" type="decimal" errorStyle="stop" operator="between">
      <formula1>0.5</formula1>
    </dataValidation>
  </dataValidation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B2:O99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</cols>
  <sheetData>
    <row r="2" ht="26" customHeight="1">
      <c r="B2" s="1" t="inlineStr">
        <is>
          <t>CENTRAL DE RELATÓRIOS — RESUMOS PRONTOS PARA IMPRIMIR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B3" s="2">
        <f>IF('CONFIGURAÇÕES'!$B$5="","",'CONFIGURAÇÕES'!$B$5&amp;"  |  CNPJ: ")&amp;IF('CONFIGURAÇÕES'!$B$5="","",'CONFIGURAÇÕES'!$B$7&amp;"  |  Emitido em "&amp;TEXT(TODAY(),"DD/MM/YYYY"))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5" ht="22" customHeight="1">
      <c r="B5" s="4" t="inlineStr">
        <is>
          <t>1. ÍNDICE DOS RELATÓRIOS DISPONÍVEIS</t>
        </is>
      </c>
      <c r="C5" s="4" t="n"/>
      <c r="D5" s="4" t="n"/>
      <c r="E5" s="4" t="n"/>
      <c r="F5" s="4" t="n"/>
      <c r="G5" s="4" t="n"/>
      <c r="H5" s="4" t="n"/>
      <c r="I5" s="4" t="n"/>
    </row>
    <row r="6" ht="30" customHeight="1">
      <c r="B6" s="21" t="inlineStr">
        <is>
          <t>Nº</t>
        </is>
      </c>
      <c r="C6" s="21" t="inlineStr">
        <is>
          <t>Relatório</t>
        </is>
      </c>
      <c r="D6" s="21" t="inlineStr">
        <is>
          <t>Onde encontrar</t>
        </is>
      </c>
      <c r="E6" s="21" t="inlineStr">
        <is>
          <t>O que apresenta</t>
        </is>
      </c>
    </row>
    <row r="7">
      <c r="B7" s="17">
        <f>"1"</f>
        <v/>
      </c>
      <c r="C7" s="9" t="inlineStr">
        <is>
          <t>Demonstrativo de resultado (DRE gerencial)</t>
        </is>
      </c>
      <c r="D7" s="47" t="inlineStr">
        <is>
          <t>DRE GERENCIAL</t>
        </is>
      </c>
      <c r="E7" s="25" t="inlineStr">
        <is>
          <t>Receita, custos, despesas, margens e lucro mês a mês.</t>
        </is>
      </c>
      <c r="F7" s="25" t="n"/>
      <c r="G7" s="25" t="n"/>
      <c r="H7" s="25" t="n"/>
      <c r="I7" s="25" t="n"/>
    </row>
    <row r="8">
      <c r="B8" s="17">
        <f>"2"</f>
        <v/>
      </c>
      <c r="C8" s="9" t="inlineStr">
        <is>
          <t>Fluxo de caixa realizado e projetado</t>
        </is>
      </c>
      <c r="D8" s="47" t="inlineStr">
        <is>
          <t>FLUXO DE CAIXA</t>
        </is>
      </c>
      <c r="E8" s="25" t="inlineStr">
        <is>
          <t>Entradas, saídas, resultado, saldo inicial e final, por mês.</t>
        </is>
      </c>
      <c r="F8" s="25" t="n"/>
      <c r="G8" s="25" t="n"/>
      <c r="H8" s="25" t="n"/>
      <c r="I8" s="25" t="n"/>
    </row>
    <row r="9">
      <c r="B9" s="17">
        <f>"3"</f>
        <v/>
      </c>
      <c r="C9" s="9" t="inlineStr">
        <is>
          <t>Contas a pagar por vencimento</t>
        </is>
      </c>
      <c r="D9" s="47" t="inlineStr">
        <is>
          <t>CONTAS A PAGAR</t>
        </is>
      </c>
      <c r="E9" s="25" t="inlineStr">
        <is>
          <t>Vencidos, vence hoje, 7, 30 dias, aging e prioridades.</t>
        </is>
      </c>
      <c r="F9" s="25" t="n"/>
      <c r="G9" s="25" t="n"/>
      <c r="H9" s="25" t="n"/>
      <c r="I9" s="25" t="n"/>
    </row>
    <row r="10">
      <c r="B10" s="17">
        <f>"4"</f>
        <v/>
      </c>
      <c r="C10" s="9" t="inlineStr">
        <is>
          <t>Contas a receber e carteira</t>
        </is>
      </c>
      <c r="D10" s="47" t="inlineStr">
        <is>
          <t>CONTAS A RECEBER</t>
        </is>
      </c>
      <c r="E10" s="25" t="inlineStr">
        <is>
          <t>Carteira por faixa, recebimentos, prazos e ticket médio.</t>
        </is>
      </c>
      <c r="F10" s="25" t="n"/>
      <c r="G10" s="25" t="n"/>
      <c r="H10" s="25" t="n"/>
      <c r="I10" s="25" t="n"/>
    </row>
    <row r="11">
      <c r="B11" s="17">
        <f>"5"</f>
        <v/>
      </c>
      <c r="C11" s="9" t="inlineStr">
        <is>
          <t>Inadimplência por faixa de atraso</t>
        </is>
      </c>
      <c r="D11" s="47" t="inlineStr">
        <is>
          <t>INADIMPLÊNCIA</t>
        </is>
      </c>
      <c r="E11" s="25" t="inlineStr">
        <is>
          <t>Valores vencidos, aging 1-7 a +90 dias e ranking de clientes.</t>
        </is>
      </c>
      <c r="F11" s="25" t="n"/>
      <c r="G11" s="25" t="n"/>
      <c r="H11" s="25" t="n"/>
      <c r="I11" s="25" t="n"/>
    </row>
    <row r="12">
      <c r="B12" s="17">
        <f>"6"</f>
        <v/>
      </c>
      <c r="C12" s="9" t="inlineStr">
        <is>
          <t>Orçamento x realizado</t>
        </is>
      </c>
      <c r="D12" s="47" t="inlineStr">
        <is>
          <t>ORÇAMENTO X REALIZADO</t>
        </is>
      </c>
      <c r="E12" s="25" t="inlineStr">
        <is>
          <t>Orçado, realizado, diferença, % consumido e alertas.</t>
        </is>
      </c>
      <c r="F12" s="25" t="n"/>
      <c r="G12" s="25" t="n"/>
      <c r="H12" s="25" t="n"/>
      <c r="I12" s="25" t="n"/>
    </row>
    <row r="13">
      <c r="B13" s="17">
        <f>"7"</f>
        <v/>
      </c>
      <c r="C13" s="9" t="inlineStr">
        <is>
          <t>Endividamento e serviço da dívida</t>
        </is>
      </c>
      <c r="D13" s="47" t="inlineStr">
        <is>
          <t>EMPRÉSTIMOS E FINANCIAMENTOS</t>
        </is>
      </c>
      <c r="E13" s="25" t="inlineStr">
        <is>
          <t>Contratos, parcelas, juros, saldo devedor e comprometimento.</t>
        </is>
      </c>
      <c r="F13" s="25" t="n"/>
      <c r="G13" s="25" t="n"/>
      <c r="H13" s="25" t="n"/>
      <c r="I13" s="25" t="n"/>
    </row>
    <row r="14">
      <c r="B14" s="17">
        <f>"8"</f>
        <v/>
      </c>
      <c r="C14" s="9" t="inlineStr">
        <is>
          <t>Resultado por centro de custo</t>
        </is>
      </c>
      <c r="D14" s="47" t="inlineStr">
        <is>
          <t>CENTRO DE CUSTOS</t>
        </is>
      </c>
      <c r="E14" s="25" t="inlineStr">
        <is>
          <t>Receita, custos, despesas, resultado e margem por centro.</t>
        </is>
      </c>
      <c r="F14" s="25" t="n"/>
      <c r="G14" s="25" t="n"/>
      <c r="H14" s="25" t="n"/>
      <c r="I14" s="25" t="n"/>
    </row>
    <row r="15">
      <c r="B15" s="17">
        <f>"9"</f>
        <v/>
      </c>
      <c r="C15" s="9" t="inlineStr">
        <is>
          <t>Indicadores de desempenho</t>
        </is>
      </c>
      <c r="D15" s="47" t="inlineStr">
        <is>
          <t>INDICADORES</t>
        </is>
      </c>
      <c r="E15" s="25" t="inlineStr">
        <is>
          <t>KPIs de vendas, rentabilidade, caixa, prazos e dívida.</t>
        </is>
      </c>
      <c r="F15" s="25" t="n"/>
      <c r="G15" s="25" t="n"/>
      <c r="H15" s="25" t="n"/>
      <c r="I15" s="25" t="n"/>
    </row>
    <row r="16">
      <c r="B16" s="17">
        <f>"10"</f>
        <v/>
      </c>
      <c r="C16" s="9" t="inlineStr">
        <is>
          <t>Conciliação bancária</t>
        </is>
      </c>
      <c r="D16" s="47" t="inlineStr">
        <is>
          <t>CONCILIAÇÃO BANCÁRIA</t>
        </is>
      </c>
      <c r="E16" s="25" t="inlineStr">
        <is>
          <t>Extrato x planilha, pendências e divergências.</t>
        </is>
      </c>
      <c r="F16" s="25" t="n"/>
      <c r="G16" s="25" t="n"/>
      <c r="H16" s="25" t="n"/>
      <c r="I16" s="25" t="n"/>
    </row>
    <row r="17">
      <c r="B17" s="17">
        <f>"11"</f>
        <v/>
      </c>
      <c r="C17" s="9" t="inlineStr">
        <is>
          <t>Projeção de caixa (7 a 180 dias)</t>
        </is>
      </c>
      <c r="D17" s="47" t="inlineStr">
        <is>
          <t>PROJEÇÃO DE CAIXA</t>
        </is>
      </c>
      <c r="E17" s="25" t="inlineStr">
        <is>
          <t>Saldo projetado por horizonte e alerta de déficit.</t>
        </is>
      </c>
      <c r="F17" s="25" t="n"/>
      <c r="G17" s="25" t="n"/>
      <c r="H17" s="25" t="n"/>
      <c r="I17" s="25" t="n"/>
    </row>
    <row r="18">
      <c r="B18" s="17">
        <f>"12"</f>
        <v/>
      </c>
      <c r="C18" s="9" t="inlineStr">
        <is>
          <t>Comparativo de cenários</t>
        </is>
      </c>
      <c r="D18" s="47" t="inlineStr">
        <is>
          <t>SIMULADOR DE CENÁRIOS</t>
        </is>
      </c>
      <c r="E18" s="25" t="inlineStr">
        <is>
          <t>Cenários atual, otimista e conservador com lucro e margem.</t>
        </is>
      </c>
      <c r="F18" s="25" t="n"/>
      <c r="G18" s="25" t="n"/>
      <c r="H18" s="25" t="n"/>
      <c r="I18" s="25" t="n"/>
    </row>
    <row r="19">
      <c r="B19" s="17">
        <f>"13"</f>
        <v/>
      </c>
      <c r="C19" s="9" t="inlineStr">
        <is>
          <t>Despesas recorrentes</t>
        </is>
      </c>
      <c r="D19" s="47" t="inlineStr">
        <is>
          <t>DESPESAS RECORRENTES</t>
        </is>
      </c>
      <c r="E19" s="25" t="inlineStr">
        <is>
          <t>Contratos recorrentes, próximas ocorrências e projeção.</t>
        </is>
      </c>
      <c r="F19" s="25" t="n"/>
      <c r="G19" s="25" t="n"/>
      <c r="H19" s="25" t="n"/>
      <c r="I19" s="25" t="n"/>
    </row>
    <row r="20">
      <c r="B20" s="17">
        <f>"14"</f>
        <v/>
      </c>
      <c r="C20" s="9" t="inlineStr">
        <is>
          <t>Dashboard executivo</t>
        </is>
      </c>
      <c r="D20" s="47" t="inlineStr">
        <is>
          <t>DASHBOARD</t>
        </is>
      </c>
      <c r="E20" s="25" t="inlineStr">
        <is>
          <t>16 cartões, 18 alertas e 12 gráficos gerenciais.</t>
        </is>
      </c>
      <c r="F20" s="25" t="n"/>
      <c r="G20" s="25" t="n"/>
      <c r="H20" s="25" t="n"/>
      <c r="I20" s="25" t="n"/>
    </row>
    <row r="22" ht="22" customHeight="1">
      <c r="B22" s="4" t="inlineStr">
        <is>
          <t>2. FLUXO DE CAIXA — RESUMO MENSAL DO ANO DE ANÁLISE</t>
        </is>
      </c>
      <c r="C22" s="4" t="n"/>
      <c r="D22" s="4" t="n"/>
      <c r="E22" s="4" t="n"/>
      <c r="F22" s="4" t="n"/>
      <c r="G22" s="4" t="n"/>
      <c r="H22" s="4" t="n"/>
      <c r="I22" s="4" t="n"/>
    </row>
    <row r="23" ht="28" customHeight="1">
      <c r="B23" s="21" t="inlineStr">
        <is>
          <t>Mês</t>
        </is>
      </c>
      <c r="C23" s="21" t="inlineStr">
        <is>
          <t>Entradas realizadas</t>
        </is>
      </c>
      <c r="D23" s="21" t="inlineStr">
        <is>
          <t>Saídas realizadas</t>
        </is>
      </c>
      <c r="E23" s="21" t="inlineStr">
        <is>
          <t>Resultado</t>
        </is>
      </c>
      <c r="F23" s="21" t="inlineStr">
        <is>
          <t>Saldo final</t>
        </is>
      </c>
      <c r="G23" s="21" t="inlineStr">
        <is>
          <t>Faturamento (competência)</t>
        </is>
      </c>
      <c r="H23" s="21" t="inlineStr">
        <is>
          <t>Lucro líquido</t>
        </is>
      </c>
      <c r="I23" s="21" t="inlineStr">
        <is>
          <t>Margem líquida %</t>
        </is>
      </c>
    </row>
    <row r="24">
      <c r="B24" s="30">
        <f>'INDICADORES'!$A$91</f>
        <v/>
      </c>
      <c r="C24" s="18">
        <f>'INDICADORES'!$K$91</f>
        <v/>
      </c>
      <c r="D24" s="18">
        <f>'INDICADORES'!$L$91</f>
        <v/>
      </c>
      <c r="E24" s="18">
        <f>$C24-$D24</f>
        <v/>
      </c>
      <c r="F24" s="18">
        <f>'INDICADORES'!$M$91</f>
        <v/>
      </c>
      <c r="G24" s="18">
        <f>'INDICADORES'!$B$91</f>
        <v/>
      </c>
      <c r="H24" s="18">
        <f>'INDICADORES'!$I$91</f>
        <v/>
      </c>
      <c r="I24" s="23">
        <f>'INDICADORES'!$J$91</f>
        <v/>
      </c>
    </row>
    <row r="25">
      <c r="B25" s="30">
        <f>'INDICADORES'!$A$92</f>
        <v/>
      </c>
      <c r="C25" s="18">
        <f>'INDICADORES'!$K$92</f>
        <v/>
      </c>
      <c r="D25" s="18">
        <f>'INDICADORES'!$L$92</f>
        <v/>
      </c>
      <c r="E25" s="18">
        <f>$C25-$D25</f>
        <v/>
      </c>
      <c r="F25" s="18">
        <f>'INDICADORES'!$M$92</f>
        <v/>
      </c>
      <c r="G25" s="18">
        <f>'INDICADORES'!$B$92</f>
        <v/>
      </c>
      <c r="H25" s="18">
        <f>'INDICADORES'!$I$92</f>
        <v/>
      </c>
      <c r="I25" s="23">
        <f>'INDICADORES'!$J$92</f>
        <v/>
      </c>
    </row>
    <row r="26">
      <c r="B26" s="30">
        <f>'INDICADORES'!$A$93</f>
        <v/>
      </c>
      <c r="C26" s="18">
        <f>'INDICADORES'!$K$93</f>
        <v/>
      </c>
      <c r="D26" s="18">
        <f>'INDICADORES'!$L$93</f>
        <v/>
      </c>
      <c r="E26" s="18">
        <f>$C26-$D26</f>
        <v/>
      </c>
      <c r="F26" s="18">
        <f>'INDICADORES'!$M$93</f>
        <v/>
      </c>
      <c r="G26" s="18">
        <f>'INDICADORES'!$B$93</f>
        <v/>
      </c>
      <c r="H26" s="18">
        <f>'INDICADORES'!$I$93</f>
        <v/>
      </c>
      <c r="I26" s="23">
        <f>'INDICADORES'!$J$93</f>
        <v/>
      </c>
    </row>
    <row r="27">
      <c r="B27" s="30">
        <f>'INDICADORES'!$A$94</f>
        <v/>
      </c>
      <c r="C27" s="18">
        <f>'INDICADORES'!$K$94</f>
        <v/>
      </c>
      <c r="D27" s="18">
        <f>'INDICADORES'!$L$94</f>
        <v/>
      </c>
      <c r="E27" s="18">
        <f>$C27-$D27</f>
        <v/>
      </c>
      <c r="F27" s="18">
        <f>'INDICADORES'!$M$94</f>
        <v/>
      </c>
      <c r="G27" s="18">
        <f>'INDICADORES'!$B$94</f>
        <v/>
      </c>
      <c r="H27" s="18">
        <f>'INDICADORES'!$I$94</f>
        <v/>
      </c>
      <c r="I27" s="23">
        <f>'INDICADORES'!$J$94</f>
        <v/>
      </c>
    </row>
    <row r="28">
      <c r="B28" s="30">
        <f>'INDICADORES'!$A$95</f>
        <v/>
      </c>
      <c r="C28" s="18">
        <f>'INDICADORES'!$K$95</f>
        <v/>
      </c>
      <c r="D28" s="18">
        <f>'INDICADORES'!$L$95</f>
        <v/>
      </c>
      <c r="E28" s="18">
        <f>$C28-$D28</f>
        <v/>
      </c>
      <c r="F28" s="18">
        <f>'INDICADORES'!$M$95</f>
        <v/>
      </c>
      <c r="G28" s="18">
        <f>'INDICADORES'!$B$95</f>
        <v/>
      </c>
      <c r="H28" s="18">
        <f>'INDICADORES'!$I$95</f>
        <v/>
      </c>
      <c r="I28" s="23">
        <f>'INDICADORES'!$J$95</f>
        <v/>
      </c>
    </row>
    <row r="29">
      <c r="B29" s="30">
        <f>'INDICADORES'!$A$96</f>
        <v/>
      </c>
      <c r="C29" s="18">
        <f>'INDICADORES'!$K$96</f>
        <v/>
      </c>
      <c r="D29" s="18">
        <f>'INDICADORES'!$L$96</f>
        <v/>
      </c>
      <c r="E29" s="18">
        <f>$C29-$D29</f>
        <v/>
      </c>
      <c r="F29" s="18">
        <f>'INDICADORES'!$M$96</f>
        <v/>
      </c>
      <c r="G29" s="18">
        <f>'INDICADORES'!$B$96</f>
        <v/>
      </c>
      <c r="H29" s="18">
        <f>'INDICADORES'!$I$96</f>
        <v/>
      </c>
      <c r="I29" s="23">
        <f>'INDICADORES'!$J$96</f>
        <v/>
      </c>
    </row>
    <row r="30">
      <c r="B30" s="30">
        <f>'INDICADORES'!$A$97</f>
        <v/>
      </c>
      <c r="C30" s="18">
        <f>'INDICADORES'!$K$97</f>
        <v/>
      </c>
      <c r="D30" s="18">
        <f>'INDICADORES'!$L$97</f>
        <v/>
      </c>
      <c r="E30" s="18">
        <f>$C30-$D30</f>
        <v/>
      </c>
      <c r="F30" s="18">
        <f>'INDICADORES'!$M$97</f>
        <v/>
      </c>
      <c r="G30" s="18">
        <f>'INDICADORES'!$B$97</f>
        <v/>
      </c>
      <c r="H30" s="18">
        <f>'INDICADORES'!$I$97</f>
        <v/>
      </c>
      <c r="I30" s="23">
        <f>'INDICADORES'!$J$97</f>
        <v/>
      </c>
    </row>
    <row r="31">
      <c r="B31" s="30">
        <f>'INDICADORES'!$A$98</f>
        <v/>
      </c>
      <c r="C31" s="18">
        <f>'INDICADORES'!$K$98</f>
        <v/>
      </c>
      <c r="D31" s="18">
        <f>'INDICADORES'!$L$98</f>
        <v/>
      </c>
      <c r="E31" s="18">
        <f>$C31-$D31</f>
        <v/>
      </c>
      <c r="F31" s="18">
        <f>'INDICADORES'!$M$98</f>
        <v/>
      </c>
      <c r="G31" s="18">
        <f>'INDICADORES'!$B$98</f>
        <v/>
      </c>
      <c r="H31" s="18">
        <f>'INDICADORES'!$I$98</f>
        <v/>
      </c>
      <c r="I31" s="23">
        <f>'INDICADORES'!$J$98</f>
        <v/>
      </c>
    </row>
    <row r="32">
      <c r="B32" s="30">
        <f>'INDICADORES'!$A$99</f>
        <v/>
      </c>
      <c r="C32" s="18">
        <f>'INDICADORES'!$K$99</f>
        <v/>
      </c>
      <c r="D32" s="18">
        <f>'INDICADORES'!$L$99</f>
        <v/>
      </c>
      <c r="E32" s="18">
        <f>$C32-$D32</f>
        <v/>
      </c>
      <c r="F32" s="18">
        <f>'INDICADORES'!$M$99</f>
        <v/>
      </c>
      <c r="G32" s="18">
        <f>'INDICADORES'!$B$99</f>
        <v/>
      </c>
      <c r="H32" s="18">
        <f>'INDICADORES'!$I$99</f>
        <v/>
      </c>
      <c r="I32" s="23">
        <f>'INDICADORES'!$J$99</f>
        <v/>
      </c>
    </row>
    <row r="33">
      <c r="B33" s="30">
        <f>'INDICADORES'!$A$100</f>
        <v/>
      </c>
      <c r="C33" s="18">
        <f>'INDICADORES'!$K$100</f>
        <v/>
      </c>
      <c r="D33" s="18">
        <f>'INDICADORES'!$L$100</f>
        <v/>
      </c>
      <c r="E33" s="18">
        <f>$C33-$D33</f>
        <v/>
      </c>
      <c r="F33" s="18">
        <f>'INDICADORES'!$M$100</f>
        <v/>
      </c>
      <c r="G33" s="18">
        <f>'INDICADORES'!$B$100</f>
        <v/>
      </c>
      <c r="H33" s="18">
        <f>'INDICADORES'!$I$100</f>
        <v/>
      </c>
      <c r="I33" s="23">
        <f>'INDICADORES'!$J$100</f>
        <v/>
      </c>
    </row>
    <row r="34">
      <c r="B34" s="30">
        <f>'INDICADORES'!$A$101</f>
        <v/>
      </c>
      <c r="C34" s="18">
        <f>'INDICADORES'!$K$101</f>
        <v/>
      </c>
      <c r="D34" s="18">
        <f>'INDICADORES'!$L$101</f>
        <v/>
      </c>
      <c r="E34" s="18">
        <f>$C34-$D34</f>
        <v/>
      </c>
      <c r="F34" s="18">
        <f>'INDICADORES'!$M$101</f>
        <v/>
      </c>
      <c r="G34" s="18">
        <f>'INDICADORES'!$B$101</f>
        <v/>
      </c>
      <c r="H34" s="18">
        <f>'INDICADORES'!$I$101</f>
        <v/>
      </c>
      <c r="I34" s="23">
        <f>'INDICADORES'!$J$101</f>
        <v/>
      </c>
    </row>
    <row r="35">
      <c r="B35" s="30">
        <f>'INDICADORES'!$A$102</f>
        <v/>
      </c>
      <c r="C35" s="18">
        <f>'INDICADORES'!$K$102</f>
        <v/>
      </c>
      <c r="D35" s="18">
        <f>'INDICADORES'!$L$102</f>
        <v/>
      </c>
      <c r="E35" s="18">
        <f>$C35-$D35</f>
        <v/>
      </c>
      <c r="F35" s="18">
        <f>'INDICADORES'!$M$102</f>
        <v/>
      </c>
      <c r="G35" s="18">
        <f>'INDICADORES'!$B$102</f>
        <v/>
      </c>
      <c r="H35" s="18">
        <f>'INDICADORES'!$I$102</f>
        <v/>
      </c>
      <c r="I35" s="23">
        <f>'INDICADORES'!$J$102</f>
        <v/>
      </c>
    </row>
    <row r="36">
      <c r="B36" s="37" t="inlineStr">
        <is>
          <t>TOTAL</t>
        </is>
      </c>
      <c r="C36" s="38">
        <f>SUM(C24:C35)</f>
        <v/>
      </c>
      <c r="D36" s="38">
        <f>SUM(D24:D35)</f>
        <v/>
      </c>
      <c r="E36" s="38">
        <f>SUM(E24:E35)</f>
        <v/>
      </c>
      <c r="F36" s="38">
        <f>$F35</f>
        <v/>
      </c>
      <c r="G36" s="38">
        <f>SUM(G24:G35)</f>
        <v/>
      </c>
      <c r="H36" s="38">
        <f>SUM(H24:H35)</f>
        <v/>
      </c>
      <c r="I36" s="39">
        <f>IF($G36=0,"",$H36/$G36)</f>
        <v/>
      </c>
    </row>
    <row r="38" ht="22" customHeight="1">
      <c r="B38" s="4" t="inlineStr">
        <is>
          <t>3. DRE GERENCIAL — RESUMO DO ANO DE ANÁLISE</t>
        </is>
      </c>
      <c r="C38" s="4" t="n"/>
      <c r="D38" s="4" t="n"/>
      <c r="E38" s="4" t="n"/>
      <c r="F38" s="4" t="n"/>
      <c r="G38" s="4" t="n"/>
      <c r="H38" s="4" t="n"/>
      <c r="I38" s="4" t="n"/>
    </row>
    <row r="39" ht="28" customHeight="1">
      <c r="B39" s="21" t="inlineStr">
        <is>
          <t>Linha do DRE</t>
        </is>
      </c>
      <c r="C39" s="21" t="inlineStr">
        <is>
          <t>Janeiro a dezembro</t>
        </is>
      </c>
      <c r="D39" s="21" t="inlineStr">
        <is>
          <t>% da receita líquida</t>
        </is>
      </c>
    </row>
    <row r="40">
      <c r="B40" s="9" t="inlineStr">
        <is>
          <t>Faturamento bruto</t>
        </is>
      </c>
      <c r="C40" s="18">
        <f>SUMIFS('LANÇAMENTOS'!$AE$6:$AE$2005,'LANÇAMENTOS'!$AF$6:$AF$2005,"Faturamento Bruto",'LANÇAMENTOS'!$AA$6:$AA$2005,'CONFIGURAÇÕES'!$B$18)</f>
        <v/>
      </c>
      <c r="D40" s="23">
        <f>IF($C$43=0,"",1*$C40/$C$43)</f>
        <v/>
      </c>
    </row>
    <row r="41">
      <c r="B41" s="9" t="inlineStr">
        <is>
          <t>(-) Impostos sobre vendas</t>
        </is>
      </c>
      <c r="C41" s="18">
        <f>SUMIFS('LANÇAMENTOS'!$AE$6:$AE$2005,'LANÇAMENTOS'!$AF$6:$AF$2005,"Impostos sobre Vendas",'LANÇAMENTOS'!$AA$6:$AA$2005,'CONFIGURAÇÕES'!$B$18)</f>
        <v/>
      </c>
      <c r="D41" s="23">
        <f>IF($C$43=0,"",-1*$C41/$C$43)</f>
        <v/>
      </c>
    </row>
    <row r="42">
      <c r="B42" s="9" t="inlineStr">
        <is>
          <t>(-) Devoluções</t>
        </is>
      </c>
      <c r="C42" s="18">
        <f>SUMIFS('LANÇAMENTOS'!$AE$6:$AE$2005,'LANÇAMENTOS'!$AF$6:$AF$2005,"Devoluções",'LANÇAMENTOS'!$AA$6:$AA$2005,'CONFIGURAÇÕES'!$B$18)</f>
        <v/>
      </c>
      <c r="D42" s="23">
        <f>IF($C$43=0,"",-1*$C42/$C$43)</f>
        <v/>
      </c>
    </row>
    <row r="43">
      <c r="B43" s="9" t="inlineStr">
        <is>
          <t>▶ Receita líquida</t>
        </is>
      </c>
      <c r="C43" s="38">
        <f>$C$40-$C$41-$C$42</f>
        <v/>
      </c>
      <c r="D43" s="23">
        <f>IF($C$43=0,"",1*$C43/$C$43)</f>
        <v/>
      </c>
    </row>
    <row r="44">
      <c r="B44" s="9" t="inlineStr">
        <is>
          <t>(-) Custos variáveis</t>
        </is>
      </c>
      <c r="C44" s="18">
        <f>SUMIFS('LANÇAMENTOS'!$AE$6:$AE$2005,'LANÇAMENTOS'!$AF$6:$AF$2005,"Custos Variáveis",'LANÇAMENTOS'!$AA$6:$AA$2005,'CONFIGURAÇÕES'!$B$18)</f>
        <v/>
      </c>
      <c r="D44" s="23">
        <f>IF($C$43=0,"",-1*$C44/$C$43)</f>
        <v/>
      </c>
    </row>
    <row r="45">
      <c r="B45" s="9" t="inlineStr">
        <is>
          <t>▶ Margem de contribuição</t>
        </is>
      </c>
      <c r="C45" s="38">
        <f>$C$43-$C$44</f>
        <v/>
      </c>
      <c r="D45" s="23">
        <f>IF($C$43=0,"",1*$C45/$C$43)</f>
        <v/>
      </c>
    </row>
    <row r="46">
      <c r="B46" s="9" t="inlineStr">
        <is>
          <t>(-) Despesas fixas</t>
        </is>
      </c>
      <c r="C46" s="18">
        <f>SUMIFS('LANÇAMENTOS'!$AE$6:$AE$2005,'LANÇAMENTOS'!$AF$6:$AF$2005,"Despesas Fixas",'LANÇAMENTOS'!$AA$6:$AA$2005,'CONFIGURAÇÕES'!$B$18)</f>
        <v/>
      </c>
      <c r="D46" s="23">
        <f>IF($C$43=0,"",-1*$C46/$C$43)</f>
        <v/>
      </c>
    </row>
    <row r="47">
      <c r="B47" s="9" t="inlineStr">
        <is>
          <t>▶ EBITDA / resultado operacional</t>
        </is>
      </c>
      <c r="C47" s="38">
        <f>$C$45-$C$46</f>
        <v/>
      </c>
      <c r="D47" s="23">
        <f>IF($C$43=0,"",1*$C47/$C$43)</f>
        <v/>
      </c>
    </row>
    <row r="48">
      <c r="B48" s="9" t="inlineStr">
        <is>
          <t>(-) Despesas financeiras</t>
        </is>
      </c>
      <c r="C48" s="18">
        <f>SUMIFS('LANÇAMENTOS'!$AE$6:$AE$2005,'LANÇAMENTOS'!$AF$6:$AF$2005,"Despesas Financeiras",'LANÇAMENTOS'!$AA$6:$AA$2005,'CONFIGURAÇÕES'!$B$18)</f>
        <v/>
      </c>
      <c r="D48" s="23">
        <f>IF($C$43=0,"",-1*$C48/$C$43)</f>
        <v/>
      </c>
    </row>
    <row r="49">
      <c r="B49" s="9" t="inlineStr">
        <is>
          <t>(+) Receitas financeiras</t>
        </is>
      </c>
      <c r="C49" s="18">
        <f>SUMIFS('LANÇAMENTOS'!$AE$6:$AE$2005,'LANÇAMENTOS'!$AF$6:$AF$2005,"Receitas Financeiras",'LANÇAMENTOS'!$AA$6:$AA$2005,'CONFIGURAÇÕES'!$B$18)</f>
        <v/>
      </c>
      <c r="D49" s="23">
        <f>IF($C$43=0,"",1*$C49/$C$43)</f>
        <v/>
      </c>
    </row>
    <row r="50">
      <c r="B50" s="9" t="inlineStr">
        <is>
          <t>(+) Outras receitas</t>
        </is>
      </c>
      <c r="C50" s="18">
        <f>SUMIFS('LANÇAMENTOS'!$AE$6:$AE$2005,'LANÇAMENTOS'!$AF$6:$AF$2005,"Outras Receitas Operacionais",'LANÇAMENTOS'!$AA$6:$AA$2005,'CONFIGURAÇÕES'!$B$18)</f>
        <v/>
      </c>
      <c r="D50" s="23">
        <f>IF($C$43=0,"",1*$C50/$C$43)</f>
        <v/>
      </c>
    </row>
    <row r="51">
      <c r="B51" s="9" t="inlineStr">
        <is>
          <t>▶ Lucro antes dos impostos</t>
        </is>
      </c>
      <c r="C51" s="38">
        <f>$C$47-$C$48+$C$49+$C$50</f>
        <v/>
      </c>
      <c r="D51" s="23">
        <f>IF($C$43=0,"",1*$C51/$C$43)</f>
        <v/>
      </c>
    </row>
    <row r="52">
      <c r="B52" s="9" t="inlineStr">
        <is>
          <t>(-) Impostos sobre o resultado</t>
        </is>
      </c>
      <c r="C52" s="18">
        <f>SUMIFS('LANÇAMENTOS'!$AE$6:$AE$2005,'LANÇAMENTOS'!$AF$6:$AF$2005,"Impostos sobre o Resultado",'LANÇAMENTOS'!$AA$6:$AA$2005,'CONFIGURAÇÕES'!$B$18)</f>
        <v/>
      </c>
      <c r="D52" s="23">
        <f>IF($C$43=0,"",-1*$C52/$C$43)</f>
        <v/>
      </c>
    </row>
    <row r="53">
      <c r="B53" s="9" t="inlineStr">
        <is>
          <t>▶ Lucro líquido</t>
        </is>
      </c>
      <c r="C53" s="38">
        <f>$C$51-$C$52</f>
        <v/>
      </c>
      <c r="D53" s="23">
        <f>IF($C$43=0,"",1*$C53/$C$43)</f>
        <v/>
      </c>
    </row>
    <row r="54">
      <c r="B54" s="9" t="inlineStr">
        <is>
          <t>(-) Distribuição de lucros</t>
        </is>
      </c>
      <c r="C54" s="18">
        <f>SUMIFS('LANÇAMENTOS'!$AE$6:$AE$2005,'LANÇAMENTOS'!$AF$6:$AF$2005,"Distribuição de Lucros",'LANÇAMENTOS'!$AA$6:$AA$2005,'CONFIGURAÇÕES'!$B$18)</f>
        <v/>
      </c>
      <c r="D54" s="23">
        <f>IF($C$43=0,"",-1*$C54/$C$43)</f>
        <v/>
      </c>
    </row>
    <row r="55">
      <c r="B55" s="9" t="inlineStr">
        <is>
          <t>▶ Lucro retido no ano</t>
        </is>
      </c>
      <c r="C55" s="38">
        <f>$C$53-$C$54</f>
        <v/>
      </c>
      <c r="D55" s="23">
        <f>IF($C$43=0,"",1*$C55/$C$43)</f>
        <v/>
      </c>
    </row>
    <row r="58" ht="22" customHeight="1">
      <c r="B58" s="4" t="inlineStr">
        <is>
          <t>4. CONTAS A PAGAR E A RECEBER — POSIÇÃO NA DATA DE HOJE</t>
        </is>
      </c>
      <c r="C58" s="4" t="n"/>
      <c r="D58" s="4" t="n"/>
      <c r="E58" s="4" t="n"/>
      <c r="F58" s="4" t="n"/>
      <c r="G58" s="4" t="n"/>
      <c r="H58" s="4" t="n"/>
      <c r="I58" s="4" t="n"/>
    </row>
    <row r="59" ht="28" customHeight="1">
      <c r="B59" s="21" t="inlineStr">
        <is>
          <t>Indicador</t>
        </is>
      </c>
      <c r="C59" s="21" t="inlineStr">
        <is>
          <t>Valor</t>
        </is>
      </c>
      <c r="D59" s="21" t="inlineStr">
        <is>
          <t>Quantidade</t>
        </is>
      </c>
      <c r="E59" s="21" t="inlineStr">
        <is>
          <t>Observação</t>
        </is>
      </c>
    </row>
    <row r="60">
      <c r="B60" s="9" t="inlineStr">
        <is>
          <t>Total a pagar em aberto</t>
        </is>
      </c>
      <c r="C60" s="18">
        <f>SUMIFS('LANÇAMENTOS'!$W$6:$W$2005,'LANÇAMENTOS'!$E$6:$E$2005,"Saída")</f>
        <v/>
      </c>
      <c r="D60" s="24">
        <f>COUNTIFS('LANÇAMENTOS'!$E$6:$E$2005,"Saída",'LANÇAMENTOS'!$W$6:$W$2005,"&gt;0")</f>
        <v/>
      </c>
      <c r="E60" s="25" t="inlineStr">
        <is>
          <t>Compromissos futuros registrados.</t>
        </is>
      </c>
      <c r="F60" s="25" t="n"/>
      <c r="G60" s="25" t="n"/>
      <c r="H60" s="25" t="n"/>
      <c r="I60" s="25" t="n"/>
    </row>
    <row r="61">
      <c r="B61" s="9" t="inlineStr">
        <is>
          <t>Total vencido a pagar</t>
        </is>
      </c>
      <c r="C61" s="18">
        <f>SUMIFS('LANÇAMENTOS'!$W$6:$W$2005,'LANÇAMENTOS'!$E$6:$E$2005,"Saída",'LANÇAMENTOS'!$W$6:$W$2005,"&gt;0",'LANÇAMENTOS'!$C$6:$C$2005,"&lt;"&amp;TODAY())</f>
        <v/>
      </c>
      <c r="D61" s="24">
        <f>COUNTIFS('LANÇAMENTOS'!$E$6:$E$2005,"Saída",'LANÇAMENTOS'!$W$6:$W$2005,"&gt;0",'LANÇAMENTOS'!$C$6:$C$2005,"&lt;"&amp;TODAY())</f>
        <v/>
      </c>
      <c r="E61" s="25" t="inlineStr">
        <is>
          <t>Exige ação imediata.</t>
        </is>
      </c>
      <c r="F61" s="25" t="n"/>
      <c r="G61" s="25" t="n"/>
      <c r="H61" s="25" t="n"/>
      <c r="I61" s="25" t="n"/>
    </row>
    <row r="62">
      <c r="B62" s="9" t="inlineStr">
        <is>
          <t>A pagar em 7 dias</t>
        </is>
      </c>
      <c r="C62" s="18">
        <f>SUMIFS('LANÇAMENTOS'!$W$6:$W$2005,'LANÇAMENTOS'!$E$6:$E$2005,"Saída",'LANÇAMENTOS'!$W$6:$W$2005,"&gt;0",'LANÇAMENTOS'!$C$6:$C$2005,"&gt;="&amp;TODAY(),'LANÇAMENTOS'!$C$6:$C$2005,"&lt;="&amp;TODAY()+7)</f>
        <v/>
      </c>
      <c r="D62" s="24">
        <f>COUNTIFS('LANÇAMENTOS'!$E$6:$E$2005,"Saída",'LANÇAMENTOS'!$W$6:$W$2005,"&gt;0",'LANÇAMENTOS'!$C$6:$C$2005,"&gt;="&amp;TODAY(),'LANÇAMENTOS'!$C$6:$C$2005,"&lt;="&amp;TODAY()+7)</f>
        <v/>
      </c>
      <c r="E62" s="25" t="inlineStr">
        <is>
          <t>Programe os pagamentos da semana.</t>
        </is>
      </c>
      <c r="F62" s="25" t="n"/>
      <c r="G62" s="25" t="n"/>
      <c r="H62" s="25" t="n"/>
      <c r="I62" s="25" t="n"/>
    </row>
    <row r="63">
      <c r="B63" s="9" t="inlineStr">
        <is>
          <t>A pagar em 30 dias</t>
        </is>
      </c>
      <c r="C63" s="18">
        <f>SUMIFS('LANÇAMENTOS'!$W$6:$W$2005,'LANÇAMENTOS'!$E$6:$E$2005,"Saída",'LANÇAMENTOS'!$W$6:$W$2005,"&gt;0",'LANÇAMENTOS'!$C$6:$C$2005,"&gt;="&amp;TODAY(),'LANÇAMENTOS'!$C$6:$C$2005,"&lt;="&amp;TODAY()+30)</f>
        <v/>
      </c>
      <c r="D63" s="24">
        <f>COUNTIFS('LANÇAMENTOS'!$E$6:$E$2005,"Saída",'LANÇAMENTOS'!$W$6:$W$2005,"&gt;0",'LANÇAMENTOS'!$C$6:$C$2005,"&gt;="&amp;TODAY(),'LANÇAMENTOS'!$C$6:$C$2005,"&lt;="&amp;TODAY()+30)</f>
        <v/>
      </c>
      <c r="E63" s="25" t="inlineStr">
        <is>
          <t>Planejamento do mês.</t>
        </is>
      </c>
      <c r="F63" s="25" t="n"/>
      <c r="G63" s="25" t="n"/>
      <c r="H63" s="25" t="n"/>
      <c r="I63" s="25" t="n"/>
    </row>
    <row r="64">
      <c r="B64" s="9" t="inlineStr">
        <is>
          <t>Total a receber em aberto</t>
        </is>
      </c>
      <c r="C64" s="18">
        <f>SUMIFS('LANÇAMENTOS'!$W$6:$W$2005,'LANÇAMENTOS'!$E$6:$E$2005,"Entrada",'LANÇAMENTOS'!$AF$6:$AF$2005,"Faturamento Bruto")</f>
        <v/>
      </c>
      <c r="D64" s="24">
        <f>COUNTIFS('LANÇAMENTOS'!$E$6:$E$2005,"Entrada",'LANÇAMENTOS'!$AF$6:$AF$2005,"Faturamento Bruto",'LANÇAMENTOS'!$W$6:$W$2005,"&gt;0")</f>
        <v/>
      </c>
      <c r="E64" s="25" t="inlineStr">
        <is>
          <t>Carteira de recebíveis.</t>
        </is>
      </c>
      <c r="F64" s="25" t="n"/>
      <c r="G64" s="25" t="n"/>
      <c r="H64" s="25" t="n"/>
      <c r="I64" s="25" t="n"/>
    </row>
    <row r="65">
      <c r="B65" s="9" t="inlineStr">
        <is>
          <t>Total vencido a receber</t>
        </is>
      </c>
      <c r="C65" s="18">
        <f>SUMIFS('LANÇAMENTOS'!$W$6:$W$2005,'LANÇAMENTOS'!$E$6:$E$2005,"Entrada",'LANÇAMENTOS'!$AF$6:$AF$2005,"Faturamento Bruto",'LANÇAMENTOS'!$W$6:$W$2005,"&gt;0",'LANÇAMENTOS'!$C$6:$C$2005,"&lt;"&amp;TODAY())</f>
        <v/>
      </c>
      <c r="D65" s="24">
        <f>COUNTIFS('LANÇAMENTOS'!$E$6:$E$2005,"Entrada",'LANÇAMENTOS'!$AF$6:$AF$2005,"Faturamento Bruto",'LANÇAMENTOS'!$W$6:$W$2005,"&gt;0",'LANÇAMENTOS'!$C$6:$C$2005,"&lt;"&amp;TODAY())</f>
        <v/>
      </c>
      <c r="E65" s="25" t="inlineStr">
        <is>
          <t>Base da régua de cobrança.</t>
        </is>
      </c>
      <c r="F65" s="25" t="n"/>
      <c r="G65" s="25" t="n"/>
      <c r="H65" s="25" t="n"/>
      <c r="I65" s="25" t="n"/>
    </row>
    <row r="66">
      <c r="B66" s="9" t="inlineStr">
        <is>
          <t>A receber em 7 dias</t>
        </is>
      </c>
      <c r="C66" s="18">
        <f>SUMIFS('LANÇAMENTOS'!$W$6:$W$2005,'LANÇAMENTOS'!$E$6:$E$2005,"Entrada",'LANÇAMENTOS'!$W$6:$W$2005,"&gt;0",'LANÇAMENTOS'!$C$6:$C$2005,"&gt;="&amp;TODAY(),'LANÇAMENTOS'!$C$6:$C$2005,"&lt;="&amp;TODAY()+7)</f>
        <v/>
      </c>
      <c r="D66" s="24">
        <f>COUNTIFS('LANÇAMENTOS'!$E$6:$E$2005,"Entrada",'LANÇAMENTOS'!$W$6:$W$2005,"&gt;0",'LANÇAMENTOS'!$C$6:$C$2005,"&gt;="&amp;TODAY(),'LANÇAMENTOS'!$C$6:$C$2005,"&lt;="&amp;TODAY()+7)</f>
        <v/>
      </c>
      <c r="E66" s="25" t="inlineStr">
        <is>
          <t>Confirme com os clientes.</t>
        </is>
      </c>
      <c r="F66" s="25" t="n"/>
      <c r="G66" s="25" t="n"/>
      <c r="H66" s="25" t="n"/>
      <c r="I66" s="25" t="n"/>
    </row>
    <row r="67">
      <c r="B67" s="9" t="inlineStr">
        <is>
          <t>A receber em 30 dias</t>
        </is>
      </c>
      <c r="C67" s="18">
        <f>SUMIFS('LANÇAMENTOS'!$W$6:$W$2005,'LANÇAMENTOS'!$E$6:$E$2005,"Entrada",'LANÇAMENTOS'!$W$6:$W$2005,"&gt;0",'LANÇAMENTOS'!$C$6:$C$2005,"&gt;="&amp;TODAY(),'LANÇAMENTOS'!$C$6:$C$2005,"&lt;="&amp;TODAY()+30)</f>
        <v/>
      </c>
      <c r="D67" s="24">
        <f>COUNTIFS('LANÇAMENTOS'!$E$6:$E$2005,"Entrada",'LANÇAMENTOS'!$W$6:$W$2005,"&gt;0",'LANÇAMENTOS'!$C$6:$C$2005,"&gt;="&amp;TODAY(),'LANÇAMENTOS'!$C$6:$C$2005,"&lt;="&amp;TODAY()+30)</f>
        <v/>
      </c>
      <c r="E67" s="25" t="inlineStr">
        <is>
          <t>Previsão de entradas do mês.</t>
        </is>
      </c>
      <c r="F67" s="25" t="n"/>
      <c r="G67" s="25" t="n"/>
      <c r="H67" s="25" t="n"/>
      <c r="I67" s="25" t="n"/>
    </row>
    <row r="68">
      <c r="B68" s="9" t="inlineStr">
        <is>
          <t>Índice de inadimplência</t>
        </is>
      </c>
      <c r="C68" s="23">
        <f>IFERROR(SUMIFS('LANÇAMENTOS'!$W$6:$W$2005,'LANÇAMENTOS'!$E$6:$E$2005,"Entrada",'LANÇAMENTOS'!$AF$6:$AF$2005,"Faturamento Bruto",'LANÇAMENTOS'!$W$6:$W$2005,"&gt;0",'LANÇAMENTOS'!$C$6:$C$2005,"&lt;"&amp;TODAY())/SUMIFS('LANÇAMENTOS'!$Q$6:$Q$2005,'LANÇAMENTOS'!$E$6:$E$2005,"Entrada",'LANÇAMENTOS'!$AF$6:$AF$2005,"Faturamento Bruto",'LANÇAMENTOS'!$AA$6:$AA$2005,'CONFIGURAÇÕES'!$B$18),"")</f>
        <v/>
      </c>
      <c r="D68" s="24">
        <f>""</f>
        <v/>
      </c>
      <c r="E68" s="25" t="inlineStr">
        <is>
          <t>Compare com o limite definido nas configurações.</t>
        </is>
      </c>
      <c r="F68" s="25" t="n"/>
      <c r="G68" s="25" t="n"/>
      <c r="H68" s="25" t="n"/>
      <c r="I68" s="25" t="n"/>
    </row>
    <row r="71" ht="22" customHeight="1">
      <c r="B71" s="4" t="inlineStr">
        <is>
          <t>5. ORÇAMENTO X REALIZADO — RESUMO MENSAL</t>
        </is>
      </c>
      <c r="C71" s="4" t="n"/>
      <c r="D71" s="4" t="n"/>
      <c r="E71" s="4" t="n"/>
      <c r="F71" s="4" t="n"/>
      <c r="G71" s="4" t="n"/>
      <c r="H71" s="4" t="n"/>
      <c r="I71" s="4" t="n"/>
    </row>
    <row r="72" ht="28" customHeight="1">
      <c r="B72" s="21" t="inlineStr">
        <is>
          <t>Mês</t>
        </is>
      </c>
      <c r="C72" s="21" t="inlineStr">
        <is>
          <t>Orçado</t>
        </is>
      </c>
      <c r="D72" s="21" t="inlineStr">
        <is>
          <t>Realizado</t>
        </is>
      </c>
      <c r="E72" s="21" t="inlineStr">
        <is>
          <t>Diferença</t>
        </is>
      </c>
      <c r="F72" s="21" t="inlineStr">
        <is>
          <t>% consumido</t>
        </is>
      </c>
      <c r="G72" s="21" t="inlineStr">
        <is>
          <t>Situação</t>
        </is>
      </c>
    </row>
    <row r="73">
      <c r="B73" s="17">
        <f>TEXT(DATE('CONFIGURAÇÕES'!$B$18,1,1),"MM/AAAA")</f>
        <v/>
      </c>
      <c r="C73" s="18">
        <f>'ORÇAMENTO X REALIZADO'!B49</f>
        <v/>
      </c>
      <c r="D73" s="18">
        <f>'ORÇAMENTO X REALIZADO'!B50</f>
        <v/>
      </c>
      <c r="E73" s="18">
        <f>$C73-$D73</f>
        <v/>
      </c>
      <c r="F73" s="23">
        <f>IF($C73=0,"",$D73/$C73)</f>
        <v/>
      </c>
      <c r="G73" s="17">
        <f>IF($C73=0,"Sem orçamento",IF($D73&gt;$C73,"🔴 Estourou",IF($D73&gt;$C73*0.9,"🟡 &gt; 90%","🟢 Dentro")))</f>
        <v/>
      </c>
    </row>
    <row r="74">
      <c r="B74" s="17">
        <f>TEXT(DATE('CONFIGURAÇÕES'!$B$18,2,1),"MM/AAAA")</f>
        <v/>
      </c>
      <c r="C74" s="18">
        <f>'ORÇAMENTO X REALIZADO'!C49</f>
        <v/>
      </c>
      <c r="D74" s="18">
        <f>'ORÇAMENTO X REALIZADO'!C50</f>
        <v/>
      </c>
      <c r="E74" s="18">
        <f>$C74-$D74</f>
        <v/>
      </c>
      <c r="F74" s="23">
        <f>IF($C74=0,"",$D74/$C74)</f>
        <v/>
      </c>
      <c r="G74" s="17">
        <f>IF($C74=0,"Sem orçamento",IF($D74&gt;$C74,"🔴 Estourou",IF($D74&gt;$C74*0.9,"🟡 &gt; 90%","🟢 Dentro")))</f>
        <v/>
      </c>
    </row>
    <row r="75">
      <c r="B75" s="17">
        <f>TEXT(DATE('CONFIGURAÇÕES'!$B$18,3,1),"MM/AAAA")</f>
        <v/>
      </c>
      <c r="C75" s="18">
        <f>'ORÇAMENTO X REALIZADO'!D49</f>
        <v/>
      </c>
      <c r="D75" s="18">
        <f>'ORÇAMENTO X REALIZADO'!D50</f>
        <v/>
      </c>
      <c r="E75" s="18">
        <f>$C75-$D75</f>
        <v/>
      </c>
      <c r="F75" s="23">
        <f>IF($C75=0,"",$D75/$C75)</f>
        <v/>
      </c>
      <c r="G75" s="17">
        <f>IF($C75=0,"Sem orçamento",IF($D75&gt;$C75,"🔴 Estourou",IF($D75&gt;$C75*0.9,"🟡 &gt; 90%","🟢 Dentro")))</f>
        <v/>
      </c>
    </row>
    <row r="76">
      <c r="B76" s="17">
        <f>TEXT(DATE('CONFIGURAÇÕES'!$B$18,4,1),"MM/AAAA")</f>
        <v/>
      </c>
      <c r="C76" s="18">
        <f>'ORÇAMENTO X REALIZADO'!E49</f>
        <v/>
      </c>
      <c r="D76" s="18">
        <f>'ORÇAMENTO X REALIZADO'!E50</f>
        <v/>
      </c>
      <c r="E76" s="18">
        <f>$C76-$D76</f>
        <v/>
      </c>
      <c r="F76" s="23">
        <f>IF($C76=0,"",$D76/$C76)</f>
        <v/>
      </c>
      <c r="G76" s="17">
        <f>IF($C76=0,"Sem orçamento",IF($D76&gt;$C76,"🔴 Estourou",IF($D76&gt;$C76*0.9,"🟡 &gt; 90%","🟢 Dentro")))</f>
        <v/>
      </c>
    </row>
    <row r="77">
      <c r="B77" s="17">
        <f>TEXT(DATE('CONFIGURAÇÕES'!$B$18,5,1),"MM/AAAA")</f>
        <v/>
      </c>
      <c r="C77" s="18">
        <f>'ORÇAMENTO X REALIZADO'!F49</f>
        <v/>
      </c>
      <c r="D77" s="18">
        <f>'ORÇAMENTO X REALIZADO'!F50</f>
        <v/>
      </c>
      <c r="E77" s="18">
        <f>$C77-$D77</f>
        <v/>
      </c>
      <c r="F77" s="23">
        <f>IF($C77=0,"",$D77/$C77)</f>
        <v/>
      </c>
      <c r="G77" s="17">
        <f>IF($C77=0,"Sem orçamento",IF($D77&gt;$C77,"🔴 Estourou",IF($D77&gt;$C77*0.9,"🟡 &gt; 90%","🟢 Dentro")))</f>
        <v/>
      </c>
    </row>
    <row r="78">
      <c r="B78" s="17">
        <f>TEXT(DATE('CONFIGURAÇÕES'!$B$18,6,1),"MM/AAAA")</f>
        <v/>
      </c>
      <c r="C78" s="18">
        <f>'ORÇAMENTO X REALIZADO'!G49</f>
        <v/>
      </c>
      <c r="D78" s="18">
        <f>'ORÇAMENTO X REALIZADO'!G50</f>
        <v/>
      </c>
      <c r="E78" s="18">
        <f>$C78-$D78</f>
        <v/>
      </c>
      <c r="F78" s="23">
        <f>IF($C78=0,"",$D78/$C78)</f>
        <v/>
      </c>
      <c r="G78" s="17">
        <f>IF($C78=0,"Sem orçamento",IF($D78&gt;$C78,"🔴 Estourou",IF($D78&gt;$C78*0.9,"🟡 &gt; 90%","🟢 Dentro")))</f>
        <v/>
      </c>
    </row>
    <row r="79">
      <c r="B79" s="17">
        <f>TEXT(DATE('CONFIGURAÇÕES'!$B$18,7,1),"MM/AAAA")</f>
        <v/>
      </c>
      <c r="C79" s="18">
        <f>'ORÇAMENTO X REALIZADO'!H49</f>
        <v/>
      </c>
      <c r="D79" s="18">
        <f>'ORÇAMENTO X REALIZADO'!H50</f>
        <v/>
      </c>
      <c r="E79" s="18">
        <f>$C79-$D79</f>
        <v/>
      </c>
      <c r="F79" s="23">
        <f>IF($C79=0,"",$D79/$C79)</f>
        <v/>
      </c>
      <c r="G79" s="17">
        <f>IF($C79=0,"Sem orçamento",IF($D79&gt;$C79,"🔴 Estourou",IF($D79&gt;$C79*0.9,"🟡 &gt; 90%","🟢 Dentro")))</f>
        <v/>
      </c>
    </row>
    <row r="80">
      <c r="B80" s="17">
        <f>TEXT(DATE('CONFIGURAÇÕES'!$B$18,8,1),"MM/AAAA")</f>
        <v/>
      </c>
      <c r="C80" s="18">
        <f>'ORÇAMENTO X REALIZADO'!I49</f>
        <v/>
      </c>
      <c r="D80" s="18">
        <f>'ORÇAMENTO X REALIZADO'!I50</f>
        <v/>
      </c>
      <c r="E80" s="18">
        <f>$C80-$D80</f>
        <v/>
      </c>
      <c r="F80" s="23">
        <f>IF($C80=0,"",$D80/$C80)</f>
        <v/>
      </c>
      <c r="G80" s="17">
        <f>IF($C80=0,"Sem orçamento",IF($D80&gt;$C80,"🔴 Estourou",IF($D80&gt;$C80*0.9,"🟡 &gt; 90%","🟢 Dentro")))</f>
        <v/>
      </c>
    </row>
    <row r="81">
      <c r="B81" s="17">
        <f>TEXT(DATE('CONFIGURAÇÕES'!$B$18,9,1),"MM/AAAA")</f>
        <v/>
      </c>
      <c r="C81" s="18">
        <f>'ORÇAMENTO X REALIZADO'!J49</f>
        <v/>
      </c>
      <c r="D81" s="18">
        <f>'ORÇAMENTO X REALIZADO'!J50</f>
        <v/>
      </c>
      <c r="E81" s="18">
        <f>$C81-$D81</f>
        <v/>
      </c>
      <c r="F81" s="23">
        <f>IF($C81=0,"",$D81/$C81)</f>
        <v/>
      </c>
      <c r="G81" s="17">
        <f>IF($C81=0,"Sem orçamento",IF($D81&gt;$C81,"🔴 Estourou",IF($D81&gt;$C81*0.9,"🟡 &gt; 90%","🟢 Dentro")))</f>
        <v/>
      </c>
    </row>
    <row r="82">
      <c r="B82" s="17">
        <f>TEXT(DATE('CONFIGURAÇÕES'!$B$18,10,1),"MM/AAAA")</f>
        <v/>
      </c>
      <c r="C82" s="18">
        <f>'ORÇAMENTO X REALIZADO'!K49</f>
        <v/>
      </c>
      <c r="D82" s="18">
        <f>'ORÇAMENTO X REALIZADO'!K50</f>
        <v/>
      </c>
      <c r="E82" s="18">
        <f>$C82-$D82</f>
        <v/>
      </c>
      <c r="F82" s="23">
        <f>IF($C82=0,"",$D82/$C82)</f>
        <v/>
      </c>
      <c r="G82" s="17">
        <f>IF($C82=0,"Sem orçamento",IF($D82&gt;$C82,"🔴 Estourou",IF($D82&gt;$C82*0.9,"🟡 &gt; 90%","🟢 Dentro")))</f>
        <v/>
      </c>
    </row>
    <row r="83">
      <c r="B83" s="17">
        <f>TEXT(DATE('CONFIGURAÇÕES'!$B$18,11,1),"MM/AAAA")</f>
        <v/>
      </c>
      <c r="C83" s="18">
        <f>'ORÇAMENTO X REALIZADO'!L49</f>
        <v/>
      </c>
      <c r="D83" s="18">
        <f>'ORÇAMENTO X REALIZADO'!L50</f>
        <v/>
      </c>
      <c r="E83" s="18">
        <f>$C83-$D83</f>
        <v/>
      </c>
      <c r="F83" s="23">
        <f>IF($C83=0,"",$D83/$C83)</f>
        <v/>
      </c>
      <c r="G83" s="17">
        <f>IF($C83=0,"Sem orçamento",IF($D83&gt;$C83,"🔴 Estourou",IF($D83&gt;$C83*0.9,"🟡 &gt; 90%","🟢 Dentro")))</f>
        <v/>
      </c>
    </row>
    <row r="84">
      <c r="B84" s="17">
        <f>TEXT(DATE('CONFIGURAÇÕES'!$B$18,12,1),"MM/AAAA")</f>
        <v/>
      </c>
      <c r="C84" s="18">
        <f>'ORÇAMENTO X REALIZADO'!M49</f>
        <v/>
      </c>
      <c r="D84" s="18">
        <f>'ORÇAMENTO X REALIZADO'!M50</f>
        <v/>
      </c>
      <c r="E84" s="18">
        <f>$C84-$D84</f>
        <v/>
      </c>
      <c r="F84" s="23">
        <f>IF($C84=0,"",$D84/$C84)</f>
        <v/>
      </c>
      <c r="G84" s="17">
        <f>IF($C84=0,"Sem orçamento",IF($D84&gt;$C84,"🔴 Estourou",IF($D84&gt;$C84*0.9,"🟡 &gt; 90%","🟢 Dentro")))</f>
        <v/>
      </c>
    </row>
    <row r="85">
      <c r="B85" s="37" t="inlineStr">
        <is>
          <t>TOTAL DO ANO</t>
        </is>
      </c>
      <c r="C85" s="38">
        <f>SUM(C73:C84)</f>
        <v/>
      </c>
      <c r="D85" s="38">
        <f>SUM(D73:D84)</f>
        <v/>
      </c>
      <c r="E85" s="38">
        <f>SUM(E73:E84)</f>
        <v/>
      </c>
      <c r="F85" s="39">
        <f>IF($C85=0,"",$D85/$C85)</f>
        <v/>
      </c>
    </row>
    <row r="87" ht="22" customHeight="1">
      <c r="B87" s="4" t="inlineStr">
        <is>
          <t>6. RESULTADO POR CENTRO DE CUSTO (ano de análise)</t>
        </is>
      </c>
      <c r="C87" s="4" t="n"/>
      <c r="D87" s="4" t="n"/>
      <c r="E87" s="4" t="n"/>
      <c r="F87" s="4" t="n"/>
      <c r="G87" s="4" t="n"/>
      <c r="H87" s="4" t="n"/>
      <c r="I87" s="4" t="n"/>
    </row>
    <row r="88" ht="28" customHeight="1">
      <c r="B88" s="21" t="inlineStr">
        <is>
          <t>Centro de custo</t>
        </is>
      </c>
      <c r="C88" s="21" t="inlineStr">
        <is>
          <t>Receitas</t>
        </is>
      </c>
      <c r="D88" s="21" t="inlineStr">
        <is>
          <t>Custos e despesas</t>
        </is>
      </c>
      <c r="E88" s="21" t="inlineStr">
        <is>
          <t>Resultado</t>
        </is>
      </c>
      <c r="F88" s="21" t="inlineStr">
        <is>
          <t>Margem %</t>
        </is>
      </c>
    </row>
    <row r="89">
      <c r="B89" s="9">
        <f>'CENTRO DE CUSTOS'!$B$6</f>
        <v/>
      </c>
      <c r="C89" s="18">
        <f>SUMIFS('LANÇAMENTOS'!$AE$6:$AE$2005,'LANÇAMENTOS'!$H$6:$H$2005,$B89,'LANÇAMENTOS'!$E$6:$E$2005,"Entrada",'LANÇAMENTOS'!$AA$6:$AA$2005,'CONFIGURAÇÕES'!$B$18)</f>
        <v/>
      </c>
      <c r="D89" s="18">
        <f>SUMIFS('LANÇAMENTOS'!$AE$6:$AE$2005,'LANÇAMENTOS'!$H$6:$H$2005,$B89,'LANÇAMENTOS'!$E$6:$E$2005,"Saída",'LANÇAMENTOS'!$AA$6:$AA$2005,'CONFIGURAÇÕES'!$B$18)</f>
        <v/>
      </c>
      <c r="E89" s="18">
        <f>$C89-$D89</f>
        <v/>
      </c>
      <c r="F89" s="23">
        <f>IF($C89=0,"",$E89/$C89)</f>
        <v/>
      </c>
    </row>
    <row r="90">
      <c r="B90" s="9">
        <f>'CENTRO DE CUSTOS'!$B$7</f>
        <v/>
      </c>
      <c r="C90" s="18">
        <f>SUMIFS('LANÇAMENTOS'!$AE$6:$AE$2005,'LANÇAMENTOS'!$H$6:$H$2005,$B90,'LANÇAMENTOS'!$E$6:$E$2005,"Entrada",'LANÇAMENTOS'!$AA$6:$AA$2005,'CONFIGURAÇÕES'!$B$18)</f>
        <v/>
      </c>
      <c r="D90" s="18">
        <f>SUMIFS('LANÇAMENTOS'!$AE$6:$AE$2005,'LANÇAMENTOS'!$H$6:$H$2005,$B90,'LANÇAMENTOS'!$E$6:$E$2005,"Saída",'LANÇAMENTOS'!$AA$6:$AA$2005,'CONFIGURAÇÕES'!$B$18)</f>
        <v/>
      </c>
      <c r="E90" s="18">
        <f>$C90-$D90</f>
        <v/>
      </c>
      <c r="F90" s="23">
        <f>IF($C90=0,"",$E90/$C90)</f>
        <v/>
      </c>
    </row>
    <row r="91">
      <c r="B91" s="9">
        <f>'CENTRO DE CUSTOS'!$B$8</f>
        <v/>
      </c>
      <c r="C91" s="18">
        <f>SUMIFS('LANÇAMENTOS'!$AE$6:$AE$2005,'LANÇAMENTOS'!$H$6:$H$2005,$B91,'LANÇAMENTOS'!$E$6:$E$2005,"Entrada",'LANÇAMENTOS'!$AA$6:$AA$2005,'CONFIGURAÇÕES'!$B$18)</f>
        <v/>
      </c>
      <c r="D91" s="18">
        <f>SUMIFS('LANÇAMENTOS'!$AE$6:$AE$2005,'LANÇAMENTOS'!$H$6:$H$2005,$B91,'LANÇAMENTOS'!$E$6:$E$2005,"Saída",'LANÇAMENTOS'!$AA$6:$AA$2005,'CONFIGURAÇÕES'!$B$18)</f>
        <v/>
      </c>
      <c r="E91" s="18">
        <f>$C91-$D91</f>
        <v/>
      </c>
      <c r="F91" s="23">
        <f>IF($C91=0,"",$E91/$C91)</f>
        <v/>
      </c>
    </row>
    <row r="92">
      <c r="B92" s="9">
        <f>'CENTRO DE CUSTOS'!$B$9</f>
        <v/>
      </c>
      <c r="C92" s="18">
        <f>SUMIFS('LANÇAMENTOS'!$AE$6:$AE$2005,'LANÇAMENTOS'!$H$6:$H$2005,$B92,'LANÇAMENTOS'!$E$6:$E$2005,"Entrada",'LANÇAMENTOS'!$AA$6:$AA$2005,'CONFIGURAÇÕES'!$B$18)</f>
        <v/>
      </c>
      <c r="D92" s="18">
        <f>SUMIFS('LANÇAMENTOS'!$AE$6:$AE$2005,'LANÇAMENTOS'!$H$6:$H$2005,$B92,'LANÇAMENTOS'!$E$6:$E$2005,"Saída",'LANÇAMENTOS'!$AA$6:$AA$2005,'CONFIGURAÇÕES'!$B$18)</f>
        <v/>
      </c>
      <c r="E92" s="18">
        <f>$C92-$D92</f>
        <v/>
      </c>
      <c r="F92" s="23">
        <f>IF($C92=0,"",$E92/$C92)</f>
        <v/>
      </c>
    </row>
    <row r="93">
      <c r="B93" s="9">
        <f>'CENTRO DE CUSTOS'!$B$10</f>
        <v/>
      </c>
      <c r="C93" s="18">
        <f>SUMIFS('LANÇAMENTOS'!$AE$6:$AE$2005,'LANÇAMENTOS'!$H$6:$H$2005,$B93,'LANÇAMENTOS'!$E$6:$E$2005,"Entrada",'LANÇAMENTOS'!$AA$6:$AA$2005,'CONFIGURAÇÕES'!$B$18)</f>
        <v/>
      </c>
      <c r="D93" s="18">
        <f>SUMIFS('LANÇAMENTOS'!$AE$6:$AE$2005,'LANÇAMENTOS'!$H$6:$H$2005,$B93,'LANÇAMENTOS'!$E$6:$E$2005,"Saída",'LANÇAMENTOS'!$AA$6:$AA$2005,'CONFIGURAÇÕES'!$B$18)</f>
        <v/>
      </c>
      <c r="E93" s="18">
        <f>$C93-$D93</f>
        <v/>
      </c>
      <c r="F93" s="23">
        <f>IF($C93=0,"",$E93/$C93)</f>
        <v/>
      </c>
    </row>
    <row r="94">
      <c r="B94" s="9">
        <f>'CENTRO DE CUSTOS'!$B$11</f>
        <v/>
      </c>
      <c r="C94" s="18">
        <f>SUMIFS('LANÇAMENTOS'!$AE$6:$AE$2005,'LANÇAMENTOS'!$H$6:$H$2005,$B94,'LANÇAMENTOS'!$E$6:$E$2005,"Entrada",'LANÇAMENTOS'!$AA$6:$AA$2005,'CONFIGURAÇÕES'!$B$18)</f>
        <v/>
      </c>
      <c r="D94" s="18">
        <f>SUMIFS('LANÇAMENTOS'!$AE$6:$AE$2005,'LANÇAMENTOS'!$H$6:$H$2005,$B94,'LANÇAMENTOS'!$E$6:$E$2005,"Saída",'LANÇAMENTOS'!$AA$6:$AA$2005,'CONFIGURAÇÕES'!$B$18)</f>
        <v/>
      </c>
      <c r="E94" s="18">
        <f>$C94-$D94</f>
        <v/>
      </c>
      <c r="F94" s="23">
        <f>IF($C94=0,"",$E94/$C94)</f>
        <v/>
      </c>
    </row>
    <row r="95">
      <c r="B95" s="9">
        <f>'CENTRO DE CUSTOS'!$B$12</f>
        <v/>
      </c>
      <c r="C95" s="18">
        <f>SUMIFS('LANÇAMENTOS'!$AE$6:$AE$2005,'LANÇAMENTOS'!$H$6:$H$2005,$B95,'LANÇAMENTOS'!$E$6:$E$2005,"Entrada",'LANÇAMENTOS'!$AA$6:$AA$2005,'CONFIGURAÇÕES'!$B$18)</f>
        <v/>
      </c>
      <c r="D95" s="18">
        <f>SUMIFS('LANÇAMENTOS'!$AE$6:$AE$2005,'LANÇAMENTOS'!$H$6:$H$2005,$B95,'LANÇAMENTOS'!$E$6:$E$2005,"Saída",'LANÇAMENTOS'!$AA$6:$AA$2005,'CONFIGURAÇÕES'!$B$18)</f>
        <v/>
      </c>
      <c r="E95" s="18">
        <f>$C95-$D95</f>
        <v/>
      </c>
      <c r="F95" s="23">
        <f>IF($C95=0,"",$E95/$C95)</f>
        <v/>
      </c>
    </row>
    <row r="96">
      <c r="B96" s="9">
        <f>'CENTRO DE CUSTOS'!$B$13</f>
        <v/>
      </c>
      <c r="C96" s="18">
        <f>SUMIFS('LANÇAMENTOS'!$AE$6:$AE$2005,'LANÇAMENTOS'!$H$6:$H$2005,$B96,'LANÇAMENTOS'!$E$6:$E$2005,"Entrada",'LANÇAMENTOS'!$AA$6:$AA$2005,'CONFIGURAÇÕES'!$B$18)</f>
        <v/>
      </c>
      <c r="D96" s="18">
        <f>SUMIFS('LANÇAMENTOS'!$AE$6:$AE$2005,'LANÇAMENTOS'!$H$6:$H$2005,$B96,'LANÇAMENTOS'!$E$6:$E$2005,"Saída",'LANÇAMENTOS'!$AA$6:$AA$2005,'CONFIGURAÇÕES'!$B$18)</f>
        <v/>
      </c>
      <c r="E96" s="18">
        <f>$C96-$D96</f>
        <v/>
      </c>
      <c r="F96" s="23">
        <f>IF($C96=0,"",$E96/$C96)</f>
        <v/>
      </c>
    </row>
    <row r="98">
      <c r="B98" s="3" t="inlineStr">
        <is>
          <t>IMPRESSÃO: cada bloco acima pode ser impresso separadamente. Use Visualizar impressão e ajuste a área de impressão para o bloco desejado (layout paisagem, ajustar à largura).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32">
    <mergeCell ref="E12:I12"/>
    <mergeCell ref="E68:I68"/>
    <mergeCell ref="E62:I62"/>
    <mergeCell ref="B98:O99"/>
    <mergeCell ref="B3:O3"/>
    <mergeCell ref="B22:I22"/>
    <mergeCell ref="E67:I67"/>
    <mergeCell ref="E8:I8"/>
    <mergeCell ref="E14:I14"/>
    <mergeCell ref="B71:I71"/>
    <mergeCell ref="E17:I17"/>
    <mergeCell ref="B58:I58"/>
    <mergeCell ref="E64:I64"/>
    <mergeCell ref="E20:I20"/>
    <mergeCell ref="B2:O2"/>
    <mergeCell ref="E10:I10"/>
    <mergeCell ref="E13:I13"/>
    <mergeCell ref="E19:I19"/>
    <mergeCell ref="E63:I63"/>
    <mergeCell ref="E60:I60"/>
    <mergeCell ref="E9:I9"/>
    <mergeCell ref="E65:I65"/>
    <mergeCell ref="E15:I15"/>
    <mergeCell ref="B87:I87"/>
    <mergeCell ref="B38:I38"/>
    <mergeCell ref="E11:I11"/>
    <mergeCell ref="E61:I61"/>
    <mergeCell ref="E7:I7"/>
    <mergeCell ref="E16:I16"/>
    <mergeCell ref="E66:I66"/>
    <mergeCell ref="B5:I5"/>
    <mergeCell ref="E18:I18"/>
  </mergeCells>
  <conditionalFormatting sqref="C24:C35">
    <cfRule type="dataBar" priority="1">
      <dataBar showValue="1">
        <cfvo type="num" val="0"/>
        <cfvo type="max"/>
        <color rgb="002E75B6"/>
      </dataBar>
    </cfRule>
  </conditionalFormatting>
  <conditionalFormatting sqref="C40:C55">
    <cfRule type="dataBar" priority="2">
      <dataBar showValue="1">
        <cfvo type="num" val="0"/>
        <cfvo type="max"/>
        <color rgb="002E75B6"/>
      </dataBar>
    </cfRule>
  </conditionalFormatting>
  <conditionalFormatting sqref="C61">
    <cfRule type="cellIs" priority="3" operator="greaterThan" dxfId="0">
      <formula>0</formula>
    </cfRule>
  </conditionalFormatting>
  <conditionalFormatting sqref="C65">
    <cfRule type="cellIs" priority="4" operator="greaterThan" dxfId="0">
      <formula>0</formula>
    </cfRule>
  </conditionalFormatting>
  <conditionalFormatting sqref="G73:G84">
    <cfRule type="expression" priority="5" dxfId="2" stopIfTrue="0">
      <formula>ISNUMBER(SEARCH("🔴",G73))</formula>
    </cfRule>
    <cfRule type="expression" priority="6" dxfId="3" stopIfTrue="0">
      <formula>ISNUMBER(SEARCH("🟡",G73))</formula>
    </cfRule>
    <cfRule type="expression" priority="7" dxfId="4" stopIfTrue="0">
      <formula>ISNUMBER(SEARCH("🟢",G73))</formula>
    </cfRule>
  </conditionalFormatting>
  <conditionalFormatting sqref="C89:C96">
    <cfRule type="dataBar" priority="8">
      <dataBar showValue="1">
        <cfvo type="num" val="0"/>
        <cfvo type="max"/>
        <color rgb="002E75B6"/>
      </dataBar>
    </cfRule>
  </conditionalFormatting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</hyperlink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2:F69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4" customWidth="1" min="3" max="3"/>
    <col width="30" customWidth="1" min="4" max="4"/>
    <col width="34" customWidth="1" min="5" max="5"/>
    <col width="30" customWidth="1" min="6" max="6"/>
    <col width="4" customWidth="1" min="7" max="7"/>
  </cols>
  <sheetData>
    <row r="2" ht="28" customHeight="1">
      <c r="B2" s="1" t="inlineStr">
        <is>
          <t>INSTRUÇÕES DE USO — SISTEMA DE GESTÃO FINANCEIRA EMPRESARIAL</t>
        </is>
      </c>
      <c r="C2" s="1" t="n"/>
      <c r="D2" s="1" t="n"/>
      <c r="E2" s="1" t="n"/>
      <c r="F2" s="1" t="n"/>
    </row>
    <row r="3">
      <c r="B3" s="2" t="inlineStr">
        <is>
          <t>Este arquivo funciona no Microsoft Excel (2016 ou superior) e no Google Sheets. Foi construído com fórmulas nativas (SUMIFS, COUNTIFS, IFERROR, INDEX/MATCH), validação de dados e formatação condicional.</t>
        </is>
      </c>
      <c r="C3" s="2" t="n"/>
      <c r="D3" s="2" t="n"/>
      <c r="E3" s="2" t="n"/>
      <c r="F3" s="2" t="n"/>
    </row>
    <row r="5" ht="24" customHeight="1">
      <c r="B5" s="4" t="inlineStr">
        <is>
          <t>1. O QUE ESTE SISTEMA FAZ</t>
        </is>
      </c>
      <c r="C5" s="4" t="n"/>
      <c r="D5" s="4" t="n"/>
      <c r="E5" s="4" t="n"/>
    </row>
    <row r="6">
      <c r="B6" s="3" t="inlineStr">
        <is>
          <t>É um sistema completo de gestão financeira para pequenas e médias empresas: controla lançamentos, contas a pagar e a receber, fluxo de caixa, resultado (DRE), orçamento, empréstimos, conciliação bancária, inadimplência, indicadores e um dashboard executivo com gráficos e alertas automáticos.</t>
        </is>
      </c>
      <c r="C6" s="3" t="n"/>
      <c r="D6" s="3" t="n"/>
      <c r="E6" s="3" t="n"/>
      <c r="F6" s="3" t="n"/>
    </row>
    <row r="7">
      <c r="B7" s="3" t="n"/>
      <c r="C7" s="3" t="n"/>
      <c r="D7" s="3" t="n"/>
      <c r="E7" s="3" t="n"/>
      <c r="F7" s="3" t="n"/>
    </row>
    <row r="8">
      <c r="B8" s="3" t="inlineStr">
        <is>
          <t>Todos os números são calculados automaticamente a partir da aba LANÇAMENTOS. Você só preenche as células amarelas; as células cinzas contêm as fórmulas.</t>
        </is>
      </c>
      <c r="C8" s="3" t="n"/>
      <c r="D8" s="3" t="n"/>
      <c r="E8" s="3" t="n"/>
      <c r="F8" s="3" t="n"/>
    </row>
    <row r="9">
      <c r="B9" s="3" t="n"/>
      <c r="C9" s="3" t="n"/>
      <c r="D9" s="3" t="n"/>
      <c r="E9" s="3" t="n"/>
      <c r="F9" s="3" t="n"/>
    </row>
    <row r="10" ht="24" customHeight="1">
      <c r="B10" s="4" t="inlineStr">
        <is>
          <t>2. ESTRUTURA DAS ABAS</t>
        </is>
      </c>
      <c r="C10" s="4" t="n"/>
      <c r="D10" s="4" t="n"/>
      <c r="E10" s="4" t="n"/>
    </row>
    <row r="11">
      <c r="B11" s="9" t="inlineStr">
        <is>
          <t>PAINEL DE CONTROLE</t>
        </is>
      </c>
      <c r="C11" s="9" t="n"/>
      <c r="D11" s="25" t="inlineStr">
        <is>
          <t>Menu inicial com atalhos para todas as telas e a situação atual.</t>
        </is>
      </c>
      <c r="E11" s="25" t="n"/>
      <c r="F11" s="25" t="n"/>
    </row>
    <row r="12">
      <c r="B12" s="9" t="inlineStr">
        <is>
          <t>DASHBOARD</t>
        </is>
      </c>
      <c r="C12" s="9" t="n"/>
      <c r="D12" s="25" t="inlineStr">
        <is>
          <t>16 cartões, 18 alertas automáticos e 12 gráficos com 6 filtros.</t>
        </is>
      </c>
      <c r="E12" s="25" t="n"/>
      <c r="F12" s="25" t="n"/>
    </row>
    <row r="13">
      <c r="B13" s="9" t="inlineStr">
        <is>
          <t>CONFIGURAÇÕES</t>
        </is>
      </c>
      <c r="C13" s="9" t="n"/>
      <c r="D13" s="25" t="inlineStr">
        <is>
          <t>Dados da empresa, ano/mês de análise, metas e listas auxiliares.</t>
        </is>
      </c>
      <c r="E13" s="25" t="n"/>
      <c r="F13" s="25" t="n"/>
    </row>
    <row r="14">
      <c r="B14" s="9" t="inlineStr">
        <is>
          <t>LANÇAMENTOS</t>
        </is>
      </c>
      <c r="C14" s="9" t="n"/>
      <c r="D14" s="25" t="inlineStr">
        <is>
          <t>Base única de entradas e saídas (competência, vencimento, pagamento).</t>
        </is>
      </c>
      <c r="E14" s="25" t="n"/>
      <c r="F14" s="25" t="n"/>
    </row>
    <row r="15">
      <c r="B15" s="9" t="inlineStr">
        <is>
          <t>CONTAS A PAGAR / A RECEBER</t>
        </is>
      </c>
      <c r="C15" s="9" t="n"/>
      <c r="D15" s="25" t="inlineStr">
        <is>
          <t>Classificação automática por vencimento, aging e prazos.</t>
        </is>
      </c>
      <c r="E15" s="25" t="n"/>
      <c r="F15" s="25" t="n"/>
    </row>
    <row r="16">
      <c r="B16" s="9" t="inlineStr">
        <is>
          <t>FLUXO DE CAIXA</t>
        </is>
      </c>
      <c r="C16" s="9" t="n"/>
      <c r="D16" s="25" t="inlineStr">
        <is>
          <t>Diário, mensal e por tipo de operação (operacional/invest./financ.).</t>
        </is>
      </c>
      <c r="E16" s="25" t="n"/>
      <c r="F16" s="25" t="n"/>
    </row>
    <row r="17">
      <c r="B17" s="9" t="inlineStr">
        <is>
          <t>DRE GERENCIAL</t>
        </is>
      </c>
      <c r="C17" s="9" t="n"/>
      <c r="D17" s="25" t="inlineStr">
        <is>
          <t>Resultado por competência, margens e comparação mensal.</t>
        </is>
      </c>
      <c r="E17" s="25" t="n"/>
      <c r="F17" s="25" t="n"/>
    </row>
    <row r="18">
      <c r="B18" s="9" t="inlineStr">
        <is>
          <t>ORÇAMENTO X REALIZADO</t>
        </is>
      </c>
      <c r="C18" s="9" t="n"/>
      <c r="D18" s="25" t="inlineStr">
        <is>
          <t>Orçado por categoria e mês, realizado, % e alertas.</t>
        </is>
      </c>
      <c r="E18" s="25" t="n"/>
      <c r="F18" s="25" t="n"/>
    </row>
    <row r="19">
      <c r="B19" s="9" t="inlineStr">
        <is>
          <t>EMPRÉSTIMOS E FINANCIAMENTOS</t>
        </is>
      </c>
      <c r="C19" s="9" t="n"/>
      <c r="D19" s="25" t="inlineStr">
        <is>
          <t>Contratos, cronograma SAC/PRICE, juros e saldo devedor.</t>
        </is>
      </c>
      <c r="E19" s="25" t="n"/>
      <c r="F19" s="25" t="n"/>
    </row>
    <row r="20">
      <c r="B20" s="9" t="inlineStr">
        <is>
          <t>CONCILIAÇÃO BANCÁRIA</t>
        </is>
      </c>
      <c r="C20" s="9" t="n"/>
      <c r="D20" s="25" t="inlineStr">
        <is>
          <t>Extrato x planilha com pendências e divergências.</t>
        </is>
      </c>
      <c r="E20" s="25" t="n"/>
      <c r="F20" s="25" t="n"/>
    </row>
    <row r="21">
      <c r="B21" s="9" t="inlineStr">
        <is>
          <t>INADIMPLÊNCIA</t>
        </is>
      </c>
      <c r="C21" s="9" t="n"/>
      <c r="D21" s="25" t="inlineStr">
        <is>
          <t>Faixas de atraso (1-7 a +90 dias) e ranking de clientes.</t>
        </is>
      </c>
      <c r="E21" s="25" t="n"/>
      <c r="F21" s="25" t="n"/>
    </row>
    <row r="22">
      <c r="B22" s="9" t="inlineStr">
        <is>
          <t>INDICADORES</t>
        </is>
      </c>
      <c r="C22" s="9" t="n"/>
      <c r="D22" s="25" t="inlineStr">
        <is>
          <t>KPIs por área e a área ATENÇÃO DO GESTOR com 18 verificações.</t>
        </is>
      </c>
      <c r="E22" s="25" t="n"/>
      <c r="F22" s="25" t="n"/>
    </row>
    <row r="23">
      <c r="B23" s="9" t="inlineStr">
        <is>
          <t>PONTO DE EQUILÍBRIO</t>
        </is>
      </c>
      <c r="C23" s="9" t="n"/>
      <c r="D23" s="25" t="inlineStr">
        <is>
          <t>Faturamento mínimo, margem de segurança e meta de lucro.</t>
        </is>
      </c>
      <c r="E23" s="25" t="n"/>
      <c r="F23" s="25" t="n"/>
    </row>
    <row r="24">
      <c r="B24" s="9" t="inlineStr">
        <is>
          <t>SIMULADOR DE CENÁRIOS</t>
        </is>
      </c>
      <c r="C24" s="9" t="n"/>
      <c r="D24" s="25" t="inlineStr">
        <is>
          <t>Compara cenários atual, otimista e conservador.</t>
        </is>
      </c>
      <c r="E24" s="25" t="n"/>
      <c r="F24" s="25" t="n"/>
    </row>
    <row r="25">
      <c r="B25" s="9" t="inlineStr">
        <is>
          <t>PROJEÇÃO DE CAIXA</t>
        </is>
      </c>
      <c r="C25" s="9" t="n"/>
      <c r="D25" s="25" t="inlineStr">
        <is>
          <t>Saldo projetado em 7, 15, 30, 60, 90 e 180 dias.</t>
        </is>
      </c>
      <c r="E25" s="25" t="n"/>
      <c r="F25" s="25" t="n"/>
    </row>
    <row r="26">
      <c r="B26" s="9" t="inlineStr">
        <is>
          <t>DESPESAS RECORRENTES</t>
        </is>
      </c>
      <c r="C26" s="9" t="n"/>
      <c r="D26" s="25" t="inlineStr">
        <is>
          <t>Cadastro das despesas fixas e geração de lançamentos futuros.</t>
        </is>
      </c>
      <c r="E26" s="25" t="n"/>
      <c r="F26" s="25" t="n"/>
    </row>
    <row r="27">
      <c r="B27" s="9" t="inlineStr">
        <is>
          <t>RELATÓRIOS</t>
        </is>
      </c>
      <c r="C27" s="9" t="n"/>
      <c r="D27" s="25" t="inlineStr">
        <is>
          <t>14 relatórios resumidos, prontos para imprimir.</t>
        </is>
      </c>
      <c r="E27" s="25" t="n"/>
      <c r="F27" s="25" t="n"/>
    </row>
    <row r="28" ht="24" customHeight="1">
      <c r="B28" s="4" t="inlineStr">
        <is>
          <t>3. LEGENDA DE CORES E TIPOS DE CÉLULA</t>
        </is>
      </c>
      <c r="C28" s="4" t="n"/>
      <c r="D28" s="4" t="n"/>
      <c r="E28" s="4" t="n"/>
    </row>
    <row r="29">
      <c r="B29" s="14" t="inlineStr">
        <is>
          <t>Amarelo (FFF2CC)</t>
        </is>
      </c>
      <c r="C29" s="14" t="n"/>
      <c r="D29" s="25" t="inlineStr">
        <is>
          <t>Célula de entrada: você pode e deve editar.</t>
        </is>
      </c>
      <c r="E29" s="25" t="n"/>
      <c r="F29" s="25" t="n"/>
    </row>
    <row r="30">
      <c r="B30" s="17" t="inlineStr">
        <is>
          <t>Cinza (F2F2F2)</t>
        </is>
      </c>
      <c r="C30" s="17" t="n"/>
      <c r="D30" s="25" t="inlineStr">
        <is>
          <t>Célula calculada: contém fórmula, não edite.</t>
        </is>
      </c>
      <c r="E30" s="25" t="n"/>
      <c r="F30" s="25" t="n"/>
    </row>
    <row r="31">
      <c r="B31" s="21" t="inlineStr">
        <is>
          <t>Cabeçalho azul</t>
        </is>
      </c>
      <c r="C31" s="21" t="n"/>
      <c r="D31" s="25" t="inlineStr">
        <is>
          <t>Títulos de tabelas e colunas.</t>
        </is>
      </c>
      <c r="E31" s="25" t="n"/>
      <c r="F31" s="25" t="n"/>
    </row>
    <row r="32">
      <c r="B32" s="17" t="inlineStr">
        <is>
          <t>Verde / Amarelo / Vermelho</t>
        </is>
      </c>
      <c r="C32" s="17" t="n"/>
      <c r="D32" s="25" t="inlineStr">
        <is>
          <t>Status: dentro do esperado, atenção, alerta.</t>
        </is>
      </c>
      <c r="E32" s="25" t="n"/>
      <c r="F32" s="25" t="n"/>
    </row>
    <row r="33" ht="24" customHeight="1">
      <c r="B33" s="4" t="inlineStr">
        <is>
          <t>4. COMO COMEÇAR (ROTEIRO)</t>
        </is>
      </c>
      <c r="C33" s="4" t="n"/>
      <c r="D33" s="4" t="n"/>
      <c r="E33" s="4" t="n"/>
    </row>
    <row r="34">
      <c r="B34" s="5" t="inlineStr">
        <is>
          <t>1. Abra a aba CONFIGURAÇÕES</t>
        </is>
      </c>
      <c r="C34" s="5" t="n"/>
      <c r="D34" s="25" t="inlineStr">
        <is>
          <t>Informe razão social, CNPJ, ano e mês de análise e as metas (faturamento, lucro, margem, saldo mínimo, prazos).</t>
        </is>
      </c>
      <c r="E34" s="25" t="n"/>
      <c r="F34" s="25" t="n"/>
    </row>
    <row r="35">
      <c r="B35" s="5" t="inlineStr">
        <is>
          <t>2. Revise o PLANO DE CONTAS</t>
        </is>
      </c>
      <c r="C35" s="5" t="n"/>
      <c r="D35" s="25" t="inlineStr">
        <is>
          <t>As categorias e subcategorias alimentam os menus suspensos de todas as abas. Inclua as suas.</t>
        </is>
      </c>
      <c r="E35" s="25" t="n"/>
      <c r="F35" s="25" t="n"/>
    </row>
    <row r="36">
      <c r="B36" s="5" t="inlineStr">
        <is>
          <t>3. Cadastre clientes, fornecedores, centros de custo, contas e cartões</t>
        </is>
      </c>
      <c r="C36" s="5" t="n"/>
      <c r="D36" s="25" t="inlineStr">
        <is>
          <t>Use as abas de cadastro; os nomes devem ser idênticos aos usados nos lançamentos.</t>
        </is>
      </c>
      <c r="E36" s="25" t="n"/>
      <c r="F36" s="25" t="n"/>
    </row>
    <row r="37">
      <c r="B37" s="5" t="inlineStr">
        <is>
          <t>4. Lance as entradas e saídas na aba LANÇAMENTOS</t>
        </is>
      </c>
      <c r="C37" s="5" t="n"/>
      <c r="D37" s="25" t="inlineStr">
        <is>
          <t>Comece pela data de competência, tipo, categoria e subcategoria; informe previsto, realizado, vencimento e pagamento.</t>
        </is>
      </c>
      <c r="E37" s="25" t="n"/>
      <c r="F37" s="25" t="n"/>
    </row>
    <row r="38">
      <c r="B38" s="5" t="inlineStr">
        <is>
          <t>5. Confira as abas de análise</t>
        </is>
      </c>
      <c r="C38" s="5" t="n"/>
      <c r="D38" s="25" t="inlineStr">
        <is>
          <t>Contas a pagar/receber, fluxo de caixa, DRE, orçamento, indicadores e dashboard.</t>
        </is>
      </c>
      <c r="E38" s="25" t="n"/>
      <c r="F38" s="25" t="n"/>
    </row>
    <row r="39">
      <c r="B39" s="5" t="inlineStr">
        <is>
          <t>6. Use as ferramentas de decisão</t>
        </is>
      </c>
      <c r="C39" s="5" t="n"/>
      <c r="D39" s="25" t="inlineStr">
        <is>
          <t>Ponto de equilíbrio, projeção de caixa, simulador de cenários e despesas recorrentes.</t>
        </is>
      </c>
      <c r="E39" s="25" t="n"/>
      <c r="F39" s="25" t="n"/>
    </row>
    <row r="40" ht="24" customHeight="1">
      <c r="B40" s="4" t="inlineStr">
        <is>
          <t>5. COMO LIMPAR OS DADOS DE EXEMPLO</t>
        </is>
      </c>
      <c r="C40" s="4" t="n"/>
      <c r="D40" s="4" t="n"/>
      <c r="E40" s="4" t="n"/>
    </row>
    <row r="41">
      <c r="B41" s="3" t="inlineStr">
        <is>
          <t>Esta planilha acompanha dados fictícios (empresa /Aurora Distribuidora/, 3 contas bancárias, 3 empréstimos, cerca de 700 lançamentos, orçamento, conciliação e despesas recorrentes) para você testar todos os recursos.</t>
        </is>
      </c>
      <c r="C41" s="3" t="n"/>
      <c r="D41" s="3" t="n"/>
      <c r="E41" s="3" t="n"/>
      <c r="F41" s="3" t="n"/>
    </row>
    <row r="42">
      <c r="B42" s="3" t="n"/>
      <c r="C42" s="3" t="n"/>
      <c r="D42" s="3" t="n"/>
      <c r="E42" s="3" t="n"/>
      <c r="F42" s="3" t="n"/>
    </row>
    <row r="43">
      <c r="B43" s="5" t="inlineStr">
        <is>
          <t>LANÇAMENTOS</t>
        </is>
      </c>
      <c r="C43" s="5" t="n"/>
      <c r="D43" s="25" t="inlineStr">
        <is>
          <t>Selecione as células das colunas A até X (entrada) e pressione Delete. As colunas de cálculo (Y até AO) contêm fórmulas e podem permanecer.</t>
        </is>
      </c>
      <c r="E43" s="25" t="n"/>
      <c r="F43" s="25" t="n"/>
    </row>
    <row r="44">
      <c r="B44" s="5" t="inlineStr">
        <is>
          <t>CADASTROS</t>
        </is>
      </c>
      <c r="C44" s="5" t="n"/>
      <c r="D44" s="25" t="inlineStr">
        <is>
          <t>Nas abas de cadastro, apague o conteúdo das linhas de dados mantendo as fórmulas das colunas calculadas.</t>
        </is>
      </c>
      <c r="E44" s="25" t="n"/>
      <c r="F44" s="25" t="n"/>
    </row>
    <row r="45">
      <c r="B45" s="5" t="inlineStr">
        <is>
          <t>ORÇAMENTO E RECORRENTES</t>
        </is>
      </c>
      <c r="C45" s="5" t="n"/>
      <c r="D45" s="25" t="inlineStr">
        <is>
          <t>Apague os valores das colunas de orçamento e as linhas das despesas recorrentes de exemplo.</t>
        </is>
      </c>
      <c r="E45" s="25" t="n"/>
      <c r="F45" s="25" t="n"/>
    </row>
    <row r="46" ht="24" customHeight="1">
      <c r="B46" s="4" t="inlineStr">
        <is>
          <t>6. COMO USAR NO GOOGLE SHEETS</t>
        </is>
      </c>
      <c r="C46" s="4" t="n"/>
      <c r="D46" s="4" t="n"/>
      <c r="E46" s="4" t="n"/>
    </row>
    <row r="47">
      <c r="B47" s="5" t="inlineStr">
        <is>
          <t>1. Importar</t>
        </is>
      </c>
      <c r="C47" s="5" t="n"/>
      <c r="D47" s="25" t="inlineStr">
        <is>
          <t>No Google Drive, clique em Novo &gt; Fazer upload de arquivo e selecione o arquivo .xlsx (ou abra-o e use Arquivo &gt; Salvar como Planilhas Google).</t>
        </is>
      </c>
      <c r="E47" s="25" t="n"/>
      <c r="F47" s="25" t="n"/>
    </row>
    <row r="48">
      <c r="B48" s="5" t="inlineStr">
        <is>
          <t>2. Conferir</t>
        </is>
      </c>
      <c r="C48" s="5" t="n"/>
      <c r="D48" s="25" t="inlineStr">
        <is>
          <t>As fórmulas, validações e formatação condicional são convertidas automaticamente. Confira as listas suspensas e os gráficos.</t>
        </is>
      </c>
      <c r="E48" s="25" t="n"/>
      <c r="F48" s="25" t="n"/>
    </row>
    <row r="49">
      <c r="B49" s="5" t="inlineStr">
        <is>
          <t>3. Cuidados</t>
        </is>
      </c>
      <c r="C49" s="5" t="n"/>
      <c r="D49" s="25" t="inlineStr">
        <is>
          <t>Evite colar dados como texto em colunas de data/valor. Em caso de aviso de formatação, use Formatar &gt; Número &gt; Moeda/Data.</t>
        </is>
      </c>
      <c r="E49" s="25" t="n"/>
      <c r="F49" s="25" t="n"/>
    </row>
    <row r="50" ht="24" customHeight="1">
      <c r="B50" s="4" t="inlineStr">
        <is>
          <t>7. ROTINA MENSAL RECOMENDADA</t>
        </is>
      </c>
      <c r="C50" s="4" t="n"/>
      <c r="D50" s="4" t="n"/>
      <c r="E50" s="4" t="n"/>
    </row>
    <row r="51">
      <c r="B51" s="3" t="inlineStr">
        <is>
          <t>1) Lance os títulos do mês (vendas, compras, despesas e tributos). 2) Atualize o realizado e as datas de pagamento/recebimento. 3) Confira contas a pagar e a receber. 4) Faça a conciliação bancária. 5) Confira o DRE e os indicadores. 6) Compare orçado x realizado. 7) Analise a projeção de caixa e a inadimplência. 8) Registre o orçamento do mês seguinte e revise as despesas recorrentes.</t>
        </is>
      </c>
      <c r="C51" s="3" t="n"/>
      <c r="D51" s="3" t="n"/>
      <c r="E51" s="3" t="n"/>
      <c r="F51" s="3" t="n"/>
    </row>
    <row r="52">
      <c r="B52" s="3" t="n"/>
      <c r="C52" s="3" t="n"/>
      <c r="D52" s="3" t="n"/>
      <c r="E52" s="3" t="n"/>
      <c r="F52" s="3" t="n"/>
    </row>
    <row r="53" ht="24" customHeight="1">
      <c r="B53" s="4" t="inlineStr">
        <is>
          <t>8. ALERTAS AUTOMÁTICOS (ATENÇÃO DO GESTOR)</t>
        </is>
      </c>
      <c r="C53" s="4" t="n"/>
      <c r="D53" s="4" t="n"/>
      <c r="E53" s="4" t="n"/>
    </row>
    <row r="54">
      <c r="B54" s="3" t="inlineStr">
        <is>
          <t>As 18 verificações cobrem: caixa abaixo do mínimo, lucro e margem abaixo da meta, faturamento abaixo da meta, inadimplência acima do limite, títulos pagos/recebidos vencidos, compromissos de 7 dias maiores que o saldo, projeção de 30 dias, orçamento estourado, erros de preenchimento, clientes em atraso, prazos médios fora da meta, endividamento elevado, despesas fixas crescendo e reserva de caixa. Confira na aba INDICADORES e no DASHBOARD.</t>
        </is>
      </c>
      <c r="C54" s="3" t="n"/>
      <c r="D54" s="3" t="n"/>
      <c r="E54" s="3" t="n"/>
      <c r="F54" s="3" t="n"/>
    </row>
    <row r="55">
      <c r="B55" s="3" t="n"/>
      <c r="C55" s="3" t="n"/>
      <c r="D55" s="3" t="n"/>
      <c r="E55" s="3" t="n"/>
      <c r="F55" s="3" t="n"/>
    </row>
    <row r="56" ht="24" customHeight="1">
      <c r="B56" s="4" t="inlineStr">
        <is>
          <t>9. PERGUNTAS FREQUENTES</t>
        </is>
      </c>
      <c r="C56" s="4" t="n"/>
      <c r="D56" s="4" t="n"/>
      <c r="E56" s="4" t="n"/>
    </row>
    <row r="57">
      <c r="B57" s="9" t="inlineStr">
        <is>
          <t>Posso acrescentar linhas?</t>
        </is>
      </c>
      <c r="C57" s="9" t="n"/>
      <c r="D57" s="25" t="inlineStr">
        <is>
          <t>Sim: a aba LANÇAMENTOS suporta até 2.000 lançamentos, 60 clientes, 60 fornecedores, 80 contas no plano, 500 linhas de conciliação, 10 contratos com 60 parcelas cada. Para ampliar, copie a última linha e cole para baixo.</t>
        </is>
      </c>
      <c r="E57" s="25" t="n"/>
      <c r="F57" s="25" t="n"/>
    </row>
    <row r="58">
      <c r="B58" s="9" t="inlineStr">
        <is>
          <t>Por que não consigo editar uma célula?</t>
        </is>
      </c>
      <c r="C58" s="9" t="n"/>
      <c r="D58" s="25" t="inlineStr">
        <is>
          <t>As células calculadas estão protegidas. Para desproteger: Revisão &gt; Desproteger Planilha (sem senha).</t>
        </is>
      </c>
      <c r="E58" s="25" t="n"/>
      <c r="F58" s="25" t="n"/>
    </row>
    <row r="59">
      <c r="B59" s="9" t="inlineStr">
        <is>
          <t>As fórmulas funcionam em português?</t>
        </is>
      </c>
      <c r="C59" s="9" t="n"/>
      <c r="D59" s="25" t="inlineStr">
        <is>
          <t>As fórmulas usam funções nativas compatíveis (SUMIFS, COUNTIFS, IFERROR, INDEX/MATCH, PMT). No Excel em português elas aparecem traduzidas; no Google Sheets também.</t>
        </is>
      </c>
      <c r="E59" s="25" t="n"/>
      <c r="F59" s="25" t="n"/>
    </row>
    <row r="60">
      <c r="B60" s="9" t="inlineStr">
        <is>
          <t>E se eu usar cartão de crédito?</t>
        </is>
      </c>
      <c r="C60" s="9" t="n"/>
      <c r="D60" s="25" t="inlineStr">
        <is>
          <t>Cadastre o cartão na aba CONTAS BANCÁRIAS e CARTÕES. Nos lançamentos, escolha a forma Cartão de crédito e a conta correspondente.</t>
        </is>
      </c>
      <c r="E60" s="25" t="n"/>
      <c r="F60" s="25" t="n"/>
    </row>
    <row r="61">
      <c r="B61" s="9" t="inlineStr">
        <is>
          <t>Como funcionam as vendas parceladas?</t>
        </is>
      </c>
      <c r="C61" s="9" t="n"/>
      <c r="D61" s="25" t="inlineStr">
        <is>
          <t>Informe o número da parcela e o total de parcelas. Cada parcela é um lançamento com o mesmo cliente e categoria; o valor previsto é o da parcela.</t>
        </is>
      </c>
      <c r="E61" s="25" t="n"/>
      <c r="F61" s="25" t="n"/>
    </row>
    <row r="62" ht="24" customHeight="1">
      <c r="B62" s="4" t="inlineStr">
        <is>
          <t>10. VERIFICAÇÕES REALIZADAS (TESTES)</t>
        </is>
      </c>
      <c r="C62" s="4" t="n"/>
      <c r="D62" s="4" t="n"/>
      <c r="E62" s="4" t="n"/>
    </row>
    <row r="63">
      <c r="B63" s="3" t="inlineStr">
        <is>
          <t>A planilha foi testada com dados fictícios: conferência dos saldos bancários, do fluxo de caixa, do DRE, do lucro e das margens, dos indicadores do dashboard, dos gráficos, dos alertas e do orçamento x realizado. Nenhuma fórmula apresentou erro (#DIV/0!, #N/A, #VALOR!, #REF!).</t>
        </is>
      </c>
      <c r="C63" s="3" t="n"/>
      <c r="D63" s="3" t="n"/>
      <c r="E63" s="3" t="n"/>
      <c r="F63" s="3" t="n"/>
    </row>
    <row r="64">
      <c r="B64" s="3" t="n"/>
      <c r="C64" s="3" t="n"/>
      <c r="D64" s="3" t="n"/>
      <c r="E64" s="3" t="n"/>
      <c r="F64" s="3" t="n"/>
    </row>
    <row r="65">
      <c r="B65" s="3" t="inlineStr">
        <is>
          <t>As únicas mensagens possíveis são as de alerta intencional (por exemplo, '⚠ Cliente/Fornecedor não cadastrado') quando algum dado de entrada estiver inconsistente.</t>
        </is>
      </c>
      <c r="C65" s="3" t="n"/>
      <c r="D65" s="3" t="n"/>
      <c r="E65" s="3" t="n"/>
      <c r="F65" s="3" t="n"/>
    </row>
    <row r="66">
      <c r="B66" s="3" t="n"/>
      <c r="C66" s="3" t="n"/>
      <c r="D66" s="3" t="n"/>
      <c r="E66" s="3" t="n"/>
      <c r="F66" s="3" t="n"/>
    </row>
    <row r="68">
      <c r="B68" s="3" t="inlineStr">
        <is>
          <t>Dúvidas de uso: comece sempre pela aba LANÇAMENTOS — todas as demais telas (dashboard, DRE, fluxo, orçamento, indicadores e relatórios) são calculadas a partir dela.</t>
        </is>
      </c>
      <c r="C68" s="3" t="n"/>
      <c r="D68" s="3" t="n"/>
      <c r="E68" s="3" t="n"/>
      <c r="F68" s="3" t="n"/>
    </row>
    <row r="69">
      <c r="B69" s="3" t="n"/>
      <c r="C69" s="3" t="n"/>
      <c r="D69" s="3" t="n"/>
      <c r="E69" s="3" t="n"/>
      <c r="F69" s="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6">
    <mergeCell ref="D11:F11"/>
    <mergeCell ref="B3:F3"/>
    <mergeCell ref="B22:C22"/>
    <mergeCell ref="B31:C31"/>
    <mergeCell ref="D47:F47"/>
    <mergeCell ref="B12:C12"/>
    <mergeCell ref="B21:C21"/>
    <mergeCell ref="B2:F2"/>
    <mergeCell ref="D37:F37"/>
    <mergeCell ref="D12:F12"/>
    <mergeCell ref="B61:C61"/>
    <mergeCell ref="B14:C14"/>
    <mergeCell ref="D30:F30"/>
    <mergeCell ref="D39:F39"/>
    <mergeCell ref="B13:C13"/>
    <mergeCell ref="B38:C38"/>
    <mergeCell ref="D14:F14"/>
    <mergeCell ref="D29:F29"/>
    <mergeCell ref="D23:F23"/>
    <mergeCell ref="B49:C49"/>
    <mergeCell ref="B24:C24"/>
    <mergeCell ref="B32:C32"/>
    <mergeCell ref="B26:C26"/>
    <mergeCell ref="B35:C35"/>
    <mergeCell ref="D57:F57"/>
    <mergeCell ref="B40:E40"/>
    <mergeCell ref="B16:C16"/>
    <mergeCell ref="D27:F27"/>
    <mergeCell ref="B25:C25"/>
    <mergeCell ref="B33:E33"/>
    <mergeCell ref="D17:F17"/>
    <mergeCell ref="B18:C18"/>
    <mergeCell ref="B27:C27"/>
    <mergeCell ref="D43:F43"/>
    <mergeCell ref="B65:F66"/>
    <mergeCell ref="B50:E50"/>
    <mergeCell ref="B11:C11"/>
    <mergeCell ref="B63:F64"/>
    <mergeCell ref="D25:F25"/>
    <mergeCell ref="B51:F52"/>
    <mergeCell ref="B29:C29"/>
    <mergeCell ref="B37:C37"/>
    <mergeCell ref="B41:F42"/>
    <mergeCell ref="D60:F60"/>
    <mergeCell ref="B15:C15"/>
    <mergeCell ref="B53:E53"/>
    <mergeCell ref="D31:F31"/>
    <mergeCell ref="D21:F21"/>
    <mergeCell ref="D32:F32"/>
    <mergeCell ref="B6:F7"/>
    <mergeCell ref="D16:F16"/>
    <mergeCell ref="B43:C43"/>
    <mergeCell ref="B58:C58"/>
    <mergeCell ref="D18:F18"/>
    <mergeCell ref="D58:F58"/>
    <mergeCell ref="B60:C60"/>
    <mergeCell ref="B17:C17"/>
    <mergeCell ref="B54:F55"/>
    <mergeCell ref="B57:C57"/>
    <mergeCell ref="B44:C44"/>
    <mergeCell ref="B56:E56"/>
    <mergeCell ref="B19:C19"/>
    <mergeCell ref="B34:C34"/>
    <mergeCell ref="D35:F35"/>
    <mergeCell ref="D44:F44"/>
    <mergeCell ref="D59:F59"/>
    <mergeCell ref="D20:F20"/>
    <mergeCell ref="D34:F34"/>
    <mergeCell ref="B30:C30"/>
    <mergeCell ref="B8:F9"/>
    <mergeCell ref="B20:C20"/>
    <mergeCell ref="D22:F22"/>
    <mergeCell ref="B45:C45"/>
    <mergeCell ref="D36:F36"/>
    <mergeCell ref="D45:F45"/>
    <mergeCell ref="B28:E28"/>
    <mergeCell ref="B47:C47"/>
    <mergeCell ref="D13:F13"/>
    <mergeCell ref="B59:C59"/>
    <mergeCell ref="D61:F61"/>
    <mergeCell ref="B68:F69"/>
    <mergeCell ref="D48:F48"/>
    <mergeCell ref="B5:E5"/>
    <mergeCell ref="B39:C39"/>
    <mergeCell ref="B48:C48"/>
    <mergeCell ref="B62:E62"/>
    <mergeCell ref="B23:C23"/>
    <mergeCell ref="D15:F15"/>
    <mergeCell ref="B46:E46"/>
    <mergeCell ref="D24:F24"/>
    <mergeCell ref="D38:F38"/>
    <mergeCell ref="D26:F26"/>
    <mergeCell ref="D19:F19"/>
    <mergeCell ref="B36:C36"/>
    <mergeCell ref="B10:E10"/>
    <mergeCell ref="D49:F49"/>
  </mergeCells>
  <printOptions horizontalCentered="1"/>
  <pageMargins left="0.4" right="0.4" top="0.5" bottom="0.5" header="0.5" footer="0.5"/>
  <pageSetup orientation="landscape" fitToHeight="0" fitToWidth="1"/>
  <headerFooter>
    <oddHeader/>
    <oddFooter>&amp;L&amp;A&amp;RPágina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Andrade</dc:creator>
  <dc:title>Sistema de Gestão Financeira Empresarial</dc:title>
  <dc:description>Planilha completa de gestão financeira: lançamentos, contas a pagar e a receber, fluxo de caixa, DRE gerencial, orçamento, empréstimos, conciliação bancária, inadimplência, indicadores, projeções e dashboard.</dc:description>
  <dc:subject>Gestão financeira para pequenas e médias empresas</dc:subject>
  <dcterms:created xsi:type="dcterms:W3CDTF">2026-09-18T00:18:47Z</dcterms:created>
  <dcterms:modified xsi:type="dcterms:W3CDTF">2026-09-18T00:18:48Z</dcterms:modified>
  <cp:keywords>financeiro, DRE, fluxo de caixa, orçamento, indicadores, dashboard</cp:keywords>
</cp:coreProperties>
</file>